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ÇAMENTOS" sheetId="1" state="visible" r:id="rId1"/>
    <sheet name="PASSAGEM" sheetId="2" state="visible" r:id="rId2"/>
    <sheet name="PENDÊNCIAS" sheetId="3" state="visible" r:id="rId3"/>
    <sheet name="PAINEL" sheetId="4" state="visible" r:id="rId4"/>
    <sheet name="LISTAS" sheetId="5" state="visible" r:id="rId5"/>
  </sheets>
  <definedNames>
    <definedName name="l_turno">'LISTAS'!$B$5:$B$8</definedName>
    <definedName name="l_resp">OFFSET('LISTAS'!$C$5,0,0,MAX(1,COUNTA('LISTAS'!$C$5:$C$34)),1)</definedName>
    <definedName name="l_prog">OFFSET('LISTAS'!$D$5,0,0,MAX(1,COUNTA('LISTAS'!$D$5:$D$34)),1)</definedName>
    <definedName name="l_med">'LISTAS'!$E$5:$E$7</definedName>
    <definedName name="l_fat">'LISTAS'!$F$5:$F$8</definedName>
    <definedName name="l_emb">'LISTAS'!$G$5:$G$8</definedName>
    <definedName name="l_transp">OFFSET('LISTAS'!$H$5,0,0,MAX(1,COUNTA('LISTAS'!$H$5:$H$34)),1)</definedName>
    <definedName name="l_periodo">'LISTAS'!$I$5:$I$8</definedName>
    <definedName name="corte">'LISTAS'!$L$5</definedName>
    <definedName name="t_prox">'LISTAS'!$K$7:$L$10</definedName>
    <definedName name="c_id">'LANÇAMENTOS'!$A$2:$A$5001</definedName>
    <definedName name="c_status">'LANÇAMENTOS'!$B$2:$B$5001</definedName>
    <definedName name="c_alerta">'LANÇAMENTOS'!$C$2:$C$5001</definedName>
    <definedName name="c_data">'LANÇAMENTOS'!$D$2:$D$5001</definedName>
    <definedName name="c_turno">'LANÇAMENTOS'!$E$2:$E$5001</definedName>
    <definedName name="c_resp">'LANÇAMENTOS'!$F$2:$F$5001</definedName>
    <definedName name="c_prog">'LANÇAMENTOS'!$G$2:$G$5001</definedName>
    <definedName name="c_rota">'LANÇAMENTOS'!$H$2:$H$5001</definedName>
    <definedName name="c_med">'LANÇAMENTOS'!$I$2:$I$5001</definedName>
    <definedName name="c_plan">'LANÇAMENTOS'!$J$2:$J$5001</definedName>
    <definedName name="c_exec">'LANÇAMENTOS'!$K$2:$K$5001</definedName>
    <definedName name="c_pct">'LANÇAMENTOS'!$L$2:$L$5001</definedName>
    <definedName name="c_fat">'LANÇAMENTOS'!$M$2:$M$5001</definedName>
    <definedName name="c_emb">'LANÇAMENTOS'!$N$2:$N$5001</definedName>
    <definedName name="c_transp">'LANÇAMENTOS'!$O$2:$O$5001</definedName>
    <definedName name="c_pend">'LANÇAMENTOS'!$P$2:$P$5001</definedName>
    <definedName name="c_rpend">'LANÇAMENTOS'!$Q$2:$Q$5001</definedName>
    <definedName name="c_prazo">'LANÇAMENTOS'!$R$2:$R$5001</definedName>
    <definedName name="c_concl">'LANÇAMENTOS'!$S$2:$S$5001</definedName>
    <definedName name="c_obs">'LANÇAMENTOS'!$T$2:$T$5001</definedName>
    <definedName name="c_dias">'LANÇAMENTOS'!$U$2:$U$5001</definedName>
    <definedName name="c_aberto">'LANÇAMENTOS'!$V$2:$V$5001</definedName>
    <definedName name="c_o_pend">'LANÇAMENTOS'!$W$2:$W$5001</definedName>
    <definedName name="c_o_pass">'LANÇAMENTOS'!$X$2:$X$5001</definedName>
    <definedName name="pas_data">'PASSAGEM'!$O$4</definedName>
    <definedName name="pas_turno">'PASSAGEM'!$O$6</definedName>
    <definedName name="p_ini">'PAINEL'!$K$4</definedName>
    <definedName name="p_fim">'PAINEL'!$L$4</definedName>
    <definedName name="_xlnm._FilterDatabase" localSheetId="0" hidden="1">'LANÇAMENTOS'!$A$1:$U$5001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#,##0.000"/>
    <numFmt numFmtId="167" formatCode="#,##0.0"/>
    <numFmt numFmtId="168" formatCode="dd/mm/yyyy;;"/>
    <numFmt numFmtId="169" formatCode="0.0%"/>
    <numFmt numFmtId="170" formatCode="#,##0.0;;-"/>
    <numFmt numFmtId="171" formatCode="0;;-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color rgb="00000000"/>
      <sz val="9"/>
    </font>
    <font>
      <name val="Arial"/>
      <b val="1"/>
      <color rgb="001F3864"/>
      <sz val="10"/>
    </font>
    <font>
      <name val="Arial"/>
      <color rgb="00404040"/>
      <sz val="9"/>
    </font>
    <font>
      <name val="Arial"/>
      <sz val="9"/>
    </font>
    <font>
      <name val="Arial"/>
      <color rgb="00D9D9D9"/>
      <sz val="8"/>
    </font>
    <font>
      <name val="Arial"/>
      <b val="1"/>
      <color rgb="00FFFFFF"/>
      <sz val="13"/>
    </font>
    <font>
      <name val="Arial"/>
      <b val="1"/>
      <color rgb="00595959"/>
      <sz val="8"/>
    </font>
    <font>
      <name val="Arial"/>
      <b val="1"/>
      <color rgb="001F3864"/>
      <sz val="18"/>
    </font>
    <font>
      <name val="Arial"/>
      <b val="1"/>
      <color rgb="007F6000"/>
      <sz val="18"/>
    </font>
    <font>
      <name val="Arial"/>
      <b val="1"/>
      <color rgb="00C00000"/>
      <sz val="18"/>
    </font>
    <font>
      <name val="Arial"/>
      <color rgb="00595959"/>
      <sz val="9"/>
    </font>
    <font>
      <name val="Arial"/>
      <color rgb="002E75B6"/>
      <sz val="9"/>
      <u val="single"/>
    </font>
    <font>
      <name val="Arial"/>
      <b val="1"/>
      <color rgb="002E7D32"/>
      <sz val="18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2E7D32"/>
        <bgColor rgb="002E7D32"/>
      </patternFill>
    </fill>
    <fill>
      <patternFill patternType="solid">
        <fgColor rgb="00595959"/>
        <bgColor rgb="00595959"/>
      </patternFill>
    </fill>
    <fill>
      <patternFill patternType="solid">
        <fgColor rgb="00FFFDF2"/>
        <bgColor rgb="00FFFDF2"/>
      </patternFill>
    </fill>
    <fill>
      <patternFill patternType="solid">
        <fgColor rgb="00F2F2F2"/>
        <bgColor rgb="00F2F2F2"/>
      </patternFill>
    </fill>
    <fill>
      <patternFill patternType="solid">
        <fgColor rgb="00C00000"/>
        <bgColor rgb="00C00000"/>
      </patternFill>
    </fill>
    <fill>
      <patternFill patternType="solid">
        <fgColor rgb="00FAFAFA"/>
        <bgColor rgb="00FAFAFA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FFC000"/>
      </left>
      <right style="thin">
        <color rgb="00FFC000"/>
      </right>
      <top style="thin">
        <color rgb="00FFC000"/>
      </top>
      <bottom style="thin">
        <color rgb="00FFC000"/>
      </bottom>
    </border>
    <border>
      <top style="medium">
        <color rgb="001F3864"/>
      </top>
    </border>
    <border>
      <top style="medium">
        <color rgb="007F6000"/>
      </top>
    </border>
    <border>
      <top style="medium">
        <color rgb="00C00000"/>
      </top>
    </border>
    <border>
      <top style="medium">
        <color rgb="002E7D32"/>
      </top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165" fontId="10" fillId="7" borderId="0" pivotButton="0" quotePrefix="0" xfId="0"/>
    <xf numFmtId="0" fontId="10" fillId="7" borderId="0" pivotButton="0" quotePrefix="0" xfId="0"/>
    <xf numFmtId="166" fontId="10" fillId="7" borderId="0" pivotButton="0" quotePrefix="0" xfId="0"/>
    <xf numFmtId="9" fontId="9" fillId="0" borderId="0" pivotButton="0" quotePrefix="0" xfId="0"/>
    <xf numFmtId="1" fontId="9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right" vertical="center"/>
    </xf>
    <xf numFmtId="165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165" fontId="11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13" fillId="8" borderId="3" applyAlignment="1" pivotButton="0" quotePrefix="0" xfId="0">
      <alignment horizontal="center" vertical="center" wrapText="1"/>
    </xf>
    <xf numFmtId="0" fontId="0" fillId="8" borderId="3" pivotButton="0" quotePrefix="0" xfId="0"/>
    <xf numFmtId="0" fontId="13" fillId="8" borderId="4" applyAlignment="1" pivotButton="0" quotePrefix="0" xfId="0">
      <alignment horizontal="center" vertical="center" wrapText="1"/>
    </xf>
    <xf numFmtId="0" fontId="0" fillId="8" borderId="4" pivotButton="0" quotePrefix="0" xfId="0"/>
    <xf numFmtId="0" fontId="13" fillId="8" borderId="5" applyAlignment="1" pivotButton="0" quotePrefix="0" xfId="0">
      <alignment horizontal="center" vertical="center" wrapText="1"/>
    </xf>
    <xf numFmtId="0" fontId="0" fillId="8" borderId="5" pivotButton="0" quotePrefix="0" xfId="0"/>
    <xf numFmtId="167" fontId="14" fillId="8" borderId="0" applyAlignment="1" pivotButton="0" quotePrefix="0" xfId="0">
      <alignment horizontal="center" vertical="center"/>
    </xf>
    <xf numFmtId="0" fontId="0" fillId="8" borderId="0" pivotButton="0" quotePrefix="0" xfId="0"/>
    <xf numFmtId="9" fontId="14" fillId="8" borderId="0" applyAlignment="1" pivotButton="0" quotePrefix="0" xfId="0">
      <alignment horizontal="center" vertical="center"/>
    </xf>
    <xf numFmtId="1" fontId="15" fillId="8" borderId="0" applyAlignment="1" pivotButton="0" quotePrefix="0" xfId="0">
      <alignment horizontal="center" vertical="center"/>
    </xf>
    <xf numFmtId="1" fontId="16" fillId="8" borderId="0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vertical="center"/>
    </xf>
    <xf numFmtId="168" fontId="7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5" fillId="9" borderId="0" applyAlignment="1" pivotButton="0" quotePrefix="0" xfId="0">
      <alignment vertical="center"/>
    </xf>
    <xf numFmtId="0" fontId="0" fillId="9" borderId="0" pivotButton="0" quotePrefix="0" xfId="0"/>
    <xf numFmtId="0" fontId="5" fillId="5" borderId="0" applyAlignment="1" pivotButton="0" quotePrefix="0" xfId="0">
      <alignment vertical="center"/>
    </xf>
    <xf numFmtId="0" fontId="0" fillId="5" borderId="0" pivotButton="0" quotePrefix="0" xfId="0"/>
    <xf numFmtId="0" fontId="4" fillId="10" borderId="0" applyAlignment="1" pivotButton="0" quotePrefix="0" xfId="0">
      <alignment vertical="top" wrapText="1"/>
    </xf>
    <xf numFmtId="1" fontId="14" fillId="8" borderId="0" applyAlignment="1" pivotButton="0" quotePrefix="0" xfId="0">
      <alignment horizontal="center" vertical="center"/>
    </xf>
    <xf numFmtId="1" fontId="7" fillId="0" borderId="1" applyAlignment="1" pivotButton="0" quotePrefix="0" xfId="0">
      <alignment vertical="center"/>
    </xf>
    <xf numFmtId="169" fontId="14" fillId="8" borderId="0" applyAlignment="1" pivotButton="0" quotePrefix="0" xfId="0">
      <alignment horizontal="center" vertical="center"/>
    </xf>
    <xf numFmtId="3" fontId="14" fillId="8" borderId="0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0" fillId="8" borderId="6" pivotButton="0" quotePrefix="0" xfId="0"/>
    <xf numFmtId="1" fontId="19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vertical="center"/>
    </xf>
    <xf numFmtId="0" fontId="0" fillId="4" borderId="0" pivotButton="0" quotePrefix="0" xfId="0"/>
    <xf numFmtId="0" fontId="6" fillId="0" borderId="1" applyAlignment="1" pivotButton="0" quotePrefix="0" xfId="0">
      <alignment horizontal="center" vertical="center"/>
    </xf>
    <xf numFmtId="167" fontId="4" fillId="0" borderId="1" applyAlignment="1" pivotButton="0" quotePrefix="0" xfId="0">
      <alignment vertical="center"/>
    </xf>
    <xf numFmtId="9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170" fontId="4" fillId="0" borderId="1" applyAlignment="1" pivotButton="0" quotePrefix="0" xfId="0">
      <alignment vertical="center"/>
    </xf>
    <xf numFmtId="171" fontId="4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  <bgColor rgb="00C00000"/>
        </patternFill>
      </fill>
    </dxf>
    <dxf>
      <font>
        <name val="Arial"/>
        <b val="1"/>
        <color rgb="00000000"/>
      </font>
      <fill>
        <patternFill patternType="solid">
          <fgColor rgb="00FFC000"/>
          <bgColor rgb="00FFC000"/>
        </patternFill>
      </fill>
    </dxf>
    <dxf>
      <font>
        <name val="Arial"/>
        <b val="1"/>
        <color rgb="00000000"/>
      </font>
      <fill>
        <patternFill patternType="solid">
          <fgColor rgb="00FFE699"/>
          <bgColor rgb="00FFE699"/>
        </patternFill>
      </fill>
    </dxf>
    <dxf>
      <font>
        <name val="Arial"/>
        <b val="1"/>
        <color rgb="001F3864"/>
      </font>
      <fill>
        <patternFill patternType="solid">
          <fgColor rgb="00DDEBF7"/>
          <bgColor rgb="00DDEBF7"/>
        </patternFill>
      </fill>
    </dxf>
    <dxf>
      <font>
        <name val="Arial"/>
        <b val="1"/>
        <color rgb="002E7D32"/>
      </font>
      <fill>
        <patternFill patternType="solid">
          <fgColor rgb="00E2EFDA"/>
          <bgColor rgb="00E2EFDA"/>
        </patternFill>
      </fill>
    </dxf>
    <dxf>
      <font>
        <name val="Arial"/>
        <b val="1"/>
        <color rgb="00595959"/>
      </font>
      <fill>
        <patternFill patternType="solid">
          <fgColor rgb="00F2F2F2"/>
          <bgColor rgb="00F2F2F2"/>
        </patternFill>
      </fill>
    </dxf>
    <dxf>
      <font>
        <name val="Arial"/>
        <color rgb="00C00000"/>
      </font>
      <fill>
        <patternFill patternType="solid">
          <fgColor rgb="00FDE2E1"/>
          <bgColor rgb="00FDE2E1"/>
        </patternFill>
      </fill>
    </dxf>
    <dxf>
      <font>
        <name val="Arial"/>
        <color rgb="007F6000"/>
      </font>
      <fill>
        <patternFill patternType="solid">
          <fgColor rgb="00FFF7D6"/>
          <bgColor rgb="00FFF7D6"/>
        </patternFill>
      </fill>
    </dxf>
    <dxf>
      <font>
        <name val="Arial"/>
        <color rgb="002E7D32"/>
      </font>
      <fill>
        <patternFill patternType="solid">
          <fgColor rgb="00E2EFDA"/>
          <bgColor rgb="00E2EFDA"/>
        </patternFill>
      </fill>
    </dxf>
    <dxf>
      <fill>
        <patternFill patternType="solid">
          <fgColor rgb="00FFC000"/>
          <bgColor rgb="00FFC000"/>
        </patternFill>
      </fill>
    </dxf>
    <dxf>
      <font>
        <name val="Arial"/>
        <b val="1"/>
        <color rgb="00C00000"/>
        <sz val="18"/>
      </font>
    </dxf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Planejado x Executado por turno (t)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'PAINEL'!C13</f>
            </strRef>
          </tx>
          <spPr>
            <a:solidFill>
              <a:srgbClr val="D9D9D9"/>
            </a:solidFill>
            <a:ln>
              <a:solidFill>
                <a:srgbClr val="D9D9D9"/>
              </a:solidFill>
              <a:prstDash val="solid"/>
            </a:ln>
          </spPr>
          <cat>
            <numRef>
              <f>'PAINEL'!$B$14:$B$17</f>
            </numRef>
          </cat>
          <val>
            <numRef>
              <f>'PAINEL'!$C$14:$C$17</f>
            </numRef>
          </val>
        </ser>
        <ser>
          <idx val="1"/>
          <order val="1"/>
          <tx>
            <strRef>
              <f>'PAINEL'!D13</f>
            </strRef>
          </tx>
          <spPr>
            <a:solidFill>
              <a:srgbClr val="1F3864"/>
            </a:solidFill>
            <a:ln>
              <a:solidFill>
                <a:srgbClr val="1F3864"/>
              </a:solidFill>
              <a:prstDash val="solid"/>
            </a:ln>
          </spPr>
          <cat>
            <numRef>
              <f>'PAINEL'!$B$14:$B$17</f>
            </numRef>
          </cat>
          <val>
            <numRef>
              <f>'PAINEL'!$D$14:$D$17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Planilha</author>
  </authors>
  <commentList>
    <comment ref="B1" authorId="0" shapeId="0">
      <text>
        <t>Automático. Legenda na aba LISTAS.</t>
      </text>
    </comment>
    <comment ref="J1" authorId="0" shapeId="0">
      <text>
        <t>Na MEDIDA escolhida. TON = toneladas (28,054 = 28.054 kg).</t>
      </text>
    </comment>
    <comment ref="P1" authorId="0" shapeId="0">
      <text>
        <t>O que ficou pendente. Informe também RESP. PENDÊNCIA e PRAZO.</t>
      </text>
    </comment>
    <comment ref="S1" authorId="0" shapeId="0">
      <text>
        <t>Data em que a pendência foi resolvida.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FC000"/>
    <outlinePr summaryBelow="1" summaryRight="1"/>
    <pageSetUpPr/>
  </sheetPr>
  <dimension ref="A1:X5001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30" customWidth="1" min="3" max="3"/>
    <col width="11" customWidth="1" min="4" max="4"/>
    <col width="7" customWidth="1" min="5" max="5"/>
    <col width="13" customWidth="1" min="6" max="6"/>
    <col width="14" customWidth="1" min="7" max="7"/>
    <col width="26" customWidth="1" min="8" max="8"/>
    <col width="9" customWidth="1" min="9" max="9"/>
    <col width="11" customWidth="1" min="10" max="10"/>
    <col width="11" customWidth="1" min="11" max="11"/>
    <col width="7" customWidth="1" min="12" max="12"/>
    <col width="13" customWidth="1" min="13" max="13"/>
    <col width="13" customWidth="1" min="14" max="14"/>
    <col width="14" customWidth="1" min="15" max="15"/>
    <col width="36" customWidth="1" min="16" max="16"/>
    <col width="14" customWidth="1" min="17" max="17"/>
    <col width="11" customWidth="1" min="18" max="18"/>
    <col width="12" customWidth="1" min="19" max="19"/>
    <col width="45" customWidth="1" min="20" max="20"/>
    <col width="9" customWidth="1" min="21" max="21"/>
    <col hidden="1" width="6" customWidth="1" min="22" max="22"/>
    <col hidden="1" width="12" customWidth="1" min="23" max="23"/>
    <col hidden="1" width="12" customWidth="1" min="24" max="24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ALERTA</t>
        </is>
      </c>
      <c r="D1" s="2" t="inlineStr">
        <is>
          <t>DATA</t>
        </is>
      </c>
      <c r="E1" s="2" t="inlineStr">
        <is>
          <t>TURNO</t>
        </is>
      </c>
      <c r="F1" s="2" t="inlineStr">
        <is>
          <t>RESPONSÁVEL</t>
        </is>
      </c>
      <c r="G1" s="2" t="inlineStr">
        <is>
          <t>PROGRAMAÇÃO</t>
        </is>
      </c>
      <c r="H1" s="2" t="inlineStr">
        <is>
          <t>ROTA / CLIENTE</t>
        </is>
      </c>
      <c r="I1" s="2" t="inlineStr">
        <is>
          <t>MEDIDA</t>
        </is>
      </c>
      <c r="J1" s="2" t="inlineStr">
        <is>
          <t>PLANEJADO</t>
        </is>
      </c>
      <c r="K1" s="2" t="inlineStr">
        <is>
          <t>EXECUTADO</t>
        </is>
      </c>
      <c r="L1" s="1" t="inlineStr">
        <is>
          <t>%</t>
        </is>
      </c>
      <c r="M1" s="2" t="inlineStr">
        <is>
          <t>FATURAMENTO</t>
        </is>
      </c>
      <c r="N1" s="2" t="inlineStr">
        <is>
          <t>EMBARQUE</t>
        </is>
      </c>
      <c r="O1" s="2" t="inlineStr">
        <is>
          <t>TRANSPORTADORA</t>
        </is>
      </c>
      <c r="P1" s="2" t="inlineStr">
        <is>
          <t>PENDÊNCIA</t>
        </is>
      </c>
      <c r="Q1" s="2" t="inlineStr">
        <is>
          <t>RESP. PENDÊNCIA</t>
        </is>
      </c>
      <c r="R1" s="2" t="inlineStr">
        <is>
          <t>PRAZO</t>
        </is>
      </c>
      <c r="S1" s="2" t="inlineStr">
        <is>
          <t>CONCLUÍDO EM</t>
        </is>
      </c>
      <c r="T1" s="2" t="inlineStr">
        <is>
          <t>OBSERVAÇÃO</t>
        </is>
      </c>
      <c r="U1" s="1" t="inlineStr">
        <is>
          <t>DIAS EM ABERTO</t>
        </is>
      </c>
      <c r="V1" s="1" t="inlineStr">
        <is>
          <t>aux_aberto</t>
        </is>
      </c>
      <c r="W1" s="1" t="inlineStr">
        <is>
          <t>aux_ordem_pendencias</t>
        </is>
      </c>
      <c r="X1" s="1" t="inlineStr">
        <is>
          <t>aux_ordem_passagem</t>
        </is>
      </c>
    </row>
    <row r="2">
      <c r="A2" s="3">
        <f>IF(D2="","","TT-"&amp;TEXT(ROW()-1,"00000"))</f>
        <v/>
      </c>
      <c r="B2" s="3">
        <f>IF(D2="","",IF(V2=0,"CONCLUÍDO",IF(D2&lt;corte,"HISTÓRICO",IF(OR(AND(ISNUMBER(R2),R2&lt;TODAY()),AND(OR(N2="PENDENTE",N2="PARCIAL"),D2&lt;TODAY()-1)),"CRÍTICO",IF(OR(AND(P2&lt;&gt;"",S2=""),AND(N2="REALIZADO",M2="PENDENTE"),AND(ISNUMBER(R2),R2=TODAY())),"ATENÇÃO",IF(N(K2)=0,"PENDENTE","EM ANDAMENTO"))))))</f>
        <v/>
      </c>
      <c r="C2" s="3">
        <f>IF(D2="","",IF(V2=0,"🟢 OK",IF(D2&lt;corte,"⚪ HISTÓRICO (sem baixa)",IF(AND(ISNUMBER(R2),R2&lt;TODAY()),"🔴 PRAZO VENCIDO",IF(AND(OR(N2="PENDENTE",N2="PARCIAL"),D2&lt;TODAY()-1),"🔴 EMBARQUE ATRASADO",IF(AND(N2="REALIZADO",M2="PENDENTE"),"🟡 EMBARCADO SEM FATURAR",IF(AND(P2&lt;&gt;"",S2="",OR(Q2="",R2="")),"🟡 PENDÊNCIA SEM RESPONSÁVEL/PRAZO",IF(AND(ISNUMBER(R2),R2=TODAY()),"🟡 VENCE HOJE",IF(AND(P2&lt;&gt;"",S2=""),"🟡 PENDÊNCIA ABERTA",IF(AND(N(J2)&gt;0,N(K2)&lt;J2),"🟡 FALTA EXECUTAR",IF(OR(M2="PENDENTE",M2="PARCIAL"),"🟡 FATURAMENTO PENDENTE","🟡 EMBARQUE PENDENTE")))))))))))</f>
        <v/>
      </c>
      <c r="D2" s="4" t="n">
        <v>46223</v>
      </c>
      <c r="E2" s="5" t="inlineStr">
        <is>
          <t>A</t>
        </is>
      </c>
      <c r="F2" s="5" t="inlineStr">
        <is>
          <t>TATIANE</t>
        </is>
      </c>
      <c r="G2" s="5" t="inlineStr">
        <is>
          <t>GM</t>
        </is>
      </c>
      <c r="H2" s="5" t="inlineStr">
        <is>
          <t>SP CAP / INT</t>
        </is>
      </c>
      <c r="I2" s="5" t="inlineStr">
        <is>
          <t>TON</t>
        </is>
      </c>
      <c r="J2" s="6" t="n">
        <v>43.127</v>
      </c>
      <c r="K2" s="6" t="n">
        <v>43.127</v>
      </c>
      <c r="L2" s="7">
        <f>IF(OR(D2="",N(J2)=0),"",MIN(1,N(K2)/J2))</f>
        <v/>
      </c>
      <c r="M2" s="5" t="inlineStr">
        <is>
          <t>FATURADO</t>
        </is>
      </c>
      <c r="N2" s="5" t="inlineStr">
        <is>
          <t>REALIZADO</t>
        </is>
      </c>
      <c r="O2" s="5" t="inlineStr">
        <is>
          <t>SMARTLOG</t>
        </is>
      </c>
      <c r="P2" s="5" t="inlineStr">
        <is>
          <t>FATURADO 5.105 SMT001 E 002DI- FATURAR E CONFERIR SMT005DI SEPARADO NA RUA 13 E GERAR DEMAIS CARROS DO DI SAMRTLOG</t>
        </is>
      </c>
      <c r="Q2" s="5" t="n"/>
      <c r="R2" s="4" t="n"/>
      <c r="S2" s="4" t="n"/>
      <c r="T2" s="5" t="inlineStr">
        <is>
          <t>FATURADO 5.105 SMT001 E 002DI- FATURAR E CONFERIR SMT005DI SEPARADO NA RUA 13 E GERAR DEMAIS CARROS DO DI SAMRTLOG [MIGRAÇÃO: medida original POSIÇÃO corrigida para TON]</t>
        </is>
      </c>
      <c r="U2" s="8">
        <f>IF(AND(V2=1,D2&lt;&gt;""),IF(D2&gt;=corte,TODAY()-D2,""),"")</f>
        <v/>
      </c>
      <c r="V2" s="8">
        <f>IF(D2="",0,IF(OR(AND(P2&lt;&gt;"",S2=""),AND(N(J2)&gt;0,N(K2)&lt;J2),OR(M2="PENDENTE",M2="PARCIAL"),OR(N2="PENDENTE",N2="PARCIAL")),1,0))</f>
        <v/>
      </c>
      <c r="W2" s="8">
        <f>IF(AND(V2=1,D2&lt;&gt;""),IF(D2&gt;=corte,(B2="CRÍTICO")*1E9+(100000-D2)*10000+10000-ROW(),""),"")</f>
        <v/>
      </c>
      <c r="X2" s="8">
        <f>IF(AND(V2=1,D2=pas_data,E2=pas_turno),10000-ROW(),"")</f>
        <v/>
      </c>
    </row>
    <row r="3">
      <c r="A3" s="3">
        <f>IF(D3="","","TT-"&amp;TEXT(ROW()-1,"00000"))</f>
        <v/>
      </c>
      <c r="B3" s="3">
        <f>IF(D3="","",IF(V3=0,"CONCLUÍDO",IF(D3&lt;corte,"HISTÓRICO",IF(OR(AND(ISNUMBER(R3),R3&lt;TODAY()),AND(OR(N3="PENDENTE",N3="PARCIAL"),D3&lt;TODAY()-1)),"CRÍTICO",IF(OR(AND(P3&lt;&gt;"",S3=""),AND(N3="REALIZADO",M3="PENDENTE"),AND(ISNUMBER(R3),R3=TODAY())),"ATENÇÃO",IF(N(K3)=0,"PENDENTE","EM ANDAMENTO"))))))</f>
        <v/>
      </c>
      <c r="C3" s="3">
        <f>IF(D3="","",IF(V3=0,"🟢 OK",IF(D3&lt;corte,"⚪ HISTÓRICO (sem baixa)",IF(AND(ISNUMBER(R3),R3&lt;TODAY()),"🔴 PRAZO VENCIDO",IF(AND(OR(N3="PENDENTE",N3="PARCIAL"),D3&lt;TODAY()-1),"🔴 EMBARQUE ATRASADO",IF(AND(N3="REALIZADO",M3="PENDENTE"),"🟡 EMBARCADO SEM FATURAR",IF(AND(P3&lt;&gt;"",S3="",OR(Q3="",R3="")),"🟡 PENDÊNCIA SEM RESPONSÁVEL/PRAZO",IF(AND(ISNUMBER(R3),R3=TODAY()),"🟡 VENCE HOJE",IF(AND(P3&lt;&gt;"",S3=""),"🟡 PENDÊNCIA ABERTA",IF(AND(N(J3)&gt;0,N(K3)&lt;J3),"🟡 FALTA EXECUTAR",IF(OR(M3="PENDENTE",M3="PARCIAL"),"🟡 FATURAMENTO PENDENTE","🟡 EMBARQUE PENDENTE")))))))))))</f>
        <v/>
      </c>
      <c r="D3" s="4" t="n">
        <v>46223</v>
      </c>
      <c r="E3" s="5" t="inlineStr">
        <is>
          <t>A</t>
        </is>
      </c>
      <c r="F3" s="5" t="inlineStr">
        <is>
          <t>TATIANE</t>
        </is>
      </c>
      <c r="G3" s="5" t="inlineStr">
        <is>
          <t>FM</t>
        </is>
      </c>
      <c r="H3" s="5" t="inlineStr">
        <is>
          <t>FM</t>
        </is>
      </c>
      <c r="I3" s="5" t="inlineStr">
        <is>
          <t>TON</t>
        </is>
      </c>
      <c r="J3" s="6" t="n">
        <v>54.022</v>
      </c>
      <c r="K3" s="6" t="n">
        <v>54.022</v>
      </c>
      <c r="L3" s="7">
        <f>IF(OR(D3="",N(J3)=0),"",MIN(1,N(K3)/J3))</f>
        <v/>
      </c>
      <c r="M3" s="5" t="inlineStr">
        <is>
          <t>FATURADO</t>
        </is>
      </c>
      <c r="N3" s="5" t="inlineStr">
        <is>
          <t>REALIZADO</t>
        </is>
      </c>
      <c r="O3" s="5" t="inlineStr">
        <is>
          <t>SPEEDYLOG</t>
        </is>
      </c>
      <c r="P3" s="5" t="inlineStr">
        <is>
          <t>FATURADO - CARREGADO SIENA - PANDURATA FATURADO- EDIFARNEI FECHAR PESO E CARREGAR</t>
        </is>
      </c>
      <c r="Q3" s="5" t="n"/>
      <c r="R3" s="4" t="n"/>
      <c r="S3" s="4" t="n"/>
      <c r="T3" s="5" t="inlineStr">
        <is>
          <t>FATURADO - CARREGADO SIENA - PANDURATA FATURADO- EDIFARNEI FECHAR PESO E CARREGAR</t>
        </is>
      </c>
      <c r="U3" s="8">
        <f>IF(AND(V3=1,D3&lt;&gt;""),IF(D3&gt;=corte,TODAY()-D3,""),"")</f>
        <v/>
      </c>
      <c r="V3" s="8">
        <f>IF(D3="",0,IF(OR(AND(P3&lt;&gt;"",S3=""),AND(N(J3)&gt;0,N(K3)&lt;J3),OR(M3="PENDENTE",M3="PARCIAL"),OR(N3="PENDENTE",N3="PARCIAL")),1,0))</f>
        <v/>
      </c>
      <c r="W3" s="8">
        <f>IF(AND(V3=1,D3&lt;&gt;""),IF(D3&gt;=corte,(B3="CRÍTICO")*1E9+(100000-D3)*10000+10000-ROW(),""),"")</f>
        <v/>
      </c>
      <c r="X3" s="8">
        <f>IF(AND(V3=1,D3=pas_data,E3=pas_turno),10000-ROW(),"")</f>
        <v/>
      </c>
    </row>
    <row r="4">
      <c r="A4" s="3">
        <f>IF(D4="","","TT-"&amp;TEXT(ROW()-1,"00000"))</f>
        <v/>
      </c>
      <c r="B4" s="3">
        <f>IF(D4="","",IF(V4=0,"CONCLUÍDO",IF(D4&lt;corte,"HISTÓRICO",IF(OR(AND(ISNUMBER(R4),R4&lt;TODAY()),AND(OR(N4="PENDENTE",N4="PARCIAL"),D4&lt;TODAY()-1)),"CRÍTICO",IF(OR(AND(P4&lt;&gt;"",S4=""),AND(N4="REALIZADO",M4="PENDENTE"),AND(ISNUMBER(R4),R4=TODAY())),"ATENÇÃO",IF(N(K4)=0,"PENDENTE","EM ANDAMENTO"))))))</f>
        <v/>
      </c>
      <c r="C4" s="3">
        <f>IF(D4="","",IF(V4=0,"🟢 OK",IF(D4&lt;corte,"⚪ HISTÓRICO (sem baixa)",IF(AND(ISNUMBER(R4),R4&lt;TODAY()),"🔴 PRAZO VENCIDO",IF(AND(OR(N4="PENDENTE",N4="PARCIAL"),D4&lt;TODAY()-1),"🔴 EMBARQUE ATRASADO",IF(AND(N4="REALIZADO",M4="PENDENTE"),"🟡 EMBARCADO SEM FATURAR",IF(AND(P4&lt;&gt;"",S4="",OR(Q4="",R4="")),"🟡 PENDÊNCIA SEM RESPONSÁVEL/PRAZO",IF(AND(ISNUMBER(R4),R4=TODAY()),"🟡 VENCE HOJE",IF(AND(P4&lt;&gt;"",S4=""),"🟡 PENDÊNCIA ABERTA",IF(AND(N(J4)&gt;0,N(K4)&lt;J4),"🟡 FALTA EXECUTAR",IF(OR(M4="PENDENTE",M4="PARCIAL"),"🟡 FATURAMENTO PENDENTE","🟡 EMBARQUE PENDENTE")))))))))))</f>
        <v/>
      </c>
      <c r="D4" s="4" t="n">
        <v>46223</v>
      </c>
      <c r="E4" s="5" t="inlineStr">
        <is>
          <t>A</t>
        </is>
      </c>
      <c r="F4" s="5" t="inlineStr">
        <is>
          <t>TATIANE</t>
        </is>
      </c>
      <c r="G4" s="5" t="inlineStr">
        <is>
          <t>FOB</t>
        </is>
      </c>
      <c r="H4" s="5" t="inlineStr">
        <is>
          <t>PROPRIO</t>
        </is>
      </c>
      <c r="I4" s="5" t="inlineStr">
        <is>
          <t>TON</t>
        </is>
      </c>
      <c r="J4" s="6" t="n">
        <v>51.327</v>
      </c>
      <c r="K4" s="6" t="n">
        <v>51.327</v>
      </c>
      <c r="L4" s="7">
        <f>IF(OR(D4="",N(J4)=0),"",MIN(1,N(K4)/J4))</f>
        <v/>
      </c>
      <c r="M4" s="5" t="inlineStr">
        <is>
          <t>FATURADO</t>
        </is>
      </c>
      <c r="N4" s="5" t="inlineStr">
        <is>
          <t>REALIZADO</t>
        </is>
      </c>
      <c r="O4" s="5" t="inlineStr">
        <is>
          <t>PRÓPRIO</t>
        </is>
      </c>
      <c r="P4" s="5" t="inlineStr">
        <is>
          <t>FATURADO DISPAN RECIFE DO DIA 19/07 - MOTORISTA NA PORTARIA - PRODUPAN GERADO 20/07 - SEPARAR</t>
        </is>
      </c>
      <c r="Q4" s="5" t="n"/>
      <c r="R4" s="4" t="n"/>
      <c r="S4" s="4" t="n"/>
      <c r="T4" s="5" t="inlineStr">
        <is>
          <t>FATURADO DISPAN RECIFE DO DIA 19/07 - MOTORISTA NA PORTARIA - PRODUPAN GERADO 20/07 - SEPARAR</t>
        </is>
      </c>
      <c r="U4" s="8">
        <f>IF(AND(V4=1,D4&lt;&gt;""),IF(D4&gt;=corte,TODAY()-D4,""),"")</f>
        <v/>
      </c>
      <c r="V4" s="8">
        <f>IF(D4="",0,IF(OR(AND(P4&lt;&gt;"",S4=""),AND(N(J4)&gt;0,N(K4)&lt;J4),OR(M4="PENDENTE",M4="PARCIAL"),OR(N4="PENDENTE",N4="PARCIAL")),1,0))</f>
        <v/>
      </c>
      <c r="W4" s="8">
        <f>IF(AND(V4=1,D4&lt;&gt;""),IF(D4&gt;=corte,(B4="CRÍTICO")*1E9+(100000-D4)*10000+10000-ROW(),""),"")</f>
        <v/>
      </c>
      <c r="X4" s="8">
        <f>IF(AND(V4=1,D4=pas_data,E4=pas_turno),10000-ROW(),"")</f>
        <v/>
      </c>
    </row>
    <row r="5">
      <c r="A5" s="3">
        <f>IF(D5="","","TT-"&amp;TEXT(ROW()-1,"00000"))</f>
        <v/>
      </c>
      <c r="B5" s="3">
        <f>IF(D5="","",IF(V5=0,"CONCLUÍDO",IF(D5&lt;corte,"HISTÓRICO",IF(OR(AND(ISNUMBER(R5),R5&lt;TODAY()),AND(OR(N5="PENDENTE",N5="PARCIAL"),D5&lt;TODAY()-1)),"CRÍTICO",IF(OR(AND(P5&lt;&gt;"",S5=""),AND(N5="REALIZADO",M5="PENDENTE"),AND(ISNUMBER(R5),R5=TODAY())),"ATENÇÃO",IF(N(K5)=0,"PENDENTE","EM ANDAMENTO"))))))</f>
        <v/>
      </c>
      <c r="C5" s="3">
        <f>IF(D5="","",IF(V5=0,"🟢 OK",IF(D5&lt;corte,"⚪ HISTÓRICO (sem baixa)",IF(AND(ISNUMBER(R5),R5&lt;TODAY()),"🔴 PRAZO VENCIDO",IF(AND(OR(N5="PENDENTE",N5="PARCIAL"),D5&lt;TODAY()-1),"🔴 EMBARQUE ATRASADO",IF(AND(N5="REALIZADO",M5="PENDENTE"),"🟡 EMBARCADO SEM FATURAR",IF(AND(P5&lt;&gt;"",S5="",OR(Q5="",R5="")),"🟡 PENDÊNCIA SEM RESPONSÁVEL/PRAZO",IF(AND(ISNUMBER(R5),R5=TODAY()),"🟡 VENCE HOJE",IF(AND(P5&lt;&gt;"",S5=""),"🟡 PENDÊNCIA ABERTA",IF(AND(N(J5)&gt;0,N(K5)&lt;J5),"🟡 FALTA EXECUTAR",IF(OR(M5="PENDENTE",M5="PARCIAL"),"🟡 FATURAMENTO PENDENTE","🟡 EMBARQUE PENDENTE")))))))))))</f>
        <v/>
      </c>
      <c r="D5" s="4" t="n">
        <v>46223</v>
      </c>
      <c r="E5" s="5" t="inlineStr">
        <is>
          <t>A</t>
        </is>
      </c>
      <c r="F5" s="5" t="inlineStr">
        <is>
          <t>TATIANE</t>
        </is>
      </c>
      <c r="G5" s="5" t="inlineStr">
        <is>
          <t>BR15</t>
        </is>
      </c>
      <c r="H5" s="5" t="inlineStr">
        <is>
          <t>BR15</t>
        </is>
      </c>
      <c r="I5" s="5" t="inlineStr">
        <is>
          <t>TON</t>
        </is>
      </c>
      <c r="J5" s="6" t="n">
        <v>4.889</v>
      </c>
      <c r="K5" s="6" t="n">
        <v>4.889</v>
      </c>
      <c r="L5" s="7">
        <f>IF(OR(D5="",N(J5)=0),"",MIN(1,N(K5)/J5))</f>
        <v/>
      </c>
      <c r="M5" s="5" t="inlineStr">
        <is>
          <t>FATURADO</t>
        </is>
      </c>
      <c r="N5" s="5" t="inlineStr">
        <is>
          <t>REALIZADO</t>
        </is>
      </c>
      <c r="O5" s="5" t="inlineStr">
        <is>
          <t>SMARTLOG</t>
        </is>
      </c>
      <c r="P5" s="5" t="n"/>
      <c r="Q5" s="5" t="n"/>
      <c r="R5" s="4" t="n"/>
      <c r="S5" s="4" t="n"/>
      <c r="T5" s="5" t="inlineStr">
        <is>
          <t>CACAU FATURADO [MIGRAÇÃO: programação original: SEP. BR15]</t>
        </is>
      </c>
      <c r="U5" s="8">
        <f>IF(AND(V5=1,D5&lt;&gt;""),IF(D5&gt;=corte,TODAY()-D5,""),"")</f>
        <v/>
      </c>
      <c r="V5" s="8">
        <f>IF(D5="",0,IF(OR(AND(P5&lt;&gt;"",S5=""),AND(N(J5)&gt;0,N(K5)&lt;J5),OR(M5="PENDENTE",M5="PARCIAL"),OR(N5="PENDENTE",N5="PARCIAL")),1,0))</f>
        <v/>
      </c>
      <c r="W5" s="8">
        <f>IF(AND(V5=1,D5&lt;&gt;""),IF(D5&gt;=corte,(B5="CRÍTICO")*1E9+(100000-D5)*10000+10000-ROW(),""),"")</f>
        <v/>
      </c>
      <c r="X5" s="8">
        <f>IF(AND(V5=1,D5=pas_data,E5=pas_turno),10000-ROW(),"")</f>
        <v/>
      </c>
    </row>
    <row r="6">
      <c r="A6" s="3">
        <f>IF(D6="","","TT-"&amp;TEXT(ROW()-1,"00000"))</f>
        <v/>
      </c>
      <c r="B6" s="3">
        <f>IF(D6="","",IF(V6=0,"CONCLUÍDO",IF(D6&lt;corte,"HISTÓRICO",IF(OR(AND(ISNUMBER(R6),R6&lt;TODAY()),AND(OR(N6="PENDENTE",N6="PARCIAL"),D6&lt;TODAY()-1)),"CRÍTICO",IF(OR(AND(P6&lt;&gt;"",S6=""),AND(N6="REALIZADO",M6="PENDENTE"),AND(ISNUMBER(R6),R6=TODAY())),"ATENÇÃO",IF(N(K6)=0,"PENDENTE","EM ANDAMENTO"))))))</f>
        <v/>
      </c>
      <c r="C6" s="3">
        <f>IF(D6="","",IF(V6=0,"🟢 OK",IF(D6&lt;corte,"⚪ HISTÓRICO (sem baixa)",IF(AND(ISNUMBER(R6),R6&lt;TODAY()),"🔴 PRAZO VENCIDO",IF(AND(OR(N6="PENDENTE",N6="PARCIAL"),D6&lt;TODAY()-1),"🔴 EMBARQUE ATRASADO",IF(AND(N6="REALIZADO",M6="PENDENTE"),"🟡 EMBARCADO SEM FATURAR",IF(AND(P6&lt;&gt;"",S6="",OR(Q6="",R6="")),"🟡 PENDÊNCIA SEM RESPONSÁVEL/PRAZO",IF(AND(ISNUMBER(R6),R6=TODAY()),"🟡 VENCE HOJE",IF(AND(P6&lt;&gt;"",S6=""),"🟡 PENDÊNCIA ABERTA",IF(AND(N(J6)&gt;0,N(K6)&lt;J6),"🟡 FALTA EXECUTAR",IF(OR(M6="PENDENTE",M6="PARCIAL"),"🟡 FATURAMENTO PENDENTE","🟡 EMBARQUE PENDENTE")))))))))))</f>
        <v/>
      </c>
      <c r="D6" s="4" t="n">
        <v>46223</v>
      </c>
      <c r="E6" s="5" t="inlineStr">
        <is>
          <t>A</t>
        </is>
      </c>
      <c r="F6" s="5" t="inlineStr">
        <is>
          <t>TATIANE</t>
        </is>
      </c>
      <c r="G6" s="5" t="inlineStr">
        <is>
          <t>FM</t>
        </is>
      </c>
      <c r="H6" s="5" t="inlineStr">
        <is>
          <t>FM</t>
        </is>
      </c>
      <c r="I6" s="5" t="inlineStr">
        <is>
          <t>TON</t>
        </is>
      </c>
      <c r="J6" s="6" t="n">
        <v>12</v>
      </c>
      <c r="K6" s="6" t="n">
        <v>12</v>
      </c>
      <c r="L6" s="7">
        <f>IF(OR(D6="",N(J6)=0),"",MIN(1,N(K6)/J6))</f>
        <v/>
      </c>
      <c r="M6" s="5" t="inlineStr">
        <is>
          <t>FATURADO</t>
        </is>
      </c>
      <c r="N6" s="5" t="inlineStr">
        <is>
          <t>REALIZADO</t>
        </is>
      </c>
      <c r="O6" s="5" t="inlineStr">
        <is>
          <t>JSL</t>
        </is>
      </c>
      <c r="P6" s="5" t="inlineStr">
        <is>
          <t>GRANEL MAGUN DESCER PARA PESAR - EMAIL DE LACRES ENVIADO</t>
        </is>
      </c>
      <c r="Q6" s="5" t="n"/>
      <c r="R6" s="4" t="n"/>
      <c r="S6" s="4" t="n"/>
      <c r="T6" s="5" t="inlineStr">
        <is>
          <t>GRANEL MAGUN DESCER PARA PESAR - EMAIL DE LACRES ENVIADO</t>
        </is>
      </c>
      <c r="U6" s="8">
        <f>IF(AND(V6=1,D6&lt;&gt;""),IF(D6&gt;=corte,TODAY()-D6,""),"")</f>
        <v/>
      </c>
      <c r="V6" s="8">
        <f>IF(D6="",0,IF(OR(AND(P6&lt;&gt;"",S6=""),AND(N(J6)&gt;0,N(K6)&lt;J6),OR(M6="PENDENTE",M6="PARCIAL"),OR(N6="PENDENTE",N6="PARCIAL")),1,0))</f>
        <v/>
      </c>
      <c r="W6" s="8">
        <f>IF(AND(V6=1,D6&lt;&gt;""),IF(D6&gt;=corte,(B6="CRÍTICO")*1E9+(100000-D6)*10000+10000-ROW(),""),"")</f>
        <v/>
      </c>
      <c r="X6" s="8">
        <f>IF(AND(V6=1,D6=pas_data,E6=pas_turno),10000-ROW(),"")</f>
        <v/>
      </c>
    </row>
    <row r="7">
      <c r="A7" s="3">
        <f>IF(D7="","","TT-"&amp;TEXT(ROW()-1,"00000"))</f>
        <v/>
      </c>
      <c r="B7" s="3">
        <f>IF(D7="","",IF(V7=0,"CONCLUÍDO",IF(D7&lt;corte,"HISTÓRICO",IF(OR(AND(ISNUMBER(R7),R7&lt;TODAY()),AND(OR(N7="PENDENTE",N7="PARCIAL"),D7&lt;TODAY()-1)),"CRÍTICO",IF(OR(AND(P7&lt;&gt;"",S7=""),AND(N7="REALIZADO",M7="PENDENTE"),AND(ISNUMBER(R7),R7=TODAY())),"ATENÇÃO",IF(N(K7)=0,"PENDENTE","EM ANDAMENTO"))))))</f>
        <v/>
      </c>
      <c r="C7" s="3">
        <f>IF(D7="","",IF(V7=0,"🟢 OK",IF(D7&lt;corte,"⚪ HISTÓRICO (sem baixa)",IF(AND(ISNUMBER(R7),R7&lt;TODAY()),"🔴 PRAZO VENCIDO",IF(AND(OR(N7="PENDENTE",N7="PARCIAL"),D7&lt;TODAY()-1),"🔴 EMBARQUE ATRASADO",IF(AND(N7="REALIZADO",M7="PENDENTE"),"🟡 EMBARCADO SEM FATURAR",IF(AND(P7&lt;&gt;"",S7="",OR(Q7="",R7="")),"🟡 PENDÊNCIA SEM RESPONSÁVEL/PRAZO",IF(AND(ISNUMBER(R7),R7=TODAY()),"🟡 VENCE HOJE",IF(AND(P7&lt;&gt;"",S7=""),"🟡 PENDÊNCIA ABERTA",IF(AND(N(J7)&gt;0,N(K7)&lt;J7),"🟡 FALTA EXECUTAR",IF(OR(M7="PENDENTE",M7="PARCIAL"),"🟡 FATURAMENTO PENDENTE","🟡 EMBARQUE PENDENTE")))))))))))</f>
        <v/>
      </c>
      <c r="D7" s="4" t="n">
        <v>46223</v>
      </c>
      <c r="E7" s="5" t="inlineStr">
        <is>
          <t>A</t>
        </is>
      </c>
      <c r="F7" s="5" t="inlineStr">
        <is>
          <t>TATIANE</t>
        </is>
      </c>
      <c r="G7" s="5" t="inlineStr">
        <is>
          <t>TRANSFERÊNCIA</t>
        </is>
      </c>
      <c r="H7" s="5" t="inlineStr">
        <is>
          <t>NORDESTE</t>
        </is>
      </c>
      <c r="I7" s="5" t="inlineStr">
        <is>
          <t>TON</t>
        </is>
      </c>
      <c r="J7" s="6" t="n">
        <v>22.648</v>
      </c>
      <c r="K7" s="6" t="n">
        <v>22.648</v>
      </c>
      <c r="L7" s="7">
        <f>IF(OR(D7="",N(J7)=0),"",MIN(1,N(K7)/J7))</f>
        <v/>
      </c>
      <c r="M7" s="5" t="inlineStr">
        <is>
          <t>FATURADO</t>
        </is>
      </c>
      <c r="N7" s="5" t="inlineStr">
        <is>
          <t>REALIZADO</t>
        </is>
      </c>
      <c r="O7" s="5" t="inlineStr">
        <is>
          <t>SPEEDYLOG</t>
        </is>
      </c>
      <c r="P7" s="5" t="n"/>
      <c r="Q7" s="5" t="n"/>
      <c r="R7" s="4" t="n"/>
      <c r="S7" s="4" t="n"/>
      <c r="T7" s="5" t="inlineStr">
        <is>
          <t>EXPEDIDO [MIGRAÇÃO: programação original: TRANSF. MACEIO]</t>
        </is>
      </c>
      <c r="U7" s="8">
        <f>IF(AND(V7=1,D7&lt;&gt;""),IF(D7&gt;=corte,TODAY()-D7,""),"")</f>
        <v/>
      </c>
      <c r="V7" s="8">
        <f>IF(D7="",0,IF(OR(AND(P7&lt;&gt;"",S7=""),AND(N(J7)&gt;0,N(K7)&lt;J7),OR(M7="PENDENTE",M7="PARCIAL"),OR(N7="PENDENTE",N7="PARCIAL")),1,0))</f>
        <v/>
      </c>
      <c r="W7" s="8">
        <f>IF(AND(V7=1,D7&lt;&gt;""),IF(D7&gt;=corte,(B7="CRÍTICO")*1E9+(100000-D7)*10000+10000-ROW(),""),"")</f>
        <v/>
      </c>
      <c r="X7" s="8">
        <f>IF(AND(V7=1,D7=pas_data,E7=pas_turno),10000-ROW(),"")</f>
        <v/>
      </c>
    </row>
    <row r="8">
      <c r="A8" s="3">
        <f>IF(D8="","","TT-"&amp;TEXT(ROW()-1,"00000"))</f>
        <v/>
      </c>
      <c r="B8" s="3">
        <f>IF(D8="","",IF(V8=0,"CONCLUÍDO",IF(D8&lt;corte,"HISTÓRICO",IF(OR(AND(ISNUMBER(R8),R8&lt;TODAY()),AND(OR(N8="PENDENTE",N8="PARCIAL"),D8&lt;TODAY()-1)),"CRÍTICO",IF(OR(AND(P8&lt;&gt;"",S8=""),AND(N8="REALIZADO",M8="PENDENTE"),AND(ISNUMBER(R8),R8=TODAY())),"ATENÇÃO",IF(N(K8)=0,"PENDENTE","EM ANDAMENTO"))))))</f>
        <v/>
      </c>
      <c r="C8" s="3">
        <f>IF(D8="","",IF(V8=0,"🟢 OK",IF(D8&lt;corte,"⚪ HISTÓRICO (sem baixa)",IF(AND(ISNUMBER(R8),R8&lt;TODAY()),"🔴 PRAZO VENCIDO",IF(AND(OR(N8="PENDENTE",N8="PARCIAL"),D8&lt;TODAY()-1),"🔴 EMBARQUE ATRASADO",IF(AND(N8="REALIZADO",M8="PENDENTE"),"🟡 EMBARCADO SEM FATURAR",IF(AND(P8&lt;&gt;"",S8="",OR(Q8="",R8="")),"🟡 PENDÊNCIA SEM RESPONSÁVEL/PRAZO",IF(AND(ISNUMBER(R8),R8=TODAY()),"🟡 VENCE HOJE",IF(AND(P8&lt;&gt;"",S8=""),"🟡 PENDÊNCIA ABERTA",IF(AND(N(J8)&gt;0,N(K8)&lt;J8),"🟡 FALTA EXECUTAR",IF(OR(M8="PENDENTE",M8="PARCIAL"),"🟡 FATURAMENTO PENDENTE","🟡 EMBARQUE PENDENTE")))))))))))</f>
        <v/>
      </c>
      <c r="D8" s="4" t="n">
        <v>46223</v>
      </c>
      <c r="E8" s="5" t="inlineStr">
        <is>
          <t>A</t>
        </is>
      </c>
      <c r="F8" s="5" t="inlineStr">
        <is>
          <t>TATIANE</t>
        </is>
      </c>
      <c r="G8" s="5" t="inlineStr">
        <is>
          <t>RECEBIMENTO</t>
        </is>
      </c>
      <c r="H8" s="5" t="inlineStr">
        <is>
          <t>NORDESTE</t>
        </is>
      </c>
      <c r="I8" s="5" t="inlineStr">
        <is>
          <t>TON</t>
        </is>
      </c>
      <c r="J8" s="6" t="n">
        <v>15</v>
      </c>
      <c r="K8" s="6" t="n">
        <v>15</v>
      </c>
      <c r="L8" s="7">
        <f>IF(OR(D8="",N(J8)=0),"",MIN(1,N(K8)/J8))</f>
        <v/>
      </c>
      <c r="M8" s="5" t="inlineStr">
        <is>
          <t>FATURADO</t>
        </is>
      </c>
      <c r="N8" s="5" t="inlineStr">
        <is>
          <t>REALIZADO</t>
        </is>
      </c>
      <c r="O8" s="5" t="inlineStr">
        <is>
          <t>SPEEDYLOG</t>
        </is>
      </c>
      <c r="P8" s="5" t="inlineStr">
        <is>
          <t>FALTA DAR ENTRADA NAS NOTAS RECEBIMENTO MACEIO - ESTA NO RUBY - 21 PALETES</t>
        </is>
      </c>
      <c r="Q8" s="5" t="n"/>
      <c r="R8" s="4" t="n"/>
      <c r="S8" s="4" t="n"/>
      <c r="T8" s="5" t="inlineStr">
        <is>
          <t>FALTA DAR ENTRADA NAS NOTAS RECEBIMENTO MACEIO - ESTA NO RUBY - 21 PALETES [MIGRAÇÃO: programação original: REC. MACEIO]</t>
        </is>
      </c>
      <c r="U8" s="8">
        <f>IF(AND(V8=1,D8&lt;&gt;""),IF(D8&gt;=corte,TODAY()-D8,""),"")</f>
        <v/>
      </c>
      <c r="V8" s="8">
        <f>IF(D8="",0,IF(OR(AND(P8&lt;&gt;"",S8=""),AND(N(J8)&gt;0,N(K8)&lt;J8),OR(M8="PENDENTE",M8="PARCIAL"),OR(N8="PENDENTE",N8="PARCIAL")),1,0))</f>
        <v/>
      </c>
      <c r="W8" s="8">
        <f>IF(AND(V8=1,D8&lt;&gt;""),IF(D8&gt;=corte,(B8="CRÍTICO")*1E9+(100000-D8)*10000+10000-ROW(),""),"")</f>
        <v/>
      </c>
      <c r="X8" s="8">
        <f>IF(AND(V8=1,D8=pas_data,E8=pas_turno),10000-ROW(),"")</f>
        <v/>
      </c>
    </row>
    <row r="9">
      <c r="A9" s="3">
        <f>IF(D9="","","TT-"&amp;TEXT(ROW()-1,"00000"))</f>
        <v/>
      </c>
      <c r="B9" s="3">
        <f>IF(D9="","",IF(V9=0,"CONCLUÍDO",IF(D9&lt;corte,"HISTÓRICO",IF(OR(AND(ISNUMBER(R9),R9&lt;TODAY()),AND(OR(N9="PENDENTE",N9="PARCIAL"),D9&lt;TODAY()-1)),"CRÍTICO",IF(OR(AND(P9&lt;&gt;"",S9=""),AND(N9="REALIZADO",M9="PENDENTE"),AND(ISNUMBER(R9),R9=TODAY())),"ATENÇÃO",IF(N(K9)=0,"PENDENTE","EM ANDAMENTO"))))))</f>
        <v/>
      </c>
      <c r="C9" s="3">
        <f>IF(D9="","",IF(V9=0,"🟢 OK",IF(D9&lt;corte,"⚪ HISTÓRICO (sem baixa)",IF(AND(ISNUMBER(R9),R9&lt;TODAY()),"🔴 PRAZO VENCIDO",IF(AND(OR(N9="PENDENTE",N9="PARCIAL"),D9&lt;TODAY()-1),"🔴 EMBARQUE ATRASADO",IF(AND(N9="REALIZADO",M9="PENDENTE"),"🟡 EMBARCADO SEM FATURAR",IF(AND(P9&lt;&gt;"",S9="",OR(Q9="",R9="")),"🟡 PENDÊNCIA SEM RESPONSÁVEL/PRAZO",IF(AND(ISNUMBER(R9),R9=TODAY()),"🟡 VENCE HOJE",IF(AND(P9&lt;&gt;"",S9=""),"🟡 PENDÊNCIA ABERTA",IF(AND(N(J9)&gt;0,N(K9)&lt;J9),"🟡 FALTA EXECUTAR",IF(OR(M9="PENDENTE",M9="PARCIAL"),"🟡 FATURAMENTO PENDENTE","🟡 EMBARQUE PENDENTE")))))))))))</f>
        <v/>
      </c>
      <c r="D9" s="4" t="n">
        <v>46223</v>
      </c>
      <c r="E9" s="5" t="inlineStr">
        <is>
          <t>B</t>
        </is>
      </c>
      <c r="F9" s="5" t="inlineStr">
        <is>
          <t>THIAGO</t>
        </is>
      </c>
      <c r="G9" s="5" t="inlineStr">
        <is>
          <t>GM</t>
        </is>
      </c>
      <c r="H9" s="5" t="inlineStr">
        <is>
          <t>MG</t>
        </is>
      </c>
      <c r="I9" s="5" t="inlineStr">
        <is>
          <t>TON</t>
        </is>
      </c>
      <c r="J9" s="6" t="n">
        <v>11.856</v>
      </c>
      <c r="K9" s="6" t="n">
        <v>11.856</v>
      </c>
      <c r="L9" s="7">
        <f>IF(OR(D9="",N(J9)=0),"",MIN(1,N(K9)/J9))</f>
        <v/>
      </c>
      <c r="M9" s="5" t="inlineStr">
        <is>
          <t>FATURADO</t>
        </is>
      </c>
      <c r="N9" s="5" t="inlineStr">
        <is>
          <t>REALIZADO</t>
        </is>
      </c>
      <c r="O9" s="5" t="n"/>
      <c r="P9" s="5" t="inlineStr">
        <is>
          <t>SEPARADO FALTA CONFERENCIA</t>
        </is>
      </c>
      <c r="Q9" s="5" t="n"/>
      <c r="R9" s="4" t="n"/>
      <c r="S9" s="4" t="n"/>
      <c r="T9" s="5" t="inlineStr">
        <is>
          <t>SEPARADO FALTA CONFERENCIA</t>
        </is>
      </c>
      <c r="U9" s="8">
        <f>IF(AND(V9=1,D9&lt;&gt;""),IF(D9&gt;=corte,TODAY()-D9,""),"")</f>
        <v/>
      </c>
      <c r="V9" s="8">
        <f>IF(D9="",0,IF(OR(AND(P9&lt;&gt;"",S9=""),AND(N(J9)&gt;0,N(K9)&lt;J9),OR(M9="PENDENTE",M9="PARCIAL"),OR(N9="PENDENTE",N9="PARCIAL")),1,0))</f>
        <v/>
      </c>
      <c r="W9" s="8">
        <f>IF(AND(V9=1,D9&lt;&gt;""),IF(D9&gt;=corte,(B9="CRÍTICO")*1E9+(100000-D9)*10000+10000-ROW(),""),"")</f>
        <v/>
      </c>
      <c r="X9" s="8">
        <f>IF(AND(V9=1,D9=pas_data,E9=pas_turno),10000-ROW(),"")</f>
        <v/>
      </c>
    </row>
    <row r="10">
      <c r="A10" s="3">
        <f>IF(D10="","","TT-"&amp;TEXT(ROW()-1,"00000"))</f>
        <v/>
      </c>
      <c r="B10" s="3">
        <f>IF(D10="","",IF(V10=0,"CONCLUÍDO",IF(D10&lt;corte,"HISTÓRICO",IF(OR(AND(ISNUMBER(R10),R10&lt;TODAY()),AND(OR(N10="PENDENTE",N10="PARCIAL"),D10&lt;TODAY()-1)),"CRÍTICO",IF(OR(AND(P10&lt;&gt;"",S10=""),AND(N10="REALIZADO",M10="PENDENTE"),AND(ISNUMBER(R10),R10=TODAY())),"ATENÇÃO",IF(N(K10)=0,"PENDENTE","EM ANDAMENTO"))))))</f>
        <v/>
      </c>
      <c r="C10" s="3">
        <f>IF(D10="","",IF(V10=0,"🟢 OK",IF(D10&lt;corte,"⚪ HISTÓRICO (sem baixa)",IF(AND(ISNUMBER(R10),R10&lt;TODAY()),"🔴 PRAZO VENCIDO",IF(AND(OR(N10="PENDENTE",N10="PARCIAL"),D10&lt;TODAY()-1),"🔴 EMBARQUE ATRASADO",IF(AND(N10="REALIZADO",M10="PENDENTE"),"🟡 EMBARCADO SEM FATURAR",IF(AND(P10&lt;&gt;"",S10="",OR(Q10="",R10="")),"🟡 PENDÊNCIA SEM RESPONSÁVEL/PRAZO",IF(AND(ISNUMBER(R10),R10=TODAY()),"🟡 VENCE HOJE",IF(AND(P10&lt;&gt;"",S10=""),"🟡 PENDÊNCIA ABERTA",IF(AND(N(J10)&gt;0,N(K10)&lt;J10),"🟡 FALTA EXECUTAR",IF(OR(M10="PENDENTE",M10="PARCIAL"),"🟡 FATURAMENTO PENDENTE","🟡 EMBARQUE PENDENTE")))))))))))</f>
        <v/>
      </c>
      <c r="D10" s="4" t="n">
        <v>46223</v>
      </c>
      <c r="E10" s="5" t="inlineStr">
        <is>
          <t>B</t>
        </is>
      </c>
      <c r="F10" s="5" t="inlineStr">
        <is>
          <t>THIAGO</t>
        </is>
      </c>
      <c r="G10" s="5" t="inlineStr">
        <is>
          <t>GM</t>
        </is>
      </c>
      <c r="H10" s="5" t="inlineStr">
        <is>
          <t>AGENDAS SMART</t>
        </is>
      </c>
      <c r="I10" s="5" t="inlineStr">
        <is>
          <t>TON</t>
        </is>
      </c>
      <c r="J10" s="6" t="n">
        <v>5.825</v>
      </c>
      <c r="K10" s="6" t="n">
        <v>5.825</v>
      </c>
      <c r="L10" s="7">
        <f>IF(OR(D10="",N(J10)=0),"",MIN(1,N(K10)/J10))</f>
        <v/>
      </c>
      <c r="M10" s="5" t="inlineStr">
        <is>
          <t>FATURADO</t>
        </is>
      </c>
      <c r="N10" s="5" t="inlineStr">
        <is>
          <t>REALIZADO</t>
        </is>
      </c>
      <c r="O10" s="5" t="inlineStr">
        <is>
          <t>SMARTLOG</t>
        </is>
      </c>
      <c r="P10" s="5" t="n"/>
      <c r="Q10" s="5" t="n"/>
      <c r="R10" s="4" t="n"/>
      <c r="S10" s="4" t="n"/>
      <c r="T10" s="5" t="inlineStr">
        <is>
          <t>SMT004DI / SMT006DI</t>
        </is>
      </c>
      <c r="U10" s="8">
        <f>IF(AND(V10=1,D10&lt;&gt;""),IF(D10&gt;=corte,TODAY()-D10,""),"")</f>
        <v/>
      </c>
      <c r="V10" s="8">
        <f>IF(D10="",0,IF(OR(AND(P10&lt;&gt;"",S10=""),AND(N(J10)&gt;0,N(K10)&lt;J10),OR(M10="PENDENTE",M10="PARCIAL"),OR(N10="PENDENTE",N10="PARCIAL")),1,0))</f>
        <v/>
      </c>
      <c r="W10" s="8">
        <f>IF(AND(V10=1,D10&lt;&gt;""),IF(D10&gt;=corte,(B10="CRÍTICO")*1E9+(100000-D10)*10000+10000-ROW(),""),"")</f>
        <v/>
      </c>
      <c r="X10" s="8">
        <f>IF(AND(V10=1,D10=pas_data,E10=pas_turno),10000-ROW(),"")</f>
        <v/>
      </c>
    </row>
    <row r="11">
      <c r="A11" s="3">
        <f>IF(D11="","","TT-"&amp;TEXT(ROW()-1,"00000"))</f>
        <v/>
      </c>
      <c r="B11" s="3">
        <f>IF(D11="","",IF(V11=0,"CONCLUÍDO",IF(D11&lt;corte,"HISTÓRICO",IF(OR(AND(ISNUMBER(R11),R11&lt;TODAY()),AND(OR(N11="PENDENTE",N11="PARCIAL"),D11&lt;TODAY()-1)),"CRÍTICO",IF(OR(AND(P11&lt;&gt;"",S11=""),AND(N11="REALIZADO",M11="PENDENTE"),AND(ISNUMBER(R11),R11=TODAY())),"ATENÇÃO",IF(N(K11)=0,"PENDENTE","EM ANDAMENTO"))))))</f>
        <v/>
      </c>
      <c r="C11" s="3">
        <f>IF(D11="","",IF(V11=0,"🟢 OK",IF(D11&lt;corte,"⚪ HISTÓRICO (sem baixa)",IF(AND(ISNUMBER(R11),R11&lt;TODAY()),"🔴 PRAZO VENCIDO",IF(AND(OR(N11="PENDENTE",N11="PARCIAL"),D11&lt;TODAY()-1),"🔴 EMBARQUE ATRASADO",IF(AND(N11="REALIZADO",M11="PENDENTE"),"🟡 EMBARCADO SEM FATURAR",IF(AND(P11&lt;&gt;"",S11="",OR(Q11="",R11="")),"🟡 PENDÊNCIA SEM RESPONSÁVEL/PRAZO",IF(AND(ISNUMBER(R11),R11=TODAY()),"🟡 VENCE HOJE",IF(AND(P11&lt;&gt;"",S11=""),"🟡 PENDÊNCIA ABERTA",IF(AND(N(J11)&gt;0,N(K11)&lt;J11),"🟡 FALTA EXECUTAR",IF(OR(M11="PENDENTE",M11="PARCIAL"),"🟡 FATURAMENTO PENDENTE","🟡 EMBARQUE PENDENTE")))))))))))</f>
        <v/>
      </c>
      <c r="D11" s="4" t="n">
        <v>46223</v>
      </c>
      <c r="E11" s="5" t="inlineStr">
        <is>
          <t>B</t>
        </is>
      </c>
      <c r="F11" s="5" t="inlineStr">
        <is>
          <t>THIAGO</t>
        </is>
      </c>
      <c r="G11" s="5" t="inlineStr">
        <is>
          <t>FOB</t>
        </is>
      </c>
      <c r="H11" s="5" t="inlineStr">
        <is>
          <t>PROPRIO</t>
        </is>
      </c>
      <c r="I11" s="5" t="inlineStr">
        <is>
          <t>TON</t>
        </is>
      </c>
      <c r="J11" s="6" t="n">
        <v>69.065</v>
      </c>
      <c r="K11" s="6" t="n">
        <v>69.065</v>
      </c>
      <c r="L11" s="7">
        <f>IF(OR(D11="",N(J11)=0),"",MIN(1,N(K11)/J11))</f>
        <v/>
      </c>
      <c r="M11" s="5" t="inlineStr">
        <is>
          <t>FATURADO</t>
        </is>
      </c>
      <c r="N11" s="5" t="inlineStr">
        <is>
          <t>REALIZADO</t>
        </is>
      </c>
      <c r="O11" s="5" t="n"/>
      <c r="P11" s="5" t="n"/>
      <c r="Q11" s="5" t="n"/>
      <c r="R11" s="4" t="n"/>
      <c r="S11" s="4" t="n"/>
      <c r="T11" s="5" t="inlineStr">
        <is>
          <t>PRODUPAN / LUZIA MEIRE / BIBERFOODS</t>
        </is>
      </c>
      <c r="U11" s="8">
        <f>IF(AND(V11=1,D11&lt;&gt;""),IF(D11&gt;=corte,TODAY()-D11,""),"")</f>
        <v/>
      </c>
      <c r="V11" s="8">
        <f>IF(D11="",0,IF(OR(AND(P11&lt;&gt;"",S11=""),AND(N(J11)&gt;0,N(K11)&lt;J11),OR(M11="PENDENTE",M11="PARCIAL"),OR(N11="PENDENTE",N11="PARCIAL")),1,0))</f>
        <v/>
      </c>
      <c r="W11" s="8">
        <f>IF(AND(V11=1,D11&lt;&gt;""),IF(D11&gt;=corte,(B11="CRÍTICO")*1E9+(100000-D11)*10000+10000-ROW(),""),"")</f>
        <v/>
      </c>
      <c r="X11" s="8">
        <f>IF(AND(V11=1,D11=pas_data,E11=pas_turno),10000-ROW(),"")</f>
        <v/>
      </c>
    </row>
    <row r="12">
      <c r="A12" s="3">
        <f>IF(D12="","","TT-"&amp;TEXT(ROW()-1,"00000"))</f>
        <v/>
      </c>
      <c r="B12" s="3">
        <f>IF(D12="","",IF(V12=0,"CONCLUÍDO",IF(D12&lt;corte,"HISTÓRICO",IF(OR(AND(ISNUMBER(R12),R12&lt;TODAY()),AND(OR(N12="PENDENTE",N12="PARCIAL"),D12&lt;TODAY()-1)),"CRÍTICO",IF(OR(AND(P12&lt;&gt;"",S12=""),AND(N12="REALIZADO",M12="PENDENTE"),AND(ISNUMBER(R12),R12=TODAY())),"ATENÇÃO",IF(N(K12)=0,"PENDENTE","EM ANDAMENTO"))))))</f>
        <v/>
      </c>
      <c r="C12" s="3">
        <f>IF(D12="","",IF(V12=0,"🟢 OK",IF(D12&lt;corte,"⚪ HISTÓRICO (sem baixa)",IF(AND(ISNUMBER(R12),R12&lt;TODAY()),"🔴 PRAZO VENCIDO",IF(AND(OR(N12="PENDENTE",N12="PARCIAL"),D12&lt;TODAY()-1),"🔴 EMBARQUE ATRASADO",IF(AND(N12="REALIZADO",M12="PENDENTE"),"🟡 EMBARCADO SEM FATURAR",IF(AND(P12&lt;&gt;"",S12="",OR(Q12="",R12="")),"🟡 PENDÊNCIA SEM RESPONSÁVEL/PRAZO",IF(AND(ISNUMBER(R12),R12=TODAY()),"🟡 VENCE HOJE",IF(AND(P12&lt;&gt;"",S12=""),"🟡 PENDÊNCIA ABERTA",IF(AND(N(J12)&gt;0,N(K12)&lt;J12),"🟡 FALTA EXECUTAR",IF(OR(M12="PENDENTE",M12="PARCIAL"),"🟡 FATURAMENTO PENDENTE","🟡 EMBARQUE PENDENTE")))))))))))</f>
        <v/>
      </c>
      <c r="D12" s="4" t="n">
        <v>46223</v>
      </c>
      <c r="E12" s="5" t="inlineStr">
        <is>
          <t>B</t>
        </is>
      </c>
      <c r="F12" s="5" t="inlineStr">
        <is>
          <t>THIAGO</t>
        </is>
      </c>
      <c r="G12" s="5" t="inlineStr">
        <is>
          <t>FLOOR</t>
        </is>
      </c>
      <c r="H12" s="5" t="inlineStr">
        <is>
          <t>PRODUÇÃO</t>
        </is>
      </c>
      <c r="I12" s="5" t="inlineStr">
        <is>
          <t>PALETE</t>
        </is>
      </c>
      <c r="J12" s="6" t="n">
        <v>68</v>
      </c>
      <c r="K12" s="6" t="n">
        <v>68</v>
      </c>
      <c r="L12" s="7">
        <f>IF(OR(D12="",N(J12)=0),"",MIN(1,N(K12)/J12))</f>
        <v/>
      </c>
      <c r="M12" s="5" t="inlineStr">
        <is>
          <t>FATURADO</t>
        </is>
      </c>
      <c r="N12" s="5" t="inlineStr">
        <is>
          <t>REALIZADO</t>
        </is>
      </c>
      <c r="O12" s="5" t="n"/>
      <c r="P12" s="5" t="n"/>
      <c r="Q12" s="5" t="n"/>
      <c r="R12" s="4" t="n"/>
      <c r="S12" s="4" t="n"/>
      <c r="T12" s="5" t="n"/>
      <c r="U12" s="8">
        <f>IF(AND(V12=1,D12&lt;&gt;""),IF(D12&gt;=corte,TODAY()-D12,""),"")</f>
        <v/>
      </c>
      <c r="V12" s="8">
        <f>IF(D12="",0,IF(OR(AND(P12&lt;&gt;"",S12=""),AND(N(J12)&gt;0,N(K12)&lt;J12),OR(M12="PENDENTE",M12="PARCIAL"),OR(N12="PENDENTE",N12="PARCIAL")),1,0))</f>
        <v/>
      </c>
      <c r="W12" s="8">
        <f>IF(AND(V12=1,D12&lt;&gt;""),IF(D12&gt;=corte,(B12="CRÍTICO")*1E9+(100000-D12)*10000+10000-ROW(),""),"")</f>
        <v/>
      </c>
      <c r="X12" s="8">
        <f>IF(AND(V12=1,D12=pas_data,E12=pas_turno),10000-ROW(),"")</f>
        <v/>
      </c>
    </row>
    <row r="13">
      <c r="A13" s="3">
        <f>IF(D13="","","TT-"&amp;TEXT(ROW()-1,"00000"))</f>
        <v/>
      </c>
      <c r="B13" s="3">
        <f>IF(D13="","",IF(V13=0,"CONCLUÍDO",IF(D13&lt;corte,"HISTÓRICO",IF(OR(AND(ISNUMBER(R13),R13&lt;TODAY()),AND(OR(N13="PENDENTE",N13="PARCIAL"),D13&lt;TODAY()-1)),"CRÍTICO",IF(OR(AND(P13&lt;&gt;"",S13=""),AND(N13="REALIZADO",M13="PENDENTE"),AND(ISNUMBER(R13),R13=TODAY())),"ATENÇÃO",IF(N(K13)=0,"PENDENTE","EM ANDAMENTO"))))))</f>
        <v/>
      </c>
      <c r="C13" s="3">
        <f>IF(D13="","",IF(V13=0,"🟢 OK",IF(D13&lt;corte,"⚪ HISTÓRICO (sem baixa)",IF(AND(ISNUMBER(R13),R13&lt;TODAY()),"🔴 PRAZO VENCIDO",IF(AND(OR(N13="PENDENTE",N13="PARCIAL"),D13&lt;TODAY()-1),"🔴 EMBARQUE ATRASADO",IF(AND(N13="REALIZADO",M13="PENDENTE"),"🟡 EMBARCADO SEM FATURAR",IF(AND(P13&lt;&gt;"",S13="",OR(Q13="",R13="")),"🟡 PENDÊNCIA SEM RESPONSÁVEL/PRAZO",IF(AND(ISNUMBER(R13),R13=TODAY()),"🟡 VENCE HOJE",IF(AND(P13&lt;&gt;"",S13=""),"🟡 PENDÊNCIA ABERTA",IF(AND(N(J13)&gt;0,N(K13)&lt;J13),"🟡 FALTA EXECUTAR",IF(OR(M13="PENDENTE",M13="PARCIAL"),"🟡 FATURAMENTO PENDENTE","🟡 EMBARQUE PENDENTE")))))))))))</f>
        <v/>
      </c>
      <c r="D13" s="4" t="n">
        <v>46223</v>
      </c>
      <c r="E13" s="5" t="inlineStr">
        <is>
          <t>B</t>
        </is>
      </c>
      <c r="F13" s="5" t="inlineStr">
        <is>
          <t>THIAGO</t>
        </is>
      </c>
      <c r="G13" s="5" t="inlineStr">
        <is>
          <t>RECEBIMENTO</t>
        </is>
      </c>
      <c r="H13" s="5" t="inlineStr">
        <is>
          <t>MB0A</t>
        </is>
      </c>
      <c r="I13" s="5" t="inlineStr">
        <is>
          <t>PALETE</t>
        </is>
      </c>
      <c r="J13" s="6" t="n">
        <v>30</v>
      </c>
      <c r="K13" s="6" t="n">
        <v>30</v>
      </c>
      <c r="L13" s="7">
        <f>IF(OR(D13="",N(J13)=0),"",MIN(1,N(K13)/J13))</f>
        <v/>
      </c>
      <c r="M13" s="5" t="inlineStr">
        <is>
          <t>FATURADO</t>
        </is>
      </c>
      <c r="N13" s="5" t="inlineStr">
        <is>
          <t>REALIZADO</t>
        </is>
      </c>
      <c r="O13" s="5" t="n"/>
      <c r="P13" s="5" t="inlineStr">
        <is>
          <t>MOTO: PAULO MARCOS DESCARREGAR E CARREGAR</t>
        </is>
      </c>
      <c r="Q13" s="5" t="n"/>
      <c r="R13" s="4" t="n"/>
      <c r="S13" s="4" t="n"/>
      <c r="T13" s="5" t="inlineStr">
        <is>
          <t>MOTO: PAULO MARCOS DESCARREGAR E CARREGAR [MIGRAÇÃO: programação original: REC. MACEIO]</t>
        </is>
      </c>
      <c r="U13" s="8">
        <f>IF(AND(V13=1,D13&lt;&gt;""),IF(D13&gt;=corte,TODAY()-D13,""),"")</f>
        <v/>
      </c>
      <c r="V13" s="8">
        <f>IF(D13="",0,IF(OR(AND(P13&lt;&gt;"",S13=""),AND(N(J13)&gt;0,N(K13)&lt;J13),OR(M13="PENDENTE",M13="PARCIAL"),OR(N13="PENDENTE",N13="PARCIAL")),1,0))</f>
        <v/>
      </c>
      <c r="W13" s="8">
        <f>IF(AND(V13=1,D13&lt;&gt;""),IF(D13&gt;=corte,(B13="CRÍTICO")*1E9+(100000-D13)*10000+10000-ROW(),""),"")</f>
        <v/>
      </c>
      <c r="X13" s="8">
        <f>IF(AND(V13=1,D13=pas_data,E13=pas_turno),10000-ROW(),"")</f>
        <v/>
      </c>
    </row>
    <row r="14">
      <c r="A14" s="3">
        <f>IF(D14="","","TT-"&amp;TEXT(ROW()-1,"00000"))</f>
        <v/>
      </c>
      <c r="B14" s="3">
        <f>IF(D14="","",IF(V14=0,"CONCLUÍDO",IF(D14&lt;corte,"HISTÓRICO",IF(OR(AND(ISNUMBER(R14),R14&lt;TODAY()),AND(OR(N14="PENDENTE",N14="PARCIAL"),D14&lt;TODAY()-1)),"CRÍTICO",IF(OR(AND(P14&lt;&gt;"",S14=""),AND(N14="REALIZADO",M14="PENDENTE"),AND(ISNUMBER(R14),R14=TODAY())),"ATENÇÃO",IF(N(K14)=0,"PENDENTE","EM ANDAMENTO"))))))</f>
        <v/>
      </c>
      <c r="C14" s="3">
        <f>IF(D14="","",IF(V14=0,"🟢 OK",IF(D14&lt;corte,"⚪ HISTÓRICO (sem baixa)",IF(AND(ISNUMBER(R14),R14&lt;TODAY()),"🔴 PRAZO VENCIDO",IF(AND(OR(N14="PENDENTE",N14="PARCIAL"),D14&lt;TODAY()-1),"🔴 EMBARQUE ATRASADO",IF(AND(N14="REALIZADO",M14="PENDENTE"),"🟡 EMBARCADO SEM FATURAR",IF(AND(P14&lt;&gt;"",S14="",OR(Q14="",R14="")),"🟡 PENDÊNCIA SEM RESPONSÁVEL/PRAZO",IF(AND(ISNUMBER(R14),R14=TODAY()),"🟡 VENCE HOJE",IF(AND(P14&lt;&gt;"",S14=""),"🟡 PENDÊNCIA ABERTA",IF(AND(N(J14)&gt;0,N(K14)&lt;J14),"🟡 FALTA EXECUTAR",IF(OR(M14="PENDENTE",M14="PARCIAL"),"🟡 FATURAMENTO PENDENTE","🟡 EMBARQUE PENDENTE")))))))))))</f>
        <v/>
      </c>
      <c r="D14" s="4" t="n">
        <v>46223</v>
      </c>
      <c r="E14" s="5" t="inlineStr">
        <is>
          <t>B</t>
        </is>
      </c>
      <c r="F14" s="5" t="inlineStr">
        <is>
          <t>THIAGO</t>
        </is>
      </c>
      <c r="G14" s="5" t="inlineStr">
        <is>
          <t>GRANEL</t>
        </is>
      </c>
      <c r="H14" s="5" t="inlineStr">
        <is>
          <t>PESAR</t>
        </is>
      </c>
      <c r="I14" s="5" t="inlineStr">
        <is>
          <t>TON</t>
        </is>
      </c>
      <c r="J14" s="6" t="n">
        <v>12</v>
      </c>
      <c r="K14" s="6" t="n">
        <v>12</v>
      </c>
      <c r="L14" s="7">
        <f>IF(OR(D14="",N(J14)=0),"",MIN(1,N(K14)/J14))</f>
        <v/>
      </c>
      <c r="M14" s="5" t="inlineStr">
        <is>
          <t>FATURADO</t>
        </is>
      </c>
      <c r="N14" s="5" t="inlineStr">
        <is>
          <t>REALIZADO</t>
        </is>
      </c>
      <c r="O14" s="5" t="inlineStr">
        <is>
          <t>JSL</t>
        </is>
      </c>
      <c r="P14" s="5" t="inlineStr">
        <is>
          <t>GRANEL MAGUN DESCER PARA PESAR - EMAIL DE LACRES ENVIADO PENDENCIA DE CREDITO</t>
        </is>
      </c>
      <c r="Q14" s="5" t="n"/>
      <c r="R14" s="4" t="n"/>
      <c r="S14" s="4" t="n"/>
      <c r="T14" s="5" t="inlineStr">
        <is>
          <t>GRANEL MAGUN DESCER PARA PESAR - EMAIL DE LACRES ENVIADO PENDENCIA DE CREDITO</t>
        </is>
      </c>
      <c r="U14" s="8">
        <f>IF(AND(V14=1,D14&lt;&gt;""),IF(D14&gt;=corte,TODAY()-D14,""),"")</f>
        <v/>
      </c>
      <c r="V14" s="8">
        <f>IF(D14="",0,IF(OR(AND(P14&lt;&gt;"",S14=""),AND(N(J14)&gt;0,N(K14)&lt;J14),OR(M14="PENDENTE",M14="PARCIAL"),OR(N14="PENDENTE",N14="PARCIAL")),1,0))</f>
        <v/>
      </c>
      <c r="W14" s="8">
        <f>IF(AND(V14=1,D14&lt;&gt;""),IF(D14&gt;=corte,(B14="CRÍTICO")*1E9+(100000-D14)*10000+10000-ROW(),""),"")</f>
        <v/>
      </c>
      <c r="X14" s="8">
        <f>IF(AND(V14=1,D14=pas_data,E14=pas_turno),10000-ROW(),"")</f>
        <v/>
      </c>
    </row>
    <row r="15">
      <c r="A15" s="3">
        <f>IF(D15="","","TT-"&amp;TEXT(ROW()-1,"00000"))</f>
        <v/>
      </c>
      <c r="B15" s="3">
        <f>IF(D15="","",IF(V15=0,"CONCLUÍDO",IF(D15&lt;corte,"HISTÓRICO",IF(OR(AND(ISNUMBER(R15),R15&lt;TODAY()),AND(OR(N15="PENDENTE",N15="PARCIAL"),D15&lt;TODAY()-1)),"CRÍTICO",IF(OR(AND(P15&lt;&gt;"",S15=""),AND(N15="REALIZADO",M15="PENDENTE"),AND(ISNUMBER(R15),R15=TODAY())),"ATENÇÃO",IF(N(K15)=0,"PENDENTE","EM ANDAMENTO"))))))</f>
        <v/>
      </c>
      <c r="C15" s="3">
        <f>IF(D15="","",IF(V15=0,"🟢 OK",IF(D15&lt;corte,"⚪ HISTÓRICO (sem baixa)",IF(AND(ISNUMBER(R15),R15&lt;TODAY()),"🔴 PRAZO VENCIDO",IF(AND(OR(N15="PENDENTE",N15="PARCIAL"),D15&lt;TODAY()-1),"🔴 EMBARQUE ATRASADO",IF(AND(N15="REALIZADO",M15="PENDENTE"),"🟡 EMBARCADO SEM FATURAR",IF(AND(P15&lt;&gt;"",S15="",OR(Q15="",R15="")),"🟡 PENDÊNCIA SEM RESPONSÁVEL/PRAZO",IF(AND(ISNUMBER(R15),R15=TODAY()),"🟡 VENCE HOJE",IF(AND(P15&lt;&gt;"",S15=""),"🟡 PENDÊNCIA ABERTA",IF(AND(N(J15)&gt;0,N(K15)&lt;J15),"🟡 FALTA EXECUTAR",IF(OR(M15="PENDENTE",M15="PARCIAL"),"🟡 FATURAMENTO PENDENTE","🟡 EMBARQUE PENDENTE")))))))))))</f>
        <v/>
      </c>
      <c r="D15" s="4" t="n">
        <v>46223</v>
      </c>
      <c r="E15" s="5" t="inlineStr">
        <is>
          <t>B</t>
        </is>
      </c>
      <c r="F15" s="5" t="inlineStr">
        <is>
          <t>THIAGO</t>
        </is>
      </c>
      <c r="G15" s="5" t="inlineStr">
        <is>
          <t>FM</t>
        </is>
      </c>
      <c r="H15" s="5" t="inlineStr">
        <is>
          <t>PROPRIO</t>
        </is>
      </c>
      <c r="I15" s="5" t="inlineStr">
        <is>
          <t>TON</t>
        </is>
      </c>
      <c r="J15" s="6" t="n">
        <v>28.054</v>
      </c>
      <c r="K15" s="6" t="n">
        <v>28.054</v>
      </c>
      <c r="L15" s="7">
        <f>IF(OR(D15="",N(J15)=0),"",MIN(1,N(K15)/J15))</f>
        <v/>
      </c>
      <c r="M15" s="5" t="inlineStr">
        <is>
          <t>FATURADO</t>
        </is>
      </c>
      <c r="N15" s="5" t="inlineStr">
        <is>
          <t>REALIZADO</t>
        </is>
      </c>
      <c r="O15" s="5" t="inlineStr">
        <is>
          <t>SPEEDYLOG</t>
        </is>
      </c>
      <c r="P15" s="5" t="n"/>
      <c r="Q15" s="5" t="n"/>
      <c r="R15" s="4" t="n"/>
      <c r="S15" s="4" t="n"/>
      <c r="T15" s="5" t="inlineStr">
        <is>
          <t>PANDURATA</t>
        </is>
      </c>
      <c r="U15" s="8">
        <f>IF(AND(V15=1,D15&lt;&gt;""),IF(D15&gt;=corte,TODAY()-D15,""),"")</f>
        <v/>
      </c>
      <c r="V15" s="8">
        <f>IF(D15="",0,IF(OR(AND(P15&lt;&gt;"",S15=""),AND(N(J15)&gt;0,N(K15)&lt;J15),OR(M15="PENDENTE",M15="PARCIAL"),OR(N15="PENDENTE",N15="PARCIAL")),1,0))</f>
        <v/>
      </c>
      <c r="W15" s="8">
        <f>IF(AND(V15=1,D15&lt;&gt;""),IF(D15&gt;=corte,(B15="CRÍTICO")*1E9+(100000-D15)*10000+10000-ROW(),""),"")</f>
        <v/>
      </c>
      <c r="X15" s="8">
        <f>IF(AND(V15=1,D15=pas_data,E15=pas_turno),10000-ROW(),"")</f>
        <v/>
      </c>
    </row>
    <row r="16">
      <c r="A16" s="3">
        <f>IF(D16="","","TT-"&amp;TEXT(ROW()-1,"00000"))</f>
        <v/>
      </c>
      <c r="B16" s="3">
        <f>IF(D16="","",IF(V16=0,"CONCLUÍDO",IF(D16&lt;corte,"HISTÓRICO",IF(OR(AND(ISNUMBER(R16),R16&lt;TODAY()),AND(OR(N16="PENDENTE",N16="PARCIAL"),D16&lt;TODAY()-1)),"CRÍTICO",IF(OR(AND(P16&lt;&gt;"",S16=""),AND(N16="REALIZADO",M16="PENDENTE"),AND(ISNUMBER(R16),R16=TODAY())),"ATENÇÃO",IF(N(K16)=0,"PENDENTE","EM ANDAMENTO"))))))</f>
        <v/>
      </c>
      <c r="C16" s="3">
        <f>IF(D16="","",IF(V16=0,"🟢 OK",IF(D16&lt;corte,"⚪ HISTÓRICO (sem baixa)",IF(AND(ISNUMBER(R16),R16&lt;TODAY()),"🔴 PRAZO VENCIDO",IF(AND(OR(N16="PENDENTE",N16="PARCIAL"),D16&lt;TODAY()-1),"🔴 EMBARQUE ATRASADO",IF(AND(N16="REALIZADO",M16="PENDENTE"),"🟡 EMBARCADO SEM FATURAR",IF(AND(P16&lt;&gt;"",S16="",OR(Q16="",R16="")),"🟡 PENDÊNCIA SEM RESPONSÁVEL/PRAZO",IF(AND(ISNUMBER(R16),R16=TODAY()),"🟡 VENCE HOJE",IF(AND(P16&lt;&gt;"",S16=""),"🟡 PENDÊNCIA ABERTA",IF(AND(N(J16)&gt;0,N(K16)&lt;J16),"🟡 FALTA EXECUTAR",IF(OR(M16="PENDENTE",M16="PARCIAL"),"🟡 FATURAMENTO PENDENTE","🟡 EMBARQUE PENDENTE")))))))))))</f>
        <v/>
      </c>
      <c r="D16" s="4" t="n">
        <v>46223</v>
      </c>
      <c r="E16" s="5" t="inlineStr">
        <is>
          <t>B</t>
        </is>
      </c>
      <c r="F16" s="5" t="inlineStr">
        <is>
          <t>THIAGO</t>
        </is>
      </c>
      <c r="G16" s="5" t="inlineStr">
        <is>
          <t>GM</t>
        </is>
      </c>
      <c r="H16" s="5" t="inlineStr">
        <is>
          <t>RJ</t>
        </is>
      </c>
      <c r="I16" s="5" t="inlineStr">
        <is>
          <t>TON</t>
        </is>
      </c>
      <c r="J16" s="6" t="n">
        <v>14.428</v>
      </c>
      <c r="K16" s="6" t="n">
        <v>14.428</v>
      </c>
      <c r="L16" s="7">
        <f>IF(OR(D16="",N(J16)=0),"",MIN(1,N(K16)/J16))</f>
        <v/>
      </c>
      <c r="M16" s="5" t="inlineStr">
        <is>
          <t>FATURADO</t>
        </is>
      </c>
      <c r="N16" s="5" t="inlineStr">
        <is>
          <t>REALIZADO</t>
        </is>
      </c>
      <c r="O16" s="5" t="inlineStr">
        <is>
          <t>OMEGA X</t>
        </is>
      </c>
      <c r="P16" s="5" t="n"/>
      <c r="Q16" s="5" t="n"/>
      <c r="R16" s="4" t="n"/>
      <c r="S16" s="4" t="n"/>
      <c r="T16" s="5" t="inlineStr">
        <is>
          <t>EMBARCADO</t>
        </is>
      </c>
      <c r="U16" s="8">
        <f>IF(AND(V16=1,D16&lt;&gt;""),IF(D16&gt;=corte,TODAY()-D16,""),"")</f>
        <v/>
      </c>
      <c r="V16" s="8">
        <f>IF(D16="",0,IF(OR(AND(P16&lt;&gt;"",S16=""),AND(N(J16)&gt;0,N(K16)&lt;J16),OR(M16="PENDENTE",M16="PARCIAL"),OR(N16="PENDENTE",N16="PARCIAL")),1,0))</f>
        <v/>
      </c>
      <c r="W16" s="8">
        <f>IF(AND(V16=1,D16&lt;&gt;""),IF(D16&gt;=corte,(B16="CRÍTICO")*1E9+(100000-D16)*10000+10000-ROW(),""),"")</f>
        <v/>
      </c>
      <c r="X16" s="8">
        <f>IF(AND(V16=1,D16=pas_data,E16=pas_turno),10000-ROW(),"")</f>
        <v/>
      </c>
    </row>
    <row r="17">
      <c r="A17" s="3">
        <f>IF(D17="","","TT-"&amp;TEXT(ROW()-1,"00000"))</f>
        <v/>
      </c>
      <c r="B17" s="3">
        <f>IF(D17="","",IF(V17=0,"CONCLUÍDO",IF(D17&lt;corte,"HISTÓRICO",IF(OR(AND(ISNUMBER(R17),R17&lt;TODAY()),AND(OR(N17="PENDENTE",N17="PARCIAL"),D17&lt;TODAY()-1)),"CRÍTICO",IF(OR(AND(P17&lt;&gt;"",S17=""),AND(N17="REALIZADO",M17="PENDENTE"),AND(ISNUMBER(R17),R17=TODAY())),"ATENÇÃO",IF(N(K17)=0,"PENDENTE","EM ANDAMENTO"))))))</f>
        <v/>
      </c>
      <c r="C17" s="3">
        <f>IF(D17="","",IF(V17=0,"🟢 OK",IF(D17&lt;corte,"⚪ HISTÓRICO (sem baixa)",IF(AND(ISNUMBER(R17),R17&lt;TODAY()),"🔴 PRAZO VENCIDO",IF(AND(OR(N17="PENDENTE",N17="PARCIAL"),D17&lt;TODAY()-1),"🔴 EMBARQUE ATRASADO",IF(AND(N17="REALIZADO",M17="PENDENTE"),"🟡 EMBARCADO SEM FATURAR",IF(AND(P17&lt;&gt;"",S17="",OR(Q17="",R17="")),"🟡 PENDÊNCIA SEM RESPONSÁVEL/PRAZO",IF(AND(ISNUMBER(R17),R17=TODAY()),"🟡 VENCE HOJE",IF(AND(P17&lt;&gt;"",S17=""),"🟡 PENDÊNCIA ABERTA",IF(AND(N(J17)&gt;0,N(K17)&lt;J17),"🟡 FALTA EXECUTAR",IF(OR(M17="PENDENTE",M17="PARCIAL"),"🟡 FATURAMENTO PENDENTE","🟡 EMBARQUE PENDENTE")))))))))))</f>
        <v/>
      </c>
      <c r="D17" s="4" t="n">
        <v>46223</v>
      </c>
      <c r="E17" s="5" t="inlineStr">
        <is>
          <t>B</t>
        </is>
      </c>
      <c r="F17" s="5" t="inlineStr">
        <is>
          <t>THIAGO</t>
        </is>
      </c>
      <c r="G17" s="5" t="inlineStr">
        <is>
          <t>GRANEL</t>
        </is>
      </c>
      <c r="H17" s="5" t="inlineStr">
        <is>
          <t>PESAR</t>
        </is>
      </c>
      <c r="I17" s="5" t="inlineStr">
        <is>
          <t>TON</t>
        </is>
      </c>
      <c r="J17" s="6" t="n">
        <v>23.78</v>
      </c>
      <c r="K17" s="6" t="n">
        <v>23.78</v>
      </c>
      <c r="L17" s="7">
        <f>IF(OR(D17="",N(J17)=0),"",MIN(1,N(K17)/J17))</f>
        <v/>
      </c>
      <c r="M17" s="5" t="inlineStr">
        <is>
          <t>FATURADO</t>
        </is>
      </c>
      <c r="N17" s="5" t="inlineStr">
        <is>
          <t>REALIZADO</t>
        </is>
      </c>
      <c r="O17" s="5" t="inlineStr">
        <is>
          <t>JSL</t>
        </is>
      </c>
      <c r="P17" s="5" t="inlineStr">
        <is>
          <t>GRANEL BAUDUCCO CARREGADO FALTA PESAGEM</t>
        </is>
      </c>
      <c r="Q17" s="5" t="n"/>
      <c r="R17" s="4" t="n"/>
      <c r="S17" s="4" t="n"/>
      <c r="T17" s="5" t="inlineStr">
        <is>
          <t>GRANEL BAUDUCCO CARREGADO FALTA PESAGEM</t>
        </is>
      </c>
      <c r="U17" s="8">
        <f>IF(AND(V17=1,D17&lt;&gt;""),IF(D17&gt;=corte,TODAY()-D17,""),"")</f>
        <v/>
      </c>
      <c r="V17" s="8">
        <f>IF(D17="",0,IF(OR(AND(P17&lt;&gt;"",S17=""),AND(N(J17)&gt;0,N(K17)&lt;J17),OR(M17="PENDENTE",M17="PARCIAL"),OR(N17="PENDENTE",N17="PARCIAL")),1,0))</f>
        <v/>
      </c>
      <c r="W17" s="8">
        <f>IF(AND(V17=1,D17&lt;&gt;""),IF(D17&gt;=corte,(B17="CRÍTICO")*1E9+(100000-D17)*10000+10000-ROW(),""),"")</f>
        <v/>
      </c>
      <c r="X17" s="8">
        <f>IF(AND(V17=1,D17=pas_data,E17=pas_turno),10000-ROW(),"")</f>
        <v/>
      </c>
    </row>
    <row r="18">
      <c r="A18" s="3">
        <f>IF(D18="","","TT-"&amp;TEXT(ROW()-1,"00000"))</f>
        <v/>
      </c>
      <c r="B18" s="3">
        <f>IF(D18="","",IF(V18=0,"CONCLUÍDO",IF(D18&lt;corte,"HISTÓRICO",IF(OR(AND(ISNUMBER(R18),R18&lt;TODAY()),AND(OR(N18="PENDENTE",N18="PARCIAL"),D18&lt;TODAY()-1)),"CRÍTICO",IF(OR(AND(P18&lt;&gt;"",S18=""),AND(N18="REALIZADO",M18="PENDENTE"),AND(ISNUMBER(R18),R18=TODAY())),"ATENÇÃO",IF(N(K18)=0,"PENDENTE","EM ANDAMENTO"))))))</f>
        <v/>
      </c>
      <c r="C18" s="3">
        <f>IF(D18="","",IF(V18=0,"🟢 OK",IF(D18&lt;corte,"⚪ HISTÓRICO (sem baixa)",IF(AND(ISNUMBER(R18),R18&lt;TODAY()),"🔴 PRAZO VENCIDO",IF(AND(OR(N18="PENDENTE",N18="PARCIAL"),D18&lt;TODAY()-1),"🔴 EMBARQUE ATRASADO",IF(AND(N18="REALIZADO",M18="PENDENTE"),"🟡 EMBARCADO SEM FATURAR",IF(AND(P18&lt;&gt;"",S18="",OR(Q18="",R18="")),"🟡 PENDÊNCIA SEM RESPONSÁVEL/PRAZO",IF(AND(ISNUMBER(R18),R18=TODAY()),"🟡 VENCE HOJE",IF(AND(P18&lt;&gt;"",S18=""),"🟡 PENDÊNCIA ABERTA",IF(AND(N(J18)&gt;0,N(K18)&lt;J18),"🟡 FALTA EXECUTAR",IF(OR(M18="PENDENTE",M18="PARCIAL"),"🟡 FATURAMENTO PENDENTE","🟡 EMBARQUE PENDENTE")))))))))))</f>
        <v/>
      </c>
      <c r="D18" s="4" t="n">
        <v>46224</v>
      </c>
      <c r="E18" s="5" t="inlineStr">
        <is>
          <t>A</t>
        </is>
      </c>
      <c r="F18" s="5" t="inlineStr">
        <is>
          <t>TATIANE</t>
        </is>
      </c>
      <c r="G18" s="5" t="inlineStr">
        <is>
          <t>GRANEL</t>
        </is>
      </c>
      <c r="H18" s="5" t="inlineStr">
        <is>
          <t>PESAR</t>
        </is>
      </c>
      <c r="I18" s="5" t="inlineStr">
        <is>
          <t>TON</t>
        </is>
      </c>
      <c r="J18" s="6" t="n">
        <v>40.73</v>
      </c>
      <c r="K18" s="6" t="n">
        <v>40.73</v>
      </c>
      <c r="L18" s="7">
        <f>IF(OR(D18="",N(J18)=0),"",MIN(1,N(K18)/J18))</f>
        <v/>
      </c>
      <c r="M18" s="5" t="inlineStr">
        <is>
          <t>FATURADO</t>
        </is>
      </c>
      <c r="N18" s="5" t="inlineStr">
        <is>
          <t>REALIZADO</t>
        </is>
      </c>
      <c r="O18" s="5" t="inlineStr">
        <is>
          <t>JSL</t>
        </is>
      </c>
      <c r="P18" s="5" t="n"/>
      <c r="Q18" s="5" t="n"/>
      <c r="R18" s="4" t="n"/>
      <c r="S18" s="4" t="n"/>
      <c r="T18" s="5" t="inlineStr">
        <is>
          <t>GRANEL BAUDUCCO E MAGNUN FATURADOS E EXPEDIDOS</t>
        </is>
      </c>
      <c r="U18" s="8">
        <f>IF(AND(V18=1,D18&lt;&gt;""),IF(D18&gt;=corte,TODAY()-D18,""),"")</f>
        <v/>
      </c>
      <c r="V18" s="8">
        <f>IF(D18="",0,IF(OR(AND(P18&lt;&gt;"",S18=""),AND(N(J18)&gt;0,N(K18)&lt;J18),OR(M18="PENDENTE",M18="PARCIAL"),OR(N18="PENDENTE",N18="PARCIAL")),1,0))</f>
        <v/>
      </c>
      <c r="W18" s="8">
        <f>IF(AND(V18=1,D18&lt;&gt;""),IF(D18&gt;=corte,(B18="CRÍTICO")*1E9+(100000-D18)*10000+10000-ROW(),""),"")</f>
        <v/>
      </c>
      <c r="X18" s="8">
        <f>IF(AND(V18=1,D18=pas_data,E18=pas_turno),10000-ROW(),"")</f>
        <v/>
      </c>
    </row>
    <row r="19">
      <c r="A19" s="3">
        <f>IF(D19="","","TT-"&amp;TEXT(ROW()-1,"00000"))</f>
        <v/>
      </c>
      <c r="B19" s="3">
        <f>IF(D19="","",IF(V19=0,"CONCLUÍDO",IF(D19&lt;corte,"HISTÓRICO",IF(OR(AND(ISNUMBER(R19),R19&lt;TODAY()),AND(OR(N19="PENDENTE",N19="PARCIAL"),D19&lt;TODAY()-1)),"CRÍTICO",IF(OR(AND(P19&lt;&gt;"",S19=""),AND(N19="REALIZADO",M19="PENDENTE"),AND(ISNUMBER(R19),R19=TODAY())),"ATENÇÃO",IF(N(K19)=0,"PENDENTE","EM ANDAMENTO"))))))</f>
        <v/>
      </c>
      <c r="C19" s="3">
        <f>IF(D19="","",IF(V19=0,"🟢 OK",IF(D19&lt;corte,"⚪ HISTÓRICO (sem baixa)",IF(AND(ISNUMBER(R19),R19&lt;TODAY()),"🔴 PRAZO VENCIDO",IF(AND(OR(N19="PENDENTE",N19="PARCIAL"),D19&lt;TODAY()-1),"🔴 EMBARQUE ATRASADO",IF(AND(N19="REALIZADO",M19="PENDENTE"),"🟡 EMBARCADO SEM FATURAR",IF(AND(P19&lt;&gt;"",S19="",OR(Q19="",R19="")),"🟡 PENDÊNCIA SEM RESPONSÁVEL/PRAZO",IF(AND(ISNUMBER(R19),R19=TODAY()),"🟡 VENCE HOJE",IF(AND(P19&lt;&gt;"",S19=""),"🟡 PENDÊNCIA ABERTA",IF(AND(N(J19)&gt;0,N(K19)&lt;J19),"🟡 FALTA EXECUTAR",IF(OR(M19="PENDENTE",M19="PARCIAL"),"🟡 FATURAMENTO PENDENTE","🟡 EMBARQUE PENDENTE")))))))))))</f>
        <v/>
      </c>
      <c r="D19" s="4" t="n">
        <v>46224</v>
      </c>
      <c r="E19" s="5" t="inlineStr">
        <is>
          <t>A</t>
        </is>
      </c>
      <c r="F19" s="5" t="inlineStr">
        <is>
          <t>TATIANE</t>
        </is>
      </c>
      <c r="G19" s="5" t="inlineStr">
        <is>
          <t>GM</t>
        </is>
      </c>
      <c r="H19" s="5" t="inlineStr">
        <is>
          <t>SP CAP / INT</t>
        </is>
      </c>
      <c r="I19" s="5" t="inlineStr">
        <is>
          <t>TON</t>
        </is>
      </c>
      <c r="J19" s="6" t="n">
        <v>10.602</v>
      </c>
      <c r="K19" s="6" t="n">
        <v>10.602</v>
      </c>
      <c r="L19" s="7">
        <f>IF(OR(D19="",N(J19)=0),"",MIN(1,N(K19)/J19))</f>
        <v/>
      </c>
      <c r="M19" s="5" t="inlineStr">
        <is>
          <t>FATURADO</t>
        </is>
      </c>
      <c r="N19" s="5" t="inlineStr">
        <is>
          <t>REALIZADO</t>
        </is>
      </c>
      <c r="O19" s="5" t="n"/>
      <c r="P19" s="5" t="n"/>
      <c r="Q19" s="5" t="n"/>
      <c r="R19" s="4" t="n"/>
      <c r="S19" s="4" t="n"/>
      <c r="T19" s="5" t="n"/>
      <c r="U19" s="8">
        <f>IF(AND(V19=1,D19&lt;&gt;""),IF(D19&gt;=corte,TODAY()-D19,""),"")</f>
        <v/>
      </c>
      <c r="V19" s="8">
        <f>IF(D19="",0,IF(OR(AND(P19&lt;&gt;"",S19=""),AND(N(J19)&gt;0,N(K19)&lt;J19),OR(M19="PENDENTE",M19="PARCIAL"),OR(N19="PENDENTE",N19="PARCIAL")),1,0))</f>
        <v/>
      </c>
      <c r="W19" s="8">
        <f>IF(AND(V19=1,D19&lt;&gt;""),IF(D19&gt;=corte,(B19="CRÍTICO")*1E9+(100000-D19)*10000+10000-ROW(),""),"")</f>
        <v/>
      </c>
      <c r="X19" s="8">
        <f>IF(AND(V19=1,D19=pas_data,E19=pas_turno),10000-ROW(),"")</f>
        <v/>
      </c>
    </row>
    <row r="20">
      <c r="A20" s="3">
        <f>IF(D20="","","TT-"&amp;TEXT(ROW()-1,"00000"))</f>
        <v/>
      </c>
      <c r="B20" s="3">
        <f>IF(D20="","",IF(V20=0,"CONCLUÍDO",IF(D20&lt;corte,"HISTÓRICO",IF(OR(AND(ISNUMBER(R20),R20&lt;TODAY()),AND(OR(N20="PENDENTE",N20="PARCIAL"),D20&lt;TODAY()-1)),"CRÍTICO",IF(OR(AND(P20&lt;&gt;"",S20=""),AND(N20="REALIZADO",M20="PENDENTE"),AND(ISNUMBER(R20),R20=TODAY())),"ATENÇÃO",IF(N(K20)=0,"PENDENTE","EM ANDAMENTO"))))))</f>
        <v/>
      </c>
      <c r="C20" s="3">
        <f>IF(D20="","",IF(V20=0,"🟢 OK",IF(D20&lt;corte,"⚪ HISTÓRICO (sem baixa)",IF(AND(ISNUMBER(R20),R20&lt;TODAY()),"🔴 PRAZO VENCIDO",IF(AND(OR(N20="PENDENTE",N20="PARCIAL"),D20&lt;TODAY()-1),"🔴 EMBARQUE ATRASADO",IF(AND(N20="REALIZADO",M20="PENDENTE"),"🟡 EMBARCADO SEM FATURAR",IF(AND(P20&lt;&gt;"",S20="",OR(Q20="",R20="")),"🟡 PENDÊNCIA SEM RESPONSÁVEL/PRAZO",IF(AND(ISNUMBER(R20),R20=TODAY()),"🟡 VENCE HOJE",IF(AND(P20&lt;&gt;"",S20=""),"🟡 PENDÊNCIA ABERTA",IF(AND(N(J20)&gt;0,N(K20)&lt;J20),"🟡 FALTA EXECUTAR",IF(OR(M20="PENDENTE",M20="PARCIAL"),"🟡 FATURAMENTO PENDENTE","🟡 EMBARQUE PENDENTE")))))))))))</f>
        <v/>
      </c>
      <c r="D20" s="4" t="n">
        <v>46224</v>
      </c>
      <c r="E20" s="5" t="inlineStr">
        <is>
          <t>A</t>
        </is>
      </c>
      <c r="F20" s="5" t="inlineStr">
        <is>
          <t>TATIANE</t>
        </is>
      </c>
      <c r="G20" s="5" t="inlineStr">
        <is>
          <t>FM</t>
        </is>
      </c>
      <c r="H20" s="5" t="inlineStr">
        <is>
          <t>FM</t>
        </is>
      </c>
      <c r="I20" s="5" t="inlineStr">
        <is>
          <t>TON</t>
        </is>
      </c>
      <c r="J20" s="6" t="n">
        <v>13.508</v>
      </c>
      <c r="K20" s="6" t="n">
        <v>13.508</v>
      </c>
      <c r="L20" s="7">
        <f>IF(OR(D20="",N(J20)=0),"",MIN(1,N(K20)/J20))</f>
        <v/>
      </c>
      <c r="M20" s="5" t="inlineStr">
        <is>
          <t>FATURADO</t>
        </is>
      </c>
      <c r="N20" s="5" t="inlineStr">
        <is>
          <t>REALIZADO</t>
        </is>
      </c>
      <c r="O20" s="5" t="n"/>
      <c r="P20" s="5" t="n"/>
      <c r="Q20" s="5" t="n"/>
      <c r="R20" s="4" t="n"/>
      <c r="S20" s="4" t="n"/>
      <c r="T20" s="5" t="inlineStr">
        <is>
          <t>SÃO DUAS TRANSPORTADORAS SMART E SPEEDY - FATURADO PERFETTO E CPQ</t>
        </is>
      </c>
      <c r="U20" s="8">
        <f>IF(AND(V20=1,D20&lt;&gt;""),IF(D20&gt;=corte,TODAY()-D20,""),"")</f>
        <v/>
      </c>
      <c r="V20" s="8">
        <f>IF(D20="",0,IF(OR(AND(P20&lt;&gt;"",S20=""),AND(N(J20)&gt;0,N(K20)&lt;J20),OR(M20="PENDENTE",M20="PARCIAL"),OR(N20="PENDENTE",N20="PARCIAL")),1,0))</f>
        <v/>
      </c>
      <c r="W20" s="8">
        <f>IF(AND(V20=1,D20&lt;&gt;""),IF(D20&gt;=corte,(B20="CRÍTICO")*1E9+(100000-D20)*10000+10000-ROW(),""),"")</f>
        <v/>
      </c>
      <c r="X20" s="8">
        <f>IF(AND(V20=1,D20=pas_data,E20=pas_turno),10000-ROW(),"")</f>
        <v/>
      </c>
    </row>
    <row r="21">
      <c r="A21" s="3">
        <f>IF(D21="","","TT-"&amp;TEXT(ROW()-1,"00000"))</f>
        <v/>
      </c>
      <c r="B21" s="3">
        <f>IF(D21="","",IF(V21=0,"CONCLUÍDO",IF(D21&lt;corte,"HISTÓRICO",IF(OR(AND(ISNUMBER(R21),R21&lt;TODAY()),AND(OR(N21="PENDENTE",N21="PARCIAL"),D21&lt;TODAY()-1)),"CRÍTICO",IF(OR(AND(P21&lt;&gt;"",S21=""),AND(N21="REALIZADO",M21="PENDENTE"),AND(ISNUMBER(R21),R21=TODAY())),"ATENÇÃO",IF(N(K21)=0,"PENDENTE","EM ANDAMENTO"))))))</f>
        <v/>
      </c>
      <c r="C21" s="3">
        <f>IF(D21="","",IF(V21=0,"🟢 OK",IF(D21&lt;corte,"⚪ HISTÓRICO (sem baixa)",IF(AND(ISNUMBER(R21),R21&lt;TODAY()),"🔴 PRAZO VENCIDO",IF(AND(OR(N21="PENDENTE",N21="PARCIAL"),D21&lt;TODAY()-1),"🔴 EMBARQUE ATRASADO",IF(AND(N21="REALIZADO",M21="PENDENTE"),"🟡 EMBARCADO SEM FATURAR",IF(AND(P21&lt;&gt;"",S21="",OR(Q21="",R21="")),"🟡 PENDÊNCIA SEM RESPONSÁVEL/PRAZO",IF(AND(ISNUMBER(R21),R21=TODAY()),"🟡 VENCE HOJE",IF(AND(P21&lt;&gt;"",S21=""),"🟡 PENDÊNCIA ABERTA",IF(AND(N(J21)&gt;0,N(K21)&lt;J21),"🟡 FALTA EXECUTAR",IF(OR(M21="PENDENTE",M21="PARCIAL"),"🟡 FATURAMENTO PENDENTE","🟡 EMBARQUE PENDENTE")))))))))))</f>
        <v/>
      </c>
      <c r="D21" s="4" t="n">
        <v>46224</v>
      </c>
      <c r="E21" s="5" t="inlineStr">
        <is>
          <t>A</t>
        </is>
      </c>
      <c r="F21" s="5" t="inlineStr">
        <is>
          <t>TATIANE</t>
        </is>
      </c>
      <c r="G21" s="5" t="inlineStr">
        <is>
          <t>BR15</t>
        </is>
      </c>
      <c r="H21" s="5" t="inlineStr">
        <is>
          <t>BR15</t>
        </is>
      </c>
      <c r="I21" s="5" t="inlineStr">
        <is>
          <t>TON</t>
        </is>
      </c>
      <c r="J21" s="6" t="n">
        <v>40.776</v>
      </c>
      <c r="K21" s="6" t="n">
        <v>40.776</v>
      </c>
      <c r="L21" s="7">
        <f>IF(OR(D21="",N(J21)=0),"",MIN(1,N(K21)/J21))</f>
        <v/>
      </c>
      <c r="M21" s="5" t="inlineStr">
        <is>
          <t>FATURADO</t>
        </is>
      </c>
      <c r="N21" s="5" t="inlineStr">
        <is>
          <t>REALIZADO</t>
        </is>
      </c>
      <c r="O21" s="5" t="inlineStr">
        <is>
          <t>SMARTLOG</t>
        </is>
      </c>
      <c r="P21" s="5" t="n"/>
      <c r="Q21" s="5" t="n"/>
      <c r="R21" s="4" t="n"/>
      <c r="S21" s="4" t="n"/>
      <c r="T21" s="5" t="inlineStr">
        <is>
          <t>EXPEDIDO PARCIAL FOB [MIGRAÇÃO: programação original: SEP. BR15]</t>
        </is>
      </c>
      <c r="U21" s="8">
        <f>IF(AND(V21=1,D21&lt;&gt;""),IF(D21&gt;=corte,TODAY()-D21,""),"")</f>
        <v/>
      </c>
      <c r="V21" s="8">
        <f>IF(D21="",0,IF(OR(AND(P21&lt;&gt;"",S21=""),AND(N(J21)&gt;0,N(K21)&lt;J21),OR(M21="PENDENTE",M21="PARCIAL"),OR(N21="PENDENTE",N21="PARCIAL")),1,0))</f>
        <v/>
      </c>
      <c r="W21" s="8">
        <f>IF(AND(V21=1,D21&lt;&gt;""),IF(D21&gt;=corte,(B21="CRÍTICO")*1E9+(100000-D21)*10000+10000-ROW(),""),"")</f>
        <v/>
      </c>
      <c r="X21" s="8">
        <f>IF(AND(V21=1,D21=pas_data,E21=pas_turno),10000-ROW(),"")</f>
        <v/>
      </c>
    </row>
    <row r="22">
      <c r="A22" s="3">
        <f>IF(D22="","","TT-"&amp;TEXT(ROW()-1,"00000"))</f>
        <v/>
      </c>
      <c r="B22" s="3">
        <f>IF(D22="","",IF(V22=0,"CONCLUÍDO",IF(D22&lt;corte,"HISTÓRICO",IF(OR(AND(ISNUMBER(R22),R22&lt;TODAY()),AND(OR(N22="PENDENTE",N22="PARCIAL"),D22&lt;TODAY()-1)),"CRÍTICO",IF(OR(AND(P22&lt;&gt;"",S22=""),AND(N22="REALIZADO",M22="PENDENTE"),AND(ISNUMBER(R22),R22=TODAY())),"ATENÇÃO",IF(N(K22)=0,"PENDENTE","EM ANDAMENTO"))))))</f>
        <v/>
      </c>
      <c r="C22" s="3">
        <f>IF(D22="","",IF(V22=0,"🟢 OK",IF(D22&lt;corte,"⚪ HISTÓRICO (sem baixa)",IF(AND(ISNUMBER(R22),R22&lt;TODAY()),"🔴 PRAZO VENCIDO",IF(AND(OR(N22="PENDENTE",N22="PARCIAL"),D22&lt;TODAY()-1),"🔴 EMBARQUE ATRASADO",IF(AND(N22="REALIZADO",M22="PENDENTE"),"🟡 EMBARCADO SEM FATURAR",IF(AND(P22&lt;&gt;"",S22="",OR(Q22="",R22="")),"🟡 PENDÊNCIA SEM RESPONSÁVEL/PRAZO",IF(AND(ISNUMBER(R22),R22=TODAY()),"🟡 VENCE HOJE",IF(AND(P22&lt;&gt;"",S22=""),"🟡 PENDÊNCIA ABERTA",IF(AND(N(J22)&gt;0,N(K22)&lt;J22),"🟡 FALTA EXECUTAR",IF(OR(M22="PENDENTE",M22="PARCIAL"),"🟡 FATURAMENTO PENDENTE","🟡 EMBARQUE PENDENTE")))))))))))</f>
        <v/>
      </c>
      <c r="D22" s="4" t="n">
        <v>46224</v>
      </c>
      <c r="E22" s="5" t="inlineStr">
        <is>
          <t>A</t>
        </is>
      </c>
      <c r="F22" s="5" t="inlineStr">
        <is>
          <t>TATIANE</t>
        </is>
      </c>
      <c r="G22" s="5" t="inlineStr">
        <is>
          <t>FOB</t>
        </is>
      </c>
      <c r="H22" s="5" t="inlineStr">
        <is>
          <t>PROPRIO</t>
        </is>
      </c>
      <c r="I22" s="5" t="inlineStr">
        <is>
          <t>TON</t>
        </is>
      </c>
      <c r="J22" s="6" t="n">
        <v>86.97499999999999</v>
      </c>
      <c r="K22" s="6" t="n">
        <v>86.97499999999999</v>
      </c>
      <c r="L22" s="7">
        <f>IF(OR(D22="",N(J22)=0),"",MIN(1,N(K22)/J22))</f>
        <v/>
      </c>
      <c r="M22" s="5" t="inlineStr">
        <is>
          <t>FATURADO</t>
        </is>
      </c>
      <c r="N22" s="5" t="inlineStr">
        <is>
          <t>REALIZADO</t>
        </is>
      </c>
      <c r="O22" s="5" t="inlineStr">
        <is>
          <t>PRÓPRIO</t>
        </is>
      </c>
      <c r="P22" s="5" t="n"/>
      <c r="Q22" s="5" t="n"/>
      <c r="R22" s="4" t="n"/>
      <c r="S22" s="4" t="n"/>
      <c r="T22" s="5" t="n"/>
      <c r="U22" s="8">
        <f>IF(AND(V22=1,D22&lt;&gt;""),IF(D22&gt;=corte,TODAY()-D22,""),"")</f>
        <v/>
      </c>
      <c r="V22" s="8">
        <f>IF(D22="",0,IF(OR(AND(P22&lt;&gt;"",S22=""),AND(N(J22)&gt;0,N(K22)&lt;J22),OR(M22="PENDENTE",M22="PARCIAL"),OR(N22="PENDENTE",N22="PARCIAL")),1,0))</f>
        <v/>
      </c>
      <c r="W22" s="8">
        <f>IF(AND(V22=1,D22&lt;&gt;""),IF(D22&gt;=corte,(B22="CRÍTICO")*1E9+(100000-D22)*10000+10000-ROW(),""),"")</f>
        <v/>
      </c>
      <c r="X22" s="8">
        <f>IF(AND(V22=1,D22=pas_data,E22=pas_turno),10000-ROW(),"")</f>
        <v/>
      </c>
    </row>
    <row r="23">
      <c r="A23" s="3">
        <f>IF(D23="","","TT-"&amp;TEXT(ROW()-1,"00000"))</f>
        <v/>
      </c>
      <c r="B23" s="3">
        <f>IF(D23="","",IF(V23=0,"CONCLUÍDO",IF(D23&lt;corte,"HISTÓRICO",IF(OR(AND(ISNUMBER(R23),R23&lt;TODAY()),AND(OR(N23="PENDENTE",N23="PARCIAL"),D23&lt;TODAY()-1)),"CRÍTICO",IF(OR(AND(P23&lt;&gt;"",S23=""),AND(N23="REALIZADO",M23="PENDENTE"),AND(ISNUMBER(R23),R23=TODAY())),"ATENÇÃO",IF(N(K23)=0,"PENDENTE","EM ANDAMENTO"))))))</f>
        <v/>
      </c>
      <c r="C23" s="3">
        <f>IF(D23="","",IF(V23=0,"🟢 OK",IF(D23&lt;corte,"⚪ HISTÓRICO (sem baixa)",IF(AND(ISNUMBER(R23),R23&lt;TODAY()),"🔴 PRAZO VENCIDO",IF(AND(OR(N23="PENDENTE",N23="PARCIAL"),D23&lt;TODAY()-1),"🔴 EMBARQUE ATRASADO",IF(AND(N23="REALIZADO",M23="PENDENTE"),"🟡 EMBARCADO SEM FATURAR",IF(AND(P23&lt;&gt;"",S23="",OR(Q23="",R23="")),"🟡 PENDÊNCIA SEM RESPONSÁVEL/PRAZO",IF(AND(ISNUMBER(R23),R23=TODAY()),"🟡 VENCE HOJE",IF(AND(P23&lt;&gt;"",S23=""),"🟡 PENDÊNCIA ABERTA",IF(AND(N(J23)&gt;0,N(K23)&lt;J23),"🟡 FALTA EXECUTAR",IF(OR(M23="PENDENTE",M23="PARCIAL"),"🟡 FATURAMENTO PENDENTE","🟡 EMBARQUE PENDENTE")))))))))))</f>
        <v/>
      </c>
      <c r="D23" s="4" t="n">
        <v>46224</v>
      </c>
      <c r="E23" s="5" t="inlineStr">
        <is>
          <t>A</t>
        </is>
      </c>
      <c r="F23" s="5" t="inlineStr">
        <is>
          <t>TATIANE</t>
        </is>
      </c>
      <c r="G23" s="5" t="inlineStr">
        <is>
          <t>EXPORTAÇÃO</t>
        </is>
      </c>
      <c r="H23" s="5" t="inlineStr">
        <is>
          <t>EXPORTAÇÃO</t>
        </is>
      </c>
      <c r="I23" s="5" t="inlineStr">
        <is>
          <t>TON</t>
        </is>
      </c>
      <c r="J23" s="6" t="n">
        <v>8.377000000000001</v>
      </c>
      <c r="K23" s="6" t="n">
        <v>8.377000000000001</v>
      </c>
      <c r="L23" s="7">
        <f>IF(OR(D23="",N(J23)=0),"",MIN(1,N(K23)/J23))</f>
        <v/>
      </c>
      <c r="M23" s="5" t="inlineStr">
        <is>
          <t>FATURADO</t>
        </is>
      </c>
      <c r="N23" s="5" t="inlineStr">
        <is>
          <t>REALIZADO</t>
        </is>
      </c>
      <c r="O23" s="5" t="inlineStr">
        <is>
          <t>PRÓPRIO</t>
        </is>
      </c>
      <c r="P23" s="5" t="n"/>
      <c r="Q23" s="5" t="n"/>
      <c r="R23" s="4" t="n"/>
      <c r="S23" s="4" t="n"/>
      <c r="T23" s="5" t="inlineStr">
        <is>
          <t>EXPORTAÇÃO UNPAR EXPEDIDA</t>
        </is>
      </c>
      <c r="U23" s="8">
        <f>IF(AND(V23=1,D23&lt;&gt;""),IF(D23&gt;=corte,TODAY()-D23,""),"")</f>
        <v/>
      </c>
      <c r="V23" s="8">
        <f>IF(D23="",0,IF(OR(AND(P23&lt;&gt;"",S23=""),AND(N(J23)&gt;0,N(K23)&lt;J23),OR(M23="PENDENTE",M23="PARCIAL"),OR(N23="PENDENTE",N23="PARCIAL")),1,0))</f>
        <v/>
      </c>
      <c r="W23" s="8">
        <f>IF(AND(V23=1,D23&lt;&gt;""),IF(D23&gt;=corte,(B23="CRÍTICO")*1E9+(100000-D23)*10000+10000-ROW(),""),"")</f>
        <v/>
      </c>
      <c r="X23" s="8">
        <f>IF(AND(V23=1,D23=pas_data,E23=pas_turno),10000-ROW(),"")</f>
        <v/>
      </c>
    </row>
    <row r="24">
      <c r="A24" s="3">
        <f>IF(D24="","","TT-"&amp;TEXT(ROW()-1,"00000"))</f>
        <v/>
      </c>
      <c r="B24" s="3">
        <f>IF(D24="","",IF(V24=0,"CONCLUÍDO",IF(D24&lt;corte,"HISTÓRICO",IF(OR(AND(ISNUMBER(R24),R24&lt;TODAY()),AND(OR(N24="PENDENTE",N24="PARCIAL"),D24&lt;TODAY()-1)),"CRÍTICO",IF(OR(AND(P24&lt;&gt;"",S24=""),AND(N24="REALIZADO",M24="PENDENTE"),AND(ISNUMBER(R24),R24=TODAY())),"ATENÇÃO",IF(N(K24)=0,"PENDENTE","EM ANDAMENTO"))))))</f>
        <v/>
      </c>
      <c r="C24" s="3">
        <f>IF(D24="","",IF(V24=0,"🟢 OK",IF(D24&lt;corte,"⚪ HISTÓRICO (sem baixa)",IF(AND(ISNUMBER(R24),R24&lt;TODAY()),"🔴 PRAZO VENCIDO",IF(AND(OR(N24="PENDENTE",N24="PARCIAL"),D24&lt;TODAY()-1),"🔴 EMBARQUE ATRASADO",IF(AND(N24="REALIZADO",M24="PENDENTE"),"🟡 EMBARCADO SEM FATURAR",IF(AND(P24&lt;&gt;"",S24="",OR(Q24="",R24="")),"🟡 PENDÊNCIA SEM RESPONSÁVEL/PRAZO",IF(AND(ISNUMBER(R24),R24=TODAY()),"🟡 VENCE HOJE",IF(AND(P24&lt;&gt;"",S24=""),"🟡 PENDÊNCIA ABERTA",IF(AND(N(J24)&gt;0,N(K24)&lt;J24),"🟡 FALTA EXECUTAR",IF(OR(M24="PENDENTE",M24="PARCIAL"),"🟡 FATURAMENTO PENDENTE","🟡 EMBARQUE PENDENTE")))))))))))</f>
        <v/>
      </c>
      <c r="D24" s="4" t="n">
        <v>46224</v>
      </c>
      <c r="E24" s="5" t="inlineStr">
        <is>
          <t>A</t>
        </is>
      </c>
      <c r="F24" s="5" t="inlineStr">
        <is>
          <t>TATIANE</t>
        </is>
      </c>
      <c r="G24" s="5" t="inlineStr">
        <is>
          <t>GM</t>
        </is>
      </c>
      <c r="H24" s="5" t="inlineStr">
        <is>
          <t>MG</t>
        </is>
      </c>
      <c r="I24" s="5" t="inlineStr">
        <is>
          <t>TON</t>
        </is>
      </c>
      <c r="J24" s="6" t="n">
        <v>11.856</v>
      </c>
      <c r="K24" s="6" t="n">
        <v>11.856</v>
      </c>
      <c r="L24" s="7">
        <f>IF(OR(D24="",N(J24)=0),"",MIN(1,N(K24)/J24))</f>
        <v/>
      </c>
      <c r="M24" s="5" t="inlineStr">
        <is>
          <t>FATURADO</t>
        </is>
      </c>
      <c r="N24" s="5" t="inlineStr">
        <is>
          <t>REALIZADO</t>
        </is>
      </c>
      <c r="O24" s="5" t="inlineStr">
        <is>
          <t>BORA</t>
        </is>
      </c>
      <c r="P24" s="5" t="inlineStr">
        <is>
          <t>MOTORISTA ANTONIO - NA PORTARIA</t>
        </is>
      </c>
      <c r="Q24" s="5" t="n"/>
      <c r="R24" s="4" t="n"/>
      <c r="S24" s="4" t="n"/>
      <c r="T24" s="5" t="inlineStr">
        <is>
          <t>MOTORISTA ANTONIO - NA PORTARIA</t>
        </is>
      </c>
      <c r="U24" s="8">
        <f>IF(AND(V24=1,D24&lt;&gt;""),IF(D24&gt;=corte,TODAY()-D24,""),"")</f>
        <v/>
      </c>
      <c r="V24" s="8">
        <f>IF(D24="",0,IF(OR(AND(P24&lt;&gt;"",S24=""),AND(N(J24)&gt;0,N(K24)&lt;J24),OR(M24="PENDENTE",M24="PARCIAL"),OR(N24="PENDENTE",N24="PARCIAL")),1,0))</f>
        <v/>
      </c>
      <c r="W24" s="8">
        <f>IF(AND(V24=1,D24&lt;&gt;""),IF(D24&gt;=corte,(B24="CRÍTICO")*1E9+(100000-D24)*10000+10000-ROW(),""),"")</f>
        <v/>
      </c>
      <c r="X24" s="8">
        <f>IF(AND(V24=1,D24=pas_data,E24=pas_turno),10000-ROW(),"")</f>
        <v/>
      </c>
    </row>
    <row r="25">
      <c r="A25" s="3">
        <f>IF(D25="","","TT-"&amp;TEXT(ROW()-1,"00000"))</f>
        <v/>
      </c>
      <c r="B25" s="3">
        <f>IF(D25="","",IF(V25=0,"CONCLUÍDO",IF(D25&lt;corte,"HISTÓRICO",IF(OR(AND(ISNUMBER(R25),R25&lt;TODAY()),AND(OR(N25="PENDENTE",N25="PARCIAL"),D25&lt;TODAY()-1)),"CRÍTICO",IF(OR(AND(P25&lt;&gt;"",S25=""),AND(N25="REALIZADO",M25="PENDENTE"),AND(ISNUMBER(R25),R25=TODAY())),"ATENÇÃO",IF(N(K25)=0,"PENDENTE","EM ANDAMENTO"))))))</f>
        <v/>
      </c>
      <c r="C25" s="3">
        <f>IF(D25="","",IF(V25=0,"🟢 OK",IF(D25&lt;corte,"⚪ HISTÓRICO (sem baixa)",IF(AND(ISNUMBER(R25),R25&lt;TODAY()),"🔴 PRAZO VENCIDO",IF(AND(OR(N25="PENDENTE",N25="PARCIAL"),D25&lt;TODAY()-1),"🔴 EMBARQUE ATRASADO",IF(AND(N25="REALIZADO",M25="PENDENTE"),"🟡 EMBARCADO SEM FATURAR",IF(AND(P25&lt;&gt;"",S25="",OR(Q25="",R25="")),"🟡 PENDÊNCIA SEM RESPONSÁVEL/PRAZO",IF(AND(ISNUMBER(R25),R25=TODAY()),"🟡 VENCE HOJE",IF(AND(P25&lt;&gt;"",S25=""),"🟡 PENDÊNCIA ABERTA",IF(AND(N(J25)&gt;0,N(K25)&lt;J25),"🟡 FALTA EXECUTAR",IF(OR(M25="PENDENTE",M25="PARCIAL"),"🟡 FATURAMENTO PENDENTE","🟡 EMBARQUE PENDENTE")))))))))))</f>
        <v/>
      </c>
      <c r="D25" s="4" t="n">
        <v>46224</v>
      </c>
      <c r="E25" s="5" t="inlineStr">
        <is>
          <t>A</t>
        </is>
      </c>
      <c r="F25" s="5" t="inlineStr">
        <is>
          <t>TATIANE</t>
        </is>
      </c>
      <c r="G25" s="5" t="inlineStr">
        <is>
          <t>RECEBIMENTO</t>
        </is>
      </c>
      <c r="H25" s="5" t="inlineStr">
        <is>
          <t>EXTREMA</t>
        </is>
      </c>
      <c r="I25" s="5" t="inlineStr">
        <is>
          <t>TON</t>
        </is>
      </c>
      <c r="J25" s="6" t="n">
        <v>20.036</v>
      </c>
      <c r="K25" s="6" t="n">
        <v>20.036</v>
      </c>
      <c r="L25" s="7">
        <f>IF(OR(D25="",N(J25)=0),"",MIN(1,N(K25)/J25))</f>
        <v/>
      </c>
      <c r="M25" s="5" t="inlineStr">
        <is>
          <t>FATURADO</t>
        </is>
      </c>
      <c r="N25" s="5" t="inlineStr">
        <is>
          <t>REALIZADO</t>
        </is>
      </c>
      <c r="O25" s="5" t="inlineStr">
        <is>
          <t>D2</t>
        </is>
      </c>
      <c r="P25" s="5" t="inlineStr">
        <is>
          <t>FALTA FAZER ENTRADA NF 1656</t>
        </is>
      </c>
      <c r="Q25" s="5" t="n"/>
      <c r="R25" s="4" t="n"/>
      <c r="S25" s="4" t="n"/>
      <c r="T25" s="5" t="inlineStr">
        <is>
          <t>FALTA FAZER ENTRADA NF 1656 [MIGRAÇÃO: programação original: REC. IMPORTADO]</t>
        </is>
      </c>
      <c r="U25" s="8">
        <f>IF(AND(V25=1,D25&lt;&gt;""),IF(D25&gt;=corte,TODAY()-D25,""),"")</f>
        <v/>
      </c>
      <c r="V25" s="8">
        <f>IF(D25="",0,IF(OR(AND(P25&lt;&gt;"",S25=""),AND(N(J25)&gt;0,N(K25)&lt;J25),OR(M25="PENDENTE",M25="PARCIAL"),OR(N25="PENDENTE",N25="PARCIAL")),1,0))</f>
        <v/>
      </c>
      <c r="W25" s="8">
        <f>IF(AND(V25=1,D25&lt;&gt;""),IF(D25&gt;=corte,(B25="CRÍTICO")*1E9+(100000-D25)*10000+10000-ROW(),""),"")</f>
        <v/>
      </c>
      <c r="X25" s="8">
        <f>IF(AND(V25=1,D25=pas_data,E25=pas_turno),10000-ROW(),"")</f>
        <v/>
      </c>
    </row>
    <row r="26">
      <c r="A26" s="3">
        <f>IF(D26="","","TT-"&amp;TEXT(ROW()-1,"00000"))</f>
        <v/>
      </c>
      <c r="B26" s="3">
        <f>IF(D26="","",IF(V26=0,"CONCLUÍDO",IF(D26&lt;corte,"HISTÓRICO",IF(OR(AND(ISNUMBER(R26),R26&lt;TODAY()),AND(OR(N26="PENDENTE",N26="PARCIAL"),D26&lt;TODAY()-1)),"CRÍTICO",IF(OR(AND(P26&lt;&gt;"",S26=""),AND(N26="REALIZADO",M26="PENDENTE"),AND(ISNUMBER(R26),R26=TODAY())),"ATENÇÃO",IF(N(K26)=0,"PENDENTE","EM ANDAMENTO"))))))</f>
        <v/>
      </c>
      <c r="C26" s="3">
        <f>IF(D26="","",IF(V26=0,"🟢 OK",IF(D26&lt;corte,"⚪ HISTÓRICO (sem baixa)",IF(AND(ISNUMBER(R26),R26&lt;TODAY()),"🔴 PRAZO VENCIDO",IF(AND(OR(N26="PENDENTE",N26="PARCIAL"),D26&lt;TODAY()-1),"🔴 EMBARQUE ATRASADO",IF(AND(N26="REALIZADO",M26="PENDENTE"),"🟡 EMBARCADO SEM FATURAR",IF(AND(P26&lt;&gt;"",S26="",OR(Q26="",R26="")),"🟡 PENDÊNCIA SEM RESPONSÁVEL/PRAZO",IF(AND(ISNUMBER(R26),R26=TODAY()),"🟡 VENCE HOJE",IF(AND(P26&lt;&gt;"",S26=""),"🟡 PENDÊNCIA ABERTA",IF(AND(N(J26)&gt;0,N(K26)&lt;J26),"🟡 FALTA EXECUTAR",IF(OR(M26="PENDENTE",M26="PARCIAL"),"🟡 FATURAMENTO PENDENTE","🟡 EMBARQUE PENDENTE")))))))))))</f>
        <v/>
      </c>
      <c r="D26" s="4" t="n">
        <v>46224</v>
      </c>
      <c r="E26" s="5" t="inlineStr">
        <is>
          <t>A</t>
        </is>
      </c>
      <c r="F26" s="5" t="inlineStr">
        <is>
          <t>TATIANE</t>
        </is>
      </c>
      <c r="G26" s="5" t="inlineStr">
        <is>
          <t>GRANEL</t>
        </is>
      </c>
      <c r="H26" s="5" t="inlineStr">
        <is>
          <t>PESAR</t>
        </is>
      </c>
      <c r="I26" s="5" t="inlineStr">
        <is>
          <t>TON</t>
        </is>
      </c>
      <c r="J26" s="6" t="n">
        <v>12</v>
      </c>
      <c r="K26" s="6" t="n">
        <v>12</v>
      </c>
      <c r="L26" s="7">
        <f>IF(OR(D26="",N(J26)=0),"",MIN(1,N(K26)/J26))</f>
        <v/>
      </c>
      <c r="M26" s="5" t="inlineStr">
        <is>
          <t>FATURADO</t>
        </is>
      </c>
      <c r="N26" s="5" t="inlineStr">
        <is>
          <t>REALIZADO</t>
        </is>
      </c>
      <c r="O26" s="5" t="inlineStr">
        <is>
          <t>JSL</t>
        </is>
      </c>
      <c r="P26" s="5" t="inlineStr">
        <is>
          <t>MAGNUM- AGUA QUENTE, PESAR PARA FATURAR</t>
        </is>
      </c>
      <c r="Q26" s="5" t="n"/>
      <c r="R26" s="4" t="n"/>
      <c r="S26" s="4" t="n"/>
      <c r="T26" s="5" t="inlineStr">
        <is>
          <t>MAGNUM- AGUA QUENTE, PESAR PARA FATURAR</t>
        </is>
      </c>
      <c r="U26" s="8">
        <f>IF(AND(V26=1,D26&lt;&gt;""),IF(D26&gt;=corte,TODAY()-D26,""),"")</f>
        <v/>
      </c>
      <c r="V26" s="8">
        <f>IF(D26="",0,IF(OR(AND(P26&lt;&gt;"",S26=""),AND(N(J26)&gt;0,N(K26)&lt;J26),OR(M26="PENDENTE",M26="PARCIAL"),OR(N26="PENDENTE",N26="PARCIAL")),1,0))</f>
        <v/>
      </c>
      <c r="W26" s="8">
        <f>IF(AND(V26=1,D26&lt;&gt;""),IF(D26&gt;=corte,(B26="CRÍTICO")*1E9+(100000-D26)*10000+10000-ROW(),""),"")</f>
        <v/>
      </c>
      <c r="X26" s="8">
        <f>IF(AND(V26=1,D26=pas_data,E26=pas_turno),10000-ROW(),"")</f>
        <v/>
      </c>
    </row>
    <row r="27">
      <c r="A27" s="3">
        <f>IF(D27="","","TT-"&amp;TEXT(ROW()-1,"00000"))</f>
        <v/>
      </c>
      <c r="B27" s="3">
        <f>IF(D27="","",IF(V27=0,"CONCLUÍDO",IF(D27&lt;corte,"HISTÓRICO",IF(OR(AND(ISNUMBER(R27),R27&lt;TODAY()),AND(OR(N27="PENDENTE",N27="PARCIAL"),D27&lt;TODAY()-1)),"CRÍTICO",IF(OR(AND(P27&lt;&gt;"",S27=""),AND(N27="REALIZADO",M27="PENDENTE"),AND(ISNUMBER(R27),R27=TODAY())),"ATENÇÃO",IF(N(K27)=0,"PENDENTE","EM ANDAMENTO"))))))</f>
        <v/>
      </c>
      <c r="C27" s="3">
        <f>IF(D27="","",IF(V27=0,"🟢 OK",IF(D27&lt;corte,"⚪ HISTÓRICO (sem baixa)",IF(AND(ISNUMBER(R27),R27&lt;TODAY()),"🔴 PRAZO VENCIDO",IF(AND(OR(N27="PENDENTE",N27="PARCIAL"),D27&lt;TODAY()-1),"🔴 EMBARQUE ATRASADO",IF(AND(N27="REALIZADO",M27="PENDENTE"),"🟡 EMBARCADO SEM FATURAR",IF(AND(P27&lt;&gt;"",S27="",OR(Q27="",R27="")),"🟡 PENDÊNCIA SEM RESPONSÁVEL/PRAZO",IF(AND(ISNUMBER(R27),R27=TODAY()),"🟡 VENCE HOJE",IF(AND(P27&lt;&gt;"",S27=""),"🟡 PENDÊNCIA ABERTA",IF(AND(N(J27)&gt;0,N(K27)&lt;J27),"🟡 FALTA EXECUTAR",IF(OR(M27="PENDENTE",M27="PARCIAL"),"🟡 FATURAMENTO PENDENTE","🟡 EMBARQUE PENDENTE")))))))))))</f>
        <v/>
      </c>
      <c r="D27" s="4" t="n">
        <v>46224</v>
      </c>
      <c r="E27" s="5" t="inlineStr">
        <is>
          <t>B</t>
        </is>
      </c>
      <c r="F27" s="5" t="inlineStr">
        <is>
          <t>THIAGO</t>
        </is>
      </c>
      <c r="G27" s="5" t="inlineStr">
        <is>
          <t>GM</t>
        </is>
      </c>
      <c r="H27" s="5" t="inlineStr">
        <is>
          <t>SP CAP / INT</t>
        </is>
      </c>
      <c r="I27" s="5" t="inlineStr">
        <is>
          <t>TON</t>
        </is>
      </c>
      <c r="J27" s="6" t="n">
        <v>4.837</v>
      </c>
      <c r="K27" s="6" t="n">
        <v>4.837</v>
      </c>
      <c r="L27" s="7">
        <f>IF(OR(D27="",N(J27)=0),"",MIN(1,N(K27)/J27))</f>
        <v/>
      </c>
      <c r="M27" s="5" t="inlineStr">
        <is>
          <t>FATURADO</t>
        </is>
      </c>
      <c r="N27" s="5" t="inlineStr">
        <is>
          <t>REALIZADO</t>
        </is>
      </c>
      <c r="O27" s="5" t="n"/>
      <c r="P27" s="5" t="n"/>
      <c r="Q27" s="5" t="n"/>
      <c r="R27" s="4" t="n"/>
      <c r="S27" s="4" t="n"/>
      <c r="T27" s="5" t="inlineStr">
        <is>
          <t>SMART008DI + SMART010DI</t>
        </is>
      </c>
      <c r="U27" s="8">
        <f>IF(AND(V27=1,D27&lt;&gt;""),IF(D27&gt;=corte,TODAY()-D27,""),"")</f>
        <v/>
      </c>
      <c r="V27" s="8">
        <f>IF(D27="",0,IF(OR(AND(P27&lt;&gt;"",S27=""),AND(N(J27)&gt;0,N(K27)&lt;J27),OR(M27="PENDENTE",M27="PARCIAL"),OR(N27="PENDENTE",N27="PARCIAL")),1,0))</f>
        <v/>
      </c>
      <c r="W27" s="8">
        <f>IF(AND(V27=1,D27&lt;&gt;""),IF(D27&gt;=corte,(B27="CRÍTICO")*1E9+(100000-D27)*10000+10000-ROW(),""),"")</f>
        <v/>
      </c>
      <c r="X27" s="8">
        <f>IF(AND(V27=1,D27=pas_data,E27=pas_turno),10000-ROW(),"")</f>
        <v/>
      </c>
    </row>
    <row r="28">
      <c r="A28" s="3">
        <f>IF(D28="","","TT-"&amp;TEXT(ROW()-1,"00000"))</f>
        <v/>
      </c>
      <c r="B28" s="3">
        <f>IF(D28="","",IF(V28=0,"CONCLUÍDO",IF(D28&lt;corte,"HISTÓRICO",IF(OR(AND(ISNUMBER(R28),R28&lt;TODAY()),AND(OR(N28="PENDENTE",N28="PARCIAL"),D28&lt;TODAY()-1)),"CRÍTICO",IF(OR(AND(P28&lt;&gt;"",S28=""),AND(N28="REALIZADO",M28="PENDENTE"),AND(ISNUMBER(R28),R28=TODAY())),"ATENÇÃO",IF(N(K28)=0,"PENDENTE","EM ANDAMENTO"))))))</f>
        <v/>
      </c>
      <c r="C28" s="3">
        <f>IF(D28="","",IF(V28=0,"🟢 OK",IF(D28&lt;corte,"⚪ HISTÓRICO (sem baixa)",IF(AND(ISNUMBER(R28),R28&lt;TODAY()),"🔴 PRAZO VENCIDO",IF(AND(OR(N28="PENDENTE",N28="PARCIAL"),D28&lt;TODAY()-1),"🔴 EMBARQUE ATRASADO",IF(AND(N28="REALIZADO",M28="PENDENTE"),"🟡 EMBARCADO SEM FATURAR",IF(AND(P28&lt;&gt;"",S28="",OR(Q28="",R28="")),"🟡 PENDÊNCIA SEM RESPONSÁVEL/PRAZO",IF(AND(ISNUMBER(R28),R28=TODAY()),"🟡 VENCE HOJE",IF(AND(P28&lt;&gt;"",S28=""),"🟡 PENDÊNCIA ABERTA",IF(AND(N(J28)&gt;0,N(K28)&lt;J28),"🟡 FALTA EXECUTAR",IF(OR(M28="PENDENTE",M28="PARCIAL"),"🟡 FATURAMENTO PENDENTE","🟡 EMBARQUE PENDENTE")))))))))))</f>
        <v/>
      </c>
      <c r="D28" s="4" t="n">
        <v>46224</v>
      </c>
      <c r="E28" s="5" t="inlineStr">
        <is>
          <t>B</t>
        </is>
      </c>
      <c r="F28" s="5" t="inlineStr">
        <is>
          <t>THIAGO</t>
        </is>
      </c>
      <c r="G28" s="5" t="inlineStr">
        <is>
          <t>GRANEL</t>
        </is>
      </c>
      <c r="H28" s="5" t="inlineStr">
        <is>
          <t>PESAR</t>
        </is>
      </c>
      <c r="I28" s="5" t="inlineStr">
        <is>
          <t>TON</t>
        </is>
      </c>
      <c r="J28" s="6" t="n">
        <v>7.56</v>
      </c>
      <c r="K28" s="6" t="n">
        <v>7.56</v>
      </c>
      <c r="L28" s="7">
        <f>IF(OR(D28="",N(J28)=0),"",MIN(1,N(K28)/J28))</f>
        <v/>
      </c>
      <c r="M28" s="5" t="inlineStr">
        <is>
          <t>FATURADO</t>
        </is>
      </c>
      <c r="N28" s="5" t="inlineStr">
        <is>
          <t>REALIZADO</t>
        </is>
      </c>
      <c r="O28" s="5" t="inlineStr">
        <is>
          <t>JSL</t>
        </is>
      </c>
      <c r="P28" s="5" t="n"/>
      <c r="Q28" s="5" t="n"/>
      <c r="R28" s="4" t="n"/>
      <c r="S28" s="4" t="n"/>
      <c r="T28" s="5" t="inlineStr">
        <is>
          <t>Granel MAGNUM</t>
        </is>
      </c>
      <c r="U28" s="8">
        <f>IF(AND(V28=1,D28&lt;&gt;""),IF(D28&gt;=corte,TODAY()-D28,""),"")</f>
        <v/>
      </c>
      <c r="V28" s="8">
        <f>IF(D28="",0,IF(OR(AND(P28&lt;&gt;"",S28=""),AND(N(J28)&gt;0,N(K28)&lt;J28),OR(M28="PENDENTE",M28="PARCIAL"),OR(N28="PENDENTE",N28="PARCIAL")),1,0))</f>
        <v/>
      </c>
      <c r="W28" s="8">
        <f>IF(AND(V28=1,D28&lt;&gt;""),IF(D28&gt;=corte,(B28="CRÍTICO")*1E9+(100000-D28)*10000+10000-ROW(),""),"")</f>
        <v/>
      </c>
      <c r="X28" s="8">
        <f>IF(AND(V28=1,D28=pas_data,E28=pas_turno),10000-ROW(),"")</f>
        <v/>
      </c>
    </row>
    <row r="29">
      <c r="A29" s="3">
        <f>IF(D29="","","TT-"&amp;TEXT(ROW()-1,"00000"))</f>
        <v/>
      </c>
      <c r="B29" s="3">
        <f>IF(D29="","",IF(V29=0,"CONCLUÍDO",IF(D29&lt;corte,"HISTÓRICO",IF(OR(AND(ISNUMBER(R29),R29&lt;TODAY()),AND(OR(N29="PENDENTE",N29="PARCIAL"),D29&lt;TODAY()-1)),"CRÍTICO",IF(OR(AND(P29&lt;&gt;"",S29=""),AND(N29="REALIZADO",M29="PENDENTE"),AND(ISNUMBER(R29),R29=TODAY())),"ATENÇÃO",IF(N(K29)=0,"PENDENTE","EM ANDAMENTO"))))))</f>
        <v/>
      </c>
      <c r="C29" s="3">
        <f>IF(D29="","",IF(V29=0,"🟢 OK",IF(D29&lt;corte,"⚪ HISTÓRICO (sem baixa)",IF(AND(ISNUMBER(R29),R29&lt;TODAY()),"🔴 PRAZO VENCIDO",IF(AND(OR(N29="PENDENTE",N29="PARCIAL"),D29&lt;TODAY()-1),"🔴 EMBARQUE ATRASADO",IF(AND(N29="REALIZADO",M29="PENDENTE"),"🟡 EMBARCADO SEM FATURAR",IF(AND(P29&lt;&gt;"",S29="",OR(Q29="",R29="")),"🟡 PENDÊNCIA SEM RESPONSÁVEL/PRAZO",IF(AND(ISNUMBER(R29),R29=TODAY()),"🟡 VENCE HOJE",IF(AND(P29&lt;&gt;"",S29=""),"🟡 PENDÊNCIA ABERTA",IF(AND(N(J29)&gt;0,N(K29)&lt;J29),"🟡 FALTA EXECUTAR",IF(OR(M29="PENDENTE",M29="PARCIAL"),"🟡 FATURAMENTO PENDENTE","🟡 EMBARQUE PENDENTE")))))))))))</f>
        <v/>
      </c>
      <c r="D29" s="4" t="n">
        <v>46224</v>
      </c>
      <c r="E29" s="5" t="inlineStr">
        <is>
          <t>B</t>
        </is>
      </c>
      <c r="F29" s="5" t="inlineStr">
        <is>
          <t>THIAGO</t>
        </is>
      </c>
      <c r="G29" s="5" t="inlineStr">
        <is>
          <t>FOB</t>
        </is>
      </c>
      <c r="H29" s="5" t="inlineStr">
        <is>
          <t>SP CAP / INT</t>
        </is>
      </c>
      <c r="I29" s="5" t="inlineStr">
        <is>
          <t>TON</t>
        </is>
      </c>
      <c r="J29" s="6" t="n">
        <v>15.214</v>
      </c>
      <c r="K29" s="6" t="n">
        <v>15.214</v>
      </c>
      <c r="L29" s="7">
        <f>IF(OR(D29="",N(J29)=0),"",MIN(1,N(K29)/J29))</f>
        <v/>
      </c>
      <c r="M29" s="5" t="inlineStr">
        <is>
          <t>FATURADO</t>
        </is>
      </c>
      <c r="N29" s="5" t="inlineStr">
        <is>
          <t>REALIZADO</t>
        </is>
      </c>
      <c r="O29" s="5" t="inlineStr">
        <is>
          <t>PRÓPRIO</t>
        </is>
      </c>
      <c r="P29" s="5" t="n"/>
      <c r="Q29" s="5" t="n"/>
      <c r="R29" s="4" t="n"/>
      <c r="S29" s="4" t="n"/>
      <c r="T29" s="5" t="inlineStr">
        <is>
          <t>DISTRIBUIDORA IMPORTADORA MOT&gt; WELLINTON</t>
        </is>
      </c>
      <c r="U29" s="8">
        <f>IF(AND(V29=1,D29&lt;&gt;""),IF(D29&gt;=corte,TODAY()-D29,""),"")</f>
        <v/>
      </c>
      <c r="V29" s="8">
        <f>IF(D29="",0,IF(OR(AND(P29&lt;&gt;"",S29=""),AND(N(J29)&gt;0,N(K29)&lt;J29),OR(M29="PENDENTE",M29="PARCIAL"),OR(N29="PENDENTE",N29="PARCIAL")),1,0))</f>
        <v/>
      </c>
      <c r="W29" s="8">
        <f>IF(AND(V29=1,D29&lt;&gt;""),IF(D29&gt;=corte,(B29="CRÍTICO")*1E9+(100000-D29)*10000+10000-ROW(),""),"")</f>
        <v/>
      </c>
      <c r="X29" s="8">
        <f>IF(AND(V29=1,D29=pas_data,E29=pas_turno),10000-ROW(),"")</f>
        <v/>
      </c>
    </row>
    <row r="30">
      <c r="A30" s="3">
        <f>IF(D30="","","TT-"&amp;TEXT(ROW()-1,"00000"))</f>
        <v/>
      </c>
      <c r="B30" s="3">
        <f>IF(D30="","",IF(V30=0,"CONCLUÍDO",IF(D30&lt;corte,"HISTÓRICO",IF(OR(AND(ISNUMBER(R30),R30&lt;TODAY()),AND(OR(N30="PENDENTE",N30="PARCIAL"),D30&lt;TODAY()-1)),"CRÍTICO",IF(OR(AND(P30&lt;&gt;"",S30=""),AND(N30="REALIZADO",M30="PENDENTE"),AND(ISNUMBER(R30),R30=TODAY())),"ATENÇÃO",IF(N(K30)=0,"PENDENTE","EM ANDAMENTO"))))))</f>
        <v/>
      </c>
      <c r="C30" s="3">
        <f>IF(D30="","",IF(V30=0,"🟢 OK",IF(D30&lt;corte,"⚪ HISTÓRICO (sem baixa)",IF(AND(ISNUMBER(R30),R30&lt;TODAY()),"🔴 PRAZO VENCIDO",IF(AND(OR(N30="PENDENTE",N30="PARCIAL"),D30&lt;TODAY()-1),"🔴 EMBARQUE ATRASADO",IF(AND(N30="REALIZADO",M30="PENDENTE"),"🟡 EMBARCADO SEM FATURAR",IF(AND(P30&lt;&gt;"",S30="",OR(Q30="",R30="")),"🟡 PENDÊNCIA SEM RESPONSÁVEL/PRAZO",IF(AND(ISNUMBER(R30),R30=TODAY()),"🟡 VENCE HOJE",IF(AND(P30&lt;&gt;"",S30=""),"🟡 PENDÊNCIA ABERTA",IF(AND(N(J30)&gt;0,N(K30)&lt;J30),"🟡 FALTA EXECUTAR",IF(OR(M30="PENDENTE",M30="PARCIAL"),"🟡 FATURAMENTO PENDENTE","🟡 EMBARQUE PENDENTE")))))))))))</f>
        <v/>
      </c>
      <c r="D30" s="4" t="n">
        <v>46224</v>
      </c>
      <c r="E30" s="5" t="inlineStr">
        <is>
          <t>B</t>
        </is>
      </c>
      <c r="F30" s="5" t="inlineStr">
        <is>
          <t>THIAGO</t>
        </is>
      </c>
      <c r="G30" s="5" t="inlineStr">
        <is>
          <t>FM</t>
        </is>
      </c>
      <c r="H30" s="5" t="inlineStr">
        <is>
          <t>FM</t>
        </is>
      </c>
      <c r="I30" s="5" t="inlineStr">
        <is>
          <t>TON</t>
        </is>
      </c>
      <c r="J30" s="6" t="n">
        <v>51.329</v>
      </c>
      <c r="K30" s="6" t="n">
        <v>51.329</v>
      </c>
      <c r="L30" s="7">
        <f>IF(OR(D30="",N(J30)=0),"",MIN(1,N(K30)/J30))</f>
        <v/>
      </c>
      <c r="M30" s="5" t="inlineStr">
        <is>
          <t>FATURADO</t>
        </is>
      </c>
      <c r="N30" s="5" t="inlineStr">
        <is>
          <t>REALIZADO</t>
        </is>
      </c>
      <c r="O30" s="5" t="inlineStr">
        <is>
          <t>SPEEDYLOG</t>
        </is>
      </c>
      <c r="P30" s="5" t="n"/>
      <c r="Q30" s="5" t="n"/>
      <c r="R30" s="4" t="n"/>
      <c r="S30" s="4" t="n"/>
      <c r="T30" s="5" t="inlineStr">
        <is>
          <t>PANDURATA</t>
        </is>
      </c>
      <c r="U30" s="8">
        <f>IF(AND(V30=1,D30&lt;&gt;""),IF(D30&gt;=corte,TODAY()-D30,""),"")</f>
        <v/>
      </c>
      <c r="V30" s="8">
        <f>IF(D30="",0,IF(OR(AND(P30&lt;&gt;"",S30=""),AND(N(J30)&gt;0,N(K30)&lt;J30),OR(M30="PENDENTE",M30="PARCIAL"),OR(N30="PENDENTE",N30="PARCIAL")),1,0))</f>
        <v/>
      </c>
      <c r="W30" s="8">
        <f>IF(AND(V30=1,D30&lt;&gt;""),IF(D30&gt;=corte,(B30="CRÍTICO")*1E9+(100000-D30)*10000+10000-ROW(),""),"")</f>
        <v/>
      </c>
      <c r="X30" s="8">
        <f>IF(AND(V30=1,D30=pas_data,E30=pas_turno),10000-ROW(),"")</f>
        <v/>
      </c>
    </row>
    <row r="31">
      <c r="A31" s="3">
        <f>IF(D31="","","TT-"&amp;TEXT(ROW()-1,"00000"))</f>
        <v/>
      </c>
      <c r="B31" s="3">
        <f>IF(D31="","",IF(V31=0,"CONCLUÍDO",IF(D31&lt;corte,"HISTÓRICO",IF(OR(AND(ISNUMBER(R31),R31&lt;TODAY()),AND(OR(N31="PENDENTE",N31="PARCIAL"),D31&lt;TODAY()-1)),"CRÍTICO",IF(OR(AND(P31&lt;&gt;"",S31=""),AND(N31="REALIZADO",M31="PENDENTE"),AND(ISNUMBER(R31),R31=TODAY())),"ATENÇÃO",IF(N(K31)=0,"PENDENTE","EM ANDAMENTO"))))))</f>
        <v/>
      </c>
      <c r="C31" s="3">
        <f>IF(D31="","",IF(V31=0,"🟢 OK",IF(D31&lt;corte,"⚪ HISTÓRICO (sem baixa)",IF(AND(ISNUMBER(R31),R31&lt;TODAY()),"🔴 PRAZO VENCIDO",IF(AND(OR(N31="PENDENTE",N31="PARCIAL"),D31&lt;TODAY()-1),"🔴 EMBARQUE ATRASADO",IF(AND(N31="REALIZADO",M31="PENDENTE"),"🟡 EMBARCADO SEM FATURAR",IF(AND(P31&lt;&gt;"",S31="",OR(Q31="",R31="")),"🟡 PENDÊNCIA SEM RESPONSÁVEL/PRAZO",IF(AND(ISNUMBER(R31),R31=TODAY()),"🟡 VENCE HOJE",IF(AND(P31&lt;&gt;"",S31=""),"🟡 PENDÊNCIA ABERTA",IF(AND(N(J31)&gt;0,N(K31)&lt;J31),"🟡 FALTA EXECUTAR",IF(OR(M31="PENDENTE",M31="PARCIAL"),"🟡 FATURAMENTO PENDENTE","🟡 EMBARQUE PENDENTE")))))))))))</f>
        <v/>
      </c>
      <c r="D31" s="4" t="n">
        <v>46224</v>
      </c>
      <c r="E31" s="5" t="inlineStr">
        <is>
          <t>B</t>
        </is>
      </c>
      <c r="F31" s="5" t="inlineStr">
        <is>
          <t>THIAGO</t>
        </is>
      </c>
      <c r="G31" s="5" t="inlineStr">
        <is>
          <t>RECEBIMENTO</t>
        </is>
      </c>
      <c r="H31" s="5" t="inlineStr">
        <is>
          <t>MB0A</t>
        </is>
      </c>
      <c r="I31" s="5" t="inlineStr">
        <is>
          <t>PALETE</t>
        </is>
      </c>
      <c r="J31" s="6" t="n">
        <v>28</v>
      </c>
      <c r="K31" s="6" t="n">
        <v>28</v>
      </c>
      <c r="L31" s="7">
        <f>IF(OR(D31="",N(J31)=0),"",MIN(1,N(K31)/J31))</f>
        <v/>
      </c>
      <c r="M31" s="5" t="inlineStr">
        <is>
          <t>FATURADO</t>
        </is>
      </c>
      <c r="N31" s="5" t="inlineStr">
        <is>
          <t>REALIZADO</t>
        </is>
      </c>
      <c r="O31" s="5" t="inlineStr">
        <is>
          <t>SPEEDYLOG</t>
        </is>
      </c>
      <c r="P31" s="5" t="n"/>
      <c r="Q31" s="5" t="n"/>
      <c r="R31" s="4" t="n"/>
      <c r="S31" s="4" t="n"/>
      <c r="T31" s="5" t="inlineStr">
        <is>
          <t>MACEIO ENTRADA REALIZADA [MIGRAÇÃO: programação original: REC. MACEIO]</t>
        </is>
      </c>
      <c r="U31" s="8">
        <f>IF(AND(V31=1,D31&lt;&gt;""),IF(D31&gt;=corte,TODAY()-D31,""),"")</f>
        <v/>
      </c>
      <c r="V31" s="8">
        <f>IF(D31="",0,IF(OR(AND(P31&lt;&gt;"",S31=""),AND(N(J31)&gt;0,N(K31)&lt;J31),OR(M31="PENDENTE",M31="PARCIAL"),OR(N31="PENDENTE",N31="PARCIAL")),1,0))</f>
        <v/>
      </c>
      <c r="W31" s="8">
        <f>IF(AND(V31=1,D31&lt;&gt;""),IF(D31&gt;=corte,(B31="CRÍTICO")*1E9+(100000-D31)*10000+10000-ROW(),""),"")</f>
        <v/>
      </c>
      <c r="X31" s="8">
        <f>IF(AND(V31=1,D31=pas_data,E31=pas_turno),10000-ROW(),"")</f>
        <v/>
      </c>
    </row>
    <row r="32">
      <c r="A32" s="3">
        <f>IF(D32="","","TT-"&amp;TEXT(ROW()-1,"00000"))</f>
        <v/>
      </c>
      <c r="B32" s="3">
        <f>IF(D32="","",IF(V32=0,"CONCLUÍDO",IF(D32&lt;corte,"HISTÓRICO",IF(OR(AND(ISNUMBER(R32),R32&lt;TODAY()),AND(OR(N32="PENDENTE",N32="PARCIAL"),D32&lt;TODAY()-1)),"CRÍTICO",IF(OR(AND(P32&lt;&gt;"",S32=""),AND(N32="REALIZADO",M32="PENDENTE"),AND(ISNUMBER(R32),R32=TODAY())),"ATENÇÃO",IF(N(K32)=0,"PENDENTE","EM ANDAMENTO"))))))</f>
        <v/>
      </c>
      <c r="C32" s="3">
        <f>IF(D32="","",IF(V32=0,"🟢 OK",IF(D32&lt;corte,"⚪ HISTÓRICO (sem baixa)",IF(AND(ISNUMBER(R32),R32&lt;TODAY()),"🔴 PRAZO VENCIDO",IF(AND(OR(N32="PENDENTE",N32="PARCIAL"),D32&lt;TODAY()-1),"🔴 EMBARQUE ATRASADO",IF(AND(N32="REALIZADO",M32="PENDENTE"),"🟡 EMBARCADO SEM FATURAR",IF(AND(P32&lt;&gt;"",S32="",OR(Q32="",R32="")),"🟡 PENDÊNCIA SEM RESPONSÁVEL/PRAZO",IF(AND(ISNUMBER(R32),R32=TODAY()),"🟡 VENCE HOJE",IF(AND(P32&lt;&gt;"",S32=""),"🟡 PENDÊNCIA ABERTA",IF(AND(N(J32)&gt;0,N(K32)&lt;J32),"🟡 FALTA EXECUTAR",IF(OR(M32="PENDENTE",M32="PARCIAL"),"🟡 FATURAMENTO PENDENTE","🟡 EMBARQUE PENDENTE")))))))))))</f>
        <v/>
      </c>
      <c r="D32" s="4" t="n">
        <v>46224</v>
      </c>
      <c r="E32" s="5" t="inlineStr">
        <is>
          <t>B</t>
        </is>
      </c>
      <c r="F32" s="5" t="inlineStr">
        <is>
          <t>THIAGO</t>
        </is>
      </c>
      <c r="G32" s="5" t="inlineStr">
        <is>
          <t>RECEBIMENTO</t>
        </is>
      </c>
      <c r="H32" s="5" t="inlineStr">
        <is>
          <t>BR15</t>
        </is>
      </c>
      <c r="I32" s="5" t="inlineStr">
        <is>
          <t>PALETE</t>
        </is>
      </c>
      <c r="J32" s="6" t="n">
        <v>6</v>
      </c>
      <c r="K32" s="6" t="n">
        <v>6</v>
      </c>
      <c r="L32" s="7">
        <f>IF(OR(D32="",N(J32)=0),"",MIN(1,N(K32)/J32))</f>
        <v/>
      </c>
      <c r="M32" s="5" t="inlineStr">
        <is>
          <t>FATURADO</t>
        </is>
      </c>
      <c r="N32" s="5" t="inlineStr">
        <is>
          <t>REALIZADO</t>
        </is>
      </c>
      <c r="O32" s="5" t="n"/>
      <c r="P32" s="5" t="n"/>
      <c r="Q32" s="5" t="n"/>
      <c r="R32" s="4" t="n"/>
      <c r="S32" s="4" t="n"/>
      <c r="T32" s="5" t="inlineStr">
        <is>
          <t>CACAU ENREADA REALIZADA MOTORISTA WALTER [MIGRAÇÃO: programação original: REC. BR15]</t>
        </is>
      </c>
      <c r="U32" s="8">
        <f>IF(AND(V32=1,D32&lt;&gt;""),IF(D32&gt;=corte,TODAY()-D32,""),"")</f>
        <v/>
      </c>
      <c r="V32" s="8">
        <f>IF(D32="",0,IF(OR(AND(P32&lt;&gt;"",S32=""),AND(N(J32)&gt;0,N(K32)&lt;J32),OR(M32="PENDENTE",M32="PARCIAL"),OR(N32="PENDENTE",N32="PARCIAL")),1,0))</f>
        <v/>
      </c>
      <c r="W32" s="8">
        <f>IF(AND(V32=1,D32&lt;&gt;""),IF(D32&gt;=corte,(B32="CRÍTICO")*1E9+(100000-D32)*10000+10000-ROW(),""),"")</f>
        <v/>
      </c>
      <c r="X32" s="8">
        <f>IF(AND(V32=1,D32=pas_data,E32=pas_turno),10000-ROW(),"")</f>
        <v/>
      </c>
    </row>
    <row r="33">
      <c r="A33" s="3">
        <f>IF(D33="","","TT-"&amp;TEXT(ROW()-1,"00000"))</f>
        <v/>
      </c>
      <c r="B33" s="3">
        <f>IF(D33="","",IF(V33=0,"CONCLUÍDO",IF(D33&lt;corte,"HISTÓRICO",IF(OR(AND(ISNUMBER(R33),R33&lt;TODAY()),AND(OR(N33="PENDENTE",N33="PARCIAL"),D33&lt;TODAY()-1)),"CRÍTICO",IF(OR(AND(P33&lt;&gt;"",S33=""),AND(N33="REALIZADO",M33="PENDENTE"),AND(ISNUMBER(R33),R33=TODAY())),"ATENÇÃO",IF(N(K33)=0,"PENDENTE","EM ANDAMENTO"))))))</f>
        <v/>
      </c>
      <c r="C33" s="3">
        <f>IF(D33="","",IF(V33=0,"🟢 OK",IF(D33&lt;corte,"⚪ HISTÓRICO (sem baixa)",IF(AND(ISNUMBER(R33),R33&lt;TODAY()),"🔴 PRAZO VENCIDO",IF(AND(OR(N33="PENDENTE",N33="PARCIAL"),D33&lt;TODAY()-1),"🔴 EMBARQUE ATRASADO",IF(AND(N33="REALIZADO",M33="PENDENTE"),"🟡 EMBARCADO SEM FATURAR",IF(AND(P33&lt;&gt;"",S33="",OR(Q33="",R33="")),"🟡 PENDÊNCIA SEM RESPONSÁVEL/PRAZO",IF(AND(ISNUMBER(R33),R33=TODAY()),"🟡 VENCE HOJE",IF(AND(P33&lt;&gt;"",S33=""),"🟡 PENDÊNCIA ABERTA",IF(AND(N(J33)&gt;0,N(K33)&lt;J33),"🟡 FALTA EXECUTAR",IF(OR(M33="PENDENTE",M33="PARCIAL"),"🟡 FATURAMENTO PENDENTE","🟡 EMBARQUE PENDENTE")))))))))))</f>
        <v/>
      </c>
      <c r="D33" s="4" t="n">
        <v>46224</v>
      </c>
      <c r="E33" s="5" t="inlineStr">
        <is>
          <t>B</t>
        </is>
      </c>
      <c r="F33" s="5" t="inlineStr">
        <is>
          <t>THIAGO</t>
        </is>
      </c>
      <c r="G33" s="5" t="inlineStr">
        <is>
          <t>FLOOR</t>
        </is>
      </c>
      <c r="H33" s="5" t="inlineStr">
        <is>
          <t>PRODUÇÃO</t>
        </is>
      </c>
      <c r="I33" s="5" t="inlineStr">
        <is>
          <t>PALETE</t>
        </is>
      </c>
      <c r="J33" s="6" t="n">
        <v>68</v>
      </c>
      <c r="K33" s="6" t="n">
        <v>68</v>
      </c>
      <c r="L33" s="7">
        <f>IF(OR(D33="",N(J33)=0),"",MIN(1,N(K33)/J33))</f>
        <v/>
      </c>
      <c r="M33" s="5" t="inlineStr">
        <is>
          <t>FATURADO</t>
        </is>
      </c>
      <c r="N33" s="5" t="inlineStr">
        <is>
          <t>REALIZADO</t>
        </is>
      </c>
      <c r="O33" s="5" t="n"/>
      <c r="P33" s="5" t="n"/>
      <c r="Q33" s="5" t="n"/>
      <c r="R33" s="4" t="n"/>
      <c r="S33" s="4" t="n"/>
      <c r="T33" s="5" t="n"/>
      <c r="U33" s="8">
        <f>IF(AND(V33=1,D33&lt;&gt;""),IF(D33&gt;=corte,TODAY()-D33,""),"")</f>
        <v/>
      </c>
      <c r="V33" s="8">
        <f>IF(D33="",0,IF(OR(AND(P33&lt;&gt;"",S33=""),AND(N(J33)&gt;0,N(K33)&lt;J33),OR(M33="PENDENTE",M33="PARCIAL"),OR(N33="PENDENTE",N33="PARCIAL")),1,0))</f>
        <v/>
      </c>
      <c r="W33" s="8">
        <f>IF(AND(V33=1,D33&lt;&gt;""),IF(D33&gt;=corte,(B33="CRÍTICO")*1E9+(100000-D33)*10000+10000-ROW(),""),"")</f>
        <v/>
      </c>
      <c r="X33" s="8">
        <f>IF(AND(V33=1,D33=pas_data,E33=pas_turno),10000-ROW(),"")</f>
        <v/>
      </c>
    </row>
    <row r="34">
      <c r="A34" s="3">
        <f>IF(D34="","","TT-"&amp;TEXT(ROW()-1,"00000"))</f>
        <v/>
      </c>
      <c r="B34" s="3">
        <f>IF(D34="","",IF(V34=0,"CONCLUÍDO",IF(D34&lt;corte,"HISTÓRICO",IF(OR(AND(ISNUMBER(R34),R34&lt;TODAY()),AND(OR(N34="PENDENTE",N34="PARCIAL"),D34&lt;TODAY()-1)),"CRÍTICO",IF(OR(AND(P34&lt;&gt;"",S34=""),AND(N34="REALIZADO",M34="PENDENTE"),AND(ISNUMBER(R34),R34=TODAY())),"ATENÇÃO",IF(N(K34)=0,"PENDENTE","EM ANDAMENTO"))))))</f>
        <v/>
      </c>
      <c r="C34" s="3">
        <f>IF(D34="","",IF(V34=0,"🟢 OK",IF(D34&lt;corte,"⚪ HISTÓRICO (sem baixa)",IF(AND(ISNUMBER(R34),R34&lt;TODAY()),"🔴 PRAZO VENCIDO",IF(AND(OR(N34="PENDENTE",N34="PARCIAL"),D34&lt;TODAY()-1),"🔴 EMBARQUE ATRASADO",IF(AND(N34="REALIZADO",M34="PENDENTE"),"🟡 EMBARCADO SEM FATURAR",IF(AND(P34&lt;&gt;"",S34="",OR(Q34="",R34="")),"🟡 PENDÊNCIA SEM RESPONSÁVEL/PRAZO",IF(AND(ISNUMBER(R34),R34=TODAY()),"🟡 VENCE HOJE",IF(AND(P34&lt;&gt;"",S34=""),"🟡 PENDÊNCIA ABERTA",IF(AND(N(J34)&gt;0,N(K34)&lt;J34),"🟡 FALTA EXECUTAR",IF(OR(M34="PENDENTE",M34="PARCIAL"),"🟡 FATURAMENTO PENDENTE","🟡 EMBARQUE PENDENTE")))))))))))</f>
        <v/>
      </c>
      <c r="D34" s="4" t="n">
        <v>46224</v>
      </c>
      <c r="E34" s="5" t="inlineStr">
        <is>
          <t>B</t>
        </is>
      </c>
      <c r="F34" s="5" t="inlineStr">
        <is>
          <t>THIAGO</t>
        </is>
      </c>
      <c r="G34" s="5" t="inlineStr">
        <is>
          <t>GM</t>
        </is>
      </c>
      <c r="H34" s="5" t="inlineStr">
        <is>
          <t>SUL</t>
        </is>
      </c>
      <c r="I34" s="5" t="inlineStr">
        <is>
          <t>TON</t>
        </is>
      </c>
      <c r="J34" s="6" t="n">
        <v>24.039</v>
      </c>
      <c r="K34" s="6" t="n">
        <v>24.039</v>
      </c>
      <c r="L34" s="7">
        <f>IF(OR(D34="",N(J34)=0),"",MIN(1,N(K34)/J34))</f>
        <v/>
      </c>
      <c r="M34" s="5" t="inlineStr">
        <is>
          <t>PARCIAL</t>
        </is>
      </c>
      <c r="N34" s="5" t="inlineStr">
        <is>
          <t>PENDENTE</t>
        </is>
      </c>
      <c r="O34" s="5" t="inlineStr">
        <is>
          <t>RENOVAÇÃO</t>
        </is>
      </c>
      <c r="P34" s="5" t="inlineStr">
        <is>
          <t>RS / PR - JÁ FATURADO - SC - FALTA FATURAR</t>
        </is>
      </c>
      <c r="Q34" s="5" t="n"/>
      <c r="R34" s="4" t="n"/>
      <c r="S34" s="4" t="n"/>
      <c r="T34" s="5" t="inlineStr">
        <is>
          <t>RS / PR - JÁ FATURADO - SC - FALTA FATURAR</t>
        </is>
      </c>
      <c r="U34" s="8">
        <f>IF(AND(V34=1,D34&lt;&gt;""),IF(D34&gt;=corte,TODAY()-D34,""),"")</f>
        <v/>
      </c>
      <c r="V34" s="8">
        <f>IF(D34="",0,IF(OR(AND(P34&lt;&gt;"",S34=""),AND(N(J34)&gt;0,N(K34)&lt;J34),OR(M34="PENDENTE",M34="PARCIAL"),OR(N34="PENDENTE",N34="PARCIAL")),1,0))</f>
        <v/>
      </c>
      <c r="W34" s="8">
        <f>IF(AND(V34=1,D34&lt;&gt;""),IF(D34&gt;=corte,(B34="CRÍTICO")*1E9+(100000-D34)*10000+10000-ROW(),""),"")</f>
        <v/>
      </c>
      <c r="X34" s="8">
        <f>IF(AND(V34=1,D34=pas_data,E34=pas_turno),10000-ROW(),"")</f>
        <v/>
      </c>
    </row>
    <row r="35">
      <c r="A35" s="3">
        <f>IF(D35="","","TT-"&amp;TEXT(ROW()-1,"00000"))</f>
        <v/>
      </c>
      <c r="B35" s="3">
        <f>IF(D35="","",IF(V35=0,"CONCLUÍDO",IF(D35&lt;corte,"HISTÓRICO",IF(OR(AND(ISNUMBER(R35),R35&lt;TODAY()),AND(OR(N35="PENDENTE",N35="PARCIAL"),D35&lt;TODAY()-1)),"CRÍTICO",IF(OR(AND(P35&lt;&gt;"",S35=""),AND(N35="REALIZADO",M35="PENDENTE"),AND(ISNUMBER(R35),R35=TODAY())),"ATENÇÃO",IF(N(K35)=0,"PENDENTE","EM ANDAMENTO"))))))</f>
        <v/>
      </c>
      <c r="C35" s="3">
        <f>IF(D35="","",IF(V35=0,"🟢 OK",IF(D35&lt;corte,"⚪ HISTÓRICO (sem baixa)",IF(AND(ISNUMBER(R35),R35&lt;TODAY()),"🔴 PRAZO VENCIDO",IF(AND(OR(N35="PENDENTE",N35="PARCIAL"),D35&lt;TODAY()-1),"🔴 EMBARQUE ATRASADO",IF(AND(N35="REALIZADO",M35="PENDENTE"),"🟡 EMBARCADO SEM FATURAR",IF(AND(P35&lt;&gt;"",S35="",OR(Q35="",R35="")),"🟡 PENDÊNCIA SEM RESPONSÁVEL/PRAZO",IF(AND(ISNUMBER(R35),R35=TODAY()),"🟡 VENCE HOJE",IF(AND(P35&lt;&gt;"",S35=""),"🟡 PENDÊNCIA ABERTA",IF(AND(N(J35)&gt;0,N(K35)&lt;J35),"🟡 FALTA EXECUTAR",IF(OR(M35="PENDENTE",M35="PARCIAL"),"🟡 FATURAMENTO PENDENTE","🟡 EMBARQUE PENDENTE")))))))))))</f>
        <v/>
      </c>
      <c r="D35" s="4" t="n">
        <v>46225</v>
      </c>
      <c r="E35" s="5" t="inlineStr">
        <is>
          <t>B</t>
        </is>
      </c>
      <c r="F35" s="5" t="inlineStr">
        <is>
          <t>THIAGO</t>
        </is>
      </c>
      <c r="G35" s="5" t="inlineStr">
        <is>
          <t>GM</t>
        </is>
      </c>
      <c r="H35" s="5" t="inlineStr">
        <is>
          <t>SP CAP / INT</t>
        </is>
      </c>
      <c r="I35" s="5" t="inlineStr">
        <is>
          <t>TON</t>
        </is>
      </c>
      <c r="J35" s="6" t="n">
        <v>2.825</v>
      </c>
      <c r="K35" s="6" t="n">
        <v>2.825</v>
      </c>
      <c r="L35" s="7">
        <f>IF(OR(D35="",N(J35)=0),"",MIN(1,N(K35)/J35))</f>
        <v/>
      </c>
      <c r="M35" s="5" t="inlineStr">
        <is>
          <t>FATURADO</t>
        </is>
      </c>
      <c r="N35" s="5" t="inlineStr">
        <is>
          <t>PENDENTE</t>
        </is>
      </c>
      <c r="O35" s="5" t="inlineStr">
        <is>
          <t>SMARTLOG</t>
        </is>
      </c>
      <c r="P35" s="5" t="n"/>
      <c r="Q35" s="5" t="n"/>
      <c r="R35" s="4" t="n"/>
      <c r="S35" s="4" t="n"/>
      <c r="T35" s="5" t="inlineStr">
        <is>
          <t>[MIGRAÇÃO: programação original: SMT001CA]</t>
        </is>
      </c>
      <c r="U35" s="8">
        <f>IF(AND(V35=1,D35&lt;&gt;""),IF(D35&gt;=corte,TODAY()-D35,""),"")</f>
        <v/>
      </c>
      <c r="V35" s="8">
        <f>IF(D35="",0,IF(OR(AND(P35&lt;&gt;"",S35=""),AND(N(J35)&gt;0,N(K35)&lt;J35),OR(M35="PENDENTE",M35="PARCIAL"),OR(N35="PENDENTE",N35="PARCIAL")),1,0))</f>
        <v/>
      </c>
      <c r="W35" s="8">
        <f>IF(AND(V35=1,D35&lt;&gt;""),IF(D35&gt;=corte,(B35="CRÍTICO")*1E9+(100000-D35)*10000+10000-ROW(),""),"")</f>
        <v/>
      </c>
      <c r="X35" s="8">
        <f>IF(AND(V35=1,D35=pas_data,E35=pas_turno),10000-ROW(),"")</f>
        <v/>
      </c>
    </row>
    <row r="36">
      <c r="A36" s="3">
        <f>IF(D36="","","TT-"&amp;TEXT(ROW()-1,"00000"))</f>
        <v/>
      </c>
      <c r="B36" s="3">
        <f>IF(D36="","",IF(V36=0,"CONCLUÍDO",IF(D36&lt;corte,"HISTÓRICO",IF(OR(AND(ISNUMBER(R36),R36&lt;TODAY()),AND(OR(N36="PENDENTE",N36="PARCIAL"),D36&lt;TODAY()-1)),"CRÍTICO",IF(OR(AND(P36&lt;&gt;"",S36=""),AND(N36="REALIZADO",M36="PENDENTE"),AND(ISNUMBER(R36),R36=TODAY())),"ATENÇÃO",IF(N(K36)=0,"PENDENTE","EM ANDAMENTO"))))))</f>
        <v/>
      </c>
      <c r="C36" s="3">
        <f>IF(D36="","",IF(V36=0,"🟢 OK",IF(D36&lt;corte,"⚪ HISTÓRICO (sem baixa)",IF(AND(ISNUMBER(R36),R36&lt;TODAY()),"🔴 PRAZO VENCIDO",IF(AND(OR(N36="PENDENTE",N36="PARCIAL"),D36&lt;TODAY()-1),"🔴 EMBARQUE ATRASADO",IF(AND(N36="REALIZADO",M36="PENDENTE"),"🟡 EMBARCADO SEM FATURAR",IF(AND(P36&lt;&gt;"",S36="",OR(Q36="",R36="")),"🟡 PENDÊNCIA SEM RESPONSÁVEL/PRAZO",IF(AND(ISNUMBER(R36),R36=TODAY()),"🟡 VENCE HOJE",IF(AND(P36&lt;&gt;"",S36=""),"🟡 PENDÊNCIA ABERTA",IF(AND(N(J36)&gt;0,N(K36)&lt;J36),"🟡 FALTA EXECUTAR",IF(OR(M36="PENDENTE",M36="PARCIAL"),"🟡 FATURAMENTO PENDENTE","🟡 EMBARQUE PENDENTE")))))))))))</f>
        <v/>
      </c>
      <c r="D36" s="4" t="n">
        <v>46225</v>
      </c>
      <c r="E36" s="5" t="inlineStr">
        <is>
          <t>C</t>
        </is>
      </c>
      <c r="F36" s="5" t="inlineStr">
        <is>
          <t>ADIB</t>
        </is>
      </c>
      <c r="G36" s="5" t="inlineStr">
        <is>
          <t>GM</t>
        </is>
      </c>
      <c r="H36" s="5" t="inlineStr">
        <is>
          <t>SP CAP / INT</t>
        </is>
      </c>
      <c r="I36" s="5" t="inlineStr">
        <is>
          <t>TON</t>
        </is>
      </c>
      <c r="J36" s="6" t="n">
        <v>13.331</v>
      </c>
      <c r="K36" s="6" t="n">
        <v>13.331</v>
      </c>
      <c r="L36" s="7">
        <f>IF(OR(D36="",N(J36)=0),"",MIN(1,N(K36)/J36))</f>
        <v/>
      </c>
      <c r="M36" s="5" t="inlineStr">
        <is>
          <t>FATURADO</t>
        </is>
      </c>
      <c r="N36" s="5" t="inlineStr">
        <is>
          <t>PENDENTE</t>
        </is>
      </c>
      <c r="O36" s="5" t="inlineStr">
        <is>
          <t>SMARTLOG</t>
        </is>
      </c>
      <c r="P36" s="5" t="inlineStr">
        <is>
          <t>SEPARADO E FATURADO - AGUARDANDO CARRO</t>
        </is>
      </c>
      <c r="Q36" s="5" t="n"/>
      <c r="R36" s="4" t="n"/>
      <c r="S36" s="4" t="n"/>
      <c r="T36" s="5" t="inlineStr">
        <is>
          <t>SEPARADO E FATURADO - AGUARDANDO CARRO [MIGRAÇÃO: programação original: SMT001MACPAN]</t>
        </is>
      </c>
      <c r="U36" s="8">
        <f>IF(AND(V36=1,D36&lt;&gt;""),IF(D36&gt;=corte,TODAY()-D36,""),"")</f>
        <v/>
      </c>
      <c r="V36" s="8">
        <f>IF(D36="",0,IF(OR(AND(P36&lt;&gt;"",S36=""),AND(N(J36)&gt;0,N(K36)&lt;J36),OR(M36="PENDENTE",M36="PARCIAL"),OR(N36="PENDENTE",N36="PARCIAL")),1,0))</f>
        <v/>
      </c>
      <c r="W36" s="8">
        <f>IF(AND(V36=1,D36&lt;&gt;""),IF(D36&gt;=corte,(B36="CRÍTICO")*1E9+(100000-D36)*10000+10000-ROW(),""),"")</f>
        <v/>
      </c>
      <c r="X36" s="8">
        <f>IF(AND(V36=1,D36=pas_data,E36=pas_turno),10000-ROW(),"")</f>
        <v/>
      </c>
    </row>
    <row r="37">
      <c r="A37" s="3">
        <f>IF(D37="","","TT-"&amp;TEXT(ROW()-1,"00000"))</f>
        <v/>
      </c>
      <c r="B37" s="3">
        <f>IF(D37="","",IF(V37=0,"CONCLUÍDO",IF(D37&lt;corte,"HISTÓRICO",IF(OR(AND(ISNUMBER(R37),R37&lt;TODAY()),AND(OR(N37="PENDENTE",N37="PARCIAL"),D37&lt;TODAY()-1)),"CRÍTICO",IF(OR(AND(P37&lt;&gt;"",S37=""),AND(N37="REALIZADO",M37="PENDENTE"),AND(ISNUMBER(R37),R37=TODAY())),"ATENÇÃO",IF(N(K37)=0,"PENDENTE","EM ANDAMENTO"))))))</f>
        <v/>
      </c>
      <c r="C37" s="3">
        <f>IF(D37="","",IF(V37=0,"🟢 OK",IF(D37&lt;corte,"⚪ HISTÓRICO (sem baixa)",IF(AND(ISNUMBER(R37),R37&lt;TODAY()),"🔴 PRAZO VENCIDO",IF(AND(OR(N37="PENDENTE",N37="PARCIAL"),D37&lt;TODAY()-1),"🔴 EMBARQUE ATRASADO",IF(AND(N37="REALIZADO",M37="PENDENTE"),"🟡 EMBARCADO SEM FATURAR",IF(AND(P37&lt;&gt;"",S37="",OR(Q37="",R37="")),"🟡 PENDÊNCIA SEM RESPONSÁVEL/PRAZO",IF(AND(ISNUMBER(R37),R37=TODAY()),"🟡 VENCE HOJE",IF(AND(P37&lt;&gt;"",S37=""),"🟡 PENDÊNCIA ABERTA",IF(AND(N(J37)&gt;0,N(K37)&lt;J37),"🟡 FALTA EXECUTAR",IF(OR(M37="PENDENTE",M37="PARCIAL"),"🟡 FATURAMENTO PENDENTE","🟡 EMBARQUE PENDENTE")))))))))))</f>
        <v/>
      </c>
      <c r="D37" s="4" t="n">
        <v>46225</v>
      </c>
      <c r="E37" s="5" t="inlineStr">
        <is>
          <t>B</t>
        </is>
      </c>
      <c r="F37" s="5" t="inlineStr">
        <is>
          <t>THIAGO</t>
        </is>
      </c>
      <c r="G37" s="5" t="inlineStr">
        <is>
          <t>GM</t>
        </is>
      </c>
      <c r="H37" s="5" t="inlineStr">
        <is>
          <t>SP CAP / INT</t>
        </is>
      </c>
      <c r="I37" s="5" t="inlineStr">
        <is>
          <t>TON</t>
        </is>
      </c>
      <c r="J37" s="6" t="n">
        <v>1.78</v>
      </c>
      <c r="K37" s="6" t="n">
        <v>1.78</v>
      </c>
      <c r="L37" s="7">
        <f>IF(OR(D37="",N(J37)=0),"",MIN(1,N(K37)/J37))</f>
        <v/>
      </c>
      <c r="M37" s="5" t="inlineStr">
        <is>
          <t>FATURADO</t>
        </is>
      </c>
      <c r="N37" s="5" t="inlineStr">
        <is>
          <t>PENDENTE</t>
        </is>
      </c>
      <c r="O37" s="5" t="inlineStr">
        <is>
          <t>SMARTLOG</t>
        </is>
      </c>
      <c r="P37" s="5" t="n"/>
      <c r="Q37" s="5" t="n"/>
      <c r="R37" s="4" t="n"/>
      <c r="S37" s="4" t="n"/>
      <c r="T37" s="5" t="inlineStr">
        <is>
          <t>[MIGRAÇÃO: programação original: SMT002CA]</t>
        </is>
      </c>
      <c r="U37" s="8">
        <f>IF(AND(V37=1,D37&lt;&gt;""),IF(D37&gt;=corte,TODAY()-D37,""),"")</f>
        <v/>
      </c>
      <c r="V37" s="8">
        <f>IF(D37="",0,IF(OR(AND(P37&lt;&gt;"",S37=""),AND(N(J37)&gt;0,N(K37)&lt;J37),OR(M37="PENDENTE",M37="PARCIAL"),OR(N37="PENDENTE",N37="PARCIAL")),1,0))</f>
        <v/>
      </c>
      <c r="W37" s="8">
        <f>IF(AND(V37=1,D37&lt;&gt;""),IF(D37&gt;=corte,(B37="CRÍTICO")*1E9+(100000-D37)*10000+10000-ROW(),""),"")</f>
        <v/>
      </c>
      <c r="X37" s="8">
        <f>IF(AND(V37=1,D37=pas_data,E37=pas_turno),10000-ROW(),"")</f>
        <v/>
      </c>
    </row>
    <row r="38">
      <c r="A38" s="3">
        <f>IF(D38="","","TT-"&amp;TEXT(ROW()-1,"00000"))</f>
        <v/>
      </c>
      <c r="B38" s="3">
        <f>IF(D38="","",IF(V38=0,"CONCLUÍDO",IF(D38&lt;corte,"HISTÓRICO",IF(OR(AND(ISNUMBER(R38),R38&lt;TODAY()),AND(OR(N38="PENDENTE",N38="PARCIAL"),D38&lt;TODAY()-1)),"CRÍTICO",IF(OR(AND(P38&lt;&gt;"",S38=""),AND(N38="REALIZADO",M38="PENDENTE"),AND(ISNUMBER(R38),R38=TODAY())),"ATENÇÃO",IF(N(K38)=0,"PENDENTE","EM ANDAMENTO"))))))</f>
        <v/>
      </c>
      <c r="C38" s="3">
        <f>IF(D38="","",IF(V38=0,"🟢 OK",IF(D38&lt;corte,"⚪ HISTÓRICO (sem baixa)",IF(AND(ISNUMBER(R38),R38&lt;TODAY()),"🔴 PRAZO VENCIDO",IF(AND(OR(N38="PENDENTE",N38="PARCIAL"),D38&lt;TODAY()-1),"🔴 EMBARQUE ATRASADO",IF(AND(N38="REALIZADO",M38="PENDENTE"),"🟡 EMBARCADO SEM FATURAR",IF(AND(P38&lt;&gt;"",S38="",OR(Q38="",R38="")),"🟡 PENDÊNCIA SEM RESPONSÁVEL/PRAZO",IF(AND(ISNUMBER(R38),R38=TODAY()),"🟡 VENCE HOJE",IF(AND(P38&lt;&gt;"",S38=""),"🟡 PENDÊNCIA ABERTA",IF(AND(N(J38)&gt;0,N(K38)&lt;J38),"🟡 FALTA EXECUTAR",IF(OR(M38="PENDENTE",M38="PARCIAL"),"🟡 FATURAMENTO PENDENTE","🟡 EMBARQUE PENDENTE")))))))))))</f>
        <v/>
      </c>
      <c r="D38" s="4" t="n">
        <v>46225</v>
      </c>
      <c r="E38" s="5" t="inlineStr">
        <is>
          <t>B</t>
        </is>
      </c>
      <c r="F38" s="5" t="inlineStr">
        <is>
          <t>THIAGO</t>
        </is>
      </c>
      <c r="G38" s="5" t="inlineStr">
        <is>
          <t>GM</t>
        </is>
      </c>
      <c r="H38" s="5" t="inlineStr">
        <is>
          <t>SP CAP / INT</t>
        </is>
      </c>
      <c r="I38" s="5" t="inlineStr">
        <is>
          <t>TON</t>
        </is>
      </c>
      <c r="J38" s="6" t="n">
        <v>1.978</v>
      </c>
      <c r="K38" s="6" t="n">
        <v>1.978</v>
      </c>
      <c r="L38" s="7">
        <f>IF(OR(D38="",N(J38)=0),"",MIN(1,N(K38)/J38))</f>
        <v/>
      </c>
      <c r="M38" s="5" t="inlineStr">
        <is>
          <t>FATURADO</t>
        </is>
      </c>
      <c r="N38" s="5" t="inlineStr">
        <is>
          <t>PENDENTE</t>
        </is>
      </c>
      <c r="O38" s="5" t="inlineStr">
        <is>
          <t>SMARTLOG</t>
        </is>
      </c>
      <c r="P38" s="5" t="n"/>
      <c r="Q38" s="5" t="n"/>
      <c r="R38" s="4" t="n"/>
      <c r="S38" s="4" t="n"/>
      <c r="T38" s="5" t="inlineStr">
        <is>
          <t>[MIGRAÇÃO: programação original: SMT003CA]</t>
        </is>
      </c>
      <c r="U38" s="8">
        <f>IF(AND(V38=1,D38&lt;&gt;""),IF(D38&gt;=corte,TODAY()-D38,""),"")</f>
        <v/>
      </c>
      <c r="V38" s="8">
        <f>IF(D38="",0,IF(OR(AND(P38&lt;&gt;"",S38=""),AND(N(J38)&gt;0,N(K38)&lt;J38),OR(M38="PENDENTE",M38="PARCIAL"),OR(N38="PENDENTE",N38="PARCIAL")),1,0))</f>
        <v/>
      </c>
      <c r="W38" s="8">
        <f>IF(AND(V38=1,D38&lt;&gt;""),IF(D38&gt;=corte,(B38="CRÍTICO")*1E9+(100000-D38)*10000+10000-ROW(),""),"")</f>
        <v/>
      </c>
      <c r="X38" s="8">
        <f>IF(AND(V38=1,D38=pas_data,E38=pas_turno),10000-ROW(),"")</f>
        <v/>
      </c>
    </row>
    <row r="39">
      <c r="A39" s="3">
        <f>IF(D39="","","TT-"&amp;TEXT(ROW()-1,"00000"))</f>
        <v/>
      </c>
      <c r="B39" s="3">
        <f>IF(D39="","",IF(V39=0,"CONCLUÍDO",IF(D39&lt;corte,"HISTÓRICO",IF(OR(AND(ISNUMBER(R39),R39&lt;TODAY()),AND(OR(N39="PENDENTE",N39="PARCIAL"),D39&lt;TODAY()-1)),"CRÍTICO",IF(OR(AND(P39&lt;&gt;"",S39=""),AND(N39="REALIZADO",M39="PENDENTE"),AND(ISNUMBER(R39),R39=TODAY())),"ATENÇÃO",IF(N(K39)=0,"PENDENTE","EM ANDAMENTO"))))))</f>
        <v/>
      </c>
      <c r="C39" s="3">
        <f>IF(D39="","",IF(V39=0,"🟢 OK",IF(D39&lt;corte,"⚪ HISTÓRICO (sem baixa)",IF(AND(ISNUMBER(R39),R39&lt;TODAY()),"🔴 PRAZO VENCIDO",IF(AND(OR(N39="PENDENTE",N39="PARCIAL"),D39&lt;TODAY()-1),"🔴 EMBARQUE ATRASADO",IF(AND(N39="REALIZADO",M39="PENDENTE"),"🟡 EMBARCADO SEM FATURAR",IF(AND(P39&lt;&gt;"",S39="",OR(Q39="",R39="")),"🟡 PENDÊNCIA SEM RESPONSÁVEL/PRAZO",IF(AND(ISNUMBER(R39),R39=TODAY()),"🟡 VENCE HOJE",IF(AND(P39&lt;&gt;"",S39=""),"🟡 PENDÊNCIA ABERTA",IF(AND(N(J39)&gt;0,N(K39)&lt;J39),"🟡 FALTA EXECUTAR",IF(OR(M39="PENDENTE",M39="PARCIAL"),"🟡 FATURAMENTO PENDENTE","🟡 EMBARQUE PENDENTE")))))))))))</f>
        <v/>
      </c>
      <c r="D39" s="4" t="n">
        <v>46225</v>
      </c>
      <c r="E39" s="5" t="inlineStr">
        <is>
          <t>B</t>
        </is>
      </c>
      <c r="F39" s="5" t="inlineStr">
        <is>
          <t>THIAGO</t>
        </is>
      </c>
      <c r="G39" s="5" t="inlineStr">
        <is>
          <t>GM</t>
        </is>
      </c>
      <c r="H39" s="5" t="inlineStr">
        <is>
          <t>SP CAP / INT</t>
        </is>
      </c>
      <c r="I39" s="5" t="inlineStr">
        <is>
          <t>TON</t>
        </is>
      </c>
      <c r="J39" s="6" t="n">
        <v>4.689</v>
      </c>
      <c r="K39" s="6" t="n">
        <v>4.689</v>
      </c>
      <c r="L39" s="7">
        <f>IF(OR(D39="",N(J39)=0),"",MIN(1,N(K39)/J39))</f>
        <v/>
      </c>
      <c r="M39" s="5" t="inlineStr">
        <is>
          <t>FATURADO</t>
        </is>
      </c>
      <c r="N39" s="5" t="inlineStr">
        <is>
          <t>PENDENTE</t>
        </is>
      </c>
      <c r="O39" s="5" t="inlineStr">
        <is>
          <t>SMARTLOG</t>
        </is>
      </c>
      <c r="P39" s="5" t="n"/>
      <c r="Q39" s="5" t="n"/>
      <c r="R39" s="4" t="n"/>
      <c r="S39" s="4" t="n"/>
      <c r="T39" s="5" t="inlineStr">
        <is>
          <t>[MIGRAÇÃO: programação original: SMT004CA]</t>
        </is>
      </c>
      <c r="U39" s="8">
        <f>IF(AND(V39=1,D39&lt;&gt;""),IF(D39&gt;=corte,TODAY()-D39,""),"")</f>
        <v/>
      </c>
      <c r="V39" s="8">
        <f>IF(D39="",0,IF(OR(AND(P39&lt;&gt;"",S39=""),AND(N(J39)&gt;0,N(K39)&lt;J39),OR(M39="PENDENTE",M39="PARCIAL"),OR(N39="PENDENTE",N39="PARCIAL")),1,0))</f>
        <v/>
      </c>
      <c r="W39" s="8">
        <f>IF(AND(V39=1,D39&lt;&gt;""),IF(D39&gt;=corte,(B39="CRÍTICO")*1E9+(100000-D39)*10000+10000-ROW(),""),"")</f>
        <v/>
      </c>
      <c r="X39" s="8">
        <f>IF(AND(V39=1,D39=pas_data,E39=pas_turno),10000-ROW(),"")</f>
        <v/>
      </c>
    </row>
    <row r="40">
      <c r="A40" s="3">
        <f>IF(D40="","","TT-"&amp;TEXT(ROW()-1,"00000"))</f>
        <v/>
      </c>
      <c r="B40" s="3">
        <f>IF(D40="","",IF(V40=0,"CONCLUÍDO",IF(D40&lt;corte,"HISTÓRICO",IF(OR(AND(ISNUMBER(R40),R40&lt;TODAY()),AND(OR(N40="PENDENTE",N40="PARCIAL"),D40&lt;TODAY()-1)),"CRÍTICO",IF(OR(AND(P40&lt;&gt;"",S40=""),AND(N40="REALIZADO",M40="PENDENTE"),AND(ISNUMBER(R40),R40=TODAY())),"ATENÇÃO",IF(N(K40)=0,"PENDENTE","EM ANDAMENTO"))))))</f>
        <v/>
      </c>
      <c r="C40" s="3">
        <f>IF(D40="","",IF(V40=0,"🟢 OK",IF(D40&lt;corte,"⚪ HISTÓRICO (sem baixa)",IF(AND(ISNUMBER(R40),R40&lt;TODAY()),"🔴 PRAZO VENCIDO",IF(AND(OR(N40="PENDENTE",N40="PARCIAL"),D40&lt;TODAY()-1),"🔴 EMBARQUE ATRASADO",IF(AND(N40="REALIZADO",M40="PENDENTE"),"🟡 EMBARCADO SEM FATURAR",IF(AND(P40&lt;&gt;"",S40="",OR(Q40="",R40="")),"🟡 PENDÊNCIA SEM RESPONSÁVEL/PRAZO",IF(AND(ISNUMBER(R40),R40=TODAY()),"🟡 VENCE HOJE",IF(AND(P40&lt;&gt;"",S40=""),"🟡 PENDÊNCIA ABERTA",IF(AND(N(J40)&gt;0,N(K40)&lt;J40),"🟡 FALTA EXECUTAR",IF(OR(M40="PENDENTE",M40="PARCIAL"),"🟡 FATURAMENTO PENDENTE","🟡 EMBARQUE PENDENTE")))))))))))</f>
        <v/>
      </c>
      <c r="D40" s="4" t="n">
        <v>46225</v>
      </c>
      <c r="E40" s="5" t="inlineStr">
        <is>
          <t>C</t>
        </is>
      </c>
      <c r="F40" s="5" t="inlineStr">
        <is>
          <t>ADIB</t>
        </is>
      </c>
      <c r="G40" s="5" t="inlineStr">
        <is>
          <t>GM</t>
        </is>
      </c>
      <c r="H40" s="5" t="inlineStr">
        <is>
          <t>SP INT</t>
        </is>
      </c>
      <c r="I40" s="5" t="inlineStr">
        <is>
          <t>TON</t>
        </is>
      </c>
      <c r="J40" s="6" t="n">
        <v>21.954</v>
      </c>
      <c r="K40" s="6" t="n">
        <v>21.954</v>
      </c>
      <c r="L40" s="7">
        <f>IF(OR(D40="",N(J40)=0),"",MIN(1,N(K40)/J40))</f>
        <v/>
      </c>
      <c r="M40" s="5" t="inlineStr">
        <is>
          <t>PENDENTE</t>
        </is>
      </c>
      <c r="N40" s="5" t="inlineStr">
        <is>
          <t>PENDENTE</t>
        </is>
      </c>
      <c r="O40" s="5" t="inlineStr">
        <is>
          <t>SMARTLOG</t>
        </is>
      </c>
      <c r="P40" s="5" t="n"/>
      <c r="Q40" s="5" t="n"/>
      <c r="R40" s="4" t="n"/>
      <c r="S40" s="4" t="n"/>
      <c r="T40" s="5" t="inlineStr">
        <is>
          <t>SEPARADO E CONFERIDO - EMBARQUE 24/07</t>
        </is>
      </c>
      <c r="U40" s="8">
        <f>IF(AND(V40=1,D40&lt;&gt;""),IF(D40&gt;=corte,TODAY()-D40,""),"")</f>
        <v/>
      </c>
      <c r="V40" s="8">
        <f>IF(D40="",0,IF(OR(AND(P40&lt;&gt;"",S40=""),AND(N(J40)&gt;0,N(K40)&lt;J40),OR(M40="PENDENTE",M40="PARCIAL"),OR(N40="PENDENTE",N40="PARCIAL")),1,0))</f>
        <v/>
      </c>
      <c r="W40" s="8">
        <f>IF(AND(V40=1,D40&lt;&gt;""),IF(D40&gt;=corte,(B40="CRÍTICO")*1E9+(100000-D40)*10000+10000-ROW(),""),"")</f>
        <v/>
      </c>
      <c r="X40" s="8">
        <f>IF(AND(V40=1,D40=pas_data,E40=pas_turno),10000-ROW(),"")</f>
        <v/>
      </c>
    </row>
    <row r="41">
      <c r="A41" s="3">
        <f>IF(D41="","","TT-"&amp;TEXT(ROW()-1,"00000"))</f>
        <v/>
      </c>
      <c r="B41" s="3">
        <f>IF(D41="","",IF(V41=0,"CONCLUÍDO",IF(D41&lt;corte,"HISTÓRICO",IF(OR(AND(ISNUMBER(R41),R41&lt;TODAY()),AND(OR(N41="PENDENTE",N41="PARCIAL"),D41&lt;TODAY()-1)),"CRÍTICO",IF(OR(AND(P41&lt;&gt;"",S41=""),AND(N41="REALIZADO",M41="PENDENTE"),AND(ISNUMBER(R41),R41=TODAY())),"ATENÇÃO",IF(N(K41)=0,"PENDENTE","EM ANDAMENTO"))))))</f>
        <v/>
      </c>
      <c r="C41" s="3">
        <f>IF(D41="","",IF(V41=0,"🟢 OK",IF(D41&lt;corte,"⚪ HISTÓRICO (sem baixa)",IF(AND(ISNUMBER(R41),R41&lt;TODAY()),"🔴 PRAZO VENCIDO",IF(AND(OR(N41="PENDENTE",N41="PARCIAL"),D41&lt;TODAY()-1),"🔴 EMBARQUE ATRASADO",IF(AND(N41="REALIZADO",M41="PENDENTE"),"🟡 EMBARCADO SEM FATURAR",IF(AND(P41&lt;&gt;"",S41="",OR(Q41="",R41="")),"🟡 PENDÊNCIA SEM RESPONSÁVEL/PRAZO",IF(AND(ISNUMBER(R41),R41=TODAY()),"🟡 VENCE HOJE",IF(AND(P41&lt;&gt;"",S41=""),"🟡 PENDÊNCIA ABERTA",IF(AND(N(J41)&gt;0,N(K41)&lt;J41),"🟡 FALTA EXECUTAR",IF(OR(M41="PENDENTE",M41="PARCIAL"),"🟡 FATURAMENTO PENDENTE","🟡 EMBARQUE PENDENTE")))))))))))</f>
        <v/>
      </c>
      <c r="D41" s="4" t="n">
        <v>46225</v>
      </c>
      <c r="E41" s="5" t="inlineStr">
        <is>
          <t>C</t>
        </is>
      </c>
      <c r="F41" s="5" t="inlineStr">
        <is>
          <t>ADIB</t>
        </is>
      </c>
      <c r="G41" s="5" t="inlineStr">
        <is>
          <t>FOB</t>
        </is>
      </c>
      <c r="H41" s="5" t="inlineStr">
        <is>
          <t>PROPRIO</t>
        </is>
      </c>
      <c r="I41" s="5" t="inlineStr">
        <is>
          <t>TON</t>
        </is>
      </c>
      <c r="J41" s="6" t="n">
        <v>14.366</v>
      </c>
      <c r="K41" s="6" t="n">
        <v>14.366</v>
      </c>
      <c r="L41" s="7">
        <f>IF(OR(D41="",N(J41)=0),"",MIN(1,N(K41)/J41))</f>
        <v/>
      </c>
      <c r="M41" s="5" t="inlineStr">
        <is>
          <t>PENDENTE</t>
        </is>
      </c>
      <c r="N41" s="5" t="inlineStr">
        <is>
          <t>REALIZADO</t>
        </is>
      </c>
      <c r="O41" s="5" t="inlineStr">
        <is>
          <t>SMARTLOG</t>
        </is>
      </c>
      <c r="P41" s="5" t="n"/>
      <c r="Q41" s="5" t="n"/>
      <c r="R41" s="4" t="n"/>
      <c r="S41" s="4" t="n"/>
      <c r="T41" s="5" t="inlineStr">
        <is>
          <t>CARREGAMENTO DISTRIB IMPORTADORA</t>
        </is>
      </c>
      <c r="U41" s="8">
        <f>IF(AND(V41=1,D41&lt;&gt;""),IF(D41&gt;=corte,TODAY()-D41,""),"")</f>
        <v/>
      </c>
      <c r="V41" s="8">
        <f>IF(D41="",0,IF(OR(AND(P41&lt;&gt;"",S41=""),AND(N(J41)&gt;0,N(K41)&lt;J41),OR(M41="PENDENTE",M41="PARCIAL"),OR(N41="PENDENTE",N41="PARCIAL")),1,0))</f>
        <v/>
      </c>
      <c r="W41" s="8">
        <f>IF(AND(V41=1,D41&lt;&gt;""),IF(D41&gt;=corte,(B41="CRÍTICO")*1E9+(100000-D41)*10000+10000-ROW(),""),"")</f>
        <v/>
      </c>
      <c r="X41" s="8">
        <f>IF(AND(V41=1,D41=pas_data,E41=pas_turno),10000-ROW(),"")</f>
        <v/>
      </c>
    </row>
    <row r="42">
      <c r="A42" s="3">
        <f>IF(D42="","","TT-"&amp;TEXT(ROW()-1,"00000"))</f>
        <v/>
      </c>
      <c r="B42" s="3">
        <f>IF(D42="","",IF(V42=0,"CONCLUÍDO",IF(D42&lt;corte,"HISTÓRICO",IF(OR(AND(ISNUMBER(R42),R42&lt;TODAY()),AND(OR(N42="PENDENTE",N42="PARCIAL"),D42&lt;TODAY()-1)),"CRÍTICO",IF(OR(AND(P42&lt;&gt;"",S42=""),AND(N42="REALIZADO",M42="PENDENTE"),AND(ISNUMBER(R42),R42=TODAY())),"ATENÇÃO",IF(N(K42)=0,"PENDENTE","EM ANDAMENTO"))))))</f>
        <v/>
      </c>
      <c r="C42" s="3">
        <f>IF(D42="","",IF(V42=0,"🟢 OK",IF(D42&lt;corte,"⚪ HISTÓRICO (sem baixa)",IF(AND(ISNUMBER(R42),R42&lt;TODAY()),"🔴 PRAZO VENCIDO",IF(AND(OR(N42="PENDENTE",N42="PARCIAL"),D42&lt;TODAY()-1),"🔴 EMBARQUE ATRASADO",IF(AND(N42="REALIZADO",M42="PENDENTE"),"🟡 EMBARCADO SEM FATURAR",IF(AND(P42&lt;&gt;"",S42="",OR(Q42="",R42="")),"🟡 PENDÊNCIA SEM RESPONSÁVEL/PRAZO",IF(AND(ISNUMBER(R42),R42=TODAY()),"🟡 VENCE HOJE",IF(AND(P42&lt;&gt;"",S42=""),"🟡 PENDÊNCIA ABERTA",IF(AND(N(J42)&gt;0,N(K42)&lt;J42),"🟡 FALTA EXECUTAR",IF(OR(M42="PENDENTE",M42="PARCIAL"),"🟡 FATURAMENTO PENDENTE","🟡 EMBARQUE PENDENTE")))))))))))</f>
        <v/>
      </c>
      <c r="D42" s="4" t="n">
        <v>46225</v>
      </c>
      <c r="E42" s="5" t="inlineStr">
        <is>
          <t>C</t>
        </is>
      </c>
      <c r="F42" s="5" t="inlineStr">
        <is>
          <t>ADIB</t>
        </is>
      </c>
      <c r="G42" s="5" t="inlineStr">
        <is>
          <t>FOB</t>
        </is>
      </c>
      <c r="H42" s="5" t="inlineStr">
        <is>
          <t>PROPRIO</t>
        </is>
      </c>
      <c r="I42" s="5" t="inlineStr">
        <is>
          <t>TON</t>
        </is>
      </c>
      <c r="J42" s="6" t="n">
        <v>4.28</v>
      </c>
      <c r="K42" s="6" t="n">
        <v>4.28</v>
      </c>
      <c r="L42" s="7">
        <f>IF(OR(D42="",N(J42)=0),"",MIN(1,N(K42)/J42))</f>
        <v/>
      </c>
      <c r="M42" s="5" t="inlineStr">
        <is>
          <t>FATURADO</t>
        </is>
      </c>
      <c r="N42" s="5" t="inlineStr">
        <is>
          <t>PENDENTE</t>
        </is>
      </c>
      <c r="O42" s="5" t="inlineStr">
        <is>
          <t>SMARTLOG</t>
        </is>
      </c>
      <c r="P42" s="5" t="inlineStr">
        <is>
          <t>SEPARADO E FATURADO - CARRO NO PATIO - FALTA CARREGAR</t>
        </is>
      </c>
      <c r="Q42" s="5" t="n"/>
      <c r="R42" s="4" t="n"/>
      <c r="S42" s="4" t="n"/>
      <c r="T42" s="5" t="inlineStr">
        <is>
          <t>SEPARADO E FATURADO - CARRO NO PATIO - FALTA CARREGAR</t>
        </is>
      </c>
      <c r="U42" s="8">
        <f>IF(AND(V42=1,D42&lt;&gt;""),IF(D42&gt;=corte,TODAY()-D42,""),"")</f>
        <v/>
      </c>
      <c r="V42" s="8">
        <f>IF(D42="",0,IF(OR(AND(P42&lt;&gt;"",S42=""),AND(N(J42)&gt;0,N(K42)&lt;J42),OR(M42="PENDENTE",M42="PARCIAL"),OR(N42="PENDENTE",N42="PARCIAL")),1,0))</f>
        <v/>
      </c>
      <c r="W42" s="8">
        <f>IF(AND(V42=1,D42&lt;&gt;""),IF(D42&gt;=corte,(B42="CRÍTICO")*1E9+(100000-D42)*10000+10000-ROW(),""),"")</f>
        <v/>
      </c>
      <c r="X42" s="8">
        <f>IF(AND(V42=1,D42=pas_data,E42=pas_turno),10000-ROW(),"")</f>
        <v/>
      </c>
    </row>
    <row r="43">
      <c r="A43" s="3">
        <f>IF(D43="","","TT-"&amp;TEXT(ROW()-1,"00000"))</f>
        <v/>
      </c>
      <c r="B43" s="3">
        <f>IF(D43="","",IF(V43=0,"CONCLUÍDO",IF(D43&lt;corte,"HISTÓRICO",IF(OR(AND(ISNUMBER(R43),R43&lt;TODAY()),AND(OR(N43="PENDENTE",N43="PARCIAL"),D43&lt;TODAY()-1)),"CRÍTICO",IF(OR(AND(P43&lt;&gt;"",S43=""),AND(N43="REALIZADO",M43="PENDENTE"),AND(ISNUMBER(R43),R43=TODAY())),"ATENÇÃO",IF(N(K43)=0,"PENDENTE","EM ANDAMENTO"))))))</f>
        <v/>
      </c>
      <c r="C43" s="3">
        <f>IF(D43="","",IF(V43=0,"🟢 OK",IF(D43&lt;corte,"⚪ HISTÓRICO (sem baixa)",IF(AND(ISNUMBER(R43),R43&lt;TODAY()),"🔴 PRAZO VENCIDO",IF(AND(OR(N43="PENDENTE",N43="PARCIAL"),D43&lt;TODAY()-1),"🔴 EMBARQUE ATRASADO",IF(AND(N43="REALIZADO",M43="PENDENTE"),"🟡 EMBARCADO SEM FATURAR",IF(AND(P43&lt;&gt;"",S43="",OR(Q43="",R43="")),"🟡 PENDÊNCIA SEM RESPONSÁVEL/PRAZO",IF(AND(ISNUMBER(R43),R43=TODAY()),"🟡 VENCE HOJE",IF(AND(P43&lt;&gt;"",S43=""),"🟡 PENDÊNCIA ABERTA",IF(AND(N(J43)&gt;0,N(K43)&lt;J43),"🟡 FALTA EXECUTAR",IF(OR(M43="PENDENTE",M43="PARCIAL"),"🟡 FATURAMENTO PENDENTE","🟡 EMBARQUE PENDENTE")))))))))))</f>
        <v/>
      </c>
      <c r="D43" s="4" t="n">
        <v>46225</v>
      </c>
      <c r="E43" s="5" t="inlineStr">
        <is>
          <t>C</t>
        </is>
      </c>
      <c r="F43" s="5" t="inlineStr">
        <is>
          <t>ADIB</t>
        </is>
      </c>
      <c r="G43" s="5" t="inlineStr">
        <is>
          <t>FOB</t>
        </is>
      </c>
      <c r="H43" s="5" t="inlineStr">
        <is>
          <t>PROPRIO</t>
        </is>
      </c>
      <c r="I43" s="5" t="inlineStr">
        <is>
          <t>TON</t>
        </is>
      </c>
      <c r="J43" s="6" t="n">
        <v>18.976</v>
      </c>
      <c r="K43" s="6" t="n">
        <v>18.976</v>
      </c>
      <c r="L43" s="7">
        <f>IF(OR(D43="",N(J43)=0),"",MIN(1,N(K43)/J43))</f>
        <v/>
      </c>
      <c r="M43" s="5" t="inlineStr">
        <is>
          <t>FATURADO</t>
        </is>
      </c>
      <c r="N43" s="5" t="inlineStr">
        <is>
          <t>PENDENTE</t>
        </is>
      </c>
      <c r="O43" s="5" t="inlineStr">
        <is>
          <t>PRÓPRIO</t>
        </is>
      </c>
      <c r="P43" s="5" t="inlineStr">
        <is>
          <t>OESA- FATURADO - CARRO NO PATIO - FALTA CARREGAR</t>
        </is>
      </c>
      <c r="Q43" s="5" t="n"/>
      <c r="R43" s="4" t="n"/>
      <c r="S43" s="4" t="n"/>
      <c r="T43" s="5" t="inlineStr">
        <is>
          <t>OESA- FATURADO - CARRO NO PATIO - FALTA CARREGAR</t>
        </is>
      </c>
      <c r="U43" s="8">
        <f>IF(AND(V43=1,D43&lt;&gt;""),IF(D43&gt;=corte,TODAY()-D43,""),"")</f>
        <v/>
      </c>
      <c r="V43" s="8">
        <f>IF(D43="",0,IF(OR(AND(P43&lt;&gt;"",S43=""),AND(N(J43)&gt;0,N(K43)&lt;J43),OR(M43="PENDENTE",M43="PARCIAL"),OR(N43="PENDENTE",N43="PARCIAL")),1,0))</f>
        <v/>
      </c>
      <c r="W43" s="8">
        <f>IF(AND(V43=1,D43&lt;&gt;""),IF(D43&gt;=corte,(B43="CRÍTICO")*1E9+(100000-D43)*10000+10000-ROW(),""),"")</f>
        <v/>
      </c>
      <c r="X43" s="8">
        <f>IF(AND(V43=1,D43=pas_data,E43=pas_turno),10000-ROW(),"")</f>
        <v/>
      </c>
    </row>
    <row r="44">
      <c r="A44" s="3">
        <f>IF(D44="","","TT-"&amp;TEXT(ROW()-1,"00000"))</f>
        <v/>
      </c>
      <c r="B44" s="3">
        <f>IF(D44="","",IF(V44=0,"CONCLUÍDO",IF(D44&lt;corte,"HISTÓRICO",IF(OR(AND(ISNUMBER(R44),R44&lt;TODAY()),AND(OR(N44="PENDENTE",N44="PARCIAL"),D44&lt;TODAY()-1)),"CRÍTICO",IF(OR(AND(P44&lt;&gt;"",S44=""),AND(N44="REALIZADO",M44="PENDENTE"),AND(ISNUMBER(R44),R44=TODAY())),"ATENÇÃO",IF(N(K44)=0,"PENDENTE","EM ANDAMENTO"))))))</f>
        <v/>
      </c>
      <c r="C44" s="3">
        <f>IF(D44="","",IF(V44=0,"🟢 OK",IF(D44&lt;corte,"⚪ HISTÓRICO (sem baixa)",IF(AND(ISNUMBER(R44),R44&lt;TODAY()),"🔴 PRAZO VENCIDO",IF(AND(OR(N44="PENDENTE",N44="PARCIAL"),D44&lt;TODAY()-1),"🔴 EMBARQUE ATRASADO",IF(AND(N44="REALIZADO",M44="PENDENTE"),"🟡 EMBARCADO SEM FATURAR",IF(AND(P44&lt;&gt;"",S44="",OR(Q44="",R44="")),"🟡 PENDÊNCIA SEM RESPONSÁVEL/PRAZO",IF(AND(ISNUMBER(R44),R44=TODAY()),"🟡 VENCE HOJE",IF(AND(P44&lt;&gt;"",S44=""),"🟡 PENDÊNCIA ABERTA",IF(AND(N(J44)&gt;0,N(K44)&lt;J44),"🟡 FALTA EXECUTAR",IF(OR(M44="PENDENTE",M44="PARCIAL"),"🟡 FATURAMENTO PENDENTE","🟡 EMBARQUE PENDENTE")))))))))))</f>
        <v/>
      </c>
      <c r="D44" s="4" t="n">
        <v>46225</v>
      </c>
      <c r="E44" s="5" t="inlineStr">
        <is>
          <t>D</t>
        </is>
      </c>
      <c r="F44" s="5" t="inlineStr">
        <is>
          <t>ADAO</t>
        </is>
      </c>
      <c r="G44" s="5" t="inlineStr">
        <is>
          <t>GM</t>
        </is>
      </c>
      <c r="H44" s="5" t="inlineStr">
        <is>
          <t>C.OESTE/ES/NORTE</t>
        </is>
      </c>
      <c r="I44" s="5" t="inlineStr">
        <is>
          <t>TON</t>
        </is>
      </c>
      <c r="J44" s="6" t="n">
        <v>17.96</v>
      </c>
      <c r="K44" s="6" t="n">
        <v>17.96</v>
      </c>
      <c r="L44" s="7">
        <f>IF(OR(D44="",N(J44)=0),"",MIN(1,N(K44)/J44))</f>
        <v/>
      </c>
      <c r="M44" s="5" t="inlineStr">
        <is>
          <t>PENDENTE</t>
        </is>
      </c>
      <c r="N44" s="5" t="inlineStr">
        <is>
          <t>PENDENTE</t>
        </is>
      </c>
      <c r="O44" s="5" t="inlineStr">
        <is>
          <t>TAFF</t>
        </is>
      </c>
      <c r="P44" s="5" t="inlineStr">
        <is>
          <t>co separado falta conferir norte fata separ ots geradas</t>
        </is>
      </c>
      <c r="Q44" s="5" t="n"/>
      <c r="R44" s="4" t="n"/>
      <c r="S44" s="4" t="n"/>
      <c r="T44" s="5" t="inlineStr">
        <is>
          <t>co separado falta conferir norte fata separ ots geradas</t>
        </is>
      </c>
      <c r="U44" s="8">
        <f>IF(AND(V44=1,D44&lt;&gt;""),IF(D44&gt;=corte,TODAY()-D44,""),"")</f>
        <v/>
      </c>
      <c r="V44" s="8">
        <f>IF(D44="",0,IF(OR(AND(P44&lt;&gt;"",S44=""),AND(N(J44)&gt;0,N(K44)&lt;J44),OR(M44="PENDENTE",M44="PARCIAL"),OR(N44="PENDENTE",N44="PARCIAL")),1,0))</f>
        <v/>
      </c>
      <c r="W44" s="8">
        <f>IF(AND(V44=1,D44&lt;&gt;""),IF(D44&gt;=corte,(B44="CRÍTICO")*1E9+(100000-D44)*10000+10000-ROW(),""),"")</f>
        <v/>
      </c>
      <c r="X44" s="8">
        <f>IF(AND(V44=1,D44=pas_data,E44=pas_turno),10000-ROW(),"")</f>
        <v/>
      </c>
    </row>
    <row r="45">
      <c r="A45" s="3">
        <f>IF(D45="","","TT-"&amp;TEXT(ROW()-1,"00000"))</f>
        <v/>
      </c>
      <c r="B45" s="3">
        <f>IF(D45="","",IF(V45=0,"CONCLUÍDO",IF(D45&lt;corte,"HISTÓRICO",IF(OR(AND(ISNUMBER(R45),R45&lt;TODAY()),AND(OR(N45="PENDENTE",N45="PARCIAL"),D45&lt;TODAY()-1)),"CRÍTICO",IF(OR(AND(P45&lt;&gt;"",S45=""),AND(N45="REALIZADO",M45="PENDENTE"),AND(ISNUMBER(R45),R45=TODAY())),"ATENÇÃO",IF(N(K45)=0,"PENDENTE","EM ANDAMENTO"))))))</f>
        <v/>
      </c>
      <c r="C45" s="3">
        <f>IF(D45="","",IF(V45=0,"🟢 OK",IF(D45&lt;corte,"⚪ HISTÓRICO (sem baixa)",IF(AND(ISNUMBER(R45),R45&lt;TODAY()),"🔴 PRAZO VENCIDO",IF(AND(OR(N45="PENDENTE",N45="PARCIAL"),D45&lt;TODAY()-1),"🔴 EMBARQUE ATRASADO",IF(AND(N45="REALIZADO",M45="PENDENTE"),"🟡 EMBARCADO SEM FATURAR",IF(AND(P45&lt;&gt;"",S45="",OR(Q45="",R45="")),"🟡 PENDÊNCIA SEM RESPONSÁVEL/PRAZO",IF(AND(ISNUMBER(R45),R45=TODAY()),"🟡 VENCE HOJE",IF(AND(P45&lt;&gt;"",S45=""),"🟡 PENDÊNCIA ABERTA",IF(AND(N(J45)&gt;0,N(K45)&lt;J45),"🟡 FALTA EXECUTAR",IF(OR(M45="PENDENTE",M45="PARCIAL"),"🟡 FATURAMENTO PENDENTE","🟡 EMBARQUE PENDENTE")))))))))))</f>
        <v/>
      </c>
      <c r="D45" s="4" t="n">
        <v>46225</v>
      </c>
      <c r="E45" s="5" t="inlineStr">
        <is>
          <t>C</t>
        </is>
      </c>
      <c r="F45" s="5" t="inlineStr">
        <is>
          <t>ADIB</t>
        </is>
      </c>
      <c r="G45" s="5" t="inlineStr">
        <is>
          <t>GM</t>
        </is>
      </c>
      <c r="H45" s="5" t="inlineStr">
        <is>
          <t>C.OESTE/ES/NORTE</t>
        </is>
      </c>
      <c r="I45" s="5" t="inlineStr">
        <is>
          <t>TON</t>
        </is>
      </c>
      <c r="J45" s="6" t="n">
        <v>19.61</v>
      </c>
      <c r="K45" s="6" t="n">
        <v>19.61</v>
      </c>
      <c r="L45" s="7">
        <f>IF(OR(D45="",N(J45)=0),"",MIN(1,N(K45)/J45))</f>
        <v/>
      </c>
      <c r="M45" s="5" t="n"/>
      <c r="N45" s="5" t="n"/>
      <c r="O45" s="5" t="n"/>
      <c r="P45" s="5" t="n"/>
      <c r="Q45" s="5" t="n"/>
      <c r="R45" s="4" t="n"/>
      <c r="S45" s="4" t="n"/>
      <c r="T45" s="5" t="n"/>
      <c r="U45" s="8">
        <f>IF(AND(V45=1,D45&lt;&gt;""),IF(D45&gt;=corte,TODAY()-D45,""),"")</f>
        <v/>
      </c>
      <c r="V45" s="8">
        <f>IF(D45="",0,IF(OR(AND(P45&lt;&gt;"",S45=""),AND(N(J45)&gt;0,N(K45)&lt;J45),OR(M45="PENDENTE",M45="PARCIAL"),OR(N45="PENDENTE",N45="PARCIAL")),1,0))</f>
        <v/>
      </c>
      <c r="W45" s="8">
        <f>IF(AND(V45=1,D45&lt;&gt;""),IF(D45&gt;=corte,(B45="CRÍTICO")*1E9+(100000-D45)*10000+10000-ROW(),""),"")</f>
        <v/>
      </c>
      <c r="X45" s="8">
        <f>IF(AND(V45=1,D45=pas_data,E45=pas_turno),10000-ROW(),"")</f>
        <v/>
      </c>
    </row>
    <row r="46">
      <c r="A46" s="3">
        <f>IF(D46="","","TT-"&amp;TEXT(ROW()-1,"00000"))</f>
        <v/>
      </c>
      <c r="B46" s="3">
        <f>IF(D46="","",IF(V46=0,"CONCLUÍDO",IF(D46&lt;corte,"HISTÓRICO",IF(OR(AND(ISNUMBER(R46),R46&lt;TODAY()),AND(OR(N46="PENDENTE",N46="PARCIAL"),D46&lt;TODAY()-1)),"CRÍTICO",IF(OR(AND(P46&lt;&gt;"",S46=""),AND(N46="REALIZADO",M46="PENDENTE"),AND(ISNUMBER(R46),R46=TODAY())),"ATENÇÃO",IF(N(K46)=0,"PENDENTE","EM ANDAMENTO"))))))</f>
        <v/>
      </c>
      <c r="C46" s="3">
        <f>IF(D46="","",IF(V46=0,"🟢 OK",IF(D46&lt;corte,"⚪ HISTÓRICO (sem baixa)",IF(AND(ISNUMBER(R46),R46&lt;TODAY()),"🔴 PRAZO VENCIDO",IF(AND(OR(N46="PENDENTE",N46="PARCIAL"),D46&lt;TODAY()-1),"🔴 EMBARQUE ATRASADO",IF(AND(N46="REALIZADO",M46="PENDENTE"),"🟡 EMBARCADO SEM FATURAR",IF(AND(P46&lt;&gt;"",S46="",OR(Q46="",R46="")),"🟡 PENDÊNCIA SEM RESPONSÁVEL/PRAZO",IF(AND(ISNUMBER(R46),R46=TODAY()),"🟡 VENCE HOJE",IF(AND(P46&lt;&gt;"",S46=""),"🟡 PENDÊNCIA ABERTA",IF(AND(N(J46)&gt;0,N(K46)&lt;J46),"🟡 FALTA EXECUTAR",IF(OR(M46="PENDENTE",M46="PARCIAL"),"🟡 FATURAMENTO PENDENTE","🟡 EMBARQUE PENDENTE")))))))))))</f>
        <v/>
      </c>
      <c r="D46" s="4" t="n">
        <v>46226</v>
      </c>
      <c r="E46" s="5" t="inlineStr">
        <is>
          <t>C</t>
        </is>
      </c>
      <c r="F46" s="5" t="inlineStr">
        <is>
          <t>ADIB</t>
        </is>
      </c>
      <c r="G46" s="5" t="inlineStr">
        <is>
          <t>GM</t>
        </is>
      </c>
      <c r="H46" s="5" t="inlineStr">
        <is>
          <t>SMT001BRU</t>
        </is>
      </c>
      <c r="I46" s="5" t="inlineStr">
        <is>
          <t>TON</t>
        </is>
      </c>
      <c r="J46" s="6" t="n">
        <v>0.637</v>
      </c>
      <c r="K46" s="6" t="n">
        <v>0.637</v>
      </c>
      <c r="L46" s="7">
        <f>IF(OR(D46="",N(J46)=0),"",MIN(1,N(K46)/J46))</f>
        <v/>
      </c>
      <c r="M46" s="5" t="inlineStr">
        <is>
          <t>FATURADO</t>
        </is>
      </c>
      <c r="N46" s="5" t="inlineStr">
        <is>
          <t>PENDENTE</t>
        </is>
      </c>
      <c r="O46" s="5" t="inlineStr">
        <is>
          <t>SMARTLOG</t>
        </is>
      </c>
      <c r="P46" s="5" t="inlineStr">
        <is>
          <t>SEPARADO E FATURADO - AGUARDANDO CARRO</t>
        </is>
      </c>
      <c r="Q46" s="5" t="n"/>
      <c r="R46" s="4" t="n"/>
      <c r="S46" s="4" t="n"/>
      <c r="T46" s="5" t="inlineStr">
        <is>
          <t>SEPARADO E FATURADO - AGUARDANDO CARRO</t>
        </is>
      </c>
      <c r="U46" s="8">
        <f>IF(AND(V46=1,D46&lt;&gt;""),IF(D46&gt;=corte,TODAY()-D46,""),"")</f>
        <v/>
      </c>
      <c r="V46" s="8">
        <f>IF(D46="",0,IF(OR(AND(P46&lt;&gt;"",S46=""),AND(N(J46)&gt;0,N(K46)&lt;J46),OR(M46="PENDENTE",M46="PARCIAL"),OR(N46="PENDENTE",N46="PARCIAL")),1,0))</f>
        <v/>
      </c>
      <c r="W46" s="8">
        <f>IF(AND(V46=1,D46&lt;&gt;""),IF(D46&gt;=corte,(B46="CRÍTICO")*1E9+(100000-D46)*10000+10000-ROW(),""),"")</f>
        <v/>
      </c>
      <c r="X46" s="8">
        <f>IF(AND(V46=1,D46=pas_data,E46=pas_turno),10000-ROW(),"")</f>
        <v/>
      </c>
    </row>
    <row r="47">
      <c r="A47" s="3">
        <f>IF(D47="","","TT-"&amp;TEXT(ROW()-1,"00000"))</f>
        <v/>
      </c>
      <c r="B47" s="3">
        <f>IF(D47="","",IF(V47=0,"CONCLUÍDO",IF(D47&lt;corte,"HISTÓRICO",IF(OR(AND(ISNUMBER(R47),R47&lt;TODAY()),AND(OR(N47="PENDENTE",N47="PARCIAL"),D47&lt;TODAY()-1)),"CRÍTICO",IF(OR(AND(P47&lt;&gt;"",S47=""),AND(N47="REALIZADO",M47="PENDENTE"),AND(ISNUMBER(R47),R47=TODAY())),"ATENÇÃO",IF(N(K47)=0,"PENDENTE","EM ANDAMENTO"))))))</f>
        <v/>
      </c>
      <c r="C47" s="3">
        <f>IF(D47="","",IF(V47=0,"🟢 OK",IF(D47&lt;corte,"⚪ HISTÓRICO (sem baixa)",IF(AND(ISNUMBER(R47),R47&lt;TODAY()),"🔴 PRAZO VENCIDO",IF(AND(OR(N47="PENDENTE",N47="PARCIAL"),D47&lt;TODAY()-1),"🔴 EMBARQUE ATRASADO",IF(AND(N47="REALIZADO",M47="PENDENTE"),"🟡 EMBARCADO SEM FATURAR",IF(AND(P47&lt;&gt;"",S47="",OR(Q47="",R47="")),"🟡 PENDÊNCIA SEM RESPONSÁVEL/PRAZO",IF(AND(ISNUMBER(R47),R47=TODAY()),"🟡 VENCE HOJE",IF(AND(P47&lt;&gt;"",S47=""),"🟡 PENDÊNCIA ABERTA",IF(AND(N(J47)&gt;0,N(K47)&lt;J47),"🟡 FALTA EXECUTAR",IF(OR(M47="PENDENTE",M47="PARCIAL"),"🟡 FATURAMENTO PENDENTE","🟡 EMBARQUE PENDENTE")))))))))))</f>
        <v/>
      </c>
      <c r="D47" s="4" t="n">
        <v>46226</v>
      </c>
      <c r="E47" s="5" t="inlineStr">
        <is>
          <t>C</t>
        </is>
      </c>
      <c r="F47" s="5" t="inlineStr">
        <is>
          <t>ADIB</t>
        </is>
      </c>
      <c r="G47" s="5" t="inlineStr">
        <is>
          <t>GM</t>
        </is>
      </c>
      <c r="H47" s="5" t="inlineStr">
        <is>
          <t>SMT001DINIZ</t>
        </is>
      </c>
      <c r="I47" s="5" t="inlineStr">
        <is>
          <t>TON</t>
        </is>
      </c>
      <c r="J47" s="6" t="n">
        <v>1.773</v>
      </c>
      <c r="K47" s="6" t="n">
        <v>1.773</v>
      </c>
      <c r="L47" s="7">
        <f>IF(OR(D47="",N(J47)=0),"",MIN(1,N(K47)/J47))</f>
        <v/>
      </c>
      <c r="M47" s="5" t="inlineStr">
        <is>
          <t>FATURADO</t>
        </is>
      </c>
      <c r="N47" s="5" t="inlineStr">
        <is>
          <t>PENDENTE</t>
        </is>
      </c>
      <c r="O47" s="5" t="inlineStr">
        <is>
          <t>SMARTLOG</t>
        </is>
      </c>
      <c r="P47" s="5" t="inlineStr">
        <is>
          <t>SEPARADO E FATURADO - AGUARDANDO CARRO</t>
        </is>
      </c>
      <c r="Q47" s="5" t="n"/>
      <c r="R47" s="4" t="n"/>
      <c r="S47" s="4" t="n"/>
      <c r="T47" s="5" t="inlineStr">
        <is>
          <t>SEPARADO E FATURADO - AGUARDANDO CARRO</t>
        </is>
      </c>
      <c r="U47" s="8">
        <f>IF(AND(V47=1,D47&lt;&gt;""),IF(D47&gt;=corte,TODAY()-D47,""),"")</f>
        <v/>
      </c>
      <c r="V47" s="8">
        <f>IF(D47="",0,IF(OR(AND(P47&lt;&gt;"",S47=""),AND(N(J47)&gt;0,N(K47)&lt;J47),OR(M47="PENDENTE",M47="PARCIAL"),OR(N47="PENDENTE",N47="PARCIAL")),1,0))</f>
        <v/>
      </c>
      <c r="W47" s="8">
        <f>IF(AND(V47=1,D47&lt;&gt;""),IF(D47&gt;=corte,(B47="CRÍTICO")*1E9+(100000-D47)*10000+10000-ROW(),""),"")</f>
        <v/>
      </c>
      <c r="X47" s="8">
        <f>IF(AND(V47=1,D47=pas_data,E47=pas_turno),10000-ROW(),"")</f>
        <v/>
      </c>
    </row>
    <row r="48">
      <c r="A48" s="3">
        <f>IF(D48="","","TT-"&amp;TEXT(ROW()-1,"00000"))</f>
        <v/>
      </c>
      <c r="B48" s="3">
        <f>IF(D48="","",IF(V48=0,"CONCLUÍDO",IF(D48&lt;corte,"HISTÓRICO",IF(OR(AND(ISNUMBER(R48),R48&lt;TODAY()),AND(OR(N48="PENDENTE",N48="PARCIAL"),D48&lt;TODAY()-1)),"CRÍTICO",IF(OR(AND(P48&lt;&gt;"",S48=""),AND(N48="REALIZADO",M48="PENDENTE"),AND(ISNUMBER(R48),R48=TODAY())),"ATENÇÃO",IF(N(K48)=0,"PENDENTE","EM ANDAMENTO"))))))</f>
        <v/>
      </c>
      <c r="C48" s="3">
        <f>IF(D48="","",IF(V48=0,"🟢 OK",IF(D48&lt;corte,"⚪ HISTÓRICO (sem baixa)",IF(AND(ISNUMBER(R48),R48&lt;TODAY()),"🔴 PRAZO VENCIDO",IF(AND(OR(N48="PENDENTE",N48="PARCIAL"),D48&lt;TODAY()-1),"🔴 EMBARQUE ATRASADO",IF(AND(N48="REALIZADO",M48="PENDENTE"),"🟡 EMBARCADO SEM FATURAR",IF(AND(P48&lt;&gt;"",S48="",OR(Q48="",R48="")),"🟡 PENDÊNCIA SEM RESPONSÁVEL/PRAZO",IF(AND(ISNUMBER(R48),R48=TODAY()),"🟡 VENCE HOJE",IF(AND(P48&lt;&gt;"",S48=""),"🟡 PENDÊNCIA ABERTA",IF(AND(N(J48)&gt;0,N(K48)&lt;J48),"🟡 FALTA EXECUTAR",IF(OR(M48="PENDENTE",M48="PARCIAL"),"🟡 FATURAMENTO PENDENTE","🟡 EMBARQUE PENDENTE")))))))))))</f>
        <v/>
      </c>
      <c r="D48" s="4" t="n">
        <v>46226</v>
      </c>
      <c r="E48" s="5" t="inlineStr">
        <is>
          <t>C</t>
        </is>
      </c>
      <c r="F48" s="5" t="inlineStr">
        <is>
          <t>ADIB</t>
        </is>
      </c>
      <c r="G48" s="5" t="inlineStr">
        <is>
          <t>GM</t>
        </is>
      </c>
      <c r="H48" s="5" t="inlineStr">
        <is>
          <t>SMT001RIBER</t>
        </is>
      </c>
      <c r="I48" s="5" t="inlineStr">
        <is>
          <t>TON</t>
        </is>
      </c>
      <c r="J48" s="6" t="n">
        <v>1.695</v>
      </c>
      <c r="K48" s="6" t="n">
        <v>1.695</v>
      </c>
      <c r="L48" s="7">
        <f>IF(OR(D48="",N(J48)=0),"",MIN(1,N(K48)/J48))</f>
        <v/>
      </c>
      <c r="M48" s="5" t="inlineStr">
        <is>
          <t>FATURADO</t>
        </is>
      </c>
      <c r="N48" s="5" t="inlineStr">
        <is>
          <t>PENDENTE</t>
        </is>
      </c>
      <c r="O48" s="5" t="inlineStr">
        <is>
          <t>SMARTLOG</t>
        </is>
      </c>
      <c r="P48" s="5" t="inlineStr">
        <is>
          <t>SEPARADO E FATURADO - AGUARDANDO CARRO</t>
        </is>
      </c>
      <c r="Q48" s="5" t="n"/>
      <c r="R48" s="4" t="n"/>
      <c r="S48" s="4" t="n"/>
      <c r="T48" s="5" t="inlineStr">
        <is>
          <t>SEPARADO E FATURADO - AGUARDANDO CARRO</t>
        </is>
      </c>
      <c r="U48" s="8">
        <f>IF(AND(V48=1,D48&lt;&gt;""),IF(D48&gt;=corte,TODAY()-D48,""),"")</f>
        <v/>
      </c>
      <c r="V48" s="8">
        <f>IF(D48="",0,IF(OR(AND(P48&lt;&gt;"",S48=""),AND(N(J48)&gt;0,N(K48)&lt;J48),OR(M48="PENDENTE",M48="PARCIAL"),OR(N48="PENDENTE",N48="PARCIAL")),1,0))</f>
        <v/>
      </c>
      <c r="W48" s="8">
        <f>IF(AND(V48=1,D48&lt;&gt;""),IF(D48&gt;=corte,(B48="CRÍTICO")*1E9+(100000-D48)*10000+10000-ROW(),""),"")</f>
        <v/>
      </c>
      <c r="X48" s="8">
        <f>IF(AND(V48=1,D48=pas_data,E48=pas_turno),10000-ROW(),"")</f>
        <v/>
      </c>
    </row>
    <row r="49">
      <c r="A49" s="3">
        <f>IF(D49="","","TT-"&amp;TEXT(ROW()-1,"00000"))</f>
        <v/>
      </c>
      <c r="B49" s="3">
        <f>IF(D49="","",IF(V49=0,"CONCLUÍDO",IF(D49&lt;corte,"HISTÓRICO",IF(OR(AND(ISNUMBER(R49),R49&lt;TODAY()),AND(OR(N49="PENDENTE",N49="PARCIAL"),D49&lt;TODAY()-1)),"CRÍTICO",IF(OR(AND(P49&lt;&gt;"",S49=""),AND(N49="REALIZADO",M49="PENDENTE"),AND(ISNUMBER(R49),R49=TODAY())),"ATENÇÃO",IF(N(K49)=0,"PENDENTE","EM ANDAMENTO"))))))</f>
        <v/>
      </c>
      <c r="C49" s="3">
        <f>IF(D49="","",IF(V49=0,"🟢 OK",IF(D49&lt;corte,"⚪ HISTÓRICO (sem baixa)",IF(AND(ISNUMBER(R49),R49&lt;TODAY()),"🔴 PRAZO VENCIDO",IF(AND(OR(N49="PENDENTE",N49="PARCIAL"),D49&lt;TODAY()-1),"🔴 EMBARQUE ATRASADO",IF(AND(N49="REALIZADO",M49="PENDENTE"),"🟡 EMBARCADO SEM FATURAR",IF(AND(P49&lt;&gt;"",S49="",OR(Q49="",R49="")),"🟡 PENDÊNCIA SEM RESPONSÁVEL/PRAZO",IF(AND(ISNUMBER(R49),R49=TODAY()),"🟡 VENCE HOJE",IF(AND(P49&lt;&gt;"",S49=""),"🟡 PENDÊNCIA ABERTA",IF(AND(N(J49)&gt;0,N(K49)&lt;J49),"🟡 FALTA EXECUTAR",IF(OR(M49="PENDENTE",M49="PARCIAL"),"🟡 FATURAMENTO PENDENTE","🟡 EMBARQUE PENDENTE")))))))))))</f>
        <v/>
      </c>
      <c r="D49" s="4" t="n">
        <v>46226</v>
      </c>
      <c r="E49" s="5" t="inlineStr">
        <is>
          <t>D</t>
        </is>
      </c>
      <c r="F49" s="5" t="inlineStr">
        <is>
          <t>ADAO</t>
        </is>
      </c>
      <c r="G49" s="5" t="inlineStr">
        <is>
          <t>GM</t>
        </is>
      </c>
      <c r="H49" s="5" t="inlineStr">
        <is>
          <t>SMT003DI</t>
        </is>
      </c>
      <c r="I49" s="5" t="inlineStr">
        <is>
          <t>TON</t>
        </is>
      </c>
      <c r="J49" s="6" t="n">
        <v>11.893</v>
      </c>
      <c r="K49" s="6" t="n">
        <v>11.893</v>
      </c>
      <c r="L49" s="7">
        <f>IF(OR(D49="",N(J49)=0),"",MIN(1,N(K49)/J49))</f>
        <v/>
      </c>
      <c r="M49" s="5" t="inlineStr">
        <is>
          <t>PENDENTE</t>
        </is>
      </c>
      <c r="N49" s="5" t="inlineStr">
        <is>
          <t>PENDENTE</t>
        </is>
      </c>
      <c r="O49" s="5" t="inlineStr">
        <is>
          <t>SMARTLOG</t>
        </is>
      </c>
      <c r="P49" s="5" t="n"/>
      <c r="Q49" s="5" t="n"/>
      <c r="R49" s="4" t="n"/>
      <c r="S49" s="4" t="n"/>
      <c r="T49" s="5" t="n"/>
      <c r="U49" s="8">
        <f>IF(AND(V49=1,D49&lt;&gt;""),IF(D49&gt;=corte,TODAY()-D49,""),"")</f>
        <v/>
      </c>
      <c r="V49" s="8">
        <f>IF(D49="",0,IF(OR(AND(P49&lt;&gt;"",S49=""),AND(N(J49)&gt;0,N(K49)&lt;J49),OR(M49="PENDENTE",M49="PARCIAL"),OR(N49="PENDENTE",N49="PARCIAL")),1,0))</f>
        <v/>
      </c>
      <c r="W49" s="8">
        <f>IF(AND(V49=1,D49&lt;&gt;""),IF(D49&gt;=corte,(B49="CRÍTICO")*1E9+(100000-D49)*10000+10000-ROW(),""),"")</f>
        <v/>
      </c>
      <c r="X49" s="8">
        <f>IF(AND(V49=1,D49=pas_data,E49=pas_turno),10000-ROW(),"")</f>
        <v/>
      </c>
    </row>
    <row r="50">
      <c r="A50" s="3">
        <f>IF(D50="","","TT-"&amp;TEXT(ROW()-1,"00000"))</f>
        <v/>
      </c>
      <c r="B50" s="3">
        <f>IF(D50="","",IF(V50=0,"CONCLUÍDO",IF(D50&lt;corte,"HISTÓRICO",IF(OR(AND(ISNUMBER(R50),R50&lt;TODAY()),AND(OR(N50="PENDENTE",N50="PARCIAL"),D50&lt;TODAY()-1)),"CRÍTICO",IF(OR(AND(P50&lt;&gt;"",S50=""),AND(N50="REALIZADO",M50="PENDENTE"),AND(ISNUMBER(R50),R50=TODAY())),"ATENÇÃO",IF(N(K50)=0,"PENDENTE","EM ANDAMENTO"))))))</f>
        <v/>
      </c>
      <c r="C50" s="3">
        <f>IF(D50="","",IF(V50=0,"🟢 OK",IF(D50&lt;corte,"⚪ HISTÓRICO (sem baixa)",IF(AND(ISNUMBER(R50),R50&lt;TODAY()),"🔴 PRAZO VENCIDO",IF(AND(OR(N50="PENDENTE",N50="PARCIAL"),D50&lt;TODAY()-1),"🔴 EMBARQUE ATRASADO",IF(AND(N50="REALIZADO",M50="PENDENTE"),"🟡 EMBARCADO SEM FATURAR",IF(AND(P50&lt;&gt;"",S50="",OR(Q50="",R50="")),"🟡 PENDÊNCIA SEM RESPONSÁVEL/PRAZO",IF(AND(ISNUMBER(R50),R50=TODAY()),"🟡 VENCE HOJE",IF(AND(P50&lt;&gt;"",S50=""),"🟡 PENDÊNCIA ABERTA",IF(AND(N(J50)&gt;0,N(K50)&lt;J50),"🟡 FALTA EXECUTAR",IF(OR(M50="PENDENTE",M50="PARCIAL"),"🟡 FATURAMENTO PENDENTE","🟡 EMBARQUE PENDENTE")))))))))))</f>
        <v/>
      </c>
      <c r="D50" s="4" t="n">
        <v>46225</v>
      </c>
      <c r="E50" s="5" t="inlineStr">
        <is>
          <t>D</t>
        </is>
      </c>
      <c r="F50" s="5" t="inlineStr">
        <is>
          <t>ADAO</t>
        </is>
      </c>
      <c r="G50" s="5" t="inlineStr">
        <is>
          <t>CACAU</t>
        </is>
      </c>
      <c r="H50" s="5" t="inlineStr">
        <is>
          <t>BR15</t>
        </is>
      </c>
      <c r="I50" s="5" t="inlineStr">
        <is>
          <t>TON</t>
        </is>
      </c>
      <c r="J50" s="6" t="n">
        <v>19.782</v>
      </c>
      <c r="K50" s="6" t="n">
        <v>19.782</v>
      </c>
      <c r="L50" s="7">
        <f>IF(OR(D50="",N(J50)=0),"",MIN(1,N(K50)/J50))</f>
        <v/>
      </c>
      <c r="M50" s="5" t="inlineStr">
        <is>
          <t>PENDENTE</t>
        </is>
      </c>
      <c r="N50" s="5" t="inlineStr">
        <is>
          <t>PENDENTE</t>
        </is>
      </c>
      <c r="O50" s="5" t="inlineStr">
        <is>
          <t>SMARTLOG</t>
        </is>
      </c>
      <c r="P50" s="5" t="n"/>
      <c r="Q50" s="5" t="n"/>
      <c r="R50" s="4" t="n"/>
      <c r="S50" s="4" t="n"/>
      <c r="T50" s="5" t="inlineStr">
        <is>
          <t>[MIGRAÇÃO: programação original: SEP. CACAU]</t>
        </is>
      </c>
      <c r="U50" s="8">
        <f>IF(AND(V50=1,D50&lt;&gt;""),IF(D50&gt;=corte,TODAY()-D50,""),"")</f>
        <v/>
      </c>
      <c r="V50" s="8">
        <f>IF(D50="",0,IF(OR(AND(P50&lt;&gt;"",S50=""),AND(N(J50)&gt;0,N(K50)&lt;J50),OR(M50="PENDENTE",M50="PARCIAL"),OR(N50="PENDENTE",N50="PARCIAL")),1,0))</f>
        <v/>
      </c>
      <c r="W50" s="8">
        <f>IF(AND(V50=1,D50&lt;&gt;""),IF(D50&gt;=corte,(B50="CRÍTICO")*1E9+(100000-D50)*10000+10000-ROW(),""),"")</f>
        <v/>
      </c>
      <c r="X50" s="8">
        <f>IF(AND(V50=1,D50=pas_data,E50=pas_turno),10000-ROW(),"")</f>
        <v/>
      </c>
    </row>
    <row r="51">
      <c r="A51" s="3">
        <f>IF(D51="","","TT-"&amp;TEXT(ROW()-1,"00000"))</f>
        <v/>
      </c>
      <c r="B51" s="3">
        <f>IF(D51="","",IF(V51=0,"CONCLUÍDO",IF(D51&lt;corte,"HISTÓRICO",IF(OR(AND(ISNUMBER(R51),R51&lt;TODAY()),AND(OR(N51="PENDENTE",N51="PARCIAL"),D51&lt;TODAY()-1)),"CRÍTICO",IF(OR(AND(P51&lt;&gt;"",S51=""),AND(N51="REALIZADO",M51="PENDENTE"),AND(ISNUMBER(R51),R51=TODAY())),"ATENÇÃO",IF(N(K51)=0,"PENDENTE","EM ANDAMENTO"))))))</f>
        <v/>
      </c>
      <c r="C51" s="3">
        <f>IF(D51="","",IF(V51=0,"🟢 OK",IF(D51&lt;corte,"⚪ HISTÓRICO (sem baixa)",IF(AND(ISNUMBER(R51),R51&lt;TODAY()),"🔴 PRAZO VENCIDO",IF(AND(OR(N51="PENDENTE",N51="PARCIAL"),D51&lt;TODAY()-1),"🔴 EMBARQUE ATRASADO",IF(AND(N51="REALIZADO",M51="PENDENTE"),"🟡 EMBARCADO SEM FATURAR",IF(AND(P51&lt;&gt;"",S51="",OR(Q51="",R51="")),"🟡 PENDÊNCIA SEM RESPONSÁVEL/PRAZO",IF(AND(ISNUMBER(R51),R51=TODAY()),"🟡 VENCE HOJE",IF(AND(P51&lt;&gt;"",S51=""),"🟡 PENDÊNCIA ABERTA",IF(AND(N(J51)&gt;0,N(K51)&lt;J51),"🟡 FALTA EXECUTAR",IF(OR(M51="PENDENTE",M51="PARCIAL"),"🟡 FATURAMENTO PENDENTE","🟡 EMBARQUE PENDENTE")))))))))))</f>
        <v/>
      </c>
      <c r="D51" s="4" t="n">
        <v>46226</v>
      </c>
      <c r="E51" s="5" t="inlineStr">
        <is>
          <t>D</t>
        </is>
      </c>
      <c r="F51" s="5" t="inlineStr">
        <is>
          <t>ADAO</t>
        </is>
      </c>
      <c r="G51" s="5" t="inlineStr">
        <is>
          <t>INVENTÁRIO</t>
        </is>
      </c>
      <c r="H51" s="5" t="inlineStr">
        <is>
          <t>CALLEBAUT</t>
        </is>
      </c>
      <c r="I51" s="5" t="inlineStr">
        <is>
          <t>POSIÇÃO</t>
        </is>
      </c>
      <c r="J51" s="6" t="n">
        <v>200</v>
      </c>
      <c r="K51" s="6" t="n">
        <v>200</v>
      </c>
      <c r="L51" s="7">
        <f>IF(OR(D51="",N(J51)=0),"",MIN(1,N(K51)/J51))</f>
        <v/>
      </c>
      <c r="M51" s="5" t="n"/>
      <c r="N51" s="5" t="n"/>
      <c r="O51" s="5" t="n"/>
      <c r="P51" s="5" t="n"/>
      <c r="Q51" s="5" t="n"/>
      <c r="R51" s="4" t="n"/>
      <c r="S51" s="4" t="n"/>
      <c r="T51" s="5" t="inlineStr">
        <is>
          <t>[MIGRAÇÃO: programação original: CONT. PK1]</t>
        </is>
      </c>
      <c r="U51" s="8">
        <f>IF(AND(V51=1,D51&lt;&gt;""),IF(D51&gt;=corte,TODAY()-D51,""),"")</f>
        <v/>
      </c>
      <c r="V51" s="8">
        <f>IF(D51="",0,IF(OR(AND(P51&lt;&gt;"",S51=""),AND(N(J51)&gt;0,N(K51)&lt;J51),OR(M51="PENDENTE",M51="PARCIAL"),OR(N51="PENDENTE",N51="PARCIAL")),1,0))</f>
        <v/>
      </c>
      <c r="W51" s="8">
        <f>IF(AND(V51=1,D51&lt;&gt;""),IF(D51&gt;=corte,(B51="CRÍTICO")*1E9+(100000-D51)*10000+10000-ROW(),""),"")</f>
        <v/>
      </c>
      <c r="X51" s="8">
        <f>IF(AND(V51=1,D51=pas_data,E51=pas_turno),10000-ROW(),"")</f>
        <v/>
      </c>
    </row>
    <row r="52">
      <c r="A52" s="3">
        <f>IF(D52="","","TT-"&amp;TEXT(ROW()-1,"00000"))</f>
        <v/>
      </c>
      <c r="B52" s="3">
        <f>IF(D52="","",IF(V52=0,"CONCLUÍDO",IF(D52&lt;corte,"HISTÓRICO",IF(OR(AND(ISNUMBER(R52),R52&lt;TODAY()),AND(OR(N52="PENDENTE",N52="PARCIAL"),D52&lt;TODAY()-1)),"CRÍTICO",IF(OR(AND(P52&lt;&gt;"",S52=""),AND(N52="REALIZADO",M52="PENDENTE"),AND(ISNUMBER(R52),R52=TODAY())),"ATENÇÃO",IF(N(K52)=0,"PENDENTE","EM ANDAMENTO"))))))</f>
        <v/>
      </c>
      <c r="C52" s="3">
        <f>IF(D52="","",IF(V52=0,"🟢 OK",IF(D52&lt;corte,"⚪ HISTÓRICO (sem baixa)",IF(AND(ISNUMBER(R52),R52&lt;TODAY()),"🔴 PRAZO VENCIDO",IF(AND(OR(N52="PENDENTE",N52="PARCIAL"),D52&lt;TODAY()-1),"🔴 EMBARQUE ATRASADO",IF(AND(N52="REALIZADO",M52="PENDENTE"),"🟡 EMBARCADO SEM FATURAR",IF(AND(P52&lt;&gt;"",S52="",OR(Q52="",R52="")),"🟡 PENDÊNCIA SEM RESPONSÁVEL/PRAZO",IF(AND(ISNUMBER(R52),R52=TODAY()),"🟡 VENCE HOJE",IF(AND(P52&lt;&gt;"",S52=""),"🟡 PENDÊNCIA ABERTA",IF(AND(N(J52)&gt;0,N(K52)&lt;J52),"🟡 FALTA EXECUTAR",IF(OR(M52="PENDENTE",M52="PARCIAL"),"🟡 FATURAMENTO PENDENTE","🟡 EMBARQUE PENDENTE")))))))))))</f>
        <v/>
      </c>
      <c r="D52" s="4" t="n">
        <v>46226</v>
      </c>
      <c r="E52" s="5" t="inlineStr">
        <is>
          <t>D</t>
        </is>
      </c>
      <c r="F52" s="5" t="inlineStr">
        <is>
          <t>ADAO</t>
        </is>
      </c>
      <c r="G52" s="5" t="inlineStr">
        <is>
          <t>FLOOR</t>
        </is>
      </c>
      <c r="H52" s="5" t="inlineStr">
        <is>
          <t>PRODUÇÃO</t>
        </is>
      </c>
      <c r="I52" s="5" t="inlineStr">
        <is>
          <t>PALETE</t>
        </is>
      </c>
      <c r="J52" s="6" t="n">
        <v>70</v>
      </c>
      <c r="K52" s="6" t="n">
        <v>70</v>
      </c>
      <c r="L52" s="7">
        <f>IF(OR(D52="",N(J52)=0),"",MIN(1,N(K52)/J52))</f>
        <v/>
      </c>
      <c r="M52" s="5" t="n"/>
      <c r="N52" s="5" t="n"/>
      <c r="O52" s="5" t="n"/>
      <c r="P52" s="5" t="n"/>
      <c r="Q52" s="5" t="n"/>
      <c r="R52" s="4" t="n"/>
      <c r="S52" s="4" t="n"/>
      <c r="T52" s="5" t="n"/>
      <c r="U52" s="8">
        <f>IF(AND(V52=1,D52&lt;&gt;""),IF(D52&gt;=corte,TODAY()-D52,""),"")</f>
        <v/>
      </c>
      <c r="V52" s="8">
        <f>IF(D52="",0,IF(OR(AND(P52&lt;&gt;"",S52=""),AND(N(J52)&gt;0,N(K52)&lt;J52),OR(M52="PENDENTE",M52="PARCIAL"),OR(N52="PENDENTE",N52="PARCIAL")),1,0))</f>
        <v/>
      </c>
      <c r="W52" s="8">
        <f>IF(AND(V52=1,D52&lt;&gt;""),IF(D52&gt;=corte,(B52="CRÍTICO")*1E9+(100000-D52)*10000+10000-ROW(),""),"")</f>
        <v/>
      </c>
      <c r="X52" s="8">
        <f>IF(AND(V52=1,D52=pas_data,E52=pas_turno),10000-ROW(),"")</f>
        <v/>
      </c>
    </row>
    <row r="53">
      <c r="A53" s="3">
        <f>IF(D53="","","TT-"&amp;TEXT(ROW()-1,"00000"))</f>
        <v/>
      </c>
      <c r="B53" s="3">
        <f>IF(D53="","",IF(V53=0,"CONCLUÍDO",IF(D53&lt;corte,"HISTÓRICO",IF(OR(AND(ISNUMBER(R53),R53&lt;TODAY()),AND(OR(N53="PENDENTE",N53="PARCIAL"),D53&lt;TODAY()-1)),"CRÍTICO",IF(OR(AND(P53&lt;&gt;"",S53=""),AND(N53="REALIZADO",M53="PENDENTE"),AND(ISNUMBER(R53),R53=TODAY())),"ATENÇÃO",IF(N(K53)=0,"PENDENTE","EM ANDAMENTO"))))))</f>
        <v/>
      </c>
      <c r="C53" s="3">
        <f>IF(D53="","",IF(V53=0,"🟢 OK",IF(D53&lt;corte,"⚪ HISTÓRICO (sem baixa)",IF(AND(ISNUMBER(R53),R53&lt;TODAY()),"🔴 PRAZO VENCIDO",IF(AND(OR(N53="PENDENTE",N53="PARCIAL"),D53&lt;TODAY()-1),"🔴 EMBARQUE ATRASADO",IF(AND(N53="REALIZADO",M53="PENDENTE"),"🟡 EMBARCADO SEM FATURAR",IF(AND(P53&lt;&gt;"",S53="",OR(Q53="",R53="")),"🟡 PENDÊNCIA SEM RESPONSÁVEL/PRAZO",IF(AND(ISNUMBER(R53),R53=TODAY()),"🟡 VENCE HOJE",IF(AND(P53&lt;&gt;"",S53=""),"🟡 PENDÊNCIA ABERTA",IF(AND(N(J53)&gt;0,N(K53)&lt;J53),"🟡 FALTA EXECUTAR",IF(OR(M53="PENDENTE",M53="PARCIAL"),"🟡 FATURAMENTO PENDENTE","🟡 EMBARQUE PENDENTE")))))))))))</f>
        <v/>
      </c>
      <c r="D53" s="4" t="n">
        <v>46226</v>
      </c>
      <c r="E53" s="5" t="inlineStr">
        <is>
          <t>D</t>
        </is>
      </c>
      <c r="F53" s="5" t="inlineStr">
        <is>
          <t>ADAO</t>
        </is>
      </c>
      <c r="G53" s="5" t="inlineStr">
        <is>
          <t>RECEBIMENTO</t>
        </is>
      </c>
      <c r="H53" s="5" t="inlineStr">
        <is>
          <t>MIGO</t>
        </is>
      </c>
      <c r="I53" s="5" t="inlineStr">
        <is>
          <t>PALETE</t>
        </is>
      </c>
      <c r="J53" s="6" t="n">
        <v>28</v>
      </c>
      <c r="K53" s="6" t="n">
        <v>28</v>
      </c>
      <c r="L53" s="7">
        <f>IF(OR(D53="",N(J53)=0),"",MIN(1,N(K53)/J53))</f>
        <v/>
      </c>
      <c r="M53" s="5" t="n"/>
      <c r="N53" s="5" t="n"/>
      <c r="O53" s="5" t="n"/>
      <c r="P53" s="5" t="n"/>
      <c r="Q53" s="5" t="n"/>
      <c r="R53" s="4" t="n"/>
      <c r="S53" s="4" t="n"/>
      <c r="T53" s="5" t="inlineStr">
        <is>
          <t>[MIGRAÇÃO: programação original: REC. IMPORTADO]</t>
        </is>
      </c>
      <c r="U53" s="8">
        <f>IF(AND(V53=1,D53&lt;&gt;""),IF(D53&gt;=corte,TODAY()-D53,""),"")</f>
        <v/>
      </c>
      <c r="V53" s="8">
        <f>IF(D53="",0,IF(OR(AND(P53&lt;&gt;"",S53=""),AND(N(J53)&gt;0,N(K53)&lt;J53),OR(M53="PENDENTE",M53="PARCIAL"),OR(N53="PENDENTE",N53="PARCIAL")),1,0))</f>
        <v/>
      </c>
      <c r="W53" s="8">
        <f>IF(AND(V53=1,D53&lt;&gt;""),IF(D53&gt;=corte,(B53="CRÍTICO")*1E9+(100000-D53)*10000+10000-ROW(),""),"")</f>
        <v/>
      </c>
      <c r="X53" s="8">
        <f>IF(AND(V53=1,D53=pas_data,E53=pas_turno),10000-ROW(),"")</f>
        <v/>
      </c>
    </row>
    <row r="54">
      <c r="A54" s="3">
        <f>IF(D54="","","TT-"&amp;TEXT(ROW()-1,"00000"))</f>
        <v/>
      </c>
      <c r="B54" s="3">
        <f>IF(D54="","",IF(V54=0,"CONCLUÍDO",IF(D54&lt;corte,"HISTÓRICO",IF(OR(AND(ISNUMBER(R54),R54&lt;TODAY()),AND(OR(N54="PENDENTE",N54="PARCIAL"),D54&lt;TODAY()-1)),"CRÍTICO",IF(OR(AND(P54&lt;&gt;"",S54=""),AND(N54="REALIZADO",M54="PENDENTE"),AND(ISNUMBER(R54),R54=TODAY())),"ATENÇÃO",IF(N(K54)=0,"PENDENTE","EM ANDAMENTO"))))))</f>
        <v/>
      </c>
      <c r="C54" s="3">
        <f>IF(D54="","",IF(V54=0,"🟢 OK",IF(D54&lt;corte,"⚪ HISTÓRICO (sem baixa)",IF(AND(ISNUMBER(R54),R54&lt;TODAY()),"🔴 PRAZO VENCIDO",IF(AND(OR(N54="PENDENTE",N54="PARCIAL"),D54&lt;TODAY()-1),"🔴 EMBARQUE ATRASADO",IF(AND(N54="REALIZADO",M54="PENDENTE"),"🟡 EMBARCADO SEM FATURAR",IF(AND(P54&lt;&gt;"",S54="",OR(Q54="",R54="")),"🟡 PENDÊNCIA SEM RESPONSÁVEL/PRAZO",IF(AND(ISNUMBER(R54),R54=TODAY()),"🟡 VENCE HOJE",IF(AND(P54&lt;&gt;"",S54=""),"🟡 PENDÊNCIA ABERTA",IF(AND(N(J54)&gt;0,N(K54)&lt;J54),"🟡 FALTA EXECUTAR",IF(OR(M54="PENDENTE",M54="PARCIAL"),"🟡 FATURAMENTO PENDENTE","🟡 EMBARQUE PENDENTE")))))))))))</f>
        <v/>
      </c>
      <c r="D54" s="4" t="n">
        <v>46226</v>
      </c>
      <c r="E54" s="5" t="inlineStr">
        <is>
          <t>D</t>
        </is>
      </c>
      <c r="F54" s="5" t="inlineStr">
        <is>
          <t>ADAO</t>
        </is>
      </c>
      <c r="G54" s="5" t="inlineStr">
        <is>
          <t>RECEBIMENTO</t>
        </is>
      </c>
      <c r="H54" s="5" t="inlineStr">
        <is>
          <t>EXTREMA</t>
        </is>
      </c>
      <c r="I54" s="5" t="inlineStr">
        <is>
          <t>PALETE</t>
        </is>
      </c>
      <c r="J54" s="6" t="n">
        <v>28</v>
      </c>
      <c r="K54" s="6" t="n">
        <v>28</v>
      </c>
      <c r="L54" s="7">
        <f>IF(OR(D54="",N(J54)=0),"",MIN(1,N(K54)/J54))</f>
        <v/>
      </c>
      <c r="M54" s="5" t="n"/>
      <c r="N54" s="5" t="n"/>
      <c r="O54" s="5" t="n"/>
      <c r="P54" s="5" t="n"/>
      <c r="Q54" s="5" t="n"/>
      <c r="R54" s="4" t="n"/>
      <c r="S54" s="4" t="n"/>
      <c r="T54" s="5" t="inlineStr">
        <is>
          <t>[MIGRAÇÃO: programação original: REC. D2]</t>
        </is>
      </c>
      <c r="U54" s="8">
        <f>IF(AND(V54=1,D54&lt;&gt;""),IF(D54&gt;=corte,TODAY()-D54,""),"")</f>
        <v/>
      </c>
      <c r="V54" s="8">
        <f>IF(D54="",0,IF(OR(AND(P54&lt;&gt;"",S54=""),AND(N(J54)&gt;0,N(K54)&lt;J54),OR(M54="PENDENTE",M54="PARCIAL"),OR(N54="PENDENTE",N54="PARCIAL")),1,0))</f>
        <v/>
      </c>
      <c r="W54" s="8">
        <f>IF(AND(V54=1,D54&lt;&gt;""),IF(D54&gt;=corte,(B54="CRÍTICO")*1E9+(100000-D54)*10000+10000-ROW(),""),"")</f>
        <v/>
      </c>
      <c r="X54" s="8">
        <f>IF(AND(V54=1,D54=pas_data,E54=pas_turno),10000-ROW(),"")</f>
        <v/>
      </c>
    </row>
    <row r="55">
      <c r="A55" s="3">
        <f>IF(D55="","","TT-"&amp;TEXT(ROW()-1,"00000"))</f>
        <v/>
      </c>
      <c r="B55" s="3">
        <f>IF(D55="","",IF(V55=0,"CONCLUÍDO",IF(D55&lt;corte,"HISTÓRICO",IF(OR(AND(ISNUMBER(R55),R55&lt;TODAY()),AND(OR(N55="PENDENTE",N55="PARCIAL"),D55&lt;TODAY()-1)),"CRÍTICO",IF(OR(AND(P55&lt;&gt;"",S55=""),AND(N55="REALIZADO",M55="PENDENTE"),AND(ISNUMBER(R55),R55=TODAY())),"ATENÇÃO",IF(N(K55)=0,"PENDENTE","EM ANDAMENTO"))))))</f>
        <v/>
      </c>
      <c r="C55" s="3">
        <f>IF(D55="","",IF(V55=0,"🟢 OK",IF(D55&lt;corte,"⚪ HISTÓRICO (sem baixa)",IF(AND(ISNUMBER(R55),R55&lt;TODAY()),"🔴 PRAZO VENCIDO",IF(AND(OR(N55="PENDENTE",N55="PARCIAL"),D55&lt;TODAY()-1),"🔴 EMBARQUE ATRASADO",IF(AND(N55="REALIZADO",M55="PENDENTE"),"🟡 EMBARCADO SEM FATURAR",IF(AND(P55&lt;&gt;"",S55="",OR(Q55="",R55="")),"🟡 PENDÊNCIA SEM RESPONSÁVEL/PRAZO",IF(AND(ISNUMBER(R55),R55=TODAY()),"🟡 VENCE HOJE",IF(AND(P55&lt;&gt;"",S55=""),"🟡 PENDÊNCIA ABERTA",IF(AND(N(J55)&gt;0,N(K55)&lt;J55),"🟡 FALTA EXECUTAR",IF(OR(M55="PENDENTE",M55="PARCIAL"),"🟡 FATURAMENTO PENDENTE","🟡 EMBARQUE PENDENTE")))))))))))</f>
        <v/>
      </c>
      <c r="D55" s="4" t="n">
        <v>46226</v>
      </c>
      <c r="E55" s="5" t="inlineStr">
        <is>
          <t>C</t>
        </is>
      </c>
      <c r="F55" s="5" t="inlineStr">
        <is>
          <t>ADIB</t>
        </is>
      </c>
      <c r="G55" s="5" t="inlineStr">
        <is>
          <t>GM</t>
        </is>
      </c>
      <c r="H55" s="5" t="inlineStr">
        <is>
          <t>NORTE</t>
        </is>
      </c>
      <c r="I55" s="5" t="inlineStr">
        <is>
          <t>TON</t>
        </is>
      </c>
      <c r="J55" s="6" t="n">
        <v>12.994</v>
      </c>
      <c r="K55" s="6" t="n">
        <v>12.994</v>
      </c>
      <c r="L55" s="7">
        <f>IF(OR(D55="",N(J55)=0),"",MIN(1,N(K55)/J55))</f>
        <v/>
      </c>
      <c r="M55" s="5" t="n"/>
      <c r="N55" s="5" t="n"/>
      <c r="O55" s="5" t="n"/>
      <c r="P55" s="5" t="n"/>
      <c r="Q55" s="5" t="n"/>
      <c r="R55" s="4" t="n"/>
      <c r="S55" s="4" t="n"/>
      <c r="T55" s="5" t="inlineStr">
        <is>
          <t>SEPARADO E FATURADO</t>
        </is>
      </c>
      <c r="U55" s="8">
        <f>IF(AND(V55=1,D55&lt;&gt;""),IF(D55&gt;=corte,TODAY()-D55,""),"")</f>
        <v/>
      </c>
      <c r="V55" s="8">
        <f>IF(D55="",0,IF(OR(AND(P55&lt;&gt;"",S55=""),AND(N(J55)&gt;0,N(K55)&lt;J55),OR(M55="PENDENTE",M55="PARCIAL"),OR(N55="PENDENTE",N55="PARCIAL")),1,0))</f>
        <v/>
      </c>
      <c r="W55" s="8">
        <f>IF(AND(V55=1,D55&lt;&gt;""),IF(D55&gt;=corte,(B55="CRÍTICO")*1E9+(100000-D55)*10000+10000-ROW(),""),"")</f>
        <v/>
      </c>
      <c r="X55" s="8">
        <f>IF(AND(V55=1,D55=pas_data,E55=pas_turno),10000-ROW(),"")</f>
        <v/>
      </c>
    </row>
    <row r="56">
      <c r="A56" s="3">
        <f>IF(D56="","","TT-"&amp;TEXT(ROW()-1,"00000"))</f>
        <v/>
      </c>
      <c r="B56" s="3">
        <f>IF(D56="","",IF(V56=0,"CONCLUÍDO",IF(D56&lt;corte,"HISTÓRICO",IF(OR(AND(ISNUMBER(R56),R56&lt;TODAY()),AND(OR(N56="PENDENTE",N56="PARCIAL"),D56&lt;TODAY()-1)),"CRÍTICO",IF(OR(AND(P56&lt;&gt;"",S56=""),AND(N56="REALIZADO",M56="PENDENTE"),AND(ISNUMBER(R56),R56=TODAY())),"ATENÇÃO",IF(N(K56)=0,"PENDENTE","EM ANDAMENTO"))))))</f>
        <v/>
      </c>
      <c r="C56" s="3">
        <f>IF(D56="","",IF(V56=0,"🟢 OK",IF(D56&lt;corte,"⚪ HISTÓRICO (sem baixa)",IF(AND(ISNUMBER(R56),R56&lt;TODAY()),"🔴 PRAZO VENCIDO",IF(AND(OR(N56="PENDENTE",N56="PARCIAL"),D56&lt;TODAY()-1),"🔴 EMBARQUE ATRASADO",IF(AND(N56="REALIZADO",M56="PENDENTE"),"🟡 EMBARCADO SEM FATURAR",IF(AND(P56&lt;&gt;"",S56="",OR(Q56="",R56="")),"🟡 PENDÊNCIA SEM RESPONSÁVEL/PRAZO",IF(AND(ISNUMBER(R56),R56=TODAY()),"🟡 VENCE HOJE",IF(AND(P56&lt;&gt;"",S56=""),"🟡 PENDÊNCIA ABERTA",IF(AND(N(J56)&gt;0,N(K56)&lt;J56),"🟡 FALTA EXECUTAR",IF(OR(M56="PENDENTE",M56="PARCIAL"),"🟡 FATURAMENTO PENDENTE","🟡 EMBARQUE PENDENTE")))))))))))</f>
        <v/>
      </c>
      <c r="D56" s="4" t="n">
        <v>46226</v>
      </c>
      <c r="E56" s="5" t="inlineStr">
        <is>
          <t>C</t>
        </is>
      </c>
      <c r="F56" s="5" t="inlineStr">
        <is>
          <t>ADIB</t>
        </is>
      </c>
      <c r="G56" s="5" t="inlineStr">
        <is>
          <t>GM</t>
        </is>
      </c>
      <c r="H56" s="5" t="inlineStr">
        <is>
          <t>C.O</t>
        </is>
      </c>
      <c r="I56" s="5" t="inlineStr">
        <is>
          <t>TON</t>
        </is>
      </c>
      <c r="J56" s="6" t="n">
        <v>24.573</v>
      </c>
      <c r="K56" s="6" t="n">
        <v>24.573</v>
      </c>
      <c r="L56" s="7">
        <f>IF(OR(D56="",N(J56)=0),"",MIN(1,N(K56)/J56))</f>
        <v/>
      </c>
      <c r="M56" s="5" t="n"/>
      <c r="N56" s="5" t="inlineStr">
        <is>
          <t>PENDENTE</t>
        </is>
      </c>
      <c r="O56" s="5" t="inlineStr">
        <is>
          <t>TAFF</t>
        </is>
      </c>
      <c r="P56" s="5" t="n"/>
      <c r="Q56" s="5" t="n"/>
      <c r="R56" s="4" t="n"/>
      <c r="S56" s="4" t="n"/>
      <c r="T56" s="5" t="inlineStr">
        <is>
          <t>REALIZAMOS TODA CONFERENCIA E FATURAMENTO C.OESTE / ES</t>
        </is>
      </c>
      <c r="U56" s="8">
        <f>IF(AND(V56=1,D56&lt;&gt;""),IF(D56&gt;=corte,TODAY()-D56,""),"")</f>
        <v/>
      </c>
      <c r="V56" s="8">
        <f>IF(D56="",0,IF(OR(AND(P56&lt;&gt;"",S56=""),AND(N(J56)&gt;0,N(K56)&lt;J56),OR(M56="PENDENTE",M56="PARCIAL"),OR(N56="PENDENTE",N56="PARCIAL")),1,0))</f>
        <v/>
      </c>
      <c r="W56" s="8">
        <f>IF(AND(V56=1,D56&lt;&gt;""),IF(D56&gt;=corte,(B56="CRÍTICO")*1E9+(100000-D56)*10000+10000-ROW(),""),"")</f>
        <v/>
      </c>
      <c r="X56" s="8">
        <f>IF(AND(V56=1,D56=pas_data,E56=pas_turno),10000-ROW(),"")</f>
        <v/>
      </c>
    </row>
    <row r="57">
      <c r="A57" s="3">
        <f>IF(D57="","","TT-"&amp;TEXT(ROW()-1,"00000"))</f>
        <v/>
      </c>
      <c r="B57" s="3">
        <f>IF(D57="","",IF(V57=0,"CONCLUÍDO",IF(D57&lt;corte,"HISTÓRICO",IF(OR(AND(ISNUMBER(R57),R57&lt;TODAY()),AND(OR(N57="PENDENTE",N57="PARCIAL"),D57&lt;TODAY()-1)),"CRÍTICO",IF(OR(AND(P57&lt;&gt;"",S57=""),AND(N57="REALIZADO",M57="PENDENTE"),AND(ISNUMBER(R57),R57=TODAY())),"ATENÇÃO",IF(N(K57)=0,"PENDENTE","EM ANDAMENTO"))))))</f>
        <v/>
      </c>
      <c r="C57" s="3">
        <f>IF(D57="","",IF(V57=0,"🟢 OK",IF(D57&lt;corte,"⚪ HISTÓRICO (sem baixa)",IF(AND(ISNUMBER(R57),R57&lt;TODAY()),"🔴 PRAZO VENCIDO",IF(AND(OR(N57="PENDENTE",N57="PARCIAL"),D57&lt;TODAY()-1),"🔴 EMBARQUE ATRASADO",IF(AND(N57="REALIZADO",M57="PENDENTE"),"🟡 EMBARCADO SEM FATURAR",IF(AND(P57&lt;&gt;"",S57="",OR(Q57="",R57="")),"🟡 PENDÊNCIA SEM RESPONSÁVEL/PRAZO",IF(AND(ISNUMBER(R57),R57=TODAY()),"🟡 VENCE HOJE",IF(AND(P57&lt;&gt;"",S57=""),"🟡 PENDÊNCIA ABERTA",IF(AND(N(J57)&gt;0,N(K57)&lt;J57),"🟡 FALTA EXECUTAR",IF(OR(M57="PENDENTE",M57="PARCIAL"),"🟡 FATURAMENTO PENDENTE","🟡 EMBARQUE PENDENTE")))))))))))</f>
        <v/>
      </c>
      <c r="D57" s="4" t="n">
        <v>46226</v>
      </c>
      <c r="E57" s="5" t="inlineStr">
        <is>
          <t>C</t>
        </is>
      </c>
      <c r="F57" s="5" t="inlineStr">
        <is>
          <t>ADIB</t>
        </is>
      </c>
      <c r="G57" s="5" t="inlineStr">
        <is>
          <t>RECEBIMENTO</t>
        </is>
      </c>
      <c r="H57" s="5" t="inlineStr">
        <is>
          <t>MIGO</t>
        </is>
      </c>
      <c r="I57" s="5" t="inlineStr">
        <is>
          <t>PALETE</t>
        </is>
      </c>
      <c r="J57" s="6" t="n">
        <v>28</v>
      </c>
      <c r="K57" s="6" t="n">
        <v>28</v>
      </c>
      <c r="L57" s="7">
        <f>IF(OR(D57="",N(J57)=0),"",MIN(1,N(K57)/J57))</f>
        <v/>
      </c>
      <c r="M57" s="5" t="n"/>
      <c r="N57" s="5" t="n"/>
      <c r="O57" s="5" t="inlineStr">
        <is>
          <t>D2</t>
        </is>
      </c>
      <c r="P57" s="5" t="inlineStr">
        <is>
          <t>DESCARREGADO - FALTA ENTRADA</t>
        </is>
      </c>
      <c r="Q57" s="5" t="n"/>
      <c r="R57" s="4" t="n"/>
      <c r="S57" s="4" t="n"/>
      <c r="T57" s="5" t="inlineStr">
        <is>
          <t>DESCARREGADO - FALTA ENTRADA [MIGRAÇÃO: programação original: REC. IMPORTADO]</t>
        </is>
      </c>
      <c r="U57" s="8">
        <f>IF(AND(V57=1,D57&lt;&gt;""),IF(D57&gt;=corte,TODAY()-D57,""),"")</f>
        <v/>
      </c>
      <c r="V57" s="8">
        <f>IF(D57="",0,IF(OR(AND(P57&lt;&gt;"",S57=""),AND(N(J57)&gt;0,N(K57)&lt;J57),OR(M57="PENDENTE",M57="PARCIAL"),OR(N57="PENDENTE",N57="PARCIAL")),1,0))</f>
        <v/>
      </c>
      <c r="W57" s="8">
        <f>IF(AND(V57=1,D57&lt;&gt;""),IF(D57&gt;=corte,(B57="CRÍTICO")*1E9+(100000-D57)*10000+10000-ROW(),""),"")</f>
        <v/>
      </c>
      <c r="X57" s="8">
        <f>IF(AND(V57=1,D57=pas_data,E57=pas_turno),10000-ROW(),"")</f>
        <v/>
      </c>
    </row>
    <row r="58">
      <c r="A58" s="3">
        <f>IF(D58="","","TT-"&amp;TEXT(ROW()-1,"00000"))</f>
        <v/>
      </c>
      <c r="B58" s="3">
        <f>IF(D58="","",IF(V58=0,"CONCLUÍDO",IF(D58&lt;corte,"HISTÓRICO",IF(OR(AND(ISNUMBER(R58),R58&lt;TODAY()),AND(OR(N58="PENDENTE",N58="PARCIAL"),D58&lt;TODAY()-1)),"CRÍTICO",IF(OR(AND(P58&lt;&gt;"",S58=""),AND(N58="REALIZADO",M58="PENDENTE"),AND(ISNUMBER(R58),R58=TODAY())),"ATENÇÃO",IF(N(K58)=0,"PENDENTE","EM ANDAMENTO"))))))</f>
        <v/>
      </c>
      <c r="C58" s="3">
        <f>IF(D58="","",IF(V58=0,"🟢 OK",IF(D58&lt;corte,"⚪ HISTÓRICO (sem baixa)",IF(AND(ISNUMBER(R58),R58&lt;TODAY()),"🔴 PRAZO VENCIDO",IF(AND(OR(N58="PENDENTE",N58="PARCIAL"),D58&lt;TODAY()-1),"🔴 EMBARQUE ATRASADO",IF(AND(N58="REALIZADO",M58="PENDENTE"),"🟡 EMBARCADO SEM FATURAR",IF(AND(P58&lt;&gt;"",S58="",OR(Q58="",R58="")),"🟡 PENDÊNCIA SEM RESPONSÁVEL/PRAZO",IF(AND(ISNUMBER(R58),R58=TODAY()),"🟡 VENCE HOJE",IF(AND(P58&lt;&gt;"",S58=""),"🟡 PENDÊNCIA ABERTA",IF(AND(N(J58)&gt;0,N(K58)&lt;J58),"🟡 FALTA EXECUTAR",IF(OR(M58="PENDENTE",M58="PARCIAL"),"🟡 FATURAMENTO PENDENTE","🟡 EMBARQUE PENDENTE")))))))))))</f>
        <v/>
      </c>
      <c r="D58" s="4" t="n">
        <v>46226</v>
      </c>
      <c r="E58" s="5" t="inlineStr">
        <is>
          <t>C</t>
        </is>
      </c>
      <c r="F58" s="5" t="inlineStr">
        <is>
          <t>ADIB</t>
        </is>
      </c>
      <c r="G58" s="5" t="inlineStr">
        <is>
          <t>CACAU</t>
        </is>
      </c>
      <c r="H58" s="5" t="inlineStr">
        <is>
          <t>BR15</t>
        </is>
      </c>
      <c r="I58" s="5" t="inlineStr">
        <is>
          <t>TON</t>
        </is>
      </c>
      <c r="J58" s="6" t="n">
        <v>15</v>
      </c>
      <c r="K58" s="6" t="n">
        <v>15</v>
      </c>
      <c r="L58" s="7">
        <f>IF(OR(D58="",N(J58)=0),"",MIN(1,N(K58)/J58))</f>
        <v/>
      </c>
      <c r="M58" s="5" t="inlineStr">
        <is>
          <t>FATURADO</t>
        </is>
      </c>
      <c r="N58" s="5" t="inlineStr">
        <is>
          <t>REALIZADO</t>
        </is>
      </c>
      <c r="O58" s="5" t="inlineStr">
        <is>
          <t>PRÓPRIO</t>
        </is>
      </c>
      <c r="P58" s="5" t="n"/>
      <c r="Q58" s="5" t="n"/>
      <c r="R58" s="4" t="n"/>
      <c r="S58" s="4" t="n"/>
      <c r="T58" s="5" t="inlineStr">
        <is>
          <t>SEPARADO CARREGADO E LIBERADO [MIGRAÇÃO: programação original: SEP. CACAU]</t>
        </is>
      </c>
      <c r="U58" s="8">
        <f>IF(AND(V58=1,D58&lt;&gt;""),IF(D58&gt;=corte,TODAY()-D58,""),"")</f>
        <v/>
      </c>
      <c r="V58" s="8">
        <f>IF(D58="",0,IF(OR(AND(P58&lt;&gt;"",S58=""),AND(N(J58)&gt;0,N(K58)&lt;J58),OR(M58="PENDENTE",M58="PARCIAL"),OR(N58="PENDENTE",N58="PARCIAL")),1,0))</f>
        <v/>
      </c>
      <c r="W58" s="8">
        <f>IF(AND(V58=1,D58&lt;&gt;""),IF(D58&gt;=corte,(B58="CRÍTICO")*1E9+(100000-D58)*10000+10000-ROW(),""),"")</f>
        <v/>
      </c>
      <c r="X58" s="8">
        <f>IF(AND(V58=1,D58=pas_data,E58=pas_turno),10000-ROW(),"")</f>
        <v/>
      </c>
    </row>
    <row r="59">
      <c r="A59" s="3">
        <f>IF(D59="","","TT-"&amp;TEXT(ROW()-1,"00000"))</f>
        <v/>
      </c>
      <c r="B59" s="3">
        <f>IF(D59="","",IF(V59=0,"CONCLUÍDO",IF(D59&lt;corte,"HISTÓRICO",IF(OR(AND(ISNUMBER(R59),R59&lt;TODAY()),AND(OR(N59="PENDENTE",N59="PARCIAL"),D59&lt;TODAY()-1)),"CRÍTICO",IF(OR(AND(P59&lt;&gt;"",S59=""),AND(N59="REALIZADO",M59="PENDENTE"),AND(ISNUMBER(R59),R59=TODAY())),"ATENÇÃO",IF(N(K59)=0,"PENDENTE","EM ANDAMENTO"))))))</f>
        <v/>
      </c>
      <c r="C59" s="3">
        <f>IF(D59="","",IF(V59=0,"🟢 OK",IF(D59&lt;corte,"⚪ HISTÓRICO (sem baixa)",IF(AND(ISNUMBER(R59),R59&lt;TODAY()),"🔴 PRAZO VENCIDO",IF(AND(OR(N59="PENDENTE",N59="PARCIAL"),D59&lt;TODAY()-1),"🔴 EMBARQUE ATRASADO",IF(AND(N59="REALIZADO",M59="PENDENTE"),"🟡 EMBARCADO SEM FATURAR",IF(AND(P59&lt;&gt;"",S59="",OR(Q59="",R59="")),"🟡 PENDÊNCIA SEM RESPONSÁVEL/PRAZO",IF(AND(ISNUMBER(R59),R59=TODAY()),"🟡 VENCE HOJE",IF(AND(P59&lt;&gt;"",S59=""),"🟡 PENDÊNCIA ABERTA",IF(AND(N(J59)&gt;0,N(K59)&lt;J59),"🟡 FALTA EXECUTAR",IF(OR(M59="PENDENTE",M59="PARCIAL"),"🟡 FATURAMENTO PENDENTE","🟡 EMBARQUE PENDENTE")))))))))))</f>
        <v/>
      </c>
      <c r="D59" s="4" t="n">
        <v>46226</v>
      </c>
      <c r="E59" s="5" t="inlineStr">
        <is>
          <t>C</t>
        </is>
      </c>
      <c r="F59" s="5" t="inlineStr">
        <is>
          <t>ADIB</t>
        </is>
      </c>
      <c r="G59" s="5" t="inlineStr">
        <is>
          <t>RECEBIMENTO</t>
        </is>
      </c>
      <c r="H59" s="5" t="inlineStr">
        <is>
          <t>BR15</t>
        </is>
      </c>
      <c r="I59" s="5" t="inlineStr">
        <is>
          <t>PALETE</t>
        </is>
      </c>
      <c r="J59" s="6" t="n">
        <v>28</v>
      </c>
      <c r="K59" s="6" t="n">
        <v>28</v>
      </c>
      <c r="L59" s="7">
        <f>IF(OR(D59="",N(J59)=0),"",MIN(1,N(K59)/J59))</f>
        <v/>
      </c>
      <c r="M59" s="5" t="n"/>
      <c r="N59" s="5" t="n"/>
      <c r="O59" s="5" t="inlineStr">
        <is>
          <t>PRÓPRIO</t>
        </is>
      </c>
      <c r="P59" s="5" t="n"/>
      <c r="Q59" s="5" t="n"/>
      <c r="R59" s="4" t="n"/>
      <c r="S59" s="4" t="n"/>
      <c r="T59" s="5" t="inlineStr">
        <is>
          <t>RECEBIMENTO CACAU TOMBINI - RECEBIDO E ARMAZENADO [MIGRAÇÃO: programação original: REC. BR15]</t>
        </is>
      </c>
      <c r="U59" s="8">
        <f>IF(AND(V59=1,D59&lt;&gt;""),IF(D59&gt;=corte,TODAY()-D59,""),"")</f>
        <v/>
      </c>
      <c r="V59" s="8">
        <f>IF(D59="",0,IF(OR(AND(P59&lt;&gt;"",S59=""),AND(N(J59)&gt;0,N(K59)&lt;J59),OR(M59="PENDENTE",M59="PARCIAL"),OR(N59="PENDENTE",N59="PARCIAL")),1,0))</f>
        <v/>
      </c>
      <c r="W59" s="8">
        <f>IF(AND(V59=1,D59&lt;&gt;""),IF(D59&gt;=corte,(B59="CRÍTICO")*1E9+(100000-D59)*10000+10000-ROW(),""),"")</f>
        <v/>
      </c>
      <c r="X59" s="8">
        <f>IF(AND(V59=1,D59=pas_data,E59=pas_turno),10000-ROW(),"")</f>
        <v/>
      </c>
    </row>
    <row r="60">
      <c r="A60" s="3">
        <f>IF(D60="","","TT-"&amp;TEXT(ROW()-1,"00000"))</f>
        <v/>
      </c>
      <c r="B60" s="3">
        <f>IF(D60="","",IF(V60=0,"CONCLUÍDO",IF(D60&lt;corte,"HISTÓRICO",IF(OR(AND(ISNUMBER(R60),R60&lt;TODAY()),AND(OR(N60="PENDENTE",N60="PARCIAL"),D60&lt;TODAY()-1)),"CRÍTICO",IF(OR(AND(P60&lt;&gt;"",S60=""),AND(N60="REALIZADO",M60="PENDENTE"),AND(ISNUMBER(R60),R60=TODAY())),"ATENÇÃO",IF(N(K60)=0,"PENDENTE","EM ANDAMENTO"))))))</f>
        <v/>
      </c>
      <c r="C60" s="3">
        <f>IF(D60="","",IF(V60=0,"🟢 OK",IF(D60&lt;corte,"⚪ HISTÓRICO (sem baixa)",IF(AND(ISNUMBER(R60),R60&lt;TODAY()),"🔴 PRAZO VENCIDO",IF(AND(OR(N60="PENDENTE",N60="PARCIAL"),D60&lt;TODAY()-1),"🔴 EMBARQUE ATRASADO",IF(AND(N60="REALIZADO",M60="PENDENTE"),"🟡 EMBARCADO SEM FATURAR",IF(AND(P60&lt;&gt;"",S60="",OR(Q60="",R60="")),"🟡 PENDÊNCIA SEM RESPONSÁVEL/PRAZO",IF(AND(ISNUMBER(R60),R60=TODAY()),"🟡 VENCE HOJE",IF(AND(P60&lt;&gt;"",S60=""),"🟡 PENDÊNCIA ABERTA",IF(AND(N(J60)&gt;0,N(K60)&lt;J60),"🟡 FALTA EXECUTAR",IF(OR(M60="PENDENTE",M60="PARCIAL"),"🟡 FATURAMENTO PENDENTE","🟡 EMBARQUE PENDENTE")))))))))))</f>
        <v/>
      </c>
      <c r="D60" s="4" t="n">
        <v>46226</v>
      </c>
      <c r="E60" s="5" t="inlineStr">
        <is>
          <t>C</t>
        </is>
      </c>
      <c r="F60" s="5" t="inlineStr">
        <is>
          <t>ADIB</t>
        </is>
      </c>
      <c r="G60" s="5" t="inlineStr">
        <is>
          <t>GM</t>
        </is>
      </c>
      <c r="H60" s="5" t="inlineStr">
        <is>
          <t>SP CAP / INT</t>
        </is>
      </c>
      <c r="I60" s="5" t="inlineStr">
        <is>
          <t>TON</t>
        </is>
      </c>
      <c r="J60" s="6" t="n">
        <v>1.914</v>
      </c>
      <c r="K60" s="6" t="n">
        <v>1.914</v>
      </c>
      <c r="L60" s="7">
        <f>IF(OR(D60="",N(J60)=0),"",MIN(1,N(K60)/J60))</f>
        <v/>
      </c>
      <c r="M60" s="5" t="inlineStr">
        <is>
          <t>FATURADO</t>
        </is>
      </c>
      <c r="N60" s="5" t="inlineStr">
        <is>
          <t>PENDENTE</t>
        </is>
      </c>
      <c r="O60" s="5" t="inlineStr">
        <is>
          <t>SMARTLOG</t>
        </is>
      </c>
      <c r="P60" s="5" t="n"/>
      <c r="Q60" s="5" t="n"/>
      <c r="R60" s="4" t="n"/>
      <c r="S60" s="4" t="n"/>
      <c r="T60" s="5" t="inlineStr">
        <is>
          <t>DIRETAS SMARTLOG 22/07</t>
        </is>
      </c>
      <c r="U60" s="8">
        <f>IF(AND(V60=1,D60&lt;&gt;""),IF(D60&gt;=corte,TODAY()-D60,""),"")</f>
        <v/>
      </c>
      <c r="V60" s="8">
        <f>IF(D60="",0,IF(OR(AND(P60&lt;&gt;"",S60=""),AND(N(J60)&gt;0,N(K60)&lt;J60),OR(M60="PENDENTE",M60="PARCIAL"),OR(N60="PENDENTE",N60="PARCIAL")),1,0))</f>
        <v/>
      </c>
      <c r="W60" s="8">
        <f>IF(AND(V60=1,D60&lt;&gt;""),IF(D60&gt;=corte,(B60="CRÍTICO")*1E9+(100000-D60)*10000+10000-ROW(),""),"")</f>
        <v/>
      </c>
      <c r="X60" s="8">
        <f>IF(AND(V60=1,D60=pas_data,E60=pas_turno),10000-ROW(),"")</f>
        <v/>
      </c>
    </row>
    <row r="61">
      <c r="A61" s="3">
        <f>IF(D61="","","TT-"&amp;TEXT(ROW()-1,"00000"))</f>
        <v/>
      </c>
      <c r="B61" s="3">
        <f>IF(D61="","",IF(V61=0,"CONCLUÍDO",IF(D61&lt;corte,"HISTÓRICO",IF(OR(AND(ISNUMBER(R61),R61&lt;TODAY()),AND(OR(N61="PENDENTE",N61="PARCIAL"),D61&lt;TODAY()-1)),"CRÍTICO",IF(OR(AND(P61&lt;&gt;"",S61=""),AND(N61="REALIZADO",M61="PENDENTE"),AND(ISNUMBER(R61),R61=TODAY())),"ATENÇÃO",IF(N(K61)=0,"PENDENTE","EM ANDAMENTO"))))))</f>
        <v/>
      </c>
      <c r="C61" s="3">
        <f>IF(D61="","",IF(V61=0,"🟢 OK",IF(D61&lt;corte,"⚪ HISTÓRICO (sem baixa)",IF(AND(ISNUMBER(R61),R61&lt;TODAY()),"🔴 PRAZO VENCIDO",IF(AND(OR(N61="PENDENTE",N61="PARCIAL"),D61&lt;TODAY()-1),"🔴 EMBARQUE ATRASADO",IF(AND(N61="REALIZADO",M61="PENDENTE"),"🟡 EMBARCADO SEM FATURAR",IF(AND(P61&lt;&gt;"",S61="",OR(Q61="",R61="")),"🟡 PENDÊNCIA SEM RESPONSÁVEL/PRAZO",IF(AND(ISNUMBER(R61),R61=TODAY()),"🟡 VENCE HOJE",IF(AND(P61&lt;&gt;"",S61=""),"🟡 PENDÊNCIA ABERTA",IF(AND(N(J61)&gt;0,N(K61)&lt;J61),"🟡 FALTA EXECUTAR",IF(OR(M61="PENDENTE",M61="PARCIAL"),"🟡 FATURAMENTO PENDENTE","🟡 EMBARQUE PENDENTE")))))))))))</f>
        <v/>
      </c>
      <c r="D61" s="4" t="n">
        <v>46226</v>
      </c>
      <c r="E61" s="5" t="inlineStr">
        <is>
          <t>D</t>
        </is>
      </c>
      <c r="F61" s="5" t="inlineStr">
        <is>
          <t>ADAO</t>
        </is>
      </c>
      <c r="G61" s="5" t="inlineStr">
        <is>
          <t>RECEBIMENTO</t>
        </is>
      </c>
      <c r="H61" s="5" t="inlineStr">
        <is>
          <t>EXTREMA</t>
        </is>
      </c>
      <c r="I61" s="5" t="inlineStr">
        <is>
          <t>PALETE</t>
        </is>
      </c>
      <c r="J61" s="6" t="n">
        <v>28</v>
      </c>
      <c r="K61" s="6" t="n">
        <v>28</v>
      </c>
      <c r="L61" s="7">
        <f>IF(OR(D61="",N(J61)=0),"",MIN(1,N(K61)/J61))</f>
        <v/>
      </c>
      <c r="M61" s="5" t="n"/>
      <c r="N61" s="5" t="n"/>
      <c r="O61" s="5" t="inlineStr">
        <is>
          <t>D2</t>
        </is>
      </c>
      <c r="P61" s="5" t="inlineStr">
        <is>
          <t>RECEBER CARGA IMPORTADO / ESTE MESMO CARRO VAI CARREGAR PANDURATA</t>
        </is>
      </c>
      <c r="Q61" s="5" t="n"/>
      <c r="R61" s="4" t="n"/>
      <c r="S61" s="4" t="n"/>
      <c r="T61" s="5" t="inlineStr">
        <is>
          <t>RECEBER CARGA IMPORTADO / ESTE MESMO CARRO VAI CARREGAR PANDURATA [MIGRAÇÃO: programação original: REC. D2]</t>
        </is>
      </c>
      <c r="U61" s="8">
        <f>IF(AND(V61=1,D61&lt;&gt;""),IF(D61&gt;=corte,TODAY()-D61,""),"")</f>
        <v/>
      </c>
      <c r="V61" s="8">
        <f>IF(D61="",0,IF(OR(AND(P61&lt;&gt;"",S61=""),AND(N(J61)&gt;0,N(K61)&lt;J61),OR(M61="PENDENTE",M61="PARCIAL"),OR(N61="PENDENTE",N61="PARCIAL")),1,0))</f>
        <v/>
      </c>
      <c r="W61" s="8">
        <f>IF(AND(V61=1,D61&lt;&gt;""),IF(D61&gt;=corte,(B61="CRÍTICO")*1E9+(100000-D61)*10000+10000-ROW(),""),"")</f>
        <v/>
      </c>
      <c r="X61" s="8">
        <f>IF(AND(V61=1,D61=pas_data,E61=pas_turno),10000-ROW(),"")</f>
        <v/>
      </c>
    </row>
    <row r="62">
      <c r="A62" s="3">
        <f>IF(D62="","","TT-"&amp;TEXT(ROW()-1,"00000"))</f>
        <v/>
      </c>
      <c r="B62" s="3">
        <f>IF(D62="","",IF(V62=0,"CONCLUÍDO",IF(D62&lt;corte,"HISTÓRICO",IF(OR(AND(ISNUMBER(R62),R62&lt;TODAY()),AND(OR(N62="PENDENTE",N62="PARCIAL"),D62&lt;TODAY()-1)),"CRÍTICO",IF(OR(AND(P62&lt;&gt;"",S62=""),AND(N62="REALIZADO",M62="PENDENTE"),AND(ISNUMBER(R62),R62=TODAY())),"ATENÇÃO",IF(N(K62)=0,"PENDENTE","EM ANDAMENTO"))))))</f>
        <v/>
      </c>
      <c r="C62" s="3">
        <f>IF(D62="","",IF(V62=0,"🟢 OK",IF(D62&lt;corte,"⚪ HISTÓRICO (sem baixa)",IF(AND(ISNUMBER(R62),R62&lt;TODAY()),"🔴 PRAZO VENCIDO",IF(AND(OR(N62="PENDENTE",N62="PARCIAL"),D62&lt;TODAY()-1),"🔴 EMBARQUE ATRASADO",IF(AND(N62="REALIZADO",M62="PENDENTE"),"🟡 EMBARCADO SEM FATURAR",IF(AND(P62&lt;&gt;"",S62="",OR(Q62="",R62="")),"🟡 PENDÊNCIA SEM RESPONSÁVEL/PRAZO",IF(AND(ISNUMBER(R62),R62=TODAY()),"🟡 VENCE HOJE",IF(AND(P62&lt;&gt;"",S62=""),"🟡 PENDÊNCIA ABERTA",IF(AND(N(J62)&gt;0,N(K62)&lt;J62),"🟡 FALTA EXECUTAR",IF(OR(M62="PENDENTE",M62="PARCIAL"),"🟡 FATURAMENTO PENDENTE","🟡 EMBARQUE PENDENTE")))))))))))</f>
        <v/>
      </c>
      <c r="D62" s="4" t="n">
        <v>46227</v>
      </c>
      <c r="E62" s="5" t="inlineStr">
        <is>
          <t>A</t>
        </is>
      </c>
      <c r="F62" s="5" t="inlineStr">
        <is>
          <t>TATIANE</t>
        </is>
      </c>
      <c r="G62" s="5" t="inlineStr">
        <is>
          <t>FOB</t>
        </is>
      </c>
      <c r="H62" s="5" t="inlineStr">
        <is>
          <t>FOB</t>
        </is>
      </c>
      <c r="I62" s="5" t="inlineStr">
        <is>
          <t>TON</t>
        </is>
      </c>
      <c r="J62" s="6" t="n">
        <v>1.64</v>
      </c>
      <c r="K62" s="6" t="n">
        <v>1.64</v>
      </c>
      <c r="L62" s="7">
        <f>IF(OR(D62="",N(J62)=0),"",MIN(1,N(K62)/J62))</f>
        <v/>
      </c>
      <c r="M62" s="5" t="inlineStr">
        <is>
          <t>FATURADO</t>
        </is>
      </c>
      <c r="N62" s="5" t="inlineStr">
        <is>
          <t>REALIZADO</t>
        </is>
      </c>
      <c r="O62" s="5" t="inlineStr">
        <is>
          <t>PRÓPRIO</t>
        </is>
      </c>
      <c r="P62" s="5" t="n"/>
      <c r="Q62" s="5" t="n"/>
      <c r="R62" s="4" t="n"/>
      <c r="S62" s="4" t="n"/>
      <c r="T62" s="5" t="inlineStr">
        <is>
          <t>LOJA DOCE</t>
        </is>
      </c>
      <c r="U62" s="8">
        <f>IF(AND(V62=1,D62&lt;&gt;""),IF(D62&gt;=corte,TODAY()-D62,""),"")</f>
        <v/>
      </c>
      <c r="V62" s="8">
        <f>IF(D62="",0,IF(OR(AND(P62&lt;&gt;"",S62=""),AND(N(J62)&gt;0,N(K62)&lt;J62),OR(M62="PENDENTE",M62="PARCIAL"),OR(N62="PENDENTE",N62="PARCIAL")),1,0))</f>
        <v/>
      </c>
      <c r="W62" s="8">
        <f>IF(AND(V62=1,D62&lt;&gt;""),IF(D62&gt;=corte,(B62="CRÍTICO")*1E9+(100000-D62)*10000+10000-ROW(),""),"")</f>
        <v/>
      </c>
      <c r="X62" s="8">
        <f>IF(AND(V62=1,D62=pas_data,E62=pas_turno),10000-ROW(),"")</f>
        <v/>
      </c>
    </row>
    <row r="63">
      <c r="A63" s="3">
        <f>IF(D63="","","TT-"&amp;TEXT(ROW()-1,"00000"))</f>
        <v/>
      </c>
      <c r="B63" s="3">
        <f>IF(D63="","",IF(V63=0,"CONCLUÍDO",IF(D63&lt;corte,"HISTÓRICO",IF(OR(AND(ISNUMBER(R63),R63&lt;TODAY()),AND(OR(N63="PENDENTE",N63="PARCIAL"),D63&lt;TODAY()-1)),"CRÍTICO",IF(OR(AND(P63&lt;&gt;"",S63=""),AND(N63="REALIZADO",M63="PENDENTE"),AND(ISNUMBER(R63),R63=TODAY())),"ATENÇÃO",IF(N(K63)=0,"PENDENTE","EM ANDAMENTO"))))))</f>
        <v/>
      </c>
      <c r="C63" s="3">
        <f>IF(D63="","",IF(V63=0,"🟢 OK",IF(D63&lt;corte,"⚪ HISTÓRICO (sem baixa)",IF(AND(ISNUMBER(R63),R63&lt;TODAY()),"🔴 PRAZO VENCIDO",IF(AND(OR(N63="PENDENTE",N63="PARCIAL"),D63&lt;TODAY()-1),"🔴 EMBARQUE ATRASADO",IF(AND(N63="REALIZADO",M63="PENDENTE"),"🟡 EMBARCADO SEM FATURAR",IF(AND(P63&lt;&gt;"",S63="",OR(Q63="",R63="")),"🟡 PENDÊNCIA SEM RESPONSÁVEL/PRAZO",IF(AND(ISNUMBER(R63),R63=TODAY()),"🟡 VENCE HOJE",IF(AND(P63&lt;&gt;"",S63=""),"🟡 PENDÊNCIA ABERTA",IF(AND(N(J63)&gt;0,N(K63)&lt;J63),"🟡 FALTA EXECUTAR",IF(OR(M63="PENDENTE",M63="PARCIAL"),"🟡 FATURAMENTO PENDENTE","🟡 EMBARQUE PENDENTE")))))))))))</f>
        <v/>
      </c>
      <c r="D63" s="4" t="n">
        <v>46227</v>
      </c>
      <c r="E63" s="5" t="inlineStr">
        <is>
          <t>A</t>
        </is>
      </c>
      <c r="F63" s="5" t="inlineStr">
        <is>
          <t>TATIANE</t>
        </is>
      </c>
      <c r="G63" s="5" t="inlineStr">
        <is>
          <t>FOB</t>
        </is>
      </c>
      <c r="H63" s="5" t="inlineStr">
        <is>
          <t>FOB</t>
        </is>
      </c>
      <c r="I63" s="5" t="inlineStr">
        <is>
          <t>TON</t>
        </is>
      </c>
      <c r="J63" s="6" t="n">
        <v>72.59999999999999</v>
      </c>
      <c r="K63" s="6" t="n">
        <v>72.59999999999999</v>
      </c>
      <c r="L63" s="7">
        <f>IF(OR(D63="",N(J63)=0),"",MIN(1,N(K63)/J63))</f>
        <v/>
      </c>
      <c r="M63" s="5" t="inlineStr">
        <is>
          <t>FATURADO</t>
        </is>
      </c>
      <c r="N63" s="5" t="inlineStr">
        <is>
          <t>REALIZADO</t>
        </is>
      </c>
      <c r="O63" s="5" t="inlineStr">
        <is>
          <t>PRÓPRIO</t>
        </is>
      </c>
      <c r="P63" s="5" t="n"/>
      <c r="Q63" s="5" t="n"/>
      <c r="R63" s="4" t="n"/>
      <c r="S63" s="4" t="n"/>
      <c r="T63" s="5" t="inlineStr">
        <is>
          <t>LOJA DOCE</t>
        </is>
      </c>
      <c r="U63" s="8">
        <f>IF(AND(V63=1,D63&lt;&gt;""),IF(D63&gt;=corte,TODAY()-D63,""),"")</f>
        <v/>
      </c>
      <c r="V63" s="8">
        <f>IF(D63="",0,IF(OR(AND(P63&lt;&gt;"",S63=""),AND(N(J63)&gt;0,N(K63)&lt;J63),OR(M63="PENDENTE",M63="PARCIAL"),OR(N63="PENDENTE",N63="PARCIAL")),1,0))</f>
        <v/>
      </c>
      <c r="W63" s="8">
        <f>IF(AND(V63=1,D63&lt;&gt;""),IF(D63&gt;=corte,(B63="CRÍTICO")*1E9+(100000-D63)*10000+10000-ROW(),""),"")</f>
        <v/>
      </c>
      <c r="X63" s="8">
        <f>IF(AND(V63=1,D63=pas_data,E63=pas_turno),10000-ROW(),"")</f>
        <v/>
      </c>
    </row>
    <row r="64">
      <c r="A64" s="3">
        <f>IF(D64="","","TT-"&amp;TEXT(ROW()-1,"00000"))</f>
        <v/>
      </c>
      <c r="B64" s="3">
        <f>IF(D64="","",IF(V64=0,"CONCLUÍDO",IF(D64&lt;corte,"HISTÓRICO",IF(OR(AND(ISNUMBER(R64),R64&lt;TODAY()),AND(OR(N64="PENDENTE",N64="PARCIAL"),D64&lt;TODAY()-1)),"CRÍTICO",IF(OR(AND(P64&lt;&gt;"",S64=""),AND(N64="REALIZADO",M64="PENDENTE"),AND(ISNUMBER(R64),R64=TODAY())),"ATENÇÃO",IF(N(K64)=0,"PENDENTE","EM ANDAMENTO"))))))</f>
        <v/>
      </c>
      <c r="C64" s="3">
        <f>IF(D64="","",IF(V64=0,"🟢 OK",IF(D64&lt;corte,"⚪ HISTÓRICO (sem baixa)",IF(AND(ISNUMBER(R64),R64&lt;TODAY()),"🔴 PRAZO VENCIDO",IF(AND(OR(N64="PENDENTE",N64="PARCIAL"),D64&lt;TODAY()-1),"🔴 EMBARQUE ATRASADO",IF(AND(N64="REALIZADO",M64="PENDENTE"),"🟡 EMBARCADO SEM FATURAR",IF(AND(P64&lt;&gt;"",S64="",OR(Q64="",R64="")),"🟡 PENDÊNCIA SEM RESPONSÁVEL/PRAZO",IF(AND(ISNUMBER(R64),R64=TODAY()),"🟡 VENCE HOJE",IF(AND(P64&lt;&gt;"",S64=""),"🟡 PENDÊNCIA ABERTA",IF(AND(N(J64)&gt;0,N(K64)&lt;J64),"🟡 FALTA EXECUTAR",IF(OR(M64="PENDENTE",M64="PARCIAL"),"🟡 FATURAMENTO PENDENTE","🟡 EMBARQUE PENDENTE")))))))))))</f>
        <v/>
      </c>
      <c r="D64" s="4" t="n">
        <v>46227</v>
      </c>
      <c r="E64" s="5" t="inlineStr">
        <is>
          <t>A</t>
        </is>
      </c>
      <c r="F64" s="5" t="inlineStr">
        <is>
          <t>TATIANE</t>
        </is>
      </c>
      <c r="G64" s="5" t="inlineStr">
        <is>
          <t>FOB</t>
        </is>
      </c>
      <c r="H64" s="5" t="inlineStr">
        <is>
          <t>FOB</t>
        </is>
      </c>
      <c r="I64" s="5" t="inlineStr">
        <is>
          <t>TON</t>
        </is>
      </c>
      <c r="J64" s="6" t="n">
        <v>5.183</v>
      </c>
      <c r="K64" s="6" t="n">
        <v>5.183</v>
      </c>
      <c r="L64" s="7">
        <f>IF(OR(D64="",N(J64)=0),"",MIN(1,N(K64)/J64))</f>
        <v/>
      </c>
      <c r="M64" s="5" t="inlineStr">
        <is>
          <t>FATURADO</t>
        </is>
      </c>
      <c r="N64" s="5" t="inlineStr">
        <is>
          <t>REALIZADO</t>
        </is>
      </c>
      <c r="O64" s="5" t="inlineStr">
        <is>
          <t>PRÓPRIO</t>
        </is>
      </c>
      <c r="P64" s="5" t="n"/>
      <c r="Q64" s="5" t="n"/>
      <c r="R64" s="4" t="n"/>
      <c r="S64" s="4" t="n"/>
      <c r="T64" s="5" t="inlineStr">
        <is>
          <t>LOJA DOCE</t>
        </is>
      </c>
      <c r="U64" s="8">
        <f>IF(AND(V64=1,D64&lt;&gt;""),IF(D64&gt;=corte,TODAY()-D64,""),"")</f>
        <v/>
      </c>
      <c r="V64" s="8">
        <f>IF(D64="",0,IF(OR(AND(P64&lt;&gt;"",S64=""),AND(N(J64)&gt;0,N(K64)&lt;J64),OR(M64="PENDENTE",M64="PARCIAL"),OR(N64="PENDENTE",N64="PARCIAL")),1,0))</f>
        <v/>
      </c>
      <c r="W64" s="8">
        <f>IF(AND(V64=1,D64&lt;&gt;""),IF(D64&gt;=corte,(B64="CRÍTICO")*1E9+(100000-D64)*10000+10000-ROW(),""),"")</f>
        <v/>
      </c>
      <c r="X64" s="8">
        <f>IF(AND(V64=1,D64=pas_data,E64=pas_turno),10000-ROW(),"")</f>
        <v/>
      </c>
    </row>
    <row r="65">
      <c r="A65" s="3">
        <f>IF(D65="","","TT-"&amp;TEXT(ROW()-1,"00000"))</f>
        <v/>
      </c>
      <c r="B65" s="3">
        <f>IF(D65="","",IF(V65=0,"CONCLUÍDO",IF(D65&lt;corte,"HISTÓRICO",IF(OR(AND(ISNUMBER(R65),R65&lt;TODAY()),AND(OR(N65="PENDENTE",N65="PARCIAL"),D65&lt;TODAY()-1)),"CRÍTICO",IF(OR(AND(P65&lt;&gt;"",S65=""),AND(N65="REALIZADO",M65="PENDENTE"),AND(ISNUMBER(R65),R65=TODAY())),"ATENÇÃO",IF(N(K65)=0,"PENDENTE","EM ANDAMENTO"))))))</f>
        <v/>
      </c>
      <c r="C65" s="3">
        <f>IF(D65="","",IF(V65=0,"🟢 OK",IF(D65&lt;corte,"⚪ HISTÓRICO (sem baixa)",IF(AND(ISNUMBER(R65),R65&lt;TODAY()),"🔴 PRAZO VENCIDO",IF(AND(OR(N65="PENDENTE",N65="PARCIAL"),D65&lt;TODAY()-1),"🔴 EMBARQUE ATRASADO",IF(AND(N65="REALIZADO",M65="PENDENTE"),"🟡 EMBARCADO SEM FATURAR",IF(AND(P65&lt;&gt;"",S65="",OR(Q65="",R65="")),"🟡 PENDÊNCIA SEM RESPONSÁVEL/PRAZO",IF(AND(ISNUMBER(R65),R65=TODAY()),"🟡 VENCE HOJE",IF(AND(P65&lt;&gt;"",S65=""),"🟡 PENDÊNCIA ABERTA",IF(AND(N(J65)&gt;0,N(K65)&lt;J65),"🟡 FALTA EXECUTAR",IF(OR(M65="PENDENTE",M65="PARCIAL"),"🟡 FATURAMENTO PENDENTE","🟡 EMBARQUE PENDENTE")))))))))))</f>
        <v/>
      </c>
      <c r="D65" s="4" t="n">
        <v>46227</v>
      </c>
      <c r="E65" s="5" t="inlineStr">
        <is>
          <t>A</t>
        </is>
      </c>
      <c r="F65" s="5" t="inlineStr">
        <is>
          <t>TATIANE</t>
        </is>
      </c>
      <c r="G65" s="5" t="inlineStr">
        <is>
          <t>FOB</t>
        </is>
      </c>
      <c r="H65" s="5" t="inlineStr">
        <is>
          <t>FOB</t>
        </is>
      </c>
      <c r="I65" s="5" t="inlineStr">
        <is>
          <t>TON</t>
        </is>
      </c>
      <c r="J65" s="6" t="n">
        <v>0.164</v>
      </c>
      <c r="K65" s="6" t="n">
        <v>0.164</v>
      </c>
      <c r="L65" s="7">
        <f>IF(OR(D65="",N(J65)=0),"",MIN(1,N(K65)/J65))</f>
        <v/>
      </c>
      <c r="M65" s="5" t="inlineStr">
        <is>
          <t>FATURADO</t>
        </is>
      </c>
      <c r="N65" s="5" t="inlineStr">
        <is>
          <t>REALIZADO</t>
        </is>
      </c>
      <c r="O65" s="5" t="inlineStr">
        <is>
          <t>PRÓPRIO</t>
        </is>
      </c>
      <c r="P65" s="5" t="n"/>
      <c r="Q65" s="5" t="n"/>
      <c r="R65" s="4" t="n"/>
      <c r="S65" s="4" t="n"/>
      <c r="T65" s="5" t="inlineStr">
        <is>
          <t>LOJA DOCE</t>
        </is>
      </c>
      <c r="U65" s="8">
        <f>IF(AND(V65=1,D65&lt;&gt;""),IF(D65&gt;=corte,TODAY()-D65,""),"")</f>
        <v/>
      </c>
      <c r="V65" s="8">
        <f>IF(D65="",0,IF(OR(AND(P65&lt;&gt;"",S65=""),AND(N(J65)&gt;0,N(K65)&lt;J65),OR(M65="PENDENTE",M65="PARCIAL"),OR(N65="PENDENTE",N65="PARCIAL")),1,0))</f>
        <v/>
      </c>
      <c r="W65" s="8">
        <f>IF(AND(V65=1,D65&lt;&gt;""),IF(D65&gt;=corte,(B65="CRÍTICO")*1E9+(100000-D65)*10000+10000-ROW(),""),"")</f>
        <v/>
      </c>
      <c r="X65" s="8">
        <f>IF(AND(V65=1,D65=pas_data,E65=pas_turno),10000-ROW(),"")</f>
        <v/>
      </c>
    </row>
    <row r="66">
      <c r="A66" s="3">
        <f>IF(D66="","","TT-"&amp;TEXT(ROW()-1,"00000"))</f>
        <v/>
      </c>
      <c r="B66" s="3">
        <f>IF(D66="","",IF(V66=0,"CONCLUÍDO",IF(D66&lt;corte,"HISTÓRICO",IF(OR(AND(ISNUMBER(R66),R66&lt;TODAY()),AND(OR(N66="PENDENTE",N66="PARCIAL"),D66&lt;TODAY()-1)),"CRÍTICO",IF(OR(AND(P66&lt;&gt;"",S66=""),AND(N66="REALIZADO",M66="PENDENTE"),AND(ISNUMBER(R66),R66=TODAY())),"ATENÇÃO",IF(N(K66)=0,"PENDENTE","EM ANDAMENTO"))))))</f>
        <v/>
      </c>
      <c r="C66" s="3">
        <f>IF(D66="","",IF(V66=0,"🟢 OK",IF(D66&lt;corte,"⚪ HISTÓRICO (sem baixa)",IF(AND(ISNUMBER(R66),R66&lt;TODAY()),"🔴 PRAZO VENCIDO",IF(AND(OR(N66="PENDENTE",N66="PARCIAL"),D66&lt;TODAY()-1),"🔴 EMBARQUE ATRASADO",IF(AND(N66="REALIZADO",M66="PENDENTE"),"🟡 EMBARCADO SEM FATURAR",IF(AND(P66&lt;&gt;"",S66="",OR(Q66="",R66="")),"🟡 PENDÊNCIA SEM RESPONSÁVEL/PRAZO",IF(AND(ISNUMBER(R66),R66=TODAY()),"🟡 VENCE HOJE",IF(AND(P66&lt;&gt;"",S66=""),"🟡 PENDÊNCIA ABERTA",IF(AND(N(J66)&gt;0,N(K66)&lt;J66),"🟡 FALTA EXECUTAR",IF(OR(M66="PENDENTE",M66="PARCIAL"),"🟡 FATURAMENTO PENDENTE","🟡 EMBARQUE PENDENTE")))))))))))</f>
        <v/>
      </c>
      <c r="D66" s="4" t="n">
        <v>46227</v>
      </c>
      <c r="E66" s="5" t="inlineStr">
        <is>
          <t>A</t>
        </is>
      </c>
      <c r="F66" s="5" t="inlineStr">
        <is>
          <t>TATIANE</t>
        </is>
      </c>
      <c r="G66" s="5" t="inlineStr">
        <is>
          <t>FOB</t>
        </is>
      </c>
      <c r="H66" s="5" t="inlineStr">
        <is>
          <t>FOB</t>
        </is>
      </c>
      <c r="I66" s="5" t="inlineStr">
        <is>
          <t>TON</t>
        </is>
      </c>
      <c r="J66" s="6" t="n">
        <v>10.977</v>
      </c>
      <c r="K66" s="6" t="n">
        <v>10.977</v>
      </c>
      <c r="L66" s="7">
        <f>IF(OR(D66="",N(J66)=0),"",MIN(1,N(K66)/J66))</f>
        <v/>
      </c>
      <c r="M66" s="5" t="inlineStr">
        <is>
          <t>FATURADO</t>
        </is>
      </c>
      <c r="N66" s="5" t="inlineStr">
        <is>
          <t>PENDENTE</t>
        </is>
      </c>
      <c r="O66" s="5" t="inlineStr">
        <is>
          <t>PRÓPRIO</t>
        </is>
      </c>
      <c r="P66" s="5" t="inlineStr">
        <is>
          <t>SPAN VALE - MOTORISTA NO PATIO- FIRMEZA</t>
        </is>
      </c>
      <c r="Q66" s="5" t="n"/>
      <c r="R66" s="4" t="n"/>
      <c r="S66" s="4" t="n"/>
      <c r="T66" s="5" t="inlineStr">
        <is>
          <t>SPAN VALE - MOTORISTA NO PATIO- FIRMEZA</t>
        </is>
      </c>
      <c r="U66" s="8">
        <f>IF(AND(V66=1,D66&lt;&gt;""),IF(D66&gt;=corte,TODAY()-D66,""),"")</f>
        <v/>
      </c>
      <c r="V66" s="8">
        <f>IF(D66="",0,IF(OR(AND(P66&lt;&gt;"",S66=""),AND(N(J66)&gt;0,N(K66)&lt;J66),OR(M66="PENDENTE",M66="PARCIAL"),OR(N66="PENDENTE",N66="PARCIAL")),1,0))</f>
        <v/>
      </c>
      <c r="W66" s="8">
        <f>IF(AND(V66=1,D66&lt;&gt;""),IF(D66&gt;=corte,(B66="CRÍTICO")*1E9+(100000-D66)*10000+10000-ROW(),""),"")</f>
        <v/>
      </c>
      <c r="X66" s="8">
        <f>IF(AND(V66=1,D66=pas_data,E66=pas_turno),10000-ROW(),"")</f>
        <v/>
      </c>
    </row>
    <row r="67">
      <c r="A67" s="3">
        <f>IF(D67="","","TT-"&amp;TEXT(ROW()-1,"00000"))</f>
        <v/>
      </c>
      <c r="B67" s="3">
        <f>IF(D67="","",IF(V67=0,"CONCLUÍDO",IF(D67&lt;corte,"HISTÓRICO",IF(OR(AND(ISNUMBER(R67),R67&lt;TODAY()),AND(OR(N67="PENDENTE",N67="PARCIAL"),D67&lt;TODAY()-1)),"CRÍTICO",IF(OR(AND(P67&lt;&gt;"",S67=""),AND(N67="REALIZADO",M67="PENDENTE"),AND(ISNUMBER(R67),R67=TODAY())),"ATENÇÃO",IF(N(K67)=0,"PENDENTE","EM ANDAMENTO"))))))</f>
        <v/>
      </c>
      <c r="C67" s="3">
        <f>IF(D67="","",IF(V67=0,"🟢 OK",IF(D67&lt;corte,"⚪ HISTÓRICO (sem baixa)",IF(AND(ISNUMBER(R67),R67&lt;TODAY()),"🔴 PRAZO VENCIDO",IF(AND(OR(N67="PENDENTE",N67="PARCIAL"),D67&lt;TODAY()-1),"🔴 EMBARQUE ATRASADO",IF(AND(N67="REALIZADO",M67="PENDENTE"),"🟡 EMBARCADO SEM FATURAR",IF(AND(P67&lt;&gt;"",S67="",OR(Q67="",R67="")),"🟡 PENDÊNCIA SEM RESPONSÁVEL/PRAZO",IF(AND(ISNUMBER(R67),R67=TODAY()),"🟡 VENCE HOJE",IF(AND(P67&lt;&gt;"",S67=""),"🟡 PENDÊNCIA ABERTA",IF(AND(N(J67)&gt;0,N(K67)&lt;J67),"🟡 FALTA EXECUTAR",IF(OR(M67="PENDENTE",M67="PARCIAL"),"🟡 FATURAMENTO PENDENTE","🟡 EMBARQUE PENDENTE")))))))))))</f>
        <v/>
      </c>
      <c r="D67" s="4" t="n">
        <v>46226</v>
      </c>
      <c r="E67" s="5" t="inlineStr">
        <is>
          <t>D</t>
        </is>
      </c>
      <c r="F67" s="5" t="inlineStr">
        <is>
          <t>ADAO</t>
        </is>
      </c>
      <c r="G67" s="5" t="inlineStr">
        <is>
          <t>FOB</t>
        </is>
      </c>
      <c r="H67" s="5" t="inlineStr">
        <is>
          <t>FOB</t>
        </is>
      </c>
      <c r="I67" s="5" t="inlineStr">
        <is>
          <t>TON</t>
        </is>
      </c>
      <c r="J67" s="6" t="n">
        <v>10.08</v>
      </c>
      <c r="K67" s="6" t="n">
        <v>10.08</v>
      </c>
      <c r="L67" s="7">
        <f>IF(OR(D67="",N(J67)=0),"",MIN(1,N(K67)/J67))</f>
        <v/>
      </c>
      <c r="M67" s="5" t="n"/>
      <c r="N67" s="5" t="n"/>
      <c r="O67" s="5" t="n"/>
      <c r="P67" s="5" t="n"/>
      <c r="Q67" s="5" t="n"/>
      <c r="R67" s="4" t="n"/>
      <c r="S67" s="4" t="n"/>
      <c r="T67" s="5" t="n"/>
      <c r="U67" s="8">
        <f>IF(AND(V67=1,D67&lt;&gt;""),IF(D67&gt;=corte,TODAY()-D67,""),"")</f>
        <v/>
      </c>
      <c r="V67" s="8">
        <f>IF(D67="",0,IF(OR(AND(P67&lt;&gt;"",S67=""),AND(N(J67)&gt;0,N(K67)&lt;J67),OR(M67="PENDENTE",M67="PARCIAL"),OR(N67="PENDENTE",N67="PARCIAL")),1,0))</f>
        <v/>
      </c>
      <c r="W67" s="8">
        <f>IF(AND(V67=1,D67&lt;&gt;""),IF(D67&gt;=corte,(B67="CRÍTICO")*1E9+(100000-D67)*10000+10000-ROW(),""),"")</f>
        <v/>
      </c>
      <c r="X67" s="8">
        <f>IF(AND(V67=1,D67=pas_data,E67=pas_turno),10000-ROW(),"")</f>
        <v/>
      </c>
    </row>
    <row r="68">
      <c r="A68" s="3">
        <f>IF(D68="","","TT-"&amp;TEXT(ROW()-1,"00000"))</f>
        <v/>
      </c>
      <c r="B68" s="3">
        <f>IF(D68="","",IF(V68=0,"CONCLUÍDO",IF(D68&lt;corte,"HISTÓRICO",IF(OR(AND(ISNUMBER(R68),R68&lt;TODAY()),AND(OR(N68="PENDENTE",N68="PARCIAL"),D68&lt;TODAY()-1)),"CRÍTICO",IF(OR(AND(P68&lt;&gt;"",S68=""),AND(N68="REALIZADO",M68="PENDENTE"),AND(ISNUMBER(R68),R68=TODAY())),"ATENÇÃO",IF(N(K68)=0,"PENDENTE","EM ANDAMENTO"))))))</f>
        <v/>
      </c>
      <c r="C68" s="3">
        <f>IF(D68="","",IF(V68=0,"🟢 OK",IF(D68&lt;corte,"⚪ HISTÓRICO (sem baixa)",IF(AND(ISNUMBER(R68),R68&lt;TODAY()),"🔴 PRAZO VENCIDO",IF(AND(OR(N68="PENDENTE",N68="PARCIAL"),D68&lt;TODAY()-1),"🔴 EMBARQUE ATRASADO",IF(AND(N68="REALIZADO",M68="PENDENTE"),"🟡 EMBARCADO SEM FATURAR",IF(AND(P68&lt;&gt;"",S68="",OR(Q68="",R68="")),"🟡 PENDÊNCIA SEM RESPONSÁVEL/PRAZO",IF(AND(ISNUMBER(R68),R68=TODAY()),"🟡 VENCE HOJE",IF(AND(P68&lt;&gt;"",S68=""),"🟡 PENDÊNCIA ABERTA",IF(AND(N(J68)&gt;0,N(K68)&lt;J68),"🟡 FALTA EXECUTAR",IF(OR(M68="PENDENTE",M68="PARCIAL"),"🟡 FATURAMENTO PENDENTE","🟡 EMBARQUE PENDENTE")))))))))))</f>
        <v/>
      </c>
      <c r="D68" s="4" t="n">
        <v>46227</v>
      </c>
      <c r="E68" s="5" t="inlineStr">
        <is>
          <t>A</t>
        </is>
      </c>
      <c r="F68" s="5" t="inlineStr">
        <is>
          <t>TATIANE</t>
        </is>
      </c>
      <c r="G68" s="5" t="inlineStr">
        <is>
          <t>FOB</t>
        </is>
      </c>
      <c r="H68" s="5" t="inlineStr">
        <is>
          <t>FOB</t>
        </is>
      </c>
      <c r="I68" s="5" t="inlineStr">
        <is>
          <t>TON</t>
        </is>
      </c>
      <c r="J68" s="6" t="n">
        <v>0.695</v>
      </c>
      <c r="K68" s="6" t="n">
        <v>0.695</v>
      </c>
      <c r="L68" s="7">
        <f>IF(OR(D68="",N(J68)=0),"",MIN(1,N(K68)/J68))</f>
        <v/>
      </c>
      <c r="M68" s="5" t="inlineStr">
        <is>
          <t>FATURADO</t>
        </is>
      </c>
      <c r="N68" s="5" t="inlineStr">
        <is>
          <t>REALIZADO</t>
        </is>
      </c>
      <c r="O68" s="5" t="inlineStr">
        <is>
          <t>PRÓPRIO</t>
        </is>
      </c>
      <c r="P68" s="5" t="n"/>
      <c r="Q68" s="5" t="n"/>
      <c r="R68" s="4" t="n"/>
      <c r="S68" s="4" t="n"/>
      <c r="T68" s="5" t="inlineStr">
        <is>
          <t>LOJA DOCE</t>
        </is>
      </c>
      <c r="U68" s="8">
        <f>IF(AND(V68=1,D68&lt;&gt;""),IF(D68&gt;=corte,TODAY()-D68,""),"")</f>
        <v/>
      </c>
      <c r="V68" s="8">
        <f>IF(D68="",0,IF(OR(AND(P68&lt;&gt;"",S68=""),AND(N(J68)&gt;0,N(K68)&lt;J68),OR(M68="PENDENTE",M68="PARCIAL"),OR(N68="PENDENTE",N68="PARCIAL")),1,0))</f>
        <v/>
      </c>
      <c r="W68" s="8">
        <f>IF(AND(V68=1,D68&lt;&gt;""),IF(D68&gt;=corte,(B68="CRÍTICO")*1E9+(100000-D68)*10000+10000-ROW(),""),"")</f>
        <v/>
      </c>
      <c r="X68" s="8">
        <f>IF(AND(V68=1,D68=pas_data,E68=pas_turno),10000-ROW(),"")</f>
        <v/>
      </c>
    </row>
    <row r="69">
      <c r="A69" s="3">
        <f>IF(D69="","","TT-"&amp;TEXT(ROW()-1,"00000"))</f>
        <v/>
      </c>
      <c r="B69" s="3">
        <f>IF(D69="","",IF(V69=0,"CONCLUÍDO",IF(D69&lt;corte,"HISTÓRICO",IF(OR(AND(ISNUMBER(R69),R69&lt;TODAY()),AND(OR(N69="PENDENTE",N69="PARCIAL"),D69&lt;TODAY()-1)),"CRÍTICO",IF(OR(AND(P69&lt;&gt;"",S69=""),AND(N69="REALIZADO",M69="PENDENTE"),AND(ISNUMBER(R69),R69=TODAY())),"ATENÇÃO",IF(N(K69)=0,"PENDENTE","EM ANDAMENTO"))))))</f>
        <v/>
      </c>
      <c r="C69" s="3">
        <f>IF(D69="","",IF(V69=0,"🟢 OK",IF(D69&lt;corte,"⚪ HISTÓRICO (sem baixa)",IF(AND(ISNUMBER(R69),R69&lt;TODAY()),"🔴 PRAZO VENCIDO",IF(AND(OR(N69="PENDENTE",N69="PARCIAL"),D69&lt;TODAY()-1),"🔴 EMBARQUE ATRASADO",IF(AND(N69="REALIZADO",M69="PENDENTE"),"🟡 EMBARCADO SEM FATURAR",IF(AND(P69&lt;&gt;"",S69="",OR(Q69="",R69="")),"🟡 PENDÊNCIA SEM RESPONSÁVEL/PRAZO",IF(AND(ISNUMBER(R69),R69=TODAY()),"🟡 VENCE HOJE",IF(AND(P69&lt;&gt;"",S69=""),"🟡 PENDÊNCIA ABERTA",IF(AND(N(J69)&gt;0,N(K69)&lt;J69),"🟡 FALTA EXECUTAR",IF(OR(M69="PENDENTE",M69="PARCIAL"),"🟡 FATURAMENTO PENDENTE","🟡 EMBARQUE PENDENTE")))))))))))</f>
        <v/>
      </c>
      <c r="D69" s="4" t="n">
        <v>46227</v>
      </c>
      <c r="E69" s="5" t="inlineStr">
        <is>
          <t>A</t>
        </is>
      </c>
      <c r="F69" s="5" t="inlineStr">
        <is>
          <t>TATIANE</t>
        </is>
      </c>
      <c r="G69" s="5" t="inlineStr">
        <is>
          <t>FOB</t>
        </is>
      </c>
      <c r="H69" s="5" t="inlineStr">
        <is>
          <t>FOB</t>
        </is>
      </c>
      <c r="I69" s="5" t="inlineStr">
        <is>
          <t>TON</t>
        </is>
      </c>
      <c r="J69" s="6" t="n">
        <v>0.404</v>
      </c>
      <c r="K69" s="6" t="n">
        <v>0.404</v>
      </c>
      <c r="L69" s="7">
        <f>IF(OR(D69="",N(J69)=0),"",MIN(1,N(K69)/J69))</f>
        <v/>
      </c>
      <c r="M69" s="5" t="inlineStr">
        <is>
          <t>FATURADO</t>
        </is>
      </c>
      <c r="N69" s="5" t="inlineStr">
        <is>
          <t>REALIZADO</t>
        </is>
      </c>
      <c r="O69" s="5" t="inlineStr">
        <is>
          <t>PRÓPRIO</t>
        </is>
      </c>
      <c r="P69" s="5" t="n"/>
      <c r="Q69" s="5" t="n"/>
      <c r="R69" s="4" t="n"/>
      <c r="S69" s="4" t="n"/>
      <c r="T69" s="5" t="inlineStr">
        <is>
          <t>LOJA DOCE</t>
        </is>
      </c>
      <c r="U69" s="8">
        <f>IF(AND(V69=1,D69&lt;&gt;""),IF(D69&gt;=corte,TODAY()-D69,""),"")</f>
        <v/>
      </c>
      <c r="V69" s="8">
        <f>IF(D69="",0,IF(OR(AND(P69&lt;&gt;"",S69=""),AND(N(J69)&gt;0,N(K69)&lt;J69),OR(M69="PENDENTE",M69="PARCIAL"),OR(N69="PENDENTE",N69="PARCIAL")),1,0))</f>
        <v/>
      </c>
      <c r="W69" s="8">
        <f>IF(AND(V69=1,D69&lt;&gt;""),IF(D69&gt;=corte,(B69="CRÍTICO")*1E9+(100000-D69)*10000+10000-ROW(),""),"")</f>
        <v/>
      </c>
      <c r="X69" s="8">
        <f>IF(AND(V69=1,D69=pas_data,E69=pas_turno),10000-ROW(),"")</f>
        <v/>
      </c>
    </row>
    <row r="70">
      <c r="A70" s="3">
        <f>IF(D70="","","TT-"&amp;TEXT(ROW()-1,"00000"))</f>
        <v/>
      </c>
      <c r="B70" s="3">
        <f>IF(D70="","",IF(V70=0,"CONCLUÍDO",IF(D70&lt;corte,"HISTÓRICO",IF(OR(AND(ISNUMBER(R70),R70&lt;TODAY()),AND(OR(N70="PENDENTE",N70="PARCIAL"),D70&lt;TODAY()-1)),"CRÍTICO",IF(OR(AND(P70&lt;&gt;"",S70=""),AND(N70="REALIZADO",M70="PENDENTE"),AND(ISNUMBER(R70),R70=TODAY())),"ATENÇÃO",IF(N(K70)=0,"PENDENTE","EM ANDAMENTO"))))))</f>
        <v/>
      </c>
      <c r="C70" s="3">
        <f>IF(D70="","",IF(V70=0,"🟢 OK",IF(D70&lt;corte,"⚪ HISTÓRICO (sem baixa)",IF(AND(ISNUMBER(R70),R70&lt;TODAY()),"🔴 PRAZO VENCIDO",IF(AND(OR(N70="PENDENTE",N70="PARCIAL"),D70&lt;TODAY()-1),"🔴 EMBARQUE ATRASADO",IF(AND(N70="REALIZADO",M70="PENDENTE"),"🟡 EMBARCADO SEM FATURAR",IF(AND(P70&lt;&gt;"",S70="",OR(Q70="",R70="")),"🟡 PENDÊNCIA SEM RESPONSÁVEL/PRAZO",IF(AND(ISNUMBER(R70),R70=TODAY()),"🟡 VENCE HOJE",IF(AND(P70&lt;&gt;"",S70=""),"🟡 PENDÊNCIA ABERTA",IF(AND(N(J70)&gt;0,N(K70)&lt;J70),"🟡 FALTA EXECUTAR",IF(OR(M70="PENDENTE",M70="PARCIAL"),"🟡 FATURAMENTO PENDENTE","🟡 EMBARQUE PENDENTE")))))))))))</f>
        <v/>
      </c>
      <c r="D70" s="4" t="n">
        <v>46227</v>
      </c>
      <c r="E70" s="5" t="inlineStr">
        <is>
          <t>A</t>
        </is>
      </c>
      <c r="F70" s="5" t="inlineStr">
        <is>
          <t>TATIANE</t>
        </is>
      </c>
      <c r="G70" s="5" t="inlineStr">
        <is>
          <t>FOB</t>
        </is>
      </c>
      <c r="H70" s="5" t="inlineStr">
        <is>
          <t>FOB</t>
        </is>
      </c>
      <c r="I70" s="5" t="inlineStr">
        <is>
          <t>TON</t>
        </is>
      </c>
      <c r="J70" s="6" t="n">
        <v>0.121</v>
      </c>
      <c r="K70" s="6" t="n">
        <v>0.121</v>
      </c>
      <c r="L70" s="7">
        <f>IF(OR(D70="",N(J70)=0),"",MIN(1,N(K70)/J70))</f>
        <v/>
      </c>
      <c r="M70" s="5" t="inlineStr">
        <is>
          <t>FATURADO</t>
        </is>
      </c>
      <c r="N70" s="5" t="inlineStr">
        <is>
          <t>REALIZADO</t>
        </is>
      </c>
      <c r="O70" s="5" t="inlineStr">
        <is>
          <t>PRÓPRIO</t>
        </is>
      </c>
      <c r="P70" s="5" t="n"/>
      <c r="Q70" s="5" t="n"/>
      <c r="R70" s="4" t="n"/>
      <c r="S70" s="4" t="n"/>
      <c r="T70" s="5" t="inlineStr">
        <is>
          <t>LOJA DOCE</t>
        </is>
      </c>
      <c r="U70" s="8">
        <f>IF(AND(V70=1,D70&lt;&gt;""),IF(D70&gt;=corte,TODAY()-D70,""),"")</f>
        <v/>
      </c>
      <c r="V70" s="8">
        <f>IF(D70="",0,IF(OR(AND(P70&lt;&gt;"",S70=""),AND(N(J70)&gt;0,N(K70)&lt;J70),OR(M70="PENDENTE",M70="PARCIAL"),OR(N70="PENDENTE",N70="PARCIAL")),1,0))</f>
        <v/>
      </c>
      <c r="W70" s="8">
        <f>IF(AND(V70=1,D70&lt;&gt;""),IF(D70&gt;=corte,(B70="CRÍTICO")*1E9+(100000-D70)*10000+10000-ROW(),""),"")</f>
        <v/>
      </c>
      <c r="X70" s="8">
        <f>IF(AND(V70=1,D70=pas_data,E70=pas_turno),10000-ROW(),"")</f>
        <v/>
      </c>
    </row>
    <row r="71">
      <c r="A71" s="3">
        <f>IF(D71="","","TT-"&amp;TEXT(ROW()-1,"00000"))</f>
        <v/>
      </c>
      <c r="B71" s="3">
        <f>IF(D71="","",IF(V71=0,"CONCLUÍDO",IF(D71&lt;corte,"HISTÓRICO",IF(OR(AND(ISNUMBER(R71),R71&lt;TODAY()),AND(OR(N71="PENDENTE",N71="PARCIAL"),D71&lt;TODAY()-1)),"CRÍTICO",IF(OR(AND(P71&lt;&gt;"",S71=""),AND(N71="REALIZADO",M71="PENDENTE"),AND(ISNUMBER(R71),R71=TODAY())),"ATENÇÃO",IF(N(K71)=0,"PENDENTE","EM ANDAMENTO"))))))</f>
        <v/>
      </c>
      <c r="C71" s="3">
        <f>IF(D71="","",IF(V71=0,"🟢 OK",IF(D71&lt;corte,"⚪ HISTÓRICO (sem baixa)",IF(AND(ISNUMBER(R71),R71&lt;TODAY()),"🔴 PRAZO VENCIDO",IF(AND(OR(N71="PENDENTE",N71="PARCIAL"),D71&lt;TODAY()-1),"🔴 EMBARQUE ATRASADO",IF(AND(N71="REALIZADO",M71="PENDENTE"),"🟡 EMBARCADO SEM FATURAR",IF(AND(P71&lt;&gt;"",S71="",OR(Q71="",R71="")),"🟡 PENDÊNCIA SEM RESPONSÁVEL/PRAZO",IF(AND(ISNUMBER(R71),R71=TODAY()),"🟡 VENCE HOJE",IF(AND(P71&lt;&gt;"",S71=""),"🟡 PENDÊNCIA ABERTA",IF(AND(N(J71)&gt;0,N(K71)&lt;J71),"🟡 FALTA EXECUTAR",IF(OR(M71="PENDENTE",M71="PARCIAL"),"🟡 FATURAMENTO PENDENTE","🟡 EMBARQUE PENDENTE")))))))))))</f>
        <v/>
      </c>
      <c r="D71" s="4" t="n">
        <v>46226</v>
      </c>
      <c r="E71" s="5" t="inlineStr">
        <is>
          <t>D</t>
        </is>
      </c>
      <c r="F71" s="5" t="inlineStr">
        <is>
          <t>ADAO</t>
        </is>
      </c>
      <c r="G71" s="5" t="inlineStr">
        <is>
          <t>FOB</t>
        </is>
      </c>
      <c r="H71" s="5" t="inlineStr">
        <is>
          <t>FOB</t>
        </is>
      </c>
      <c r="I71" s="5" t="inlineStr">
        <is>
          <t>TON</t>
        </is>
      </c>
      <c r="J71" s="6" t="n">
        <v>9.468</v>
      </c>
      <c r="K71" s="6" t="n">
        <v>9.468</v>
      </c>
      <c r="L71" s="7">
        <f>IF(OR(D71="",N(J71)=0),"",MIN(1,N(K71)/J71))</f>
        <v/>
      </c>
      <c r="M71" s="5" t="n"/>
      <c r="N71" s="5" t="n"/>
      <c r="O71" s="5" t="n"/>
      <c r="P71" s="5" t="n"/>
      <c r="Q71" s="5" t="n"/>
      <c r="R71" s="4" t="n"/>
      <c r="S71" s="4" t="n"/>
      <c r="T71" s="5" t="n"/>
      <c r="U71" s="8">
        <f>IF(AND(V71=1,D71&lt;&gt;""),IF(D71&gt;=corte,TODAY()-D71,""),"")</f>
        <v/>
      </c>
      <c r="V71" s="8">
        <f>IF(D71="",0,IF(OR(AND(P71&lt;&gt;"",S71=""),AND(N(J71)&gt;0,N(K71)&lt;J71),OR(M71="PENDENTE",M71="PARCIAL"),OR(N71="PENDENTE",N71="PARCIAL")),1,0))</f>
        <v/>
      </c>
      <c r="W71" s="8">
        <f>IF(AND(V71=1,D71&lt;&gt;""),IF(D71&gt;=corte,(B71="CRÍTICO")*1E9+(100000-D71)*10000+10000-ROW(),""),"")</f>
        <v/>
      </c>
      <c r="X71" s="8">
        <f>IF(AND(V71=1,D71=pas_data,E71=pas_turno),10000-ROW(),"")</f>
        <v/>
      </c>
    </row>
    <row r="72">
      <c r="A72" s="3">
        <f>IF(D72="","","TT-"&amp;TEXT(ROW()-1,"00000"))</f>
        <v/>
      </c>
      <c r="B72" s="3">
        <f>IF(D72="","",IF(V72=0,"CONCLUÍDO",IF(D72&lt;corte,"HISTÓRICO",IF(OR(AND(ISNUMBER(R72),R72&lt;TODAY()),AND(OR(N72="PENDENTE",N72="PARCIAL"),D72&lt;TODAY()-1)),"CRÍTICO",IF(OR(AND(P72&lt;&gt;"",S72=""),AND(N72="REALIZADO",M72="PENDENTE"),AND(ISNUMBER(R72),R72=TODAY())),"ATENÇÃO",IF(N(K72)=0,"PENDENTE","EM ANDAMENTO"))))))</f>
        <v/>
      </c>
      <c r="C72" s="3">
        <f>IF(D72="","",IF(V72=0,"🟢 OK",IF(D72&lt;corte,"⚪ HISTÓRICO (sem baixa)",IF(AND(ISNUMBER(R72),R72&lt;TODAY()),"🔴 PRAZO VENCIDO",IF(AND(OR(N72="PENDENTE",N72="PARCIAL"),D72&lt;TODAY()-1),"🔴 EMBARQUE ATRASADO",IF(AND(N72="REALIZADO",M72="PENDENTE"),"🟡 EMBARCADO SEM FATURAR",IF(AND(P72&lt;&gt;"",S72="",OR(Q72="",R72="")),"🟡 PENDÊNCIA SEM RESPONSÁVEL/PRAZO",IF(AND(ISNUMBER(R72),R72=TODAY()),"🟡 VENCE HOJE",IF(AND(P72&lt;&gt;"",S72=""),"🟡 PENDÊNCIA ABERTA",IF(AND(N(J72)&gt;0,N(K72)&lt;J72),"🟡 FALTA EXECUTAR",IF(OR(M72="PENDENTE",M72="PARCIAL"),"🟡 FATURAMENTO PENDENTE","🟡 EMBARQUE PENDENTE")))))))))))</f>
        <v/>
      </c>
      <c r="D72" s="4" t="n">
        <v>46226</v>
      </c>
      <c r="E72" s="5" t="inlineStr">
        <is>
          <t>D</t>
        </is>
      </c>
      <c r="F72" s="5" t="inlineStr">
        <is>
          <t>ADAO</t>
        </is>
      </c>
      <c r="G72" s="5" t="inlineStr">
        <is>
          <t>FOB</t>
        </is>
      </c>
      <c r="H72" s="5" t="inlineStr">
        <is>
          <t>FOB</t>
        </is>
      </c>
      <c r="I72" s="5" t="inlineStr">
        <is>
          <t>TON</t>
        </is>
      </c>
      <c r="J72" s="6" t="n">
        <v>9.468</v>
      </c>
      <c r="K72" s="6" t="n">
        <v>9.468</v>
      </c>
      <c r="L72" s="7">
        <f>IF(OR(D72="",N(J72)=0),"",MIN(1,N(K72)/J72))</f>
        <v/>
      </c>
      <c r="M72" s="5" t="n"/>
      <c r="N72" s="5" t="n"/>
      <c r="O72" s="5" t="n"/>
      <c r="P72" s="5" t="n"/>
      <c r="Q72" s="5" t="n"/>
      <c r="R72" s="4" t="n"/>
      <c r="S72" s="4" t="n"/>
      <c r="T72" s="5" t="n"/>
      <c r="U72" s="8">
        <f>IF(AND(V72=1,D72&lt;&gt;""),IF(D72&gt;=corte,TODAY()-D72,""),"")</f>
        <v/>
      </c>
      <c r="V72" s="8">
        <f>IF(D72="",0,IF(OR(AND(P72&lt;&gt;"",S72=""),AND(N(J72)&gt;0,N(K72)&lt;J72),OR(M72="PENDENTE",M72="PARCIAL"),OR(N72="PENDENTE",N72="PARCIAL")),1,0))</f>
        <v/>
      </c>
      <c r="W72" s="8">
        <f>IF(AND(V72=1,D72&lt;&gt;""),IF(D72&gt;=corte,(B72="CRÍTICO")*1E9+(100000-D72)*10000+10000-ROW(),""),"")</f>
        <v/>
      </c>
      <c r="X72" s="8">
        <f>IF(AND(V72=1,D72=pas_data,E72=pas_turno),10000-ROW(),"")</f>
        <v/>
      </c>
    </row>
    <row r="73">
      <c r="A73" s="3">
        <f>IF(D73="","","TT-"&amp;TEXT(ROW()-1,"00000"))</f>
        <v/>
      </c>
      <c r="B73" s="3">
        <f>IF(D73="","",IF(V73=0,"CONCLUÍDO",IF(D73&lt;corte,"HISTÓRICO",IF(OR(AND(ISNUMBER(R73),R73&lt;TODAY()),AND(OR(N73="PENDENTE",N73="PARCIAL"),D73&lt;TODAY()-1)),"CRÍTICO",IF(OR(AND(P73&lt;&gt;"",S73=""),AND(N73="REALIZADO",M73="PENDENTE"),AND(ISNUMBER(R73),R73=TODAY())),"ATENÇÃO",IF(N(K73)=0,"PENDENTE","EM ANDAMENTO"))))))</f>
        <v/>
      </c>
      <c r="C73" s="3">
        <f>IF(D73="","",IF(V73=0,"🟢 OK",IF(D73&lt;corte,"⚪ HISTÓRICO (sem baixa)",IF(AND(ISNUMBER(R73),R73&lt;TODAY()),"🔴 PRAZO VENCIDO",IF(AND(OR(N73="PENDENTE",N73="PARCIAL"),D73&lt;TODAY()-1),"🔴 EMBARQUE ATRASADO",IF(AND(N73="REALIZADO",M73="PENDENTE"),"🟡 EMBARCADO SEM FATURAR",IF(AND(P73&lt;&gt;"",S73="",OR(Q73="",R73="")),"🟡 PENDÊNCIA SEM RESPONSÁVEL/PRAZO",IF(AND(ISNUMBER(R73),R73=TODAY()),"🟡 VENCE HOJE",IF(AND(P73&lt;&gt;"",S73=""),"🟡 PENDÊNCIA ABERTA",IF(AND(N(J73)&gt;0,N(K73)&lt;J73),"🟡 FALTA EXECUTAR",IF(OR(M73="PENDENTE",M73="PARCIAL"),"🟡 FATURAMENTO PENDENTE","🟡 EMBARQUE PENDENTE")))))))))))</f>
        <v/>
      </c>
      <c r="D73" s="4" t="n">
        <v>46226</v>
      </c>
      <c r="E73" s="5" t="inlineStr">
        <is>
          <t>D</t>
        </is>
      </c>
      <c r="F73" s="5" t="inlineStr">
        <is>
          <t>ADAO</t>
        </is>
      </c>
      <c r="G73" s="5" t="inlineStr">
        <is>
          <t>FOB</t>
        </is>
      </c>
      <c r="H73" s="5" t="inlineStr">
        <is>
          <t>FOB</t>
        </is>
      </c>
      <c r="I73" s="5" t="inlineStr">
        <is>
          <t>TON</t>
        </is>
      </c>
      <c r="J73" s="6" t="n">
        <v>10.211</v>
      </c>
      <c r="K73" s="6" t="n">
        <v>10.211</v>
      </c>
      <c r="L73" s="7">
        <f>IF(OR(D73="",N(J73)=0),"",MIN(1,N(K73)/J73))</f>
        <v/>
      </c>
      <c r="M73" s="5" t="n"/>
      <c r="N73" s="5" t="n"/>
      <c r="O73" s="5" t="n"/>
      <c r="P73" s="5" t="n"/>
      <c r="Q73" s="5" t="n"/>
      <c r="R73" s="4" t="n"/>
      <c r="S73" s="4" t="n"/>
      <c r="T73" s="5" t="n"/>
      <c r="U73" s="8">
        <f>IF(AND(V73=1,D73&lt;&gt;""),IF(D73&gt;=corte,TODAY()-D73,""),"")</f>
        <v/>
      </c>
      <c r="V73" s="8">
        <f>IF(D73="",0,IF(OR(AND(P73&lt;&gt;"",S73=""),AND(N(J73)&gt;0,N(K73)&lt;J73),OR(M73="PENDENTE",M73="PARCIAL"),OR(N73="PENDENTE",N73="PARCIAL")),1,0))</f>
        <v/>
      </c>
      <c r="W73" s="8">
        <f>IF(AND(V73=1,D73&lt;&gt;""),IF(D73&gt;=corte,(B73="CRÍTICO")*1E9+(100000-D73)*10000+10000-ROW(),""),"")</f>
        <v/>
      </c>
      <c r="X73" s="8">
        <f>IF(AND(V73=1,D73=pas_data,E73=pas_turno),10000-ROW(),"")</f>
        <v/>
      </c>
    </row>
    <row r="74">
      <c r="A74" s="3">
        <f>IF(D74="","","TT-"&amp;TEXT(ROW()-1,"00000"))</f>
        <v/>
      </c>
      <c r="B74" s="3">
        <f>IF(D74="","",IF(V74=0,"CONCLUÍDO",IF(D74&lt;corte,"HISTÓRICO",IF(OR(AND(ISNUMBER(R74),R74&lt;TODAY()),AND(OR(N74="PENDENTE",N74="PARCIAL"),D74&lt;TODAY()-1)),"CRÍTICO",IF(OR(AND(P74&lt;&gt;"",S74=""),AND(N74="REALIZADO",M74="PENDENTE"),AND(ISNUMBER(R74),R74=TODAY())),"ATENÇÃO",IF(N(K74)=0,"PENDENTE","EM ANDAMENTO"))))))</f>
        <v/>
      </c>
      <c r="C74" s="3">
        <f>IF(D74="","",IF(V74=0,"🟢 OK",IF(D74&lt;corte,"⚪ HISTÓRICO (sem baixa)",IF(AND(ISNUMBER(R74),R74&lt;TODAY()),"🔴 PRAZO VENCIDO",IF(AND(OR(N74="PENDENTE",N74="PARCIAL"),D74&lt;TODAY()-1),"🔴 EMBARQUE ATRASADO",IF(AND(N74="REALIZADO",M74="PENDENTE"),"🟡 EMBARCADO SEM FATURAR",IF(AND(P74&lt;&gt;"",S74="",OR(Q74="",R74="")),"🟡 PENDÊNCIA SEM RESPONSÁVEL/PRAZO",IF(AND(ISNUMBER(R74),R74=TODAY()),"🟡 VENCE HOJE",IF(AND(P74&lt;&gt;"",S74=""),"🟡 PENDÊNCIA ABERTA",IF(AND(N(J74)&gt;0,N(K74)&lt;J74),"🟡 FALTA EXECUTAR",IF(OR(M74="PENDENTE",M74="PARCIAL"),"🟡 FATURAMENTO PENDENTE","🟡 EMBARQUE PENDENTE")))))))))))</f>
        <v/>
      </c>
      <c r="D74" s="4" t="n">
        <v>46226</v>
      </c>
      <c r="E74" s="5" t="inlineStr">
        <is>
          <t>D</t>
        </is>
      </c>
      <c r="F74" s="5" t="inlineStr">
        <is>
          <t>ADAO</t>
        </is>
      </c>
      <c r="G74" s="5" t="inlineStr">
        <is>
          <t>FOB</t>
        </is>
      </c>
      <c r="H74" s="5" t="inlineStr">
        <is>
          <t>FOB</t>
        </is>
      </c>
      <c r="I74" s="5" t="inlineStr">
        <is>
          <t>TON</t>
        </is>
      </c>
      <c r="J74" s="6" t="n">
        <v>9.446</v>
      </c>
      <c r="K74" s="6" t="n">
        <v>9.446</v>
      </c>
      <c r="L74" s="7">
        <f>IF(OR(D74="",N(J74)=0),"",MIN(1,N(K74)/J74))</f>
        <v/>
      </c>
      <c r="M74" s="5" t="n"/>
      <c r="N74" s="5" t="n"/>
      <c r="O74" s="5" t="n"/>
      <c r="P74" s="5" t="n"/>
      <c r="Q74" s="5" t="n"/>
      <c r="R74" s="4" t="n"/>
      <c r="S74" s="4" t="n"/>
      <c r="T74" s="5" t="n"/>
      <c r="U74" s="8">
        <f>IF(AND(V74=1,D74&lt;&gt;""),IF(D74&gt;=corte,TODAY()-D74,""),"")</f>
        <v/>
      </c>
      <c r="V74" s="8">
        <f>IF(D74="",0,IF(OR(AND(P74&lt;&gt;"",S74=""),AND(N(J74)&gt;0,N(K74)&lt;J74),OR(M74="PENDENTE",M74="PARCIAL"),OR(N74="PENDENTE",N74="PARCIAL")),1,0))</f>
        <v/>
      </c>
      <c r="W74" s="8">
        <f>IF(AND(V74=1,D74&lt;&gt;""),IF(D74&gt;=corte,(B74="CRÍTICO")*1E9+(100000-D74)*10000+10000-ROW(),""),"")</f>
        <v/>
      </c>
      <c r="X74" s="8">
        <f>IF(AND(V74=1,D74=pas_data,E74=pas_turno),10000-ROW(),"")</f>
        <v/>
      </c>
    </row>
    <row r="75">
      <c r="A75" s="3">
        <f>IF(D75="","","TT-"&amp;TEXT(ROW()-1,"00000"))</f>
        <v/>
      </c>
      <c r="B75" s="3">
        <f>IF(D75="","",IF(V75=0,"CONCLUÍDO",IF(D75&lt;corte,"HISTÓRICO",IF(OR(AND(ISNUMBER(R75),R75&lt;TODAY()),AND(OR(N75="PENDENTE",N75="PARCIAL"),D75&lt;TODAY()-1)),"CRÍTICO",IF(OR(AND(P75&lt;&gt;"",S75=""),AND(N75="REALIZADO",M75="PENDENTE"),AND(ISNUMBER(R75),R75=TODAY())),"ATENÇÃO",IF(N(K75)=0,"PENDENTE","EM ANDAMENTO"))))))</f>
        <v/>
      </c>
      <c r="C75" s="3">
        <f>IF(D75="","",IF(V75=0,"🟢 OK",IF(D75&lt;corte,"⚪ HISTÓRICO (sem baixa)",IF(AND(ISNUMBER(R75),R75&lt;TODAY()),"🔴 PRAZO VENCIDO",IF(AND(OR(N75="PENDENTE",N75="PARCIAL"),D75&lt;TODAY()-1),"🔴 EMBARQUE ATRASADO",IF(AND(N75="REALIZADO",M75="PENDENTE"),"🟡 EMBARCADO SEM FATURAR",IF(AND(P75&lt;&gt;"",S75="",OR(Q75="",R75="")),"🟡 PENDÊNCIA SEM RESPONSÁVEL/PRAZO",IF(AND(ISNUMBER(R75),R75=TODAY()),"🟡 VENCE HOJE",IF(AND(P75&lt;&gt;"",S75=""),"🟡 PENDÊNCIA ABERTA",IF(AND(N(J75)&gt;0,N(K75)&lt;J75),"🟡 FALTA EXECUTAR",IF(OR(M75="PENDENTE",M75="PARCIAL"),"🟡 FATURAMENTO PENDENTE","🟡 EMBARQUE PENDENTE")))))))))))</f>
        <v/>
      </c>
      <c r="D75" s="4" t="n">
        <v>46226</v>
      </c>
      <c r="E75" s="5" t="inlineStr">
        <is>
          <t>D</t>
        </is>
      </c>
      <c r="F75" s="5" t="inlineStr">
        <is>
          <t>ADAO</t>
        </is>
      </c>
      <c r="G75" s="5" t="inlineStr">
        <is>
          <t>FOB</t>
        </is>
      </c>
      <c r="H75" s="5" t="inlineStr">
        <is>
          <t>FOB</t>
        </is>
      </c>
      <c r="I75" s="5" t="inlineStr">
        <is>
          <t>TON</t>
        </is>
      </c>
      <c r="J75" s="6" t="n">
        <v>10.211</v>
      </c>
      <c r="K75" s="6" t="n">
        <v>10.211</v>
      </c>
      <c r="L75" s="7">
        <f>IF(OR(D75="",N(J75)=0),"",MIN(1,N(K75)/J75))</f>
        <v/>
      </c>
      <c r="M75" s="5" t="n"/>
      <c r="N75" s="5" t="n"/>
      <c r="O75" s="5" t="n"/>
      <c r="P75" s="5" t="n"/>
      <c r="Q75" s="5" t="n"/>
      <c r="R75" s="4" t="n"/>
      <c r="S75" s="4" t="n"/>
      <c r="T75" s="5" t="n"/>
      <c r="U75" s="8">
        <f>IF(AND(V75=1,D75&lt;&gt;""),IF(D75&gt;=corte,TODAY()-D75,""),"")</f>
        <v/>
      </c>
      <c r="V75" s="8">
        <f>IF(D75="",0,IF(OR(AND(P75&lt;&gt;"",S75=""),AND(N(J75)&gt;0,N(K75)&lt;J75),OR(M75="PENDENTE",M75="PARCIAL"),OR(N75="PENDENTE",N75="PARCIAL")),1,0))</f>
        <v/>
      </c>
      <c r="W75" s="8">
        <f>IF(AND(V75=1,D75&lt;&gt;""),IF(D75&gt;=corte,(B75="CRÍTICO")*1E9+(100000-D75)*10000+10000-ROW(),""),"")</f>
        <v/>
      </c>
      <c r="X75" s="8">
        <f>IF(AND(V75=1,D75=pas_data,E75=pas_turno),10000-ROW(),"")</f>
        <v/>
      </c>
    </row>
    <row r="76">
      <c r="A76" s="3">
        <f>IF(D76="","","TT-"&amp;TEXT(ROW()-1,"00000"))</f>
        <v/>
      </c>
      <c r="B76" s="3">
        <f>IF(D76="","",IF(V76=0,"CONCLUÍDO",IF(D76&lt;corte,"HISTÓRICO",IF(OR(AND(ISNUMBER(R76),R76&lt;TODAY()),AND(OR(N76="PENDENTE",N76="PARCIAL"),D76&lt;TODAY()-1)),"CRÍTICO",IF(OR(AND(P76&lt;&gt;"",S76=""),AND(N76="REALIZADO",M76="PENDENTE"),AND(ISNUMBER(R76),R76=TODAY())),"ATENÇÃO",IF(N(K76)=0,"PENDENTE","EM ANDAMENTO"))))))</f>
        <v/>
      </c>
      <c r="C76" s="3">
        <f>IF(D76="","",IF(V76=0,"🟢 OK",IF(D76&lt;corte,"⚪ HISTÓRICO (sem baixa)",IF(AND(ISNUMBER(R76),R76&lt;TODAY()),"🔴 PRAZO VENCIDO",IF(AND(OR(N76="PENDENTE",N76="PARCIAL"),D76&lt;TODAY()-1),"🔴 EMBARQUE ATRASADO",IF(AND(N76="REALIZADO",M76="PENDENTE"),"🟡 EMBARCADO SEM FATURAR",IF(AND(P76&lt;&gt;"",S76="",OR(Q76="",R76="")),"🟡 PENDÊNCIA SEM RESPONSÁVEL/PRAZO",IF(AND(ISNUMBER(R76),R76=TODAY()),"🟡 VENCE HOJE",IF(AND(P76&lt;&gt;"",S76=""),"🟡 PENDÊNCIA ABERTA",IF(AND(N(J76)&gt;0,N(K76)&lt;J76),"🟡 FALTA EXECUTAR",IF(OR(M76="PENDENTE",M76="PARCIAL"),"🟡 FATURAMENTO PENDENTE","🟡 EMBARQUE PENDENTE")))))))))))</f>
        <v/>
      </c>
      <c r="D76" s="4" t="n">
        <v>46227</v>
      </c>
      <c r="E76" s="5" t="inlineStr">
        <is>
          <t>A</t>
        </is>
      </c>
      <c r="F76" s="5" t="inlineStr">
        <is>
          <t>TATIANE</t>
        </is>
      </c>
      <c r="G76" s="5" t="inlineStr">
        <is>
          <t>FOB</t>
        </is>
      </c>
      <c r="H76" s="5" t="inlineStr">
        <is>
          <t>FOB</t>
        </is>
      </c>
      <c r="I76" s="5" t="inlineStr">
        <is>
          <t>TON</t>
        </is>
      </c>
      <c r="J76" s="6" t="n">
        <v>9.446</v>
      </c>
      <c r="K76" s="6" t="n">
        <v>9.446</v>
      </c>
      <c r="L76" s="7">
        <f>IF(OR(D76="",N(J76)=0),"",MIN(1,N(K76)/J76))</f>
        <v/>
      </c>
      <c r="M76" s="5" t="inlineStr">
        <is>
          <t>PENDENTE</t>
        </is>
      </c>
      <c r="N76" s="5" t="inlineStr">
        <is>
          <t>PENDENTE</t>
        </is>
      </c>
      <c r="O76" s="5" t="inlineStr">
        <is>
          <t>PRÓPRIO</t>
        </is>
      </c>
      <c r="P76" s="5" t="n"/>
      <c r="Q76" s="5" t="n"/>
      <c r="R76" s="4" t="n"/>
      <c r="S76" s="4" t="n"/>
      <c r="T76" s="5" t="inlineStr">
        <is>
          <t>SEPARADO E CONFERIDO - LUZIA MEIRE</t>
        </is>
      </c>
      <c r="U76" s="8">
        <f>IF(AND(V76=1,D76&lt;&gt;""),IF(D76&gt;=corte,TODAY()-D76,""),"")</f>
        <v/>
      </c>
      <c r="V76" s="8">
        <f>IF(D76="",0,IF(OR(AND(P76&lt;&gt;"",S76=""),AND(N(J76)&gt;0,N(K76)&lt;J76),OR(M76="PENDENTE",M76="PARCIAL"),OR(N76="PENDENTE",N76="PARCIAL")),1,0))</f>
        <v/>
      </c>
      <c r="W76" s="8">
        <f>IF(AND(V76=1,D76&lt;&gt;""),IF(D76&gt;=corte,(B76="CRÍTICO")*1E9+(100000-D76)*10000+10000-ROW(),""),"")</f>
        <v/>
      </c>
      <c r="X76" s="8">
        <f>IF(AND(V76=1,D76=pas_data,E76=pas_turno),10000-ROW(),"")</f>
        <v/>
      </c>
    </row>
    <row r="77">
      <c r="A77" s="3">
        <f>IF(D77="","","TT-"&amp;TEXT(ROW()-1,"00000"))</f>
        <v/>
      </c>
      <c r="B77" s="3">
        <f>IF(D77="","",IF(V77=0,"CONCLUÍDO",IF(D77&lt;corte,"HISTÓRICO",IF(OR(AND(ISNUMBER(R77),R77&lt;TODAY()),AND(OR(N77="PENDENTE",N77="PARCIAL"),D77&lt;TODAY()-1)),"CRÍTICO",IF(OR(AND(P77&lt;&gt;"",S77=""),AND(N77="REALIZADO",M77="PENDENTE"),AND(ISNUMBER(R77),R77=TODAY())),"ATENÇÃO",IF(N(K77)=0,"PENDENTE","EM ANDAMENTO"))))))</f>
        <v/>
      </c>
      <c r="C77" s="3">
        <f>IF(D77="","",IF(V77=0,"🟢 OK",IF(D77&lt;corte,"⚪ HISTÓRICO (sem baixa)",IF(AND(ISNUMBER(R77),R77&lt;TODAY()),"🔴 PRAZO VENCIDO",IF(AND(OR(N77="PENDENTE",N77="PARCIAL"),D77&lt;TODAY()-1),"🔴 EMBARQUE ATRASADO",IF(AND(N77="REALIZADO",M77="PENDENTE"),"🟡 EMBARCADO SEM FATURAR",IF(AND(P77&lt;&gt;"",S77="",OR(Q77="",R77="")),"🟡 PENDÊNCIA SEM RESPONSÁVEL/PRAZO",IF(AND(ISNUMBER(R77),R77=TODAY()),"🟡 VENCE HOJE",IF(AND(P77&lt;&gt;"",S77=""),"🟡 PENDÊNCIA ABERTA",IF(AND(N(J77)&gt;0,N(K77)&lt;J77),"🟡 FALTA EXECUTAR",IF(OR(M77="PENDENTE",M77="PARCIAL"),"🟡 FATURAMENTO PENDENTE","🟡 EMBARQUE PENDENTE")))))))))))</f>
        <v/>
      </c>
      <c r="D77" s="4" t="n">
        <v>46227</v>
      </c>
      <c r="E77" s="5" t="inlineStr">
        <is>
          <t>A</t>
        </is>
      </c>
      <c r="F77" s="5" t="inlineStr">
        <is>
          <t>TATIANE</t>
        </is>
      </c>
      <c r="G77" s="5" t="inlineStr">
        <is>
          <t>FOB</t>
        </is>
      </c>
      <c r="H77" s="5" t="inlineStr">
        <is>
          <t>FOB</t>
        </is>
      </c>
      <c r="I77" s="5" t="inlineStr">
        <is>
          <t>TON</t>
        </is>
      </c>
      <c r="J77" s="6" t="n">
        <v>3</v>
      </c>
      <c r="K77" s="6" t="n">
        <v>3</v>
      </c>
      <c r="L77" s="7">
        <f>IF(OR(D77="",N(J77)=0),"",MIN(1,N(K77)/J77))</f>
        <v/>
      </c>
      <c r="M77" s="5" t="inlineStr">
        <is>
          <t>PENDENTE</t>
        </is>
      </c>
      <c r="N77" s="5" t="inlineStr">
        <is>
          <t>PENDENTE</t>
        </is>
      </c>
      <c r="O77" s="5" t="inlineStr">
        <is>
          <t>PRÓPRIO</t>
        </is>
      </c>
      <c r="P77" s="5" t="n"/>
      <c r="Q77" s="5" t="n"/>
      <c r="R77" s="4" t="n"/>
      <c r="S77" s="4" t="n"/>
      <c r="T77" s="5" t="inlineStr">
        <is>
          <t>SBB- SEPARADO E CONFERIDO</t>
        </is>
      </c>
      <c r="U77" s="8">
        <f>IF(AND(V77=1,D77&lt;&gt;""),IF(D77&gt;=corte,TODAY()-D77,""),"")</f>
        <v/>
      </c>
      <c r="V77" s="8">
        <f>IF(D77="",0,IF(OR(AND(P77&lt;&gt;"",S77=""),AND(N(J77)&gt;0,N(K77)&lt;J77),OR(M77="PENDENTE",M77="PARCIAL"),OR(N77="PENDENTE",N77="PARCIAL")),1,0))</f>
        <v/>
      </c>
      <c r="W77" s="8">
        <f>IF(AND(V77=1,D77&lt;&gt;""),IF(D77&gt;=corte,(B77="CRÍTICO")*1E9+(100000-D77)*10000+10000-ROW(),""),"")</f>
        <v/>
      </c>
      <c r="X77" s="8">
        <f>IF(AND(V77=1,D77=pas_data,E77=pas_turno),10000-ROW(),"")</f>
        <v/>
      </c>
    </row>
    <row r="78">
      <c r="A78" s="3">
        <f>IF(D78="","","TT-"&amp;TEXT(ROW()-1,"00000"))</f>
        <v/>
      </c>
      <c r="B78" s="3">
        <f>IF(D78="","",IF(V78=0,"CONCLUÍDO",IF(D78&lt;corte,"HISTÓRICO",IF(OR(AND(ISNUMBER(R78),R78&lt;TODAY()),AND(OR(N78="PENDENTE",N78="PARCIAL"),D78&lt;TODAY()-1)),"CRÍTICO",IF(OR(AND(P78&lt;&gt;"",S78=""),AND(N78="REALIZADO",M78="PENDENTE"),AND(ISNUMBER(R78),R78=TODAY())),"ATENÇÃO",IF(N(K78)=0,"PENDENTE","EM ANDAMENTO"))))))</f>
        <v/>
      </c>
      <c r="C78" s="3">
        <f>IF(D78="","",IF(V78=0,"🟢 OK",IF(D78&lt;corte,"⚪ HISTÓRICO (sem baixa)",IF(AND(ISNUMBER(R78),R78&lt;TODAY()),"🔴 PRAZO VENCIDO",IF(AND(OR(N78="PENDENTE",N78="PARCIAL"),D78&lt;TODAY()-1),"🔴 EMBARQUE ATRASADO",IF(AND(N78="REALIZADO",M78="PENDENTE"),"🟡 EMBARCADO SEM FATURAR",IF(AND(P78&lt;&gt;"",S78="",OR(Q78="",R78="")),"🟡 PENDÊNCIA SEM RESPONSÁVEL/PRAZO",IF(AND(ISNUMBER(R78),R78=TODAY()),"🟡 VENCE HOJE",IF(AND(P78&lt;&gt;"",S78=""),"🟡 PENDÊNCIA ABERTA",IF(AND(N(J78)&gt;0,N(K78)&lt;J78),"🟡 FALTA EXECUTAR",IF(OR(M78="PENDENTE",M78="PARCIAL"),"🟡 FATURAMENTO PENDENTE","🟡 EMBARQUE PENDENTE")))))))))))</f>
        <v/>
      </c>
      <c r="D78" s="4" t="n">
        <v>46226</v>
      </c>
      <c r="E78" s="5" t="inlineStr">
        <is>
          <t>D</t>
        </is>
      </c>
      <c r="F78" s="5" t="inlineStr">
        <is>
          <t>ADAO</t>
        </is>
      </c>
      <c r="G78" s="5" t="inlineStr">
        <is>
          <t>FM</t>
        </is>
      </c>
      <c r="H78" s="5" t="inlineStr">
        <is>
          <t>FM</t>
        </is>
      </c>
      <c r="I78" s="5" t="inlineStr">
        <is>
          <t>TON</t>
        </is>
      </c>
      <c r="J78" s="6" t="n">
        <v>12.948</v>
      </c>
      <c r="K78" s="6" t="n">
        <v>12.948</v>
      </c>
      <c r="L78" s="7">
        <f>IF(OR(D78="",N(J78)=0),"",MIN(1,N(K78)/J78))</f>
        <v/>
      </c>
      <c r="M78" s="5" t="n"/>
      <c r="N78" s="5" t="n"/>
      <c r="O78" s="5" t="n"/>
      <c r="P78" s="5" t="n"/>
      <c r="Q78" s="5" t="n"/>
      <c r="R78" s="4" t="n"/>
      <c r="S78" s="4" t="n"/>
      <c r="T78" s="5" t="n"/>
      <c r="U78" s="8">
        <f>IF(AND(V78=1,D78&lt;&gt;""),IF(D78&gt;=corte,TODAY()-D78,""),"")</f>
        <v/>
      </c>
      <c r="V78" s="8">
        <f>IF(D78="",0,IF(OR(AND(P78&lt;&gt;"",S78=""),AND(N(J78)&gt;0,N(K78)&lt;J78),OR(M78="PENDENTE",M78="PARCIAL"),OR(N78="PENDENTE",N78="PARCIAL")),1,0))</f>
        <v/>
      </c>
      <c r="W78" s="8">
        <f>IF(AND(V78=1,D78&lt;&gt;""),IF(D78&gt;=corte,(B78="CRÍTICO")*1E9+(100000-D78)*10000+10000-ROW(),""),"")</f>
        <v/>
      </c>
      <c r="X78" s="8">
        <f>IF(AND(V78=1,D78=pas_data,E78=pas_turno),10000-ROW(),"")</f>
        <v/>
      </c>
    </row>
    <row r="79">
      <c r="A79" s="3">
        <f>IF(D79="","","TT-"&amp;TEXT(ROW()-1,"00000"))</f>
        <v/>
      </c>
      <c r="B79" s="3">
        <f>IF(D79="","",IF(V79=0,"CONCLUÍDO",IF(D79&lt;corte,"HISTÓRICO",IF(OR(AND(ISNUMBER(R79),R79&lt;TODAY()),AND(OR(N79="PENDENTE",N79="PARCIAL"),D79&lt;TODAY()-1)),"CRÍTICO",IF(OR(AND(P79&lt;&gt;"",S79=""),AND(N79="REALIZADO",M79="PENDENTE"),AND(ISNUMBER(R79),R79=TODAY())),"ATENÇÃO",IF(N(K79)=0,"PENDENTE","EM ANDAMENTO"))))))</f>
        <v/>
      </c>
      <c r="C79" s="3">
        <f>IF(D79="","",IF(V79=0,"🟢 OK",IF(D79&lt;corte,"⚪ HISTÓRICO (sem baixa)",IF(AND(ISNUMBER(R79),R79&lt;TODAY()),"🔴 PRAZO VENCIDO",IF(AND(OR(N79="PENDENTE",N79="PARCIAL"),D79&lt;TODAY()-1),"🔴 EMBARQUE ATRASADO",IF(AND(N79="REALIZADO",M79="PENDENTE"),"🟡 EMBARCADO SEM FATURAR",IF(AND(P79&lt;&gt;"",S79="",OR(Q79="",R79="")),"🟡 PENDÊNCIA SEM RESPONSÁVEL/PRAZO",IF(AND(ISNUMBER(R79),R79=TODAY()),"🟡 VENCE HOJE",IF(AND(P79&lt;&gt;"",S79=""),"🟡 PENDÊNCIA ABERTA",IF(AND(N(J79)&gt;0,N(K79)&lt;J79),"🟡 FALTA EXECUTAR",IF(OR(M79="PENDENTE",M79="PARCIAL"),"🟡 FATURAMENTO PENDENTE","🟡 EMBARQUE PENDENTE")))))))))))</f>
        <v/>
      </c>
      <c r="D79" s="4" t="n">
        <v>46226</v>
      </c>
      <c r="E79" s="5" t="inlineStr">
        <is>
          <t>D</t>
        </is>
      </c>
      <c r="F79" s="5" t="inlineStr">
        <is>
          <t>ADAO</t>
        </is>
      </c>
      <c r="G79" s="5" t="inlineStr">
        <is>
          <t>FM</t>
        </is>
      </c>
      <c r="H79" s="5" t="inlineStr">
        <is>
          <t>FM</t>
        </is>
      </c>
      <c r="I79" s="5" t="inlineStr">
        <is>
          <t>TON</t>
        </is>
      </c>
      <c r="J79" s="6" t="n">
        <v>28.054</v>
      </c>
      <c r="K79" s="6" t="n">
        <v>28.054</v>
      </c>
      <c r="L79" s="7">
        <f>IF(OR(D79="",N(J79)=0),"",MIN(1,N(K79)/J79))</f>
        <v/>
      </c>
      <c r="M79" s="5" t="n"/>
      <c r="N79" s="5" t="n"/>
      <c r="O79" s="5" t="n"/>
      <c r="P79" s="5" t="n"/>
      <c r="Q79" s="5" t="n"/>
      <c r="R79" s="4" t="n"/>
      <c r="S79" s="4" t="n"/>
      <c r="T79" s="5" t="n"/>
      <c r="U79" s="8">
        <f>IF(AND(V79=1,D79&lt;&gt;""),IF(D79&gt;=corte,TODAY()-D79,""),"")</f>
        <v/>
      </c>
      <c r="V79" s="8">
        <f>IF(D79="",0,IF(OR(AND(P79&lt;&gt;"",S79=""),AND(N(J79)&gt;0,N(K79)&lt;J79),OR(M79="PENDENTE",M79="PARCIAL"),OR(N79="PENDENTE",N79="PARCIAL")),1,0))</f>
        <v/>
      </c>
      <c r="W79" s="8">
        <f>IF(AND(V79=1,D79&lt;&gt;""),IF(D79&gt;=corte,(B79="CRÍTICO")*1E9+(100000-D79)*10000+10000-ROW(),""),"")</f>
        <v/>
      </c>
      <c r="X79" s="8">
        <f>IF(AND(V79=1,D79=pas_data,E79=pas_turno),10000-ROW(),"")</f>
        <v/>
      </c>
    </row>
    <row r="80">
      <c r="A80" s="3">
        <f>IF(D80="","","TT-"&amp;TEXT(ROW()-1,"00000"))</f>
        <v/>
      </c>
      <c r="B80" s="3">
        <f>IF(D80="","",IF(V80=0,"CONCLUÍDO",IF(D80&lt;corte,"HISTÓRICO",IF(OR(AND(ISNUMBER(R80),R80&lt;TODAY()),AND(OR(N80="PENDENTE",N80="PARCIAL"),D80&lt;TODAY()-1)),"CRÍTICO",IF(OR(AND(P80&lt;&gt;"",S80=""),AND(N80="REALIZADO",M80="PENDENTE"),AND(ISNUMBER(R80),R80=TODAY())),"ATENÇÃO",IF(N(K80)=0,"PENDENTE","EM ANDAMENTO"))))))</f>
        <v/>
      </c>
      <c r="C80" s="3">
        <f>IF(D80="","",IF(V80=0,"🟢 OK",IF(D80&lt;corte,"⚪ HISTÓRICO (sem baixa)",IF(AND(ISNUMBER(R80),R80&lt;TODAY()),"🔴 PRAZO VENCIDO",IF(AND(OR(N80="PENDENTE",N80="PARCIAL"),D80&lt;TODAY()-1),"🔴 EMBARQUE ATRASADO",IF(AND(N80="REALIZADO",M80="PENDENTE"),"🟡 EMBARCADO SEM FATURAR",IF(AND(P80&lt;&gt;"",S80="",OR(Q80="",R80="")),"🟡 PENDÊNCIA SEM RESPONSÁVEL/PRAZO",IF(AND(ISNUMBER(R80),R80=TODAY()),"🟡 VENCE HOJE",IF(AND(P80&lt;&gt;"",S80=""),"🟡 PENDÊNCIA ABERTA",IF(AND(N(J80)&gt;0,N(K80)&lt;J80),"🟡 FALTA EXECUTAR",IF(OR(M80="PENDENTE",M80="PARCIAL"),"🟡 FATURAMENTO PENDENTE","🟡 EMBARQUE PENDENTE")))))))))))</f>
        <v/>
      </c>
      <c r="D80" s="4" t="n">
        <v>46226</v>
      </c>
      <c r="E80" s="5" t="inlineStr">
        <is>
          <t>D</t>
        </is>
      </c>
      <c r="F80" s="5" t="inlineStr">
        <is>
          <t>ADAO</t>
        </is>
      </c>
      <c r="G80" s="5" t="inlineStr">
        <is>
          <t>FM</t>
        </is>
      </c>
      <c r="H80" s="5" t="inlineStr">
        <is>
          <t>FM</t>
        </is>
      </c>
      <c r="I80" s="5" t="inlineStr">
        <is>
          <t>TON</t>
        </is>
      </c>
      <c r="J80" s="6" t="n">
        <v>22.228</v>
      </c>
      <c r="K80" s="6" t="n">
        <v>22.228</v>
      </c>
      <c r="L80" s="7">
        <f>IF(OR(D80="",N(J80)=0),"",MIN(1,N(K80)/J80))</f>
        <v/>
      </c>
      <c r="M80" s="5" t="n"/>
      <c r="N80" s="5" t="n"/>
      <c r="O80" s="5" t="n"/>
      <c r="P80" s="5" t="n"/>
      <c r="Q80" s="5" t="n"/>
      <c r="R80" s="4" t="n"/>
      <c r="S80" s="4" t="n"/>
      <c r="T80" s="5" t="n"/>
      <c r="U80" s="8">
        <f>IF(AND(V80=1,D80&lt;&gt;""),IF(D80&gt;=corte,TODAY()-D80,""),"")</f>
        <v/>
      </c>
      <c r="V80" s="8">
        <f>IF(D80="",0,IF(OR(AND(P80&lt;&gt;"",S80=""),AND(N(J80)&gt;0,N(K80)&lt;J80),OR(M80="PENDENTE",M80="PARCIAL"),OR(N80="PENDENTE",N80="PARCIAL")),1,0))</f>
        <v/>
      </c>
      <c r="W80" s="8">
        <f>IF(AND(V80=1,D80&lt;&gt;""),IF(D80&gt;=corte,(B80="CRÍTICO")*1E9+(100000-D80)*10000+10000-ROW(),""),"")</f>
        <v/>
      </c>
      <c r="X80" s="8">
        <f>IF(AND(V80=1,D80=pas_data,E80=pas_turno),10000-ROW(),"")</f>
        <v/>
      </c>
    </row>
    <row r="81">
      <c r="A81" s="3">
        <f>IF(D81="","","TT-"&amp;TEXT(ROW()-1,"00000"))</f>
        <v/>
      </c>
      <c r="B81" s="3">
        <f>IF(D81="","",IF(V81=0,"CONCLUÍDO",IF(D81&lt;corte,"HISTÓRICO",IF(OR(AND(ISNUMBER(R81),R81&lt;TODAY()),AND(OR(N81="PENDENTE",N81="PARCIAL"),D81&lt;TODAY()-1)),"CRÍTICO",IF(OR(AND(P81&lt;&gt;"",S81=""),AND(N81="REALIZADO",M81="PENDENTE"),AND(ISNUMBER(R81),R81=TODAY())),"ATENÇÃO",IF(N(K81)=0,"PENDENTE","EM ANDAMENTO"))))))</f>
        <v/>
      </c>
      <c r="C81" s="3">
        <f>IF(D81="","",IF(V81=0,"🟢 OK",IF(D81&lt;corte,"⚪ HISTÓRICO (sem baixa)",IF(AND(ISNUMBER(R81),R81&lt;TODAY()),"🔴 PRAZO VENCIDO",IF(AND(OR(N81="PENDENTE",N81="PARCIAL"),D81&lt;TODAY()-1),"🔴 EMBARQUE ATRASADO",IF(AND(N81="REALIZADO",M81="PENDENTE"),"🟡 EMBARCADO SEM FATURAR",IF(AND(P81&lt;&gt;"",S81="",OR(Q81="",R81="")),"🟡 PENDÊNCIA SEM RESPONSÁVEL/PRAZO",IF(AND(ISNUMBER(R81),R81=TODAY()),"🟡 VENCE HOJE",IF(AND(P81&lt;&gt;"",S81=""),"🟡 PENDÊNCIA ABERTA",IF(AND(N(J81)&gt;0,N(K81)&lt;J81),"🟡 FALTA EXECUTAR",IF(OR(M81="PENDENTE",M81="PARCIAL"),"🟡 FATURAMENTO PENDENTE","🟡 EMBARQUE PENDENTE")))))))))))</f>
        <v/>
      </c>
      <c r="D81" s="4" t="n">
        <v>46227</v>
      </c>
      <c r="E81" s="5" t="inlineStr">
        <is>
          <t>A</t>
        </is>
      </c>
      <c r="F81" s="5" t="inlineStr">
        <is>
          <t>TATIANE</t>
        </is>
      </c>
      <c r="G81" s="5" t="inlineStr">
        <is>
          <t>GM</t>
        </is>
      </c>
      <c r="H81" s="5" t="inlineStr">
        <is>
          <t>PR</t>
        </is>
      </c>
      <c r="I81" s="5" t="inlineStr">
        <is>
          <t>TON</t>
        </is>
      </c>
      <c r="J81" s="6" t="n">
        <v>7.286</v>
      </c>
      <c r="K81" s="6" t="n">
        <v>7.286</v>
      </c>
      <c r="L81" s="7">
        <f>IF(OR(D81="",N(J81)=0),"",MIN(1,N(K81)/J81))</f>
        <v/>
      </c>
      <c r="M81" s="5" t="inlineStr">
        <is>
          <t>FATURADO</t>
        </is>
      </c>
      <c r="N81" s="5" t="inlineStr">
        <is>
          <t>PENDENTE</t>
        </is>
      </c>
      <c r="O81" s="5" t="inlineStr">
        <is>
          <t>RENOVAÇÃO</t>
        </is>
      </c>
      <c r="P81" s="5" t="n"/>
      <c r="Q81" s="5" t="n"/>
      <c r="R81" s="4" t="n"/>
      <c r="S81" s="4" t="n"/>
      <c r="T81" s="5" t="inlineStr">
        <is>
          <t>OT GERADAS</t>
        </is>
      </c>
      <c r="U81" s="8">
        <f>IF(AND(V81=1,D81&lt;&gt;""),IF(D81&gt;=corte,TODAY()-D81,""),"")</f>
        <v/>
      </c>
      <c r="V81" s="8">
        <f>IF(D81="",0,IF(OR(AND(P81&lt;&gt;"",S81=""),AND(N(J81)&gt;0,N(K81)&lt;J81),OR(M81="PENDENTE",M81="PARCIAL"),OR(N81="PENDENTE",N81="PARCIAL")),1,0))</f>
        <v/>
      </c>
      <c r="W81" s="8">
        <f>IF(AND(V81=1,D81&lt;&gt;""),IF(D81&gt;=corte,(B81="CRÍTICO")*1E9+(100000-D81)*10000+10000-ROW(),""),"")</f>
        <v/>
      </c>
      <c r="X81" s="8">
        <f>IF(AND(V81=1,D81=pas_data,E81=pas_turno),10000-ROW(),"")</f>
        <v/>
      </c>
    </row>
    <row r="82">
      <c r="A82" s="3">
        <f>IF(D82="","","TT-"&amp;TEXT(ROW()-1,"00000"))</f>
        <v/>
      </c>
      <c r="B82" s="3">
        <f>IF(D82="","",IF(V82=0,"CONCLUÍDO",IF(D82&lt;corte,"HISTÓRICO",IF(OR(AND(ISNUMBER(R82),R82&lt;TODAY()),AND(OR(N82="PENDENTE",N82="PARCIAL"),D82&lt;TODAY()-1)),"CRÍTICO",IF(OR(AND(P82&lt;&gt;"",S82=""),AND(N82="REALIZADO",M82="PENDENTE"),AND(ISNUMBER(R82),R82=TODAY())),"ATENÇÃO",IF(N(K82)=0,"PENDENTE","EM ANDAMENTO"))))))</f>
        <v/>
      </c>
      <c r="C82" s="3">
        <f>IF(D82="","",IF(V82=0,"🟢 OK",IF(D82&lt;corte,"⚪ HISTÓRICO (sem baixa)",IF(AND(ISNUMBER(R82),R82&lt;TODAY()),"🔴 PRAZO VENCIDO",IF(AND(OR(N82="PENDENTE",N82="PARCIAL"),D82&lt;TODAY()-1),"🔴 EMBARQUE ATRASADO",IF(AND(N82="REALIZADO",M82="PENDENTE"),"🟡 EMBARCADO SEM FATURAR",IF(AND(P82&lt;&gt;"",S82="",OR(Q82="",R82="")),"🟡 PENDÊNCIA SEM RESPONSÁVEL/PRAZO",IF(AND(ISNUMBER(R82),R82=TODAY()),"🟡 VENCE HOJE",IF(AND(P82&lt;&gt;"",S82=""),"🟡 PENDÊNCIA ABERTA",IF(AND(N(J82)&gt;0,N(K82)&lt;J82),"🟡 FALTA EXECUTAR",IF(OR(M82="PENDENTE",M82="PARCIAL"),"🟡 FATURAMENTO PENDENTE","🟡 EMBARQUE PENDENTE")))))))))))</f>
        <v/>
      </c>
      <c r="D82" s="4" t="n">
        <v>46227</v>
      </c>
      <c r="E82" s="5" t="inlineStr">
        <is>
          <t>B</t>
        </is>
      </c>
      <c r="F82" s="5" t="inlineStr">
        <is>
          <t>THIAGO</t>
        </is>
      </c>
      <c r="G82" s="5" t="inlineStr">
        <is>
          <t>GM</t>
        </is>
      </c>
      <c r="H82" s="5" t="inlineStr">
        <is>
          <t>SC</t>
        </is>
      </c>
      <c r="I82" s="5" t="inlineStr">
        <is>
          <t>TON</t>
        </is>
      </c>
      <c r="J82" s="6" t="n">
        <v>1.006</v>
      </c>
      <c r="K82" s="6" t="n">
        <v>1.006</v>
      </c>
      <c r="L82" s="7">
        <f>IF(OR(D82="",N(J82)=0),"",MIN(1,N(K82)/J82))</f>
        <v/>
      </c>
      <c r="M82" s="5" t="inlineStr">
        <is>
          <t>FATURADO</t>
        </is>
      </c>
      <c r="N82" s="5" t="inlineStr">
        <is>
          <t>PENDENTE</t>
        </is>
      </c>
      <c r="O82" s="5" t="n"/>
      <c r="P82" s="5" t="n"/>
      <c r="Q82" s="5" t="n"/>
      <c r="R82" s="4" t="n"/>
      <c r="S82" s="4" t="n"/>
      <c r="T82" s="5" t="inlineStr">
        <is>
          <t>faturado</t>
        </is>
      </c>
      <c r="U82" s="8">
        <f>IF(AND(V82=1,D82&lt;&gt;""),IF(D82&gt;=corte,TODAY()-D82,""),"")</f>
        <v/>
      </c>
      <c r="V82" s="8">
        <f>IF(D82="",0,IF(OR(AND(P82&lt;&gt;"",S82=""),AND(N(J82)&gt;0,N(K82)&lt;J82),OR(M82="PENDENTE",M82="PARCIAL"),OR(N82="PENDENTE",N82="PARCIAL")),1,0))</f>
        <v/>
      </c>
      <c r="W82" s="8">
        <f>IF(AND(V82=1,D82&lt;&gt;""),IF(D82&gt;=corte,(B82="CRÍTICO")*1E9+(100000-D82)*10000+10000-ROW(),""),"")</f>
        <v/>
      </c>
      <c r="X82" s="8">
        <f>IF(AND(V82=1,D82=pas_data,E82=pas_turno),10000-ROW(),"")</f>
        <v/>
      </c>
    </row>
    <row r="83">
      <c r="A83" s="3">
        <f>IF(D83="","","TT-"&amp;TEXT(ROW()-1,"00000"))</f>
        <v/>
      </c>
      <c r="B83" s="3">
        <f>IF(D83="","",IF(V83=0,"CONCLUÍDO",IF(D83&lt;corte,"HISTÓRICO",IF(OR(AND(ISNUMBER(R83),R83&lt;TODAY()),AND(OR(N83="PENDENTE",N83="PARCIAL"),D83&lt;TODAY()-1)),"CRÍTICO",IF(OR(AND(P83&lt;&gt;"",S83=""),AND(N83="REALIZADO",M83="PENDENTE"),AND(ISNUMBER(R83),R83=TODAY())),"ATENÇÃO",IF(N(K83)=0,"PENDENTE","EM ANDAMENTO"))))))</f>
        <v/>
      </c>
      <c r="C83" s="3">
        <f>IF(D83="","",IF(V83=0,"🟢 OK",IF(D83&lt;corte,"⚪ HISTÓRICO (sem baixa)",IF(AND(ISNUMBER(R83),R83&lt;TODAY()),"🔴 PRAZO VENCIDO",IF(AND(OR(N83="PENDENTE",N83="PARCIAL"),D83&lt;TODAY()-1),"🔴 EMBARQUE ATRASADO",IF(AND(N83="REALIZADO",M83="PENDENTE"),"🟡 EMBARCADO SEM FATURAR",IF(AND(P83&lt;&gt;"",S83="",OR(Q83="",R83="")),"🟡 PENDÊNCIA SEM RESPONSÁVEL/PRAZO",IF(AND(ISNUMBER(R83),R83=TODAY()),"🟡 VENCE HOJE",IF(AND(P83&lt;&gt;"",S83=""),"🟡 PENDÊNCIA ABERTA",IF(AND(N(J83)&gt;0,N(K83)&lt;J83),"🟡 FALTA EXECUTAR",IF(OR(M83="PENDENTE",M83="PARCIAL"),"🟡 FATURAMENTO PENDENTE","🟡 EMBARQUE PENDENTE")))))))))))</f>
        <v/>
      </c>
      <c r="D83" s="4" t="n">
        <v>46227</v>
      </c>
      <c r="E83" s="5" t="inlineStr">
        <is>
          <t>B</t>
        </is>
      </c>
      <c r="F83" s="5" t="inlineStr">
        <is>
          <t>THIAGO</t>
        </is>
      </c>
      <c r="G83" s="5" t="inlineStr">
        <is>
          <t>GM</t>
        </is>
      </c>
      <c r="H83" s="5" t="inlineStr">
        <is>
          <t>RS</t>
        </is>
      </c>
      <c r="I83" s="5" t="inlineStr">
        <is>
          <t>TON</t>
        </is>
      </c>
      <c r="J83" s="6" t="n">
        <v>3.215</v>
      </c>
      <c r="K83" s="6" t="n">
        <v>3.215</v>
      </c>
      <c r="L83" s="7">
        <f>IF(OR(D83="",N(J83)=0),"",MIN(1,N(K83)/J83))</f>
        <v/>
      </c>
      <c r="M83" s="5" t="inlineStr">
        <is>
          <t>FATURADO</t>
        </is>
      </c>
      <c r="N83" s="5" t="inlineStr">
        <is>
          <t>PENDENTE</t>
        </is>
      </c>
      <c r="O83" s="5" t="n"/>
      <c r="P83" s="5" t="n"/>
      <c r="Q83" s="5" t="n"/>
      <c r="R83" s="4" t="n"/>
      <c r="S83" s="4" t="n"/>
      <c r="T83" s="5" t="inlineStr">
        <is>
          <t>faturado</t>
        </is>
      </c>
      <c r="U83" s="8">
        <f>IF(AND(V83=1,D83&lt;&gt;""),IF(D83&gt;=corte,TODAY()-D83,""),"")</f>
        <v/>
      </c>
      <c r="V83" s="8">
        <f>IF(D83="",0,IF(OR(AND(P83&lt;&gt;"",S83=""),AND(N(J83)&gt;0,N(K83)&lt;J83),OR(M83="PENDENTE",M83="PARCIAL"),OR(N83="PENDENTE",N83="PARCIAL")),1,0))</f>
        <v/>
      </c>
      <c r="W83" s="8">
        <f>IF(AND(V83=1,D83&lt;&gt;""),IF(D83&gt;=corte,(B83="CRÍTICO")*1E9+(100000-D83)*10000+10000-ROW(),""),"")</f>
        <v/>
      </c>
      <c r="X83" s="8">
        <f>IF(AND(V83=1,D83=pas_data,E83=pas_turno),10000-ROW(),"")</f>
        <v/>
      </c>
    </row>
    <row r="84">
      <c r="A84" s="3">
        <f>IF(D84="","","TT-"&amp;TEXT(ROW()-1,"00000"))</f>
        <v/>
      </c>
      <c r="B84" s="3">
        <f>IF(D84="","",IF(V84=0,"CONCLUÍDO",IF(D84&lt;corte,"HISTÓRICO",IF(OR(AND(ISNUMBER(R84),R84&lt;TODAY()),AND(OR(N84="PENDENTE",N84="PARCIAL"),D84&lt;TODAY()-1)),"CRÍTICO",IF(OR(AND(P84&lt;&gt;"",S84=""),AND(N84="REALIZADO",M84="PENDENTE"),AND(ISNUMBER(R84),R84=TODAY())),"ATENÇÃO",IF(N(K84)=0,"PENDENTE","EM ANDAMENTO"))))))</f>
        <v/>
      </c>
      <c r="C84" s="3">
        <f>IF(D84="","",IF(V84=0,"🟢 OK",IF(D84&lt;corte,"⚪ HISTÓRICO (sem baixa)",IF(AND(ISNUMBER(R84),R84&lt;TODAY()),"🔴 PRAZO VENCIDO",IF(AND(OR(N84="PENDENTE",N84="PARCIAL"),D84&lt;TODAY()-1),"🔴 EMBARQUE ATRASADO",IF(AND(N84="REALIZADO",M84="PENDENTE"),"🟡 EMBARCADO SEM FATURAR",IF(AND(P84&lt;&gt;"",S84="",OR(Q84="",R84="")),"🟡 PENDÊNCIA SEM RESPONSÁVEL/PRAZO",IF(AND(ISNUMBER(R84),R84=TODAY()),"🟡 VENCE HOJE",IF(AND(P84&lt;&gt;"",S84=""),"🟡 PENDÊNCIA ABERTA",IF(AND(N(J84)&gt;0,N(K84)&lt;J84),"🟡 FALTA EXECUTAR",IF(OR(M84="PENDENTE",M84="PARCIAL"),"🟡 FATURAMENTO PENDENTE","🟡 EMBARQUE PENDENTE")))))))))))</f>
        <v/>
      </c>
      <c r="D84" s="4" t="n">
        <v>46227</v>
      </c>
      <c r="E84" s="5" t="inlineStr">
        <is>
          <t>D</t>
        </is>
      </c>
      <c r="F84" s="5" t="inlineStr">
        <is>
          <t>ADAO</t>
        </is>
      </c>
      <c r="G84" s="5" t="inlineStr">
        <is>
          <t>GM</t>
        </is>
      </c>
      <c r="H84" s="5" t="inlineStr">
        <is>
          <t>AGENDAS SMART</t>
        </is>
      </c>
      <c r="I84" s="5" t="inlineStr">
        <is>
          <t>TON</t>
        </is>
      </c>
      <c r="J84" s="6" t="n">
        <v>20.376</v>
      </c>
      <c r="K84" s="6" t="n">
        <v>20.376</v>
      </c>
      <c r="L84" s="7">
        <f>IF(OR(D84="",N(J84)=0),"",MIN(1,N(K84)/J84))</f>
        <v/>
      </c>
      <c r="M84" s="5" t="n"/>
      <c r="N84" s="5" t="n"/>
      <c r="O84" s="5" t="n"/>
      <c r="P84" s="5" t="n"/>
      <c r="Q84" s="5" t="n"/>
      <c r="R84" s="4" t="n"/>
      <c r="S84" s="4" t="n"/>
      <c r="T84" s="5" t="n"/>
      <c r="U84" s="8">
        <f>IF(AND(V84=1,D84&lt;&gt;""),IF(D84&gt;=corte,TODAY()-D84,""),"")</f>
        <v/>
      </c>
      <c r="V84" s="8">
        <f>IF(D84="",0,IF(OR(AND(P84&lt;&gt;"",S84=""),AND(N(J84)&gt;0,N(K84)&lt;J84),OR(M84="PENDENTE",M84="PARCIAL"),OR(N84="PENDENTE",N84="PARCIAL")),1,0))</f>
        <v/>
      </c>
      <c r="W84" s="8">
        <f>IF(AND(V84=1,D84&lt;&gt;""),IF(D84&gt;=corte,(B84="CRÍTICO")*1E9+(100000-D84)*10000+10000-ROW(),""),"")</f>
        <v/>
      </c>
      <c r="X84" s="8">
        <f>IF(AND(V84=1,D84=pas_data,E84=pas_turno),10000-ROW(),"")</f>
        <v/>
      </c>
    </row>
    <row r="85">
      <c r="A85" s="3">
        <f>IF(D85="","","TT-"&amp;TEXT(ROW()-1,"00000"))</f>
        <v/>
      </c>
      <c r="B85" s="3">
        <f>IF(D85="","",IF(V85=0,"CONCLUÍDO",IF(D85&lt;corte,"HISTÓRICO",IF(OR(AND(ISNUMBER(R85),R85&lt;TODAY()),AND(OR(N85="PENDENTE",N85="PARCIAL"),D85&lt;TODAY()-1)),"CRÍTICO",IF(OR(AND(P85&lt;&gt;"",S85=""),AND(N85="REALIZADO",M85="PENDENTE"),AND(ISNUMBER(R85),R85=TODAY())),"ATENÇÃO",IF(N(K85)=0,"PENDENTE","EM ANDAMENTO"))))))</f>
        <v/>
      </c>
      <c r="C85" s="3">
        <f>IF(D85="","",IF(V85=0,"🟢 OK",IF(D85&lt;corte,"⚪ HISTÓRICO (sem baixa)",IF(AND(ISNUMBER(R85),R85&lt;TODAY()),"🔴 PRAZO VENCIDO",IF(AND(OR(N85="PENDENTE",N85="PARCIAL"),D85&lt;TODAY()-1),"🔴 EMBARQUE ATRASADO",IF(AND(N85="REALIZADO",M85="PENDENTE"),"🟡 EMBARCADO SEM FATURAR",IF(AND(P85&lt;&gt;"",S85="",OR(Q85="",R85="")),"🟡 PENDÊNCIA SEM RESPONSÁVEL/PRAZO",IF(AND(ISNUMBER(R85),R85=TODAY()),"🟡 VENCE HOJE",IF(AND(P85&lt;&gt;"",S85=""),"🟡 PENDÊNCIA ABERTA",IF(AND(N(J85)&gt;0,N(K85)&lt;J85),"🟡 FALTA EXECUTAR",IF(OR(M85="PENDENTE",M85="PARCIAL"),"🟡 FATURAMENTO PENDENTE","🟡 EMBARQUE PENDENTE")))))))))))</f>
        <v/>
      </c>
      <c r="D85" s="4" t="n">
        <v>46227</v>
      </c>
      <c r="E85" s="5" t="inlineStr">
        <is>
          <t>D</t>
        </is>
      </c>
      <c r="F85" s="5" t="inlineStr">
        <is>
          <t>ADAO</t>
        </is>
      </c>
      <c r="G85" s="5" t="inlineStr">
        <is>
          <t>RECEBIMENTO</t>
        </is>
      </c>
      <c r="H85" s="5" t="inlineStr">
        <is>
          <t>EXTREMA</t>
        </is>
      </c>
      <c r="I85" s="5" t="inlineStr">
        <is>
          <t>PALETE</t>
        </is>
      </c>
      <c r="J85" s="6" t="n">
        <v>24</v>
      </c>
      <c r="K85" s="6" t="n">
        <v>24</v>
      </c>
      <c r="L85" s="7">
        <f>IF(OR(D85="",N(J85)=0),"",MIN(1,N(K85)/J85))</f>
        <v/>
      </c>
      <c r="M85" s="5" t="n"/>
      <c r="N85" s="5" t="n"/>
      <c r="O85" s="5" t="n"/>
      <c r="P85" s="5" t="inlineStr">
        <is>
          <t>DAR ENTRADA</t>
        </is>
      </c>
      <c r="Q85" s="5" t="n"/>
      <c r="R85" s="4" t="n"/>
      <c r="S85" s="4" t="n"/>
      <c r="T85" s="5" t="inlineStr">
        <is>
          <t>DAR ENTRADA [MIGRAÇÃO: programação original: REC. D2]</t>
        </is>
      </c>
      <c r="U85" s="8">
        <f>IF(AND(V85=1,D85&lt;&gt;""),IF(D85&gt;=corte,TODAY()-D85,""),"")</f>
        <v/>
      </c>
      <c r="V85" s="8">
        <f>IF(D85="",0,IF(OR(AND(P85&lt;&gt;"",S85=""),AND(N(J85)&gt;0,N(K85)&lt;J85),OR(M85="PENDENTE",M85="PARCIAL"),OR(N85="PENDENTE",N85="PARCIAL")),1,0))</f>
        <v/>
      </c>
      <c r="W85" s="8">
        <f>IF(AND(V85=1,D85&lt;&gt;""),IF(D85&gt;=corte,(B85="CRÍTICO")*1E9+(100000-D85)*10000+10000-ROW(),""),"")</f>
        <v/>
      </c>
      <c r="X85" s="8">
        <f>IF(AND(V85=1,D85=pas_data,E85=pas_turno),10000-ROW(),"")</f>
        <v/>
      </c>
    </row>
    <row r="86">
      <c r="A86" s="3">
        <f>IF(D86="","","TT-"&amp;TEXT(ROW()-1,"00000"))</f>
        <v/>
      </c>
      <c r="B86" s="3">
        <f>IF(D86="","",IF(V86=0,"CONCLUÍDO",IF(D86&lt;corte,"HISTÓRICO",IF(OR(AND(ISNUMBER(R86),R86&lt;TODAY()),AND(OR(N86="PENDENTE",N86="PARCIAL"),D86&lt;TODAY()-1)),"CRÍTICO",IF(OR(AND(P86&lt;&gt;"",S86=""),AND(N86="REALIZADO",M86="PENDENTE"),AND(ISNUMBER(R86),R86=TODAY())),"ATENÇÃO",IF(N(K86)=0,"PENDENTE","EM ANDAMENTO"))))))</f>
        <v/>
      </c>
      <c r="C86" s="3">
        <f>IF(D86="","",IF(V86=0,"🟢 OK",IF(D86&lt;corte,"⚪ HISTÓRICO (sem baixa)",IF(AND(ISNUMBER(R86),R86&lt;TODAY()),"🔴 PRAZO VENCIDO",IF(AND(OR(N86="PENDENTE",N86="PARCIAL"),D86&lt;TODAY()-1),"🔴 EMBARQUE ATRASADO",IF(AND(N86="REALIZADO",M86="PENDENTE"),"🟡 EMBARCADO SEM FATURAR",IF(AND(P86&lt;&gt;"",S86="",OR(Q86="",R86="")),"🟡 PENDÊNCIA SEM RESPONSÁVEL/PRAZO",IF(AND(ISNUMBER(R86),R86=TODAY()),"🟡 VENCE HOJE",IF(AND(P86&lt;&gt;"",S86=""),"🟡 PENDÊNCIA ABERTA",IF(AND(N(J86)&gt;0,N(K86)&lt;J86),"🟡 FALTA EXECUTAR",IF(OR(M86="PENDENTE",M86="PARCIAL"),"🟡 FATURAMENTO PENDENTE","🟡 EMBARQUE PENDENTE")))))))))))</f>
        <v/>
      </c>
      <c r="D86" s="4" t="n">
        <v>46227</v>
      </c>
      <c r="E86" s="5" t="inlineStr">
        <is>
          <t>D</t>
        </is>
      </c>
      <c r="F86" s="5" t="inlineStr">
        <is>
          <t>ADAO</t>
        </is>
      </c>
      <c r="G86" s="5" t="inlineStr">
        <is>
          <t>RECEBIMENTO</t>
        </is>
      </c>
      <c r="H86" s="5" t="inlineStr">
        <is>
          <t>EXTREMA</t>
        </is>
      </c>
      <c r="I86" s="5" t="inlineStr">
        <is>
          <t>PALETE</t>
        </is>
      </c>
      <c r="J86" s="6" t="n">
        <v>24</v>
      </c>
      <c r="K86" s="6" t="n">
        <v>24</v>
      </c>
      <c r="L86" s="7">
        <f>IF(OR(D86="",N(J86)=0),"",MIN(1,N(K86)/J86))</f>
        <v/>
      </c>
      <c r="M86" s="5" t="n"/>
      <c r="N86" s="5" t="n"/>
      <c r="O86" s="5" t="n"/>
      <c r="P86" s="5" t="inlineStr">
        <is>
          <t>DAR ENTRADA</t>
        </is>
      </c>
      <c r="Q86" s="5" t="n"/>
      <c r="R86" s="4" t="n"/>
      <c r="S86" s="4" t="n"/>
      <c r="T86" s="5" t="inlineStr">
        <is>
          <t>DAR ENTRADA [MIGRAÇÃO: programação original: REC. IMPORTADO]</t>
        </is>
      </c>
      <c r="U86" s="8">
        <f>IF(AND(V86=1,D86&lt;&gt;""),IF(D86&gt;=corte,TODAY()-D86,""),"")</f>
        <v/>
      </c>
      <c r="V86" s="8">
        <f>IF(D86="",0,IF(OR(AND(P86&lt;&gt;"",S86=""),AND(N(J86)&gt;0,N(K86)&lt;J86),OR(M86="PENDENTE",M86="PARCIAL"),OR(N86="PENDENTE",N86="PARCIAL")),1,0))</f>
        <v/>
      </c>
      <c r="W86" s="8">
        <f>IF(AND(V86=1,D86&lt;&gt;""),IF(D86&gt;=corte,(B86="CRÍTICO")*1E9+(100000-D86)*10000+10000-ROW(),""),"")</f>
        <v/>
      </c>
      <c r="X86" s="8">
        <f>IF(AND(V86=1,D86=pas_data,E86=pas_turno),10000-ROW(),"")</f>
        <v/>
      </c>
    </row>
    <row r="87">
      <c r="A87" s="3">
        <f>IF(D87="","","TT-"&amp;TEXT(ROW()-1,"00000"))</f>
        <v/>
      </c>
      <c r="B87" s="3">
        <f>IF(D87="","",IF(V87=0,"CONCLUÍDO",IF(D87&lt;corte,"HISTÓRICO",IF(OR(AND(ISNUMBER(R87),R87&lt;TODAY()),AND(OR(N87="PENDENTE",N87="PARCIAL"),D87&lt;TODAY()-1)),"CRÍTICO",IF(OR(AND(P87&lt;&gt;"",S87=""),AND(N87="REALIZADO",M87="PENDENTE"),AND(ISNUMBER(R87),R87=TODAY())),"ATENÇÃO",IF(N(K87)=0,"PENDENTE","EM ANDAMENTO"))))))</f>
        <v/>
      </c>
      <c r="C87" s="3">
        <f>IF(D87="","",IF(V87=0,"🟢 OK",IF(D87&lt;corte,"⚪ HISTÓRICO (sem baixa)",IF(AND(ISNUMBER(R87),R87&lt;TODAY()),"🔴 PRAZO VENCIDO",IF(AND(OR(N87="PENDENTE",N87="PARCIAL"),D87&lt;TODAY()-1),"🔴 EMBARQUE ATRASADO",IF(AND(N87="REALIZADO",M87="PENDENTE"),"🟡 EMBARCADO SEM FATURAR",IF(AND(P87&lt;&gt;"",S87="",OR(Q87="",R87="")),"🟡 PENDÊNCIA SEM RESPONSÁVEL/PRAZO",IF(AND(ISNUMBER(R87),R87=TODAY()),"🟡 VENCE HOJE",IF(AND(P87&lt;&gt;"",S87=""),"🟡 PENDÊNCIA ABERTA",IF(AND(N(J87)&gt;0,N(K87)&lt;J87),"🟡 FALTA EXECUTAR",IF(OR(M87="PENDENTE",M87="PARCIAL"),"🟡 FATURAMENTO PENDENTE","🟡 EMBARQUE PENDENTE")))))))))))</f>
        <v/>
      </c>
      <c r="D87" s="4" t="n">
        <v>46227</v>
      </c>
      <c r="E87" s="5" t="inlineStr">
        <is>
          <t>D</t>
        </is>
      </c>
      <c r="F87" s="5" t="inlineStr">
        <is>
          <t>ADAO</t>
        </is>
      </c>
      <c r="G87" s="5" t="inlineStr">
        <is>
          <t>FLOOR</t>
        </is>
      </c>
      <c r="H87" s="5" t="inlineStr">
        <is>
          <t>FABRICA</t>
        </is>
      </c>
      <c r="I87" s="5" t="inlineStr">
        <is>
          <t>PALETE</t>
        </is>
      </c>
      <c r="J87" s="6" t="n">
        <v>72</v>
      </c>
      <c r="K87" s="6" t="n">
        <v>72</v>
      </c>
      <c r="L87" s="7">
        <f>IF(OR(D87="",N(J87)=0),"",MIN(1,N(K87)/J87))</f>
        <v/>
      </c>
      <c r="M87" s="5" t="n"/>
      <c r="N87" s="5" t="n"/>
      <c r="O87" s="5" t="n"/>
      <c r="P87" s="5" t="n"/>
      <c r="Q87" s="5" t="n"/>
      <c r="R87" s="4" t="n"/>
      <c r="S87" s="4" t="n"/>
      <c r="T87" s="5" t="n"/>
      <c r="U87" s="8">
        <f>IF(AND(V87=1,D87&lt;&gt;""),IF(D87&gt;=corte,TODAY()-D87,""),"")</f>
        <v/>
      </c>
      <c r="V87" s="8">
        <f>IF(D87="",0,IF(OR(AND(P87&lt;&gt;"",S87=""),AND(N(J87)&gt;0,N(K87)&lt;J87),OR(M87="PENDENTE",M87="PARCIAL"),OR(N87="PENDENTE",N87="PARCIAL")),1,0))</f>
        <v/>
      </c>
      <c r="W87" s="8">
        <f>IF(AND(V87=1,D87&lt;&gt;""),IF(D87&gt;=corte,(B87="CRÍTICO")*1E9+(100000-D87)*10000+10000-ROW(),""),"")</f>
        <v/>
      </c>
      <c r="X87" s="8">
        <f>IF(AND(V87=1,D87=pas_data,E87=pas_turno),10000-ROW(),"")</f>
        <v/>
      </c>
    </row>
    <row r="88">
      <c r="A88" s="3">
        <f>IF(D88="","","TT-"&amp;TEXT(ROW()-1,"00000"))</f>
        <v/>
      </c>
      <c r="B88" s="3">
        <f>IF(D88="","",IF(V88=0,"CONCLUÍDO",IF(D88&lt;corte,"HISTÓRICO",IF(OR(AND(ISNUMBER(R88),R88&lt;TODAY()),AND(OR(N88="PENDENTE",N88="PARCIAL"),D88&lt;TODAY()-1)),"CRÍTICO",IF(OR(AND(P88&lt;&gt;"",S88=""),AND(N88="REALIZADO",M88="PENDENTE"),AND(ISNUMBER(R88),R88=TODAY())),"ATENÇÃO",IF(N(K88)=0,"PENDENTE","EM ANDAMENTO"))))))</f>
        <v/>
      </c>
      <c r="C88" s="3">
        <f>IF(D88="","",IF(V88=0,"🟢 OK",IF(D88&lt;corte,"⚪ HISTÓRICO (sem baixa)",IF(AND(ISNUMBER(R88),R88&lt;TODAY()),"🔴 PRAZO VENCIDO",IF(AND(OR(N88="PENDENTE",N88="PARCIAL"),D88&lt;TODAY()-1),"🔴 EMBARQUE ATRASADO",IF(AND(N88="REALIZADO",M88="PENDENTE"),"🟡 EMBARCADO SEM FATURAR",IF(AND(P88&lt;&gt;"",S88="",OR(Q88="",R88="")),"🟡 PENDÊNCIA SEM RESPONSÁVEL/PRAZO",IF(AND(ISNUMBER(R88),R88=TODAY()),"🟡 VENCE HOJE",IF(AND(P88&lt;&gt;"",S88=""),"🟡 PENDÊNCIA ABERTA",IF(AND(N(J88)&gt;0,N(K88)&lt;J88),"🟡 FALTA EXECUTAR",IF(OR(M88="PENDENTE",M88="PARCIAL"),"🟡 FATURAMENTO PENDENTE","🟡 EMBARQUE PENDENTE")))))))))))</f>
        <v/>
      </c>
      <c r="D88" s="4" t="n">
        <v>46227</v>
      </c>
      <c r="E88" s="5" t="inlineStr">
        <is>
          <t>D</t>
        </is>
      </c>
      <c r="F88" s="5" t="inlineStr">
        <is>
          <t>ADAO</t>
        </is>
      </c>
      <c r="G88" s="5" t="inlineStr">
        <is>
          <t>ABASTECIMENTO</t>
        </is>
      </c>
      <c r="H88" s="5" t="inlineStr">
        <is>
          <t>PK1</t>
        </is>
      </c>
      <c r="I88" s="5" t="inlineStr">
        <is>
          <t>PALETE</t>
        </is>
      </c>
      <c r="J88" s="6" t="n">
        <v>21</v>
      </c>
      <c r="K88" s="6" t="n">
        <v>21</v>
      </c>
      <c r="L88" s="7">
        <f>IF(OR(D88="",N(J88)=0),"",MIN(1,N(K88)/J88))</f>
        <v/>
      </c>
      <c r="M88" s="5" t="n"/>
      <c r="N88" s="5" t="n"/>
      <c r="O88" s="5" t="n"/>
      <c r="P88" s="5" t="n"/>
      <c r="Q88" s="5" t="n"/>
      <c r="R88" s="4" t="n"/>
      <c r="S88" s="4" t="n"/>
      <c r="T88" s="5" t="inlineStr">
        <is>
          <t>[MIGRAÇÃO: programação original: ABASTECIMENTO PK1]</t>
        </is>
      </c>
      <c r="U88" s="8">
        <f>IF(AND(V88=1,D88&lt;&gt;""),IF(D88&gt;=corte,TODAY()-D88,""),"")</f>
        <v/>
      </c>
      <c r="V88" s="8">
        <f>IF(D88="",0,IF(OR(AND(P88&lt;&gt;"",S88=""),AND(N(J88)&gt;0,N(K88)&lt;J88),OR(M88="PENDENTE",M88="PARCIAL"),OR(N88="PENDENTE",N88="PARCIAL")),1,0))</f>
        <v/>
      </c>
      <c r="W88" s="8">
        <f>IF(AND(V88=1,D88&lt;&gt;""),IF(D88&gt;=corte,(B88="CRÍTICO")*1E9+(100000-D88)*10000+10000-ROW(),""),"")</f>
        <v/>
      </c>
      <c r="X88" s="8">
        <f>IF(AND(V88=1,D88=pas_data,E88=pas_turno),10000-ROW(),"")</f>
        <v/>
      </c>
    </row>
    <row r="89">
      <c r="A89" s="3">
        <f>IF(D89="","","TT-"&amp;TEXT(ROW()-1,"00000"))</f>
        <v/>
      </c>
      <c r="B89" s="3">
        <f>IF(D89="","",IF(V89=0,"CONCLUÍDO",IF(D89&lt;corte,"HISTÓRICO",IF(OR(AND(ISNUMBER(R89),R89&lt;TODAY()),AND(OR(N89="PENDENTE",N89="PARCIAL"),D89&lt;TODAY()-1)),"CRÍTICO",IF(OR(AND(P89&lt;&gt;"",S89=""),AND(N89="REALIZADO",M89="PENDENTE"),AND(ISNUMBER(R89),R89=TODAY())),"ATENÇÃO",IF(N(K89)=0,"PENDENTE","EM ANDAMENTO"))))))</f>
        <v/>
      </c>
      <c r="C89" s="3">
        <f>IF(D89="","",IF(V89=0,"🟢 OK",IF(D89&lt;corte,"⚪ HISTÓRICO (sem baixa)",IF(AND(ISNUMBER(R89),R89&lt;TODAY()),"🔴 PRAZO VENCIDO",IF(AND(OR(N89="PENDENTE",N89="PARCIAL"),D89&lt;TODAY()-1),"🔴 EMBARQUE ATRASADO",IF(AND(N89="REALIZADO",M89="PENDENTE"),"🟡 EMBARCADO SEM FATURAR",IF(AND(P89&lt;&gt;"",S89="",OR(Q89="",R89="")),"🟡 PENDÊNCIA SEM RESPONSÁVEL/PRAZO",IF(AND(ISNUMBER(R89),R89=TODAY()),"🟡 VENCE HOJE",IF(AND(P89&lt;&gt;"",S89=""),"🟡 PENDÊNCIA ABERTA",IF(AND(N(J89)&gt;0,N(K89)&lt;J89),"🟡 FALTA EXECUTAR",IF(OR(M89="PENDENTE",M89="PARCIAL"),"🟡 FATURAMENTO PENDENTE","🟡 EMBARQUE PENDENTE")))))))))))</f>
        <v/>
      </c>
      <c r="D89" s="4" t="n">
        <v>46227</v>
      </c>
      <c r="E89" s="5" t="inlineStr">
        <is>
          <t>A</t>
        </is>
      </c>
      <c r="F89" s="5" t="inlineStr">
        <is>
          <t>TATIANE</t>
        </is>
      </c>
      <c r="G89" s="5" t="inlineStr">
        <is>
          <t>GRANEL</t>
        </is>
      </c>
      <c r="H89" s="5" t="inlineStr">
        <is>
          <t>FM</t>
        </is>
      </c>
      <c r="I89" s="5" t="inlineStr">
        <is>
          <t>TON</t>
        </is>
      </c>
      <c r="J89" s="6" t="n">
        <v>26.67</v>
      </c>
      <c r="K89" s="6" t="n">
        <v>26.67</v>
      </c>
      <c r="L89" s="7">
        <f>IF(OR(D89="",N(J89)=0),"",MIN(1,N(K89)/J89))</f>
        <v/>
      </c>
      <c r="M89" s="5" t="inlineStr">
        <is>
          <t>FATURADO</t>
        </is>
      </c>
      <c r="N89" s="5" t="inlineStr">
        <is>
          <t>REALIZADO</t>
        </is>
      </c>
      <c r="O89" s="5" t="inlineStr">
        <is>
          <t>JSL</t>
        </is>
      </c>
      <c r="P89" s="5" t="n"/>
      <c r="Q89" s="5" t="n"/>
      <c r="R89" s="4" t="n"/>
      <c r="S89" s="4" t="n"/>
      <c r="T89" s="5" t="inlineStr">
        <is>
          <t>PANDURATA</t>
        </is>
      </c>
      <c r="U89" s="8">
        <f>IF(AND(V89=1,D89&lt;&gt;""),IF(D89&gt;=corte,TODAY()-D89,""),"")</f>
        <v/>
      </c>
      <c r="V89" s="8">
        <f>IF(D89="",0,IF(OR(AND(P89&lt;&gt;"",S89=""),AND(N(J89)&gt;0,N(K89)&lt;J89),OR(M89="PENDENTE",M89="PARCIAL"),OR(N89="PENDENTE",N89="PARCIAL")),1,0))</f>
        <v/>
      </c>
      <c r="W89" s="8">
        <f>IF(AND(V89=1,D89&lt;&gt;""),IF(D89&gt;=corte,(B89="CRÍTICO")*1E9+(100000-D89)*10000+10000-ROW(),""),"")</f>
        <v/>
      </c>
      <c r="X89" s="8">
        <f>IF(AND(V89=1,D89=pas_data,E89=pas_turno),10000-ROW(),"")</f>
        <v/>
      </c>
    </row>
    <row r="90">
      <c r="A90" s="3">
        <f>IF(D90="","","TT-"&amp;TEXT(ROW()-1,"00000"))</f>
        <v/>
      </c>
      <c r="B90" s="3">
        <f>IF(D90="","",IF(V90=0,"CONCLUÍDO",IF(D90&lt;corte,"HISTÓRICO",IF(OR(AND(ISNUMBER(R90),R90&lt;TODAY()),AND(OR(N90="PENDENTE",N90="PARCIAL"),D90&lt;TODAY()-1)),"CRÍTICO",IF(OR(AND(P90&lt;&gt;"",S90=""),AND(N90="REALIZADO",M90="PENDENTE"),AND(ISNUMBER(R90),R90=TODAY())),"ATENÇÃO",IF(N(K90)=0,"PENDENTE","EM ANDAMENTO"))))))</f>
        <v/>
      </c>
      <c r="C90" s="3">
        <f>IF(D90="","",IF(V90=0,"🟢 OK",IF(D90&lt;corte,"⚪ HISTÓRICO (sem baixa)",IF(AND(ISNUMBER(R90),R90&lt;TODAY()),"🔴 PRAZO VENCIDO",IF(AND(OR(N90="PENDENTE",N90="PARCIAL"),D90&lt;TODAY()-1),"🔴 EMBARQUE ATRASADO",IF(AND(N90="REALIZADO",M90="PENDENTE"),"🟡 EMBARCADO SEM FATURAR",IF(AND(P90&lt;&gt;"",S90="",OR(Q90="",R90="")),"🟡 PENDÊNCIA SEM RESPONSÁVEL/PRAZO",IF(AND(ISNUMBER(R90),R90=TODAY()),"🟡 VENCE HOJE",IF(AND(P90&lt;&gt;"",S90=""),"🟡 PENDÊNCIA ABERTA",IF(AND(N(J90)&gt;0,N(K90)&lt;J90),"🟡 FALTA EXECUTAR",IF(OR(M90="PENDENTE",M90="PARCIAL"),"🟡 FATURAMENTO PENDENTE","🟡 EMBARQUE PENDENTE")))))))))))</f>
        <v/>
      </c>
      <c r="D90" s="4" t="n">
        <v>46227</v>
      </c>
      <c r="E90" s="5" t="inlineStr">
        <is>
          <t>A</t>
        </is>
      </c>
      <c r="F90" s="5" t="inlineStr">
        <is>
          <t>TATIANE</t>
        </is>
      </c>
      <c r="G90" s="5" t="inlineStr">
        <is>
          <t>BR15</t>
        </is>
      </c>
      <c r="H90" s="5" t="inlineStr">
        <is>
          <t>BR15</t>
        </is>
      </c>
      <c r="I90" s="5" t="inlineStr">
        <is>
          <t>TON</t>
        </is>
      </c>
      <c r="J90" s="6" t="n">
        <v>21.256</v>
      </c>
      <c r="K90" s="6" t="n">
        <v>21.256</v>
      </c>
      <c r="L90" s="7">
        <f>IF(OR(D90="",N(J90)=0),"",MIN(1,N(K90)/J90))</f>
        <v/>
      </c>
      <c r="M90" s="5" t="inlineStr">
        <is>
          <t>FATURADO</t>
        </is>
      </c>
      <c r="N90" s="5" t="inlineStr">
        <is>
          <t>PENDENTE</t>
        </is>
      </c>
      <c r="O90" s="5" t="inlineStr">
        <is>
          <t>SMARTLOG</t>
        </is>
      </c>
      <c r="P90" s="5" t="n"/>
      <c r="Q90" s="5" t="n"/>
      <c r="R90" s="4" t="n"/>
      <c r="S90" s="4" t="n"/>
      <c r="T90" s="5" t="inlineStr">
        <is>
          <t>CACAU 27/07</t>
        </is>
      </c>
      <c r="U90" s="8">
        <f>IF(AND(V90=1,D90&lt;&gt;""),IF(D90&gt;=corte,TODAY()-D90,""),"")</f>
        <v/>
      </c>
      <c r="V90" s="8">
        <f>IF(D90="",0,IF(OR(AND(P90&lt;&gt;"",S90=""),AND(N(J90)&gt;0,N(K90)&lt;J90),OR(M90="PENDENTE",M90="PARCIAL"),OR(N90="PENDENTE",N90="PARCIAL")),1,0))</f>
        <v/>
      </c>
      <c r="W90" s="8">
        <f>IF(AND(V90=1,D90&lt;&gt;""),IF(D90&gt;=corte,(B90="CRÍTICO")*1E9+(100000-D90)*10000+10000-ROW(),""),"")</f>
        <v/>
      </c>
      <c r="X90" s="8">
        <f>IF(AND(V90=1,D90=pas_data,E90=pas_turno),10000-ROW(),"")</f>
        <v/>
      </c>
    </row>
    <row r="91">
      <c r="A91" s="3">
        <f>IF(D91="","","TT-"&amp;TEXT(ROW()-1,"00000"))</f>
        <v/>
      </c>
      <c r="B91" s="3">
        <f>IF(D91="","",IF(V91=0,"CONCLUÍDO",IF(D91&lt;corte,"HISTÓRICO",IF(OR(AND(ISNUMBER(R91),R91&lt;TODAY()),AND(OR(N91="PENDENTE",N91="PARCIAL"),D91&lt;TODAY()-1)),"CRÍTICO",IF(OR(AND(P91&lt;&gt;"",S91=""),AND(N91="REALIZADO",M91="PENDENTE"),AND(ISNUMBER(R91),R91=TODAY())),"ATENÇÃO",IF(N(K91)=0,"PENDENTE","EM ANDAMENTO"))))))</f>
        <v/>
      </c>
      <c r="C91" s="3">
        <f>IF(D91="","",IF(V91=0,"🟢 OK",IF(D91&lt;corte,"⚪ HISTÓRICO (sem baixa)",IF(AND(ISNUMBER(R91),R91&lt;TODAY()),"🔴 PRAZO VENCIDO",IF(AND(OR(N91="PENDENTE",N91="PARCIAL"),D91&lt;TODAY()-1),"🔴 EMBARQUE ATRASADO",IF(AND(N91="REALIZADO",M91="PENDENTE"),"🟡 EMBARCADO SEM FATURAR",IF(AND(P91&lt;&gt;"",S91="",OR(Q91="",R91="")),"🟡 PENDÊNCIA SEM RESPONSÁVEL/PRAZO",IF(AND(ISNUMBER(R91),R91=TODAY()),"🟡 VENCE HOJE",IF(AND(P91&lt;&gt;"",S91=""),"🟡 PENDÊNCIA ABERTA",IF(AND(N(J91)&gt;0,N(K91)&lt;J91),"🟡 FALTA EXECUTAR",IF(OR(M91="PENDENTE",M91="PARCIAL"),"🟡 FATURAMENTO PENDENTE","🟡 EMBARQUE PENDENTE")))))))))))</f>
        <v/>
      </c>
      <c r="D91" s="4" t="n">
        <v>46227</v>
      </c>
      <c r="E91" s="5" t="inlineStr">
        <is>
          <t>A</t>
        </is>
      </c>
      <c r="F91" s="5" t="inlineStr">
        <is>
          <t>TATIANE</t>
        </is>
      </c>
      <c r="G91" s="5" t="inlineStr">
        <is>
          <t>BR15</t>
        </is>
      </c>
      <c r="H91" s="5" t="inlineStr">
        <is>
          <t>BR15</t>
        </is>
      </c>
      <c r="I91" s="5" t="inlineStr">
        <is>
          <t>TON</t>
        </is>
      </c>
      <c r="J91" s="6" t="n">
        <v>6</v>
      </c>
      <c r="K91" s="6" t="n">
        <v>6</v>
      </c>
      <c r="L91" s="7">
        <f>IF(OR(D91="",N(J91)=0),"",MIN(1,N(K91)/J91))</f>
        <v/>
      </c>
      <c r="M91" s="5" t="inlineStr">
        <is>
          <t>FATURADO</t>
        </is>
      </c>
      <c r="N91" s="5" t="inlineStr">
        <is>
          <t>REALIZADO</t>
        </is>
      </c>
      <c r="O91" s="5" t="inlineStr">
        <is>
          <t>PRÓPRIO</t>
        </is>
      </c>
      <c r="P91" s="5" t="n"/>
      <c r="Q91" s="5" t="n"/>
      <c r="R91" s="4" t="n"/>
      <c r="S91" s="4" t="n"/>
      <c r="T91" s="5" t="inlineStr">
        <is>
          <t>FOB CACAU</t>
        </is>
      </c>
      <c r="U91" s="8">
        <f>IF(AND(V91=1,D91&lt;&gt;""),IF(D91&gt;=corte,TODAY()-D91,""),"")</f>
        <v/>
      </c>
      <c r="V91" s="8">
        <f>IF(D91="",0,IF(OR(AND(P91&lt;&gt;"",S91=""),AND(N(J91)&gt;0,N(K91)&lt;J91),OR(M91="PENDENTE",M91="PARCIAL"),OR(N91="PENDENTE",N91="PARCIAL")),1,0))</f>
        <v/>
      </c>
      <c r="W91" s="8">
        <f>IF(AND(V91=1,D91&lt;&gt;""),IF(D91&gt;=corte,(B91="CRÍTICO")*1E9+(100000-D91)*10000+10000-ROW(),""),"")</f>
        <v/>
      </c>
      <c r="X91" s="8">
        <f>IF(AND(V91=1,D91=pas_data,E91=pas_turno),10000-ROW(),"")</f>
        <v/>
      </c>
    </row>
    <row r="92">
      <c r="A92" s="3">
        <f>IF(D92="","","TT-"&amp;TEXT(ROW()-1,"00000"))</f>
        <v/>
      </c>
      <c r="B92" s="3">
        <f>IF(D92="","",IF(V92=0,"CONCLUÍDO",IF(D92&lt;corte,"HISTÓRICO",IF(OR(AND(ISNUMBER(R92),R92&lt;TODAY()),AND(OR(N92="PENDENTE",N92="PARCIAL"),D92&lt;TODAY()-1)),"CRÍTICO",IF(OR(AND(P92&lt;&gt;"",S92=""),AND(N92="REALIZADO",M92="PENDENTE"),AND(ISNUMBER(R92),R92=TODAY())),"ATENÇÃO",IF(N(K92)=0,"PENDENTE","EM ANDAMENTO"))))))</f>
        <v/>
      </c>
      <c r="C92" s="3">
        <f>IF(D92="","",IF(V92=0,"🟢 OK",IF(D92&lt;corte,"⚪ HISTÓRICO (sem baixa)",IF(AND(ISNUMBER(R92),R92&lt;TODAY()),"🔴 PRAZO VENCIDO",IF(AND(OR(N92="PENDENTE",N92="PARCIAL"),D92&lt;TODAY()-1),"🔴 EMBARQUE ATRASADO",IF(AND(N92="REALIZADO",M92="PENDENTE"),"🟡 EMBARCADO SEM FATURAR",IF(AND(P92&lt;&gt;"",S92="",OR(Q92="",R92="")),"🟡 PENDÊNCIA SEM RESPONSÁVEL/PRAZO",IF(AND(ISNUMBER(R92),R92=TODAY()),"🟡 VENCE HOJE",IF(AND(P92&lt;&gt;"",S92=""),"🟡 PENDÊNCIA ABERTA",IF(AND(N(J92)&gt;0,N(K92)&lt;J92),"🟡 FALTA EXECUTAR",IF(OR(M92="PENDENTE",M92="PARCIAL"),"🟡 FATURAMENTO PENDENTE","🟡 EMBARQUE PENDENTE")))))))))))</f>
        <v/>
      </c>
      <c r="D92" s="4" t="n">
        <v>46227</v>
      </c>
      <c r="E92" s="5" t="inlineStr">
        <is>
          <t>A</t>
        </is>
      </c>
      <c r="F92" s="5" t="inlineStr">
        <is>
          <t>TATIANE</t>
        </is>
      </c>
      <c r="G92" s="5" t="inlineStr">
        <is>
          <t>FOB</t>
        </is>
      </c>
      <c r="H92" s="5" t="inlineStr">
        <is>
          <t>FOB</t>
        </is>
      </c>
      <c r="I92" s="5" t="inlineStr">
        <is>
          <t>TON</t>
        </is>
      </c>
      <c r="J92" s="6" t="n">
        <v>10.592</v>
      </c>
      <c r="K92" s="6" t="n">
        <v>10.592</v>
      </c>
      <c r="L92" s="7">
        <f>IF(OR(D92="",N(J92)=0),"",MIN(1,N(K92)/J92))</f>
        <v/>
      </c>
      <c r="M92" s="5" t="inlineStr">
        <is>
          <t>FATURADO</t>
        </is>
      </c>
      <c r="N92" s="5" t="inlineStr">
        <is>
          <t>REALIZADO</t>
        </is>
      </c>
      <c r="O92" s="5" t="inlineStr">
        <is>
          <t>PRÓPRIO</t>
        </is>
      </c>
      <c r="P92" s="5" t="n"/>
      <c r="Q92" s="5" t="n"/>
      <c r="R92" s="4" t="n"/>
      <c r="S92" s="4" t="n"/>
      <c r="T92" s="5" t="inlineStr">
        <is>
          <t>CASA DA PANIFICAÇÃO</t>
        </is>
      </c>
      <c r="U92" s="8">
        <f>IF(AND(V92=1,D92&lt;&gt;""),IF(D92&gt;=corte,TODAY()-D92,""),"")</f>
        <v/>
      </c>
      <c r="V92" s="8">
        <f>IF(D92="",0,IF(OR(AND(P92&lt;&gt;"",S92=""),AND(N(J92)&gt;0,N(K92)&lt;J92),OR(M92="PENDENTE",M92="PARCIAL"),OR(N92="PENDENTE",N92="PARCIAL")),1,0))</f>
        <v/>
      </c>
      <c r="W92" s="8">
        <f>IF(AND(V92=1,D92&lt;&gt;""),IF(D92&gt;=corte,(B92="CRÍTICO")*1E9+(100000-D92)*10000+10000-ROW(),""),"")</f>
        <v/>
      </c>
      <c r="X92" s="8">
        <f>IF(AND(V92=1,D92=pas_data,E92=pas_turno),10000-ROW(),"")</f>
        <v/>
      </c>
    </row>
    <row r="93">
      <c r="A93" s="3">
        <f>IF(D93="","","TT-"&amp;TEXT(ROW()-1,"00000"))</f>
        <v/>
      </c>
      <c r="B93" s="3">
        <f>IF(D93="","",IF(V93=0,"CONCLUÍDO",IF(D93&lt;corte,"HISTÓRICO",IF(OR(AND(ISNUMBER(R93),R93&lt;TODAY()),AND(OR(N93="PENDENTE",N93="PARCIAL"),D93&lt;TODAY()-1)),"CRÍTICO",IF(OR(AND(P93&lt;&gt;"",S93=""),AND(N93="REALIZADO",M93="PENDENTE"),AND(ISNUMBER(R93),R93=TODAY())),"ATENÇÃO",IF(N(K93)=0,"PENDENTE","EM ANDAMENTO"))))))</f>
        <v/>
      </c>
      <c r="C93" s="3">
        <f>IF(D93="","",IF(V93=0,"🟢 OK",IF(D93&lt;corte,"⚪ HISTÓRICO (sem baixa)",IF(AND(ISNUMBER(R93),R93&lt;TODAY()),"🔴 PRAZO VENCIDO",IF(AND(OR(N93="PENDENTE",N93="PARCIAL"),D93&lt;TODAY()-1),"🔴 EMBARQUE ATRASADO",IF(AND(N93="REALIZADO",M93="PENDENTE"),"🟡 EMBARCADO SEM FATURAR",IF(AND(P93&lt;&gt;"",S93="",OR(Q93="",R93="")),"🟡 PENDÊNCIA SEM RESPONSÁVEL/PRAZO",IF(AND(ISNUMBER(R93),R93=TODAY()),"🟡 VENCE HOJE",IF(AND(P93&lt;&gt;"",S93=""),"🟡 PENDÊNCIA ABERTA",IF(AND(N(J93)&gt;0,N(K93)&lt;J93),"🟡 FALTA EXECUTAR",IF(OR(M93="PENDENTE",M93="PARCIAL"),"🟡 FATURAMENTO PENDENTE","🟡 EMBARQUE PENDENTE")))))))))))</f>
        <v/>
      </c>
      <c r="D93" s="4" t="n">
        <v>46230</v>
      </c>
      <c r="E93" s="5" t="inlineStr">
        <is>
          <t>B</t>
        </is>
      </c>
      <c r="F93" s="5" t="inlineStr">
        <is>
          <t>THIAGO</t>
        </is>
      </c>
      <c r="G93" s="5" t="inlineStr">
        <is>
          <t>GM</t>
        </is>
      </c>
      <c r="H93" s="5" t="inlineStr">
        <is>
          <t>C.O</t>
        </is>
      </c>
      <c r="I93" s="5" t="inlineStr">
        <is>
          <t>TON</t>
        </is>
      </c>
      <c r="J93" s="6" t="n">
        <v>34.189</v>
      </c>
      <c r="K93" s="6" t="n">
        <v>34.189</v>
      </c>
      <c r="L93" s="7">
        <f>IF(OR(D93="",N(J93)=0),"",MIN(1,N(K93)/J93))</f>
        <v/>
      </c>
      <c r="M93" s="5" t="inlineStr">
        <is>
          <t>PENDENTE</t>
        </is>
      </c>
      <c r="N93" s="5" t="inlineStr">
        <is>
          <t>PENDENTE</t>
        </is>
      </c>
      <c r="O93" s="5" t="n"/>
      <c r="P93" s="5" t="inlineStr">
        <is>
          <t>em conferencia</t>
        </is>
      </c>
      <c r="Q93" s="5" t="n"/>
      <c r="R93" s="4" t="n"/>
      <c r="S93" s="4" t="n"/>
      <c r="T93" s="5" t="inlineStr">
        <is>
          <t>em conferencia</t>
        </is>
      </c>
      <c r="U93" s="8">
        <f>IF(AND(V93=1,D93&lt;&gt;""),IF(D93&gt;=corte,TODAY()-D93,""),"")</f>
        <v/>
      </c>
      <c r="V93" s="8">
        <f>IF(D93="",0,IF(OR(AND(P93&lt;&gt;"",S93=""),AND(N(J93)&gt;0,N(K93)&lt;J93),OR(M93="PENDENTE",M93="PARCIAL"),OR(N93="PENDENTE",N93="PARCIAL")),1,0))</f>
        <v/>
      </c>
      <c r="W93" s="8">
        <f>IF(AND(V93=1,D93&lt;&gt;""),IF(D93&gt;=corte,(B93="CRÍTICO")*1E9+(100000-D93)*10000+10000-ROW(),""),"")</f>
        <v/>
      </c>
      <c r="X93" s="8">
        <f>IF(AND(V93=1,D93=pas_data,E93=pas_turno),10000-ROW(),"")</f>
        <v/>
      </c>
    </row>
    <row r="94">
      <c r="A94" s="3">
        <f>IF(D94="","","TT-"&amp;TEXT(ROW()-1,"00000"))</f>
        <v/>
      </c>
      <c r="B94" s="3">
        <f>IF(D94="","",IF(V94=0,"CONCLUÍDO",IF(D94&lt;corte,"HISTÓRICO",IF(OR(AND(ISNUMBER(R94),R94&lt;TODAY()),AND(OR(N94="PENDENTE",N94="PARCIAL"),D94&lt;TODAY()-1)),"CRÍTICO",IF(OR(AND(P94&lt;&gt;"",S94=""),AND(N94="REALIZADO",M94="PENDENTE"),AND(ISNUMBER(R94),R94=TODAY())),"ATENÇÃO",IF(N(K94)=0,"PENDENTE","EM ANDAMENTO"))))))</f>
        <v/>
      </c>
      <c r="C94" s="3">
        <f>IF(D94="","",IF(V94=0,"🟢 OK",IF(D94&lt;corte,"⚪ HISTÓRICO (sem baixa)",IF(AND(ISNUMBER(R94),R94&lt;TODAY()),"🔴 PRAZO VENCIDO",IF(AND(OR(N94="PENDENTE",N94="PARCIAL"),D94&lt;TODAY()-1),"🔴 EMBARQUE ATRASADO",IF(AND(N94="REALIZADO",M94="PENDENTE"),"🟡 EMBARCADO SEM FATURAR",IF(AND(P94&lt;&gt;"",S94="",OR(Q94="",R94="")),"🟡 PENDÊNCIA SEM RESPONSÁVEL/PRAZO",IF(AND(ISNUMBER(R94),R94=TODAY()),"🟡 VENCE HOJE",IF(AND(P94&lt;&gt;"",S94=""),"🟡 PENDÊNCIA ABERTA",IF(AND(N(J94)&gt;0,N(K94)&lt;J94),"🟡 FALTA EXECUTAR",IF(OR(M94="PENDENTE",M94="PARCIAL"),"🟡 FATURAMENTO PENDENTE","🟡 EMBARQUE PENDENTE")))))))))))</f>
        <v/>
      </c>
      <c r="D94" s="4" t="n">
        <v>46226</v>
      </c>
      <c r="E94" s="5" t="inlineStr">
        <is>
          <t>B</t>
        </is>
      </c>
      <c r="F94" s="5" t="inlineStr">
        <is>
          <t>THIAGO</t>
        </is>
      </c>
      <c r="G94" s="5" t="inlineStr">
        <is>
          <t>FM</t>
        </is>
      </c>
      <c r="H94" s="5" t="inlineStr">
        <is>
          <t>FM</t>
        </is>
      </c>
      <c r="I94" s="5" t="inlineStr">
        <is>
          <t>TON</t>
        </is>
      </c>
      <c r="J94" s="6" t="n">
        <v>28.054</v>
      </c>
      <c r="K94" s="6" t="n">
        <v>28.054</v>
      </c>
      <c r="L94" s="7">
        <f>IF(OR(D94="",N(J94)=0),"",MIN(1,N(K94)/J94))</f>
        <v/>
      </c>
      <c r="M94" s="5" t="n"/>
      <c r="N94" s="5" t="n"/>
      <c r="O94" s="5" t="n"/>
      <c r="P94" s="5" t="n"/>
      <c r="Q94" s="5" t="n"/>
      <c r="R94" s="4" t="n"/>
      <c r="S94" s="4" t="n"/>
      <c r="T94" s="5" t="n"/>
      <c r="U94" s="8">
        <f>IF(AND(V94=1,D94&lt;&gt;""),IF(D94&gt;=corte,TODAY()-D94,""),"")</f>
        <v/>
      </c>
      <c r="V94" s="8">
        <f>IF(D94="",0,IF(OR(AND(P94&lt;&gt;"",S94=""),AND(N(J94)&gt;0,N(K94)&lt;J94),OR(M94="PENDENTE",M94="PARCIAL"),OR(N94="PENDENTE",N94="PARCIAL")),1,0))</f>
        <v/>
      </c>
      <c r="W94" s="8">
        <f>IF(AND(V94=1,D94&lt;&gt;""),IF(D94&gt;=corte,(B94="CRÍTICO")*1E9+(100000-D94)*10000+10000-ROW(),""),"")</f>
        <v/>
      </c>
      <c r="X94" s="8">
        <f>IF(AND(V94=1,D94=pas_data,E94=pas_turno),10000-ROW(),"")</f>
        <v/>
      </c>
    </row>
    <row r="95">
      <c r="A95" s="3">
        <f>IF(D95="","","TT-"&amp;TEXT(ROW()-1,"00000"))</f>
        <v/>
      </c>
      <c r="B95" s="3">
        <f>IF(D95="","",IF(V95=0,"CONCLUÍDO",IF(D95&lt;corte,"HISTÓRICO",IF(OR(AND(ISNUMBER(R95),R95&lt;TODAY()),AND(OR(N95="PENDENTE",N95="PARCIAL"),D95&lt;TODAY()-1)),"CRÍTICO",IF(OR(AND(P95&lt;&gt;"",S95=""),AND(N95="REALIZADO",M95="PENDENTE"),AND(ISNUMBER(R95),R95=TODAY())),"ATENÇÃO",IF(N(K95)=0,"PENDENTE","EM ANDAMENTO"))))))</f>
        <v/>
      </c>
      <c r="C95" s="3">
        <f>IF(D95="","",IF(V95=0,"🟢 OK",IF(D95&lt;corte,"⚪ HISTÓRICO (sem baixa)",IF(AND(ISNUMBER(R95),R95&lt;TODAY()),"🔴 PRAZO VENCIDO",IF(AND(OR(N95="PENDENTE",N95="PARCIAL"),D95&lt;TODAY()-1),"🔴 EMBARQUE ATRASADO",IF(AND(N95="REALIZADO",M95="PENDENTE"),"🟡 EMBARCADO SEM FATURAR",IF(AND(P95&lt;&gt;"",S95="",OR(Q95="",R95="")),"🟡 PENDÊNCIA SEM RESPONSÁVEL/PRAZO",IF(AND(ISNUMBER(R95),R95=TODAY()),"🟡 VENCE HOJE",IF(AND(P95&lt;&gt;"",S95=""),"🟡 PENDÊNCIA ABERTA",IF(AND(N(J95)&gt;0,N(K95)&lt;J95),"🟡 FALTA EXECUTAR",IF(OR(M95="PENDENTE",M95="PARCIAL"),"🟡 FATURAMENTO PENDENTE","🟡 EMBARQUE PENDENTE")))))))))))</f>
        <v/>
      </c>
      <c r="D95" s="4" t="n">
        <v>46227</v>
      </c>
      <c r="E95" s="5" t="inlineStr">
        <is>
          <t>B</t>
        </is>
      </c>
      <c r="F95" s="5" t="inlineStr">
        <is>
          <t>THIAGO</t>
        </is>
      </c>
      <c r="G95" s="5" t="inlineStr">
        <is>
          <t>FM</t>
        </is>
      </c>
      <c r="H95" s="5" t="inlineStr">
        <is>
          <t>FM</t>
        </is>
      </c>
      <c r="I95" s="5" t="inlineStr">
        <is>
          <t>TON</t>
        </is>
      </c>
      <c r="J95" s="6" t="n">
        <v>28.054</v>
      </c>
      <c r="K95" s="6" t="n">
        <v>28.054</v>
      </c>
      <c r="L95" s="7">
        <f>IF(OR(D95="",N(J95)=0),"",MIN(1,N(K95)/J95))</f>
        <v/>
      </c>
      <c r="M95" s="5" t="inlineStr">
        <is>
          <t>FATURADO</t>
        </is>
      </c>
      <c r="N95" s="5" t="inlineStr">
        <is>
          <t>REALIZADO</t>
        </is>
      </c>
      <c r="O95" s="5" t="n"/>
      <c r="P95" s="5" t="n"/>
      <c r="Q95" s="5" t="n"/>
      <c r="R95" s="4" t="n"/>
      <c r="S95" s="4" t="n"/>
      <c r="T95" s="5" t="n"/>
      <c r="U95" s="8">
        <f>IF(AND(V95=1,D95&lt;&gt;""),IF(D95&gt;=corte,TODAY()-D95,""),"")</f>
        <v/>
      </c>
      <c r="V95" s="8">
        <f>IF(D95="",0,IF(OR(AND(P95&lt;&gt;"",S95=""),AND(N(J95)&gt;0,N(K95)&lt;J95),OR(M95="PENDENTE",M95="PARCIAL"),OR(N95="PENDENTE",N95="PARCIAL")),1,0))</f>
        <v/>
      </c>
      <c r="W95" s="8">
        <f>IF(AND(V95=1,D95&lt;&gt;""),IF(D95&gt;=corte,(B95="CRÍTICO")*1E9+(100000-D95)*10000+10000-ROW(),""),"")</f>
        <v/>
      </c>
      <c r="X95" s="8">
        <f>IF(AND(V95=1,D95=pas_data,E95=pas_turno),10000-ROW(),"")</f>
        <v/>
      </c>
    </row>
    <row r="96">
      <c r="A96" s="3">
        <f>IF(D96="","","TT-"&amp;TEXT(ROW()-1,"00000"))</f>
        <v/>
      </c>
      <c r="B96" s="3">
        <f>IF(D96="","",IF(V96=0,"CONCLUÍDO",IF(D96&lt;corte,"HISTÓRICO",IF(OR(AND(ISNUMBER(R96),R96&lt;TODAY()),AND(OR(N96="PENDENTE",N96="PARCIAL"),D96&lt;TODAY()-1)),"CRÍTICO",IF(OR(AND(P96&lt;&gt;"",S96=""),AND(N96="REALIZADO",M96="PENDENTE"),AND(ISNUMBER(R96),R96=TODAY())),"ATENÇÃO",IF(N(K96)=0,"PENDENTE","EM ANDAMENTO"))))))</f>
        <v/>
      </c>
      <c r="C96" s="3">
        <f>IF(D96="","",IF(V96=0,"🟢 OK",IF(D96&lt;corte,"⚪ HISTÓRICO (sem baixa)",IF(AND(ISNUMBER(R96),R96&lt;TODAY()),"🔴 PRAZO VENCIDO",IF(AND(OR(N96="PENDENTE",N96="PARCIAL"),D96&lt;TODAY()-1),"🔴 EMBARQUE ATRASADO",IF(AND(N96="REALIZADO",M96="PENDENTE"),"🟡 EMBARCADO SEM FATURAR",IF(AND(P96&lt;&gt;"",S96="",OR(Q96="",R96="")),"🟡 PENDÊNCIA SEM RESPONSÁVEL/PRAZO",IF(AND(ISNUMBER(R96),R96=TODAY()),"🟡 VENCE HOJE",IF(AND(P96&lt;&gt;"",S96=""),"🟡 PENDÊNCIA ABERTA",IF(AND(N(J96)&gt;0,N(K96)&lt;J96),"🟡 FALTA EXECUTAR",IF(OR(M96="PENDENTE",M96="PARCIAL"),"🟡 FATURAMENTO PENDENTE","🟡 EMBARQUE PENDENTE")))))))))))</f>
        <v/>
      </c>
      <c r="D96" s="4" t="n">
        <v>46227</v>
      </c>
      <c r="E96" s="5" t="n"/>
      <c r="F96" s="5" t="n"/>
      <c r="G96" s="5" t="inlineStr">
        <is>
          <t>FM</t>
        </is>
      </c>
      <c r="H96" s="5" t="inlineStr">
        <is>
          <t>FM</t>
        </is>
      </c>
      <c r="I96" s="5" t="inlineStr">
        <is>
          <t>TON</t>
        </is>
      </c>
      <c r="J96" s="6" t="n">
        <v>12.948</v>
      </c>
      <c r="K96" s="6" t="n"/>
      <c r="L96" s="7">
        <f>IF(OR(D96="",N(J96)=0),"",MIN(1,N(K96)/J96))</f>
        <v/>
      </c>
      <c r="M96" s="5" t="n"/>
      <c r="N96" s="5" t="n"/>
      <c r="O96" s="5" t="n"/>
      <c r="P96" s="5" t="n"/>
      <c r="Q96" s="5" t="n"/>
      <c r="R96" s="4" t="n"/>
      <c r="S96" s="4" t="n"/>
      <c r="T96" s="5" t="n"/>
      <c r="U96" s="8">
        <f>IF(AND(V96=1,D96&lt;&gt;""),IF(D96&gt;=corte,TODAY()-D96,""),"")</f>
        <v/>
      </c>
      <c r="V96" s="8">
        <f>IF(D96="",0,IF(OR(AND(P96&lt;&gt;"",S96=""),AND(N(J96)&gt;0,N(K96)&lt;J96),OR(M96="PENDENTE",M96="PARCIAL"),OR(N96="PENDENTE",N96="PARCIAL")),1,0))</f>
        <v/>
      </c>
      <c r="W96" s="8">
        <f>IF(AND(V96=1,D96&lt;&gt;""),IF(D96&gt;=corte,(B96="CRÍTICO")*1E9+(100000-D96)*10000+10000-ROW(),""),"")</f>
        <v/>
      </c>
      <c r="X96" s="8">
        <f>IF(AND(V96=1,D96=pas_data,E96=pas_turno),10000-ROW(),"")</f>
        <v/>
      </c>
    </row>
    <row r="97">
      <c r="A97" s="3">
        <f>IF(D97="","","TT-"&amp;TEXT(ROW()-1,"00000"))</f>
        <v/>
      </c>
      <c r="B97" s="3">
        <f>IF(D97="","",IF(V97=0,"CONCLUÍDO",IF(D97&lt;corte,"HISTÓRICO",IF(OR(AND(ISNUMBER(R97),R97&lt;TODAY()),AND(OR(N97="PENDENTE",N97="PARCIAL"),D97&lt;TODAY()-1)),"CRÍTICO",IF(OR(AND(P97&lt;&gt;"",S97=""),AND(N97="REALIZADO",M97="PENDENTE"),AND(ISNUMBER(R97),R97=TODAY())),"ATENÇÃO",IF(N(K97)=0,"PENDENTE","EM ANDAMENTO"))))))</f>
        <v/>
      </c>
      <c r="C97" s="3">
        <f>IF(D97="","",IF(V97=0,"🟢 OK",IF(D97&lt;corte,"⚪ HISTÓRICO (sem baixa)",IF(AND(ISNUMBER(R97),R97&lt;TODAY()),"🔴 PRAZO VENCIDO",IF(AND(OR(N97="PENDENTE",N97="PARCIAL"),D97&lt;TODAY()-1),"🔴 EMBARQUE ATRASADO",IF(AND(N97="REALIZADO",M97="PENDENTE"),"🟡 EMBARCADO SEM FATURAR",IF(AND(P97&lt;&gt;"",S97="",OR(Q97="",R97="")),"🟡 PENDÊNCIA SEM RESPONSÁVEL/PRAZO",IF(AND(ISNUMBER(R97),R97=TODAY()),"🟡 VENCE HOJE",IF(AND(P97&lt;&gt;"",S97=""),"🟡 PENDÊNCIA ABERTA",IF(AND(N(J97)&gt;0,N(K97)&lt;J97),"🟡 FALTA EXECUTAR",IF(OR(M97="PENDENTE",M97="PARCIAL"),"🟡 FATURAMENTO PENDENTE","🟡 EMBARQUE PENDENTE")))))))))))</f>
        <v/>
      </c>
      <c r="D97" s="4" t="n">
        <v>46227</v>
      </c>
      <c r="E97" s="5" t="inlineStr">
        <is>
          <t>B</t>
        </is>
      </c>
      <c r="F97" s="5" t="inlineStr">
        <is>
          <t>THIAGO</t>
        </is>
      </c>
      <c r="G97" s="5" t="inlineStr">
        <is>
          <t>FM</t>
        </is>
      </c>
      <c r="H97" s="5" t="inlineStr">
        <is>
          <t>FM</t>
        </is>
      </c>
      <c r="I97" s="5" t="inlineStr">
        <is>
          <t>TON</t>
        </is>
      </c>
      <c r="J97" s="6" t="n">
        <v>1.079</v>
      </c>
      <c r="K97" s="6" t="n">
        <v>1.079</v>
      </c>
      <c r="L97" s="7">
        <f>IF(OR(D97="",N(J97)=0),"",MIN(1,N(K97)/J97))</f>
        <v/>
      </c>
      <c r="M97" s="5" t="inlineStr">
        <is>
          <t>FATURADO</t>
        </is>
      </c>
      <c r="N97" s="5" t="inlineStr">
        <is>
          <t>REALIZADO</t>
        </is>
      </c>
      <c r="O97" s="5" t="n"/>
      <c r="P97" s="5" t="n"/>
      <c r="Q97" s="5" t="n"/>
      <c r="R97" s="4" t="n"/>
      <c r="S97" s="4" t="n"/>
      <c r="T97" s="5" t="n"/>
      <c r="U97" s="8">
        <f>IF(AND(V97=1,D97&lt;&gt;""),IF(D97&gt;=corte,TODAY()-D97,""),"")</f>
        <v/>
      </c>
      <c r="V97" s="8">
        <f>IF(D97="",0,IF(OR(AND(P97&lt;&gt;"",S97=""),AND(N(J97)&gt;0,N(K97)&lt;J97),OR(M97="PENDENTE",M97="PARCIAL"),OR(N97="PENDENTE",N97="PARCIAL")),1,0))</f>
        <v/>
      </c>
      <c r="W97" s="8">
        <f>IF(AND(V97=1,D97&lt;&gt;""),IF(D97&gt;=corte,(B97="CRÍTICO")*1E9+(100000-D97)*10000+10000-ROW(),""),"")</f>
        <v/>
      </c>
      <c r="X97" s="8">
        <f>IF(AND(V97=1,D97=pas_data,E97=pas_turno),10000-ROW(),"")</f>
        <v/>
      </c>
    </row>
    <row r="98">
      <c r="A98" s="3">
        <f>IF(D98="","","TT-"&amp;TEXT(ROW()-1,"00000"))</f>
        <v/>
      </c>
      <c r="B98" s="3">
        <f>IF(D98="","",IF(V98=0,"CONCLUÍDO",IF(D98&lt;corte,"HISTÓRICO",IF(OR(AND(ISNUMBER(R98),R98&lt;TODAY()),AND(OR(N98="PENDENTE",N98="PARCIAL"),D98&lt;TODAY()-1)),"CRÍTICO",IF(OR(AND(P98&lt;&gt;"",S98=""),AND(N98="REALIZADO",M98="PENDENTE"),AND(ISNUMBER(R98),R98=TODAY())),"ATENÇÃO",IF(N(K98)=0,"PENDENTE","EM ANDAMENTO"))))))</f>
        <v/>
      </c>
      <c r="C98" s="3">
        <f>IF(D98="","",IF(V98=0,"🟢 OK",IF(D98&lt;corte,"⚪ HISTÓRICO (sem baixa)",IF(AND(ISNUMBER(R98),R98&lt;TODAY()),"🔴 PRAZO VENCIDO",IF(AND(OR(N98="PENDENTE",N98="PARCIAL"),D98&lt;TODAY()-1),"🔴 EMBARQUE ATRASADO",IF(AND(N98="REALIZADO",M98="PENDENTE"),"🟡 EMBARCADO SEM FATURAR",IF(AND(P98&lt;&gt;"",S98="",OR(Q98="",R98="")),"🟡 PENDÊNCIA SEM RESPONSÁVEL/PRAZO",IF(AND(ISNUMBER(R98),R98=TODAY()),"🟡 VENCE HOJE",IF(AND(P98&lt;&gt;"",S98=""),"🟡 PENDÊNCIA ABERTA",IF(AND(N(J98)&gt;0,N(K98)&lt;J98),"🟡 FALTA EXECUTAR",IF(OR(M98="PENDENTE",M98="PARCIAL"),"🟡 FATURAMENTO PENDENTE","🟡 EMBARQUE PENDENTE")))))))))))</f>
        <v/>
      </c>
      <c r="D98" s="4" t="n">
        <v>46227</v>
      </c>
      <c r="E98" s="5" t="inlineStr">
        <is>
          <t>B</t>
        </is>
      </c>
      <c r="F98" s="5" t="inlineStr">
        <is>
          <t>THIAGO</t>
        </is>
      </c>
      <c r="G98" s="5" t="inlineStr">
        <is>
          <t>FM</t>
        </is>
      </c>
      <c r="H98" s="5" t="inlineStr">
        <is>
          <t>FM</t>
        </is>
      </c>
      <c r="I98" s="5" t="inlineStr">
        <is>
          <t>TON</t>
        </is>
      </c>
      <c r="J98" s="6" t="n">
        <v>23.738</v>
      </c>
      <c r="K98" s="6" t="n">
        <v>23.738</v>
      </c>
      <c r="L98" s="7">
        <f>IF(OR(D98="",N(J98)=0),"",MIN(1,N(K98)/J98))</f>
        <v/>
      </c>
      <c r="M98" s="5" t="inlineStr">
        <is>
          <t>FATURADO</t>
        </is>
      </c>
      <c r="N98" s="5" t="inlineStr">
        <is>
          <t>REALIZADO</t>
        </is>
      </c>
      <c r="O98" s="5" t="n"/>
      <c r="P98" s="5" t="n"/>
      <c r="Q98" s="5" t="n"/>
      <c r="R98" s="4" t="n"/>
      <c r="S98" s="4" t="n"/>
      <c r="T98" s="5" t="n"/>
      <c r="U98" s="8">
        <f>IF(AND(V98=1,D98&lt;&gt;""),IF(D98&gt;=corte,TODAY()-D98,""),"")</f>
        <v/>
      </c>
      <c r="V98" s="8">
        <f>IF(D98="",0,IF(OR(AND(P98&lt;&gt;"",S98=""),AND(N(J98)&gt;0,N(K98)&lt;J98),OR(M98="PENDENTE",M98="PARCIAL"),OR(N98="PENDENTE",N98="PARCIAL")),1,0))</f>
        <v/>
      </c>
      <c r="W98" s="8">
        <f>IF(AND(V98=1,D98&lt;&gt;""),IF(D98&gt;=corte,(B98="CRÍTICO")*1E9+(100000-D98)*10000+10000-ROW(),""),"")</f>
        <v/>
      </c>
      <c r="X98" s="8">
        <f>IF(AND(V98=1,D98=pas_data,E98=pas_turno),10000-ROW(),"")</f>
        <v/>
      </c>
    </row>
    <row r="99">
      <c r="A99" s="3">
        <f>IF(D99="","","TT-"&amp;TEXT(ROW()-1,"00000"))</f>
        <v/>
      </c>
      <c r="B99" s="3">
        <f>IF(D99="","",IF(V99=0,"CONCLUÍDO",IF(D99&lt;corte,"HISTÓRICO",IF(OR(AND(ISNUMBER(R99),R99&lt;TODAY()),AND(OR(N99="PENDENTE",N99="PARCIAL"),D99&lt;TODAY()-1)),"CRÍTICO",IF(OR(AND(P99&lt;&gt;"",S99=""),AND(N99="REALIZADO",M99="PENDENTE"),AND(ISNUMBER(R99),R99=TODAY())),"ATENÇÃO",IF(N(K99)=0,"PENDENTE","EM ANDAMENTO"))))))</f>
        <v/>
      </c>
      <c r="C99" s="3">
        <f>IF(D99="","",IF(V99=0,"🟢 OK",IF(D99&lt;corte,"⚪ HISTÓRICO (sem baixa)",IF(AND(ISNUMBER(R99),R99&lt;TODAY()),"🔴 PRAZO VENCIDO",IF(AND(OR(N99="PENDENTE",N99="PARCIAL"),D99&lt;TODAY()-1),"🔴 EMBARQUE ATRASADO",IF(AND(N99="REALIZADO",M99="PENDENTE"),"🟡 EMBARCADO SEM FATURAR",IF(AND(P99&lt;&gt;"",S99="",OR(Q99="",R99="")),"🟡 PENDÊNCIA SEM RESPONSÁVEL/PRAZO",IF(AND(ISNUMBER(R99),R99=TODAY()),"🟡 VENCE HOJE",IF(AND(P99&lt;&gt;"",S99=""),"🟡 PENDÊNCIA ABERTA",IF(AND(N(J99)&gt;0,N(K99)&lt;J99),"🟡 FALTA EXECUTAR",IF(OR(M99="PENDENTE",M99="PARCIAL"),"🟡 FATURAMENTO PENDENTE","🟡 EMBARQUE PENDENTE")))))))))))</f>
        <v/>
      </c>
      <c r="D99" s="4" t="n">
        <v>46227</v>
      </c>
      <c r="E99" s="5" t="inlineStr">
        <is>
          <t>B</t>
        </is>
      </c>
      <c r="F99" s="5" t="inlineStr">
        <is>
          <t>THIAGO</t>
        </is>
      </c>
      <c r="G99" s="5" t="inlineStr">
        <is>
          <t>FM</t>
        </is>
      </c>
      <c r="H99" s="5" t="inlineStr">
        <is>
          <t>FM</t>
        </is>
      </c>
      <c r="I99" s="5" t="inlineStr">
        <is>
          <t>TON</t>
        </is>
      </c>
      <c r="J99" s="6" t="n">
        <v>3.884</v>
      </c>
      <c r="K99" s="6" t="n">
        <v>3.884</v>
      </c>
      <c r="L99" s="7">
        <f>IF(OR(D99="",N(J99)=0),"",MIN(1,N(K99)/J99))</f>
        <v/>
      </c>
      <c r="M99" s="5" t="inlineStr">
        <is>
          <t>FATURADO</t>
        </is>
      </c>
      <c r="N99" s="5" t="inlineStr">
        <is>
          <t>REALIZADO</t>
        </is>
      </c>
      <c r="O99" s="5" t="n"/>
      <c r="P99" s="5" t="n"/>
      <c r="Q99" s="5" t="n"/>
      <c r="R99" s="4" t="n"/>
      <c r="S99" s="4" t="n"/>
      <c r="T99" s="5" t="n"/>
      <c r="U99" s="8">
        <f>IF(AND(V99=1,D99&lt;&gt;""),IF(D99&gt;=corte,TODAY()-D99,""),"")</f>
        <v/>
      </c>
      <c r="V99" s="8">
        <f>IF(D99="",0,IF(OR(AND(P99&lt;&gt;"",S99=""),AND(N(J99)&gt;0,N(K99)&lt;J99),OR(M99="PENDENTE",M99="PARCIAL"),OR(N99="PENDENTE",N99="PARCIAL")),1,0))</f>
        <v/>
      </c>
      <c r="W99" s="8">
        <f>IF(AND(V99=1,D99&lt;&gt;""),IF(D99&gt;=corte,(B99="CRÍTICO")*1E9+(100000-D99)*10000+10000-ROW(),""),"")</f>
        <v/>
      </c>
      <c r="X99" s="8">
        <f>IF(AND(V99=1,D99=pas_data,E99=pas_turno),10000-ROW(),"")</f>
        <v/>
      </c>
    </row>
    <row r="100">
      <c r="A100" s="3">
        <f>IF(D100="","","TT-"&amp;TEXT(ROW()-1,"00000"))</f>
        <v/>
      </c>
      <c r="B100" s="3">
        <f>IF(D100="","",IF(V100=0,"CONCLUÍDO",IF(D100&lt;corte,"HISTÓRICO",IF(OR(AND(ISNUMBER(R100),R100&lt;TODAY()),AND(OR(N100="PENDENTE",N100="PARCIAL"),D100&lt;TODAY()-1)),"CRÍTICO",IF(OR(AND(P100&lt;&gt;"",S100=""),AND(N100="REALIZADO",M100="PENDENTE"),AND(ISNUMBER(R100),R100=TODAY())),"ATENÇÃO",IF(N(K100)=0,"PENDENTE","EM ANDAMENTO"))))))</f>
        <v/>
      </c>
      <c r="C100" s="3">
        <f>IF(D100="","",IF(V100=0,"🟢 OK",IF(D100&lt;corte,"⚪ HISTÓRICO (sem baixa)",IF(AND(ISNUMBER(R100),R100&lt;TODAY()),"🔴 PRAZO VENCIDO",IF(AND(OR(N100="PENDENTE",N100="PARCIAL"),D100&lt;TODAY()-1),"🔴 EMBARQUE ATRASADO",IF(AND(N100="REALIZADO",M100="PENDENTE"),"🟡 EMBARCADO SEM FATURAR",IF(AND(P100&lt;&gt;"",S100="",OR(Q100="",R100="")),"🟡 PENDÊNCIA SEM RESPONSÁVEL/PRAZO",IF(AND(ISNUMBER(R100),R100=TODAY()),"🟡 VENCE HOJE",IF(AND(P100&lt;&gt;"",S100=""),"🟡 PENDÊNCIA ABERTA",IF(AND(N(J100)&gt;0,N(K100)&lt;J100),"🟡 FALTA EXECUTAR",IF(OR(M100="PENDENTE",M100="PARCIAL"),"🟡 FATURAMENTO PENDENTE","🟡 EMBARQUE PENDENTE")))))))))))</f>
        <v/>
      </c>
      <c r="D100" s="4" t="n">
        <v>46227</v>
      </c>
      <c r="E100" s="5" t="inlineStr">
        <is>
          <t>B</t>
        </is>
      </c>
      <c r="F100" s="5" t="inlineStr">
        <is>
          <t>THIAGO</t>
        </is>
      </c>
      <c r="G100" s="5" t="inlineStr">
        <is>
          <t>FM</t>
        </is>
      </c>
      <c r="H100" s="5" t="inlineStr">
        <is>
          <t>FM</t>
        </is>
      </c>
      <c r="I100" s="5" t="inlineStr">
        <is>
          <t>TON</t>
        </is>
      </c>
      <c r="J100" s="6" t="n">
        <v>28.054</v>
      </c>
      <c r="K100" s="6" t="n">
        <v>28.054</v>
      </c>
      <c r="L100" s="7">
        <f>IF(OR(D100="",N(J100)=0),"",MIN(1,N(K100)/J100))</f>
        <v/>
      </c>
      <c r="M100" s="5" t="inlineStr">
        <is>
          <t>FATURADO</t>
        </is>
      </c>
      <c r="N100" s="5" t="inlineStr">
        <is>
          <t>REALIZADO</t>
        </is>
      </c>
      <c r="O100" s="5" t="n"/>
      <c r="P100" s="5" t="n"/>
      <c r="Q100" s="5" t="n"/>
      <c r="R100" s="4" t="n"/>
      <c r="S100" s="4" t="n"/>
      <c r="T100" s="5" t="n"/>
      <c r="U100" s="8">
        <f>IF(AND(V100=1,D100&lt;&gt;""),IF(D100&gt;=corte,TODAY()-D100,""),"")</f>
        <v/>
      </c>
      <c r="V100" s="8">
        <f>IF(D100="",0,IF(OR(AND(P100&lt;&gt;"",S100=""),AND(N(J100)&gt;0,N(K100)&lt;J100),OR(M100="PENDENTE",M100="PARCIAL"),OR(N100="PENDENTE",N100="PARCIAL")),1,0))</f>
        <v/>
      </c>
      <c r="W100" s="8">
        <f>IF(AND(V100=1,D100&lt;&gt;""),IF(D100&gt;=corte,(B100="CRÍTICO")*1E9+(100000-D100)*10000+10000-ROW(),""),"")</f>
        <v/>
      </c>
      <c r="X100" s="8">
        <f>IF(AND(V100=1,D100=pas_data,E100=pas_turno),10000-ROW(),"")</f>
        <v/>
      </c>
    </row>
    <row r="101">
      <c r="A101" s="3">
        <f>IF(D101="","","TT-"&amp;TEXT(ROW()-1,"00000"))</f>
        <v/>
      </c>
      <c r="B101" s="3">
        <f>IF(D101="","",IF(V101=0,"CONCLUÍDO",IF(D101&lt;corte,"HISTÓRICO",IF(OR(AND(ISNUMBER(R101),R101&lt;TODAY()),AND(OR(N101="PENDENTE",N101="PARCIAL"),D101&lt;TODAY()-1)),"CRÍTICO",IF(OR(AND(P101&lt;&gt;"",S101=""),AND(N101="REALIZADO",M101="PENDENTE"),AND(ISNUMBER(R101),R101=TODAY())),"ATENÇÃO",IF(N(K101)=0,"PENDENTE","EM ANDAMENTO"))))))</f>
        <v/>
      </c>
      <c r="C101" s="3">
        <f>IF(D101="","",IF(V101=0,"🟢 OK",IF(D101&lt;corte,"⚪ HISTÓRICO (sem baixa)",IF(AND(ISNUMBER(R101),R101&lt;TODAY()),"🔴 PRAZO VENCIDO",IF(AND(OR(N101="PENDENTE",N101="PARCIAL"),D101&lt;TODAY()-1),"🔴 EMBARQUE ATRASADO",IF(AND(N101="REALIZADO",M101="PENDENTE"),"🟡 EMBARCADO SEM FATURAR",IF(AND(P101&lt;&gt;"",S101="",OR(Q101="",R101="")),"🟡 PENDÊNCIA SEM RESPONSÁVEL/PRAZO",IF(AND(ISNUMBER(R101),R101=TODAY()),"🟡 VENCE HOJE",IF(AND(P101&lt;&gt;"",S101=""),"🟡 PENDÊNCIA ABERTA",IF(AND(N(J101)&gt;0,N(K101)&lt;J101),"🟡 FALTA EXECUTAR",IF(OR(M101="PENDENTE",M101="PARCIAL"),"🟡 FATURAMENTO PENDENTE","🟡 EMBARQUE PENDENTE")))))))))))</f>
        <v/>
      </c>
      <c r="D101" s="4" t="n">
        <v>46227</v>
      </c>
      <c r="E101" s="5" t="inlineStr">
        <is>
          <t>B</t>
        </is>
      </c>
      <c r="F101" s="5" t="inlineStr">
        <is>
          <t>THIAGO</t>
        </is>
      </c>
      <c r="G101" s="5" t="inlineStr">
        <is>
          <t>FM</t>
        </is>
      </c>
      <c r="H101" s="5" t="inlineStr">
        <is>
          <t>FM</t>
        </is>
      </c>
      <c r="I101" s="5" t="inlineStr">
        <is>
          <t>TON</t>
        </is>
      </c>
      <c r="J101" s="6" t="n">
        <v>28.054</v>
      </c>
      <c r="K101" s="6" t="n">
        <v>28.054</v>
      </c>
      <c r="L101" s="7">
        <f>IF(OR(D101="",N(J101)=0),"",MIN(1,N(K101)/J101))</f>
        <v/>
      </c>
      <c r="M101" s="5" t="inlineStr">
        <is>
          <t>FATURADO</t>
        </is>
      </c>
      <c r="N101" s="5" t="inlineStr">
        <is>
          <t>REALIZADO</t>
        </is>
      </c>
      <c r="O101" s="5" t="n"/>
      <c r="P101" s="5" t="n"/>
      <c r="Q101" s="5" t="n"/>
      <c r="R101" s="4" t="n"/>
      <c r="S101" s="4" t="n"/>
      <c r="T101" s="5" t="n"/>
      <c r="U101" s="8">
        <f>IF(AND(V101=1,D101&lt;&gt;""),IF(D101&gt;=corte,TODAY()-D101,""),"")</f>
        <v/>
      </c>
      <c r="V101" s="8">
        <f>IF(D101="",0,IF(OR(AND(P101&lt;&gt;"",S101=""),AND(N(J101)&gt;0,N(K101)&lt;J101),OR(M101="PENDENTE",M101="PARCIAL"),OR(N101="PENDENTE",N101="PARCIAL")),1,0))</f>
        <v/>
      </c>
      <c r="W101" s="8">
        <f>IF(AND(V101=1,D101&lt;&gt;""),IF(D101&gt;=corte,(B101="CRÍTICO")*1E9+(100000-D101)*10000+10000-ROW(),""),"")</f>
        <v/>
      </c>
      <c r="X101" s="8">
        <f>IF(AND(V101=1,D101=pas_data,E101=pas_turno),10000-ROW(),"")</f>
        <v/>
      </c>
    </row>
    <row r="102">
      <c r="A102" s="3">
        <f>IF(D102="","","TT-"&amp;TEXT(ROW()-1,"00000"))</f>
        <v/>
      </c>
      <c r="B102" s="3">
        <f>IF(D102="","",IF(V102=0,"CONCLUÍDO",IF(D102&lt;corte,"HISTÓRICO",IF(OR(AND(ISNUMBER(R102),R102&lt;TODAY()),AND(OR(N102="PENDENTE",N102="PARCIAL"),D102&lt;TODAY()-1)),"CRÍTICO",IF(OR(AND(P102&lt;&gt;"",S102=""),AND(N102="REALIZADO",M102="PENDENTE"),AND(ISNUMBER(R102),R102=TODAY())),"ATENÇÃO",IF(N(K102)=0,"PENDENTE","EM ANDAMENTO"))))))</f>
        <v/>
      </c>
      <c r="C102" s="3">
        <f>IF(D102="","",IF(V102=0,"🟢 OK",IF(D102&lt;corte,"⚪ HISTÓRICO (sem baixa)",IF(AND(ISNUMBER(R102),R102&lt;TODAY()),"🔴 PRAZO VENCIDO",IF(AND(OR(N102="PENDENTE",N102="PARCIAL"),D102&lt;TODAY()-1),"🔴 EMBARQUE ATRASADO",IF(AND(N102="REALIZADO",M102="PENDENTE"),"🟡 EMBARCADO SEM FATURAR",IF(AND(P102&lt;&gt;"",S102="",OR(Q102="",R102="")),"🟡 PENDÊNCIA SEM RESPONSÁVEL/PRAZO",IF(AND(ISNUMBER(R102),R102=TODAY()),"🟡 VENCE HOJE",IF(AND(P102&lt;&gt;"",S102=""),"🟡 PENDÊNCIA ABERTA",IF(AND(N(J102)&gt;0,N(K102)&lt;J102),"🟡 FALTA EXECUTAR",IF(OR(M102="PENDENTE",M102="PARCIAL"),"🟡 FATURAMENTO PENDENTE","🟡 EMBARQUE PENDENTE")))))))))))</f>
        <v/>
      </c>
      <c r="D102" s="4" t="n">
        <v>46228</v>
      </c>
      <c r="E102" s="5" t="inlineStr">
        <is>
          <t>B</t>
        </is>
      </c>
      <c r="F102" s="5" t="inlineStr">
        <is>
          <t>THIAGO</t>
        </is>
      </c>
      <c r="G102" s="5" t="inlineStr">
        <is>
          <t>FM</t>
        </is>
      </c>
      <c r="H102" s="5" t="inlineStr">
        <is>
          <t>FM</t>
        </is>
      </c>
      <c r="I102" s="5" t="inlineStr">
        <is>
          <t>TON</t>
        </is>
      </c>
      <c r="J102" s="6" t="n">
        <v>19.422</v>
      </c>
      <c r="K102" s="6" t="n">
        <v>19.422</v>
      </c>
      <c r="L102" s="7">
        <f>IF(OR(D102="",N(J102)=0),"",MIN(1,N(K102)/J102))</f>
        <v/>
      </c>
      <c r="M102" s="5" t="inlineStr">
        <is>
          <t>FATURADO</t>
        </is>
      </c>
      <c r="N102" s="5" t="inlineStr">
        <is>
          <t>REALIZADO</t>
        </is>
      </c>
      <c r="O102" s="5" t="n"/>
      <c r="P102" s="5" t="n"/>
      <c r="Q102" s="5" t="n"/>
      <c r="R102" s="4" t="n"/>
      <c r="S102" s="4" t="n"/>
      <c r="T102" s="5" t="n"/>
      <c r="U102" s="8">
        <f>IF(AND(V102=1,D102&lt;&gt;""),IF(D102&gt;=corte,TODAY()-D102,""),"")</f>
        <v/>
      </c>
      <c r="V102" s="8">
        <f>IF(D102="",0,IF(OR(AND(P102&lt;&gt;"",S102=""),AND(N(J102)&gt;0,N(K102)&lt;J102),OR(M102="PENDENTE",M102="PARCIAL"),OR(N102="PENDENTE",N102="PARCIAL")),1,0))</f>
        <v/>
      </c>
      <c r="W102" s="8">
        <f>IF(AND(V102=1,D102&lt;&gt;""),IF(D102&gt;=corte,(B102="CRÍTICO")*1E9+(100000-D102)*10000+10000-ROW(),""),"")</f>
        <v/>
      </c>
      <c r="X102" s="8">
        <f>IF(AND(V102=1,D102=pas_data,E102=pas_turno),10000-ROW(),"")</f>
        <v/>
      </c>
    </row>
    <row r="103">
      <c r="A103" s="3">
        <f>IF(D103="","","TT-"&amp;TEXT(ROW()-1,"00000"))</f>
        <v/>
      </c>
      <c r="B103" s="3">
        <f>IF(D103="","",IF(V103=0,"CONCLUÍDO",IF(D103&lt;corte,"HISTÓRICO",IF(OR(AND(ISNUMBER(R103),R103&lt;TODAY()),AND(OR(N103="PENDENTE",N103="PARCIAL"),D103&lt;TODAY()-1)),"CRÍTICO",IF(OR(AND(P103&lt;&gt;"",S103=""),AND(N103="REALIZADO",M103="PENDENTE"),AND(ISNUMBER(R103),R103=TODAY())),"ATENÇÃO",IF(N(K103)=0,"PENDENTE","EM ANDAMENTO"))))))</f>
        <v/>
      </c>
      <c r="C103" s="3">
        <f>IF(D103="","",IF(V103=0,"🟢 OK",IF(D103&lt;corte,"⚪ HISTÓRICO (sem baixa)",IF(AND(ISNUMBER(R103),R103&lt;TODAY()),"🔴 PRAZO VENCIDO",IF(AND(OR(N103="PENDENTE",N103="PARCIAL"),D103&lt;TODAY()-1),"🔴 EMBARQUE ATRASADO",IF(AND(N103="REALIZADO",M103="PENDENTE"),"🟡 EMBARCADO SEM FATURAR",IF(AND(P103&lt;&gt;"",S103="",OR(Q103="",R103="")),"🟡 PENDÊNCIA SEM RESPONSÁVEL/PRAZO",IF(AND(ISNUMBER(R103),R103=TODAY()),"🟡 VENCE HOJE",IF(AND(P103&lt;&gt;"",S103=""),"🟡 PENDÊNCIA ABERTA",IF(AND(N(J103)&gt;0,N(K103)&lt;J103),"🟡 FALTA EXECUTAR",IF(OR(M103="PENDENTE",M103="PARCIAL"),"🟡 FATURAMENTO PENDENTE","🟡 EMBARQUE PENDENTE")))))))))))</f>
        <v/>
      </c>
      <c r="D103" s="4" t="n">
        <v>46228</v>
      </c>
      <c r="E103" s="5" t="n"/>
      <c r="F103" s="5" t="n"/>
      <c r="G103" s="5" t="inlineStr">
        <is>
          <t>FM</t>
        </is>
      </c>
      <c r="H103" s="5" t="inlineStr">
        <is>
          <t>FM</t>
        </is>
      </c>
      <c r="I103" s="5" t="inlineStr">
        <is>
          <t>TON</t>
        </is>
      </c>
      <c r="J103" s="6" t="n">
        <v>23.738</v>
      </c>
      <c r="K103" s="6" t="n"/>
      <c r="L103" s="7">
        <f>IF(OR(D103="",N(J103)=0),"",MIN(1,N(K103)/J103))</f>
        <v/>
      </c>
      <c r="M103" s="5" t="n"/>
      <c r="N103" s="5" t="n"/>
      <c r="O103" s="5" t="n"/>
      <c r="P103" s="5" t="n"/>
      <c r="Q103" s="5" t="n"/>
      <c r="R103" s="4" t="n"/>
      <c r="S103" s="4" t="n"/>
      <c r="T103" s="5" t="n"/>
      <c r="U103" s="8">
        <f>IF(AND(V103=1,D103&lt;&gt;""),IF(D103&gt;=corte,TODAY()-D103,""),"")</f>
        <v/>
      </c>
      <c r="V103" s="8">
        <f>IF(D103="",0,IF(OR(AND(P103&lt;&gt;"",S103=""),AND(N(J103)&gt;0,N(K103)&lt;J103),OR(M103="PENDENTE",M103="PARCIAL"),OR(N103="PENDENTE",N103="PARCIAL")),1,0))</f>
        <v/>
      </c>
      <c r="W103" s="8">
        <f>IF(AND(V103=1,D103&lt;&gt;""),IF(D103&gt;=corte,(B103="CRÍTICO")*1E9+(100000-D103)*10000+10000-ROW(),""),"")</f>
        <v/>
      </c>
      <c r="X103" s="8">
        <f>IF(AND(V103=1,D103=pas_data,E103=pas_turno),10000-ROW(),"")</f>
        <v/>
      </c>
    </row>
    <row r="104">
      <c r="A104" s="3">
        <f>IF(D104="","","TT-"&amp;TEXT(ROW()-1,"00000"))</f>
        <v/>
      </c>
      <c r="B104" s="3">
        <f>IF(D104="","",IF(V104=0,"CONCLUÍDO",IF(D104&lt;corte,"HISTÓRICO",IF(OR(AND(ISNUMBER(R104),R104&lt;TODAY()),AND(OR(N104="PENDENTE",N104="PARCIAL"),D104&lt;TODAY()-1)),"CRÍTICO",IF(OR(AND(P104&lt;&gt;"",S104=""),AND(N104="REALIZADO",M104="PENDENTE"),AND(ISNUMBER(R104),R104=TODAY())),"ATENÇÃO",IF(N(K104)=0,"PENDENTE","EM ANDAMENTO"))))))</f>
        <v/>
      </c>
      <c r="C104" s="3">
        <f>IF(D104="","",IF(V104=0,"🟢 OK",IF(D104&lt;corte,"⚪ HISTÓRICO (sem baixa)",IF(AND(ISNUMBER(R104),R104&lt;TODAY()),"🔴 PRAZO VENCIDO",IF(AND(OR(N104="PENDENTE",N104="PARCIAL"),D104&lt;TODAY()-1),"🔴 EMBARQUE ATRASADO",IF(AND(N104="REALIZADO",M104="PENDENTE"),"🟡 EMBARCADO SEM FATURAR",IF(AND(P104&lt;&gt;"",S104="",OR(Q104="",R104="")),"🟡 PENDÊNCIA SEM RESPONSÁVEL/PRAZO",IF(AND(ISNUMBER(R104),R104=TODAY()),"🟡 VENCE HOJE",IF(AND(P104&lt;&gt;"",S104=""),"🟡 PENDÊNCIA ABERTA",IF(AND(N(J104)&gt;0,N(K104)&lt;J104),"🟡 FALTA EXECUTAR",IF(OR(M104="PENDENTE",M104="PARCIAL"),"🟡 FATURAMENTO PENDENTE","🟡 EMBARQUE PENDENTE")))))))))))</f>
        <v/>
      </c>
      <c r="D104" s="4" t="n">
        <v>46229</v>
      </c>
      <c r="E104" s="5" t="n"/>
      <c r="F104" s="5" t="n"/>
      <c r="G104" s="5" t="inlineStr">
        <is>
          <t>FM</t>
        </is>
      </c>
      <c r="H104" s="5" t="inlineStr">
        <is>
          <t>FM</t>
        </is>
      </c>
      <c r="I104" s="5" t="inlineStr">
        <is>
          <t>TON</t>
        </is>
      </c>
      <c r="J104" s="6" t="n">
        <v>28.054</v>
      </c>
      <c r="K104" s="6" t="n"/>
      <c r="L104" s="7">
        <f>IF(OR(D104="",N(J104)=0),"",MIN(1,N(K104)/J104))</f>
        <v/>
      </c>
      <c r="M104" s="5" t="n"/>
      <c r="N104" s="5" t="n"/>
      <c r="O104" s="5" t="n"/>
      <c r="P104" s="5" t="n"/>
      <c r="Q104" s="5" t="n"/>
      <c r="R104" s="4" t="n"/>
      <c r="S104" s="4" t="n"/>
      <c r="T104" s="5" t="n"/>
      <c r="U104" s="8">
        <f>IF(AND(V104=1,D104&lt;&gt;""),IF(D104&gt;=corte,TODAY()-D104,""),"")</f>
        <v/>
      </c>
      <c r="V104" s="8">
        <f>IF(D104="",0,IF(OR(AND(P104&lt;&gt;"",S104=""),AND(N(J104)&gt;0,N(K104)&lt;J104),OR(M104="PENDENTE",M104="PARCIAL"),OR(N104="PENDENTE",N104="PARCIAL")),1,0))</f>
        <v/>
      </c>
      <c r="W104" s="8">
        <f>IF(AND(V104=1,D104&lt;&gt;""),IF(D104&gt;=corte,(B104="CRÍTICO")*1E9+(100000-D104)*10000+10000-ROW(),""),"")</f>
        <v/>
      </c>
      <c r="X104" s="8">
        <f>IF(AND(V104=1,D104=pas_data,E104=pas_turno),10000-ROW(),"")</f>
        <v/>
      </c>
    </row>
    <row r="105">
      <c r="A105" s="3">
        <f>IF(D105="","","TT-"&amp;TEXT(ROW()-1,"00000"))</f>
        <v/>
      </c>
      <c r="B105" s="3">
        <f>IF(D105="","",IF(V105=0,"CONCLUÍDO",IF(D105&lt;corte,"HISTÓRICO",IF(OR(AND(ISNUMBER(R105),R105&lt;TODAY()),AND(OR(N105="PENDENTE",N105="PARCIAL"),D105&lt;TODAY()-1)),"CRÍTICO",IF(OR(AND(P105&lt;&gt;"",S105=""),AND(N105="REALIZADO",M105="PENDENTE"),AND(ISNUMBER(R105),R105=TODAY())),"ATENÇÃO",IF(N(K105)=0,"PENDENTE","EM ANDAMENTO"))))))</f>
        <v/>
      </c>
      <c r="C105" s="3">
        <f>IF(D105="","",IF(V105=0,"🟢 OK",IF(D105&lt;corte,"⚪ HISTÓRICO (sem baixa)",IF(AND(ISNUMBER(R105),R105&lt;TODAY()),"🔴 PRAZO VENCIDO",IF(AND(OR(N105="PENDENTE",N105="PARCIAL"),D105&lt;TODAY()-1),"🔴 EMBARQUE ATRASADO",IF(AND(N105="REALIZADO",M105="PENDENTE"),"🟡 EMBARCADO SEM FATURAR",IF(AND(P105&lt;&gt;"",S105="",OR(Q105="",R105="")),"🟡 PENDÊNCIA SEM RESPONSÁVEL/PRAZO",IF(AND(ISNUMBER(R105),R105=TODAY()),"🟡 VENCE HOJE",IF(AND(P105&lt;&gt;"",S105=""),"🟡 PENDÊNCIA ABERTA",IF(AND(N(J105)&gt;0,N(K105)&lt;J105),"🟡 FALTA EXECUTAR",IF(OR(M105="PENDENTE",M105="PARCIAL"),"🟡 FATURAMENTO PENDENTE","🟡 EMBARQUE PENDENTE")))))))))))</f>
        <v/>
      </c>
      <c r="D105" s="4" t="n">
        <v>46229</v>
      </c>
      <c r="E105" s="5" t="n"/>
      <c r="F105" s="5" t="n"/>
      <c r="G105" s="5" t="inlineStr">
        <is>
          <t>FM</t>
        </is>
      </c>
      <c r="H105" s="5" t="inlineStr">
        <is>
          <t>FM</t>
        </is>
      </c>
      <c r="I105" s="5" t="inlineStr">
        <is>
          <t>TON</t>
        </is>
      </c>
      <c r="J105" s="6" t="n">
        <v>28.054</v>
      </c>
      <c r="K105" s="6" t="n"/>
      <c r="L105" s="7">
        <f>IF(OR(D105="",N(J105)=0),"",MIN(1,N(K105)/J105))</f>
        <v/>
      </c>
      <c r="M105" s="5" t="n"/>
      <c r="N105" s="5" t="n"/>
      <c r="O105" s="5" t="n"/>
      <c r="P105" s="5" t="n"/>
      <c r="Q105" s="5" t="n"/>
      <c r="R105" s="4" t="n"/>
      <c r="S105" s="4" t="n"/>
      <c r="T105" s="5" t="n"/>
      <c r="U105" s="8">
        <f>IF(AND(V105=1,D105&lt;&gt;""),IF(D105&gt;=corte,TODAY()-D105,""),"")</f>
        <v/>
      </c>
      <c r="V105" s="8">
        <f>IF(D105="",0,IF(OR(AND(P105&lt;&gt;"",S105=""),AND(N(J105)&gt;0,N(K105)&lt;J105),OR(M105="PENDENTE",M105="PARCIAL"),OR(N105="PENDENTE",N105="PARCIAL")),1,0))</f>
        <v/>
      </c>
      <c r="W105" s="8">
        <f>IF(AND(V105=1,D105&lt;&gt;""),IF(D105&gt;=corte,(B105="CRÍTICO")*1E9+(100000-D105)*10000+10000-ROW(),""),"")</f>
        <v/>
      </c>
      <c r="X105" s="8">
        <f>IF(AND(V105=1,D105=pas_data,E105=pas_turno),10000-ROW(),"")</f>
        <v/>
      </c>
    </row>
    <row r="106">
      <c r="A106" s="3">
        <f>IF(D106="","","TT-"&amp;TEXT(ROW()-1,"00000"))</f>
        <v/>
      </c>
      <c r="B106" s="3">
        <f>IF(D106="","",IF(V106=0,"CONCLUÍDO",IF(D106&lt;corte,"HISTÓRICO",IF(OR(AND(ISNUMBER(R106),R106&lt;TODAY()),AND(OR(N106="PENDENTE",N106="PARCIAL"),D106&lt;TODAY()-1)),"CRÍTICO",IF(OR(AND(P106&lt;&gt;"",S106=""),AND(N106="REALIZADO",M106="PENDENTE"),AND(ISNUMBER(R106),R106=TODAY())),"ATENÇÃO",IF(N(K106)=0,"PENDENTE","EM ANDAMENTO"))))))</f>
        <v/>
      </c>
      <c r="C106" s="3">
        <f>IF(D106="","",IF(V106=0,"🟢 OK",IF(D106&lt;corte,"⚪ HISTÓRICO (sem baixa)",IF(AND(ISNUMBER(R106),R106&lt;TODAY()),"🔴 PRAZO VENCIDO",IF(AND(OR(N106="PENDENTE",N106="PARCIAL"),D106&lt;TODAY()-1),"🔴 EMBARQUE ATRASADO",IF(AND(N106="REALIZADO",M106="PENDENTE"),"🟡 EMBARCADO SEM FATURAR",IF(AND(P106&lt;&gt;"",S106="",OR(Q106="",R106="")),"🟡 PENDÊNCIA SEM RESPONSÁVEL/PRAZO",IF(AND(ISNUMBER(R106),R106=TODAY()),"🟡 VENCE HOJE",IF(AND(P106&lt;&gt;"",S106=""),"🟡 PENDÊNCIA ABERTA",IF(AND(N(J106)&gt;0,N(K106)&lt;J106),"🟡 FALTA EXECUTAR",IF(OR(M106="PENDENTE",M106="PARCIAL"),"🟡 FATURAMENTO PENDENTE","🟡 EMBARQUE PENDENTE")))))))))))</f>
        <v/>
      </c>
      <c r="D106" s="4" t="n">
        <v>46230</v>
      </c>
      <c r="E106" s="5" t="n"/>
      <c r="F106" s="5" t="n"/>
      <c r="G106" s="5" t="inlineStr">
        <is>
          <t>FM</t>
        </is>
      </c>
      <c r="H106" s="5" t="inlineStr">
        <is>
          <t>FM</t>
        </is>
      </c>
      <c r="I106" s="5" t="inlineStr">
        <is>
          <t>TON</t>
        </is>
      </c>
      <c r="J106" s="6" t="n">
        <v>6.961</v>
      </c>
      <c r="K106" s="6" t="n"/>
      <c r="L106" s="7">
        <f>IF(OR(D106="",N(J106)=0),"",MIN(1,N(K106)/J106))</f>
        <v/>
      </c>
      <c r="M106" s="5" t="n"/>
      <c r="N106" s="5" t="n"/>
      <c r="O106" s="5" t="n"/>
      <c r="P106" s="5" t="n"/>
      <c r="Q106" s="5" t="n"/>
      <c r="R106" s="4" t="n"/>
      <c r="S106" s="4" t="n"/>
      <c r="T106" s="5" t="n"/>
      <c r="U106" s="8">
        <f>IF(AND(V106=1,D106&lt;&gt;""),IF(D106&gt;=corte,TODAY()-D106,""),"")</f>
        <v/>
      </c>
      <c r="V106" s="8">
        <f>IF(D106="",0,IF(OR(AND(P106&lt;&gt;"",S106=""),AND(N(J106)&gt;0,N(K106)&lt;J106),OR(M106="PENDENTE",M106="PARCIAL"),OR(N106="PENDENTE",N106="PARCIAL")),1,0))</f>
        <v/>
      </c>
      <c r="W106" s="8">
        <f>IF(AND(V106=1,D106&lt;&gt;""),IF(D106&gt;=corte,(B106="CRÍTICO")*1E9+(100000-D106)*10000+10000-ROW(),""),"")</f>
        <v/>
      </c>
      <c r="X106" s="8">
        <f>IF(AND(V106=1,D106=pas_data,E106=pas_turno),10000-ROW(),"")</f>
        <v/>
      </c>
    </row>
    <row r="107">
      <c r="A107" s="3">
        <f>IF(D107="","","TT-"&amp;TEXT(ROW()-1,"00000"))</f>
        <v/>
      </c>
      <c r="B107" s="3">
        <f>IF(D107="","",IF(V107=0,"CONCLUÍDO",IF(D107&lt;corte,"HISTÓRICO",IF(OR(AND(ISNUMBER(R107),R107&lt;TODAY()),AND(OR(N107="PENDENTE",N107="PARCIAL"),D107&lt;TODAY()-1)),"CRÍTICO",IF(OR(AND(P107&lt;&gt;"",S107=""),AND(N107="REALIZADO",M107="PENDENTE"),AND(ISNUMBER(R107),R107=TODAY())),"ATENÇÃO",IF(N(K107)=0,"PENDENTE","EM ANDAMENTO"))))))</f>
        <v/>
      </c>
      <c r="C107" s="3">
        <f>IF(D107="","",IF(V107=0,"🟢 OK",IF(D107&lt;corte,"⚪ HISTÓRICO (sem baixa)",IF(AND(ISNUMBER(R107),R107&lt;TODAY()),"🔴 PRAZO VENCIDO",IF(AND(OR(N107="PENDENTE",N107="PARCIAL"),D107&lt;TODAY()-1),"🔴 EMBARQUE ATRASADO",IF(AND(N107="REALIZADO",M107="PENDENTE"),"🟡 EMBARCADO SEM FATURAR",IF(AND(P107&lt;&gt;"",S107="",OR(Q107="",R107="")),"🟡 PENDÊNCIA SEM RESPONSÁVEL/PRAZO",IF(AND(ISNUMBER(R107),R107=TODAY()),"🟡 VENCE HOJE",IF(AND(P107&lt;&gt;"",S107=""),"🟡 PENDÊNCIA ABERTA",IF(AND(N(J107)&gt;0,N(K107)&lt;J107),"🟡 FALTA EXECUTAR",IF(OR(M107="PENDENTE",M107="PARCIAL"),"🟡 FATURAMENTO PENDENTE","🟡 EMBARQUE PENDENTE")))))))))))</f>
        <v/>
      </c>
      <c r="D107" s="4" t="n">
        <v>46230</v>
      </c>
      <c r="E107" s="5" t="n"/>
      <c r="F107" s="5" t="n"/>
      <c r="G107" s="5" t="inlineStr">
        <is>
          <t>FM</t>
        </is>
      </c>
      <c r="H107" s="5" t="inlineStr">
        <is>
          <t>FM</t>
        </is>
      </c>
      <c r="I107" s="5" t="inlineStr">
        <is>
          <t>TON</t>
        </is>
      </c>
      <c r="J107" s="6" t="n">
        <v>1.668</v>
      </c>
      <c r="K107" s="6" t="n"/>
      <c r="L107" s="7">
        <f>IF(OR(D107="",N(J107)=0),"",MIN(1,N(K107)/J107))</f>
        <v/>
      </c>
      <c r="M107" s="5" t="n"/>
      <c r="N107" s="5" t="n"/>
      <c r="O107" s="5" t="n"/>
      <c r="P107" s="5" t="n"/>
      <c r="Q107" s="5" t="n"/>
      <c r="R107" s="4" t="n"/>
      <c r="S107" s="4" t="n"/>
      <c r="T107" s="5" t="n"/>
      <c r="U107" s="8">
        <f>IF(AND(V107=1,D107&lt;&gt;""),IF(D107&gt;=corte,TODAY()-D107,""),"")</f>
        <v/>
      </c>
      <c r="V107" s="8">
        <f>IF(D107="",0,IF(OR(AND(P107&lt;&gt;"",S107=""),AND(N(J107)&gt;0,N(K107)&lt;J107),OR(M107="PENDENTE",M107="PARCIAL"),OR(N107="PENDENTE",N107="PARCIAL")),1,0))</f>
        <v/>
      </c>
      <c r="W107" s="8">
        <f>IF(AND(V107=1,D107&lt;&gt;""),IF(D107&gt;=corte,(B107="CRÍTICO")*1E9+(100000-D107)*10000+10000-ROW(),""),"")</f>
        <v/>
      </c>
      <c r="X107" s="8">
        <f>IF(AND(V107=1,D107=pas_data,E107=pas_turno),10000-ROW(),"")</f>
        <v/>
      </c>
    </row>
    <row r="108">
      <c r="A108" s="3">
        <f>IF(D108="","","TT-"&amp;TEXT(ROW()-1,"00000"))</f>
        <v/>
      </c>
      <c r="B108" s="3">
        <f>IF(D108="","",IF(V108=0,"CONCLUÍDO",IF(D108&lt;corte,"HISTÓRICO",IF(OR(AND(ISNUMBER(R108),R108&lt;TODAY()),AND(OR(N108="PENDENTE",N108="PARCIAL"),D108&lt;TODAY()-1)),"CRÍTICO",IF(OR(AND(P108&lt;&gt;"",S108=""),AND(N108="REALIZADO",M108="PENDENTE"),AND(ISNUMBER(R108),R108=TODAY())),"ATENÇÃO",IF(N(K108)=0,"PENDENTE","EM ANDAMENTO"))))))</f>
        <v/>
      </c>
      <c r="C108" s="3">
        <f>IF(D108="","",IF(V108=0,"🟢 OK",IF(D108&lt;corte,"⚪ HISTÓRICO (sem baixa)",IF(AND(ISNUMBER(R108),R108&lt;TODAY()),"🔴 PRAZO VENCIDO",IF(AND(OR(N108="PENDENTE",N108="PARCIAL"),D108&lt;TODAY()-1),"🔴 EMBARQUE ATRASADO",IF(AND(N108="REALIZADO",M108="PENDENTE"),"🟡 EMBARCADO SEM FATURAR",IF(AND(P108&lt;&gt;"",S108="",OR(Q108="",R108="")),"🟡 PENDÊNCIA SEM RESPONSÁVEL/PRAZO",IF(AND(ISNUMBER(R108),R108=TODAY()),"🟡 VENCE HOJE",IF(AND(P108&lt;&gt;"",S108=""),"🟡 PENDÊNCIA ABERTA",IF(AND(N(J108)&gt;0,N(K108)&lt;J108),"🟡 FALTA EXECUTAR",IF(OR(M108="PENDENTE",M108="PARCIAL"),"🟡 FATURAMENTO PENDENTE","🟡 EMBARQUE PENDENTE")))))))))))</f>
        <v/>
      </c>
      <c r="D108" s="4" t="n">
        <v>46230</v>
      </c>
      <c r="E108" s="5" t="n"/>
      <c r="F108" s="5" t="n"/>
      <c r="G108" s="5" t="inlineStr">
        <is>
          <t>FM</t>
        </is>
      </c>
      <c r="H108" s="5" t="inlineStr">
        <is>
          <t>FM</t>
        </is>
      </c>
      <c r="I108" s="5" t="inlineStr">
        <is>
          <t>TON</t>
        </is>
      </c>
      <c r="J108" s="6" t="n">
        <v>5.416</v>
      </c>
      <c r="K108" s="6" t="n"/>
      <c r="L108" s="7">
        <f>IF(OR(D108="",N(J108)=0),"",MIN(1,N(K108)/J108))</f>
        <v/>
      </c>
      <c r="M108" s="5" t="n"/>
      <c r="N108" s="5" t="n"/>
      <c r="O108" s="5" t="n"/>
      <c r="P108" s="5" t="n"/>
      <c r="Q108" s="5" t="n"/>
      <c r="R108" s="4" t="n"/>
      <c r="S108" s="4" t="n"/>
      <c r="T108" s="5" t="n"/>
      <c r="U108" s="8">
        <f>IF(AND(V108=1,D108&lt;&gt;""),IF(D108&gt;=corte,TODAY()-D108,""),"")</f>
        <v/>
      </c>
      <c r="V108" s="8">
        <f>IF(D108="",0,IF(OR(AND(P108&lt;&gt;"",S108=""),AND(N(J108)&gt;0,N(K108)&lt;J108),OR(M108="PENDENTE",M108="PARCIAL"),OR(N108="PENDENTE",N108="PARCIAL")),1,0))</f>
        <v/>
      </c>
      <c r="W108" s="8">
        <f>IF(AND(V108=1,D108&lt;&gt;""),IF(D108&gt;=corte,(B108="CRÍTICO")*1E9+(100000-D108)*10000+10000-ROW(),""),"")</f>
        <v/>
      </c>
      <c r="X108" s="8">
        <f>IF(AND(V108=1,D108=pas_data,E108=pas_turno),10000-ROW(),"")</f>
        <v/>
      </c>
    </row>
    <row r="109">
      <c r="A109" s="3">
        <f>IF(D109="","","TT-"&amp;TEXT(ROW()-1,"00000"))</f>
        <v/>
      </c>
      <c r="B109" s="3">
        <f>IF(D109="","",IF(V109=0,"CONCLUÍDO",IF(D109&lt;corte,"HISTÓRICO",IF(OR(AND(ISNUMBER(R109),R109&lt;TODAY()),AND(OR(N109="PENDENTE",N109="PARCIAL"),D109&lt;TODAY()-1)),"CRÍTICO",IF(OR(AND(P109&lt;&gt;"",S109=""),AND(N109="REALIZADO",M109="PENDENTE"),AND(ISNUMBER(R109),R109=TODAY())),"ATENÇÃO",IF(N(K109)=0,"PENDENTE","EM ANDAMENTO"))))))</f>
        <v/>
      </c>
      <c r="C109" s="3">
        <f>IF(D109="","",IF(V109=0,"🟢 OK",IF(D109&lt;corte,"⚪ HISTÓRICO (sem baixa)",IF(AND(ISNUMBER(R109),R109&lt;TODAY()),"🔴 PRAZO VENCIDO",IF(AND(OR(N109="PENDENTE",N109="PARCIAL"),D109&lt;TODAY()-1),"🔴 EMBARQUE ATRASADO",IF(AND(N109="REALIZADO",M109="PENDENTE"),"🟡 EMBARCADO SEM FATURAR",IF(AND(P109&lt;&gt;"",S109="",OR(Q109="",R109="")),"🟡 PENDÊNCIA SEM RESPONSÁVEL/PRAZO",IF(AND(ISNUMBER(R109),R109=TODAY()),"🟡 VENCE HOJE",IF(AND(P109&lt;&gt;"",S109=""),"🟡 PENDÊNCIA ABERTA",IF(AND(N(J109)&gt;0,N(K109)&lt;J109),"🟡 FALTA EXECUTAR",IF(OR(M109="PENDENTE",M109="PARCIAL"),"🟡 FATURAMENTO PENDENTE","🟡 EMBARQUE PENDENTE")))))))))))</f>
        <v/>
      </c>
      <c r="D109" s="4" t="n">
        <v>46230</v>
      </c>
      <c r="E109" s="5" t="n"/>
      <c r="F109" s="5" t="n"/>
      <c r="G109" s="5" t="inlineStr">
        <is>
          <t>FM</t>
        </is>
      </c>
      <c r="H109" s="5" t="inlineStr">
        <is>
          <t>FM</t>
        </is>
      </c>
      <c r="I109" s="5" t="inlineStr">
        <is>
          <t>TON</t>
        </is>
      </c>
      <c r="J109" s="6" t="n">
        <v>1.079</v>
      </c>
      <c r="K109" s="6" t="n"/>
      <c r="L109" s="7">
        <f>IF(OR(D109="",N(J109)=0),"",MIN(1,N(K109)/J109))</f>
        <v/>
      </c>
      <c r="M109" s="5" t="n"/>
      <c r="N109" s="5" t="n"/>
      <c r="O109" s="5" t="n"/>
      <c r="P109" s="5" t="n"/>
      <c r="Q109" s="5" t="n"/>
      <c r="R109" s="4" t="n"/>
      <c r="S109" s="4" t="n"/>
      <c r="T109" s="5" t="n"/>
      <c r="U109" s="8">
        <f>IF(AND(V109=1,D109&lt;&gt;""),IF(D109&gt;=corte,TODAY()-D109,""),"")</f>
        <v/>
      </c>
      <c r="V109" s="8">
        <f>IF(D109="",0,IF(OR(AND(P109&lt;&gt;"",S109=""),AND(N(J109)&gt;0,N(K109)&lt;J109),OR(M109="PENDENTE",M109="PARCIAL"),OR(N109="PENDENTE",N109="PARCIAL")),1,0))</f>
        <v/>
      </c>
      <c r="W109" s="8">
        <f>IF(AND(V109=1,D109&lt;&gt;""),IF(D109&gt;=corte,(B109="CRÍTICO")*1E9+(100000-D109)*10000+10000-ROW(),""),"")</f>
        <v/>
      </c>
      <c r="X109" s="8">
        <f>IF(AND(V109=1,D109=pas_data,E109=pas_turno),10000-ROW(),"")</f>
        <v/>
      </c>
    </row>
    <row r="110">
      <c r="A110" s="3">
        <f>IF(D110="","","TT-"&amp;TEXT(ROW()-1,"00000"))</f>
        <v/>
      </c>
      <c r="B110" s="3">
        <f>IF(D110="","",IF(V110=0,"CONCLUÍDO",IF(D110&lt;corte,"HISTÓRICO",IF(OR(AND(ISNUMBER(R110),R110&lt;TODAY()),AND(OR(N110="PENDENTE",N110="PARCIAL"),D110&lt;TODAY()-1)),"CRÍTICO",IF(OR(AND(P110&lt;&gt;"",S110=""),AND(N110="REALIZADO",M110="PENDENTE"),AND(ISNUMBER(R110),R110=TODAY())),"ATENÇÃO",IF(N(K110)=0,"PENDENTE","EM ANDAMENTO"))))))</f>
        <v/>
      </c>
      <c r="C110" s="3">
        <f>IF(D110="","",IF(V110=0,"🟢 OK",IF(D110&lt;corte,"⚪ HISTÓRICO (sem baixa)",IF(AND(ISNUMBER(R110),R110&lt;TODAY()),"🔴 PRAZO VENCIDO",IF(AND(OR(N110="PENDENTE",N110="PARCIAL"),D110&lt;TODAY()-1),"🔴 EMBARQUE ATRASADO",IF(AND(N110="REALIZADO",M110="PENDENTE"),"🟡 EMBARCADO SEM FATURAR",IF(AND(P110&lt;&gt;"",S110="",OR(Q110="",R110="")),"🟡 PENDÊNCIA SEM RESPONSÁVEL/PRAZO",IF(AND(ISNUMBER(R110),R110=TODAY()),"🟡 VENCE HOJE",IF(AND(P110&lt;&gt;"",S110=""),"🟡 PENDÊNCIA ABERTA",IF(AND(N(J110)&gt;0,N(K110)&lt;J110),"🟡 FALTA EXECUTAR",IF(OR(M110="PENDENTE",M110="PARCIAL"),"🟡 FATURAMENTO PENDENTE","🟡 EMBARQUE PENDENTE")))))))))))</f>
        <v/>
      </c>
      <c r="D110" s="4" t="n">
        <v>46230</v>
      </c>
      <c r="E110" s="5" t="n"/>
      <c r="F110" s="5" t="n"/>
      <c r="G110" s="5" t="inlineStr">
        <is>
          <t>FM</t>
        </is>
      </c>
      <c r="H110" s="5" t="inlineStr">
        <is>
          <t>FM</t>
        </is>
      </c>
      <c r="I110" s="5" t="inlineStr">
        <is>
          <t>TON</t>
        </is>
      </c>
      <c r="J110" s="6" t="n">
        <v>1.618</v>
      </c>
      <c r="K110" s="6" t="n"/>
      <c r="L110" s="7">
        <f>IF(OR(D110="",N(J110)=0),"",MIN(1,N(K110)/J110))</f>
        <v/>
      </c>
      <c r="M110" s="5" t="n"/>
      <c r="N110" s="5" t="n"/>
      <c r="O110" s="5" t="n"/>
      <c r="P110" s="5" t="n"/>
      <c r="Q110" s="5" t="n"/>
      <c r="R110" s="4" t="n"/>
      <c r="S110" s="4" t="n"/>
      <c r="T110" s="5" t="n"/>
      <c r="U110" s="8">
        <f>IF(AND(V110=1,D110&lt;&gt;""),IF(D110&gt;=corte,TODAY()-D110,""),"")</f>
        <v/>
      </c>
      <c r="V110" s="8">
        <f>IF(D110="",0,IF(OR(AND(P110&lt;&gt;"",S110=""),AND(N(J110)&gt;0,N(K110)&lt;J110),OR(M110="PENDENTE",M110="PARCIAL"),OR(N110="PENDENTE",N110="PARCIAL")),1,0))</f>
        <v/>
      </c>
      <c r="W110" s="8">
        <f>IF(AND(V110=1,D110&lt;&gt;""),IF(D110&gt;=corte,(B110="CRÍTICO")*1E9+(100000-D110)*10000+10000-ROW(),""),"")</f>
        <v/>
      </c>
      <c r="X110" s="8">
        <f>IF(AND(V110=1,D110=pas_data,E110=pas_turno),10000-ROW(),"")</f>
        <v/>
      </c>
    </row>
    <row r="111">
      <c r="A111" s="3">
        <f>IF(D111="","","TT-"&amp;TEXT(ROW()-1,"00000"))</f>
        <v/>
      </c>
      <c r="B111" s="3">
        <f>IF(D111="","",IF(V111=0,"CONCLUÍDO",IF(D111&lt;corte,"HISTÓRICO",IF(OR(AND(ISNUMBER(R111),R111&lt;TODAY()),AND(OR(N111="PENDENTE",N111="PARCIAL"),D111&lt;TODAY()-1)),"CRÍTICO",IF(OR(AND(P111&lt;&gt;"",S111=""),AND(N111="REALIZADO",M111="PENDENTE"),AND(ISNUMBER(R111),R111=TODAY())),"ATENÇÃO",IF(N(K111)=0,"PENDENTE","EM ANDAMENTO"))))))</f>
        <v/>
      </c>
      <c r="C111" s="3">
        <f>IF(D111="","",IF(V111=0,"🟢 OK",IF(D111&lt;corte,"⚪ HISTÓRICO (sem baixa)",IF(AND(ISNUMBER(R111),R111&lt;TODAY()),"🔴 PRAZO VENCIDO",IF(AND(OR(N111="PENDENTE",N111="PARCIAL"),D111&lt;TODAY()-1),"🔴 EMBARQUE ATRASADO",IF(AND(N111="REALIZADO",M111="PENDENTE"),"🟡 EMBARCADO SEM FATURAR",IF(AND(P111&lt;&gt;"",S111="",OR(Q111="",R111="")),"🟡 PENDÊNCIA SEM RESPONSÁVEL/PRAZO",IF(AND(ISNUMBER(R111),R111=TODAY()),"🟡 VENCE HOJE",IF(AND(P111&lt;&gt;"",S111=""),"🟡 PENDÊNCIA ABERTA",IF(AND(N(J111)&gt;0,N(K111)&lt;J111),"🟡 FALTA EXECUTAR",IF(OR(M111="PENDENTE",M111="PARCIAL"),"🟡 FATURAMENTO PENDENTE","🟡 EMBARQUE PENDENTE")))))))))))</f>
        <v/>
      </c>
      <c r="D111" s="4" t="n">
        <v>46227</v>
      </c>
      <c r="E111" s="5" t="inlineStr">
        <is>
          <t>B</t>
        </is>
      </c>
      <c r="F111" s="5" t="inlineStr">
        <is>
          <t>THIAGO</t>
        </is>
      </c>
      <c r="G111" s="5" t="inlineStr">
        <is>
          <t>FOB</t>
        </is>
      </c>
      <c r="H111" s="5" t="inlineStr">
        <is>
          <t>FOB</t>
        </is>
      </c>
      <c r="I111" s="5" t="inlineStr">
        <is>
          <t>TON</t>
        </is>
      </c>
      <c r="J111" s="6" t="n">
        <v>9.446</v>
      </c>
      <c r="K111" s="6" t="n">
        <v>9.446</v>
      </c>
      <c r="L111" s="7">
        <f>IF(OR(D111="",N(J111)=0),"",MIN(1,N(K111)/J111))</f>
        <v/>
      </c>
      <c r="M111" s="5" t="inlineStr">
        <is>
          <t>FATURADO</t>
        </is>
      </c>
      <c r="N111" s="5" t="inlineStr">
        <is>
          <t>REALIZADO</t>
        </is>
      </c>
      <c r="O111" s="5" t="n"/>
      <c r="P111" s="5" t="n"/>
      <c r="Q111" s="5" t="n"/>
      <c r="R111" s="4" t="n"/>
      <c r="S111" s="4" t="n"/>
      <c r="T111" s="5" t="n"/>
      <c r="U111" s="8">
        <f>IF(AND(V111=1,D111&lt;&gt;""),IF(D111&gt;=corte,TODAY()-D111,""),"")</f>
        <v/>
      </c>
      <c r="V111" s="8">
        <f>IF(D111="",0,IF(OR(AND(P111&lt;&gt;"",S111=""),AND(N(J111)&gt;0,N(K111)&lt;J111),OR(M111="PENDENTE",M111="PARCIAL"),OR(N111="PENDENTE",N111="PARCIAL")),1,0))</f>
        <v/>
      </c>
      <c r="W111" s="8">
        <f>IF(AND(V111=1,D111&lt;&gt;""),IF(D111&gt;=corte,(B111="CRÍTICO")*1E9+(100000-D111)*10000+10000-ROW(),""),"")</f>
        <v/>
      </c>
      <c r="X111" s="8">
        <f>IF(AND(V111=1,D111=pas_data,E111=pas_turno),10000-ROW(),"")</f>
        <v/>
      </c>
    </row>
    <row r="112">
      <c r="A112" s="3">
        <f>IF(D112="","","TT-"&amp;TEXT(ROW()-1,"00000"))</f>
        <v/>
      </c>
      <c r="B112" s="3">
        <f>IF(D112="","",IF(V112=0,"CONCLUÍDO",IF(D112&lt;corte,"HISTÓRICO",IF(OR(AND(ISNUMBER(R112),R112&lt;TODAY()),AND(OR(N112="PENDENTE",N112="PARCIAL"),D112&lt;TODAY()-1)),"CRÍTICO",IF(OR(AND(P112&lt;&gt;"",S112=""),AND(N112="REALIZADO",M112="PENDENTE"),AND(ISNUMBER(R112),R112=TODAY())),"ATENÇÃO",IF(N(K112)=0,"PENDENTE","EM ANDAMENTO"))))))</f>
        <v/>
      </c>
      <c r="C112" s="3">
        <f>IF(D112="","",IF(V112=0,"🟢 OK",IF(D112&lt;corte,"⚪ HISTÓRICO (sem baixa)",IF(AND(ISNUMBER(R112),R112&lt;TODAY()),"🔴 PRAZO VENCIDO",IF(AND(OR(N112="PENDENTE",N112="PARCIAL"),D112&lt;TODAY()-1),"🔴 EMBARQUE ATRASADO",IF(AND(N112="REALIZADO",M112="PENDENTE"),"🟡 EMBARCADO SEM FATURAR",IF(AND(P112&lt;&gt;"",S112="",OR(Q112="",R112="")),"🟡 PENDÊNCIA SEM RESPONSÁVEL/PRAZO",IF(AND(ISNUMBER(R112),R112=TODAY()),"🟡 VENCE HOJE",IF(AND(P112&lt;&gt;"",S112=""),"🟡 PENDÊNCIA ABERTA",IF(AND(N(J112)&gt;0,N(K112)&lt;J112),"🟡 FALTA EXECUTAR",IF(OR(M112="PENDENTE",M112="PARCIAL"),"🟡 FATURAMENTO PENDENTE","🟡 EMBARQUE PENDENTE")))))))))))</f>
        <v/>
      </c>
      <c r="D112" s="4" t="n">
        <v>46227</v>
      </c>
      <c r="E112" s="5" t="inlineStr">
        <is>
          <t>B</t>
        </is>
      </c>
      <c r="F112" s="5" t="inlineStr">
        <is>
          <t>THIAGO</t>
        </is>
      </c>
      <c r="G112" s="5" t="inlineStr">
        <is>
          <t>GRANEL</t>
        </is>
      </c>
      <c r="H112" s="5" t="n"/>
      <c r="I112" s="5" t="inlineStr">
        <is>
          <t>TON</t>
        </is>
      </c>
      <c r="J112" s="6" t="n">
        <v>14.77</v>
      </c>
      <c r="K112" s="6" t="n">
        <v>14.77</v>
      </c>
      <c r="L112" s="7">
        <f>IF(OR(D112="",N(J112)=0),"",MIN(1,N(K112)/J112))</f>
        <v/>
      </c>
      <c r="M112" s="5" t="inlineStr">
        <is>
          <t>FATURADO</t>
        </is>
      </c>
      <c r="N112" s="5" t="inlineStr">
        <is>
          <t>REALIZADO</t>
        </is>
      </c>
      <c r="O112" s="5" t="inlineStr">
        <is>
          <t>JSL</t>
        </is>
      </c>
      <c r="P112" s="5" t="n"/>
      <c r="Q112" s="5" t="n"/>
      <c r="R112" s="4" t="n"/>
      <c r="S112" s="4" t="n"/>
      <c r="T112" s="5" t="n"/>
      <c r="U112" s="8">
        <f>IF(AND(V112=1,D112&lt;&gt;""),IF(D112&gt;=corte,TODAY()-D112,""),"")</f>
        <v/>
      </c>
      <c r="V112" s="8">
        <f>IF(D112="",0,IF(OR(AND(P112&lt;&gt;"",S112=""),AND(N(J112)&gt;0,N(K112)&lt;J112),OR(M112="PENDENTE",M112="PARCIAL"),OR(N112="PENDENTE",N112="PARCIAL")),1,0))</f>
        <v/>
      </c>
      <c r="W112" s="8">
        <f>IF(AND(V112=1,D112&lt;&gt;""),IF(D112&gt;=corte,(B112="CRÍTICO")*1E9+(100000-D112)*10000+10000-ROW(),""),"")</f>
        <v/>
      </c>
      <c r="X112" s="8">
        <f>IF(AND(V112=1,D112=pas_data,E112=pas_turno),10000-ROW(),"")</f>
        <v/>
      </c>
    </row>
    <row r="113">
      <c r="A113" s="3">
        <f>IF(D113="","","TT-"&amp;TEXT(ROW()-1,"00000"))</f>
        <v/>
      </c>
      <c r="B113" s="3">
        <f>IF(D113="","",IF(V113=0,"CONCLUÍDO",IF(D113&lt;corte,"HISTÓRICO",IF(OR(AND(ISNUMBER(R113),R113&lt;TODAY()),AND(OR(N113="PENDENTE",N113="PARCIAL"),D113&lt;TODAY()-1)),"CRÍTICO",IF(OR(AND(P113&lt;&gt;"",S113=""),AND(N113="REALIZADO",M113="PENDENTE"),AND(ISNUMBER(R113),R113=TODAY())),"ATENÇÃO",IF(N(K113)=0,"PENDENTE","EM ANDAMENTO"))))))</f>
        <v/>
      </c>
      <c r="C113" s="3">
        <f>IF(D113="","",IF(V113=0,"🟢 OK",IF(D113&lt;corte,"⚪ HISTÓRICO (sem baixa)",IF(AND(ISNUMBER(R113),R113&lt;TODAY()),"🔴 PRAZO VENCIDO",IF(AND(OR(N113="PENDENTE",N113="PARCIAL"),D113&lt;TODAY()-1),"🔴 EMBARQUE ATRASADO",IF(AND(N113="REALIZADO",M113="PENDENTE"),"🟡 EMBARCADO SEM FATURAR",IF(AND(P113&lt;&gt;"",S113="",OR(Q113="",R113="")),"🟡 PENDÊNCIA SEM RESPONSÁVEL/PRAZO",IF(AND(ISNUMBER(R113),R113=TODAY()),"🟡 VENCE HOJE",IF(AND(P113&lt;&gt;"",S113=""),"🟡 PENDÊNCIA ABERTA",IF(AND(N(J113)&gt;0,N(K113)&lt;J113),"🟡 FALTA EXECUTAR",IF(OR(M113="PENDENTE",M113="PARCIAL"),"🟡 FATURAMENTO PENDENTE","🟡 EMBARQUE PENDENTE")))))))))))</f>
        <v/>
      </c>
      <c r="D113" s="4" t="n">
        <v>46227</v>
      </c>
      <c r="E113" s="5" t="inlineStr">
        <is>
          <t>B</t>
        </is>
      </c>
      <c r="F113" s="5" t="inlineStr">
        <is>
          <t>THIAGO</t>
        </is>
      </c>
      <c r="G113" s="5" t="inlineStr">
        <is>
          <t>FLOOR</t>
        </is>
      </c>
      <c r="H113" s="5" t="n"/>
      <c r="I113" s="5" t="inlineStr">
        <is>
          <t>PALETE</t>
        </is>
      </c>
      <c r="J113" s="6" t="n">
        <v>50</v>
      </c>
      <c r="K113" s="6" t="n">
        <v>50</v>
      </c>
      <c r="L113" s="7">
        <f>IF(OR(D113="",N(J113)=0),"",MIN(1,N(K113)/J113))</f>
        <v/>
      </c>
      <c r="M113" s="5" t="n"/>
      <c r="N113" s="5" t="n"/>
      <c r="O113" s="5" t="n"/>
      <c r="P113" s="5" t="n"/>
      <c r="Q113" s="5" t="n"/>
      <c r="R113" s="4" t="n"/>
      <c r="S113" s="4" t="n"/>
      <c r="T113" s="5" t="n"/>
      <c r="U113" s="8">
        <f>IF(AND(V113=1,D113&lt;&gt;""),IF(D113&gt;=corte,TODAY()-D113,""),"")</f>
        <v/>
      </c>
      <c r="V113" s="8">
        <f>IF(D113="",0,IF(OR(AND(P113&lt;&gt;"",S113=""),AND(N(J113)&gt;0,N(K113)&lt;J113),OR(M113="PENDENTE",M113="PARCIAL"),OR(N113="PENDENTE",N113="PARCIAL")),1,0))</f>
        <v/>
      </c>
      <c r="W113" s="8">
        <f>IF(AND(V113=1,D113&lt;&gt;""),IF(D113&gt;=corte,(B113="CRÍTICO")*1E9+(100000-D113)*10000+10000-ROW(),""),"")</f>
        <v/>
      </c>
      <c r="X113" s="8">
        <f>IF(AND(V113=1,D113=pas_data,E113=pas_turno),10000-ROW(),"")</f>
        <v/>
      </c>
    </row>
    <row r="114">
      <c r="A114" s="3">
        <f>IF(D114="","","TT-"&amp;TEXT(ROW()-1,"00000"))</f>
        <v/>
      </c>
      <c r="B114" s="3">
        <f>IF(D114="","",IF(V114=0,"CONCLUÍDO",IF(D114&lt;corte,"HISTÓRICO",IF(OR(AND(ISNUMBER(R114),R114&lt;TODAY()),AND(OR(N114="PENDENTE",N114="PARCIAL"),D114&lt;TODAY()-1)),"CRÍTICO",IF(OR(AND(P114&lt;&gt;"",S114=""),AND(N114="REALIZADO",M114="PENDENTE"),AND(ISNUMBER(R114),R114=TODAY())),"ATENÇÃO",IF(N(K114)=0,"PENDENTE","EM ANDAMENTO"))))))</f>
        <v/>
      </c>
      <c r="C114" s="3">
        <f>IF(D114="","",IF(V114=0,"🟢 OK",IF(D114&lt;corte,"⚪ HISTÓRICO (sem baixa)",IF(AND(ISNUMBER(R114),R114&lt;TODAY()),"🔴 PRAZO VENCIDO",IF(AND(OR(N114="PENDENTE",N114="PARCIAL"),D114&lt;TODAY()-1),"🔴 EMBARQUE ATRASADO",IF(AND(N114="REALIZADO",M114="PENDENTE"),"🟡 EMBARCADO SEM FATURAR",IF(AND(P114&lt;&gt;"",S114="",OR(Q114="",R114="")),"🟡 PENDÊNCIA SEM RESPONSÁVEL/PRAZO",IF(AND(ISNUMBER(R114),R114=TODAY()),"🟡 VENCE HOJE",IF(AND(P114&lt;&gt;"",S114=""),"🟡 PENDÊNCIA ABERTA",IF(AND(N(J114)&gt;0,N(K114)&lt;J114),"🟡 FALTA EXECUTAR",IF(OR(M114="PENDENTE",M114="PARCIAL"),"🟡 FATURAMENTO PENDENTE","🟡 EMBARQUE PENDENTE")))))))))))</f>
        <v/>
      </c>
      <c r="D114" s="4" t="n">
        <v>46228</v>
      </c>
      <c r="E114" s="5" t="inlineStr">
        <is>
          <t>A</t>
        </is>
      </c>
      <c r="F114" s="5" t="inlineStr">
        <is>
          <t>TATIANE</t>
        </is>
      </c>
      <c r="G114" s="5" t="inlineStr">
        <is>
          <t>GM</t>
        </is>
      </c>
      <c r="H114" s="5" t="inlineStr">
        <is>
          <t>C.O</t>
        </is>
      </c>
      <c r="I114" s="5" t="inlineStr">
        <is>
          <t>TON</t>
        </is>
      </c>
      <c r="J114" s="6" t="n">
        <v>34.189</v>
      </c>
      <c r="K114" s="6" t="n">
        <v>34.189</v>
      </c>
      <c r="L114" s="7">
        <f>IF(OR(D114="",N(J114)=0),"",MIN(1,N(K114)/J114))</f>
        <v/>
      </c>
      <c r="M114" s="5" t="inlineStr">
        <is>
          <t>FATURADO</t>
        </is>
      </c>
      <c r="N114" s="5" t="inlineStr">
        <is>
          <t>PENDENTE</t>
        </is>
      </c>
      <c r="O114" s="5" t="n"/>
      <c r="P114" s="5" t="inlineStr">
        <is>
          <t>AGUARDANDO EMBARQUE</t>
        </is>
      </c>
      <c r="Q114" s="5" t="n"/>
      <c r="R114" s="4" t="n"/>
      <c r="S114" s="4" t="n"/>
      <c r="T114" s="5" t="inlineStr">
        <is>
          <t>AGUARDANDO EMBARQUE</t>
        </is>
      </c>
      <c r="U114" s="8">
        <f>IF(AND(V114=1,D114&lt;&gt;""),IF(D114&gt;=corte,TODAY()-D114,""),"")</f>
        <v/>
      </c>
      <c r="V114" s="8">
        <f>IF(D114="",0,IF(OR(AND(P114&lt;&gt;"",S114=""),AND(N(J114)&gt;0,N(K114)&lt;J114),OR(M114="PENDENTE",M114="PARCIAL"),OR(N114="PENDENTE",N114="PARCIAL")),1,0))</f>
        <v/>
      </c>
      <c r="W114" s="8">
        <f>IF(AND(V114=1,D114&lt;&gt;""),IF(D114&gt;=corte,(B114="CRÍTICO")*1E9+(100000-D114)*10000+10000-ROW(),""),"")</f>
        <v/>
      </c>
      <c r="X114" s="8">
        <f>IF(AND(V114=1,D114=pas_data,E114=pas_turno),10000-ROW(),"")</f>
        <v/>
      </c>
    </row>
    <row r="115">
      <c r="A115" s="3">
        <f>IF(D115="","","TT-"&amp;TEXT(ROW()-1,"00000"))</f>
        <v/>
      </c>
      <c r="B115" s="3">
        <f>IF(D115="","",IF(V115=0,"CONCLUÍDO",IF(D115&lt;corte,"HISTÓRICO",IF(OR(AND(ISNUMBER(R115),R115&lt;TODAY()),AND(OR(N115="PENDENTE",N115="PARCIAL"),D115&lt;TODAY()-1)),"CRÍTICO",IF(OR(AND(P115&lt;&gt;"",S115=""),AND(N115="REALIZADO",M115="PENDENTE"),AND(ISNUMBER(R115),R115=TODAY())),"ATENÇÃO",IF(N(K115)=0,"PENDENTE","EM ANDAMENTO"))))))</f>
        <v/>
      </c>
      <c r="C115" s="3">
        <f>IF(D115="","",IF(V115=0,"🟢 OK",IF(D115&lt;corte,"⚪ HISTÓRICO (sem baixa)",IF(AND(ISNUMBER(R115),R115&lt;TODAY()),"🔴 PRAZO VENCIDO",IF(AND(OR(N115="PENDENTE",N115="PARCIAL"),D115&lt;TODAY()-1),"🔴 EMBARQUE ATRASADO",IF(AND(N115="REALIZADO",M115="PENDENTE"),"🟡 EMBARCADO SEM FATURAR",IF(AND(P115&lt;&gt;"",S115="",OR(Q115="",R115="")),"🟡 PENDÊNCIA SEM RESPONSÁVEL/PRAZO",IF(AND(ISNUMBER(R115),R115=TODAY()),"🟡 VENCE HOJE",IF(AND(P115&lt;&gt;"",S115=""),"🟡 PENDÊNCIA ABERTA",IF(AND(N(J115)&gt;0,N(K115)&lt;J115),"🟡 FALTA EXECUTAR",IF(OR(M115="PENDENTE",M115="PARCIAL"),"🟡 FATURAMENTO PENDENTE","🟡 EMBARQUE PENDENTE")))))))))))</f>
        <v/>
      </c>
      <c r="D115" s="4" t="n">
        <v>46228</v>
      </c>
      <c r="E115" s="5" t="n"/>
      <c r="F115" s="5" t="n"/>
      <c r="G115" s="5" t="inlineStr">
        <is>
          <t>FOB</t>
        </is>
      </c>
      <c r="H115" s="5" t="inlineStr">
        <is>
          <t>FOB</t>
        </is>
      </c>
      <c r="I115" s="5" t="inlineStr">
        <is>
          <t>TON</t>
        </is>
      </c>
      <c r="J115" s="6" t="n">
        <v>10.321</v>
      </c>
      <c r="K115" s="6" t="n">
        <v>10.321</v>
      </c>
      <c r="L115" s="7">
        <f>IF(OR(D115="",N(J115)=0),"",MIN(1,N(K115)/J115))</f>
        <v/>
      </c>
      <c r="M115" s="5" t="inlineStr">
        <is>
          <t>PENDENTE</t>
        </is>
      </c>
      <c r="N115" s="5" t="inlineStr">
        <is>
          <t>PENDENTE</t>
        </is>
      </c>
      <c r="O115" s="5" t="n"/>
      <c r="P115" s="5" t="n"/>
      <c r="Q115" s="5" t="n"/>
      <c r="R115" s="4" t="n"/>
      <c r="S115" s="4" t="n"/>
      <c r="T115" s="5" t="inlineStr">
        <is>
          <t>STA 27/07</t>
        </is>
      </c>
      <c r="U115" s="8">
        <f>IF(AND(V115=1,D115&lt;&gt;""),IF(D115&gt;=corte,TODAY()-D115,""),"")</f>
        <v/>
      </c>
      <c r="V115" s="8">
        <f>IF(D115="",0,IF(OR(AND(P115&lt;&gt;"",S115=""),AND(N(J115)&gt;0,N(K115)&lt;J115),OR(M115="PENDENTE",M115="PARCIAL"),OR(N115="PENDENTE",N115="PARCIAL")),1,0))</f>
        <v/>
      </c>
      <c r="W115" s="8">
        <f>IF(AND(V115=1,D115&lt;&gt;""),IF(D115&gt;=corte,(B115="CRÍTICO")*1E9+(100000-D115)*10000+10000-ROW(),""),"")</f>
        <v/>
      </c>
      <c r="X115" s="8">
        <f>IF(AND(V115=1,D115=pas_data,E115=pas_turno),10000-ROW(),"")</f>
        <v/>
      </c>
    </row>
    <row r="116">
      <c r="A116" s="3">
        <f>IF(D116="","","TT-"&amp;TEXT(ROW()-1,"00000"))</f>
        <v/>
      </c>
      <c r="B116" s="3">
        <f>IF(D116="","",IF(V116=0,"CONCLUÍDO",IF(D116&lt;corte,"HISTÓRICO",IF(OR(AND(ISNUMBER(R116),R116&lt;TODAY()),AND(OR(N116="PENDENTE",N116="PARCIAL"),D116&lt;TODAY()-1)),"CRÍTICO",IF(OR(AND(P116&lt;&gt;"",S116=""),AND(N116="REALIZADO",M116="PENDENTE"),AND(ISNUMBER(R116),R116=TODAY())),"ATENÇÃO",IF(N(K116)=0,"PENDENTE","EM ANDAMENTO"))))))</f>
        <v/>
      </c>
      <c r="C116" s="3">
        <f>IF(D116="","",IF(V116=0,"🟢 OK",IF(D116&lt;corte,"⚪ HISTÓRICO (sem baixa)",IF(AND(ISNUMBER(R116),R116&lt;TODAY()),"🔴 PRAZO VENCIDO",IF(AND(OR(N116="PENDENTE",N116="PARCIAL"),D116&lt;TODAY()-1),"🔴 EMBARQUE ATRASADO",IF(AND(N116="REALIZADO",M116="PENDENTE"),"🟡 EMBARCADO SEM FATURAR",IF(AND(P116&lt;&gt;"",S116="",OR(Q116="",R116="")),"🟡 PENDÊNCIA SEM RESPONSÁVEL/PRAZO",IF(AND(ISNUMBER(R116),R116=TODAY()),"🟡 VENCE HOJE",IF(AND(P116&lt;&gt;"",S116=""),"🟡 PENDÊNCIA ABERTA",IF(AND(N(J116)&gt;0,N(K116)&lt;J116),"🟡 FALTA EXECUTAR",IF(OR(M116="PENDENTE",M116="PARCIAL"),"🟡 FATURAMENTO PENDENTE","🟡 EMBARQUE PENDENTE")))))))))))</f>
        <v/>
      </c>
      <c r="D116" s="4" t="n">
        <v>46228</v>
      </c>
      <c r="E116" s="5" t="inlineStr">
        <is>
          <t>A</t>
        </is>
      </c>
      <c r="F116" s="5" t="inlineStr">
        <is>
          <t>TATIANE</t>
        </is>
      </c>
      <c r="G116" s="5" t="inlineStr">
        <is>
          <t>GM</t>
        </is>
      </c>
      <c r="H116" s="5" t="inlineStr">
        <is>
          <t>RJ</t>
        </is>
      </c>
      <c r="I116" s="5" t="inlineStr">
        <is>
          <t>TON</t>
        </is>
      </c>
      <c r="J116" s="6" t="n">
        <v>18.504</v>
      </c>
      <c r="K116" s="6" t="n">
        <v>18.504</v>
      </c>
      <c r="L116" s="7">
        <f>IF(OR(D116="",N(J116)=0),"",MIN(1,N(K116)/J116))</f>
        <v/>
      </c>
      <c r="M116" s="5" t="inlineStr">
        <is>
          <t>FATURADO</t>
        </is>
      </c>
      <c r="N116" s="5" t="inlineStr">
        <is>
          <t>PENDENTE</t>
        </is>
      </c>
      <c r="O116" s="5" t="n"/>
      <c r="P116" s="5" t="n"/>
      <c r="Q116" s="5" t="n"/>
      <c r="R116" s="4" t="n"/>
      <c r="S116" s="4" t="n"/>
      <c r="T116" s="5" t="inlineStr">
        <is>
          <t>RJ 01</t>
        </is>
      </c>
      <c r="U116" s="8">
        <f>IF(AND(V116=1,D116&lt;&gt;""),IF(D116&gt;=corte,TODAY()-D116,""),"")</f>
        <v/>
      </c>
      <c r="V116" s="8">
        <f>IF(D116="",0,IF(OR(AND(P116&lt;&gt;"",S116=""),AND(N(J116)&gt;0,N(K116)&lt;J116),OR(M116="PENDENTE",M116="PARCIAL"),OR(N116="PENDENTE",N116="PARCIAL")),1,0))</f>
        <v/>
      </c>
      <c r="W116" s="8">
        <f>IF(AND(V116=1,D116&lt;&gt;""),IF(D116&gt;=corte,(B116="CRÍTICO")*1E9+(100000-D116)*10000+10000-ROW(),""),"")</f>
        <v/>
      </c>
      <c r="X116" s="8">
        <f>IF(AND(V116=1,D116=pas_data,E116=pas_turno),10000-ROW(),"")</f>
        <v/>
      </c>
    </row>
    <row r="117">
      <c r="A117" s="3">
        <f>IF(D117="","","TT-"&amp;TEXT(ROW()-1,"00000"))</f>
        <v/>
      </c>
      <c r="B117" s="3">
        <f>IF(D117="","",IF(V117=0,"CONCLUÍDO",IF(D117&lt;corte,"HISTÓRICO",IF(OR(AND(ISNUMBER(R117),R117&lt;TODAY()),AND(OR(N117="PENDENTE",N117="PARCIAL"),D117&lt;TODAY()-1)),"CRÍTICO",IF(OR(AND(P117&lt;&gt;"",S117=""),AND(N117="REALIZADO",M117="PENDENTE"),AND(ISNUMBER(R117),R117=TODAY())),"ATENÇÃO",IF(N(K117)=0,"PENDENTE","EM ANDAMENTO"))))))</f>
        <v/>
      </c>
      <c r="C117" s="3">
        <f>IF(D117="","",IF(V117=0,"🟢 OK",IF(D117&lt;corte,"⚪ HISTÓRICO (sem baixa)",IF(AND(ISNUMBER(R117),R117&lt;TODAY()),"🔴 PRAZO VENCIDO",IF(AND(OR(N117="PENDENTE",N117="PARCIAL"),D117&lt;TODAY()-1),"🔴 EMBARQUE ATRASADO",IF(AND(N117="REALIZADO",M117="PENDENTE"),"🟡 EMBARCADO SEM FATURAR",IF(AND(P117&lt;&gt;"",S117="",OR(Q117="",R117="")),"🟡 PENDÊNCIA SEM RESPONSÁVEL/PRAZO",IF(AND(ISNUMBER(R117),R117=TODAY()),"🟡 VENCE HOJE",IF(AND(P117&lt;&gt;"",S117=""),"🟡 PENDÊNCIA ABERTA",IF(AND(N(J117)&gt;0,N(K117)&lt;J117),"🟡 FALTA EXECUTAR",IF(OR(M117="PENDENTE",M117="PARCIAL"),"🟡 FATURAMENTO PENDENTE","🟡 EMBARQUE PENDENTE")))))))))))</f>
        <v/>
      </c>
      <c r="D117" s="4" t="n">
        <v>46228</v>
      </c>
      <c r="E117" s="5" t="n"/>
      <c r="F117" s="5" t="n"/>
      <c r="G117" s="5" t="inlineStr">
        <is>
          <t>GM</t>
        </is>
      </c>
      <c r="H117" s="5" t="inlineStr">
        <is>
          <t>RJ</t>
        </is>
      </c>
      <c r="I117" s="5" t="inlineStr">
        <is>
          <t>TON</t>
        </is>
      </c>
      <c r="J117" s="6" t="n">
        <v>12.084</v>
      </c>
      <c r="K117" s="6" t="n"/>
      <c r="L117" s="7">
        <f>IF(OR(D117="",N(J117)=0),"",MIN(1,N(K117)/J117))</f>
        <v/>
      </c>
      <c r="M117" s="5" t="inlineStr">
        <is>
          <t>PENDENTE</t>
        </is>
      </c>
      <c r="N117" s="5" t="inlineStr">
        <is>
          <t>PENDENTE</t>
        </is>
      </c>
      <c r="O117" s="5" t="n"/>
      <c r="P117" s="5" t="inlineStr">
        <is>
          <t>RJ 02 - INICIAR DO ZERO</t>
        </is>
      </c>
      <c r="Q117" s="5" t="n"/>
      <c r="R117" s="4" t="n"/>
      <c r="S117" s="4" t="n"/>
      <c r="T117" s="5" t="inlineStr">
        <is>
          <t>RJ 02 - INICIAR DO ZERO</t>
        </is>
      </c>
      <c r="U117" s="8">
        <f>IF(AND(V117=1,D117&lt;&gt;""),IF(D117&gt;=corte,TODAY()-D117,""),"")</f>
        <v/>
      </c>
      <c r="V117" s="8">
        <f>IF(D117="",0,IF(OR(AND(P117&lt;&gt;"",S117=""),AND(N(J117)&gt;0,N(K117)&lt;J117),OR(M117="PENDENTE",M117="PARCIAL"),OR(N117="PENDENTE",N117="PARCIAL")),1,0))</f>
        <v/>
      </c>
      <c r="W117" s="8">
        <f>IF(AND(V117=1,D117&lt;&gt;""),IF(D117&gt;=corte,(B117="CRÍTICO")*1E9+(100000-D117)*10000+10000-ROW(),""),"")</f>
        <v/>
      </c>
      <c r="X117" s="8">
        <f>IF(AND(V117=1,D117=pas_data,E117=pas_turno),10000-ROW(),"")</f>
        <v/>
      </c>
    </row>
    <row r="118">
      <c r="A118" s="3">
        <f>IF(D118="","","TT-"&amp;TEXT(ROW()-1,"00000"))</f>
        <v/>
      </c>
      <c r="B118" s="3">
        <f>IF(D118="","",IF(V118=0,"CONCLUÍDO",IF(D118&lt;corte,"HISTÓRICO",IF(OR(AND(ISNUMBER(R118),R118&lt;TODAY()),AND(OR(N118="PENDENTE",N118="PARCIAL"),D118&lt;TODAY()-1)),"CRÍTICO",IF(OR(AND(P118&lt;&gt;"",S118=""),AND(N118="REALIZADO",M118="PENDENTE"),AND(ISNUMBER(R118),R118=TODAY())),"ATENÇÃO",IF(N(K118)=0,"PENDENTE","EM ANDAMENTO"))))))</f>
        <v/>
      </c>
      <c r="C118" s="3">
        <f>IF(D118="","",IF(V118=0,"🟢 OK",IF(D118&lt;corte,"⚪ HISTÓRICO (sem baixa)",IF(AND(ISNUMBER(R118),R118&lt;TODAY()),"🔴 PRAZO VENCIDO",IF(AND(OR(N118="PENDENTE",N118="PARCIAL"),D118&lt;TODAY()-1),"🔴 EMBARQUE ATRASADO",IF(AND(N118="REALIZADO",M118="PENDENTE"),"🟡 EMBARCADO SEM FATURAR",IF(AND(P118&lt;&gt;"",S118="",OR(Q118="",R118="")),"🟡 PENDÊNCIA SEM RESPONSÁVEL/PRAZO",IF(AND(ISNUMBER(R118),R118=TODAY()),"🟡 VENCE HOJE",IF(AND(P118&lt;&gt;"",S118=""),"🟡 PENDÊNCIA ABERTA",IF(AND(N(J118)&gt;0,N(K118)&lt;J118),"🟡 FALTA EXECUTAR",IF(OR(M118="PENDENTE",M118="PARCIAL"),"🟡 FATURAMENTO PENDENTE","🟡 EMBARQUE PENDENTE")))))))))))</f>
        <v/>
      </c>
      <c r="D118" s="4" t="n">
        <v>46228</v>
      </c>
      <c r="E118" s="5" t="inlineStr">
        <is>
          <t>B</t>
        </is>
      </c>
      <c r="F118" s="5" t="inlineStr">
        <is>
          <t>THIAGO</t>
        </is>
      </c>
      <c r="G118" s="5" t="inlineStr">
        <is>
          <t>FOB</t>
        </is>
      </c>
      <c r="H118" s="5" t="inlineStr">
        <is>
          <t>FOB</t>
        </is>
      </c>
      <c r="I118" s="5" t="inlineStr">
        <is>
          <t>TON</t>
        </is>
      </c>
      <c r="J118" s="6" t="n">
        <v>7.659</v>
      </c>
      <c r="K118" s="6" t="n">
        <v>7.659</v>
      </c>
      <c r="L118" s="7">
        <f>IF(OR(D118="",N(J118)=0),"",MIN(1,N(K118)/J118))</f>
        <v/>
      </c>
      <c r="M118" s="5" t="inlineStr">
        <is>
          <t>FATURADO</t>
        </is>
      </c>
      <c r="N118" s="5" t="inlineStr">
        <is>
          <t>PENDENTE</t>
        </is>
      </c>
      <c r="O118" s="5" t="n"/>
      <c r="P118" s="5" t="n"/>
      <c r="Q118" s="5" t="n"/>
      <c r="R118" s="4" t="n"/>
      <c r="S118" s="4" t="n"/>
      <c r="T118" s="5" t="inlineStr">
        <is>
          <t>LUZIA MEIRE 25/07 - OT GERADAS</t>
        </is>
      </c>
      <c r="U118" s="8">
        <f>IF(AND(V118=1,D118&lt;&gt;""),IF(D118&gt;=corte,TODAY()-D118,""),"")</f>
        <v/>
      </c>
      <c r="V118" s="8">
        <f>IF(D118="",0,IF(OR(AND(P118&lt;&gt;"",S118=""),AND(N(J118)&gt;0,N(K118)&lt;J118),OR(M118="PENDENTE",M118="PARCIAL"),OR(N118="PENDENTE",N118="PARCIAL")),1,0))</f>
        <v/>
      </c>
      <c r="W118" s="8">
        <f>IF(AND(V118=1,D118&lt;&gt;""),IF(D118&gt;=corte,(B118="CRÍTICO")*1E9+(100000-D118)*10000+10000-ROW(),""),"")</f>
        <v/>
      </c>
      <c r="X118" s="8">
        <f>IF(AND(V118=1,D118=pas_data,E118=pas_turno),10000-ROW(),"")</f>
        <v/>
      </c>
    </row>
    <row r="119">
      <c r="A119" s="3">
        <f>IF(D119="","","TT-"&amp;TEXT(ROW()-1,"00000"))</f>
        <v/>
      </c>
      <c r="B119" s="3">
        <f>IF(D119="","",IF(V119=0,"CONCLUÍDO",IF(D119&lt;corte,"HISTÓRICO",IF(OR(AND(ISNUMBER(R119),R119&lt;TODAY()),AND(OR(N119="PENDENTE",N119="PARCIAL"),D119&lt;TODAY()-1)),"CRÍTICO",IF(OR(AND(P119&lt;&gt;"",S119=""),AND(N119="REALIZADO",M119="PENDENTE"),AND(ISNUMBER(R119),R119=TODAY())),"ATENÇÃO",IF(N(K119)=0,"PENDENTE","EM ANDAMENTO"))))))</f>
        <v/>
      </c>
      <c r="C119" s="3">
        <f>IF(D119="","",IF(V119=0,"🟢 OK",IF(D119&lt;corte,"⚪ HISTÓRICO (sem baixa)",IF(AND(ISNUMBER(R119),R119&lt;TODAY()),"🔴 PRAZO VENCIDO",IF(AND(OR(N119="PENDENTE",N119="PARCIAL"),D119&lt;TODAY()-1),"🔴 EMBARQUE ATRASADO",IF(AND(N119="REALIZADO",M119="PENDENTE"),"🟡 EMBARCADO SEM FATURAR",IF(AND(P119&lt;&gt;"",S119="",OR(Q119="",R119="")),"🟡 PENDÊNCIA SEM RESPONSÁVEL/PRAZO",IF(AND(ISNUMBER(R119),R119=TODAY()),"🟡 VENCE HOJE",IF(AND(P119&lt;&gt;"",S119=""),"🟡 PENDÊNCIA ABERTA",IF(AND(N(J119)&gt;0,N(K119)&lt;J119),"🟡 FALTA EXECUTAR",IF(OR(M119="PENDENTE",M119="PARCIAL"),"🟡 FATURAMENTO PENDENTE","🟡 EMBARQUE PENDENTE")))))))))))</f>
        <v/>
      </c>
      <c r="D119" s="4" t="n">
        <v>46228</v>
      </c>
      <c r="E119" s="5" t="inlineStr">
        <is>
          <t>B</t>
        </is>
      </c>
      <c r="F119" s="5" t="inlineStr">
        <is>
          <t>THIAGO</t>
        </is>
      </c>
      <c r="G119" s="5" t="inlineStr">
        <is>
          <t>FOB</t>
        </is>
      </c>
      <c r="H119" s="5" t="inlineStr">
        <is>
          <t>FOB</t>
        </is>
      </c>
      <c r="I119" s="5" t="inlineStr">
        <is>
          <t>TON</t>
        </is>
      </c>
      <c r="J119" s="6" t="n">
        <v>9.028</v>
      </c>
      <c r="K119" s="6" t="n">
        <v>9.028</v>
      </c>
      <c r="L119" s="7">
        <f>IF(OR(D119="",N(J119)=0),"",MIN(1,N(K119)/J119))</f>
        <v/>
      </c>
      <c r="M119" s="5" t="inlineStr">
        <is>
          <t>FATURADO</t>
        </is>
      </c>
      <c r="N119" s="5" t="inlineStr">
        <is>
          <t>PENDENTE</t>
        </is>
      </c>
      <c r="O119" s="5" t="n"/>
      <c r="P119" s="5" t="n"/>
      <c r="Q119" s="5" t="n"/>
      <c r="R119" s="4" t="n"/>
      <c r="S119" s="4" t="n"/>
      <c r="T119" s="5" t="inlineStr">
        <is>
          <t>LUZIA MEIRE</t>
        </is>
      </c>
      <c r="U119" s="8">
        <f>IF(AND(V119=1,D119&lt;&gt;""),IF(D119&gt;=corte,TODAY()-D119,""),"")</f>
        <v/>
      </c>
      <c r="V119" s="8">
        <f>IF(D119="",0,IF(OR(AND(P119&lt;&gt;"",S119=""),AND(N(J119)&gt;0,N(K119)&lt;J119),OR(M119="PENDENTE",M119="PARCIAL"),OR(N119="PENDENTE",N119="PARCIAL")),1,0))</f>
        <v/>
      </c>
      <c r="W119" s="8">
        <f>IF(AND(V119=1,D119&lt;&gt;""),IF(D119&gt;=corte,(B119="CRÍTICO")*1E9+(100000-D119)*10000+10000-ROW(),""),"")</f>
        <v/>
      </c>
      <c r="X119" s="8">
        <f>IF(AND(V119=1,D119=pas_data,E119=pas_turno),10000-ROW(),"")</f>
        <v/>
      </c>
    </row>
    <row r="120">
      <c r="A120" s="3">
        <f>IF(D120="","","TT-"&amp;TEXT(ROW()-1,"00000"))</f>
        <v/>
      </c>
      <c r="B120" s="3">
        <f>IF(D120="","",IF(V120=0,"CONCLUÍDO",IF(D120&lt;corte,"HISTÓRICO",IF(OR(AND(ISNUMBER(R120),R120&lt;TODAY()),AND(OR(N120="PENDENTE",N120="PARCIAL"),D120&lt;TODAY()-1)),"CRÍTICO",IF(OR(AND(P120&lt;&gt;"",S120=""),AND(N120="REALIZADO",M120="PENDENTE"),AND(ISNUMBER(R120),R120=TODAY())),"ATENÇÃO",IF(N(K120)=0,"PENDENTE","EM ANDAMENTO"))))))</f>
        <v/>
      </c>
      <c r="C120" s="3">
        <f>IF(D120="","",IF(V120=0,"🟢 OK",IF(D120&lt;corte,"⚪ HISTÓRICO (sem baixa)",IF(AND(ISNUMBER(R120),R120&lt;TODAY()),"🔴 PRAZO VENCIDO",IF(AND(OR(N120="PENDENTE",N120="PARCIAL"),D120&lt;TODAY()-1),"🔴 EMBARQUE ATRASADO",IF(AND(N120="REALIZADO",M120="PENDENTE"),"🟡 EMBARCADO SEM FATURAR",IF(AND(P120&lt;&gt;"",S120="",OR(Q120="",R120="")),"🟡 PENDÊNCIA SEM RESPONSÁVEL/PRAZO",IF(AND(ISNUMBER(R120),R120=TODAY()),"🟡 VENCE HOJE",IF(AND(P120&lt;&gt;"",S120=""),"🟡 PENDÊNCIA ABERTA",IF(AND(N(J120)&gt;0,N(K120)&lt;J120),"🟡 FALTA EXECUTAR",IF(OR(M120="PENDENTE",M120="PARCIAL"),"🟡 FATURAMENTO PENDENTE","🟡 EMBARQUE PENDENTE")))))))))))</f>
        <v/>
      </c>
      <c r="D120" s="4" t="n">
        <v>46228</v>
      </c>
      <c r="E120" s="5" t="inlineStr">
        <is>
          <t>A</t>
        </is>
      </c>
      <c r="F120" s="5" t="inlineStr">
        <is>
          <t>TATIANE</t>
        </is>
      </c>
      <c r="G120" s="5" t="inlineStr">
        <is>
          <t>FOB</t>
        </is>
      </c>
      <c r="H120" s="5" t="inlineStr">
        <is>
          <t>FOB</t>
        </is>
      </c>
      <c r="I120" s="5" t="inlineStr">
        <is>
          <t>TON</t>
        </is>
      </c>
      <c r="J120" s="6" t="n">
        <v>9.028</v>
      </c>
      <c r="K120" s="6" t="n">
        <v>9.028</v>
      </c>
      <c r="L120" s="7">
        <f>IF(OR(D120="",N(J120)=0),"",MIN(1,N(K120)/J120))</f>
        <v/>
      </c>
      <c r="M120" s="5" t="inlineStr">
        <is>
          <t>FATURADO</t>
        </is>
      </c>
      <c r="N120" s="5" t="inlineStr">
        <is>
          <t>PENDENTE</t>
        </is>
      </c>
      <c r="O120" s="5" t="n"/>
      <c r="P120" s="5" t="n"/>
      <c r="Q120" s="5" t="n"/>
      <c r="R120" s="4" t="n"/>
      <c r="S120" s="4" t="n"/>
      <c r="T120" s="5" t="inlineStr">
        <is>
          <t>LUZIA MEIRE</t>
        </is>
      </c>
      <c r="U120" s="8">
        <f>IF(AND(V120=1,D120&lt;&gt;""),IF(D120&gt;=corte,TODAY()-D120,""),"")</f>
        <v/>
      </c>
      <c r="V120" s="8">
        <f>IF(D120="",0,IF(OR(AND(P120&lt;&gt;"",S120=""),AND(N(J120)&gt;0,N(K120)&lt;J120),OR(M120="PENDENTE",M120="PARCIAL"),OR(N120="PENDENTE",N120="PARCIAL")),1,0))</f>
        <v/>
      </c>
      <c r="W120" s="8">
        <f>IF(AND(V120=1,D120&lt;&gt;""),IF(D120&gt;=corte,(B120="CRÍTICO")*1E9+(100000-D120)*10000+10000-ROW(),""),"")</f>
        <v/>
      </c>
      <c r="X120" s="8">
        <f>IF(AND(V120=1,D120=pas_data,E120=pas_turno),10000-ROW(),"")</f>
        <v/>
      </c>
    </row>
    <row r="121">
      <c r="A121" s="3">
        <f>IF(D121="","","TT-"&amp;TEXT(ROW()-1,"00000"))</f>
        <v/>
      </c>
      <c r="B121" s="3">
        <f>IF(D121="","",IF(V121=0,"CONCLUÍDO",IF(D121&lt;corte,"HISTÓRICO",IF(OR(AND(ISNUMBER(R121),R121&lt;TODAY()),AND(OR(N121="PENDENTE",N121="PARCIAL"),D121&lt;TODAY()-1)),"CRÍTICO",IF(OR(AND(P121&lt;&gt;"",S121=""),AND(N121="REALIZADO",M121="PENDENTE"),AND(ISNUMBER(R121),R121=TODAY())),"ATENÇÃO",IF(N(K121)=0,"PENDENTE","EM ANDAMENTO"))))))</f>
        <v/>
      </c>
      <c r="C121" s="3">
        <f>IF(D121="","",IF(V121=0,"🟢 OK",IF(D121&lt;corte,"⚪ HISTÓRICO (sem baixa)",IF(AND(ISNUMBER(R121),R121&lt;TODAY()),"🔴 PRAZO VENCIDO",IF(AND(OR(N121="PENDENTE",N121="PARCIAL"),D121&lt;TODAY()-1),"🔴 EMBARQUE ATRASADO",IF(AND(N121="REALIZADO",M121="PENDENTE"),"🟡 EMBARCADO SEM FATURAR",IF(AND(P121&lt;&gt;"",S121="",OR(Q121="",R121="")),"🟡 PENDÊNCIA SEM RESPONSÁVEL/PRAZO",IF(AND(ISNUMBER(R121),R121=TODAY()),"🟡 VENCE HOJE",IF(AND(P121&lt;&gt;"",S121=""),"🟡 PENDÊNCIA ABERTA",IF(AND(N(J121)&gt;0,N(K121)&lt;J121),"🟡 FALTA EXECUTAR",IF(OR(M121="PENDENTE",M121="PARCIAL"),"🟡 FATURAMENTO PENDENTE","🟡 EMBARQUE PENDENTE")))))))))))</f>
        <v/>
      </c>
      <c r="D121" s="4" t="n">
        <v>46228</v>
      </c>
      <c r="E121" s="5" t="inlineStr">
        <is>
          <t>A</t>
        </is>
      </c>
      <c r="F121" s="5" t="inlineStr">
        <is>
          <t>TATIANE</t>
        </is>
      </c>
      <c r="G121" s="5" t="inlineStr">
        <is>
          <t>FOB</t>
        </is>
      </c>
      <c r="H121" s="5" t="inlineStr">
        <is>
          <t>FOB</t>
        </is>
      </c>
      <c r="I121" s="5" t="inlineStr">
        <is>
          <t>TON</t>
        </is>
      </c>
      <c r="J121" s="6" t="n">
        <v>3.068</v>
      </c>
      <c r="K121" s="6" t="n">
        <v>3.068</v>
      </c>
      <c r="L121" s="7">
        <f>IF(OR(D121="",N(J121)=0),"",MIN(1,N(K121)/J121))</f>
        <v/>
      </c>
      <c r="M121" s="5" t="inlineStr">
        <is>
          <t>FATURADO</t>
        </is>
      </c>
      <c r="N121" s="5" t="inlineStr">
        <is>
          <t>REALIZADO</t>
        </is>
      </c>
      <c r="O121" s="5" t="n"/>
      <c r="P121" s="5" t="n"/>
      <c r="Q121" s="5" t="n"/>
      <c r="R121" s="4" t="n"/>
      <c r="S121" s="4" t="n"/>
      <c r="T121" s="5" t="inlineStr">
        <is>
          <t>SBB</t>
        </is>
      </c>
      <c r="U121" s="8">
        <f>IF(AND(V121=1,D121&lt;&gt;""),IF(D121&gt;=corte,TODAY()-D121,""),"")</f>
        <v/>
      </c>
      <c r="V121" s="8">
        <f>IF(D121="",0,IF(OR(AND(P121&lt;&gt;"",S121=""),AND(N(J121)&gt;0,N(K121)&lt;J121),OR(M121="PENDENTE",M121="PARCIAL"),OR(N121="PENDENTE",N121="PARCIAL")),1,0))</f>
        <v/>
      </c>
      <c r="W121" s="8">
        <f>IF(AND(V121=1,D121&lt;&gt;""),IF(D121&gt;=corte,(B121="CRÍTICO")*1E9+(100000-D121)*10000+10000-ROW(),""),"")</f>
        <v/>
      </c>
      <c r="X121" s="8">
        <f>IF(AND(V121=1,D121=pas_data,E121=pas_turno),10000-ROW(),"")</f>
        <v/>
      </c>
    </row>
    <row r="122">
      <c r="A122" s="3">
        <f>IF(D122="","","TT-"&amp;TEXT(ROW()-1,"00000"))</f>
        <v/>
      </c>
      <c r="B122" s="3">
        <f>IF(D122="","",IF(V122=0,"CONCLUÍDO",IF(D122&lt;corte,"HISTÓRICO",IF(OR(AND(ISNUMBER(R122),R122&lt;TODAY()),AND(OR(N122="PENDENTE",N122="PARCIAL"),D122&lt;TODAY()-1)),"CRÍTICO",IF(OR(AND(P122&lt;&gt;"",S122=""),AND(N122="REALIZADO",M122="PENDENTE"),AND(ISNUMBER(R122),R122=TODAY())),"ATENÇÃO",IF(N(K122)=0,"PENDENTE","EM ANDAMENTO"))))))</f>
        <v/>
      </c>
      <c r="C122" s="3">
        <f>IF(D122="","",IF(V122=0,"🟢 OK",IF(D122&lt;corte,"⚪ HISTÓRICO (sem baixa)",IF(AND(ISNUMBER(R122),R122&lt;TODAY()),"🔴 PRAZO VENCIDO",IF(AND(OR(N122="PENDENTE",N122="PARCIAL"),D122&lt;TODAY()-1),"🔴 EMBARQUE ATRASADO",IF(AND(N122="REALIZADO",M122="PENDENTE"),"🟡 EMBARCADO SEM FATURAR",IF(AND(P122&lt;&gt;"",S122="",OR(Q122="",R122="")),"🟡 PENDÊNCIA SEM RESPONSÁVEL/PRAZO",IF(AND(ISNUMBER(R122),R122=TODAY()),"🟡 VENCE HOJE",IF(AND(P122&lt;&gt;"",S122=""),"🟡 PENDÊNCIA ABERTA",IF(AND(N(J122)&gt;0,N(K122)&lt;J122),"🟡 FALTA EXECUTAR",IF(OR(M122="PENDENTE",M122="PARCIAL"),"🟡 FATURAMENTO PENDENTE","🟡 EMBARQUE PENDENTE")))))))))))</f>
        <v/>
      </c>
      <c r="D122" s="4" t="n">
        <v>46228</v>
      </c>
      <c r="E122" s="5" t="inlineStr">
        <is>
          <t>A</t>
        </is>
      </c>
      <c r="F122" s="5" t="inlineStr">
        <is>
          <t>TATIANE</t>
        </is>
      </c>
      <c r="G122" s="5" t="inlineStr">
        <is>
          <t>GRANEL</t>
        </is>
      </c>
      <c r="H122" s="5" t="inlineStr">
        <is>
          <t>FM</t>
        </is>
      </c>
      <c r="I122" s="5" t="inlineStr">
        <is>
          <t>TON</t>
        </is>
      </c>
      <c r="J122" s="6" t="n">
        <v>26</v>
      </c>
      <c r="K122" s="6" t="n">
        <v>26</v>
      </c>
      <c r="L122" s="7">
        <f>IF(OR(D122="",N(J122)=0),"",MIN(1,N(K122)/J122))</f>
        <v/>
      </c>
      <c r="M122" s="5" t="inlineStr">
        <is>
          <t>PENDENTE</t>
        </is>
      </c>
      <c r="N122" s="5" t="inlineStr">
        <is>
          <t>REALIZADO</t>
        </is>
      </c>
      <c r="O122" s="5" t="n"/>
      <c r="P122" s="5" t="inlineStr">
        <is>
          <t>AGUARDANDO APONTAMENTO DE SALDO - PANDURATA</t>
        </is>
      </c>
      <c r="Q122" s="5" t="n"/>
      <c r="R122" s="4" t="n"/>
      <c r="S122" s="4" t="n"/>
      <c r="T122" s="5" t="inlineStr">
        <is>
          <t>AGUARDANDO APONTAMENTO DE SALDO - PANDURATA</t>
        </is>
      </c>
      <c r="U122" s="8">
        <f>IF(AND(V122=1,D122&lt;&gt;""),IF(D122&gt;=corte,TODAY()-D122,""),"")</f>
        <v/>
      </c>
      <c r="V122" s="8">
        <f>IF(D122="",0,IF(OR(AND(P122&lt;&gt;"",S122=""),AND(N(J122)&gt;0,N(K122)&lt;J122),OR(M122="PENDENTE",M122="PARCIAL"),OR(N122="PENDENTE",N122="PARCIAL")),1,0))</f>
        <v/>
      </c>
      <c r="W122" s="8">
        <f>IF(AND(V122=1,D122&lt;&gt;""),IF(D122&gt;=corte,(B122="CRÍTICO")*1E9+(100000-D122)*10000+10000-ROW(),""),"")</f>
        <v/>
      </c>
      <c r="X122" s="8">
        <f>IF(AND(V122=1,D122=pas_data,E122=pas_turno),10000-ROW(),"")</f>
        <v/>
      </c>
    </row>
    <row r="123">
      <c r="A123" s="3">
        <f>IF(D123="","","TT-"&amp;TEXT(ROW()-1,"00000"))</f>
        <v/>
      </c>
      <c r="B123" s="3">
        <f>IF(D123="","",IF(V123=0,"CONCLUÍDO",IF(D123&lt;corte,"HISTÓRICO",IF(OR(AND(ISNUMBER(R123),R123&lt;TODAY()),AND(OR(N123="PENDENTE",N123="PARCIAL"),D123&lt;TODAY()-1)),"CRÍTICO",IF(OR(AND(P123&lt;&gt;"",S123=""),AND(N123="REALIZADO",M123="PENDENTE"),AND(ISNUMBER(R123),R123=TODAY())),"ATENÇÃO",IF(N(K123)=0,"PENDENTE","EM ANDAMENTO"))))))</f>
        <v/>
      </c>
      <c r="C123" s="3">
        <f>IF(D123="","",IF(V123=0,"🟢 OK",IF(D123&lt;corte,"⚪ HISTÓRICO (sem baixa)",IF(AND(ISNUMBER(R123),R123&lt;TODAY()),"🔴 PRAZO VENCIDO",IF(AND(OR(N123="PENDENTE",N123="PARCIAL"),D123&lt;TODAY()-1),"🔴 EMBARQUE ATRASADO",IF(AND(N123="REALIZADO",M123="PENDENTE"),"🟡 EMBARCADO SEM FATURAR",IF(AND(P123&lt;&gt;"",S123="",OR(Q123="",R123="")),"🟡 PENDÊNCIA SEM RESPONSÁVEL/PRAZO",IF(AND(ISNUMBER(R123),R123=TODAY()),"🟡 VENCE HOJE",IF(AND(P123&lt;&gt;"",S123=""),"🟡 PENDÊNCIA ABERTA",IF(AND(N(J123)&gt;0,N(K123)&lt;J123),"🟡 FALTA EXECUTAR",IF(OR(M123="PENDENTE",M123="PARCIAL"),"🟡 FATURAMENTO PENDENTE","🟡 EMBARQUE PENDENTE")))))))))))</f>
        <v/>
      </c>
      <c r="D123" s="4" t="n">
        <v>46228</v>
      </c>
      <c r="E123" s="5" t="inlineStr">
        <is>
          <t>A</t>
        </is>
      </c>
      <c r="F123" s="5" t="inlineStr">
        <is>
          <t>TATIANE</t>
        </is>
      </c>
      <c r="G123" s="5" t="inlineStr">
        <is>
          <t>FLOOR</t>
        </is>
      </c>
      <c r="H123" s="5" t="inlineStr">
        <is>
          <t>FABRICA</t>
        </is>
      </c>
      <c r="I123" s="5" t="inlineStr">
        <is>
          <t>PALETE</t>
        </is>
      </c>
      <c r="J123" s="6" t="n">
        <v>67</v>
      </c>
      <c r="K123" s="6" t="n">
        <v>67</v>
      </c>
      <c r="L123" s="7">
        <f>IF(OR(D123="",N(J123)=0),"",MIN(1,N(K123)/J123))</f>
        <v/>
      </c>
      <c r="M123" s="5" t="n"/>
      <c r="N123" s="5" t="n"/>
      <c r="O123" s="5" t="n"/>
      <c r="P123" s="5" t="n"/>
      <c r="Q123" s="5" t="n"/>
      <c r="R123" s="4" t="n"/>
      <c r="S123" s="4" t="n"/>
      <c r="T123" s="5" t="n"/>
      <c r="U123" s="8">
        <f>IF(AND(V123=1,D123&lt;&gt;""),IF(D123&gt;=corte,TODAY()-D123,""),"")</f>
        <v/>
      </c>
      <c r="V123" s="8">
        <f>IF(D123="",0,IF(OR(AND(P123&lt;&gt;"",S123=""),AND(N(J123)&gt;0,N(K123)&lt;J123),OR(M123="PENDENTE",M123="PARCIAL"),OR(N123="PENDENTE",N123="PARCIAL")),1,0))</f>
        <v/>
      </c>
      <c r="W123" s="8">
        <f>IF(AND(V123=1,D123&lt;&gt;""),IF(D123&gt;=corte,(B123="CRÍTICO")*1E9+(100000-D123)*10000+10000-ROW(),""),"")</f>
        <v/>
      </c>
      <c r="X123" s="8">
        <f>IF(AND(V123=1,D123=pas_data,E123=pas_turno),10000-ROW(),"")</f>
        <v/>
      </c>
    </row>
    <row r="124">
      <c r="A124" s="3">
        <f>IF(D124="","","TT-"&amp;TEXT(ROW()-1,"00000"))</f>
        <v/>
      </c>
      <c r="B124" s="3">
        <f>IF(D124="","",IF(V124=0,"CONCLUÍDO",IF(D124&lt;corte,"HISTÓRICO",IF(OR(AND(ISNUMBER(R124),R124&lt;TODAY()),AND(OR(N124="PENDENTE",N124="PARCIAL"),D124&lt;TODAY()-1)),"CRÍTICO",IF(OR(AND(P124&lt;&gt;"",S124=""),AND(N124="REALIZADO",M124="PENDENTE"),AND(ISNUMBER(R124),R124=TODAY())),"ATENÇÃO",IF(N(K124)=0,"PENDENTE","EM ANDAMENTO"))))))</f>
        <v/>
      </c>
      <c r="C124" s="3">
        <f>IF(D124="","",IF(V124=0,"🟢 OK",IF(D124&lt;corte,"⚪ HISTÓRICO (sem baixa)",IF(AND(ISNUMBER(R124),R124&lt;TODAY()),"🔴 PRAZO VENCIDO",IF(AND(OR(N124="PENDENTE",N124="PARCIAL"),D124&lt;TODAY()-1),"🔴 EMBARQUE ATRASADO",IF(AND(N124="REALIZADO",M124="PENDENTE"),"🟡 EMBARCADO SEM FATURAR",IF(AND(P124&lt;&gt;"",S124="",OR(Q124="",R124="")),"🟡 PENDÊNCIA SEM RESPONSÁVEL/PRAZO",IF(AND(ISNUMBER(R124),R124=TODAY()),"🟡 VENCE HOJE",IF(AND(P124&lt;&gt;"",S124=""),"🟡 PENDÊNCIA ABERTA",IF(AND(N(J124)&gt;0,N(K124)&lt;J124),"🟡 FALTA EXECUTAR",IF(OR(M124="PENDENTE",M124="PARCIAL"),"🟡 FATURAMENTO PENDENTE","🟡 EMBARQUE PENDENTE")))))))))))</f>
        <v/>
      </c>
      <c r="D124" s="4" t="n">
        <v>46228</v>
      </c>
      <c r="E124" s="5" t="inlineStr">
        <is>
          <t>B</t>
        </is>
      </c>
      <c r="F124" s="5" t="inlineStr">
        <is>
          <t>THIAGO</t>
        </is>
      </c>
      <c r="G124" s="5" t="inlineStr">
        <is>
          <t>GM</t>
        </is>
      </c>
      <c r="H124" s="5" t="inlineStr">
        <is>
          <t>RJ</t>
        </is>
      </c>
      <c r="I124" s="5" t="inlineStr">
        <is>
          <t>TON</t>
        </is>
      </c>
      <c r="J124" s="6" t="n">
        <v>12.084</v>
      </c>
      <c r="K124" s="6" t="n">
        <v>12.084</v>
      </c>
      <c r="L124" s="7">
        <f>IF(OR(D124="",N(J124)=0),"",MIN(1,N(K124)/J124))</f>
        <v/>
      </c>
      <c r="M124" s="5" t="inlineStr">
        <is>
          <t>FATURADO</t>
        </is>
      </c>
      <c r="N124" s="5" t="inlineStr">
        <is>
          <t>PENDENTE</t>
        </is>
      </c>
      <c r="O124" s="5" t="n"/>
      <c r="P124" s="5" t="n"/>
      <c r="Q124" s="5" t="n"/>
      <c r="R124" s="4" t="n"/>
      <c r="S124" s="4" t="n"/>
      <c r="T124" s="5" t="inlineStr">
        <is>
          <t>organização do stage para abrir espaço</t>
        </is>
      </c>
      <c r="U124" s="8">
        <f>IF(AND(V124=1,D124&lt;&gt;""),IF(D124&gt;=corte,TODAY()-D124,""),"")</f>
        <v/>
      </c>
      <c r="V124" s="8">
        <f>IF(D124="",0,IF(OR(AND(P124&lt;&gt;"",S124=""),AND(N(J124)&gt;0,N(K124)&lt;J124),OR(M124="PENDENTE",M124="PARCIAL"),OR(N124="PENDENTE",N124="PARCIAL")),1,0))</f>
        <v/>
      </c>
      <c r="W124" s="8">
        <f>IF(AND(V124=1,D124&lt;&gt;""),IF(D124&gt;=corte,(B124="CRÍTICO")*1E9+(100000-D124)*10000+10000-ROW(),""),"")</f>
        <v/>
      </c>
      <c r="X124" s="8">
        <f>IF(AND(V124=1,D124=pas_data,E124=pas_turno),10000-ROW(),"")</f>
        <v/>
      </c>
    </row>
    <row r="125">
      <c r="A125" s="3">
        <f>IF(D125="","","TT-"&amp;TEXT(ROW()-1,"00000"))</f>
        <v/>
      </c>
      <c r="B125" s="3">
        <f>IF(D125="","",IF(V125=0,"CONCLUÍDO",IF(D125&lt;corte,"HISTÓRICO",IF(OR(AND(ISNUMBER(R125),R125&lt;TODAY()),AND(OR(N125="PENDENTE",N125="PARCIAL"),D125&lt;TODAY()-1)),"CRÍTICO",IF(OR(AND(P125&lt;&gt;"",S125=""),AND(N125="REALIZADO",M125="PENDENTE"),AND(ISNUMBER(R125),R125=TODAY())),"ATENÇÃO",IF(N(K125)=0,"PENDENTE","EM ANDAMENTO"))))))</f>
        <v/>
      </c>
      <c r="C125" s="3">
        <f>IF(D125="","",IF(V125=0,"🟢 OK",IF(D125&lt;corte,"⚪ HISTÓRICO (sem baixa)",IF(AND(ISNUMBER(R125),R125&lt;TODAY()),"🔴 PRAZO VENCIDO",IF(AND(OR(N125="PENDENTE",N125="PARCIAL"),D125&lt;TODAY()-1),"🔴 EMBARQUE ATRASADO",IF(AND(N125="REALIZADO",M125="PENDENTE"),"🟡 EMBARCADO SEM FATURAR",IF(AND(P125&lt;&gt;"",S125="",OR(Q125="",R125="")),"🟡 PENDÊNCIA SEM RESPONSÁVEL/PRAZO",IF(AND(ISNUMBER(R125),R125=TODAY()),"🟡 VENCE HOJE",IF(AND(P125&lt;&gt;"",S125=""),"🟡 PENDÊNCIA ABERTA",IF(AND(N(J125)&gt;0,N(K125)&lt;J125),"🟡 FALTA EXECUTAR",IF(OR(M125="PENDENTE",M125="PARCIAL"),"🟡 FATURAMENTO PENDENTE","🟡 EMBARQUE PENDENTE")))))))))))</f>
        <v/>
      </c>
      <c r="D125" s="4" t="n">
        <v>46228</v>
      </c>
      <c r="E125" s="5" t="inlineStr">
        <is>
          <t>B</t>
        </is>
      </c>
      <c r="F125" s="5" t="inlineStr">
        <is>
          <t>THIAGO</t>
        </is>
      </c>
      <c r="G125" s="5" t="inlineStr">
        <is>
          <t>FOB</t>
        </is>
      </c>
      <c r="H125" s="5" t="inlineStr">
        <is>
          <t>FOB</t>
        </is>
      </c>
      <c r="I125" s="5" t="inlineStr">
        <is>
          <t>TON</t>
        </is>
      </c>
      <c r="J125" s="6" t="n">
        <v>19.664</v>
      </c>
      <c r="K125" s="6" t="n">
        <v>19.664</v>
      </c>
      <c r="L125" s="7">
        <f>IF(OR(D125="",N(J125)=0),"",MIN(1,N(K125)/J125))</f>
        <v/>
      </c>
      <c r="M125" s="5" t="inlineStr">
        <is>
          <t>PENDENTE</t>
        </is>
      </c>
      <c r="N125" s="5" t="inlineStr">
        <is>
          <t>PENDENTE</t>
        </is>
      </c>
      <c r="O125" s="5" t="n"/>
      <c r="P125" s="5" t="n"/>
      <c r="Q125" s="5" t="n"/>
      <c r="R125" s="4" t="n"/>
      <c r="S125" s="4" t="n"/>
      <c r="T125" s="5" t="n"/>
      <c r="U125" s="8">
        <f>IF(AND(V125=1,D125&lt;&gt;""),IF(D125&gt;=corte,TODAY()-D125,""),"")</f>
        <v/>
      </c>
      <c r="V125" s="8">
        <f>IF(D125="",0,IF(OR(AND(P125&lt;&gt;"",S125=""),AND(N(J125)&gt;0,N(K125)&lt;J125),OR(M125="PENDENTE",M125="PARCIAL"),OR(N125="PENDENTE",N125="PARCIAL")),1,0))</f>
        <v/>
      </c>
      <c r="W125" s="8">
        <f>IF(AND(V125=1,D125&lt;&gt;""),IF(D125&gt;=corte,(B125="CRÍTICO")*1E9+(100000-D125)*10000+10000-ROW(),""),"")</f>
        <v/>
      </c>
      <c r="X125" s="8">
        <f>IF(AND(V125=1,D125=pas_data,E125=pas_turno),10000-ROW(),"")</f>
        <v/>
      </c>
    </row>
    <row r="126">
      <c r="A126" s="3">
        <f>IF(D126="","","TT-"&amp;TEXT(ROW()-1,"00000"))</f>
        <v/>
      </c>
      <c r="B126" s="3">
        <f>IF(D126="","",IF(V126=0,"CONCLUÍDO",IF(D126&lt;corte,"HISTÓRICO",IF(OR(AND(ISNUMBER(R126),R126&lt;TODAY()),AND(OR(N126="PENDENTE",N126="PARCIAL"),D126&lt;TODAY()-1)),"CRÍTICO",IF(OR(AND(P126&lt;&gt;"",S126=""),AND(N126="REALIZADO",M126="PENDENTE"),AND(ISNUMBER(R126),R126=TODAY())),"ATENÇÃO",IF(N(K126)=0,"PENDENTE","EM ANDAMENTO"))))))</f>
        <v/>
      </c>
      <c r="C126" s="3">
        <f>IF(D126="","",IF(V126=0,"🟢 OK",IF(D126&lt;corte,"⚪ HISTÓRICO (sem baixa)",IF(AND(ISNUMBER(R126),R126&lt;TODAY()),"🔴 PRAZO VENCIDO",IF(AND(OR(N126="PENDENTE",N126="PARCIAL"),D126&lt;TODAY()-1),"🔴 EMBARQUE ATRASADO",IF(AND(N126="REALIZADO",M126="PENDENTE"),"🟡 EMBARCADO SEM FATURAR",IF(AND(P126&lt;&gt;"",S126="",OR(Q126="",R126="")),"🟡 PENDÊNCIA SEM RESPONSÁVEL/PRAZO",IF(AND(ISNUMBER(R126),R126=TODAY()),"🟡 VENCE HOJE",IF(AND(P126&lt;&gt;"",S126=""),"🟡 PENDÊNCIA ABERTA",IF(AND(N(J126)&gt;0,N(K126)&lt;J126),"🟡 FALTA EXECUTAR",IF(OR(M126="PENDENTE",M126="PARCIAL"),"🟡 FATURAMENTO PENDENTE","🟡 EMBARQUE PENDENTE")))))))))))</f>
        <v/>
      </c>
      <c r="D126" s="4" t="n">
        <v>46228</v>
      </c>
      <c r="E126" s="5" t="inlineStr">
        <is>
          <t>B</t>
        </is>
      </c>
      <c r="F126" s="5" t="inlineStr">
        <is>
          <t>THIAGO</t>
        </is>
      </c>
      <c r="G126" s="5" t="inlineStr">
        <is>
          <t>FLOOR</t>
        </is>
      </c>
      <c r="H126" s="5" t="n"/>
      <c r="I126" s="5" t="inlineStr">
        <is>
          <t>PALETE</t>
        </is>
      </c>
      <c r="J126" s="6" t="n">
        <v>113</v>
      </c>
      <c r="K126" s="6" t="n">
        <v>113</v>
      </c>
      <c r="L126" s="7">
        <f>IF(OR(D126="",N(J126)=0),"",MIN(1,N(K126)/J126))</f>
        <v/>
      </c>
      <c r="M126" s="5" t="n"/>
      <c r="N126" s="5" t="n"/>
      <c r="O126" s="5" t="n"/>
      <c r="P126" s="5" t="n"/>
      <c r="Q126" s="5" t="n"/>
      <c r="R126" s="4" t="n"/>
      <c r="S126" s="4" t="n"/>
      <c r="T126" s="5" t="inlineStr">
        <is>
          <t>[MIGRAÇÃO: programação original: FLOOR / RECEB. CACAU]</t>
        </is>
      </c>
      <c r="U126" s="8">
        <f>IF(AND(V126=1,D126&lt;&gt;""),IF(D126&gt;=corte,TODAY()-D126,""),"")</f>
        <v/>
      </c>
      <c r="V126" s="8">
        <f>IF(D126="",0,IF(OR(AND(P126&lt;&gt;"",S126=""),AND(N(J126)&gt;0,N(K126)&lt;J126),OR(M126="PENDENTE",M126="PARCIAL"),OR(N126="PENDENTE",N126="PARCIAL")),1,0))</f>
        <v/>
      </c>
      <c r="W126" s="8">
        <f>IF(AND(V126=1,D126&lt;&gt;""),IF(D126&gt;=corte,(B126="CRÍTICO")*1E9+(100000-D126)*10000+10000-ROW(),""),"")</f>
        <v/>
      </c>
      <c r="X126" s="8">
        <f>IF(AND(V126=1,D126=pas_data,E126=pas_turno),10000-ROW(),"")</f>
        <v/>
      </c>
    </row>
    <row r="127">
      <c r="A127" s="3">
        <f>IF(D127="","","TT-"&amp;TEXT(ROW()-1,"00000"))</f>
        <v/>
      </c>
      <c r="B127" s="3">
        <f>IF(D127="","",IF(V127=0,"CONCLUÍDO",IF(D127&lt;corte,"HISTÓRICO",IF(OR(AND(ISNUMBER(R127),R127&lt;TODAY()),AND(OR(N127="PENDENTE",N127="PARCIAL"),D127&lt;TODAY()-1)),"CRÍTICO",IF(OR(AND(P127&lt;&gt;"",S127=""),AND(N127="REALIZADO",M127="PENDENTE"),AND(ISNUMBER(R127),R127=TODAY())),"ATENÇÃO",IF(N(K127)=0,"PENDENTE","EM ANDAMENTO"))))))</f>
        <v/>
      </c>
      <c r="C127" s="3">
        <f>IF(D127="","",IF(V127=0,"🟢 OK",IF(D127&lt;corte,"⚪ HISTÓRICO (sem baixa)",IF(AND(ISNUMBER(R127),R127&lt;TODAY()),"🔴 PRAZO VENCIDO",IF(AND(OR(N127="PENDENTE",N127="PARCIAL"),D127&lt;TODAY()-1),"🔴 EMBARQUE ATRASADO",IF(AND(N127="REALIZADO",M127="PENDENTE"),"🟡 EMBARCADO SEM FATURAR",IF(AND(P127&lt;&gt;"",S127="",OR(Q127="",R127="")),"🟡 PENDÊNCIA SEM RESPONSÁVEL/PRAZO",IF(AND(ISNUMBER(R127),R127=TODAY()),"🟡 VENCE HOJE",IF(AND(P127&lt;&gt;"",S127=""),"🟡 PENDÊNCIA ABERTA",IF(AND(N(J127)&gt;0,N(K127)&lt;J127),"🟡 FALTA EXECUTAR",IF(OR(M127="PENDENTE",M127="PARCIAL"),"🟡 FATURAMENTO PENDENTE","🟡 EMBARQUE PENDENTE")))))))))))</f>
        <v/>
      </c>
      <c r="D127" s="4" t="n">
        <v>46229</v>
      </c>
      <c r="E127" s="5" t="inlineStr">
        <is>
          <t>C</t>
        </is>
      </c>
      <c r="F127" s="5" t="inlineStr">
        <is>
          <t>ADIB</t>
        </is>
      </c>
      <c r="G127" s="5" t="inlineStr">
        <is>
          <t>INVENTÁRIO</t>
        </is>
      </c>
      <c r="H127" s="5" t="inlineStr">
        <is>
          <t>PK1</t>
        </is>
      </c>
      <c r="I127" s="5" t="inlineStr">
        <is>
          <t>PALETE</t>
        </is>
      </c>
      <c r="J127" s="6" t="n">
        <v>199</v>
      </c>
      <c r="K127" s="6" t="n">
        <v>199</v>
      </c>
      <c r="L127" s="7">
        <f>IF(OR(D127="",N(J127)=0),"",MIN(1,N(K127)/J127))</f>
        <v/>
      </c>
      <c r="M127" s="5" t="n"/>
      <c r="N127" s="5" t="n"/>
      <c r="O127" s="5" t="n"/>
      <c r="P127" s="5" t="n"/>
      <c r="Q127" s="5" t="n"/>
      <c r="R127" s="4" t="n"/>
      <c r="S127" s="4" t="n"/>
      <c r="T127" s="5" t="inlineStr">
        <is>
          <t>CONTAGENS E AJUSTES PK1 [MIGRAÇÃO: programação original: CONTAGENS PK1]</t>
        </is>
      </c>
      <c r="U127" s="8">
        <f>IF(AND(V127=1,D127&lt;&gt;""),IF(D127&gt;=corte,TODAY()-D127,""),"")</f>
        <v/>
      </c>
      <c r="V127" s="8">
        <f>IF(D127="",0,IF(OR(AND(P127&lt;&gt;"",S127=""),AND(N(J127)&gt;0,N(K127)&lt;J127),OR(M127="PENDENTE",M127="PARCIAL"),OR(N127="PENDENTE",N127="PARCIAL")),1,0))</f>
        <v/>
      </c>
      <c r="W127" s="8">
        <f>IF(AND(V127=1,D127&lt;&gt;""),IF(D127&gt;=corte,(B127="CRÍTICO")*1E9+(100000-D127)*10000+10000-ROW(),""),"")</f>
        <v/>
      </c>
      <c r="X127" s="8">
        <f>IF(AND(V127=1,D127=pas_data,E127=pas_turno),10000-ROW(),"")</f>
        <v/>
      </c>
    </row>
    <row r="128">
      <c r="A128" s="3">
        <f>IF(D128="","","TT-"&amp;TEXT(ROW()-1,"00000"))</f>
        <v/>
      </c>
      <c r="B128" s="3">
        <f>IF(D128="","",IF(V128=0,"CONCLUÍDO",IF(D128&lt;corte,"HISTÓRICO",IF(OR(AND(ISNUMBER(R128),R128&lt;TODAY()),AND(OR(N128="PENDENTE",N128="PARCIAL"),D128&lt;TODAY()-1)),"CRÍTICO",IF(OR(AND(P128&lt;&gt;"",S128=""),AND(N128="REALIZADO",M128="PENDENTE"),AND(ISNUMBER(R128),R128=TODAY())),"ATENÇÃO",IF(N(K128)=0,"PENDENTE","EM ANDAMENTO"))))))</f>
        <v/>
      </c>
      <c r="C128" s="3">
        <f>IF(D128="","",IF(V128=0,"🟢 OK",IF(D128&lt;corte,"⚪ HISTÓRICO (sem baixa)",IF(AND(ISNUMBER(R128),R128&lt;TODAY()),"🔴 PRAZO VENCIDO",IF(AND(OR(N128="PENDENTE",N128="PARCIAL"),D128&lt;TODAY()-1),"🔴 EMBARQUE ATRASADO",IF(AND(N128="REALIZADO",M128="PENDENTE"),"🟡 EMBARCADO SEM FATURAR",IF(AND(P128&lt;&gt;"",S128="",OR(Q128="",R128="")),"🟡 PENDÊNCIA SEM RESPONSÁVEL/PRAZO",IF(AND(ISNUMBER(R128),R128=TODAY()),"🟡 VENCE HOJE",IF(AND(P128&lt;&gt;"",S128=""),"🟡 PENDÊNCIA ABERTA",IF(AND(N(J128)&gt;0,N(K128)&lt;J128),"🟡 FALTA EXECUTAR",IF(OR(M128="PENDENTE",M128="PARCIAL"),"🟡 FATURAMENTO PENDENTE","🟡 EMBARQUE PENDENTE")))))))))))</f>
        <v/>
      </c>
      <c r="D128" s="4" t="n">
        <v>46229</v>
      </c>
      <c r="E128" s="5" t="inlineStr">
        <is>
          <t>C</t>
        </is>
      </c>
      <c r="F128" s="5" t="inlineStr">
        <is>
          <t>ADIB</t>
        </is>
      </c>
      <c r="G128" s="5" t="inlineStr">
        <is>
          <t>FOB</t>
        </is>
      </c>
      <c r="H128" s="5" t="inlineStr">
        <is>
          <t>FOB</t>
        </is>
      </c>
      <c r="I128" s="5" t="inlineStr">
        <is>
          <t>TON</t>
        </is>
      </c>
      <c r="J128" s="6" t="n">
        <v>22.453</v>
      </c>
      <c r="K128" s="6" t="n">
        <v>22.453</v>
      </c>
      <c r="L128" s="7">
        <f>IF(OR(D128="",N(J128)=0),"",MIN(1,N(K128)/J128))</f>
        <v/>
      </c>
      <c r="M128" s="5" t="inlineStr">
        <is>
          <t>PENDENTE</t>
        </is>
      </c>
      <c r="N128" s="5" t="inlineStr">
        <is>
          <t>PENDENTE</t>
        </is>
      </c>
      <c r="O128" s="5" t="inlineStr">
        <is>
          <t>PRÓPRIO</t>
        </is>
      </c>
      <c r="P128" s="5" t="inlineStr">
        <is>
          <t>COM LUZIA MEIRE - FALTA FATURAR ( PROGRAMAÇÃO 27/07 )</t>
        </is>
      </c>
      <c r="Q128" s="5" t="n"/>
      <c r="R128" s="4" t="n"/>
      <c r="S128" s="4" t="n"/>
      <c r="T128" s="5" t="inlineStr">
        <is>
          <t>COM LUZIA MEIRE - FALTA FATURAR ( PROGRAMAÇÃO 27/07 )</t>
        </is>
      </c>
      <c r="U128" s="8">
        <f>IF(AND(V128=1,D128&lt;&gt;""),IF(D128&gt;=corte,TODAY()-D128,""),"")</f>
        <v/>
      </c>
      <c r="V128" s="8">
        <f>IF(D128="",0,IF(OR(AND(P128&lt;&gt;"",S128=""),AND(N(J128)&gt;0,N(K128)&lt;J128),OR(M128="PENDENTE",M128="PARCIAL"),OR(N128="PENDENTE",N128="PARCIAL")),1,0))</f>
        <v/>
      </c>
      <c r="W128" s="8">
        <f>IF(AND(V128=1,D128&lt;&gt;""),IF(D128&gt;=corte,(B128="CRÍTICO")*1E9+(100000-D128)*10000+10000-ROW(),""),"")</f>
        <v/>
      </c>
      <c r="X128" s="8">
        <f>IF(AND(V128=1,D128=pas_data,E128=pas_turno),10000-ROW(),"")</f>
        <v/>
      </c>
    </row>
    <row r="129">
      <c r="A129" s="3">
        <f>IF(D129="","","TT-"&amp;TEXT(ROW()-1,"00000"))</f>
        <v/>
      </c>
      <c r="B129" s="3">
        <f>IF(D129="","",IF(V129=0,"CONCLUÍDO",IF(D129&lt;corte,"HISTÓRICO",IF(OR(AND(ISNUMBER(R129),R129&lt;TODAY()),AND(OR(N129="PENDENTE",N129="PARCIAL"),D129&lt;TODAY()-1)),"CRÍTICO",IF(OR(AND(P129&lt;&gt;"",S129=""),AND(N129="REALIZADO",M129="PENDENTE"),AND(ISNUMBER(R129),R129=TODAY())),"ATENÇÃO",IF(N(K129)=0,"PENDENTE","EM ANDAMENTO"))))))</f>
        <v/>
      </c>
      <c r="C129" s="3">
        <f>IF(D129="","",IF(V129=0,"🟢 OK",IF(D129&lt;corte,"⚪ HISTÓRICO (sem baixa)",IF(AND(ISNUMBER(R129),R129&lt;TODAY()),"🔴 PRAZO VENCIDO",IF(AND(OR(N129="PENDENTE",N129="PARCIAL"),D129&lt;TODAY()-1),"🔴 EMBARQUE ATRASADO",IF(AND(N129="REALIZADO",M129="PENDENTE"),"🟡 EMBARCADO SEM FATURAR",IF(AND(P129&lt;&gt;"",S129="",OR(Q129="",R129="")),"🟡 PENDÊNCIA SEM RESPONSÁVEL/PRAZO",IF(AND(ISNUMBER(R129),R129=TODAY()),"🟡 VENCE HOJE",IF(AND(P129&lt;&gt;"",S129=""),"🟡 PENDÊNCIA ABERTA",IF(AND(N(J129)&gt;0,N(K129)&lt;J129),"🟡 FALTA EXECUTAR",IF(OR(M129="PENDENTE",M129="PARCIAL"),"🟡 FATURAMENTO PENDENTE","🟡 EMBARQUE PENDENTE")))))))))))</f>
        <v/>
      </c>
      <c r="D129" s="4" t="n">
        <v>46229</v>
      </c>
      <c r="E129" s="5" t="inlineStr">
        <is>
          <t>C</t>
        </is>
      </c>
      <c r="F129" s="5" t="inlineStr">
        <is>
          <t>ADIB</t>
        </is>
      </c>
      <c r="G129" s="5" t="inlineStr">
        <is>
          <t>FOB</t>
        </is>
      </c>
      <c r="H129" s="5" t="inlineStr">
        <is>
          <t>FOB</t>
        </is>
      </c>
      <c r="I129" s="5" t="inlineStr">
        <is>
          <t>TON</t>
        </is>
      </c>
      <c r="J129" s="6" t="n">
        <v>2.424</v>
      </c>
      <c r="K129" s="6" t="n">
        <v>2.424</v>
      </c>
      <c r="L129" s="7">
        <f>IF(OR(D129="",N(J129)=0),"",MIN(1,N(K129)/J129))</f>
        <v/>
      </c>
      <c r="M129" s="5" t="inlineStr">
        <is>
          <t>PENDENTE</t>
        </is>
      </c>
      <c r="N129" s="5" t="inlineStr">
        <is>
          <t>PENDENTE</t>
        </is>
      </c>
      <c r="O129" s="5" t="inlineStr">
        <is>
          <t>PRÓPRIO</t>
        </is>
      </c>
      <c r="P129" s="5" t="inlineStr">
        <is>
          <t>RFC - FALTA FATURAR ( PROGRAMAÇÃO 27/07 )</t>
        </is>
      </c>
      <c r="Q129" s="5" t="n"/>
      <c r="R129" s="4" t="n"/>
      <c r="S129" s="4" t="n"/>
      <c r="T129" s="5" t="inlineStr">
        <is>
          <t>RFC - FALTA FATURAR ( PROGRAMAÇÃO 27/07 )</t>
        </is>
      </c>
      <c r="U129" s="8">
        <f>IF(AND(V129=1,D129&lt;&gt;""),IF(D129&gt;=corte,TODAY()-D129,""),"")</f>
        <v/>
      </c>
      <c r="V129" s="8">
        <f>IF(D129="",0,IF(OR(AND(P129&lt;&gt;"",S129=""),AND(N(J129)&gt;0,N(K129)&lt;J129),OR(M129="PENDENTE",M129="PARCIAL"),OR(N129="PENDENTE",N129="PARCIAL")),1,0))</f>
        <v/>
      </c>
      <c r="W129" s="8">
        <f>IF(AND(V129=1,D129&lt;&gt;""),IF(D129&gt;=corte,(B129="CRÍTICO")*1E9+(100000-D129)*10000+10000-ROW(),""),"")</f>
        <v/>
      </c>
      <c r="X129" s="8">
        <f>IF(AND(V129=1,D129=pas_data,E129=pas_turno),10000-ROW(),"")</f>
        <v/>
      </c>
    </row>
    <row r="130">
      <c r="A130" s="3">
        <f>IF(D130="","","TT-"&amp;TEXT(ROW()-1,"00000"))</f>
        <v/>
      </c>
      <c r="B130" s="3">
        <f>IF(D130="","",IF(V130=0,"CONCLUÍDO",IF(D130&lt;corte,"HISTÓRICO",IF(OR(AND(ISNUMBER(R130),R130&lt;TODAY()),AND(OR(N130="PENDENTE",N130="PARCIAL"),D130&lt;TODAY()-1)),"CRÍTICO",IF(OR(AND(P130&lt;&gt;"",S130=""),AND(N130="REALIZADO",M130="PENDENTE"),AND(ISNUMBER(R130),R130=TODAY())),"ATENÇÃO",IF(N(K130)=0,"PENDENTE","EM ANDAMENTO"))))))</f>
        <v/>
      </c>
      <c r="C130" s="3">
        <f>IF(D130="","",IF(V130=0,"🟢 OK",IF(D130&lt;corte,"⚪ HISTÓRICO (sem baixa)",IF(AND(ISNUMBER(R130),R130&lt;TODAY()),"🔴 PRAZO VENCIDO",IF(AND(OR(N130="PENDENTE",N130="PARCIAL"),D130&lt;TODAY()-1),"🔴 EMBARQUE ATRASADO",IF(AND(N130="REALIZADO",M130="PENDENTE"),"🟡 EMBARCADO SEM FATURAR",IF(AND(P130&lt;&gt;"",S130="",OR(Q130="",R130="")),"🟡 PENDÊNCIA SEM RESPONSÁVEL/PRAZO",IF(AND(ISNUMBER(R130),R130=TODAY()),"🟡 VENCE HOJE",IF(AND(P130&lt;&gt;"",S130=""),"🟡 PENDÊNCIA ABERTA",IF(AND(N(J130)&gt;0,N(K130)&lt;J130),"🟡 FALTA EXECUTAR",IF(OR(M130="PENDENTE",M130="PARCIAL"),"🟡 FATURAMENTO PENDENTE","🟡 EMBARQUE PENDENTE")))))))))))</f>
        <v/>
      </c>
      <c r="D130" s="4" t="n">
        <v>46229</v>
      </c>
      <c r="E130" s="5" t="inlineStr">
        <is>
          <t>C</t>
        </is>
      </c>
      <c r="F130" s="5" t="inlineStr">
        <is>
          <t>ADIB</t>
        </is>
      </c>
      <c r="G130" s="5" t="inlineStr">
        <is>
          <t>FOB</t>
        </is>
      </c>
      <c r="H130" s="5" t="inlineStr">
        <is>
          <t>FOB</t>
        </is>
      </c>
      <c r="I130" s="5" t="inlineStr">
        <is>
          <t>TON</t>
        </is>
      </c>
      <c r="J130" s="6" t="n">
        <v>8.279999999999999</v>
      </c>
      <c r="K130" s="6" t="n">
        <v>8.279999999999999</v>
      </c>
      <c r="L130" s="7">
        <f>IF(OR(D130="",N(J130)=0),"",MIN(1,N(K130)/J130))</f>
        <v/>
      </c>
      <c r="M130" s="5" t="inlineStr">
        <is>
          <t>PENDENTE</t>
        </is>
      </c>
      <c r="N130" s="5" t="inlineStr">
        <is>
          <t>PENDENTE</t>
        </is>
      </c>
      <c r="O130" s="5" t="inlineStr">
        <is>
          <t>PRÓPRIO</t>
        </is>
      </c>
      <c r="P130" s="5" t="inlineStr">
        <is>
          <t>SEPARADO 17787874 ( FOB ) FATURAR DIA 28/07</t>
        </is>
      </c>
      <c r="Q130" s="5" t="n"/>
      <c r="R130" s="4" t="n"/>
      <c r="S130" s="4" t="n"/>
      <c r="T130" s="5" t="inlineStr">
        <is>
          <t>SEPARADO 17787874 ( FOB ) FATURAR DIA 28/07</t>
        </is>
      </c>
      <c r="U130" s="8">
        <f>IF(AND(V130=1,D130&lt;&gt;""),IF(D130&gt;=corte,TODAY()-D130,""),"")</f>
        <v/>
      </c>
      <c r="V130" s="8">
        <f>IF(D130="",0,IF(OR(AND(P130&lt;&gt;"",S130=""),AND(N(J130)&gt;0,N(K130)&lt;J130),OR(M130="PENDENTE",M130="PARCIAL"),OR(N130="PENDENTE",N130="PARCIAL")),1,0))</f>
        <v/>
      </c>
      <c r="W130" s="8">
        <f>IF(AND(V130=1,D130&lt;&gt;""),IF(D130&gt;=corte,(B130="CRÍTICO")*1E9+(100000-D130)*10000+10000-ROW(),""),"")</f>
        <v/>
      </c>
      <c r="X130" s="8">
        <f>IF(AND(V130=1,D130=pas_data,E130=pas_turno),10000-ROW(),"")</f>
        <v/>
      </c>
    </row>
    <row r="131">
      <c r="A131" s="3">
        <f>IF(D131="","","TT-"&amp;TEXT(ROW()-1,"00000"))</f>
        <v/>
      </c>
      <c r="B131" s="3">
        <f>IF(D131="","",IF(V131=0,"CONCLUÍDO",IF(D131&lt;corte,"HISTÓRICO",IF(OR(AND(ISNUMBER(R131),R131&lt;TODAY()),AND(OR(N131="PENDENTE",N131="PARCIAL"),D131&lt;TODAY()-1)),"CRÍTICO",IF(OR(AND(P131&lt;&gt;"",S131=""),AND(N131="REALIZADO",M131="PENDENTE"),AND(ISNUMBER(R131),R131=TODAY())),"ATENÇÃO",IF(N(K131)=0,"PENDENTE","EM ANDAMENTO"))))))</f>
        <v/>
      </c>
      <c r="C131" s="3">
        <f>IF(D131="","",IF(V131=0,"🟢 OK",IF(D131&lt;corte,"⚪ HISTÓRICO (sem baixa)",IF(AND(ISNUMBER(R131),R131&lt;TODAY()),"🔴 PRAZO VENCIDO",IF(AND(OR(N131="PENDENTE",N131="PARCIAL"),D131&lt;TODAY()-1),"🔴 EMBARQUE ATRASADO",IF(AND(N131="REALIZADO",M131="PENDENTE"),"🟡 EMBARCADO SEM FATURAR",IF(AND(P131&lt;&gt;"",S131="",OR(Q131="",R131="")),"🟡 PENDÊNCIA SEM RESPONSÁVEL/PRAZO",IF(AND(ISNUMBER(R131),R131=TODAY()),"🟡 VENCE HOJE",IF(AND(P131&lt;&gt;"",S131=""),"🟡 PENDÊNCIA ABERTA",IF(AND(N(J131)&gt;0,N(K131)&lt;J131),"🟡 FALTA EXECUTAR",IF(OR(M131="PENDENTE",M131="PARCIAL"),"🟡 FATURAMENTO PENDENTE","🟡 EMBARQUE PENDENTE")))))))))))</f>
        <v/>
      </c>
      <c r="D131" s="4" t="n">
        <v>46229</v>
      </c>
      <c r="E131" s="5" t="inlineStr">
        <is>
          <t>C</t>
        </is>
      </c>
      <c r="F131" s="5" t="inlineStr">
        <is>
          <t>ADIB</t>
        </is>
      </c>
      <c r="G131" s="5" t="inlineStr">
        <is>
          <t>GM</t>
        </is>
      </c>
      <c r="H131" s="5" t="inlineStr">
        <is>
          <t>RJ</t>
        </is>
      </c>
      <c r="I131" s="5" t="inlineStr">
        <is>
          <t>TON</t>
        </is>
      </c>
      <c r="J131" s="6" t="n">
        <v>12.084</v>
      </c>
      <c r="K131" s="6" t="n">
        <v>12.084</v>
      </c>
      <c r="L131" s="7">
        <f>IF(OR(D131="",N(J131)=0),"",MIN(1,N(K131)/J131))</f>
        <v/>
      </c>
      <c r="M131" s="5" t="inlineStr">
        <is>
          <t>FATURADO</t>
        </is>
      </c>
      <c r="N131" s="5" t="inlineStr">
        <is>
          <t>PENDENTE</t>
        </is>
      </c>
      <c r="O131" s="5" t="inlineStr">
        <is>
          <t>OMEGA X</t>
        </is>
      </c>
      <c r="P131" s="5" t="n"/>
      <c r="Q131" s="5" t="n"/>
      <c r="R131" s="4" t="n"/>
      <c r="S131" s="4" t="n"/>
      <c r="T131" s="5" t="inlineStr">
        <is>
          <t>RJ CARRO 2 - FATURADO EMBARQUE 27/07</t>
        </is>
      </c>
      <c r="U131" s="8">
        <f>IF(AND(V131=1,D131&lt;&gt;""),IF(D131&gt;=corte,TODAY()-D131,""),"")</f>
        <v/>
      </c>
      <c r="V131" s="8">
        <f>IF(D131="",0,IF(OR(AND(P131&lt;&gt;"",S131=""),AND(N(J131)&gt;0,N(K131)&lt;J131),OR(M131="PENDENTE",M131="PARCIAL"),OR(N131="PENDENTE",N131="PARCIAL")),1,0))</f>
        <v/>
      </c>
      <c r="W131" s="8">
        <f>IF(AND(V131=1,D131&lt;&gt;""),IF(D131&gt;=corte,(B131="CRÍTICO")*1E9+(100000-D131)*10000+10000-ROW(),""),"")</f>
        <v/>
      </c>
      <c r="X131" s="8">
        <f>IF(AND(V131=1,D131=pas_data,E131=pas_turno),10000-ROW(),"")</f>
        <v/>
      </c>
    </row>
    <row r="132">
      <c r="A132" s="3">
        <f>IF(D132="","","TT-"&amp;TEXT(ROW()-1,"00000"))</f>
        <v/>
      </c>
      <c r="B132" s="3">
        <f>IF(D132="","",IF(V132=0,"CONCLUÍDO",IF(D132&lt;corte,"HISTÓRICO",IF(OR(AND(ISNUMBER(R132),R132&lt;TODAY()),AND(OR(N132="PENDENTE",N132="PARCIAL"),D132&lt;TODAY()-1)),"CRÍTICO",IF(OR(AND(P132&lt;&gt;"",S132=""),AND(N132="REALIZADO",M132="PENDENTE"),AND(ISNUMBER(R132),R132=TODAY())),"ATENÇÃO",IF(N(K132)=0,"PENDENTE","EM ANDAMENTO"))))))</f>
        <v/>
      </c>
      <c r="C132" s="3">
        <f>IF(D132="","",IF(V132=0,"🟢 OK",IF(D132&lt;corte,"⚪ HISTÓRICO (sem baixa)",IF(AND(ISNUMBER(R132),R132&lt;TODAY()),"🔴 PRAZO VENCIDO",IF(AND(OR(N132="PENDENTE",N132="PARCIAL"),D132&lt;TODAY()-1),"🔴 EMBARQUE ATRASADO",IF(AND(N132="REALIZADO",M132="PENDENTE"),"🟡 EMBARCADO SEM FATURAR",IF(AND(P132&lt;&gt;"",S132="",OR(Q132="",R132="")),"🟡 PENDÊNCIA SEM RESPONSÁVEL/PRAZO",IF(AND(ISNUMBER(R132),R132=TODAY()),"🟡 VENCE HOJE",IF(AND(P132&lt;&gt;"",S132=""),"🟡 PENDÊNCIA ABERTA",IF(AND(N(J132)&gt;0,N(K132)&lt;J132),"🟡 FALTA EXECUTAR",IF(OR(M132="PENDENTE",M132="PARCIAL"),"🟡 FATURAMENTO PENDENTE","🟡 EMBARQUE PENDENTE")))))))))))</f>
        <v/>
      </c>
      <c r="D132" s="4" t="n">
        <v>46229</v>
      </c>
      <c r="E132" s="5" t="inlineStr">
        <is>
          <t>C</t>
        </is>
      </c>
      <c r="F132" s="5" t="inlineStr">
        <is>
          <t>ADIB</t>
        </is>
      </c>
      <c r="G132" s="5" t="inlineStr">
        <is>
          <t>RECEBIMENTO</t>
        </is>
      </c>
      <c r="H132" s="5" t="inlineStr">
        <is>
          <t>BR15</t>
        </is>
      </c>
      <c r="I132" s="5" t="inlineStr">
        <is>
          <t>PALETE</t>
        </is>
      </c>
      <c r="J132" s="6" t="n">
        <v>26</v>
      </c>
      <c r="K132" s="6" t="n">
        <v>26</v>
      </c>
      <c r="L132" s="7">
        <f>IF(OR(D132="",N(J132)=0),"",MIN(1,N(K132)/J132))</f>
        <v/>
      </c>
      <c r="M132" s="5" t="n"/>
      <c r="N132" s="5" t="n"/>
      <c r="O132" s="5" t="inlineStr">
        <is>
          <t>TIO CARLO</t>
        </is>
      </c>
      <c r="P132" s="5" t="n"/>
      <c r="Q132" s="5" t="n"/>
      <c r="R132" s="4" t="n"/>
      <c r="S132" s="4" t="n"/>
      <c r="T132" s="5" t="inlineStr">
        <is>
          <t>RECEBEMOS CARGA CACAU - JÁ ARMAZENADO [MIGRAÇÃO: programação original: RECEB CACAU]</t>
        </is>
      </c>
      <c r="U132" s="8">
        <f>IF(AND(V132=1,D132&lt;&gt;""),IF(D132&gt;=corte,TODAY()-D132,""),"")</f>
        <v/>
      </c>
      <c r="V132" s="8">
        <f>IF(D132="",0,IF(OR(AND(P132&lt;&gt;"",S132=""),AND(N(J132)&gt;0,N(K132)&lt;J132),OR(M132="PENDENTE",M132="PARCIAL"),OR(N132="PENDENTE",N132="PARCIAL")),1,0))</f>
        <v/>
      </c>
      <c r="W132" s="8">
        <f>IF(AND(V132=1,D132&lt;&gt;""),IF(D132&gt;=corte,(B132="CRÍTICO")*1E9+(100000-D132)*10000+10000-ROW(),""),"")</f>
        <v/>
      </c>
      <c r="X132" s="8">
        <f>IF(AND(V132=1,D132=pas_data,E132=pas_turno),10000-ROW(),"")</f>
        <v/>
      </c>
    </row>
    <row r="133">
      <c r="A133" s="3">
        <f>IF(D133="","","TT-"&amp;TEXT(ROW()-1,"00000"))</f>
        <v/>
      </c>
      <c r="B133" s="3">
        <f>IF(D133="","",IF(V133=0,"CONCLUÍDO",IF(D133&lt;corte,"HISTÓRICO",IF(OR(AND(ISNUMBER(R133),R133&lt;TODAY()),AND(OR(N133="PENDENTE",N133="PARCIAL"),D133&lt;TODAY()-1)),"CRÍTICO",IF(OR(AND(P133&lt;&gt;"",S133=""),AND(N133="REALIZADO",M133="PENDENTE"),AND(ISNUMBER(R133),R133=TODAY())),"ATENÇÃO",IF(N(K133)=0,"PENDENTE","EM ANDAMENTO"))))))</f>
        <v/>
      </c>
      <c r="C133" s="3">
        <f>IF(D133="","",IF(V133=0,"🟢 OK",IF(D133&lt;corte,"⚪ HISTÓRICO (sem baixa)",IF(AND(ISNUMBER(R133),R133&lt;TODAY()),"🔴 PRAZO VENCIDO",IF(AND(OR(N133="PENDENTE",N133="PARCIAL"),D133&lt;TODAY()-1),"🔴 EMBARQUE ATRASADO",IF(AND(N133="REALIZADO",M133="PENDENTE"),"🟡 EMBARCADO SEM FATURAR",IF(AND(P133&lt;&gt;"",S133="",OR(Q133="",R133="")),"🟡 PENDÊNCIA SEM RESPONSÁVEL/PRAZO",IF(AND(ISNUMBER(R133),R133=TODAY()),"🟡 VENCE HOJE",IF(AND(P133&lt;&gt;"",S133=""),"🟡 PENDÊNCIA ABERTA",IF(AND(N(J133)&gt;0,N(K133)&lt;J133),"🟡 FALTA EXECUTAR",IF(OR(M133="PENDENTE",M133="PARCIAL"),"🟡 FATURAMENTO PENDENTE","🟡 EMBARQUE PENDENTE")))))))))))</f>
        <v/>
      </c>
      <c r="D133" s="4" t="n">
        <v>46229</v>
      </c>
      <c r="E133" s="5" t="inlineStr">
        <is>
          <t>C</t>
        </is>
      </c>
      <c r="F133" s="5" t="inlineStr">
        <is>
          <t>ADIB</t>
        </is>
      </c>
      <c r="G133" s="5" t="inlineStr">
        <is>
          <t>FM</t>
        </is>
      </c>
      <c r="H133" s="5" t="inlineStr">
        <is>
          <t>FM</t>
        </is>
      </c>
      <c r="I133" s="5" t="inlineStr">
        <is>
          <t>TON</t>
        </is>
      </c>
      <c r="J133" s="6" t="n">
        <v>28.05</v>
      </c>
      <c r="K133" s="6" t="n">
        <v>28.05</v>
      </c>
      <c r="L133" s="7">
        <f>IF(OR(D133="",N(J133)=0),"",MIN(1,N(K133)/J133))</f>
        <v/>
      </c>
      <c r="M133" s="5" t="inlineStr">
        <is>
          <t>FATURADO</t>
        </is>
      </c>
      <c r="N133" s="5" t="inlineStr">
        <is>
          <t>PENDENTE</t>
        </is>
      </c>
      <c r="O133" s="5" t="inlineStr">
        <is>
          <t>SPEEDYLOG</t>
        </is>
      </c>
      <c r="P133" s="5" t="inlineStr">
        <is>
          <t>PANDURATA - FATURADO - AGUARDANDO CARRO</t>
        </is>
      </c>
      <c r="Q133" s="5" t="n"/>
      <c r="R133" s="4" t="n"/>
      <c r="S133" s="4" t="n"/>
      <c r="T133" s="5" t="inlineStr">
        <is>
          <t>PANDURATA - FATURADO - AGUARDANDO CARRO</t>
        </is>
      </c>
      <c r="U133" s="8">
        <f>IF(AND(V133=1,D133&lt;&gt;""),IF(D133&gt;=corte,TODAY()-D133,""),"")</f>
        <v/>
      </c>
      <c r="V133" s="8">
        <f>IF(D133="",0,IF(OR(AND(P133&lt;&gt;"",S133=""),AND(N(J133)&gt;0,N(K133)&lt;J133),OR(M133="PENDENTE",M133="PARCIAL"),OR(N133="PENDENTE",N133="PARCIAL")),1,0))</f>
        <v/>
      </c>
      <c r="W133" s="8">
        <f>IF(AND(V133=1,D133&lt;&gt;""),IF(D133&gt;=corte,(B133="CRÍTICO")*1E9+(100000-D133)*10000+10000-ROW(),""),"")</f>
        <v/>
      </c>
      <c r="X133" s="8">
        <f>IF(AND(V133=1,D133=pas_data,E133=pas_turno),10000-ROW(),"")</f>
        <v/>
      </c>
    </row>
    <row r="134">
      <c r="A134" s="3">
        <f>IF(D134="","","TT-"&amp;TEXT(ROW()-1,"00000"))</f>
        <v/>
      </c>
      <c r="B134" s="3">
        <f>IF(D134="","",IF(V134=0,"CONCLUÍDO",IF(D134&lt;corte,"HISTÓRICO",IF(OR(AND(ISNUMBER(R134),R134&lt;TODAY()),AND(OR(N134="PENDENTE",N134="PARCIAL"),D134&lt;TODAY()-1)),"CRÍTICO",IF(OR(AND(P134&lt;&gt;"",S134=""),AND(N134="REALIZADO",M134="PENDENTE"),AND(ISNUMBER(R134),R134=TODAY())),"ATENÇÃO",IF(N(K134)=0,"PENDENTE","EM ANDAMENTO"))))))</f>
        <v/>
      </c>
      <c r="C134" s="3">
        <f>IF(D134="","",IF(V134=0,"🟢 OK",IF(D134&lt;corte,"⚪ HISTÓRICO (sem baixa)",IF(AND(ISNUMBER(R134),R134&lt;TODAY()),"🔴 PRAZO VENCIDO",IF(AND(OR(N134="PENDENTE",N134="PARCIAL"),D134&lt;TODAY()-1),"🔴 EMBARQUE ATRASADO",IF(AND(N134="REALIZADO",M134="PENDENTE"),"🟡 EMBARCADO SEM FATURAR",IF(AND(P134&lt;&gt;"",S134="",OR(Q134="",R134="")),"🟡 PENDÊNCIA SEM RESPONSÁVEL/PRAZO",IF(AND(ISNUMBER(R134),R134=TODAY()),"🟡 VENCE HOJE",IF(AND(P134&lt;&gt;"",S134=""),"🟡 PENDÊNCIA ABERTA",IF(AND(N(J134)&gt;0,N(K134)&lt;J134),"🟡 FALTA EXECUTAR",IF(OR(M134="PENDENTE",M134="PARCIAL"),"🟡 FATURAMENTO PENDENTE","🟡 EMBARQUE PENDENTE")))))))))))</f>
        <v/>
      </c>
      <c r="D134" s="4" t="n">
        <v>46229</v>
      </c>
      <c r="E134" s="5" t="inlineStr">
        <is>
          <t>C</t>
        </is>
      </c>
      <c r="F134" s="5" t="inlineStr">
        <is>
          <t>ADIB</t>
        </is>
      </c>
      <c r="G134" s="5" t="inlineStr">
        <is>
          <t>FM</t>
        </is>
      </c>
      <c r="H134" s="5" t="inlineStr">
        <is>
          <t>FM</t>
        </is>
      </c>
      <c r="I134" s="5" t="inlineStr">
        <is>
          <t>TON</t>
        </is>
      </c>
      <c r="J134" s="6" t="n">
        <v>6.96</v>
      </c>
      <c r="K134" s="6" t="n">
        <v>6.96</v>
      </c>
      <c r="L134" s="7">
        <f>IF(OR(D134="",N(J134)=0),"",MIN(1,N(K134)/J134))</f>
        <v/>
      </c>
      <c r="M134" s="5" t="inlineStr">
        <is>
          <t>FATURADO</t>
        </is>
      </c>
      <c r="N134" s="5" t="inlineStr">
        <is>
          <t>PENDENTE</t>
        </is>
      </c>
      <c r="O134" s="5" t="inlineStr">
        <is>
          <t>PRÓPRIO</t>
        </is>
      </c>
      <c r="P134" s="5" t="n"/>
      <c r="Q134" s="5" t="n"/>
      <c r="R134" s="4" t="n"/>
      <c r="S134" s="4" t="n"/>
      <c r="T134" s="5" t="inlineStr">
        <is>
          <t>BARION - SEPARADO E FATURADO</t>
        </is>
      </c>
      <c r="U134" s="8">
        <f>IF(AND(V134=1,D134&lt;&gt;""),IF(D134&gt;=corte,TODAY()-D134,""),"")</f>
        <v/>
      </c>
      <c r="V134" s="8">
        <f>IF(D134="",0,IF(OR(AND(P134&lt;&gt;"",S134=""),AND(N(J134)&gt;0,N(K134)&lt;J134),OR(M134="PENDENTE",M134="PARCIAL"),OR(N134="PENDENTE",N134="PARCIAL")),1,0))</f>
        <v/>
      </c>
      <c r="W134" s="8">
        <f>IF(AND(V134=1,D134&lt;&gt;""),IF(D134&gt;=corte,(B134="CRÍTICO")*1E9+(100000-D134)*10000+10000-ROW(),""),"")</f>
        <v/>
      </c>
      <c r="X134" s="8">
        <f>IF(AND(V134=1,D134=pas_data,E134=pas_turno),10000-ROW(),"")</f>
        <v/>
      </c>
    </row>
    <row r="135">
      <c r="A135" s="3">
        <f>IF(D135="","","TT-"&amp;TEXT(ROW()-1,"00000"))</f>
        <v/>
      </c>
      <c r="B135" s="3">
        <f>IF(D135="","",IF(V135=0,"CONCLUÍDO",IF(D135&lt;corte,"HISTÓRICO",IF(OR(AND(ISNUMBER(R135),R135&lt;TODAY()),AND(OR(N135="PENDENTE",N135="PARCIAL"),D135&lt;TODAY()-1)),"CRÍTICO",IF(OR(AND(P135&lt;&gt;"",S135=""),AND(N135="REALIZADO",M135="PENDENTE"),AND(ISNUMBER(R135),R135=TODAY())),"ATENÇÃO",IF(N(K135)=0,"PENDENTE","EM ANDAMENTO"))))))</f>
        <v/>
      </c>
      <c r="C135" s="3">
        <f>IF(D135="","",IF(V135=0,"🟢 OK",IF(D135&lt;corte,"⚪ HISTÓRICO (sem baixa)",IF(AND(ISNUMBER(R135),R135&lt;TODAY()),"🔴 PRAZO VENCIDO",IF(AND(OR(N135="PENDENTE",N135="PARCIAL"),D135&lt;TODAY()-1),"🔴 EMBARQUE ATRASADO",IF(AND(N135="REALIZADO",M135="PENDENTE"),"🟡 EMBARCADO SEM FATURAR",IF(AND(P135&lt;&gt;"",S135="",OR(Q135="",R135="")),"🟡 PENDÊNCIA SEM RESPONSÁVEL/PRAZO",IF(AND(ISNUMBER(R135),R135=TODAY()),"🟡 VENCE HOJE",IF(AND(P135&lt;&gt;"",S135=""),"🟡 PENDÊNCIA ABERTA",IF(AND(N(J135)&gt;0,N(K135)&lt;J135),"🟡 FALTA EXECUTAR",IF(OR(M135="PENDENTE",M135="PARCIAL"),"🟡 FATURAMENTO PENDENTE","🟡 EMBARQUE PENDENTE")))))))))))</f>
        <v/>
      </c>
      <c r="D135" s="4" t="n">
        <v>46229</v>
      </c>
      <c r="E135" s="5" t="inlineStr">
        <is>
          <t>C</t>
        </is>
      </c>
      <c r="F135" s="5" t="inlineStr">
        <is>
          <t>ADIB</t>
        </is>
      </c>
      <c r="G135" s="5" t="inlineStr">
        <is>
          <t>GRANEL</t>
        </is>
      </c>
      <c r="H135" s="5" t="inlineStr">
        <is>
          <t>FABRICA</t>
        </is>
      </c>
      <c r="I135" s="5" t="inlineStr">
        <is>
          <t>TON</t>
        </is>
      </c>
      <c r="J135" s="6" t="n">
        <v>14.73</v>
      </c>
      <c r="K135" s="6" t="n">
        <v>14.73</v>
      </c>
      <c r="L135" s="7">
        <f>IF(OR(D135="",N(J135)=0),"",MIN(1,N(K135)/J135))</f>
        <v/>
      </c>
      <c r="M135" s="5" t="inlineStr">
        <is>
          <t>FATURADO</t>
        </is>
      </c>
      <c r="N135" s="5" t="inlineStr">
        <is>
          <t>REALIZADO</t>
        </is>
      </c>
      <c r="O135" s="5" t="inlineStr">
        <is>
          <t>PRÓPRIO</t>
        </is>
      </c>
      <c r="P135" s="5" t="n"/>
      <c r="Q135" s="5" t="n"/>
      <c r="R135" s="4" t="n"/>
      <c r="S135" s="4" t="n"/>
      <c r="T135" s="5" t="inlineStr">
        <is>
          <t>GRANEL PANDURATA - LIBERADO</t>
        </is>
      </c>
      <c r="U135" s="8">
        <f>IF(AND(V135=1,D135&lt;&gt;""),IF(D135&gt;=corte,TODAY()-D135,""),"")</f>
        <v/>
      </c>
      <c r="V135" s="8">
        <f>IF(D135="",0,IF(OR(AND(P135&lt;&gt;"",S135=""),AND(N(J135)&gt;0,N(K135)&lt;J135),OR(M135="PENDENTE",M135="PARCIAL"),OR(N135="PENDENTE",N135="PARCIAL")),1,0))</f>
        <v/>
      </c>
      <c r="W135" s="8">
        <f>IF(AND(V135=1,D135&lt;&gt;""),IF(D135&gt;=corte,(B135="CRÍTICO")*1E9+(100000-D135)*10000+10000-ROW(),""),"")</f>
        <v/>
      </c>
      <c r="X135" s="8">
        <f>IF(AND(V135=1,D135=pas_data,E135=pas_turno),10000-ROW(),"")</f>
        <v/>
      </c>
    </row>
    <row r="136">
      <c r="A136" s="3">
        <f>IF(D136="","","TT-"&amp;TEXT(ROW()-1,"00000"))</f>
        <v/>
      </c>
      <c r="B136" s="3">
        <f>IF(D136="","",IF(V136=0,"CONCLUÍDO",IF(D136&lt;corte,"HISTÓRICO",IF(OR(AND(ISNUMBER(R136),R136&lt;TODAY()),AND(OR(N136="PENDENTE",N136="PARCIAL"),D136&lt;TODAY()-1)),"CRÍTICO",IF(OR(AND(P136&lt;&gt;"",S136=""),AND(N136="REALIZADO",M136="PENDENTE"),AND(ISNUMBER(R136),R136=TODAY())),"ATENÇÃO",IF(N(K136)=0,"PENDENTE","EM ANDAMENTO"))))))</f>
        <v/>
      </c>
      <c r="C136" s="3">
        <f>IF(D136="","",IF(V136=0,"🟢 OK",IF(D136&lt;corte,"⚪ HISTÓRICO (sem baixa)",IF(AND(ISNUMBER(R136),R136&lt;TODAY()),"🔴 PRAZO VENCIDO",IF(AND(OR(N136="PENDENTE",N136="PARCIAL"),D136&lt;TODAY()-1),"🔴 EMBARQUE ATRASADO",IF(AND(N136="REALIZADO",M136="PENDENTE"),"🟡 EMBARCADO SEM FATURAR",IF(AND(P136&lt;&gt;"",S136="",OR(Q136="",R136="")),"🟡 PENDÊNCIA SEM RESPONSÁVEL/PRAZO",IF(AND(ISNUMBER(R136),R136=TODAY()),"🟡 VENCE HOJE",IF(AND(P136&lt;&gt;"",S136=""),"🟡 PENDÊNCIA ABERTA",IF(AND(N(J136)&gt;0,N(K136)&lt;J136),"🟡 FALTA EXECUTAR",IF(OR(M136="PENDENTE",M136="PARCIAL"),"🟡 FATURAMENTO PENDENTE","🟡 EMBARQUE PENDENTE")))))))))))</f>
        <v/>
      </c>
      <c r="D136" s="4" t="n">
        <v>46229</v>
      </c>
      <c r="E136" s="5" t="inlineStr">
        <is>
          <t>C</t>
        </is>
      </c>
      <c r="F136" s="5" t="inlineStr">
        <is>
          <t>ADIB</t>
        </is>
      </c>
      <c r="G136" s="5" t="inlineStr">
        <is>
          <t>GRANEL</t>
        </is>
      </c>
      <c r="H136" s="5" t="inlineStr">
        <is>
          <t>FABRICA</t>
        </is>
      </c>
      <c r="I136" s="5" t="inlineStr">
        <is>
          <t>TON</t>
        </is>
      </c>
      <c r="J136" s="6" t="n">
        <v>9.43</v>
      </c>
      <c r="K136" s="6" t="n">
        <v>9.43</v>
      </c>
      <c r="L136" s="7">
        <f>IF(OR(D136="",N(J136)=0),"",MIN(1,N(K136)/J136))</f>
        <v/>
      </c>
      <c r="M136" s="5" t="inlineStr">
        <is>
          <t>FATURADO</t>
        </is>
      </c>
      <c r="N136" s="5" t="inlineStr">
        <is>
          <t>REALIZADO</t>
        </is>
      </c>
      <c r="O136" s="5" t="inlineStr">
        <is>
          <t>PRÓPRIO</t>
        </is>
      </c>
      <c r="P136" s="5" t="n"/>
      <c r="Q136" s="5" t="n"/>
      <c r="R136" s="4" t="n"/>
      <c r="S136" s="4" t="n"/>
      <c r="T136" s="5" t="inlineStr">
        <is>
          <t>FGRANEL MAGNUM - LIBERADO</t>
        </is>
      </c>
      <c r="U136" s="8">
        <f>IF(AND(V136=1,D136&lt;&gt;""),IF(D136&gt;=corte,TODAY()-D136,""),"")</f>
        <v/>
      </c>
      <c r="V136" s="8">
        <f>IF(D136="",0,IF(OR(AND(P136&lt;&gt;"",S136=""),AND(N(J136)&gt;0,N(K136)&lt;J136),OR(M136="PENDENTE",M136="PARCIAL"),OR(N136="PENDENTE",N136="PARCIAL")),1,0))</f>
        <v/>
      </c>
      <c r="W136" s="8">
        <f>IF(AND(V136=1,D136&lt;&gt;""),IF(D136&gt;=corte,(B136="CRÍTICO")*1E9+(100000-D136)*10000+10000-ROW(),""),"")</f>
        <v/>
      </c>
      <c r="X136" s="8">
        <f>IF(AND(V136=1,D136=pas_data,E136=pas_turno),10000-ROW(),"")</f>
        <v/>
      </c>
    </row>
    <row r="137">
      <c r="A137" s="3">
        <f>IF(D137="","","TT-"&amp;TEXT(ROW()-1,"00000"))</f>
        <v/>
      </c>
      <c r="B137" s="3">
        <f>IF(D137="","",IF(V137=0,"CONCLUÍDO",IF(D137&lt;corte,"HISTÓRICO",IF(OR(AND(ISNUMBER(R137),R137&lt;TODAY()),AND(OR(N137="PENDENTE",N137="PARCIAL"),D137&lt;TODAY()-1)),"CRÍTICO",IF(OR(AND(P137&lt;&gt;"",S137=""),AND(N137="REALIZADO",M137="PENDENTE"),AND(ISNUMBER(R137),R137=TODAY())),"ATENÇÃO",IF(N(K137)=0,"PENDENTE","EM ANDAMENTO"))))))</f>
        <v/>
      </c>
      <c r="C137" s="3">
        <f>IF(D137="","",IF(V137=0,"🟢 OK",IF(D137&lt;corte,"⚪ HISTÓRICO (sem baixa)",IF(AND(ISNUMBER(R137),R137&lt;TODAY()),"🔴 PRAZO VENCIDO",IF(AND(OR(N137="PENDENTE",N137="PARCIAL"),D137&lt;TODAY()-1),"🔴 EMBARQUE ATRASADO",IF(AND(N137="REALIZADO",M137="PENDENTE"),"🟡 EMBARCADO SEM FATURAR",IF(AND(P137&lt;&gt;"",S137="",OR(Q137="",R137="")),"🟡 PENDÊNCIA SEM RESPONSÁVEL/PRAZO",IF(AND(ISNUMBER(R137),R137=TODAY()),"🟡 VENCE HOJE",IF(AND(P137&lt;&gt;"",S137=""),"🟡 PENDÊNCIA ABERTA",IF(AND(N(J137)&gt;0,N(K137)&lt;J137),"🟡 FALTA EXECUTAR",IF(OR(M137="PENDENTE",M137="PARCIAL"),"🟡 FATURAMENTO PENDENTE","🟡 EMBARQUE PENDENTE")))))))))))</f>
        <v/>
      </c>
      <c r="D137" s="4" t="n">
        <v>46229</v>
      </c>
      <c r="E137" s="5" t="inlineStr">
        <is>
          <t>D</t>
        </is>
      </c>
      <c r="F137" s="5" t="inlineStr">
        <is>
          <t>ADAO</t>
        </is>
      </c>
      <c r="G137" s="5" t="inlineStr">
        <is>
          <t>FM</t>
        </is>
      </c>
      <c r="H137" s="5" t="inlineStr">
        <is>
          <t>FM</t>
        </is>
      </c>
      <c r="I137" s="5" t="inlineStr">
        <is>
          <t>TON</t>
        </is>
      </c>
      <c r="J137" s="6" t="n">
        <v>23.738</v>
      </c>
      <c r="K137" s="6" t="n">
        <v>23.738</v>
      </c>
      <c r="L137" s="7">
        <f>IF(OR(D137="",N(J137)=0),"",MIN(1,N(K137)/J137))</f>
        <v/>
      </c>
      <c r="M137" s="5" t="inlineStr">
        <is>
          <t>FATURADO</t>
        </is>
      </c>
      <c r="N137" s="5" t="inlineStr">
        <is>
          <t>REALIZADO</t>
        </is>
      </c>
      <c r="O137" s="5" t="inlineStr">
        <is>
          <t>SPEEDYLOG</t>
        </is>
      </c>
      <c r="P137" s="5" t="n"/>
      <c r="Q137" s="5" t="n"/>
      <c r="R137" s="4" t="n"/>
      <c r="S137" s="4" t="n"/>
      <c r="T137" s="5" t="n"/>
      <c r="U137" s="8">
        <f>IF(AND(V137=1,D137&lt;&gt;""),IF(D137&gt;=corte,TODAY()-D137,""),"")</f>
        <v/>
      </c>
      <c r="V137" s="8">
        <f>IF(D137="",0,IF(OR(AND(P137&lt;&gt;"",S137=""),AND(N(J137)&gt;0,N(K137)&lt;J137),OR(M137="PENDENTE",M137="PARCIAL"),OR(N137="PENDENTE",N137="PARCIAL")),1,0))</f>
        <v/>
      </c>
      <c r="W137" s="8">
        <f>IF(AND(V137=1,D137&lt;&gt;""),IF(D137&gt;=corte,(B137="CRÍTICO")*1E9+(100000-D137)*10000+10000-ROW(),""),"")</f>
        <v/>
      </c>
      <c r="X137" s="8">
        <f>IF(AND(V137=1,D137=pas_data,E137=pas_turno),10000-ROW(),"")</f>
        <v/>
      </c>
    </row>
    <row r="138">
      <c r="A138" s="3">
        <f>IF(D138="","","TT-"&amp;TEXT(ROW()-1,"00000"))</f>
        <v/>
      </c>
      <c r="B138" s="3">
        <f>IF(D138="","",IF(V138=0,"CONCLUÍDO",IF(D138&lt;corte,"HISTÓRICO",IF(OR(AND(ISNUMBER(R138),R138&lt;TODAY()),AND(OR(N138="PENDENTE",N138="PARCIAL"),D138&lt;TODAY()-1)),"CRÍTICO",IF(OR(AND(P138&lt;&gt;"",S138=""),AND(N138="REALIZADO",M138="PENDENTE"),AND(ISNUMBER(R138),R138=TODAY())),"ATENÇÃO",IF(N(K138)=0,"PENDENTE","EM ANDAMENTO"))))))</f>
        <v/>
      </c>
      <c r="C138" s="3">
        <f>IF(D138="","",IF(V138=0,"🟢 OK",IF(D138&lt;corte,"⚪ HISTÓRICO (sem baixa)",IF(AND(ISNUMBER(R138),R138&lt;TODAY()),"🔴 PRAZO VENCIDO",IF(AND(OR(N138="PENDENTE",N138="PARCIAL"),D138&lt;TODAY()-1),"🔴 EMBARQUE ATRASADO",IF(AND(N138="REALIZADO",M138="PENDENTE"),"🟡 EMBARCADO SEM FATURAR",IF(AND(P138&lt;&gt;"",S138="",OR(Q138="",R138="")),"🟡 PENDÊNCIA SEM RESPONSÁVEL/PRAZO",IF(AND(ISNUMBER(R138),R138=TODAY()),"🟡 VENCE HOJE",IF(AND(P138&lt;&gt;"",S138=""),"🟡 PENDÊNCIA ABERTA",IF(AND(N(J138)&gt;0,N(K138)&lt;J138),"🟡 FALTA EXECUTAR",IF(OR(M138="PENDENTE",M138="PARCIAL"),"🟡 FATURAMENTO PENDENTE","🟡 EMBARQUE PENDENTE")))))))))))</f>
        <v/>
      </c>
      <c r="D138" s="4" t="n">
        <v>46229</v>
      </c>
      <c r="E138" s="5" t="inlineStr">
        <is>
          <t>D</t>
        </is>
      </c>
      <c r="F138" s="5" t="inlineStr">
        <is>
          <t>ADAO</t>
        </is>
      </c>
      <c r="G138" s="5" t="inlineStr">
        <is>
          <t>FM</t>
        </is>
      </c>
      <c r="H138" s="5" t="inlineStr">
        <is>
          <t>FM</t>
        </is>
      </c>
      <c r="I138" s="5" t="inlineStr">
        <is>
          <t>TON</t>
        </is>
      </c>
      <c r="J138" s="6" t="n">
        <v>28.054</v>
      </c>
      <c r="K138" s="6" t="n">
        <v>28.054</v>
      </c>
      <c r="L138" s="7">
        <f>IF(OR(D138="",N(J138)=0),"",MIN(1,N(K138)/J138))</f>
        <v/>
      </c>
      <c r="M138" s="5" t="inlineStr">
        <is>
          <t>PENDENTE</t>
        </is>
      </c>
      <c r="N138" s="5" t="inlineStr">
        <is>
          <t>PENDENTE</t>
        </is>
      </c>
      <c r="O138" s="5" t="inlineStr">
        <is>
          <t>SPEEDYLOG</t>
        </is>
      </c>
      <c r="P138" s="5" t="inlineStr">
        <is>
          <t>FM I.B.A.E - GERADA - FALTA SEPARAR</t>
        </is>
      </c>
      <c r="Q138" s="5" t="n"/>
      <c r="R138" s="4" t="n"/>
      <c r="S138" s="4" t="n"/>
      <c r="T138" s="5" t="inlineStr">
        <is>
          <t>FM I.B.A.E - GERADA - FALTA SEPARAR</t>
        </is>
      </c>
      <c r="U138" s="8">
        <f>IF(AND(V138=1,D138&lt;&gt;""),IF(D138&gt;=corte,TODAY()-D138,""),"")</f>
        <v/>
      </c>
      <c r="V138" s="8">
        <f>IF(D138="",0,IF(OR(AND(P138&lt;&gt;"",S138=""),AND(N(J138)&gt;0,N(K138)&lt;J138),OR(M138="PENDENTE",M138="PARCIAL"),OR(N138="PENDENTE",N138="PARCIAL")),1,0))</f>
        <v/>
      </c>
      <c r="W138" s="8">
        <f>IF(AND(V138=1,D138&lt;&gt;""),IF(D138&gt;=corte,(B138="CRÍTICO")*1E9+(100000-D138)*10000+10000-ROW(),""),"")</f>
        <v/>
      </c>
      <c r="X138" s="8">
        <f>IF(AND(V138=1,D138=pas_data,E138=pas_turno),10000-ROW(),"")</f>
        <v/>
      </c>
    </row>
    <row r="139">
      <c r="A139" s="3">
        <f>IF(D139="","","TT-"&amp;TEXT(ROW()-1,"00000"))</f>
        <v/>
      </c>
      <c r="B139" s="3">
        <f>IF(D139="","",IF(V139=0,"CONCLUÍDO",IF(D139&lt;corte,"HISTÓRICO",IF(OR(AND(ISNUMBER(R139),R139&lt;TODAY()),AND(OR(N139="PENDENTE",N139="PARCIAL"),D139&lt;TODAY()-1)),"CRÍTICO",IF(OR(AND(P139&lt;&gt;"",S139=""),AND(N139="REALIZADO",M139="PENDENTE"),AND(ISNUMBER(R139),R139=TODAY())),"ATENÇÃO",IF(N(K139)=0,"PENDENTE","EM ANDAMENTO"))))))</f>
        <v/>
      </c>
      <c r="C139" s="3">
        <f>IF(D139="","",IF(V139=0,"🟢 OK",IF(D139&lt;corte,"⚪ HISTÓRICO (sem baixa)",IF(AND(ISNUMBER(R139),R139&lt;TODAY()),"🔴 PRAZO VENCIDO",IF(AND(OR(N139="PENDENTE",N139="PARCIAL"),D139&lt;TODAY()-1),"🔴 EMBARQUE ATRASADO",IF(AND(N139="REALIZADO",M139="PENDENTE"),"🟡 EMBARCADO SEM FATURAR",IF(AND(P139&lt;&gt;"",S139="",OR(Q139="",R139="")),"🟡 PENDÊNCIA SEM RESPONSÁVEL/PRAZO",IF(AND(ISNUMBER(R139),R139=TODAY()),"🟡 VENCE HOJE",IF(AND(P139&lt;&gt;"",S139=""),"🟡 PENDÊNCIA ABERTA",IF(AND(N(J139)&gt;0,N(K139)&lt;J139),"🟡 FALTA EXECUTAR",IF(OR(M139="PENDENTE",M139="PARCIAL"),"🟡 FATURAMENTO PENDENTE","🟡 EMBARQUE PENDENTE")))))))))))</f>
        <v/>
      </c>
      <c r="D139" s="4" t="n">
        <v>46229</v>
      </c>
      <c r="E139" s="5" t="inlineStr">
        <is>
          <t>D</t>
        </is>
      </c>
      <c r="F139" s="5" t="inlineStr">
        <is>
          <t>ADAO</t>
        </is>
      </c>
      <c r="G139" s="5" t="inlineStr">
        <is>
          <t>TRANSFERÊNCIA</t>
        </is>
      </c>
      <c r="H139" s="5" t="inlineStr">
        <is>
          <t>BR15</t>
        </is>
      </c>
      <c r="I139" s="5" t="inlineStr">
        <is>
          <t>PALETE</t>
        </is>
      </c>
      <c r="J139" s="6" t="n">
        <v>28</v>
      </c>
      <c r="K139" s="6" t="n">
        <v>28</v>
      </c>
      <c r="L139" s="7">
        <f>IF(OR(D139="",N(J139)=0),"",MIN(1,N(K139)/J139))</f>
        <v/>
      </c>
      <c r="M139" s="5" t="n"/>
      <c r="N139" s="5" t="n"/>
      <c r="O139" s="5" t="inlineStr">
        <is>
          <t>D2</t>
        </is>
      </c>
      <c r="P139" s="5" t="inlineStr">
        <is>
          <t>D2 IMPORTAÇÃO - FALTA RECEBER</t>
        </is>
      </c>
      <c r="Q139" s="5" t="n"/>
      <c r="R139" s="4" t="n"/>
      <c r="S139" s="4" t="n"/>
      <c r="T139" s="5" t="inlineStr">
        <is>
          <t>D2 IMPORTAÇÃO - FALTA RECEBER [MIGRAÇÃO: programação original: TRANSF]</t>
        </is>
      </c>
      <c r="U139" s="8">
        <f>IF(AND(V139=1,D139&lt;&gt;""),IF(D139&gt;=corte,TODAY()-D139,""),"")</f>
        <v/>
      </c>
      <c r="V139" s="8">
        <f>IF(D139="",0,IF(OR(AND(P139&lt;&gt;"",S139=""),AND(N(J139)&gt;0,N(K139)&lt;J139),OR(M139="PENDENTE",M139="PARCIAL"),OR(N139="PENDENTE",N139="PARCIAL")),1,0))</f>
        <v/>
      </c>
      <c r="W139" s="8">
        <f>IF(AND(V139=1,D139&lt;&gt;""),IF(D139&gt;=corte,(B139="CRÍTICO")*1E9+(100000-D139)*10000+10000-ROW(),""),"")</f>
        <v/>
      </c>
      <c r="X139" s="8">
        <f>IF(AND(V139=1,D139=pas_data,E139=pas_turno),10000-ROW(),"")</f>
        <v/>
      </c>
    </row>
    <row r="140">
      <c r="A140" s="3">
        <f>IF(D140="","","TT-"&amp;TEXT(ROW()-1,"00000"))</f>
        <v/>
      </c>
      <c r="B140" s="3">
        <f>IF(D140="","",IF(V140=0,"CONCLUÍDO",IF(D140&lt;corte,"HISTÓRICO",IF(OR(AND(ISNUMBER(R140),R140&lt;TODAY()),AND(OR(N140="PENDENTE",N140="PARCIAL"),D140&lt;TODAY()-1)),"CRÍTICO",IF(OR(AND(P140&lt;&gt;"",S140=""),AND(N140="REALIZADO",M140="PENDENTE"),AND(ISNUMBER(R140),R140=TODAY())),"ATENÇÃO",IF(N(K140)=0,"PENDENTE","EM ANDAMENTO"))))))</f>
        <v/>
      </c>
      <c r="C140" s="3">
        <f>IF(D140="","",IF(V140=0,"🟢 OK",IF(D140&lt;corte,"⚪ HISTÓRICO (sem baixa)",IF(AND(ISNUMBER(R140),R140&lt;TODAY()),"🔴 PRAZO VENCIDO",IF(AND(OR(N140="PENDENTE",N140="PARCIAL"),D140&lt;TODAY()-1),"🔴 EMBARQUE ATRASADO",IF(AND(N140="REALIZADO",M140="PENDENTE"),"🟡 EMBARCADO SEM FATURAR",IF(AND(P140&lt;&gt;"",S140="",OR(Q140="",R140="")),"🟡 PENDÊNCIA SEM RESPONSÁVEL/PRAZO",IF(AND(ISNUMBER(R140),R140=TODAY()),"🟡 VENCE HOJE",IF(AND(P140&lt;&gt;"",S140=""),"🟡 PENDÊNCIA ABERTA",IF(AND(N(J140)&gt;0,N(K140)&lt;J140),"🟡 FALTA EXECUTAR",IF(OR(M140="PENDENTE",M140="PARCIAL"),"🟡 FATURAMENTO PENDENTE","🟡 EMBARQUE PENDENTE")))))))))))</f>
        <v/>
      </c>
      <c r="D140" s="4" t="n">
        <v>46229</v>
      </c>
      <c r="E140" s="5" t="inlineStr">
        <is>
          <t>D</t>
        </is>
      </c>
      <c r="F140" s="5" t="inlineStr">
        <is>
          <t>ADAO</t>
        </is>
      </c>
      <c r="G140" s="5" t="inlineStr">
        <is>
          <t>FOB</t>
        </is>
      </c>
      <c r="H140" s="5" t="inlineStr">
        <is>
          <t>FOB</t>
        </is>
      </c>
      <c r="I140" s="5" t="inlineStr">
        <is>
          <t>TON</t>
        </is>
      </c>
      <c r="J140" s="6" t="n">
        <v>10.977</v>
      </c>
      <c r="K140" s="6" t="n">
        <v>10.977</v>
      </c>
      <c r="L140" s="7">
        <f>IF(OR(D140="",N(J140)=0),"",MIN(1,N(K140)/J140))</f>
        <v/>
      </c>
      <c r="M140" s="5" t="inlineStr">
        <is>
          <t>PENDENTE</t>
        </is>
      </c>
      <c r="N140" s="5" t="n"/>
      <c r="O140" s="5" t="inlineStr">
        <is>
          <t>PRÓPRIO</t>
        </is>
      </c>
      <c r="P140" s="5" t="n"/>
      <c r="Q140" s="5" t="n"/>
      <c r="R140" s="4" t="n"/>
      <c r="S140" s="4" t="n"/>
      <c r="T140" s="5" t="n"/>
      <c r="U140" s="8">
        <f>IF(AND(V140=1,D140&lt;&gt;""),IF(D140&gt;=corte,TODAY()-D140,""),"")</f>
        <v/>
      </c>
      <c r="V140" s="8">
        <f>IF(D140="",0,IF(OR(AND(P140&lt;&gt;"",S140=""),AND(N(J140)&gt;0,N(K140)&lt;J140),OR(M140="PENDENTE",M140="PARCIAL"),OR(N140="PENDENTE",N140="PARCIAL")),1,0))</f>
        <v/>
      </c>
      <c r="W140" s="8">
        <f>IF(AND(V140=1,D140&lt;&gt;""),IF(D140&gt;=corte,(B140="CRÍTICO")*1E9+(100000-D140)*10000+10000-ROW(),""),"")</f>
        <v/>
      </c>
      <c r="X140" s="8">
        <f>IF(AND(V140=1,D140=pas_data,E140=pas_turno),10000-ROW(),"")</f>
        <v/>
      </c>
    </row>
    <row r="141">
      <c r="A141" s="3">
        <f>IF(D141="","","TT-"&amp;TEXT(ROW()-1,"00000"))</f>
        <v/>
      </c>
      <c r="B141" s="3">
        <f>IF(D141="","",IF(V141=0,"CONCLUÍDO",IF(D141&lt;corte,"HISTÓRICO",IF(OR(AND(ISNUMBER(R141),R141&lt;TODAY()),AND(OR(N141="PENDENTE",N141="PARCIAL"),D141&lt;TODAY()-1)),"CRÍTICO",IF(OR(AND(P141&lt;&gt;"",S141=""),AND(N141="REALIZADO",M141="PENDENTE"),AND(ISNUMBER(R141),R141=TODAY())),"ATENÇÃO",IF(N(K141)=0,"PENDENTE","EM ANDAMENTO"))))))</f>
        <v/>
      </c>
      <c r="C141" s="3">
        <f>IF(D141="","",IF(V141=0,"🟢 OK",IF(D141&lt;corte,"⚪ HISTÓRICO (sem baixa)",IF(AND(ISNUMBER(R141),R141&lt;TODAY()),"🔴 PRAZO VENCIDO",IF(AND(OR(N141="PENDENTE",N141="PARCIAL"),D141&lt;TODAY()-1),"🔴 EMBARQUE ATRASADO",IF(AND(N141="REALIZADO",M141="PENDENTE"),"🟡 EMBARCADO SEM FATURAR",IF(AND(P141&lt;&gt;"",S141="",OR(Q141="",R141="")),"🟡 PENDÊNCIA SEM RESPONSÁVEL/PRAZO",IF(AND(ISNUMBER(R141),R141=TODAY()),"🟡 VENCE HOJE",IF(AND(P141&lt;&gt;"",S141=""),"🟡 PENDÊNCIA ABERTA",IF(AND(N(J141)&gt;0,N(K141)&lt;J141),"🟡 FALTA EXECUTAR",IF(OR(M141="PENDENTE",M141="PARCIAL"),"🟡 FATURAMENTO PENDENTE","🟡 EMBARQUE PENDENTE")))))))))))</f>
        <v/>
      </c>
      <c r="D141" s="4" t="n">
        <v>46229</v>
      </c>
      <c r="E141" s="5" t="inlineStr">
        <is>
          <t>D</t>
        </is>
      </c>
      <c r="F141" s="5" t="inlineStr">
        <is>
          <t>ADAO</t>
        </is>
      </c>
      <c r="G141" s="5" t="inlineStr">
        <is>
          <t>FOB</t>
        </is>
      </c>
      <c r="H141" s="5" t="inlineStr">
        <is>
          <t>FOB</t>
        </is>
      </c>
      <c r="I141" s="5" t="inlineStr">
        <is>
          <t>TON</t>
        </is>
      </c>
      <c r="J141" s="6" t="n">
        <v>8.284000000000001</v>
      </c>
      <c r="K141" s="6" t="n">
        <v>8.284000000000001</v>
      </c>
      <c r="L141" s="7">
        <f>IF(OR(D141="",N(J141)=0),"",MIN(1,N(K141)/J141))</f>
        <v/>
      </c>
      <c r="M141" s="5" t="inlineStr">
        <is>
          <t>PENDENTE</t>
        </is>
      </c>
      <c r="N141" s="5" t="n"/>
      <c r="O141" s="5" t="inlineStr">
        <is>
          <t>PRÓPRIO</t>
        </is>
      </c>
      <c r="P141" s="5" t="n"/>
      <c r="Q141" s="5" t="n"/>
      <c r="R141" s="4" t="n"/>
      <c r="S141" s="4" t="n"/>
      <c r="T141" s="5" t="n"/>
      <c r="U141" s="8">
        <f>IF(AND(V141=1,D141&lt;&gt;""),IF(D141&gt;=corte,TODAY()-D141,""),"")</f>
        <v/>
      </c>
      <c r="V141" s="8">
        <f>IF(D141="",0,IF(OR(AND(P141&lt;&gt;"",S141=""),AND(N(J141)&gt;0,N(K141)&lt;J141),OR(M141="PENDENTE",M141="PARCIAL"),OR(N141="PENDENTE",N141="PARCIAL")),1,0))</f>
        <v/>
      </c>
      <c r="W141" s="8">
        <f>IF(AND(V141=1,D141&lt;&gt;""),IF(D141&gt;=corte,(B141="CRÍTICO")*1E9+(100000-D141)*10000+10000-ROW(),""),"")</f>
        <v/>
      </c>
      <c r="X141" s="8">
        <f>IF(AND(V141=1,D141=pas_data,E141=pas_turno),10000-ROW(),"")</f>
        <v/>
      </c>
    </row>
    <row r="142">
      <c r="A142" s="3">
        <f>IF(D142="","","TT-"&amp;TEXT(ROW()-1,"00000"))</f>
        <v/>
      </c>
      <c r="B142" s="3">
        <f>IF(D142="","",IF(V142=0,"CONCLUÍDO",IF(D142&lt;corte,"HISTÓRICO",IF(OR(AND(ISNUMBER(R142),R142&lt;TODAY()),AND(OR(N142="PENDENTE",N142="PARCIAL"),D142&lt;TODAY()-1)),"CRÍTICO",IF(OR(AND(P142&lt;&gt;"",S142=""),AND(N142="REALIZADO",M142="PENDENTE"),AND(ISNUMBER(R142),R142=TODAY())),"ATENÇÃO",IF(N(K142)=0,"PENDENTE","EM ANDAMENTO"))))))</f>
        <v/>
      </c>
      <c r="C142" s="3">
        <f>IF(D142="","",IF(V142=0,"🟢 OK",IF(D142&lt;corte,"⚪ HISTÓRICO (sem baixa)",IF(AND(ISNUMBER(R142),R142&lt;TODAY()),"🔴 PRAZO VENCIDO",IF(AND(OR(N142="PENDENTE",N142="PARCIAL"),D142&lt;TODAY()-1),"🔴 EMBARQUE ATRASADO",IF(AND(N142="REALIZADO",M142="PENDENTE"),"🟡 EMBARCADO SEM FATURAR",IF(AND(P142&lt;&gt;"",S142="",OR(Q142="",R142="")),"🟡 PENDÊNCIA SEM RESPONSÁVEL/PRAZO",IF(AND(ISNUMBER(R142),R142=TODAY()),"🟡 VENCE HOJE",IF(AND(P142&lt;&gt;"",S142=""),"🟡 PENDÊNCIA ABERTA",IF(AND(N(J142)&gt;0,N(K142)&lt;J142),"🟡 FALTA EXECUTAR",IF(OR(M142="PENDENTE",M142="PARCIAL"),"🟡 FATURAMENTO PENDENTE","🟡 EMBARQUE PENDENTE")))))))))))</f>
        <v/>
      </c>
      <c r="D142" s="4" t="n">
        <v>46229</v>
      </c>
      <c r="E142" s="5" t="inlineStr">
        <is>
          <t>D</t>
        </is>
      </c>
      <c r="F142" s="5" t="inlineStr">
        <is>
          <t>ADAO</t>
        </is>
      </c>
      <c r="G142" s="5" t="inlineStr">
        <is>
          <t>FOB</t>
        </is>
      </c>
      <c r="H142" s="5" t="inlineStr">
        <is>
          <t>FOB</t>
        </is>
      </c>
      <c r="I142" s="5" t="inlineStr">
        <is>
          <t>TON</t>
        </is>
      </c>
      <c r="J142" s="6" t="n">
        <v>10.977</v>
      </c>
      <c r="K142" s="6" t="n">
        <v>10.977</v>
      </c>
      <c r="L142" s="7">
        <f>IF(OR(D142="",N(J142)=0),"",MIN(1,N(K142)/J142))</f>
        <v/>
      </c>
      <c r="M142" s="5" t="inlineStr">
        <is>
          <t>PENDENTE</t>
        </is>
      </c>
      <c r="N142" s="5" t="n"/>
      <c r="O142" s="5" t="inlineStr">
        <is>
          <t>PRÓPRIO</t>
        </is>
      </c>
      <c r="P142" s="5" t="n"/>
      <c r="Q142" s="5" t="n"/>
      <c r="R142" s="4" t="n"/>
      <c r="S142" s="4" t="n"/>
      <c r="T142" s="5" t="n"/>
      <c r="U142" s="8">
        <f>IF(AND(V142=1,D142&lt;&gt;""),IF(D142&gt;=corte,TODAY()-D142,""),"")</f>
        <v/>
      </c>
      <c r="V142" s="8">
        <f>IF(D142="",0,IF(OR(AND(P142&lt;&gt;"",S142=""),AND(N(J142)&gt;0,N(K142)&lt;J142),OR(M142="PENDENTE",M142="PARCIAL"),OR(N142="PENDENTE",N142="PARCIAL")),1,0))</f>
        <v/>
      </c>
      <c r="W142" s="8">
        <f>IF(AND(V142=1,D142&lt;&gt;""),IF(D142&gt;=corte,(B142="CRÍTICO")*1E9+(100000-D142)*10000+10000-ROW(),""),"")</f>
        <v/>
      </c>
      <c r="X142" s="8">
        <f>IF(AND(V142=1,D142=pas_data,E142=pas_turno),10000-ROW(),"")</f>
        <v/>
      </c>
    </row>
    <row r="143">
      <c r="A143" s="3">
        <f>IF(D143="","","TT-"&amp;TEXT(ROW()-1,"00000"))</f>
        <v/>
      </c>
      <c r="B143" s="3">
        <f>IF(D143="","",IF(V143=0,"CONCLUÍDO",IF(D143&lt;corte,"HISTÓRICO",IF(OR(AND(ISNUMBER(R143),R143&lt;TODAY()),AND(OR(N143="PENDENTE",N143="PARCIAL"),D143&lt;TODAY()-1)),"CRÍTICO",IF(OR(AND(P143&lt;&gt;"",S143=""),AND(N143="REALIZADO",M143="PENDENTE"),AND(ISNUMBER(R143),R143=TODAY())),"ATENÇÃO",IF(N(K143)=0,"PENDENTE","EM ANDAMENTO"))))))</f>
        <v/>
      </c>
      <c r="C143" s="3">
        <f>IF(D143="","",IF(V143=0,"🟢 OK",IF(D143&lt;corte,"⚪ HISTÓRICO (sem baixa)",IF(AND(ISNUMBER(R143),R143&lt;TODAY()),"🔴 PRAZO VENCIDO",IF(AND(OR(N143="PENDENTE",N143="PARCIAL"),D143&lt;TODAY()-1),"🔴 EMBARQUE ATRASADO",IF(AND(N143="REALIZADO",M143="PENDENTE"),"🟡 EMBARCADO SEM FATURAR",IF(AND(P143&lt;&gt;"",S143="",OR(Q143="",R143="")),"🟡 PENDÊNCIA SEM RESPONSÁVEL/PRAZO",IF(AND(ISNUMBER(R143),R143=TODAY()),"🟡 VENCE HOJE",IF(AND(P143&lt;&gt;"",S143=""),"🟡 PENDÊNCIA ABERTA",IF(AND(N(J143)&gt;0,N(K143)&lt;J143),"🟡 FALTA EXECUTAR",IF(OR(M143="PENDENTE",M143="PARCIAL"),"🟡 FATURAMENTO PENDENTE","🟡 EMBARQUE PENDENTE")))))))))))</f>
        <v/>
      </c>
      <c r="D143" s="4" t="n">
        <v>46230</v>
      </c>
      <c r="E143" s="5" t="inlineStr">
        <is>
          <t>C</t>
        </is>
      </c>
      <c r="F143" s="5" t="inlineStr">
        <is>
          <t>ADIB</t>
        </is>
      </c>
      <c r="G143" s="5" t="inlineStr">
        <is>
          <t>RECEBIMENTO</t>
        </is>
      </c>
      <c r="H143" s="5" t="inlineStr">
        <is>
          <t>BR15</t>
        </is>
      </c>
      <c r="I143" s="5" t="inlineStr">
        <is>
          <t>PALETE</t>
        </is>
      </c>
      <c r="J143" s="6" t="n">
        <v>24</v>
      </c>
      <c r="K143" s="6" t="n">
        <v>24</v>
      </c>
      <c r="L143" s="7">
        <f>IF(OR(D143="",N(J143)=0),"",MIN(1,N(K143)/J143))</f>
        <v/>
      </c>
      <c r="M143" s="5" t="n"/>
      <c r="N143" s="5" t="n"/>
      <c r="O143" s="5" t="inlineStr">
        <is>
          <t>TIO CARLO</t>
        </is>
      </c>
      <c r="P143" s="5" t="n"/>
      <c r="Q143" s="5" t="n"/>
      <c r="R143" s="4" t="n"/>
      <c r="S143" s="4" t="n"/>
      <c r="T143" s="5" t="inlineStr">
        <is>
          <t>DESCARREGADO E ARMAZENADO [MIGRAÇÃO: programação original: RECEB CACAU]</t>
        </is>
      </c>
      <c r="U143" s="8">
        <f>IF(AND(V143=1,D143&lt;&gt;""),IF(D143&gt;=corte,TODAY()-D143,""),"")</f>
        <v/>
      </c>
      <c r="V143" s="8">
        <f>IF(D143="",0,IF(OR(AND(P143&lt;&gt;"",S143=""),AND(N(J143)&gt;0,N(K143)&lt;J143),OR(M143="PENDENTE",M143="PARCIAL"),OR(N143="PENDENTE",N143="PARCIAL")),1,0))</f>
        <v/>
      </c>
      <c r="W143" s="8">
        <f>IF(AND(V143=1,D143&lt;&gt;""),IF(D143&gt;=corte,(B143="CRÍTICO")*1E9+(100000-D143)*10000+10000-ROW(),""),"")</f>
        <v/>
      </c>
      <c r="X143" s="8">
        <f>IF(AND(V143=1,D143=pas_data,E143=pas_turno),10000-ROW(),"")</f>
        <v/>
      </c>
    </row>
    <row r="144">
      <c r="A144" s="3">
        <f>IF(D144="","","TT-"&amp;TEXT(ROW()-1,"00000"))</f>
        <v/>
      </c>
      <c r="B144" s="3">
        <f>IF(D144="","",IF(V144=0,"CONCLUÍDO",IF(D144&lt;corte,"HISTÓRICO",IF(OR(AND(ISNUMBER(R144),R144&lt;TODAY()),AND(OR(N144="PENDENTE",N144="PARCIAL"),D144&lt;TODAY()-1)),"CRÍTICO",IF(OR(AND(P144&lt;&gt;"",S144=""),AND(N144="REALIZADO",M144="PENDENTE"),AND(ISNUMBER(R144),R144=TODAY())),"ATENÇÃO",IF(N(K144)=0,"PENDENTE","EM ANDAMENTO"))))))</f>
        <v/>
      </c>
      <c r="C144" s="3">
        <f>IF(D144="","",IF(V144=0,"🟢 OK",IF(D144&lt;corte,"⚪ HISTÓRICO (sem baixa)",IF(AND(ISNUMBER(R144),R144&lt;TODAY()),"🔴 PRAZO VENCIDO",IF(AND(OR(N144="PENDENTE",N144="PARCIAL"),D144&lt;TODAY()-1),"🔴 EMBARQUE ATRASADO",IF(AND(N144="REALIZADO",M144="PENDENTE"),"🟡 EMBARCADO SEM FATURAR",IF(AND(P144&lt;&gt;"",S144="",OR(Q144="",R144="")),"🟡 PENDÊNCIA SEM RESPONSÁVEL/PRAZO",IF(AND(ISNUMBER(R144),R144=TODAY()),"🟡 VENCE HOJE",IF(AND(P144&lt;&gt;"",S144=""),"🟡 PENDÊNCIA ABERTA",IF(AND(N(J144)&gt;0,N(K144)&lt;J144),"🟡 FALTA EXECUTAR",IF(OR(M144="PENDENTE",M144="PARCIAL"),"🟡 FATURAMENTO PENDENTE","🟡 EMBARQUE PENDENTE")))))))))))</f>
        <v/>
      </c>
      <c r="D144" s="4" t="n">
        <v>46230</v>
      </c>
      <c r="E144" s="5" t="inlineStr">
        <is>
          <t>C</t>
        </is>
      </c>
      <c r="F144" s="5" t="inlineStr">
        <is>
          <t>ADIB</t>
        </is>
      </c>
      <c r="G144" s="5" t="inlineStr">
        <is>
          <t>GM</t>
        </is>
      </c>
      <c r="H144" s="5" t="inlineStr">
        <is>
          <t>FOB</t>
        </is>
      </c>
      <c r="I144" s="5" t="inlineStr">
        <is>
          <t>TON</t>
        </is>
      </c>
      <c r="J144" s="6" t="n">
        <v>16.57</v>
      </c>
      <c r="K144" s="6" t="n">
        <v>16.57</v>
      </c>
      <c r="L144" s="7">
        <f>IF(OR(D144="",N(J144)=0),"",MIN(1,N(K144)/J144))</f>
        <v/>
      </c>
      <c r="M144" s="5" t="inlineStr">
        <is>
          <t>FATURADO</t>
        </is>
      </c>
      <c r="N144" s="5" t="inlineStr">
        <is>
          <t>REALIZADO</t>
        </is>
      </c>
      <c r="O144" s="5" t="inlineStr">
        <is>
          <t>PRÓPRIO</t>
        </is>
      </c>
      <c r="P144" s="5" t="inlineStr">
        <is>
          <t>SEPARADO E CONFERIDO - FATURAR DIA 29/07</t>
        </is>
      </c>
      <c r="Q144" s="5" t="n"/>
      <c r="R144" s="4" t="n"/>
      <c r="S144" s="4" t="n"/>
      <c r="T144" s="5" t="inlineStr">
        <is>
          <t>SEPARADO E CONFERIDO - FATURAR DIA 29/07</t>
        </is>
      </c>
      <c r="U144" s="8">
        <f>IF(AND(V144=1,D144&lt;&gt;""),IF(D144&gt;=corte,TODAY()-D144,""),"")</f>
        <v/>
      </c>
      <c r="V144" s="8">
        <f>IF(D144="",0,IF(OR(AND(P144&lt;&gt;"",S144=""),AND(N(J144)&gt;0,N(K144)&lt;J144),OR(M144="PENDENTE",M144="PARCIAL"),OR(N144="PENDENTE",N144="PARCIAL")),1,0))</f>
        <v/>
      </c>
      <c r="W144" s="8">
        <f>IF(AND(V144=1,D144&lt;&gt;""),IF(D144&gt;=corte,(B144="CRÍTICO")*1E9+(100000-D144)*10000+10000-ROW(),""),"")</f>
        <v/>
      </c>
      <c r="X144" s="8">
        <f>IF(AND(V144=1,D144=pas_data,E144=pas_turno),10000-ROW(),"")</f>
        <v/>
      </c>
    </row>
    <row r="145">
      <c r="A145" s="3">
        <f>IF(D145="","","TT-"&amp;TEXT(ROW()-1,"00000"))</f>
        <v/>
      </c>
      <c r="B145" s="3">
        <f>IF(D145="","",IF(V145=0,"CONCLUÍDO",IF(D145&lt;corte,"HISTÓRICO",IF(OR(AND(ISNUMBER(R145),R145&lt;TODAY()),AND(OR(N145="PENDENTE",N145="PARCIAL"),D145&lt;TODAY()-1)),"CRÍTICO",IF(OR(AND(P145&lt;&gt;"",S145=""),AND(N145="REALIZADO",M145="PENDENTE"),AND(ISNUMBER(R145),R145=TODAY())),"ATENÇÃO",IF(N(K145)=0,"PENDENTE","EM ANDAMENTO"))))))</f>
        <v/>
      </c>
      <c r="C145" s="3">
        <f>IF(D145="","",IF(V145=0,"🟢 OK",IF(D145&lt;corte,"⚪ HISTÓRICO (sem baixa)",IF(AND(ISNUMBER(R145),R145&lt;TODAY()),"🔴 PRAZO VENCIDO",IF(AND(OR(N145="PENDENTE",N145="PARCIAL"),D145&lt;TODAY()-1),"🔴 EMBARQUE ATRASADO",IF(AND(N145="REALIZADO",M145="PENDENTE"),"🟡 EMBARCADO SEM FATURAR",IF(AND(P145&lt;&gt;"",S145="",OR(Q145="",R145="")),"🟡 PENDÊNCIA SEM RESPONSÁVEL/PRAZO",IF(AND(ISNUMBER(R145),R145=TODAY()),"🟡 VENCE HOJE",IF(AND(P145&lt;&gt;"",S145=""),"🟡 PENDÊNCIA ABERTA",IF(AND(N(J145)&gt;0,N(K145)&lt;J145),"🟡 FALTA EXECUTAR",IF(OR(M145="PENDENTE",M145="PARCIAL"),"🟡 FATURAMENTO PENDENTE","🟡 EMBARQUE PENDENTE")))))))))))</f>
        <v/>
      </c>
      <c r="D145" s="4" t="n">
        <v>46230</v>
      </c>
      <c r="E145" s="5" t="inlineStr">
        <is>
          <t>C</t>
        </is>
      </c>
      <c r="F145" s="5" t="inlineStr">
        <is>
          <t>ADIB</t>
        </is>
      </c>
      <c r="G145" s="5" t="inlineStr">
        <is>
          <t>TRANSFERÊNCIA</t>
        </is>
      </c>
      <c r="H145" s="5" t="inlineStr">
        <is>
          <t>FABRICA</t>
        </is>
      </c>
      <c r="I145" s="5" t="inlineStr">
        <is>
          <t>TON</t>
        </is>
      </c>
      <c r="J145" s="6" t="n">
        <v>21.96</v>
      </c>
      <c r="K145" s="6" t="n">
        <v>21.96</v>
      </c>
      <c r="L145" s="7">
        <f>IF(OR(D145="",N(J145)=0),"",MIN(1,N(K145)/J145))</f>
        <v/>
      </c>
      <c r="M145" s="5" t="inlineStr">
        <is>
          <t>FATURADO</t>
        </is>
      </c>
      <c r="N145" s="5" t="inlineStr">
        <is>
          <t>PENDENTE</t>
        </is>
      </c>
      <c r="O145" s="5" t="inlineStr">
        <is>
          <t>SPEEDYLOG</t>
        </is>
      </c>
      <c r="P145" s="5" t="inlineStr">
        <is>
          <t>SEPARADO E FATURADO - AGUARDANDO CARRO</t>
        </is>
      </c>
      <c r="Q145" s="5" t="n"/>
      <c r="R145" s="4" t="n"/>
      <c r="S145" s="4" t="n"/>
      <c r="T145" s="5" t="inlineStr">
        <is>
          <t>SEPARADO E FATURADO - AGUARDANDO CARRO [MIGRAÇÃO: programação original: TRANSF MACEIO]</t>
        </is>
      </c>
      <c r="U145" s="8">
        <f>IF(AND(V145=1,D145&lt;&gt;""),IF(D145&gt;=corte,TODAY()-D145,""),"")</f>
        <v/>
      </c>
      <c r="V145" s="8">
        <f>IF(D145="",0,IF(OR(AND(P145&lt;&gt;"",S145=""),AND(N(J145)&gt;0,N(K145)&lt;J145),OR(M145="PENDENTE",M145="PARCIAL"),OR(N145="PENDENTE",N145="PARCIAL")),1,0))</f>
        <v/>
      </c>
      <c r="W145" s="8">
        <f>IF(AND(V145=1,D145&lt;&gt;""),IF(D145&gt;=corte,(B145="CRÍTICO")*1E9+(100000-D145)*10000+10000-ROW(),""),"")</f>
        <v/>
      </c>
      <c r="X145" s="8">
        <f>IF(AND(V145=1,D145=pas_data,E145=pas_turno),10000-ROW(),"")</f>
        <v/>
      </c>
    </row>
    <row r="146">
      <c r="A146" s="3">
        <f>IF(D146="","","TT-"&amp;TEXT(ROW()-1,"00000"))</f>
        <v/>
      </c>
      <c r="B146" s="3">
        <f>IF(D146="","",IF(V146=0,"CONCLUÍDO",IF(D146&lt;corte,"HISTÓRICO",IF(OR(AND(ISNUMBER(R146),R146&lt;TODAY()),AND(OR(N146="PENDENTE",N146="PARCIAL"),D146&lt;TODAY()-1)),"CRÍTICO",IF(OR(AND(P146&lt;&gt;"",S146=""),AND(N146="REALIZADO",M146="PENDENTE"),AND(ISNUMBER(R146),R146=TODAY())),"ATENÇÃO",IF(N(K146)=0,"PENDENTE","EM ANDAMENTO"))))))</f>
        <v/>
      </c>
      <c r="C146" s="3">
        <f>IF(D146="","",IF(V146=0,"🟢 OK",IF(D146&lt;corte,"⚪ HISTÓRICO (sem baixa)",IF(AND(ISNUMBER(R146),R146&lt;TODAY()),"🔴 PRAZO VENCIDO",IF(AND(OR(N146="PENDENTE",N146="PARCIAL"),D146&lt;TODAY()-1),"🔴 EMBARQUE ATRASADO",IF(AND(N146="REALIZADO",M146="PENDENTE"),"🟡 EMBARCADO SEM FATURAR",IF(AND(P146&lt;&gt;"",S146="",OR(Q146="",R146="")),"🟡 PENDÊNCIA SEM RESPONSÁVEL/PRAZO",IF(AND(ISNUMBER(R146),R146=TODAY()),"🟡 VENCE HOJE",IF(AND(P146&lt;&gt;"",S146=""),"🟡 PENDÊNCIA ABERTA",IF(AND(N(J146)&gt;0,N(K146)&lt;J146),"🟡 FALTA EXECUTAR",IF(OR(M146="PENDENTE",M146="PARCIAL"),"🟡 FATURAMENTO PENDENTE","🟡 EMBARQUE PENDENTE")))))))))))</f>
        <v/>
      </c>
      <c r="D146" s="4" t="n">
        <v>46230</v>
      </c>
      <c r="E146" s="5" t="inlineStr">
        <is>
          <t>C</t>
        </is>
      </c>
      <c r="F146" s="5" t="inlineStr">
        <is>
          <t>ADIB</t>
        </is>
      </c>
      <c r="G146" s="5" t="inlineStr">
        <is>
          <t>FM</t>
        </is>
      </c>
      <c r="H146" s="5" t="inlineStr">
        <is>
          <t>FM</t>
        </is>
      </c>
      <c r="I146" s="5" t="inlineStr">
        <is>
          <t>TON</t>
        </is>
      </c>
      <c r="J146" s="6" t="n">
        <v>19.42</v>
      </c>
      <c r="K146" s="6" t="n">
        <v>19.42</v>
      </c>
      <c r="L146" s="7">
        <f>IF(OR(D146="",N(J146)=0),"",MIN(1,N(K146)/J146))</f>
        <v/>
      </c>
      <c r="M146" s="5" t="n"/>
      <c r="N146" s="5" t="n"/>
      <c r="O146" s="5" t="inlineStr">
        <is>
          <t>SPEEDYLOG</t>
        </is>
      </c>
      <c r="P146" s="5" t="inlineStr">
        <is>
          <t>SEPARADO E FATURADO - AGUARDANDO CARRO</t>
        </is>
      </c>
      <c r="Q146" s="5" t="n"/>
      <c r="R146" s="4" t="n"/>
      <c r="S146" s="4" t="n"/>
      <c r="T146" s="5" t="inlineStr">
        <is>
          <t>SEPARADO E FATURADO - AGUARDANDO CARRO</t>
        </is>
      </c>
      <c r="U146" s="8">
        <f>IF(AND(V146=1,D146&lt;&gt;""),IF(D146&gt;=corte,TODAY()-D146,""),"")</f>
        <v/>
      </c>
      <c r="V146" s="8">
        <f>IF(D146="",0,IF(OR(AND(P146&lt;&gt;"",S146=""),AND(N(J146)&gt;0,N(K146)&lt;J146),OR(M146="PENDENTE",M146="PARCIAL"),OR(N146="PENDENTE",N146="PARCIAL")),1,0))</f>
        <v/>
      </c>
      <c r="W146" s="8">
        <f>IF(AND(V146=1,D146&lt;&gt;""),IF(D146&gt;=corte,(B146="CRÍTICO")*1E9+(100000-D146)*10000+10000-ROW(),""),"")</f>
        <v/>
      </c>
      <c r="X146" s="8">
        <f>IF(AND(V146=1,D146=pas_data,E146=pas_turno),10000-ROW(),"")</f>
        <v/>
      </c>
    </row>
    <row r="147">
      <c r="A147" s="3">
        <f>IF(D147="","","TT-"&amp;TEXT(ROW()-1,"00000"))</f>
        <v/>
      </c>
      <c r="B147" s="3">
        <f>IF(D147="","",IF(V147=0,"CONCLUÍDO",IF(D147&lt;corte,"HISTÓRICO",IF(OR(AND(ISNUMBER(R147),R147&lt;TODAY()),AND(OR(N147="PENDENTE",N147="PARCIAL"),D147&lt;TODAY()-1)),"CRÍTICO",IF(OR(AND(P147&lt;&gt;"",S147=""),AND(N147="REALIZADO",M147="PENDENTE"),AND(ISNUMBER(R147),R147=TODAY())),"ATENÇÃO",IF(N(K147)=0,"PENDENTE","EM ANDAMENTO"))))))</f>
        <v/>
      </c>
      <c r="C147" s="3">
        <f>IF(D147="","",IF(V147=0,"🟢 OK",IF(D147&lt;corte,"⚪ HISTÓRICO (sem baixa)",IF(AND(ISNUMBER(R147),R147&lt;TODAY()),"🔴 PRAZO VENCIDO",IF(AND(OR(N147="PENDENTE",N147="PARCIAL"),D147&lt;TODAY()-1),"🔴 EMBARQUE ATRASADO",IF(AND(N147="REALIZADO",M147="PENDENTE"),"🟡 EMBARCADO SEM FATURAR",IF(AND(P147&lt;&gt;"",S147="",OR(Q147="",R147="")),"🟡 PENDÊNCIA SEM RESPONSÁVEL/PRAZO",IF(AND(ISNUMBER(R147),R147=TODAY()),"🟡 VENCE HOJE",IF(AND(P147&lt;&gt;"",S147=""),"🟡 PENDÊNCIA ABERTA",IF(AND(N(J147)&gt;0,N(K147)&lt;J147),"🟡 FALTA EXECUTAR",IF(OR(M147="PENDENTE",M147="PARCIAL"),"🟡 FATURAMENTO PENDENTE","🟡 EMBARQUE PENDENTE")))))))))))</f>
        <v/>
      </c>
      <c r="D147" s="4" t="n">
        <v>46230</v>
      </c>
      <c r="E147" s="5" t="inlineStr">
        <is>
          <t>D</t>
        </is>
      </c>
      <c r="F147" s="5" t="inlineStr">
        <is>
          <t>ADAO</t>
        </is>
      </c>
      <c r="G147" s="5" t="inlineStr">
        <is>
          <t>CACAU</t>
        </is>
      </c>
      <c r="H147" s="5" t="inlineStr">
        <is>
          <t>BR15</t>
        </is>
      </c>
      <c r="I147" s="5" t="n"/>
      <c r="J147" s="6" t="n"/>
      <c r="K147" s="6" t="n"/>
      <c r="L147" s="7">
        <f>IF(OR(D147="",N(J147)=0),"",MIN(1,N(K147)/J147))</f>
        <v/>
      </c>
      <c r="M147" s="5" t="n"/>
      <c r="N147" s="5" t="n"/>
      <c r="O147" s="5" t="n"/>
      <c r="P147" s="5" t="inlineStr">
        <is>
          <t>DELIVERY GERADAS - FALTA SEPARAR</t>
        </is>
      </c>
      <c r="Q147" s="5" t="n"/>
      <c r="R147" s="4" t="n"/>
      <c r="S147" s="4" t="n"/>
      <c r="T147" s="5" t="inlineStr">
        <is>
          <t>DELIVERY GERADAS - FALTA SEPARAR</t>
        </is>
      </c>
      <c r="U147" s="8">
        <f>IF(AND(V147=1,D147&lt;&gt;""),IF(D147&gt;=corte,TODAY()-D147,""),"")</f>
        <v/>
      </c>
      <c r="V147" s="8">
        <f>IF(D147="",0,IF(OR(AND(P147&lt;&gt;"",S147=""),AND(N(J147)&gt;0,N(K147)&lt;J147),OR(M147="PENDENTE",M147="PARCIAL"),OR(N147="PENDENTE",N147="PARCIAL")),1,0))</f>
        <v/>
      </c>
      <c r="W147" s="8">
        <f>IF(AND(V147=1,D147&lt;&gt;""),IF(D147&gt;=corte,(B147="CRÍTICO")*1E9+(100000-D147)*10000+10000-ROW(),""),"")</f>
        <v/>
      </c>
      <c r="X147" s="8">
        <f>IF(AND(V147=1,D147=pas_data,E147=pas_turno),10000-ROW(),"")</f>
        <v/>
      </c>
    </row>
    <row r="148">
      <c r="A148" s="3">
        <f>IF(D148="","","TT-"&amp;TEXT(ROW()-1,"00000"))</f>
        <v/>
      </c>
      <c r="B148" s="3">
        <f>IF(D148="","",IF(V148=0,"CONCLUÍDO",IF(D148&lt;corte,"HISTÓRICO",IF(OR(AND(ISNUMBER(R148),R148&lt;TODAY()),AND(OR(N148="PENDENTE",N148="PARCIAL"),D148&lt;TODAY()-1)),"CRÍTICO",IF(OR(AND(P148&lt;&gt;"",S148=""),AND(N148="REALIZADO",M148="PENDENTE"),AND(ISNUMBER(R148),R148=TODAY())),"ATENÇÃO",IF(N(K148)=0,"PENDENTE","EM ANDAMENTO"))))))</f>
        <v/>
      </c>
      <c r="C148" s="3">
        <f>IF(D148="","",IF(V148=0,"🟢 OK",IF(D148&lt;corte,"⚪ HISTÓRICO (sem baixa)",IF(AND(ISNUMBER(R148),R148&lt;TODAY()),"🔴 PRAZO VENCIDO",IF(AND(OR(N148="PENDENTE",N148="PARCIAL"),D148&lt;TODAY()-1),"🔴 EMBARQUE ATRASADO",IF(AND(N148="REALIZADO",M148="PENDENTE"),"🟡 EMBARCADO SEM FATURAR",IF(AND(P148&lt;&gt;"",S148="",OR(Q148="",R148="")),"🟡 PENDÊNCIA SEM RESPONSÁVEL/PRAZO",IF(AND(ISNUMBER(R148),R148=TODAY()),"🟡 VENCE HOJE",IF(AND(P148&lt;&gt;"",S148=""),"🟡 PENDÊNCIA ABERTA",IF(AND(N(J148)&gt;0,N(K148)&lt;J148),"🟡 FALTA EXECUTAR",IF(OR(M148="PENDENTE",M148="PARCIAL"),"🟡 FATURAMENTO PENDENTE","🟡 EMBARQUE PENDENTE")))))))))))</f>
        <v/>
      </c>
      <c r="D148" s="4" t="n">
        <v>46230</v>
      </c>
      <c r="E148" s="5" t="inlineStr">
        <is>
          <t>D</t>
        </is>
      </c>
      <c r="F148" s="5" t="inlineStr">
        <is>
          <t>ADAO</t>
        </is>
      </c>
      <c r="G148" s="5" t="inlineStr">
        <is>
          <t>FM</t>
        </is>
      </c>
      <c r="H148" s="5" t="inlineStr">
        <is>
          <t>FM</t>
        </is>
      </c>
      <c r="I148" s="5" t="inlineStr">
        <is>
          <t>TON</t>
        </is>
      </c>
      <c r="J148" s="6" t="n">
        <v>28.054</v>
      </c>
      <c r="K148" s="6" t="n">
        <v>28.054</v>
      </c>
      <c r="L148" s="7">
        <f>IF(OR(D148="",N(J148)=0),"",MIN(1,N(K148)/J148))</f>
        <v/>
      </c>
      <c r="M148" s="5" t="inlineStr">
        <is>
          <t>FATURADO</t>
        </is>
      </c>
      <c r="N148" s="5" t="inlineStr">
        <is>
          <t>REALIZADO</t>
        </is>
      </c>
      <c r="O148" s="5" t="inlineStr">
        <is>
          <t>SPEEDYLOG</t>
        </is>
      </c>
      <c r="P148" s="5" t="n"/>
      <c r="Q148" s="5" t="n"/>
      <c r="R148" s="4" t="n"/>
      <c r="S148" s="4" t="n"/>
      <c r="T148" s="5" t="n"/>
      <c r="U148" s="8">
        <f>IF(AND(V148=1,D148&lt;&gt;""),IF(D148&gt;=corte,TODAY()-D148,""),"")</f>
        <v/>
      </c>
      <c r="V148" s="8">
        <f>IF(D148="",0,IF(OR(AND(P148&lt;&gt;"",S148=""),AND(N(J148)&gt;0,N(K148)&lt;J148),OR(M148="PENDENTE",M148="PARCIAL"),OR(N148="PENDENTE",N148="PARCIAL")),1,0))</f>
        <v/>
      </c>
      <c r="W148" s="8">
        <f>IF(AND(V148=1,D148&lt;&gt;""),IF(D148&gt;=corte,(B148="CRÍTICO")*1E9+(100000-D148)*10000+10000-ROW(),""),"")</f>
        <v/>
      </c>
      <c r="X148" s="8">
        <f>IF(AND(V148=1,D148=pas_data,E148=pas_turno),10000-ROW(),"")</f>
        <v/>
      </c>
    </row>
    <row r="149">
      <c r="A149" s="3">
        <f>IF(D149="","","TT-"&amp;TEXT(ROW()-1,"00000"))</f>
        <v/>
      </c>
      <c r="B149" s="3">
        <f>IF(D149="","",IF(V149=0,"CONCLUÍDO",IF(D149&lt;corte,"HISTÓRICO",IF(OR(AND(ISNUMBER(R149),R149&lt;TODAY()),AND(OR(N149="PENDENTE",N149="PARCIAL"),D149&lt;TODAY()-1)),"CRÍTICO",IF(OR(AND(P149&lt;&gt;"",S149=""),AND(N149="REALIZADO",M149="PENDENTE"),AND(ISNUMBER(R149),R149=TODAY())),"ATENÇÃO",IF(N(K149)=0,"PENDENTE","EM ANDAMENTO"))))))</f>
        <v/>
      </c>
      <c r="C149" s="3">
        <f>IF(D149="","",IF(V149=0,"🟢 OK",IF(D149&lt;corte,"⚪ HISTÓRICO (sem baixa)",IF(AND(ISNUMBER(R149),R149&lt;TODAY()),"🔴 PRAZO VENCIDO",IF(AND(OR(N149="PENDENTE",N149="PARCIAL"),D149&lt;TODAY()-1),"🔴 EMBARQUE ATRASADO",IF(AND(N149="REALIZADO",M149="PENDENTE"),"🟡 EMBARCADO SEM FATURAR",IF(AND(P149&lt;&gt;"",S149="",OR(Q149="",R149="")),"🟡 PENDÊNCIA SEM RESPONSÁVEL/PRAZO",IF(AND(ISNUMBER(R149),R149=TODAY()),"🟡 VENCE HOJE",IF(AND(P149&lt;&gt;"",S149=""),"🟡 PENDÊNCIA ABERTA",IF(AND(N(J149)&gt;0,N(K149)&lt;J149),"🟡 FALTA EXECUTAR",IF(OR(M149="PENDENTE",M149="PARCIAL"),"🟡 FATURAMENTO PENDENTE","🟡 EMBARQUE PENDENTE")))))))))))</f>
        <v/>
      </c>
      <c r="D149" s="4" t="n">
        <v>46230</v>
      </c>
      <c r="E149" s="5" t="inlineStr">
        <is>
          <t>D</t>
        </is>
      </c>
      <c r="F149" s="5" t="inlineStr">
        <is>
          <t>ADAO</t>
        </is>
      </c>
      <c r="G149" s="5" t="inlineStr">
        <is>
          <t>FM</t>
        </is>
      </c>
      <c r="H149" s="5" t="inlineStr">
        <is>
          <t>FM</t>
        </is>
      </c>
      <c r="I149" s="5" t="inlineStr">
        <is>
          <t>TON</t>
        </is>
      </c>
      <c r="J149" s="6" t="n">
        <v>28.054</v>
      </c>
      <c r="K149" s="6" t="n">
        <v>28.054</v>
      </c>
      <c r="L149" s="7">
        <f>IF(OR(D149="",N(J149)=0),"",MIN(1,N(K149)/J149))</f>
        <v/>
      </c>
      <c r="M149" s="5" t="inlineStr">
        <is>
          <t>FATURADO</t>
        </is>
      </c>
      <c r="N149" s="5" t="inlineStr">
        <is>
          <t>REALIZADO</t>
        </is>
      </c>
      <c r="O149" s="5" t="inlineStr">
        <is>
          <t>SPEEDYLOG</t>
        </is>
      </c>
      <c r="P149" s="5" t="n"/>
      <c r="Q149" s="5" t="n"/>
      <c r="R149" s="4" t="n"/>
      <c r="S149" s="4" t="n"/>
      <c r="T149" s="5" t="n"/>
      <c r="U149" s="8">
        <f>IF(AND(V149=1,D149&lt;&gt;""),IF(D149&gt;=corte,TODAY()-D149,""),"")</f>
        <v/>
      </c>
      <c r="V149" s="8">
        <f>IF(D149="",0,IF(OR(AND(P149&lt;&gt;"",S149=""),AND(N(J149)&gt;0,N(K149)&lt;J149),OR(M149="PENDENTE",M149="PARCIAL"),OR(N149="PENDENTE",N149="PARCIAL")),1,0))</f>
        <v/>
      </c>
      <c r="W149" s="8">
        <f>IF(AND(V149=1,D149&lt;&gt;""),IF(D149&gt;=corte,(B149="CRÍTICO")*1E9+(100000-D149)*10000+10000-ROW(),""),"")</f>
        <v/>
      </c>
      <c r="X149" s="8">
        <f>IF(AND(V149=1,D149=pas_data,E149=pas_turno),10000-ROW(),"")</f>
        <v/>
      </c>
    </row>
    <row r="150">
      <c r="A150" s="3">
        <f>IF(D150="","","TT-"&amp;TEXT(ROW()-1,"00000"))</f>
        <v/>
      </c>
      <c r="B150" s="3">
        <f>IF(D150="","",IF(V150=0,"CONCLUÍDO",IF(D150&lt;corte,"HISTÓRICO",IF(OR(AND(ISNUMBER(R150),R150&lt;TODAY()),AND(OR(N150="PENDENTE",N150="PARCIAL"),D150&lt;TODAY()-1)),"CRÍTICO",IF(OR(AND(P150&lt;&gt;"",S150=""),AND(N150="REALIZADO",M150="PENDENTE"),AND(ISNUMBER(R150),R150=TODAY())),"ATENÇÃO",IF(N(K150)=0,"PENDENTE","EM ANDAMENTO"))))))</f>
        <v/>
      </c>
      <c r="C150" s="3">
        <f>IF(D150="","",IF(V150=0,"🟢 OK",IF(D150&lt;corte,"⚪ HISTÓRICO (sem baixa)",IF(AND(ISNUMBER(R150),R150&lt;TODAY()),"🔴 PRAZO VENCIDO",IF(AND(OR(N150="PENDENTE",N150="PARCIAL"),D150&lt;TODAY()-1),"🔴 EMBARQUE ATRASADO",IF(AND(N150="REALIZADO",M150="PENDENTE"),"🟡 EMBARCADO SEM FATURAR",IF(AND(P150&lt;&gt;"",S150="",OR(Q150="",R150="")),"🟡 PENDÊNCIA SEM RESPONSÁVEL/PRAZO",IF(AND(ISNUMBER(R150),R150=TODAY()),"🟡 VENCE HOJE",IF(AND(P150&lt;&gt;"",S150=""),"🟡 PENDÊNCIA ABERTA",IF(AND(N(J150)&gt;0,N(K150)&lt;J150),"🟡 FALTA EXECUTAR",IF(OR(M150="PENDENTE",M150="PARCIAL"),"🟡 FATURAMENTO PENDENTE","🟡 EMBARQUE PENDENTE")))))))))))</f>
        <v/>
      </c>
      <c r="D150" s="4" t="n">
        <v>46230</v>
      </c>
      <c r="E150" s="5" t="inlineStr">
        <is>
          <t>D</t>
        </is>
      </c>
      <c r="F150" s="5" t="inlineStr">
        <is>
          <t>ADAO</t>
        </is>
      </c>
      <c r="G150" s="5" t="inlineStr">
        <is>
          <t>FM</t>
        </is>
      </c>
      <c r="H150" s="5" t="inlineStr">
        <is>
          <t>FM</t>
        </is>
      </c>
      <c r="I150" s="5" t="inlineStr">
        <is>
          <t>TON</t>
        </is>
      </c>
      <c r="J150" s="6" t="n">
        <v>19.832</v>
      </c>
      <c r="K150" s="6" t="n">
        <v>19.832</v>
      </c>
      <c r="L150" s="7">
        <f>IF(OR(D150="",N(J150)=0),"",MIN(1,N(K150)/J150))</f>
        <v/>
      </c>
      <c r="M150" s="5" t="n"/>
      <c r="N150" s="5" t="n"/>
      <c r="O150" s="5" t="inlineStr">
        <is>
          <t>SPEEDYLOG</t>
        </is>
      </c>
      <c r="P150" s="5" t="n"/>
      <c r="Q150" s="5" t="n"/>
      <c r="R150" s="4" t="n"/>
      <c r="S150" s="4" t="n"/>
      <c r="T150" s="5" t="n"/>
      <c r="U150" s="8">
        <f>IF(AND(V150=1,D150&lt;&gt;""),IF(D150&gt;=corte,TODAY()-D150,""),"")</f>
        <v/>
      </c>
      <c r="V150" s="8">
        <f>IF(D150="",0,IF(OR(AND(P150&lt;&gt;"",S150=""),AND(N(J150)&gt;0,N(K150)&lt;J150),OR(M150="PENDENTE",M150="PARCIAL"),OR(N150="PENDENTE",N150="PARCIAL")),1,0))</f>
        <v/>
      </c>
      <c r="W150" s="8">
        <f>IF(AND(V150=1,D150&lt;&gt;""),IF(D150&gt;=corte,(B150="CRÍTICO")*1E9+(100000-D150)*10000+10000-ROW(),""),"")</f>
        <v/>
      </c>
      <c r="X150" s="8">
        <f>IF(AND(V150=1,D150=pas_data,E150=pas_turno),10000-ROW(),"")</f>
        <v/>
      </c>
    </row>
    <row r="151">
      <c r="A151" s="3">
        <f>IF(D151="","","TT-"&amp;TEXT(ROW()-1,"00000"))</f>
        <v/>
      </c>
      <c r="B151" s="3">
        <f>IF(D151="","",IF(V151=0,"CONCLUÍDO",IF(D151&lt;corte,"HISTÓRICO",IF(OR(AND(ISNUMBER(R151),R151&lt;TODAY()),AND(OR(N151="PENDENTE",N151="PARCIAL"),D151&lt;TODAY()-1)),"CRÍTICO",IF(OR(AND(P151&lt;&gt;"",S151=""),AND(N151="REALIZADO",M151="PENDENTE"),AND(ISNUMBER(R151),R151=TODAY())),"ATENÇÃO",IF(N(K151)=0,"PENDENTE","EM ANDAMENTO"))))))</f>
        <v/>
      </c>
      <c r="C151" s="3">
        <f>IF(D151="","",IF(V151=0,"🟢 OK",IF(D151&lt;corte,"⚪ HISTÓRICO (sem baixa)",IF(AND(ISNUMBER(R151),R151&lt;TODAY()),"🔴 PRAZO VENCIDO",IF(AND(OR(N151="PENDENTE",N151="PARCIAL"),D151&lt;TODAY()-1),"🔴 EMBARQUE ATRASADO",IF(AND(N151="REALIZADO",M151="PENDENTE"),"🟡 EMBARCADO SEM FATURAR",IF(AND(P151&lt;&gt;"",S151="",OR(Q151="",R151="")),"🟡 PENDÊNCIA SEM RESPONSÁVEL/PRAZO",IF(AND(ISNUMBER(R151),R151=TODAY()),"🟡 VENCE HOJE",IF(AND(P151&lt;&gt;"",S151=""),"🟡 PENDÊNCIA ABERTA",IF(AND(N(J151)&gt;0,N(K151)&lt;J151),"🟡 FALTA EXECUTAR",IF(OR(M151="PENDENTE",M151="PARCIAL"),"🟡 FATURAMENTO PENDENTE","🟡 EMBARQUE PENDENTE")))))))))))</f>
        <v/>
      </c>
      <c r="D151" s="4" t="n">
        <v>46230</v>
      </c>
      <c r="E151" s="5" t="inlineStr">
        <is>
          <t>D</t>
        </is>
      </c>
      <c r="F151" s="5" t="inlineStr">
        <is>
          <t>ADAO</t>
        </is>
      </c>
      <c r="G151" s="5" t="inlineStr">
        <is>
          <t>CACAU</t>
        </is>
      </c>
      <c r="H151" s="5" t="inlineStr">
        <is>
          <t>CACAU BR15</t>
        </is>
      </c>
      <c r="I151" s="5" t="inlineStr">
        <is>
          <t>TON</t>
        </is>
      </c>
      <c r="J151" s="6" t="n">
        <v>30.983</v>
      </c>
      <c r="K151" s="6" t="n">
        <v>21.501</v>
      </c>
      <c r="L151" s="7">
        <f>IF(OR(D151="",N(J151)=0),"",MIN(1,N(K151)/J151))</f>
        <v/>
      </c>
      <c r="M151" s="5" t="n"/>
      <c r="N151" s="5" t="n"/>
      <c r="O151" s="5" t="n"/>
      <c r="P151" s="5" t="n"/>
      <c r="Q151" s="5" t="n"/>
      <c r="R151" s="4" t="n"/>
      <c r="S151" s="4" t="n"/>
      <c r="T151" s="5" t="inlineStr">
        <is>
          <t>[MIGRAÇÃO: programação original: CACAU BR15]</t>
        </is>
      </c>
      <c r="U151" s="8">
        <f>IF(AND(V151=1,D151&lt;&gt;""),IF(D151&gt;=corte,TODAY()-D151,""),"")</f>
        <v/>
      </c>
      <c r="V151" s="8">
        <f>IF(D151="",0,IF(OR(AND(P151&lt;&gt;"",S151=""),AND(N(J151)&gt;0,N(K151)&lt;J151),OR(M151="PENDENTE",M151="PARCIAL"),OR(N151="PENDENTE",N151="PARCIAL")),1,0))</f>
        <v/>
      </c>
      <c r="W151" s="8">
        <f>IF(AND(V151=1,D151&lt;&gt;""),IF(D151&gt;=corte,(B151="CRÍTICO")*1E9+(100000-D151)*10000+10000-ROW(),""),"")</f>
        <v/>
      </c>
      <c r="X151" s="8">
        <f>IF(AND(V151=1,D151=pas_data,E151=pas_turno),10000-ROW(),"")</f>
        <v/>
      </c>
    </row>
    <row r="152">
      <c r="A152" s="3">
        <f>IF(D152="","","TT-"&amp;TEXT(ROW()-1,"00000"))</f>
        <v/>
      </c>
      <c r="B152" s="3">
        <f>IF(D152="","",IF(V152=0,"CONCLUÍDO",IF(D152&lt;corte,"HISTÓRICO",IF(OR(AND(ISNUMBER(R152),R152&lt;TODAY()),AND(OR(N152="PENDENTE",N152="PARCIAL"),D152&lt;TODAY()-1)),"CRÍTICO",IF(OR(AND(P152&lt;&gt;"",S152=""),AND(N152="REALIZADO",M152="PENDENTE"),AND(ISNUMBER(R152),R152=TODAY())),"ATENÇÃO",IF(N(K152)=0,"PENDENTE","EM ANDAMENTO"))))))</f>
        <v/>
      </c>
      <c r="C152" s="3">
        <f>IF(D152="","",IF(V152=0,"🟢 OK",IF(D152&lt;corte,"⚪ HISTÓRICO (sem baixa)",IF(AND(ISNUMBER(R152),R152&lt;TODAY()),"🔴 PRAZO VENCIDO",IF(AND(OR(N152="PENDENTE",N152="PARCIAL"),D152&lt;TODAY()-1),"🔴 EMBARQUE ATRASADO",IF(AND(N152="REALIZADO",M152="PENDENTE"),"🟡 EMBARCADO SEM FATURAR",IF(AND(P152&lt;&gt;"",S152="",OR(Q152="",R152="")),"🟡 PENDÊNCIA SEM RESPONSÁVEL/PRAZO",IF(AND(ISNUMBER(R152),R152=TODAY()),"🟡 VENCE HOJE",IF(AND(P152&lt;&gt;"",S152=""),"🟡 PENDÊNCIA ABERTA",IF(AND(N(J152)&gt;0,N(K152)&lt;J152),"🟡 FALTA EXECUTAR",IF(OR(M152="PENDENTE",M152="PARCIAL"),"🟡 FATURAMENTO PENDENTE","🟡 EMBARQUE PENDENTE")))))))))))</f>
        <v/>
      </c>
      <c r="D152" s="4" t="n">
        <v>46230</v>
      </c>
      <c r="E152" s="5" t="inlineStr">
        <is>
          <t>D</t>
        </is>
      </c>
      <c r="F152" s="5" t="n"/>
      <c r="G152" s="5" t="inlineStr">
        <is>
          <t>GM</t>
        </is>
      </c>
      <c r="H152" s="5" t="inlineStr">
        <is>
          <t>CROSS</t>
        </is>
      </c>
      <c r="I152" s="5" t="inlineStr">
        <is>
          <t>TON</t>
        </is>
      </c>
      <c r="J152" s="6" t="n">
        <v>13.845</v>
      </c>
      <c r="K152" s="6" t="n">
        <v>9.227</v>
      </c>
      <c r="L152" s="7">
        <f>IF(OR(D152="",N(J152)=0),"",MIN(1,N(K152)/J152))</f>
        <v/>
      </c>
      <c r="M152" s="5" t="n"/>
      <c r="N152" s="5" t="n"/>
      <c r="O152" s="5" t="n"/>
      <c r="P152" s="5" t="inlineStr">
        <is>
          <t>SEPARAÇÃO INICIADA FALTA FINALIZAR</t>
        </is>
      </c>
      <c r="Q152" s="5" t="n"/>
      <c r="R152" s="4" t="n"/>
      <c r="S152" s="4" t="n"/>
      <c r="T152" s="5" t="inlineStr">
        <is>
          <t>SEPARAÇÃO INICIADA FALTA FINALIZAR</t>
        </is>
      </c>
      <c r="U152" s="8">
        <f>IF(AND(V152=1,D152&lt;&gt;""),IF(D152&gt;=corte,TODAY()-D152,""),"")</f>
        <v/>
      </c>
      <c r="V152" s="8">
        <f>IF(D152="",0,IF(OR(AND(P152&lt;&gt;"",S152=""),AND(N(J152)&gt;0,N(K152)&lt;J152),OR(M152="PENDENTE",M152="PARCIAL"),OR(N152="PENDENTE",N152="PARCIAL")),1,0))</f>
        <v/>
      </c>
      <c r="W152" s="8">
        <f>IF(AND(V152=1,D152&lt;&gt;""),IF(D152&gt;=corte,(B152="CRÍTICO")*1E9+(100000-D152)*10000+10000-ROW(),""),"")</f>
        <v/>
      </c>
      <c r="X152" s="8">
        <f>IF(AND(V152=1,D152=pas_data,E152=pas_turno),10000-ROW(),"")</f>
        <v/>
      </c>
    </row>
    <row r="153">
      <c r="A153" s="3">
        <f>IF(D153="","","TT-"&amp;TEXT(ROW()-1,"00000"))</f>
        <v/>
      </c>
      <c r="B153" s="3">
        <f>IF(D153="","",IF(V153=0,"CONCLUÍDO",IF(D153&lt;corte,"HISTÓRICO",IF(OR(AND(ISNUMBER(R153),R153&lt;TODAY()),AND(OR(N153="PENDENTE",N153="PARCIAL"),D153&lt;TODAY()-1)),"CRÍTICO",IF(OR(AND(P153&lt;&gt;"",S153=""),AND(N153="REALIZADO",M153="PENDENTE"),AND(ISNUMBER(R153),R153=TODAY())),"ATENÇÃO",IF(N(K153)=0,"PENDENTE","EM ANDAMENTO"))))))</f>
        <v/>
      </c>
      <c r="C153" s="3">
        <f>IF(D153="","",IF(V153=0,"🟢 OK",IF(D153&lt;corte,"⚪ HISTÓRICO (sem baixa)",IF(AND(ISNUMBER(R153),R153&lt;TODAY()),"🔴 PRAZO VENCIDO",IF(AND(OR(N153="PENDENTE",N153="PARCIAL"),D153&lt;TODAY()-1),"🔴 EMBARQUE ATRASADO",IF(AND(N153="REALIZADO",M153="PENDENTE"),"🟡 EMBARCADO SEM FATURAR",IF(AND(P153&lt;&gt;"",S153="",OR(Q153="",R153="")),"🟡 PENDÊNCIA SEM RESPONSÁVEL/PRAZO",IF(AND(ISNUMBER(R153),R153=TODAY()),"🟡 VENCE HOJE",IF(AND(P153&lt;&gt;"",S153=""),"🟡 PENDÊNCIA ABERTA",IF(AND(N(J153)&gt;0,N(K153)&lt;J153),"🟡 FALTA EXECUTAR",IF(OR(M153="PENDENTE",M153="PARCIAL"),"🟡 FATURAMENTO PENDENTE","🟡 EMBARQUE PENDENTE")))))))))))</f>
        <v/>
      </c>
      <c r="D153" s="4" t="n">
        <v>46230</v>
      </c>
      <c r="E153" s="5" t="inlineStr">
        <is>
          <t>D</t>
        </is>
      </c>
      <c r="F153" s="5" t="inlineStr">
        <is>
          <t>ADAO</t>
        </is>
      </c>
      <c r="G153" s="5" t="inlineStr">
        <is>
          <t>FLOOR</t>
        </is>
      </c>
      <c r="H153" s="5" t="inlineStr">
        <is>
          <t>FABRICA</t>
        </is>
      </c>
      <c r="I153" s="5" t="inlineStr">
        <is>
          <t>PALETE</t>
        </is>
      </c>
      <c r="J153" s="6" t="n">
        <v>105</v>
      </c>
      <c r="K153" s="6" t="n">
        <v>105</v>
      </c>
      <c r="L153" s="7">
        <f>IF(OR(D153="",N(J153)=0),"",MIN(1,N(K153)/J153))</f>
        <v/>
      </c>
      <c r="M153" s="5" t="n"/>
      <c r="N153" s="5" t="n"/>
      <c r="O153" s="5" t="n"/>
      <c r="P153" s="5" t="n"/>
      <c r="Q153" s="5" t="n"/>
      <c r="R153" s="4" t="n"/>
      <c r="S153" s="4" t="n"/>
      <c r="T153" s="5" t="n"/>
      <c r="U153" s="8">
        <f>IF(AND(V153=1,D153&lt;&gt;""),IF(D153&gt;=corte,TODAY()-D153,""),"")</f>
        <v/>
      </c>
      <c r="V153" s="8">
        <f>IF(D153="",0,IF(OR(AND(P153&lt;&gt;"",S153=""),AND(N(J153)&gt;0,N(K153)&lt;J153),OR(M153="PENDENTE",M153="PARCIAL"),OR(N153="PENDENTE",N153="PARCIAL")),1,0))</f>
        <v/>
      </c>
      <c r="W153" s="8">
        <f>IF(AND(V153=1,D153&lt;&gt;""),IF(D153&gt;=corte,(B153="CRÍTICO")*1E9+(100000-D153)*10000+10000-ROW(),""),"")</f>
        <v/>
      </c>
      <c r="X153" s="8">
        <f>IF(AND(V153=1,D153=pas_data,E153=pas_turno),10000-ROW(),"")</f>
        <v/>
      </c>
    </row>
    <row r="154">
      <c r="A154" s="3">
        <f>IF(D154="","","TT-"&amp;TEXT(ROW()-1,"00000"))</f>
        <v/>
      </c>
      <c r="B154" s="3">
        <f>IF(D154="","",IF(V154=0,"CONCLUÍDO",IF(D154&lt;corte,"HISTÓRICO",IF(OR(AND(ISNUMBER(R154),R154&lt;TODAY()),AND(OR(N154="PENDENTE",N154="PARCIAL"),D154&lt;TODAY()-1)),"CRÍTICO",IF(OR(AND(P154&lt;&gt;"",S154=""),AND(N154="REALIZADO",M154="PENDENTE"),AND(ISNUMBER(R154),R154=TODAY())),"ATENÇÃO",IF(N(K154)=0,"PENDENTE","EM ANDAMENTO"))))))</f>
        <v/>
      </c>
      <c r="C154" s="3">
        <f>IF(D154="","",IF(V154=0,"🟢 OK",IF(D154&lt;corte,"⚪ HISTÓRICO (sem baixa)",IF(AND(ISNUMBER(R154),R154&lt;TODAY()),"🔴 PRAZO VENCIDO",IF(AND(OR(N154="PENDENTE",N154="PARCIAL"),D154&lt;TODAY()-1),"🔴 EMBARQUE ATRASADO",IF(AND(N154="REALIZADO",M154="PENDENTE"),"🟡 EMBARCADO SEM FATURAR",IF(AND(P154&lt;&gt;"",S154="",OR(Q154="",R154="")),"🟡 PENDÊNCIA SEM RESPONSÁVEL/PRAZO",IF(AND(ISNUMBER(R154),R154=TODAY()),"🟡 VENCE HOJE",IF(AND(P154&lt;&gt;"",S154=""),"🟡 PENDÊNCIA ABERTA",IF(AND(N(J154)&gt;0,N(K154)&lt;J154),"🟡 FALTA EXECUTAR",IF(OR(M154="PENDENTE",M154="PARCIAL"),"🟡 FATURAMENTO PENDENTE","🟡 EMBARQUE PENDENTE")))))))))))</f>
        <v/>
      </c>
      <c r="D154" s="4" t="n">
        <v>46230</v>
      </c>
      <c r="E154" s="5" t="inlineStr">
        <is>
          <t>D</t>
        </is>
      </c>
      <c r="F154" s="5" t="inlineStr">
        <is>
          <t>ADAO</t>
        </is>
      </c>
      <c r="G154" s="5" t="inlineStr">
        <is>
          <t>ABASTECIMENTO</t>
        </is>
      </c>
      <c r="H154" s="5" t="inlineStr">
        <is>
          <t>PK1</t>
        </is>
      </c>
      <c r="I154" s="5" t="inlineStr">
        <is>
          <t>PALETE</t>
        </is>
      </c>
      <c r="J154" s="6" t="n">
        <v>25</v>
      </c>
      <c r="K154" s="6" t="n">
        <v>25</v>
      </c>
      <c r="L154" s="7">
        <f>IF(OR(D154="",N(J154)=0),"",MIN(1,N(K154)/J154))</f>
        <v/>
      </c>
      <c r="M154" s="5" t="n"/>
      <c r="N154" s="5" t="n"/>
      <c r="O154" s="5" t="n"/>
      <c r="P154" s="5" t="n"/>
      <c r="Q154" s="5" t="n"/>
      <c r="R154" s="4" t="n"/>
      <c r="S154" s="4" t="n"/>
      <c r="T154" s="5" t="n"/>
      <c r="U154" s="8">
        <f>IF(AND(V154=1,D154&lt;&gt;""),IF(D154&gt;=corte,TODAY()-D154,""),"")</f>
        <v/>
      </c>
      <c r="V154" s="8">
        <f>IF(D154="",0,IF(OR(AND(P154&lt;&gt;"",S154=""),AND(N(J154)&gt;0,N(K154)&lt;J154),OR(M154="PENDENTE",M154="PARCIAL"),OR(N154="PENDENTE",N154="PARCIAL")),1,0))</f>
        <v/>
      </c>
      <c r="W154" s="8">
        <f>IF(AND(V154=1,D154&lt;&gt;""),IF(D154&gt;=corte,(B154="CRÍTICO")*1E9+(100000-D154)*10000+10000-ROW(),""),"")</f>
        <v/>
      </c>
      <c r="X154" s="8">
        <f>IF(AND(V154=1,D154=pas_data,E154=pas_turno),10000-ROW(),"")</f>
        <v/>
      </c>
    </row>
    <row r="155">
      <c r="A155" s="3">
        <f>IF(D155="","","TT-"&amp;TEXT(ROW()-1,"00000"))</f>
        <v/>
      </c>
      <c r="B155" s="3">
        <f>IF(D155="","",IF(V155=0,"CONCLUÍDO",IF(D155&lt;corte,"HISTÓRICO",IF(OR(AND(ISNUMBER(R155),R155&lt;TODAY()),AND(OR(N155="PENDENTE",N155="PARCIAL"),D155&lt;TODAY()-1)),"CRÍTICO",IF(OR(AND(P155&lt;&gt;"",S155=""),AND(N155="REALIZADO",M155="PENDENTE"),AND(ISNUMBER(R155),R155=TODAY())),"ATENÇÃO",IF(N(K155)=0,"PENDENTE","EM ANDAMENTO"))))))</f>
        <v/>
      </c>
      <c r="C155" s="3">
        <f>IF(D155="","",IF(V155=0,"🟢 OK",IF(D155&lt;corte,"⚪ HISTÓRICO (sem baixa)",IF(AND(ISNUMBER(R155),R155&lt;TODAY()),"🔴 PRAZO VENCIDO",IF(AND(OR(N155="PENDENTE",N155="PARCIAL"),D155&lt;TODAY()-1),"🔴 EMBARQUE ATRASADO",IF(AND(N155="REALIZADO",M155="PENDENTE"),"🟡 EMBARCADO SEM FATURAR",IF(AND(P155&lt;&gt;"",S155="",OR(Q155="",R155="")),"🟡 PENDÊNCIA SEM RESPONSÁVEL/PRAZO",IF(AND(ISNUMBER(R155),R155=TODAY()),"🟡 VENCE HOJE",IF(AND(P155&lt;&gt;"",S155=""),"🟡 PENDÊNCIA ABERTA",IF(AND(N(J155)&gt;0,N(K155)&lt;J155),"🟡 FALTA EXECUTAR",IF(OR(M155="PENDENTE",M155="PARCIAL"),"🟡 FATURAMENTO PENDENTE","🟡 EMBARQUE PENDENTE")))))))))))</f>
        <v/>
      </c>
      <c r="D155" s="4" t="n">
        <v>46230</v>
      </c>
      <c r="E155" s="5" t="inlineStr">
        <is>
          <t>D</t>
        </is>
      </c>
      <c r="F155" s="5" t="inlineStr">
        <is>
          <t>ADAO</t>
        </is>
      </c>
      <c r="G155" s="5" t="inlineStr">
        <is>
          <t>GRANEL</t>
        </is>
      </c>
      <c r="H155" s="5" t="n"/>
      <c r="I155" s="5" t="inlineStr">
        <is>
          <t>TON</t>
        </is>
      </c>
      <c r="J155" s="6" t="n">
        <v>36.47</v>
      </c>
      <c r="K155" s="6" t="n">
        <v>36.47</v>
      </c>
      <c r="L155" s="7">
        <f>IF(OR(D155="",N(J155)=0),"",MIN(1,N(K155)/J155))</f>
        <v/>
      </c>
      <c r="M155" s="5" t="n"/>
      <c r="N155" s="5" t="n"/>
      <c r="O155" s="5" t="n"/>
      <c r="P155" s="5" t="n"/>
      <c r="Q155" s="5" t="n"/>
      <c r="R155" s="4" t="n"/>
      <c r="S155" s="4" t="n"/>
      <c r="T155" s="5" t="n"/>
      <c r="U155" s="8">
        <f>IF(AND(V155=1,D155&lt;&gt;""),IF(D155&gt;=corte,TODAY()-D155,""),"")</f>
        <v/>
      </c>
      <c r="V155" s="8">
        <f>IF(D155="",0,IF(OR(AND(P155&lt;&gt;"",S155=""),AND(N(J155)&gt;0,N(K155)&lt;J155),OR(M155="PENDENTE",M155="PARCIAL"),OR(N155="PENDENTE",N155="PARCIAL")),1,0))</f>
        <v/>
      </c>
      <c r="W155" s="8">
        <f>IF(AND(V155=1,D155&lt;&gt;""),IF(D155&gt;=corte,(B155="CRÍTICO")*1E9+(100000-D155)*10000+10000-ROW(),""),"")</f>
        <v/>
      </c>
      <c r="X155" s="8">
        <f>IF(AND(V155=1,D155=pas_data,E155=pas_turno),10000-ROW(),"")</f>
        <v/>
      </c>
    </row>
    <row r="156">
      <c r="A156" s="3">
        <f>IF(D156="","","TT-"&amp;TEXT(ROW()-1,"00000"))</f>
        <v/>
      </c>
      <c r="B156" s="3">
        <f>IF(D156="","",IF(V156=0,"CONCLUÍDO",IF(D156&lt;corte,"HISTÓRICO",IF(OR(AND(ISNUMBER(R156),R156&lt;TODAY()),AND(OR(N156="PENDENTE",N156="PARCIAL"),D156&lt;TODAY()-1)),"CRÍTICO",IF(OR(AND(P156&lt;&gt;"",S156=""),AND(N156="REALIZADO",M156="PENDENTE"),AND(ISNUMBER(R156),R156=TODAY())),"ATENÇÃO",IF(N(K156)=0,"PENDENTE","EM ANDAMENTO"))))))</f>
        <v/>
      </c>
      <c r="C156" s="3">
        <f>IF(D156="","",IF(V156=0,"🟢 OK",IF(D156&lt;corte,"⚪ HISTÓRICO (sem baixa)",IF(AND(ISNUMBER(R156),R156&lt;TODAY()),"🔴 PRAZO VENCIDO",IF(AND(OR(N156="PENDENTE",N156="PARCIAL"),D156&lt;TODAY()-1),"🔴 EMBARQUE ATRASADO",IF(AND(N156="REALIZADO",M156="PENDENTE"),"🟡 EMBARCADO SEM FATURAR",IF(AND(P156&lt;&gt;"",S156="",OR(Q156="",R156="")),"🟡 PENDÊNCIA SEM RESPONSÁVEL/PRAZO",IF(AND(ISNUMBER(R156),R156=TODAY()),"🟡 VENCE HOJE",IF(AND(P156&lt;&gt;"",S156=""),"🟡 PENDÊNCIA ABERTA",IF(AND(N(J156)&gt;0,N(K156)&lt;J156),"🟡 FALTA EXECUTAR",IF(OR(M156="PENDENTE",M156="PARCIAL"),"🟡 FATURAMENTO PENDENTE","🟡 EMBARQUE PENDENTE")))))))))))</f>
        <v/>
      </c>
      <c r="D156" s="4" t="n">
        <v>46231</v>
      </c>
      <c r="E156" s="5" t="inlineStr">
        <is>
          <t>A</t>
        </is>
      </c>
      <c r="F156" s="5" t="inlineStr">
        <is>
          <t>TATIANE</t>
        </is>
      </c>
      <c r="G156" s="5" t="inlineStr">
        <is>
          <t>GM</t>
        </is>
      </c>
      <c r="H156" s="5" t="inlineStr">
        <is>
          <t>CROSS</t>
        </is>
      </c>
      <c r="I156" s="5" t="inlineStr">
        <is>
          <t>TON</t>
        </is>
      </c>
      <c r="J156" s="6" t="n">
        <v>13.845</v>
      </c>
      <c r="K156" s="6" t="n">
        <v>6.8</v>
      </c>
      <c r="L156" s="7">
        <f>IF(OR(D156="",N(J156)=0),"",MIN(1,N(K156)/J156))</f>
        <v/>
      </c>
      <c r="M156" s="5" t="inlineStr">
        <is>
          <t>FATURADO</t>
        </is>
      </c>
      <c r="N156" s="5" t="inlineStr">
        <is>
          <t>PENDENTE</t>
        </is>
      </c>
      <c r="O156" s="5" t="n"/>
      <c r="P156" s="5" t="n"/>
      <c r="Q156" s="5" t="n"/>
      <c r="R156" s="4" t="n"/>
      <c r="S156" s="4" t="n"/>
      <c r="T156" s="5" t="n"/>
      <c r="U156" s="8">
        <f>IF(AND(V156=1,D156&lt;&gt;""),IF(D156&gt;=corte,TODAY()-D156,""),"")</f>
        <v/>
      </c>
      <c r="V156" s="8">
        <f>IF(D156="",0,IF(OR(AND(P156&lt;&gt;"",S156=""),AND(N(J156)&gt;0,N(K156)&lt;J156),OR(M156="PENDENTE",M156="PARCIAL"),OR(N156="PENDENTE",N156="PARCIAL")),1,0))</f>
        <v/>
      </c>
      <c r="W156" s="8">
        <f>IF(AND(V156=1,D156&lt;&gt;""),IF(D156&gt;=corte,(B156="CRÍTICO")*1E9+(100000-D156)*10000+10000-ROW(),""),"")</f>
        <v/>
      </c>
      <c r="X156" s="8">
        <f>IF(AND(V156=1,D156=pas_data,E156=pas_turno),10000-ROW(),"")</f>
        <v/>
      </c>
    </row>
    <row r="157">
      <c r="A157" s="3">
        <f>IF(D157="","","TT-"&amp;TEXT(ROW()-1,"00000"))</f>
        <v/>
      </c>
      <c r="B157" s="3">
        <f>IF(D157="","",IF(V157=0,"CONCLUÍDO",IF(D157&lt;corte,"HISTÓRICO",IF(OR(AND(ISNUMBER(R157),R157&lt;TODAY()),AND(OR(N157="PENDENTE",N157="PARCIAL"),D157&lt;TODAY()-1)),"CRÍTICO",IF(OR(AND(P157&lt;&gt;"",S157=""),AND(N157="REALIZADO",M157="PENDENTE"),AND(ISNUMBER(R157),R157=TODAY())),"ATENÇÃO",IF(N(K157)=0,"PENDENTE","EM ANDAMENTO"))))))</f>
        <v/>
      </c>
      <c r="C157" s="3">
        <f>IF(D157="","",IF(V157=0,"🟢 OK",IF(D157&lt;corte,"⚪ HISTÓRICO (sem baixa)",IF(AND(ISNUMBER(R157),R157&lt;TODAY()),"🔴 PRAZO VENCIDO",IF(AND(OR(N157="PENDENTE",N157="PARCIAL"),D157&lt;TODAY()-1),"🔴 EMBARQUE ATRASADO",IF(AND(N157="REALIZADO",M157="PENDENTE"),"🟡 EMBARCADO SEM FATURAR",IF(AND(P157&lt;&gt;"",S157="",OR(Q157="",R157="")),"🟡 PENDÊNCIA SEM RESPONSÁVEL/PRAZO",IF(AND(ISNUMBER(R157),R157=TODAY()),"🟡 VENCE HOJE",IF(AND(P157&lt;&gt;"",S157=""),"🟡 PENDÊNCIA ABERTA",IF(AND(N(J157)&gt;0,N(K157)&lt;J157),"🟡 FALTA EXECUTAR",IF(OR(M157="PENDENTE",M157="PARCIAL"),"🟡 FATURAMENTO PENDENTE","🟡 EMBARQUE PENDENTE")))))))))))</f>
        <v/>
      </c>
      <c r="D157" s="4" t="n">
        <v>46231</v>
      </c>
      <c r="E157" s="5" t="inlineStr">
        <is>
          <t>A</t>
        </is>
      </c>
      <c r="F157" s="5" t="inlineStr">
        <is>
          <t>TATIANE</t>
        </is>
      </c>
      <c r="G157" s="5" t="inlineStr">
        <is>
          <t>GM</t>
        </is>
      </c>
      <c r="H157" s="5" t="inlineStr">
        <is>
          <t>GM</t>
        </is>
      </c>
      <c r="I157" s="5" t="inlineStr">
        <is>
          <t>TON</t>
        </is>
      </c>
      <c r="J157" s="6" t="n">
        <v>21.089</v>
      </c>
      <c r="K157" s="6" t="n">
        <v>21.089</v>
      </c>
      <c r="L157" s="7">
        <f>IF(OR(D157="",N(J157)=0),"",MIN(1,N(K157)/J157))</f>
        <v/>
      </c>
      <c r="M157" s="5" t="inlineStr">
        <is>
          <t>FATURADO</t>
        </is>
      </c>
      <c r="N157" s="5" t="inlineStr">
        <is>
          <t>PENDENTE</t>
        </is>
      </c>
      <c r="O157" s="5" t="inlineStr">
        <is>
          <t>SPEEDYLOG</t>
        </is>
      </c>
      <c r="P157" s="5" t="n"/>
      <c r="Q157" s="5" t="n"/>
      <c r="R157" s="4" t="n"/>
      <c r="S157" s="4" t="n"/>
      <c r="T157" s="5" t="n"/>
      <c r="U157" s="8">
        <f>IF(AND(V157=1,D157&lt;&gt;""),IF(D157&gt;=corte,TODAY()-D157,""),"")</f>
        <v/>
      </c>
      <c r="V157" s="8">
        <f>IF(D157="",0,IF(OR(AND(P157&lt;&gt;"",S157=""),AND(N(J157)&gt;0,N(K157)&lt;J157),OR(M157="PENDENTE",M157="PARCIAL"),OR(N157="PENDENTE",N157="PARCIAL")),1,0))</f>
        <v/>
      </c>
      <c r="W157" s="8">
        <f>IF(AND(V157=1,D157&lt;&gt;""),IF(D157&gt;=corte,(B157="CRÍTICO")*1E9+(100000-D157)*10000+10000-ROW(),""),"")</f>
        <v/>
      </c>
      <c r="X157" s="8">
        <f>IF(AND(V157=1,D157=pas_data,E157=pas_turno),10000-ROW(),"")</f>
        <v/>
      </c>
    </row>
    <row r="158">
      <c r="A158" s="3">
        <f>IF(D158="","","TT-"&amp;TEXT(ROW()-1,"00000"))</f>
        <v/>
      </c>
      <c r="B158" s="3">
        <f>IF(D158="","",IF(V158=0,"CONCLUÍDO",IF(D158&lt;corte,"HISTÓRICO",IF(OR(AND(ISNUMBER(R158),R158&lt;TODAY()),AND(OR(N158="PENDENTE",N158="PARCIAL"),D158&lt;TODAY()-1)),"CRÍTICO",IF(OR(AND(P158&lt;&gt;"",S158=""),AND(N158="REALIZADO",M158="PENDENTE"),AND(ISNUMBER(R158),R158=TODAY())),"ATENÇÃO",IF(N(K158)=0,"PENDENTE","EM ANDAMENTO"))))))</f>
        <v/>
      </c>
      <c r="C158" s="3">
        <f>IF(D158="","",IF(V158=0,"🟢 OK",IF(D158&lt;corte,"⚪ HISTÓRICO (sem baixa)",IF(AND(ISNUMBER(R158),R158&lt;TODAY()),"🔴 PRAZO VENCIDO",IF(AND(OR(N158="PENDENTE",N158="PARCIAL"),D158&lt;TODAY()-1),"🔴 EMBARQUE ATRASADO",IF(AND(N158="REALIZADO",M158="PENDENTE"),"🟡 EMBARCADO SEM FATURAR",IF(AND(P158&lt;&gt;"",S158="",OR(Q158="",R158="")),"🟡 PENDÊNCIA SEM RESPONSÁVEL/PRAZO",IF(AND(ISNUMBER(R158),R158=TODAY()),"🟡 VENCE HOJE",IF(AND(P158&lt;&gt;"",S158=""),"🟡 PENDÊNCIA ABERTA",IF(AND(N(J158)&gt;0,N(K158)&lt;J158),"🟡 FALTA EXECUTAR",IF(OR(M158="PENDENTE",M158="PARCIAL"),"🟡 FATURAMENTO PENDENTE","🟡 EMBARQUE PENDENTE")))))))))))</f>
        <v/>
      </c>
      <c r="D158" s="4" t="n">
        <v>46231</v>
      </c>
      <c r="E158" s="5" t="inlineStr">
        <is>
          <t>A</t>
        </is>
      </c>
      <c r="F158" s="5" t="inlineStr">
        <is>
          <t>TATIANE</t>
        </is>
      </c>
      <c r="G158" s="5" t="inlineStr">
        <is>
          <t>GRANEL</t>
        </is>
      </c>
      <c r="H158" s="5" t="inlineStr">
        <is>
          <t>FM</t>
        </is>
      </c>
      <c r="I158" s="5" t="inlineStr">
        <is>
          <t>TON</t>
        </is>
      </c>
      <c r="J158" s="6" t="n">
        <v>10</v>
      </c>
      <c r="K158" s="6" t="n"/>
      <c r="L158" s="7">
        <f>IF(OR(D158="",N(J158)=0),"",MIN(1,N(K158)/J158))</f>
        <v/>
      </c>
      <c r="M158" s="5" t="n"/>
      <c r="N158" s="5" t="n"/>
      <c r="O158" s="5" t="n"/>
      <c r="P158" s="5" t="n"/>
      <c r="Q158" s="5" t="n"/>
      <c r="R158" s="4" t="n"/>
      <c r="S158" s="4" t="n"/>
      <c r="T158" s="5" t="n"/>
      <c r="U158" s="8">
        <f>IF(AND(V158=1,D158&lt;&gt;""),IF(D158&gt;=corte,TODAY()-D158,""),"")</f>
        <v/>
      </c>
      <c r="V158" s="8">
        <f>IF(D158="",0,IF(OR(AND(P158&lt;&gt;"",S158=""),AND(N(J158)&gt;0,N(K158)&lt;J158),OR(M158="PENDENTE",M158="PARCIAL"),OR(N158="PENDENTE",N158="PARCIAL")),1,0))</f>
        <v/>
      </c>
      <c r="W158" s="8">
        <f>IF(AND(V158=1,D158&lt;&gt;""),IF(D158&gt;=corte,(B158="CRÍTICO")*1E9+(100000-D158)*10000+10000-ROW(),""),"")</f>
        <v/>
      </c>
      <c r="X158" s="8">
        <f>IF(AND(V158=1,D158=pas_data,E158=pas_turno),10000-ROW(),"")</f>
        <v/>
      </c>
    </row>
    <row r="159">
      <c r="A159" s="3">
        <f>IF(D159="","","TT-"&amp;TEXT(ROW()-1,"00000"))</f>
        <v/>
      </c>
      <c r="B159" s="3">
        <f>IF(D159="","",IF(V159=0,"CONCLUÍDO",IF(D159&lt;corte,"HISTÓRICO",IF(OR(AND(ISNUMBER(R159),R159&lt;TODAY()),AND(OR(N159="PENDENTE",N159="PARCIAL"),D159&lt;TODAY()-1)),"CRÍTICO",IF(OR(AND(P159&lt;&gt;"",S159=""),AND(N159="REALIZADO",M159="PENDENTE"),AND(ISNUMBER(R159),R159=TODAY())),"ATENÇÃO",IF(N(K159)=0,"PENDENTE","EM ANDAMENTO"))))))</f>
        <v/>
      </c>
      <c r="C159" s="3">
        <f>IF(D159="","",IF(V159=0,"🟢 OK",IF(D159&lt;corte,"⚪ HISTÓRICO (sem baixa)",IF(AND(ISNUMBER(R159),R159&lt;TODAY()),"🔴 PRAZO VENCIDO",IF(AND(OR(N159="PENDENTE",N159="PARCIAL"),D159&lt;TODAY()-1),"🔴 EMBARQUE ATRASADO",IF(AND(N159="REALIZADO",M159="PENDENTE"),"🟡 EMBARCADO SEM FATURAR",IF(AND(P159&lt;&gt;"",S159="",OR(Q159="",R159="")),"🟡 PENDÊNCIA SEM RESPONSÁVEL/PRAZO",IF(AND(ISNUMBER(R159),R159=TODAY()),"🟡 VENCE HOJE",IF(AND(P159&lt;&gt;"",S159=""),"🟡 PENDÊNCIA ABERTA",IF(AND(N(J159)&gt;0,N(K159)&lt;J159),"🟡 FALTA EXECUTAR",IF(OR(M159="PENDENTE",M159="PARCIAL"),"🟡 FATURAMENTO PENDENTE","🟡 EMBARQUE PENDENTE")))))))))))</f>
        <v/>
      </c>
      <c r="D159" s="4" t="n">
        <v>46231</v>
      </c>
      <c r="E159" s="5" t="inlineStr">
        <is>
          <t>A</t>
        </is>
      </c>
      <c r="F159" s="5" t="inlineStr">
        <is>
          <t>TATIANE</t>
        </is>
      </c>
      <c r="G159" s="5" t="inlineStr">
        <is>
          <t>FM</t>
        </is>
      </c>
      <c r="H159" s="5" t="inlineStr">
        <is>
          <t>FM</t>
        </is>
      </c>
      <c r="I159" s="5" t="inlineStr">
        <is>
          <t>TON</t>
        </is>
      </c>
      <c r="J159" s="6" t="n">
        <v>28.054</v>
      </c>
      <c r="K159" s="6" t="n"/>
      <c r="L159" s="7">
        <f>IF(OR(D159="",N(J159)=0),"",MIN(1,N(K159)/J159))</f>
        <v/>
      </c>
      <c r="M159" s="5" t="n"/>
      <c r="N159" s="5" t="n"/>
      <c r="O159" s="5" t="n"/>
      <c r="P159" s="5" t="n"/>
      <c r="Q159" s="5" t="n"/>
      <c r="R159" s="4" t="n"/>
      <c r="S159" s="4" t="n"/>
      <c r="T159" s="5" t="n"/>
      <c r="U159" s="8">
        <f>IF(AND(V159=1,D159&lt;&gt;""),IF(D159&gt;=corte,TODAY()-D159,""),"")</f>
        <v/>
      </c>
      <c r="V159" s="8">
        <f>IF(D159="",0,IF(OR(AND(P159&lt;&gt;"",S159=""),AND(N(J159)&gt;0,N(K159)&lt;J159),OR(M159="PENDENTE",M159="PARCIAL"),OR(N159="PENDENTE",N159="PARCIAL")),1,0))</f>
        <v/>
      </c>
      <c r="W159" s="8">
        <f>IF(AND(V159=1,D159&lt;&gt;""),IF(D159&gt;=corte,(B159="CRÍTICO")*1E9+(100000-D159)*10000+10000-ROW(),""),"")</f>
        <v/>
      </c>
      <c r="X159" s="8">
        <f>IF(AND(V159=1,D159=pas_data,E159=pas_turno),10000-ROW(),"")</f>
        <v/>
      </c>
    </row>
    <row r="160">
      <c r="A160" s="3">
        <f>IF(D160="","","TT-"&amp;TEXT(ROW()-1,"00000"))</f>
        <v/>
      </c>
      <c r="B160" s="3">
        <f>IF(D160="","",IF(V160=0,"CONCLUÍDO",IF(D160&lt;corte,"HISTÓRICO",IF(OR(AND(ISNUMBER(R160),R160&lt;TODAY()),AND(OR(N160="PENDENTE",N160="PARCIAL"),D160&lt;TODAY()-1)),"CRÍTICO",IF(OR(AND(P160&lt;&gt;"",S160=""),AND(N160="REALIZADO",M160="PENDENTE"),AND(ISNUMBER(R160),R160=TODAY())),"ATENÇÃO",IF(N(K160)=0,"PENDENTE","EM ANDAMENTO"))))))</f>
        <v/>
      </c>
      <c r="C160" s="3">
        <f>IF(D160="","",IF(V160=0,"🟢 OK",IF(D160&lt;corte,"⚪ HISTÓRICO (sem baixa)",IF(AND(ISNUMBER(R160),R160&lt;TODAY()),"🔴 PRAZO VENCIDO",IF(AND(OR(N160="PENDENTE",N160="PARCIAL"),D160&lt;TODAY()-1),"🔴 EMBARQUE ATRASADO",IF(AND(N160="REALIZADO",M160="PENDENTE"),"🟡 EMBARCADO SEM FATURAR",IF(AND(P160&lt;&gt;"",S160="",OR(Q160="",R160="")),"🟡 PENDÊNCIA SEM RESPONSÁVEL/PRAZO",IF(AND(ISNUMBER(R160),R160=TODAY()),"🟡 VENCE HOJE",IF(AND(P160&lt;&gt;"",S160=""),"🟡 PENDÊNCIA ABERTA",IF(AND(N(J160)&gt;0,N(K160)&lt;J160),"🟡 FALTA EXECUTAR",IF(OR(M160="PENDENTE",M160="PARCIAL"),"🟡 FATURAMENTO PENDENTE","🟡 EMBARQUE PENDENTE")))))))))))</f>
        <v/>
      </c>
      <c r="D160" s="4" t="n">
        <v>46231</v>
      </c>
      <c r="E160" s="5" t="inlineStr">
        <is>
          <t>A</t>
        </is>
      </c>
      <c r="F160" s="5" t="inlineStr">
        <is>
          <t>TATIANE</t>
        </is>
      </c>
      <c r="G160" s="5" t="inlineStr">
        <is>
          <t>FM</t>
        </is>
      </c>
      <c r="H160" s="5" t="inlineStr">
        <is>
          <t>FM</t>
        </is>
      </c>
      <c r="I160" s="5" t="inlineStr">
        <is>
          <t>TON</t>
        </is>
      </c>
      <c r="J160" s="6" t="n">
        <v>28.054</v>
      </c>
      <c r="K160" s="6" t="n"/>
      <c r="L160" s="7">
        <f>IF(OR(D160="",N(J160)=0),"",MIN(1,N(K160)/J160))</f>
        <v/>
      </c>
      <c r="M160" s="5" t="n"/>
      <c r="N160" s="5" t="n"/>
      <c r="O160" s="5" t="n"/>
      <c r="P160" s="5" t="n"/>
      <c r="Q160" s="5" t="n"/>
      <c r="R160" s="4" t="n"/>
      <c r="S160" s="4" t="n"/>
      <c r="T160" s="5" t="n"/>
      <c r="U160" s="8">
        <f>IF(AND(V160=1,D160&lt;&gt;""),IF(D160&gt;=corte,TODAY()-D160,""),"")</f>
        <v/>
      </c>
      <c r="V160" s="8">
        <f>IF(D160="",0,IF(OR(AND(P160&lt;&gt;"",S160=""),AND(N(J160)&gt;0,N(K160)&lt;J160),OR(M160="PENDENTE",M160="PARCIAL"),OR(N160="PENDENTE",N160="PARCIAL")),1,0))</f>
        <v/>
      </c>
      <c r="W160" s="8">
        <f>IF(AND(V160=1,D160&lt;&gt;""),IF(D160&gt;=corte,(B160="CRÍTICO")*1E9+(100000-D160)*10000+10000-ROW(),""),"")</f>
        <v/>
      </c>
      <c r="X160" s="8">
        <f>IF(AND(V160=1,D160=pas_data,E160=pas_turno),10000-ROW(),"")</f>
        <v/>
      </c>
    </row>
    <row r="161">
      <c r="A161" s="3">
        <f>IF(D161="","","TT-"&amp;TEXT(ROW()-1,"00000"))</f>
        <v/>
      </c>
      <c r="B161" s="3">
        <f>IF(D161="","",IF(V161=0,"CONCLUÍDO",IF(D161&lt;corte,"HISTÓRICO",IF(OR(AND(ISNUMBER(R161),R161&lt;TODAY()),AND(OR(N161="PENDENTE",N161="PARCIAL"),D161&lt;TODAY()-1)),"CRÍTICO",IF(OR(AND(P161&lt;&gt;"",S161=""),AND(N161="REALIZADO",M161="PENDENTE"),AND(ISNUMBER(R161),R161=TODAY())),"ATENÇÃO",IF(N(K161)=0,"PENDENTE","EM ANDAMENTO"))))))</f>
        <v/>
      </c>
      <c r="C161" s="3">
        <f>IF(D161="","",IF(V161=0,"🟢 OK",IF(D161&lt;corte,"⚪ HISTÓRICO (sem baixa)",IF(AND(ISNUMBER(R161),R161&lt;TODAY()),"🔴 PRAZO VENCIDO",IF(AND(OR(N161="PENDENTE",N161="PARCIAL"),D161&lt;TODAY()-1),"🔴 EMBARQUE ATRASADO",IF(AND(N161="REALIZADO",M161="PENDENTE"),"🟡 EMBARCADO SEM FATURAR",IF(AND(P161&lt;&gt;"",S161="",OR(Q161="",R161="")),"🟡 PENDÊNCIA SEM RESPONSÁVEL/PRAZO",IF(AND(ISNUMBER(R161),R161=TODAY()),"🟡 VENCE HOJE",IF(AND(P161&lt;&gt;"",S161=""),"🟡 PENDÊNCIA ABERTA",IF(AND(N(J161)&gt;0,N(K161)&lt;J161),"🟡 FALTA EXECUTAR",IF(OR(M161="PENDENTE",M161="PARCIAL"),"🟡 FATURAMENTO PENDENTE","🟡 EMBARQUE PENDENTE")))))))))))</f>
        <v/>
      </c>
      <c r="D161" s="4" t="n">
        <v>46231</v>
      </c>
      <c r="E161" s="5" t="inlineStr">
        <is>
          <t>A</t>
        </is>
      </c>
      <c r="F161" s="5" t="inlineStr">
        <is>
          <t>TATIANE</t>
        </is>
      </c>
      <c r="G161" s="5" t="inlineStr">
        <is>
          <t>FM</t>
        </is>
      </c>
      <c r="H161" s="5" t="inlineStr">
        <is>
          <t>FM</t>
        </is>
      </c>
      <c r="I161" s="5" t="inlineStr">
        <is>
          <t>TON</t>
        </is>
      </c>
      <c r="J161" s="6" t="n">
        <v>1.061</v>
      </c>
      <c r="K161" s="6" t="n">
        <v>1.061</v>
      </c>
      <c r="L161" s="7">
        <f>IF(OR(D161="",N(J161)=0),"",MIN(1,N(K161)/J161))</f>
        <v/>
      </c>
      <c r="M161" s="5" t="inlineStr">
        <is>
          <t>FATURADO</t>
        </is>
      </c>
      <c r="N161" s="5" t="inlineStr">
        <is>
          <t>PENDENTE</t>
        </is>
      </c>
      <c r="O161" s="5" t="inlineStr">
        <is>
          <t>SPEEDYLOG</t>
        </is>
      </c>
      <c r="P161" s="5" t="n"/>
      <c r="Q161" s="5" t="n"/>
      <c r="R161" s="4" t="n"/>
      <c r="S161" s="4" t="n"/>
      <c r="T161" s="5" t="n"/>
      <c r="U161" s="8">
        <f>IF(AND(V161=1,D161&lt;&gt;""),IF(D161&gt;=corte,TODAY()-D161,""),"")</f>
        <v/>
      </c>
      <c r="V161" s="8">
        <f>IF(D161="",0,IF(OR(AND(P161&lt;&gt;"",S161=""),AND(N(J161)&gt;0,N(K161)&lt;J161),OR(M161="PENDENTE",M161="PARCIAL"),OR(N161="PENDENTE",N161="PARCIAL")),1,0))</f>
        <v/>
      </c>
      <c r="W161" s="8">
        <f>IF(AND(V161=1,D161&lt;&gt;""),IF(D161&gt;=corte,(B161="CRÍTICO")*1E9+(100000-D161)*10000+10000-ROW(),""),"")</f>
        <v/>
      </c>
      <c r="X161" s="8">
        <f>IF(AND(V161=1,D161=pas_data,E161=pas_turno),10000-ROW(),"")</f>
        <v/>
      </c>
    </row>
    <row r="162">
      <c r="A162" s="3">
        <f>IF(D162="","","TT-"&amp;TEXT(ROW()-1,"00000"))</f>
        <v/>
      </c>
      <c r="B162" s="3">
        <f>IF(D162="","",IF(V162=0,"CONCLUÍDO",IF(D162&lt;corte,"HISTÓRICO",IF(OR(AND(ISNUMBER(R162),R162&lt;TODAY()),AND(OR(N162="PENDENTE",N162="PARCIAL"),D162&lt;TODAY()-1)),"CRÍTICO",IF(OR(AND(P162&lt;&gt;"",S162=""),AND(N162="REALIZADO",M162="PENDENTE"),AND(ISNUMBER(R162),R162=TODAY())),"ATENÇÃO",IF(N(K162)=0,"PENDENTE","EM ANDAMENTO"))))))</f>
        <v/>
      </c>
      <c r="C162" s="3">
        <f>IF(D162="","",IF(V162=0,"🟢 OK",IF(D162&lt;corte,"⚪ HISTÓRICO (sem baixa)",IF(AND(ISNUMBER(R162),R162&lt;TODAY()),"🔴 PRAZO VENCIDO",IF(AND(OR(N162="PENDENTE",N162="PARCIAL"),D162&lt;TODAY()-1),"🔴 EMBARQUE ATRASADO",IF(AND(N162="REALIZADO",M162="PENDENTE"),"🟡 EMBARCADO SEM FATURAR",IF(AND(P162&lt;&gt;"",S162="",OR(Q162="",R162="")),"🟡 PENDÊNCIA SEM RESPONSÁVEL/PRAZO",IF(AND(ISNUMBER(R162),R162=TODAY()),"🟡 VENCE HOJE",IF(AND(P162&lt;&gt;"",S162=""),"🟡 PENDÊNCIA ABERTA",IF(AND(N(J162)&gt;0,N(K162)&lt;J162),"🟡 FALTA EXECUTAR",IF(OR(M162="PENDENTE",M162="PARCIAL"),"🟡 FATURAMENTO PENDENTE","🟡 EMBARQUE PENDENTE")))))))))))</f>
        <v/>
      </c>
      <c r="D162" s="4" t="n">
        <v>46231</v>
      </c>
      <c r="E162" s="5" t="inlineStr">
        <is>
          <t>A</t>
        </is>
      </c>
      <c r="F162" s="5" t="inlineStr">
        <is>
          <t>TATIANE</t>
        </is>
      </c>
      <c r="G162" s="5" t="inlineStr">
        <is>
          <t>FOB</t>
        </is>
      </c>
      <c r="H162" s="5" t="inlineStr">
        <is>
          <t>FOB</t>
        </is>
      </c>
      <c r="I162" s="5" t="inlineStr">
        <is>
          <t>TON</t>
        </is>
      </c>
      <c r="J162" s="6" t="n">
        <v>11.823</v>
      </c>
      <c r="K162" s="6" t="n">
        <v>11.823</v>
      </c>
      <c r="L162" s="7">
        <f>IF(OR(D162="",N(J162)=0),"",MIN(1,N(K162)/J162))</f>
        <v/>
      </c>
      <c r="M162" s="5" t="inlineStr">
        <is>
          <t>FATURADO</t>
        </is>
      </c>
      <c r="N162" s="5" t="inlineStr">
        <is>
          <t>REALIZADO</t>
        </is>
      </c>
      <c r="O162" s="5" t="inlineStr">
        <is>
          <t>PRÓPRIO</t>
        </is>
      </c>
      <c r="P162" s="5" t="n"/>
      <c r="Q162" s="5" t="n"/>
      <c r="R162" s="4" t="n"/>
      <c r="S162" s="4" t="n"/>
      <c r="T162" s="5" t="n"/>
      <c r="U162" s="8">
        <f>IF(AND(V162=1,D162&lt;&gt;""),IF(D162&gt;=corte,TODAY()-D162,""),"")</f>
        <v/>
      </c>
      <c r="V162" s="8">
        <f>IF(D162="",0,IF(OR(AND(P162&lt;&gt;"",S162=""),AND(N(J162)&gt;0,N(K162)&lt;J162),OR(M162="PENDENTE",M162="PARCIAL"),OR(N162="PENDENTE",N162="PARCIAL")),1,0))</f>
        <v/>
      </c>
      <c r="W162" s="8">
        <f>IF(AND(V162=1,D162&lt;&gt;""),IF(D162&gt;=corte,(B162="CRÍTICO")*1E9+(100000-D162)*10000+10000-ROW(),""),"")</f>
        <v/>
      </c>
      <c r="X162" s="8">
        <f>IF(AND(V162=1,D162=pas_data,E162=pas_turno),10000-ROW(),"")</f>
        <v/>
      </c>
    </row>
    <row r="163">
      <c r="A163" s="3">
        <f>IF(D163="","","TT-"&amp;TEXT(ROW()-1,"00000"))</f>
        <v/>
      </c>
      <c r="B163" s="3">
        <f>IF(D163="","",IF(V163=0,"CONCLUÍDO",IF(D163&lt;corte,"HISTÓRICO",IF(OR(AND(ISNUMBER(R163),R163&lt;TODAY()),AND(OR(N163="PENDENTE",N163="PARCIAL"),D163&lt;TODAY()-1)),"CRÍTICO",IF(OR(AND(P163&lt;&gt;"",S163=""),AND(N163="REALIZADO",M163="PENDENTE"),AND(ISNUMBER(R163),R163=TODAY())),"ATENÇÃO",IF(N(K163)=0,"PENDENTE","EM ANDAMENTO"))))))</f>
        <v/>
      </c>
      <c r="C163" s="3">
        <f>IF(D163="","",IF(V163=0,"🟢 OK",IF(D163&lt;corte,"⚪ HISTÓRICO (sem baixa)",IF(AND(ISNUMBER(R163),R163&lt;TODAY()),"🔴 PRAZO VENCIDO",IF(AND(OR(N163="PENDENTE",N163="PARCIAL"),D163&lt;TODAY()-1),"🔴 EMBARQUE ATRASADO",IF(AND(N163="REALIZADO",M163="PENDENTE"),"🟡 EMBARCADO SEM FATURAR",IF(AND(P163&lt;&gt;"",S163="",OR(Q163="",R163="")),"🟡 PENDÊNCIA SEM RESPONSÁVEL/PRAZO",IF(AND(ISNUMBER(R163),R163=TODAY()),"🟡 VENCE HOJE",IF(AND(P163&lt;&gt;"",S163=""),"🟡 PENDÊNCIA ABERTA",IF(AND(N(J163)&gt;0,N(K163)&lt;J163),"🟡 FALTA EXECUTAR",IF(OR(M163="PENDENTE",M163="PARCIAL"),"🟡 FATURAMENTO PENDENTE","🟡 EMBARQUE PENDENTE")))))))))))</f>
        <v/>
      </c>
      <c r="D163" s="4" t="n">
        <v>46231</v>
      </c>
      <c r="E163" s="5" t="inlineStr">
        <is>
          <t>A</t>
        </is>
      </c>
      <c r="F163" s="5" t="inlineStr">
        <is>
          <t>TATIANE</t>
        </is>
      </c>
      <c r="G163" s="5" t="inlineStr">
        <is>
          <t>GM</t>
        </is>
      </c>
      <c r="H163" s="5" t="inlineStr">
        <is>
          <t>CO</t>
        </is>
      </c>
      <c r="I163" s="5" t="inlineStr">
        <is>
          <t>TON</t>
        </is>
      </c>
      <c r="J163" s="6" t="n">
        <v>23.363</v>
      </c>
      <c r="K163" s="6" t="n"/>
      <c r="L163" s="7">
        <f>IF(OR(D163="",N(J163)=0),"",MIN(1,N(K163)/J163))</f>
        <v/>
      </c>
      <c r="M163" s="5" t="n"/>
      <c r="N163" s="5" t="n"/>
      <c r="O163" s="5" t="n"/>
      <c r="P163" s="5" t="n"/>
      <c r="Q163" s="5" t="n"/>
      <c r="R163" s="4" t="n"/>
      <c r="S163" s="4" t="n"/>
      <c r="T163" s="5" t="n"/>
      <c r="U163" s="8">
        <f>IF(AND(V163=1,D163&lt;&gt;""),IF(D163&gt;=corte,TODAY()-D163,""),"")</f>
        <v/>
      </c>
      <c r="V163" s="8">
        <f>IF(D163="",0,IF(OR(AND(P163&lt;&gt;"",S163=""),AND(N(J163)&gt;0,N(K163)&lt;J163),OR(M163="PENDENTE",M163="PARCIAL"),OR(N163="PENDENTE",N163="PARCIAL")),1,0))</f>
        <v/>
      </c>
      <c r="W163" s="8">
        <f>IF(AND(V163=1,D163&lt;&gt;""),IF(D163&gt;=corte,(B163="CRÍTICO")*1E9+(100000-D163)*10000+10000-ROW(),""),"")</f>
        <v/>
      </c>
      <c r="X163" s="8">
        <f>IF(AND(V163=1,D163=pas_data,E163=pas_turno),10000-ROW(),"")</f>
        <v/>
      </c>
    </row>
    <row r="164">
      <c r="A164" s="3">
        <f>IF(D164="","","TT-"&amp;TEXT(ROW()-1,"00000"))</f>
        <v/>
      </c>
      <c r="B164" s="3">
        <f>IF(D164="","",IF(V164=0,"CONCLUÍDO",IF(D164&lt;corte,"HISTÓRICO",IF(OR(AND(ISNUMBER(R164),R164&lt;TODAY()),AND(OR(N164="PENDENTE",N164="PARCIAL"),D164&lt;TODAY()-1)),"CRÍTICO",IF(OR(AND(P164&lt;&gt;"",S164=""),AND(N164="REALIZADO",M164="PENDENTE"),AND(ISNUMBER(R164),R164=TODAY())),"ATENÇÃO",IF(N(K164)=0,"PENDENTE","EM ANDAMENTO"))))))</f>
        <v/>
      </c>
      <c r="C164" s="3">
        <f>IF(D164="","",IF(V164=0,"🟢 OK",IF(D164&lt;corte,"⚪ HISTÓRICO (sem baixa)",IF(AND(ISNUMBER(R164),R164&lt;TODAY()),"🔴 PRAZO VENCIDO",IF(AND(OR(N164="PENDENTE",N164="PARCIAL"),D164&lt;TODAY()-1),"🔴 EMBARQUE ATRASADO",IF(AND(N164="REALIZADO",M164="PENDENTE"),"🟡 EMBARCADO SEM FATURAR",IF(AND(P164&lt;&gt;"",S164="",OR(Q164="",R164="")),"🟡 PENDÊNCIA SEM RESPONSÁVEL/PRAZO",IF(AND(ISNUMBER(R164),R164=TODAY()),"🟡 VENCE HOJE",IF(AND(P164&lt;&gt;"",S164=""),"🟡 PENDÊNCIA ABERTA",IF(AND(N(J164)&gt;0,N(K164)&lt;J164),"🟡 FALTA EXECUTAR",IF(OR(M164="PENDENTE",M164="PARCIAL"),"🟡 FATURAMENTO PENDENTE","🟡 EMBARQUE PENDENTE")))))))))))</f>
        <v/>
      </c>
      <c r="D164" s="4" t="n">
        <v>46231</v>
      </c>
      <c r="E164" s="5" t="inlineStr">
        <is>
          <t>A</t>
        </is>
      </c>
      <c r="F164" s="5" t="inlineStr">
        <is>
          <t>TATIANE</t>
        </is>
      </c>
      <c r="G164" s="5" t="inlineStr">
        <is>
          <t>FM</t>
        </is>
      </c>
      <c r="H164" s="5" t="inlineStr">
        <is>
          <t>FM</t>
        </is>
      </c>
      <c r="I164" s="5" t="inlineStr">
        <is>
          <t>TON</t>
        </is>
      </c>
      <c r="J164" s="6" t="n">
        <v>19.422</v>
      </c>
      <c r="K164" s="6" t="n"/>
      <c r="L164" s="7">
        <f>IF(OR(D164="",N(J164)=0),"",MIN(1,N(K164)/J164))</f>
        <v/>
      </c>
      <c r="M164" s="5" t="n"/>
      <c r="N164" s="5" t="inlineStr">
        <is>
          <t>REALIZADO</t>
        </is>
      </c>
      <c r="O164" s="5" t="inlineStr">
        <is>
          <t>SPEEDYLOG</t>
        </is>
      </c>
      <c r="P164" s="5" t="n"/>
      <c r="Q164" s="5" t="n"/>
      <c r="R164" s="4" t="n"/>
      <c r="S164" s="4" t="n"/>
      <c r="T164" s="5" t="n"/>
      <c r="U164" s="8">
        <f>IF(AND(V164=1,D164&lt;&gt;""),IF(D164&gt;=corte,TODAY()-D164,""),"")</f>
        <v/>
      </c>
      <c r="V164" s="8">
        <f>IF(D164="",0,IF(OR(AND(P164&lt;&gt;"",S164=""),AND(N(J164)&gt;0,N(K164)&lt;J164),OR(M164="PENDENTE",M164="PARCIAL"),OR(N164="PENDENTE",N164="PARCIAL")),1,0))</f>
        <v/>
      </c>
      <c r="W164" s="8">
        <f>IF(AND(V164=1,D164&lt;&gt;""),IF(D164&gt;=corte,(B164="CRÍTICO")*1E9+(100000-D164)*10000+10000-ROW(),""),"")</f>
        <v/>
      </c>
      <c r="X164" s="8">
        <f>IF(AND(V164=1,D164=pas_data,E164=pas_turno),10000-ROW(),"")</f>
        <v/>
      </c>
    </row>
    <row r="165">
      <c r="A165" s="3">
        <f>IF(D165="","","TT-"&amp;TEXT(ROW()-1,"00000"))</f>
        <v/>
      </c>
      <c r="B165" s="3">
        <f>IF(D165="","",IF(V165=0,"CONCLUÍDO",IF(D165&lt;corte,"HISTÓRICO",IF(OR(AND(ISNUMBER(R165),R165&lt;TODAY()),AND(OR(N165="PENDENTE",N165="PARCIAL"),D165&lt;TODAY()-1)),"CRÍTICO",IF(OR(AND(P165&lt;&gt;"",S165=""),AND(N165="REALIZADO",M165="PENDENTE"),AND(ISNUMBER(R165),R165=TODAY())),"ATENÇÃO",IF(N(K165)=0,"PENDENTE","EM ANDAMENTO"))))))</f>
        <v/>
      </c>
      <c r="C165" s="3">
        <f>IF(D165="","",IF(V165=0,"🟢 OK",IF(D165&lt;corte,"⚪ HISTÓRICO (sem baixa)",IF(AND(ISNUMBER(R165),R165&lt;TODAY()),"🔴 PRAZO VENCIDO",IF(AND(OR(N165="PENDENTE",N165="PARCIAL"),D165&lt;TODAY()-1),"🔴 EMBARQUE ATRASADO",IF(AND(N165="REALIZADO",M165="PENDENTE"),"🟡 EMBARCADO SEM FATURAR",IF(AND(P165&lt;&gt;"",S165="",OR(Q165="",R165="")),"🟡 PENDÊNCIA SEM RESPONSÁVEL/PRAZO",IF(AND(ISNUMBER(R165),R165=TODAY()),"🟡 VENCE HOJE",IF(AND(P165&lt;&gt;"",S165=""),"🟡 PENDÊNCIA ABERTA",IF(AND(N(J165)&gt;0,N(K165)&lt;J165),"🟡 FALTA EXECUTAR",IF(OR(M165="PENDENTE",M165="PARCIAL"),"🟡 FATURAMENTO PENDENTE","🟡 EMBARQUE PENDENTE")))))))))))</f>
        <v/>
      </c>
      <c r="D165" s="4" t="n">
        <v>46231</v>
      </c>
      <c r="E165" s="5" t="inlineStr">
        <is>
          <t>A</t>
        </is>
      </c>
      <c r="F165" s="5" t="inlineStr">
        <is>
          <t>TATIANE</t>
        </is>
      </c>
      <c r="G165" s="5" t="inlineStr">
        <is>
          <t>GM</t>
        </is>
      </c>
      <c r="H165" s="5" t="inlineStr">
        <is>
          <t>SP CAP / INT</t>
        </is>
      </c>
      <c r="I165" s="5" t="inlineStr">
        <is>
          <t>TON</t>
        </is>
      </c>
      <c r="J165" s="6" t="n">
        <v>6.632</v>
      </c>
      <c r="K165" s="6" t="n">
        <v>6.632</v>
      </c>
      <c r="L165" s="7">
        <f>IF(OR(D165="",N(J165)=0),"",MIN(1,N(K165)/J165))</f>
        <v/>
      </c>
      <c r="M165" s="5" t="inlineStr">
        <is>
          <t>PENDENTE</t>
        </is>
      </c>
      <c r="N165" s="5" t="inlineStr">
        <is>
          <t>PENDENTE</t>
        </is>
      </c>
      <c r="O165" s="5" t="inlineStr">
        <is>
          <t>SMARTLOG</t>
        </is>
      </c>
      <c r="P165" s="5" t="n"/>
      <c r="Q165" s="5" t="n"/>
      <c r="R165" s="4" t="n"/>
      <c r="S165" s="4" t="n"/>
      <c r="T165" s="5" t="n"/>
      <c r="U165" s="8">
        <f>IF(AND(V165=1,D165&lt;&gt;""),IF(D165&gt;=corte,TODAY()-D165,""),"")</f>
        <v/>
      </c>
      <c r="V165" s="8">
        <f>IF(D165="",0,IF(OR(AND(P165&lt;&gt;"",S165=""),AND(N(J165)&gt;0,N(K165)&lt;J165),OR(M165="PENDENTE",M165="PARCIAL"),OR(N165="PENDENTE",N165="PARCIAL")),1,0))</f>
        <v/>
      </c>
      <c r="W165" s="8">
        <f>IF(AND(V165=1,D165&lt;&gt;""),IF(D165&gt;=corte,(B165="CRÍTICO")*1E9+(100000-D165)*10000+10000-ROW(),""),"")</f>
        <v/>
      </c>
      <c r="X165" s="8">
        <f>IF(AND(V165=1,D165=pas_data,E165=pas_turno),10000-ROW(),"")</f>
        <v/>
      </c>
    </row>
    <row r="166">
      <c r="A166" s="3">
        <f>IF(D166="","","TT-"&amp;TEXT(ROW()-1,"00000"))</f>
        <v/>
      </c>
      <c r="B166" s="3">
        <f>IF(D166="","",IF(V166=0,"CONCLUÍDO",IF(D166&lt;corte,"HISTÓRICO",IF(OR(AND(ISNUMBER(R166),R166&lt;TODAY()),AND(OR(N166="PENDENTE",N166="PARCIAL"),D166&lt;TODAY()-1)),"CRÍTICO",IF(OR(AND(P166&lt;&gt;"",S166=""),AND(N166="REALIZADO",M166="PENDENTE"),AND(ISNUMBER(R166),R166=TODAY())),"ATENÇÃO",IF(N(K166)=0,"PENDENTE","EM ANDAMENTO"))))))</f>
        <v/>
      </c>
      <c r="C166" s="3">
        <f>IF(D166="","",IF(V166=0,"🟢 OK",IF(D166&lt;corte,"⚪ HISTÓRICO (sem baixa)",IF(AND(ISNUMBER(R166),R166&lt;TODAY()),"🔴 PRAZO VENCIDO",IF(AND(OR(N166="PENDENTE",N166="PARCIAL"),D166&lt;TODAY()-1),"🔴 EMBARQUE ATRASADO",IF(AND(N166="REALIZADO",M166="PENDENTE"),"🟡 EMBARCADO SEM FATURAR",IF(AND(P166&lt;&gt;"",S166="",OR(Q166="",R166="")),"🟡 PENDÊNCIA SEM RESPONSÁVEL/PRAZO",IF(AND(ISNUMBER(R166),R166=TODAY()),"🟡 VENCE HOJE",IF(AND(P166&lt;&gt;"",S166=""),"🟡 PENDÊNCIA ABERTA",IF(AND(N(J166)&gt;0,N(K166)&lt;J166),"🟡 FALTA EXECUTAR",IF(OR(M166="PENDENTE",M166="PARCIAL"),"🟡 FATURAMENTO PENDENTE","🟡 EMBARQUE PENDENTE")))))))))))</f>
        <v/>
      </c>
      <c r="D166" s="4" t="n">
        <v>46231</v>
      </c>
      <c r="E166" s="5" t="inlineStr">
        <is>
          <t>A</t>
        </is>
      </c>
      <c r="F166" s="5" t="inlineStr">
        <is>
          <t>TATIANE</t>
        </is>
      </c>
      <c r="G166" s="5" t="inlineStr">
        <is>
          <t>BR15</t>
        </is>
      </c>
      <c r="H166" s="5" t="inlineStr">
        <is>
          <t>BR15</t>
        </is>
      </c>
      <c r="I166" s="5" t="inlineStr">
        <is>
          <t>TON</t>
        </is>
      </c>
      <c r="J166" s="6" t="n">
        <v>15</v>
      </c>
      <c r="K166" s="6" t="n">
        <v>10</v>
      </c>
      <c r="L166" s="7">
        <f>IF(OR(D166="",N(J166)=0),"",MIN(1,N(K166)/J166))</f>
        <v/>
      </c>
      <c r="M166" s="5" t="inlineStr">
        <is>
          <t>PARCIAL</t>
        </is>
      </c>
      <c r="N166" s="5" t="inlineStr">
        <is>
          <t>PARCIAL</t>
        </is>
      </c>
      <c r="O166" s="5" t="inlineStr">
        <is>
          <t>PRÓPRIO</t>
        </is>
      </c>
      <c r="P166" s="5" t="n"/>
      <c r="Q166" s="5" t="n"/>
      <c r="R166" s="4" t="n"/>
      <c r="S166" s="4" t="n"/>
      <c r="T166" s="5" t="n"/>
      <c r="U166" s="8">
        <f>IF(AND(V166=1,D166&lt;&gt;""),IF(D166&gt;=corte,TODAY()-D166,""),"")</f>
        <v/>
      </c>
      <c r="V166" s="8">
        <f>IF(D166="",0,IF(OR(AND(P166&lt;&gt;"",S166=""),AND(N(J166)&gt;0,N(K166)&lt;J166),OR(M166="PENDENTE",M166="PARCIAL"),OR(N166="PENDENTE",N166="PARCIAL")),1,0))</f>
        <v/>
      </c>
      <c r="W166" s="8">
        <f>IF(AND(V166=1,D166&lt;&gt;""),IF(D166&gt;=corte,(B166="CRÍTICO")*1E9+(100000-D166)*10000+10000-ROW(),""),"")</f>
        <v/>
      </c>
      <c r="X166" s="8">
        <f>IF(AND(V166=1,D166=pas_data,E166=pas_turno),10000-ROW(),"")</f>
        <v/>
      </c>
    </row>
    <row r="167">
      <c r="A167" s="3">
        <f>IF(D167="","","TT-"&amp;TEXT(ROW()-1,"00000"))</f>
        <v/>
      </c>
      <c r="B167" s="3">
        <f>IF(D167="","",IF(V167=0,"CONCLUÍDO",IF(D167&lt;corte,"HISTÓRICO",IF(OR(AND(ISNUMBER(R167),R167&lt;TODAY()),AND(OR(N167="PENDENTE",N167="PARCIAL"),D167&lt;TODAY()-1)),"CRÍTICO",IF(OR(AND(P167&lt;&gt;"",S167=""),AND(N167="REALIZADO",M167="PENDENTE"),AND(ISNUMBER(R167),R167=TODAY())),"ATENÇÃO",IF(N(K167)=0,"PENDENTE","EM ANDAMENTO"))))))</f>
        <v/>
      </c>
      <c r="C167" s="3">
        <f>IF(D167="","",IF(V167=0,"🟢 OK",IF(D167&lt;corte,"⚪ HISTÓRICO (sem baixa)",IF(AND(ISNUMBER(R167),R167&lt;TODAY()),"🔴 PRAZO VENCIDO",IF(AND(OR(N167="PENDENTE",N167="PARCIAL"),D167&lt;TODAY()-1),"🔴 EMBARQUE ATRASADO",IF(AND(N167="REALIZADO",M167="PENDENTE"),"🟡 EMBARCADO SEM FATURAR",IF(AND(P167&lt;&gt;"",S167="",OR(Q167="",R167="")),"🟡 PENDÊNCIA SEM RESPONSÁVEL/PRAZO",IF(AND(ISNUMBER(R167),R167=TODAY()),"🟡 VENCE HOJE",IF(AND(P167&lt;&gt;"",S167=""),"🟡 PENDÊNCIA ABERTA",IF(AND(N(J167)&gt;0,N(K167)&lt;J167),"🟡 FALTA EXECUTAR",IF(OR(M167="PENDENTE",M167="PARCIAL"),"🟡 FATURAMENTO PENDENTE","🟡 EMBARQUE PENDENTE")))))))))))</f>
        <v/>
      </c>
      <c r="D167" s="4" t="n">
        <v>46231</v>
      </c>
      <c r="E167" s="5" t="inlineStr">
        <is>
          <t>A</t>
        </is>
      </c>
      <c r="F167" s="5" t="inlineStr">
        <is>
          <t>TATIANE</t>
        </is>
      </c>
      <c r="G167" s="5" t="inlineStr">
        <is>
          <t>FLOOR</t>
        </is>
      </c>
      <c r="H167" s="5" t="inlineStr">
        <is>
          <t>FLOOR</t>
        </is>
      </c>
      <c r="I167" s="5" t="inlineStr">
        <is>
          <t>PALETE</t>
        </is>
      </c>
      <c r="J167" s="6" t="n">
        <v>60</v>
      </c>
      <c r="K167" s="6" t="n">
        <v>60</v>
      </c>
      <c r="L167" s="7">
        <f>IF(OR(D167="",N(J167)=0),"",MIN(1,N(K167)/J167))</f>
        <v/>
      </c>
      <c r="M167" s="5" t="n"/>
      <c r="N167" s="5" t="n"/>
      <c r="O167" s="5" t="n"/>
      <c r="P167" s="5" t="n"/>
      <c r="Q167" s="5" t="n"/>
      <c r="R167" s="4" t="n"/>
      <c r="S167" s="4" t="n"/>
      <c r="T167" s="5" t="n"/>
      <c r="U167" s="8">
        <f>IF(AND(V167=1,D167&lt;&gt;""),IF(D167&gt;=corte,TODAY()-D167,""),"")</f>
        <v/>
      </c>
      <c r="V167" s="8">
        <f>IF(D167="",0,IF(OR(AND(P167&lt;&gt;"",S167=""),AND(N(J167)&gt;0,N(K167)&lt;J167),OR(M167="PENDENTE",M167="PARCIAL"),OR(N167="PENDENTE",N167="PARCIAL")),1,0))</f>
        <v/>
      </c>
      <c r="W167" s="8">
        <f>IF(AND(V167=1,D167&lt;&gt;""),IF(D167&gt;=corte,(B167="CRÍTICO")*1E9+(100000-D167)*10000+10000-ROW(),""),"")</f>
        <v/>
      </c>
      <c r="X167" s="8">
        <f>IF(AND(V167=1,D167=pas_data,E167=pas_turno),10000-ROW(),"")</f>
        <v/>
      </c>
    </row>
    <row r="168">
      <c r="A168" s="3">
        <f>IF(D168="","","TT-"&amp;TEXT(ROW()-1,"00000"))</f>
        <v/>
      </c>
      <c r="B168" s="3">
        <f>IF(D168="","",IF(V168=0,"CONCLUÍDO",IF(D168&lt;corte,"HISTÓRICO",IF(OR(AND(ISNUMBER(R168),R168&lt;TODAY()),AND(OR(N168="PENDENTE",N168="PARCIAL"),D168&lt;TODAY()-1)),"CRÍTICO",IF(OR(AND(P168&lt;&gt;"",S168=""),AND(N168="REALIZADO",M168="PENDENTE"),AND(ISNUMBER(R168),R168=TODAY())),"ATENÇÃO",IF(N(K168)=0,"PENDENTE","EM ANDAMENTO"))))))</f>
        <v/>
      </c>
      <c r="C168" s="3">
        <f>IF(D168="","",IF(V168=0,"🟢 OK",IF(D168&lt;corte,"⚪ HISTÓRICO (sem baixa)",IF(AND(ISNUMBER(R168),R168&lt;TODAY()),"🔴 PRAZO VENCIDO",IF(AND(OR(N168="PENDENTE",N168="PARCIAL"),D168&lt;TODAY()-1),"🔴 EMBARQUE ATRASADO",IF(AND(N168="REALIZADO",M168="PENDENTE"),"🟡 EMBARCADO SEM FATURAR",IF(AND(P168&lt;&gt;"",S168="",OR(Q168="",R168="")),"🟡 PENDÊNCIA SEM RESPONSÁVEL/PRAZO",IF(AND(ISNUMBER(R168),R168=TODAY()),"🟡 VENCE HOJE",IF(AND(P168&lt;&gt;"",S168=""),"🟡 PENDÊNCIA ABERTA",IF(AND(N(J168)&gt;0,N(K168)&lt;J168),"🟡 FALTA EXECUTAR",IF(OR(M168="PENDENTE",M168="PARCIAL"),"🟡 FATURAMENTO PENDENTE","🟡 EMBARQUE PENDENTE")))))))))))</f>
        <v/>
      </c>
      <c r="D168" s="4" t="n">
        <v>46231</v>
      </c>
      <c r="E168" s="5" t="inlineStr">
        <is>
          <t>A</t>
        </is>
      </c>
      <c r="F168" s="5" t="inlineStr">
        <is>
          <t>TATIANE</t>
        </is>
      </c>
      <c r="G168" s="5" t="inlineStr">
        <is>
          <t>FOB</t>
        </is>
      </c>
      <c r="H168" s="5" t="inlineStr">
        <is>
          <t>FOB</t>
        </is>
      </c>
      <c r="I168" s="5" t="inlineStr">
        <is>
          <t>TON</t>
        </is>
      </c>
      <c r="J168" s="6" t="n">
        <v>20.334</v>
      </c>
      <c r="K168" s="6" t="n">
        <v>20.334</v>
      </c>
      <c r="L168" s="7">
        <f>IF(OR(D168="",N(J168)=0),"",MIN(1,N(K168)/J168))</f>
        <v/>
      </c>
      <c r="M168" s="5" t="inlineStr">
        <is>
          <t>FATURADO</t>
        </is>
      </c>
      <c r="N168" s="5" t="inlineStr">
        <is>
          <t>REALIZADO</t>
        </is>
      </c>
      <c r="O168" s="5" t="inlineStr">
        <is>
          <t>PRÓPRIO</t>
        </is>
      </c>
      <c r="P168" s="5" t="n"/>
      <c r="Q168" s="5" t="n"/>
      <c r="R168" s="4" t="n"/>
      <c r="S168" s="4" t="n"/>
      <c r="T168" s="5" t="n"/>
      <c r="U168" s="8">
        <f>IF(AND(V168=1,D168&lt;&gt;""),IF(D168&gt;=corte,TODAY()-D168,""),"")</f>
        <v/>
      </c>
      <c r="V168" s="8">
        <f>IF(D168="",0,IF(OR(AND(P168&lt;&gt;"",S168=""),AND(N(J168)&gt;0,N(K168)&lt;J168),OR(M168="PENDENTE",M168="PARCIAL"),OR(N168="PENDENTE",N168="PARCIAL")),1,0))</f>
        <v/>
      </c>
      <c r="W168" s="8">
        <f>IF(AND(V168=1,D168&lt;&gt;""),IF(D168&gt;=corte,(B168="CRÍTICO")*1E9+(100000-D168)*10000+10000-ROW(),""),"")</f>
        <v/>
      </c>
      <c r="X168" s="8">
        <f>IF(AND(V168=1,D168=pas_data,E168=pas_turno),10000-ROW(),"")</f>
        <v/>
      </c>
    </row>
    <row r="169">
      <c r="A169" s="3">
        <f>IF(D169="","","TT-"&amp;TEXT(ROW()-1,"00000"))</f>
        <v/>
      </c>
      <c r="B169" s="3">
        <f>IF(D169="","",IF(V169=0,"CONCLUÍDO",IF(D169&lt;corte,"HISTÓRICO",IF(OR(AND(ISNUMBER(R169),R169&lt;TODAY()),AND(OR(N169="PENDENTE",N169="PARCIAL"),D169&lt;TODAY()-1)),"CRÍTICO",IF(OR(AND(P169&lt;&gt;"",S169=""),AND(N169="REALIZADO",M169="PENDENTE"),AND(ISNUMBER(R169),R169=TODAY())),"ATENÇÃO",IF(N(K169)=0,"PENDENTE","EM ANDAMENTO"))))))</f>
        <v/>
      </c>
      <c r="C169" s="3">
        <f>IF(D169="","",IF(V169=0,"🟢 OK",IF(D169&lt;corte,"⚪ HISTÓRICO (sem baixa)",IF(AND(ISNUMBER(R169),R169&lt;TODAY()),"🔴 PRAZO VENCIDO",IF(AND(OR(N169="PENDENTE",N169="PARCIAL"),D169&lt;TODAY()-1),"🔴 EMBARQUE ATRASADO",IF(AND(N169="REALIZADO",M169="PENDENTE"),"🟡 EMBARCADO SEM FATURAR",IF(AND(P169&lt;&gt;"",S169="",OR(Q169="",R169="")),"🟡 PENDÊNCIA SEM RESPONSÁVEL/PRAZO",IF(AND(ISNUMBER(R169),R169=TODAY()),"🟡 VENCE HOJE",IF(AND(P169&lt;&gt;"",S169=""),"🟡 PENDÊNCIA ABERTA",IF(AND(N(J169)&gt;0,N(K169)&lt;J169),"🟡 FALTA EXECUTAR",IF(OR(M169="PENDENTE",M169="PARCIAL"),"🟡 FATURAMENTO PENDENTE","🟡 EMBARQUE PENDENTE")))))))))))</f>
        <v/>
      </c>
      <c r="D169" s="4" t="n">
        <v>46231</v>
      </c>
      <c r="E169" s="5" t="inlineStr">
        <is>
          <t>A</t>
        </is>
      </c>
      <c r="F169" s="5" t="inlineStr">
        <is>
          <t>TATIANE</t>
        </is>
      </c>
      <c r="G169" s="5" t="inlineStr">
        <is>
          <t>GM</t>
        </is>
      </c>
      <c r="H169" s="5" t="inlineStr">
        <is>
          <t>SUL</t>
        </is>
      </c>
      <c r="I169" s="5" t="inlineStr">
        <is>
          <t>TON</t>
        </is>
      </c>
      <c r="J169" s="6" t="n">
        <v>6.128</v>
      </c>
      <c r="K169" s="6" t="n"/>
      <c r="L169" s="7">
        <f>IF(OR(D169="",N(J169)=0),"",MIN(1,N(K169)/J169))</f>
        <v/>
      </c>
      <c r="M169" s="5" t="n"/>
      <c r="N169" s="5" t="inlineStr">
        <is>
          <t>REALIZADO</t>
        </is>
      </c>
      <c r="O169" s="5" t="inlineStr">
        <is>
          <t>RENOVAÇÃO</t>
        </is>
      </c>
      <c r="P169" s="5" t="n"/>
      <c r="Q169" s="5" t="n"/>
      <c r="R169" s="4" t="n"/>
      <c r="S169" s="4" t="n"/>
      <c r="T169" s="5" t="n"/>
      <c r="U169" s="8">
        <f>IF(AND(V169=1,D169&lt;&gt;""),IF(D169&gt;=corte,TODAY()-D169,""),"")</f>
        <v/>
      </c>
      <c r="V169" s="8">
        <f>IF(D169="",0,IF(OR(AND(P169&lt;&gt;"",S169=""),AND(N(J169)&gt;0,N(K169)&lt;J169),OR(M169="PENDENTE",M169="PARCIAL"),OR(N169="PENDENTE",N169="PARCIAL")),1,0))</f>
        <v/>
      </c>
      <c r="W169" s="8">
        <f>IF(AND(V169=1,D169&lt;&gt;""),IF(D169&gt;=corte,(B169="CRÍTICO")*1E9+(100000-D169)*10000+10000-ROW(),""),"")</f>
        <v/>
      </c>
      <c r="X169" s="8">
        <f>IF(AND(V169=1,D169=pas_data,E169=pas_turno),10000-ROW(),"")</f>
        <v/>
      </c>
    </row>
    <row r="170">
      <c r="A170" s="3">
        <f>IF(D170="","","TT-"&amp;TEXT(ROW()-1,"00000"))</f>
        <v/>
      </c>
      <c r="B170" s="3">
        <f>IF(D170="","",IF(V170=0,"CONCLUÍDO",IF(D170&lt;corte,"HISTÓRICO",IF(OR(AND(ISNUMBER(R170),R170&lt;TODAY()),AND(OR(N170="PENDENTE",N170="PARCIAL"),D170&lt;TODAY()-1)),"CRÍTICO",IF(OR(AND(P170&lt;&gt;"",S170=""),AND(N170="REALIZADO",M170="PENDENTE"),AND(ISNUMBER(R170),R170=TODAY())),"ATENÇÃO",IF(N(K170)=0,"PENDENTE","EM ANDAMENTO"))))))</f>
        <v/>
      </c>
      <c r="C170" s="3">
        <f>IF(D170="","",IF(V170=0,"🟢 OK",IF(D170&lt;corte,"⚪ HISTÓRICO (sem baixa)",IF(AND(ISNUMBER(R170),R170&lt;TODAY()),"🔴 PRAZO VENCIDO",IF(AND(OR(N170="PENDENTE",N170="PARCIAL"),D170&lt;TODAY()-1),"🔴 EMBARQUE ATRASADO",IF(AND(N170="REALIZADO",M170="PENDENTE"),"🟡 EMBARCADO SEM FATURAR",IF(AND(P170&lt;&gt;"",S170="",OR(Q170="",R170="")),"🟡 PENDÊNCIA SEM RESPONSÁVEL/PRAZO",IF(AND(ISNUMBER(R170),R170=TODAY()),"🟡 VENCE HOJE",IF(AND(P170&lt;&gt;"",S170=""),"🟡 PENDÊNCIA ABERTA",IF(AND(N(J170)&gt;0,N(K170)&lt;J170),"🟡 FALTA EXECUTAR",IF(OR(M170="PENDENTE",M170="PARCIAL"),"🟡 FATURAMENTO PENDENTE","🟡 EMBARQUE PENDENTE")))))))))))</f>
        <v/>
      </c>
      <c r="D170" s="4" t="n">
        <v>46231</v>
      </c>
      <c r="E170" s="5" t="inlineStr">
        <is>
          <t>B</t>
        </is>
      </c>
      <c r="F170" s="5" t="inlineStr">
        <is>
          <t>THIAGO</t>
        </is>
      </c>
      <c r="G170" s="5" t="inlineStr">
        <is>
          <t>GM</t>
        </is>
      </c>
      <c r="H170" s="5" t="inlineStr">
        <is>
          <t>CANTINHO</t>
        </is>
      </c>
      <c r="I170" s="5" t="inlineStr">
        <is>
          <t>TON</t>
        </is>
      </c>
      <c r="J170" s="6" t="n">
        <v>28.48</v>
      </c>
      <c r="K170" s="6" t="n">
        <v>28.48</v>
      </c>
      <c r="L170" s="7">
        <f>IF(OR(D170="",N(J170)=0),"",MIN(1,N(K170)/J170))</f>
        <v/>
      </c>
      <c r="M170" s="5" t="inlineStr">
        <is>
          <t>FATURADO</t>
        </is>
      </c>
      <c r="N170" s="5" t="inlineStr">
        <is>
          <t>REALIZADO</t>
        </is>
      </c>
      <c r="O170" s="5" t="inlineStr">
        <is>
          <t>SPEEDYLOG</t>
        </is>
      </c>
      <c r="P170" s="5" t="n"/>
      <c r="Q170" s="5" t="n"/>
      <c r="R170" s="4" t="n"/>
      <c r="S170" s="4" t="n"/>
      <c r="T170" s="5" t="inlineStr">
        <is>
          <t>CONFERIDO</t>
        </is>
      </c>
      <c r="U170" s="8">
        <f>IF(AND(V170=1,D170&lt;&gt;""),IF(D170&gt;=corte,TODAY()-D170,""),"")</f>
        <v/>
      </c>
      <c r="V170" s="8">
        <f>IF(D170="",0,IF(OR(AND(P170&lt;&gt;"",S170=""),AND(N(J170)&gt;0,N(K170)&lt;J170),OR(M170="PENDENTE",M170="PARCIAL"),OR(N170="PENDENTE",N170="PARCIAL")),1,0))</f>
        <v/>
      </c>
      <c r="W170" s="8">
        <f>IF(AND(V170=1,D170&lt;&gt;""),IF(D170&gt;=corte,(B170="CRÍTICO")*1E9+(100000-D170)*10000+10000-ROW(),""),"")</f>
        <v/>
      </c>
      <c r="X170" s="8">
        <f>IF(AND(V170=1,D170=pas_data,E170=pas_turno),10000-ROW(),"")</f>
        <v/>
      </c>
    </row>
    <row r="171">
      <c r="A171" s="3">
        <f>IF(D171="","","TT-"&amp;TEXT(ROW()-1,"00000"))</f>
        <v/>
      </c>
      <c r="B171" s="3">
        <f>IF(D171="","",IF(V171=0,"CONCLUÍDO",IF(D171&lt;corte,"HISTÓRICO",IF(OR(AND(ISNUMBER(R171),R171&lt;TODAY()),AND(OR(N171="PENDENTE",N171="PARCIAL"),D171&lt;TODAY()-1)),"CRÍTICO",IF(OR(AND(P171&lt;&gt;"",S171=""),AND(N171="REALIZADO",M171="PENDENTE"),AND(ISNUMBER(R171),R171=TODAY())),"ATENÇÃO",IF(N(K171)=0,"PENDENTE","EM ANDAMENTO"))))))</f>
        <v/>
      </c>
      <c r="C171" s="3">
        <f>IF(D171="","",IF(V171=0,"🟢 OK",IF(D171&lt;corte,"⚪ HISTÓRICO (sem baixa)",IF(AND(ISNUMBER(R171),R171&lt;TODAY()),"🔴 PRAZO VENCIDO",IF(AND(OR(N171="PENDENTE",N171="PARCIAL"),D171&lt;TODAY()-1),"🔴 EMBARQUE ATRASADO",IF(AND(N171="REALIZADO",M171="PENDENTE"),"🟡 EMBARCADO SEM FATURAR",IF(AND(P171&lt;&gt;"",S171="",OR(Q171="",R171="")),"🟡 PENDÊNCIA SEM RESPONSÁVEL/PRAZO",IF(AND(ISNUMBER(R171),R171=TODAY()),"🟡 VENCE HOJE",IF(AND(P171&lt;&gt;"",S171=""),"🟡 PENDÊNCIA ABERTA",IF(AND(N(J171)&gt;0,N(K171)&lt;J171),"🟡 FALTA EXECUTAR",IF(OR(M171="PENDENTE",M171="PARCIAL"),"🟡 FATURAMENTO PENDENTE","🟡 EMBARQUE PENDENTE")))))))))))</f>
        <v/>
      </c>
      <c r="D171" s="4" t="n">
        <v>46231</v>
      </c>
      <c r="E171" s="5" t="inlineStr">
        <is>
          <t>B</t>
        </is>
      </c>
      <c r="F171" s="5" t="inlineStr">
        <is>
          <t>THIAGO</t>
        </is>
      </c>
      <c r="G171" s="5" t="inlineStr">
        <is>
          <t>GM</t>
        </is>
      </c>
      <c r="H171" s="5" t="inlineStr">
        <is>
          <t>SUL</t>
        </is>
      </c>
      <c r="I171" s="5" t="inlineStr">
        <is>
          <t>TON</t>
        </is>
      </c>
      <c r="J171" s="6" t="n">
        <v>18.961</v>
      </c>
      <c r="K171" s="6" t="n">
        <v>18.961</v>
      </c>
      <c r="L171" s="7">
        <f>IF(OR(D171="",N(J171)=0),"",MIN(1,N(K171)/J171))</f>
        <v/>
      </c>
      <c r="M171" s="5" t="inlineStr">
        <is>
          <t>PENDENTE</t>
        </is>
      </c>
      <c r="N171" s="5" t="inlineStr">
        <is>
          <t>PENDENTE</t>
        </is>
      </c>
      <c r="O171" s="5" t="inlineStr">
        <is>
          <t>RENOVAÇÃO</t>
        </is>
      </c>
      <c r="P171" s="5" t="inlineStr">
        <is>
          <t>AGUARDANDO EMBARQUE</t>
        </is>
      </c>
      <c r="Q171" s="5" t="n"/>
      <c r="R171" s="4" t="n"/>
      <c r="S171" s="4" t="n"/>
      <c r="T171" s="5" t="inlineStr">
        <is>
          <t>AGUARDANDO EMBARQUE</t>
        </is>
      </c>
      <c r="U171" s="8">
        <f>IF(AND(V171=1,D171&lt;&gt;""),IF(D171&gt;=corte,TODAY()-D171,""),"")</f>
        <v/>
      </c>
      <c r="V171" s="8">
        <f>IF(D171="",0,IF(OR(AND(P171&lt;&gt;"",S171=""),AND(N(J171)&gt;0,N(K171)&lt;J171),OR(M171="PENDENTE",M171="PARCIAL"),OR(N171="PENDENTE",N171="PARCIAL")),1,0))</f>
        <v/>
      </c>
      <c r="W171" s="8">
        <f>IF(AND(V171=1,D171&lt;&gt;""),IF(D171&gt;=corte,(B171="CRÍTICO")*1E9+(100000-D171)*10000+10000-ROW(),""),"")</f>
        <v/>
      </c>
      <c r="X171" s="8">
        <f>IF(AND(V171=1,D171=pas_data,E171=pas_turno),10000-ROW(),"")</f>
        <v/>
      </c>
    </row>
    <row r="172">
      <c r="A172" s="3">
        <f>IF(D172="","","TT-"&amp;TEXT(ROW()-1,"00000"))</f>
        <v/>
      </c>
      <c r="B172" s="3">
        <f>IF(D172="","",IF(V172=0,"CONCLUÍDO",IF(D172&lt;corte,"HISTÓRICO",IF(OR(AND(ISNUMBER(R172),R172&lt;TODAY()),AND(OR(N172="PENDENTE",N172="PARCIAL"),D172&lt;TODAY()-1)),"CRÍTICO",IF(OR(AND(P172&lt;&gt;"",S172=""),AND(N172="REALIZADO",M172="PENDENTE"),AND(ISNUMBER(R172),R172=TODAY())),"ATENÇÃO",IF(N(K172)=0,"PENDENTE","EM ANDAMENTO"))))))</f>
        <v/>
      </c>
      <c r="C172" s="3">
        <f>IF(D172="","",IF(V172=0,"🟢 OK",IF(D172&lt;corte,"⚪ HISTÓRICO (sem baixa)",IF(AND(ISNUMBER(R172),R172&lt;TODAY()),"🔴 PRAZO VENCIDO",IF(AND(OR(N172="PENDENTE",N172="PARCIAL"),D172&lt;TODAY()-1),"🔴 EMBARQUE ATRASADO",IF(AND(N172="REALIZADO",M172="PENDENTE"),"🟡 EMBARCADO SEM FATURAR",IF(AND(P172&lt;&gt;"",S172="",OR(Q172="",R172="")),"🟡 PENDÊNCIA SEM RESPONSÁVEL/PRAZO",IF(AND(ISNUMBER(R172),R172=TODAY()),"🟡 VENCE HOJE",IF(AND(P172&lt;&gt;"",S172=""),"🟡 PENDÊNCIA ABERTA",IF(AND(N(J172)&gt;0,N(K172)&lt;J172),"🟡 FALTA EXECUTAR",IF(OR(M172="PENDENTE",M172="PARCIAL"),"🟡 FATURAMENTO PENDENTE","🟡 EMBARQUE PENDENTE")))))))))))</f>
        <v/>
      </c>
      <c r="D172" s="4" t="n">
        <v>46231</v>
      </c>
      <c r="E172" s="5" t="inlineStr">
        <is>
          <t>B</t>
        </is>
      </c>
      <c r="F172" s="5" t="inlineStr">
        <is>
          <t>THIAGO</t>
        </is>
      </c>
      <c r="G172" s="5" t="inlineStr">
        <is>
          <t>GM</t>
        </is>
      </c>
      <c r="H172" s="5" t="inlineStr">
        <is>
          <t>SP CAP / INT</t>
        </is>
      </c>
      <c r="I172" s="5" t="inlineStr">
        <is>
          <t>TON</t>
        </is>
      </c>
      <c r="J172" s="6" t="n">
        <v>0.65</v>
      </c>
      <c r="K172" s="6" t="n">
        <v>0.65</v>
      </c>
      <c r="L172" s="7">
        <f>IF(OR(D172="",N(J172)=0),"",MIN(1,N(K172)/J172))</f>
        <v/>
      </c>
      <c r="M172" s="5" t="n"/>
      <c r="N172" s="5" t="n"/>
      <c r="O172" s="5" t="n"/>
      <c r="P172" s="5" t="n"/>
      <c r="Q172" s="5" t="n"/>
      <c r="R172" s="4" t="n"/>
      <c r="S172" s="4" t="n"/>
      <c r="T172" s="5" t="n"/>
      <c r="U172" s="8">
        <f>IF(AND(V172=1,D172&lt;&gt;""),IF(D172&gt;=corte,TODAY()-D172,""),"")</f>
        <v/>
      </c>
      <c r="V172" s="8">
        <f>IF(D172="",0,IF(OR(AND(P172&lt;&gt;"",S172=""),AND(N(J172)&gt;0,N(K172)&lt;J172),OR(M172="PENDENTE",M172="PARCIAL"),OR(N172="PENDENTE",N172="PARCIAL")),1,0))</f>
        <v/>
      </c>
      <c r="W172" s="8">
        <f>IF(AND(V172=1,D172&lt;&gt;""),IF(D172&gt;=corte,(B172="CRÍTICO")*1E9+(100000-D172)*10000+10000-ROW(),""),"")</f>
        <v/>
      </c>
      <c r="X172" s="8">
        <f>IF(AND(V172=1,D172=pas_data,E172=pas_turno),10000-ROW(),"")</f>
        <v/>
      </c>
    </row>
    <row r="173">
      <c r="A173" s="3">
        <f>IF(D173="","","TT-"&amp;TEXT(ROW()-1,"00000"))</f>
        <v/>
      </c>
      <c r="B173" s="3">
        <f>IF(D173="","",IF(V173=0,"CONCLUÍDO",IF(D173&lt;corte,"HISTÓRICO",IF(OR(AND(ISNUMBER(R173),R173&lt;TODAY()),AND(OR(N173="PENDENTE",N173="PARCIAL"),D173&lt;TODAY()-1)),"CRÍTICO",IF(OR(AND(P173&lt;&gt;"",S173=""),AND(N173="REALIZADO",M173="PENDENTE"),AND(ISNUMBER(R173),R173=TODAY())),"ATENÇÃO",IF(N(K173)=0,"PENDENTE","EM ANDAMENTO"))))))</f>
        <v/>
      </c>
      <c r="C173" s="3">
        <f>IF(D173="","",IF(V173=0,"🟢 OK",IF(D173&lt;corte,"⚪ HISTÓRICO (sem baixa)",IF(AND(ISNUMBER(R173),R173&lt;TODAY()),"🔴 PRAZO VENCIDO",IF(AND(OR(N173="PENDENTE",N173="PARCIAL"),D173&lt;TODAY()-1),"🔴 EMBARQUE ATRASADO",IF(AND(N173="REALIZADO",M173="PENDENTE"),"🟡 EMBARCADO SEM FATURAR",IF(AND(P173&lt;&gt;"",S173="",OR(Q173="",R173="")),"🟡 PENDÊNCIA SEM RESPONSÁVEL/PRAZO",IF(AND(ISNUMBER(R173),R173=TODAY()),"🟡 VENCE HOJE",IF(AND(P173&lt;&gt;"",S173=""),"🟡 PENDÊNCIA ABERTA",IF(AND(N(J173)&gt;0,N(K173)&lt;J173),"🟡 FALTA EXECUTAR",IF(OR(M173="PENDENTE",M173="PARCIAL"),"🟡 FATURAMENTO PENDENTE","🟡 EMBARQUE PENDENTE")))))))))))</f>
        <v/>
      </c>
      <c r="D173" s="4" t="n">
        <v>46231</v>
      </c>
      <c r="E173" s="5" t="inlineStr">
        <is>
          <t>B</t>
        </is>
      </c>
      <c r="F173" s="5" t="inlineStr">
        <is>
          <t>THIAGO</t>
        </is>
      </c>
      <c r="G173" s="5" t="inlineStr">
        <is>
          <t>GM</t>
        </is>
      </c>
      <c r="H173" s="5" t="inlineStr">
        <is>
          <t>DISPAN</t>
        </is>
      </c>
      <c r="I173" s="5" t="inlineStr">
        <is>
          <t>TON</t>
        </is>
      </c>
      <c r="J173" s="6" t="n">
        <v>16.57</v>
      </c>
      <c r="K173" s="6" t="n">
        <v>16.57</v>
      </c>
      <c r="L173" s="7">
        <f>IF(OR(D173="",N(J173)=0),"",MIN(1,N(K173)/J173))</f>
        <v/>
      </c>
      <c r="M173" s="5" t="n"/>
      <c r="N173" s="5" t="n"/>
      <c r="O173" s="5" t="n"/>
      <c r="P173" s="5" t="n"/>
      <c r="Q173" s="5" t="n"/>
      <c r="R173" s="4" t="n"/>
      <c r="S173" s="4" t="n"/>
      <c r="T173" s="5" t="inlineStr">
        <is>
          <t>CONFERIDO [MIGRAÇÃO: medida inferida]</t>
        </is>
      </c>
      <c r="U173" s="8">
        <f>IF(AND(V173=1,D173&lt;&gt;""),IF(D173&gt;=corte,TODAY()-D173,""),"")</f>
        <v/>
      </c>
      <c r="V173" s="8">
        <f>IF(D173="",0,IF(OR(AND(P173&lt;&gt;"",S173=""),AND(N(J173)&gt;0,N(K173)&lt;J173),OR(M173="PENDENTE",M173="PARCIAL"),OR(N173="PENDENTE",N173="PARCIAL")),1,0))</f>
        <v/>
      </c>
      <c r="W173" s="8">
        <f>IF(AND(V173=1,D173&lt;&gt;""),IF(D173&gt;=corte,(B173="CRÍTICO")*1E9+(100000-D173)*10000+10000-ROW(),""),"")</f>
        <v/>
      </c>
      <c r="X173" s="8">
        <f>IF(AND(V173=1,D173=pas_data,E173=pas_turno),10000-ROW(),"")</f>
        <v/>
      </c>
    </row>
    <row r="174">
      <c r="A174" s="3">
        <f>IF(D174="","","TT-"&amp;TEXT(ROW()-1,"00000"))</f>
        <v/>
      </c>
      <c r="B174" s="3">
        <f>IF(D174="","",IF(V174=0,"CONCLUÍDO",IF(D174&lt;corte,"HISTÓRICO",IF(OR(AND(ISNUMBER(R174),R174&lt;TODAY()),AND(OR(N174="PENDENTE",N174="PARCIAL"),D174&lt;TODAY()-1)),"CRÍTICO",IF(OR(AND(P174&lt;&gt;"",S174=""),AND(N174="REALIZADO",M174="PENDENTE"),AND(ISNUMBER(R174),R174=TODAY())),"ATENÇÃO",IF(N(K174)=0,"PENDENTE","EM ANDAMENTO"))))))</f>
        <v/>
      </c>
      <c r="C174" s="3">
        <f>IF(D174="","",IF(V174=0,"🟢 OK",IF(D174&lt;corte,"⚪ HISTÓRICO (sem baixa)",IF(AND(ISNUMBER(R174),R174&lt;TODAY()),"🔴 PRAZO VENCIDO",IF(AND(OR(N174="PENDENTE",N174="PARCIAL"),D174&lt;TODAY()-1),"🔴 EMBARQUE ATRASADO",IF(AND(N174="REALIZADO",M174="PENDENTE"),"🟡 EMBARCADO SEM FATURAR",IF(AND(P174&lt;&gt;"",S174="",OR(Q174="",R174="")),"🟡 PENDÊNCIA SEM RESPONSÁVEL/PRAZO",IF(AND(ISNUMBER(R174),R174=TODAY()),"🟡 VENCE HOJE",IF(AND(P174&lt;&gt;"",S174=""),"🟡 PENDÊNCIA ABERTA",IF(AND(N(J174)&gt;0,N(K174)&lt;J174),"🟡 FALTA EXECUTAR",IF(OR(M174="PENDENTE",M174="PARCIAL"),"🟡 FATURAMENTO PENDENTE","🟡 EMBARQUE PENDENTE")))))))))))</f>
        <v/>
      </c>
      <c r="D174" s="4" t="n">
        <v>46231</v>
      </c>
      <c r="E174" s="5" t="inlineStr">
        <is>
          <t>B</t>
        </is>
      </c>
      <c r="F174" s="5" t="inlineStr">
        <is>
          <t>THIAGO</t>
        </is>
      </c>
      <c r="G174" s="5" t="inlineStr">
        <is>
          <t>GM</t>
        </is>
      </c>
      <c r="H174" s="5" t="inlineStr">
        <is>
          <t>NORDESTE</t>
        </is>
      </c>
      <c r="I174" s="5" t="inlineStr">
        <is>
          <t>TON</t>
        </is>
      </c>
      <c r="J174" s="6" t="n">
        <v>2.422</v>
      </c>
      <c r="K174" s="6" t="n">
        <v>2.422</v>
      </c>
      <c r="L174" s="7">
        <f>IF(OR(D174="",N(J174)=0),"",MIN(1,N(K174)/J174))</f>
        <v/>
      </c>
      <c r="M174" s="5" t="n"/>
      <c r="N174" s="5" t="n"/>
      <c r="O174" s="5" t="n"/>
      <c r="P174" s="5" t="inlineStr">
        <is>
          <t>EM CONFERENCIA</t>
        </is>
      </c>
      <c r="Q174" s="5" t="n"/>
      <c r="R174" s="4" t="n"/>
      <c r="S174" s="4" t="n"/>
      <c r="T174" s="5" t="inlineStr">
        <is>
          <t>EM CONFERENCIA</t>
        </is>
      </c>
      <c r="U174" s="8">
        <f>IF(AND(V174=1,D174&lt;&gt;""),IF(D174&gt;=corte,TODAY()-D174,""),"")</f>
        <v/>
      </c>
      <c r="V174" s="8">
        <f>IF(D174="",0,IF(OR(AND(P174&lt;&gt;"",S174=""),AND(N(J174)&gt;0,N(K174)&lt;J174),OR(M174="PENDENTE",M174="PARCIAL"),OR(N174="PENDENTE",N174="PARCIAL")),1,0))</f>
        <v/>
      </c>
      <c r="W174" s="8">
        <f>IF(AND(V174=1,D174&lt;&gt;""),IF(D174&gt;=corte,(B174="CRÍTICO")*1E9+(100000-D174)*10000+10000-ROW(),""),"")</f>
        <v/>
      </c>
      <c r="X174" s="8">
        <f>IF(AND(V174=1,D174=pas_data,E174=pas_turno),10000-ROW(),"")</f>
        <v/>
      </c>
    </row>
    <row r="175">
      <c r="A175" s="3">
        <f>IF(D175="","","TT-"&amp;TEXT(ROW()-1,"00000"))</f>
        <v/>
      </c>
      <c r="B175" s="3">
        <f>IF(D175="","",IF(V175=0,"CONCLUÍDO",IF(D175&lt;corte,"HISTÓRICO",IF(OR(AND(ISNUMBER(R175),R175&lt;TODAY()),AND(OR(N175="PENDENTE",N175="PARCIAL"),D175&lt;TODAY()-1)),"CRÍTICO",IF(OR(AND(P175&lt;&gt;"",S175=""),AND(N175="REALIZADO",M175="PENDENTE"),AND(ISNUMBER(R175),R175=TODAY())),"ATENÇÃO",IF(N(K175)=0,"PENDENTE","EM ANDAMENTO"))))))</f>
        <v/>
      </c>
      <c r="C175" s="3">
        <f>IF(D175="","",IF(V175=0,"🟢 OK",IF(D175&lt;corte,"⚪ HISTÓRICO (sem baixa)",IF(AND(ISNUMBER(R175),R175&lt;TODAY()),"🔴 PRAZO VENCIDO",IF(AND(OR(N175="PENDENTE",N175="PARCIAL"),D175&lt;TODAY()-1),"🔴 EMBARQUE ATRASADO",IF(AND(N175="REALIZADO",M175="PENDENTE"),"🟡 EMBARCADO SEM FATURAR",IF(AND(P175&lt;&gt;"",S175="",OR(Q175="",R175="")),"🟡 PENDÊNCIA SEM RESPONSÁVEL/PRAZO",IF(AND(ISNUMBER(R175),R175=TODAY()),"🟡 VENCE HOJE",IF(AND(P175&lt;&gt;"",S175=""),"🟡 PENDÊNCIA ABERTA",IF(AND(N(J175)&gt;0,N(K175)&lt;J175),"🟡 FALTA EXECUTAR",IF(OR(M175="PENDENTE",M175="PARCIAL"),"🟡 FATURAMENTO PENDENTE","🟡 EMBARQUE PENDENTE")))))))))))</f>
        <v/>
      </c>
      <c r="D175" s="4" t="n">
        <v>46231</v>
      </c>
      <c r="E175" s="5" t="inlineStr">
        <is>
          <t>B</t>
        </is>
      </c>
      <c r="F175" s="5" t="inlineStr">
        <is>
          <t>THIAGO</t>
        </is>
      </c>
      <c r="G175" s="5" t="inlineStr">
        <is>
          <t>GM</t>
        </is>
      </c>
      <c r="H175" s="5" t="inlineStr">
        <is>
          <t>EMBALEME</t>
        </is>
      </c>
      <c r="I175" s="5" t="inlineStr">
        <is>
          <t>TON</t>
        </is>
      </c>
      <c r="J175" s="6" t="n">
        <v>6.9</v>
      </c>
      <c r="K175" s="6" t="n">
        <v>6.9</v>
      </c>
      <c r="L175" s="7">
        <f>IF(OR(D175="",N(J175)=0),"",MIN(1,N(K175)/J175))</f>
        <v/>
      </c>
      <c r="M175" s="5" t="inlineStr">
        <is>
          <t>PARCIAL</t>
        </is>
      </c>
      <c r="N175" s="5" t="inlineStr">
        <is>
          <t>PARCIAL</t>
        </is>
      </c>
      <c r="O175" s="5" t="inlineStr">
        <is>
          <t>PRÓPRIO</t>
        </is>
      </c>
      <c r="P175" s="5" t="n"/>
      <c r="Q175" s="5" t="n"/>
      <c r="R175" s="4" t="n"/>
      <c r="S175" s="4" t="n"/>
      <c r="T175" s="5" t="n"/>
      <c r="U175" s="8">
        <f>IF(AND(V175=1,D175&lt;&gt;""),IF(D175&gt;=corte,TODAY()-D175,""),"")</f>
        <v/>
      </c>
      <c r="V175" s="8">
        <f>IF(D175="",0,IF(OR(AND(P175&lt;&gt;"",S175=""),AND(N(J175)&gt;0,N(K175)&lt;J175),OR(M175="PENDENTE",M175="PARCIAL"),OR(N175="PENDENTE",N175="PARCIAL")),1,0))</f>
        <v/>
      </c>
      <c r="W175" s="8">
        <f>IF(AND(V175=1,D175&lt;&gt;""),IF(D175&gt;=corte,(B175="CRÍTICO")*1E9+(100000-D175)*10000+10000-ROW(),""),"")</f>
        <v/>
      </c>
      <c r="X175" s="8">
        <f>IF(AND(V175=1,D175=pas_data,E175=pas_turno),10000-ROW(),"")</f>
        <v/>
      </c>
    </row>
    <row r="176">
      <c r="A176" s="3">
        <f>IF(D176="","","TT-"&amp;TEXT(ROW()-1,"00000"))</f>
        <v/>
      </c>
      <c r="B176" s="3">
        <f>IF(D176="","",IF(V176=0,"CONCLUÍDO",IF(D176&lt;corte,"HISTÓRICO",IF(OR(AND(ISNUMBER(R176),R176&lt;TODAY()),AND(OR(N176="PENDENTE",N176="PARCIAL"),D176&lt;TODAY()-1)),"CRÍTICO",IF(OR(AND(P176&lt;&gt;"",S176=""),AND(N176="REALIZADO",M176="PENDENTE"),AND(ISNUMBER(R176),R176=TODAY())),"ATENÇÃO",IF(N(K176)=0,"PENDENTE","EM ANDAMENTO"))))))</f>
        <v/>
      </c>
      <c r="C176" s="3">
        <f>IF(D176="","",IF(V176=0,"🟢 OK",IF(D176&lt;corte,"⚪ HISTÓRICO (sem baixa)",IF(AND(ISNUMBER(R176),R176&lt;TODAY()),"🔴 PRAZO VENCIDO",IF(AND(OR(N176="PENDENTE",N176="PARCIAL"),D176&lt;TODAY()-1),"🔴 EMBARQUE ATRASADO",IF(AND(N176="REALIZADO",M176="PENDENTE"),"🟡 EMBARCADO SEM FATURAR",IF(AND(P176&lt;&gt;"",S176="",OR(Q176="",R176="")),"🟡 PENDÊNCIA SEM RESPONSÁVEL/PRAZO",IF(AND(ISNUMBER(R176),R176=TODAY()),"🟡 VENCE HOJE",IF(AND(P176&lt;&gt;"",S176=""),"🟡 PENDÊNCIA ABERTA",IF(AND(N(J176)&gt;0,N(K176)&lt;J176),"🟡 FALTA EXECUTAR",IF(OR(M176="PENDENTE",M176="PARCIAL"),"🟡 FATURAMENTO PENDENTE","🟡 EMBARQUE PENDENTE")))))))))))</f>
        <v/>
      </c>
      <c r="D176" s="4" t="n">
        <v>46231</v>
      </c>
      <c r="E176" s="5" t="inlineStr">
        <is>
          <t>B</t>
        </is>
      </c>
      <c r="F176" s="5" t="inlineStr">
        <is>
          <t>THIAGO</t>
        </is>
      </c>
      <c r="G176" s="5" t="inlineStr">
        <is>
          <t>FLOOR</t>
        </is>
      </c>
      <c r="H176" s="5" t="n"/>
      <c r="I176" s="5" t="inlineStr">
        <is>
          <t>PALETE</t>
        </is>
      </c>
      <c r="J176" s="6" t="n">
        <v>27</v>
      </c>
      <c r="K176" s="6" t="n">
        <v>27</v>
      </c>
      <c r="L176" s="7">
        <f>IF(OR(D176="",N(J176)=0),"",MIN(1,N(K176)/J176))</f>
        <v/>
      </c>
      <c r="M176" s="5" t="n"/>
      <c r="N176" s="5" t="n"/>
      <c r="O176" s="5" t="n"/>
      <c r="P176" s="5" t="n"/>
      <c r="Q176" s="5" t="n"/>
      <c r="R176" s="4" t="n"/>
      <c r="S176" s="4" t="n"/>
      <c r="T176" s="5" t="n"/>
      <c r="U176" s="8">
        <f>IF(AND(V176=1,D176&lt;&gt;""),IF(D176&gt;=corte,TODAY()-D176,""),"")</f>
        <v/>
      </c>
      <c r="V176" s="8">
        <f>IF(D176="",0,IF(OR(AND(P176&lt;&gt;"",S176=""),AND(N(J176)&gt;0,N(K176)&lt;J176),OR(M176="PENDENTE",M176="PARCIAL"),OR(N176="PENDENTE",N176="PARCIAL")),1,0))</f>
        <v/>
      </c>
      <c r="W176" s="8">
        <f>IF(AND(V176=1,D176&lt;&gt;""),IF(D176&gt;=corte,(B176="CRÍTICO")*1E9+(100000-D176)*10000+10000-ROW(),""),"")</f>
        <v/>
      </c>
      <c r="X176" s="8">
        <f>IF(AND(V176=1,D176=pas_data,E176=pas_turno),10000-ROW(),"")</f>
        <v/>
      </c>
    </row>
    <row r="177">
      <c r="A177" s="3">
        <f>IF(D177="","","TT-"&amp;TEXT(ROW()-1,"00000"))</f>
        <v/>
      </c>
      <c r="B177" s="3">
        <f>IF(D177="","",IF(V177=0,"CONCLUÍDO",IF(D177&lt;corte,"HISTÓRICO",IF(OR(AND(ISNUMBER(R177),R177&lt;TODAY()),AND(OR(N177="PENDENTE",N177="PARCIAL"),D177&lt;TODAY()-1)),"CRÍTICO",IF(OR(AND(P177&lt;&gt;"",S177=""),AND(N177="REALIZADO",M177="PENDENTE"),AND(ISNUMBER(R177),R177=TODAY())),"ATENÇÃO",IF(N(K177)=0,"PENDENTE","EM ANDAMENTO"))))))</f>
        <v/>
      </c>
      <c r="C177" s="3">
        <f>IF(D177="","",IF(V177=0,"🟢 OK",IF(D177&lt;corte,"⚪ HISTÓRICO (sem baixa)",IF(AND(ISNUMBER(R177),R177&lt;TODAY()),"🔴 PRAZO VENCIDO",IF(AND(OR(N177="PENDENTE",N177="PARCIAL"),D177&lt;TODAY()-1),"🔴 EMBARQUE ATRASADO",IF(AND(N177="REALIZADO",M177="PENDENTE"),"🟡 EMBARCADO SEM FATURAR",IF(AND(P177&lt;&gt;"",S177="",OR(Q177="",R177="")),"🟡 PENDÊNCIA SEM RESPONSÁVEL/PRAZO",IF(AND(ISNUMBER(R177),R177=TODAY()),"🟡 VENCE HOJE",IF(AND(P177&lt;&gt;"",S177=""),"🟡 PENDÊNCIA ABERTA",IF(AND(N(J177)&gt;0,N(K177)&lt;J177),"🟡 FALTA EXECUTAR",IF(OR(M177="PENDENTE",M177="PARCIAL"),"🟡 FATURAMENTO PENDENTE","🟡 EMBARQUE PENDENTE")))))))))))</f>
        <v/>
      </c>
      <c r="D177" s="4" t="n">
        <v>46231</v>
      </c>
      <c r="E177" s="5" t="n"/>
      <c r="F177" s="5" t="n"/>
      <c r="G177" s="5" t="n"/>
      <c r="H177" s="5" t="inlineStr">
        <is>
          <t>MG</t>
        </is>
      </c>
      <c r="I177" s="5" t="inlineStr">
        <is>
          <t>TON</t>
        </is>
      </c>
      <c r="J177" s="6" t="n">
        <v>16.5</v>
      </c>
      <c r="K177" s="6" t="n"/>
      <c r="L177" s="7">
        <f>IF(OR(D177="",N(J177)=0),"",MIN(1,N(K177)/J177))</f>
        <v/>
      </c>
      <c r="M177" s="5" t="n"/>
      <c r="N177" s="5" t="n"/>
      <c r="O177" s="5" t="n"/>
      <c r="P177" s="5" t="n"/>
      <c r="Q177" s="5" t="n"/>
      <c r="R177" s="4" t="n"/>
      <c r="S177" s="4" t="n"/>
      <c r="T177" s="5" t="n"/>
      <c r="U177" s="8">
        <f>IF(AND(V177=1,D177&lt;&gt;""),IF(D177&gt;=corte,TODAY()-D177,""),"")</f>
        <v/>
      </c>
      <c r="V177" s="8">
        <f>IF(D177="",0,IF(OR(AND(P177&lt;&gt;"",S177=""),AND(N(J177)&gt;0,N(K177)&lt;J177),OR(M177="PENDENTE",M177="PARCIAL"),OR(N177="PENDENTE",N177="PARCIAL")),1,0))</f>
        <v/>
      </c>
      <c r="W177" s="8">
        <f>IF(AND(V177=1,D177&lt;&gt;""),IF(D177&gt;=corte,(B177="CRÍTICO")*1E9+(100000-D177)*10000+10000-ROW(),""),"")</f>
        <v/>
      </c>
      <c r="X177" s="8">
        <f>IF(AND(V177=1,D177=pas_data,E177=pas_turno),10000-ROW(),"")</f>
        <v/>
      </c>
    </row>
    <row r="178">
      <c r="A178" s="3">
        <f>IF(D178="","","TT-"&amp;TEXT(ROW()-1,"00000"))</f>
        <v/>
      </c>
      <c r="B178" s="3">
        <f>IF(D178="","",IF(V178=0,"CONCLUÍDO",IF(D178&lt;corte,"HISTÓRICO",IF(OR(AND(ISNUMBER(R178),R178&lt;TODAY()),AND(OR(N178="PENDENTE",N178="PARCIAL"),D178&lt;TODAY()-1)),"CRÍTICO",IF(OR(AND(P178&lt;&gt;"",S178=""),AND(N178="REALIZADO",M178="PENDENTE"),AND(ISNUMBER(R178),R178=TODAY())),"ATENÇÃO",IF(N(K178)=0,"PENDENTE","EM ANDAMENTO"))))))</f>
        <v/>
      </c>
      <c r="C178" s="3">
        <f>IF(D178="","",IF(V178=0,"🟢 OK",IF(D178&lt;corte,"⚪ HISTÓRICO (sem baixa)",IF(AND(ISNUMBER(R178),R178&lt;TODAY()),"🔴 PRAZO VENCIDO",IF(AND(OR(N178="PENDENTE",N178="PARCIAL"),D178&lt;TODAY()-1),"🔴 EMBARQUE ATRASADO",IF(AND(N178="REALIZADO",M178="PENDENTE"),"🟡 EMBARCADO SEM FATURAR",IF(AND(P178&lt;&gt;"",S178="",OR(Q178="",R178="")),"🟡 PENDÊNCIA SEM RESPONSÁVEL/PRAZO",IF(AND(ISNUMBER(R178),R178=TODAY()),"🟡 VENCE HOJE",IF(AND(P178&lt;&gt;"",S178=""),"🟡 PENDÊNCIA ABERTA",IF(AND(N(J178)&gt;0,N(K178)&lt;J178),"🟡 FALTA EXECUTAR",IF(OR(M178="PENDENTE",M178="PARCIAL"),"🟡 FATURAMENTO PENDENTE","🟡 EMBARQUE PENDENTE")))))))))))</f>
        <v/>
      </c>
      <c r="D178" s="4" t="n">
        <v>46231</v>
      </c>
      <c r="E178" s="5" t="inlineStr">
        <is>
          <t>B</t>
        </is>
      </c>
      <c r="F178" s="5" t="inlineStr">
        <is>
          <t>THIAGO</t>
        </is>
      </c>
      <c r="G178" s="5" t="inlineStr">
        <is>
          <t>ABASTECIMENTO</t>
        </is>
      </c>
      <c r="H178" s="5" t="n"/>
      <c r="I178" s="5" t="inlineStr">
        <is>
          <t>PALETE</t>
        </is>
      </c>
      <c r="J178" s="6" t="n">
        <v>28</v>
      </c>
      <c r="K178" s="6" t="n">
        <v>28</v>
      </c>
      <c r="L178" s="7">
        <f>IF(OR(D178="",N(J178)=0),"",MIN(1,N(K178)/J178))</f>
        <v/>
      </c>
      <c r="M178" s="5" t="n"/>
      <c r="N178" s="5" t="n"/>
      <c r="O178" s="5" t="n"/>
      <c r="P178" s="5" t="n"/>
      <c r="Q178" s="5" t="n"/>
      <c r="R178" s="4" t="n"/>
      <c r="S178" s="4" t="n"/>
      <c r="T178" s="5" t="n"/>
      <c r="U178" s="8">
        <f>IF(AND(V178=1,D178&lt;&gt;""),IF(D178&gt;=corte,TODAY()-D178,""),"")</f>
        <v/>
      </c>
      <c r="V178" s="8">
        <f>IF(D178="",0,IF(OR(AND(P178&lt;&gt;"",S178=""),AND(N(J178)&gt;0,N(K178)&lt;J178),OR(M178="PENDENTE",M178="PARCIAL"),OR(N178="PENDENTE",N178="PARCIAL")),1,0))</f>
        <v/>
      </c>
      <c r="W178" s="8">
        <f>IF(AND(V178=1,D178&lt;&gt;""),IF(D178&gt;=corte,(B178="CRÍTICO")*1E9+(100000-D178)*10000+10000-ROW(),""),"")</f>
        <v/>
      </c>
      <c r="X178" s="8">
        <f>IF(AND(V178=1,D178=pas_data,E178=pas_turno),10000-ROW(),"")</f>
        <v/>
      </c>
    </row>
    <row r="179">
      <c r="A179" s="3">
        <f>IF(D179="","","TT-"&amp;TEXT(ROW()-1,"00000"))</f>
        <v/>
      </c>
      <c r="B179" s="3">
        <f>IF(D179="","",IF(V179=0,"CONCLUÍDO",IF(D179&lt;corte,"HISTÓRICO",IF(OR(AND(ISNUMBER(R179),R179&lt;TODAY()),AND(OR(N179="PENDENTE",N179="PARCIAL"),D179&lt;TODAY()-1)),"CRÍTICO",IF(OR(AND(P179&lt;&gt;"",S179=""),AND(N179="REALIZADO",M179="PENDENTE"),AND(ISNUMBER(R179),R179=TODAY())),"ATENÇÃO",IF(N(K179)=0,"PENDENTE","EM ANDAMENTO"))))))</f>
        <v/>
      </c>
      <c r="C179" s="3">
        <f>IF(D179="","",IF(V179=0,"🟢 OK",IF(D179&lt;corte,"⚪ HISTÓRICO (sem baixa)",IF(AND(ISNUMBER(R179),R179&lt;TODAY()),"🔴 PRAZO VENCIDO",IF(AND(OR(N179="PENDENTE",N179="PARCIAL"),D179&lt;TODAY()-1),"🔴 EMBARQUE ATRASADO",IF(AND(N179="REALIZADO",M179="PENDENTE"),"🟡 EMBARCADO SEM FATURAR",IF(AND(P179&lt;&gt;"",S179="",OR(Q179="",R179="")),"🟡 PENDÊNCIA SEM RESPONSÁVEL/PRAZO",IF(AND(ISNUMBER(R179),R179=TODAY()),"🟡 VENCE HOJE",IF(AND(P179&lt;&gt;"",S179=""),"🟡 PENDÊNCIA ABERTA",IF(AND(N(J179)&gt;0,N(K179)&lt;J179),"🟡 FALTA EXECUTAR",IF(OR(M179="PENDENTE",M179="PARCIAL"),"🟡 FATURAMENTO PENDENTE","🟡 EMBARQUE PENDENTE")))))))))))</f>
        <v/>
      </c>
      <c r="D179" s="4" t="n">
        <v>46232</v>
      </c>
      <c r="E179" s="5" t="inlineStr">
        <is>
          <t>A</t>
        </is>
      </c>
      <c r="F179" s="5" t="inlineStr">
        <is>
          <t>TATIANE</t>
        </is>
      </c>
      <c r="G179" s="5" t="inlineStr">
        <is>
          <t>FOB</t>
        </is>
      </c>
      <c r="H179" s="5" t="inlineStr">
        <is>
          <t>EMBALEME</t>
        </is>
      </c>
      <c r="I179" s="5" t="inlineStr">
        <is>
          <t>TON</t>
        </is>
      </c>
      <c r="J179" s="6" t="n">
        <v>3.065</v>
      </c>
      <c r="K179" s="6" t="n">
        <v>3.065</v>
      </c>
      <c r="L179" s="7">
        <f>IF(OR(D179="",N(J179)=0),"",MIN(1,N(K179)/J179))</f>
        <v/>
      </c>
      <c r="M179" s="5" t="n"/>
      <c r="N179" s="5" t="n"/>
      <c r="O179" s="5" t="inlineStr">
        <is>
          <t>PRÓPRIO</t>
        </is>
      </c>
      <c r="P179" s="5" t="n"/>
      <c r="Q179" s="5" t="n"/>
      <c r="R179" s="4" t="n"/>
      <c r="S179" s="4" t="n"/>
      <c r="T179" s="5" t="n"/>
      <c r="U179" s="8">
        <f>IF(AND(V179=1,D179&lt;&gt;""),IF(D179&gt;=corte,TODAY()-D179,""),"")</f>
        <v/>
      </c>
      <c r="V179" s="8">
        <f>IF(D179="",0,IF(OR(AND(P179&lt;&gt;"",S179=""),AND(N(J179)&gt;0,N(K179)&lt;J179),OR(M179="PENDENTE",M179="PARCIAL"),OR(N179="PENDENTE",N179="PARCIAL")),1,0))</f>
        <v/>
      </c>
      <c r="W179" s="8">
        <f>IF(AND(V179=1,D179&lt;&gt;""),IF(D179&gt;=corte,(B179="CRÍTICO")*1E9+(100000-D179)*10000+10000-ROW(),""),"")</f>
        <v/>
      </c>
      <c r="X179" s="8">
        <f>IF(AND(V179=1,D179=pas_data,E179=pas_turno),10000-ROW(),"")</f>
        <v/>
      </c>
    </row>
    <row r="180">
      <c r="A180" s="3">
        <f>IF(D180="","","TT-"&amp;TEXT(ROW()-1,"00000"))</f>
        <v/>
      </c>
      <c r="B180" s="3">
        <f>IF(D180="","",IF(V180=0,"CONCLUÍDO",IF(D180&lt;corte,"HISTÓRICO",IF(OR(AND(ISNUMBER(R180),R180&lt;TODAY()),AND(OR(N180="PENDENTE",N180="PARCIAL"),D180&lt;TODAY()-1)),"CRÍTICO",IF(OR(AND(P180&lt;&gt;"",S180=""),AND(N180="REALIZADO",M180="PENDENTE"),AND(ISNUMBER(R180),R180=TODAY())),"ATENÇÃO",IF(N(K180)=0,"PENDENTE","EM ANDAMENTO"))))))</f>
        <v/>
      </c>
      <c r="C180" s="3">
        <f>IF(D180="","",IF(V180=0,"🟢 OK",IF(D180&lt;corte,"⚪ HISTÓRICO (sem baixa)",IF(AND(ISNUMBER(R180),R180&lt;TODAY()),"🔴 PRAZO VENCIDO",IF(AND(OR(N180="PENDENTE",N180="PARCIAL"),D180&lt;TODAY()-1),"🔴 EMBARQUE ATRASADO",IF(AND(N180="REALIZADO",M180="PENDENTE"),"🟡 EMBARCADO SEM FATURAR",IF(AND(P180&lt;&gt;"",S180="",OR(Q180="",R180="")),"🟡 PENDÊNCIA SEM RESPONSÁVEL/PRAZO",IF(AND(ISNUMBER(R180),R180=TODAY()),"🟡 VENCE HOJE",IF(AND(P180&lt;&gt;"",S180=""),"🟡 PENDÊNCIA ABERTA",IF(AND(N(J180)&gt;0,N(K180)&lt;J180),"🟡 FALTA EXECUTAR",IF(OR(M180="PENDENTE",M180="PARCIAL"),"🟡 FATURAMENTO PENDENTE","🟡 EMBARQUE PENDENTE")))))))))))</f>
        <v/>
      </c>
      <c r="D180" s="4" t="n">
        <v>46232</v>
      </c>
      <c r="E180" s="5" t="inlineStr">
        <is>
          <t>A</t>
        </is>
      </c>
      <c r="F180" s="5" t="inlineStr">
        <is>
          <t>TATIANE</t>
        </is>
      </c>
      <c r="G180" s="5" t="inlineStr">
        <is>
          <t>GM</t>
        </is>
      </c>
      <c r="H180" s="5" t="inlineStr">
        <is>
          <t>MG</t>
        </is>
      </c>
      <c r="I180" s="5" t="inlineStr">
        <is>
          <t>TON</t>
        </is>
      </c>
      <c r="J180" s="6" t="n">
        <v>18.923</v>
      </c>
      <c r="K180" s="6" t="n">
        <v>18.923</v>
      </c>
      <c r="L180" s="7">
        <f>IF(OR(D180="",N(J180)=0),"",MIN(1,N(K180)/J180))</f>
        <v/>
      </c>
      <c r="M180" s="5" t="inlineStr">
        <is>
          <t>PARCIAL</t>
        </is>
      </c>
      <c r="N180" s="5" t="inlineStr">
        <is>
          <t>PENDENTE</t>
        </is>
      </c>
      <c r="O180" s="5" t="n"/>
      <c r="P180" s="5" t="inlineStr">
        <is>
          <t>MOTORISTA - PORTARIA</t>
        </is>
      </c>
      <c r="Q180" s="5" t="n"/>
      <c r="R180" s="4" t="n"/>
      <c r="S180" s="4" t="n"/>
      <c r="T180" s="5" t="inlineStr">
        <is>
          <t>MOTORISTA - PORTARIA</t>
        </is>
      </c>
      <c r="U180" s="8">
        <f>IF(AND(V180=1,D180&lt;&gt;""),IF(D180&gt;=corte,TODAY()-D180,""),"")</f>
        <v/>
      </c>
      <c r="V180" s="8">
        <f>IF(D180="",0,IF(OR(AND(P180&lt;&gt;"",S180=""),AND(N(J180)&gt;0,N(K180)&lt;J180),OR(M180="PENDENTE",M180="PARCIAL"),OR(N180="PENDENTE",N180="PARCIAL")),1,0))</f>
        <v/>
      </c>
      <c r="W180" s="8">
        <f>IF(AND(V180=1,D180&lt;&gt;""),IF(D180&gt;=corte,(B180="CRÍTICO")*1E9+(100000-D180)*10000+10000-ROW(),""),"")</f>
        <v/>
      </c>
      <c r="X180" s="8">
        <f>IF(AND(V180=1,D180=pas_data,E180=pas_turno),10000-ROW(),"")</f>
        <v/>
      </c>
    </row>
    <row r="181">
      <c r="A181" s="3">
        <f>IF(D181="","","TT-"&amp;TEXT(ROW()-1,"00000"))</f>
        <v/>
      </c>
      <c r="B181" s="3">
        <f>IF(D181="","",IF(V181=0,"CONCLUÍDO",IF(D181&lt;corte,"HISTÓRICO",IF(OR(AND(ISNUMBER(R181),R181&lt;TODAY()),AND(OR(N181="PENDENTE",N181="PARCIAL"),D181&lt;TODAY()-1)),"CRÍTICO",IF(OR(AND(P181&lt;&gt;"",S181=""),AND(N181="REALIZADO",M181="PENDENTE"),AND(ISNUMBER(R181),R181=TODAY())),"ATENÇÃO",IF(N(K181)=0,"PENDENTE","EM ANDAMENTO"))))))</f>
        <v/>
      </c>
      <c r="C181" s="3">
        <f>IF(D181="","",IF(V181=0,"🟢 OK",IF(D181&lt;corte,"⚪ HISTÓRICO (sem baixa)",IF(AND(ISNUMBER(R181),R181&lt;TODAY()),"🔴 PRAZO VENCIDO",IF(AND(OR(N181="PENDENTE",N181="PARCIAL"),D181&lt;TODAY()-1),"🔴 EMBARQUE ATRASADO",IF(AND(N181="REALIZADO",M181="PENDENTE"),"🟡 EMBARCADO SEM FATURAR",IF(AND(P181&lt;&gt;"",S181="",OR(Q181="",R181="")),"🟡 PENDÊNCIA SEM RESPONSÁVEL/PRAZO",IF(AND(ISNUMBER(R181),R181=TODAY()),"🟡 VENCE HOJE",IF(AND(P181&lt;&gt;"",S181=""),"🟡 PENDÊNCIA ABERTA",IF(AND(N(J181)&gt;0,N(K181)&lt;J181),"🟡 FALTA EXECUTAR",IF(OR(M181="PENDENTE",M181="PARCIAL"),"🟡 FATURAMENTO PENDENTE","🟡 EMBARQUE PENDENTE")))))))))))</f>
        <v/>
      </c>
      <c r="D181" s="4" t="n">
        <v>46232</v>
      </c>
      <c r="E181" s="5" t="inlineStr">
        <is>
          <t>A</t>
        </is>
      </c>
      <c r="F181" s="5" t="inlineStr">
        <is>
          <t>TATIANE</t>
        </is>
      </c>
      <c r="G181" s="5" t="inlineStr">
        <is>
          <t>GM</t>
        </is>
      </c>
      <c r="H181" s="5" t="inlineStr">
        <is>
          <t>MIX TUDO</t>
        </is>
      </c>
      <c r="I181" s="5" t="inlineStr">
        <is>
          <t>TON</t>
        </is>
      </c>
      <c r="J181" s="6" t="n">
        <v>24.58</v>
      </c>
      <c r="K181" s="6" t="n">
        <v>24.58</v>
      </c>
      <c r="L181" s="7">
        <f>IF(OR(D181="",N(J181)=0),"",MIN(1,N(K181)/J181))</f>
        <v/>
      </c>
      <c r="M181" s="5" t="inlineStr">
        <is>
          <t>FATURADO</t>
        </is>
      </c>
      <c r="N181" s="5" t="inlineStr">
        <is>
          <t>REALIZADO</t>
        </is>
      </c>
      <c r="O181" s="5" t="inlineStr">
        <is>
          <t>PRÓPRIO</t>
        </is>
      </c>
      <c r="P181" s="5" t="n"/>
      <c r="Q181" s="5" t="n"/>
      <c r="R181" s="4" t="n"/>
      <c r="S181" s="4" t="n"/>
      <c r="T181" s="5" t="n"/>
      <c r="U181" s="8">
        <f>IF(AND(V181=1,D181&lt;&gt;""),IF(D181&gt;=corte,TODAY()-D181,""),"")</f>
        <v/>
      </c>
      <c r="V181" s="8">
        <f>IF(D181="",0,IF(OR(AND(P181&lt;&gt;"",S181=""),AND(N(J181)&gt;0,N(K181)&lt;J181),OR(M181="PENDENTE",M181="PARCIAL"),OR(N181="PENDENTE",N181="PARCIAL")),1,0))</f>
        <v/>
      </c>
      <c r="W181" s="8">
        <f>IF(AND(V181=1,D181&lt;&gt;""),IF(D181&gt;=corte,(B181="CRÍTICO")*1E9+(100000-D181)*10000+10000-ROW(),""),"")</f>
        <v/>
      </c>
      <c r="X181" s="8">
        <f>IF(AND(V181=1,D181=pas_data,E181=pas_turno),10000-ROW(),"")</f>
        <v/>
      </c>
    </row>
    <row r="182">
      <c r="A182" s="3">
        <f>IF(D182="","","TT-"&amp;TEXT(ROW()-1,"00000"))</f>
        <v/>
      </c>
      <c r="B182" s="3">
        <f>IF(D182="","",IF(V182=0,"CONCLUÍDO",IF(D182&lt;corte,"HISTÓRICO",IF(OR(AND(ISNUMBER(R182),R182&lt;TODAY()),AND(OR(N182="PENDENTE",N182="PARCIAL"),D182&lt;TODAY()-1)),"CRÍTICO",IF(OR(AND(P182&lt;&gt;"",S182=""),AND(N182="REALIZADO",M182="PENDENTE"),AND(ISNUMBER(R182),R182=TODAY())),"ATENÇÃO",IF(N(K182)=0,"PENDENTE","EM ANDAMENTO"))))))</f>
        <v/>
      </c>
      <c r="C182" s="3">
        <f>IF(D182="","",IF(V182=0,"🟢 OK",IF(D182&lt;corte,"⚪ HISTÓRICO (sem baixa)",IF(AND(ISNUMBER(R182),R182&lt;TODAY()),"🔴 PRAZO VENCIDO",IF(AND(OR(N182="PENDENTE",N182="PARCIAL"),D182&lt;TODAY()-1),"🔴 EMBARQUE ATRASADO",IF(AND(N182="REALIZADO",M182="PENDENTE"),"🟡 EMBARCADO SEM FATURAR",IF(AND(P182&lt;&gt;"",S182="",OR(Q182="",R182="")),"🟡 PENDÊNCIA SEM RESPONSÁVEL/PRAZO",IF(AND(ISNUMBER(R182),R182=TODAY()),"🟡 VENCE HOJE",IF(AND(P182&lt;&gt;"",S182=""),"🟡 PENDÊNCIA ABERTA",IF(AND(N(J182)&gt;0,N(K182)&lt;J182),"🟡 FALTA EXECUTAR",IF(OR(M182="PENDENTE",M182="PARCIAL"),"🟡 FATURAMENTO PENDENTE","🟡 EMBARQUE PENDENTE")))))))))))</f>
        <v/>
      </c>
      <c r="D182" s="4" t="n">
        <v>46232</v>
      </c>
      <c r="E182" s="5" t="inlineStr">
        <is>
          <t>A</t>
        </is>
      </c>
      <c r="F182" s="5" t="inlineStr">
        <is>
          <t>TATIANE</t>
        </is>
      </c>
      <c r="G182" s="5" t="inlineStr">
        <is>
          <t>GM</t>
        </is>
      </c>
      <c r="H182" s="5" t="inlineStr">
        <is>
          <t>MIX TUDO</t>
        </is>
      </c>
      <c r="I182" s="5" t="inlineStr">
        <is>
          <t>TON</t>
        </is>
      </c>
      <c r="J182" s="6" t="n">
        <v>10.238</v>
      </c>
      <c r="K182" s="6" t="n">
        <v>10.238</v>
      </c>
      <c r="L182" s="7">
        <f>IF(OR(D182="",N(J182)=0),"",MIN(1,N(K182)/J182))</f>
        <v/>
      </c>
      <c r="M182" s="5" t="inlineStr">
        <is>
          <t>PENDENTE</t>
        </is>
      </c>
      <c r="N182" s="5" t="inlineStr">
        <is>
          <t>PENDENTE</t>
        </is>
      </c>
      <c r="O182" s="5" t="n"/>
      <c r="P182" s="5" t="n"/>
      <c r="Q182" s="5" t="n"/>
      <c r="R182" s="4" t="n"/>
      <c r="S182" s="4" t="n"/>
      <c r="T182" s="5" t="n"/>
      <c r="U182" s="8">
        <f>IF(AND(V182=1,D182&lt;&gt;""),IF(D182&gt;=corte,TODAY()-D182,""),"")</f>
        <v/>
      </c>
      <c r="V182" s="8">
        <f>IF(D182="",0,IF(OR(AND(P182&lt;&gt;"",S182=""),AND(N(J182)&gt;0,N(K182)&lt;J182),OR(M182="PENDENTE",M182="PARCIAL"),OR(N182="PENDENTE",N182="PARCIAL")),1,0))</f>
        <v/>
      </c>
      <c r="W182" s="8">
        <f>IF(AND(V182=1,D182&lt;&gt;""),IF(D182&gt;=corte,(B182="CRÍTICO")*1E9+(100000-D182)*10000+10000-ROW(),""),"")</f>
        <v/>
      </c>
      <c r="X182" s="8">
        <f>IF(AND(V182=1,D182=pas_data,E182=pas_turno),10000-ROW(),"")</f>
        <v/>
      </c>
    </row>
    <row r="183">
      <c r="A183" s="3">
        <f>IF(D183="","","TT-"&amp;TEXT(ROW()-1,"00000"))</f>
        <v/>
      </c>
      <c r="B183" s="3">
        <f>IF(D183="","",IF(V183=0,"CONCLUÍDO",IF(D183&lt;corte,"HISTÓRICO",IF(OR(AND(ISNUMBER(R183),R183&lt;TODAY()),AND(OR(N183="PENDENTE",N183="PARCIAL"),D183&lt;TODAY()-1)),"CRÍTICO",IF(OR(AND(P183&lt;&gt;"",S183=""),AND(N183="REALIZADO",M183="PENDENTE"),AND(ISNUMBER(R183),R183=TODAY())),"ATENÇÃO",IF(N(K183)=0,"PENDENTE","EM ANDAMENTO"))))))</f>
        <v/>
      </c>
      <c r="C183" s="3">
        <f>IF(D183="","",IF(V183=0,"🟢 OK",IF(D183&lt;corte,"⚪ HISTÓRICO (sem baixa)",IF(AND(ISNUMBER(R183),R183&lt;TODAY()),"🔴 PRAZO VENCIDO",IF(AND(OR(N183="PENDENTE",N183="PARCIAL"),D183&lt;TODAY()-1),"🔴 EMBARQUE ATRASADO",IF(AND(N183="REALIZADO",M183="PENDENTE"),"🟡 EMBARCADO SEM FATURAR",IF(AND(P183&lt;&gt;"",S183="",OR(Q183="",R183="")),"🟡 PENDÊNCIA SEM RESPONSÁVEL/PRAZO",IF(AND(ISNUMBER(R183),R183=TODAY()),"🟡 VENCE HOJE",IF(AND(P183&lt;&gt;"",S183=""),"🟡 PENDÊNCIA ABERTA",IF(AND(N(J183)&gt;0,N(K183)&lt;J183),"🟡 FALTA EXECUTAR",IF(OR(M183="PENDENTE",M183="PARCIAL"),"🟡 FATURAMENTO PENDENTE","🟡 EMBARQUE PENDENTE")))))))))))</f>
        <v/>
      </c>
      <c r="D183" s="4" t="n">
        <v>46232</v>
      </c>
      <c r="E183" s="5" t="inlineStr">
        <is>
          <t>A</t>
        </is>
      </c>
      <c r="F183" s="5" t="inlineStr">
        <is>
          <t>TATIANE</t>
        </is>
      </c>
      <c r="G183" s="5" t="inlineStr">
        <is>
          <t>BR15</t>
        </is>
      </c>
      <c r="H183" s="5" t="inlineStr">
        <is>
          <t>BR15</t>
        </is>
      </c>
      <c r="I183" s="5" t="inlineStr">
        <is>
          <t>TON</t>
        </is>
      </c>
      <c r="J183" s="6" t="n">
        <v>19.95</v>
      </c>
      <c r="K183" s="6" t="n">
        <v>16.25</v>
      </c>
      <c r="L183" s="7">
        <f>IF(OR(D183="",N(J183)=0),"",MIN(1,N(K183)/J183))</f>
        <v/>
      </c>
      <c r="M183" s="5" t="inlineStr">
        <is>
          <t>PARCIAL</t>
        </is>
      </c>
      <c r="N183" s="5" t="inlineStr">
        <is>
          <t>PENDENTE</t>
        </is>
      </c>
      <c r="O183" s="5" t="inlineStr">
        <is>
          <t>SMARTLOG</t>
        </is>
      </c>
      <c r="P183" s="5" t="inlineStr">
        <is>
          <t>FALTA DEPARAR 2 DELIVERYS</t>
        </is>
      </c>
      <c r="Q183" s="5" t="n"/>
      <c r="R183" s="4" t="n"/>
      <c r="S183" s="4" t="n"/>
      <c r="T183" s="5" t="inlineStr">
        <is>
          <t>FALTA DEPARAR 2 DELIVERYS [MIGRAÇÃO: programação original: SEP BR 15]</t>
        </is>
      </c>
      <c r="U183" s="8">
        <f>IF(AND(V183=1,D183&lt;&gt;""),IF(D183&gt;=corte,TODAY()-D183,""),"")</f>
        <v/>
      </c>
      <c r="V183" s="8">
        <f>IF(D183="",0,IF(OR(AND(P183&lt;&gt;"",S183=""),AND(N(J183)&gt;0,N(K183)&lt;J183),OR(M183="PENDENTE",M183="PARCIAL"),OR(N183="PENDENTE",N183="PARCIAL")),1,0))</f>
        <v/>
      </c>
      <c r="W183" s="8">
        <f>IF(AND(V183=1,D183&lt;&gt;""),IF(D183&gt;=corte,(B183="CRÍTICO")*1E9+(100000-D183)*10000+10000-ROW(),""),"")</f>
        <v/>
      </c>
      <c r="X183" s="8">
        <f>IF(AND(V183=1,D183=pas_data,E183=pas_turno),10000-ROW(),"")</f>
        <v/>
      </c>
    </row>
    <row r="184">
      <c r="A184" s="3">
        <f>IF(D184="","","TT-"&amp;TEXT(ROW()-1,"00000"))</f>
        <v/>
      </c>
      <c r="B184" s="3">
        <f>IF(D184="","",IF(V184=0,"CONCLUÍDO",IF(D184&lt;corte,"HISTÓRICO",IF(OR(AND(ISNUMBER(R184),R184&lt;TODAY()),AND(OR(N184="PENDENTE",N184="PARCIAL"),D184&lt;TODAY()-1)),"CRÍTICO",IF(OR(AND(P184&lt;&gt;"",S184=""),AND(N184="REALIZADO",M184="PENDENTE"),AND(ISNUMBER(R184),R184=TODAY())),"ATENÇÃO",IF(N(K184)=0,"PENDENTE","EM ANDAMENTO"))))))</f>
        <v/>
      </c>
      <c r="C184" s="3">
        <f>IF(D184="","",IF(V184=0,"🟢 OK",IF(D184&lt;corte,"⚪ HISTÓRICO (sem baixa)",IF(AND(ISNUMBER(R184),R184&lt;TODAY()),"🔴 PRAZO VENCIDO",IF(AND(OR(N184="PENDENTE",N184="PARCIAL"),D184&lt;TODAY()-1),"🔴 EMBARQUE ATRASADO",IF(AND(N184="REALIZADO",M184="PENDENTE"),"🟡 EMBARCADO SEM FATURAR",IF(AND(P184&lt;&gt;"",S184="",OR(Q184="",R184="")),"🟡 PENDÊNCIA SEM RESPONSÁVEL/PRAZO",IF(AND(ISNUMBER(R184),R184=TODAY()),"🟡 VENCE HOJE",IF(AND(P184&lt;&gt;"",S184=""),"🟡 PENDÊNCIA ABERTA",IF(AND(N(J184)&gt;0,N(K184)&lt;J184),"🟡 FALTA EXECUTAR",IF(OR(M184="PENDENTE",M184="PARCIAL"),"🟡 FATURAMENTO PENDENTE","🟡 EMBARQUE PENDENTE")))))))))))</f>
        <v/>
      </c>
      <c r="D184" s="4" t="n">
        <v>46232</v>
      </c>
      <c r="E184" s="5" t="inlineStr">
        <is>
          <t>A</t>
        </is>
      </c>
      <c r="F184" s="5" t="inlineStr">
        <is>
          <t>TATIANE</t>
        </is>
      </c>
      <c r="G184" s="5" t="inlineStr">
        <is>
          <t>FM</t>
        </is>
      </c>
      <c r="H184" s="5" t="inlineStr">
        <is>
          <t>FOB/FM</t>
        </is>
      </c>
      <c r="I184" s="5" t="inlineStr">
        <is>
          <t>TON</t>
        </is>
      </c>
      <c r="J184" s="6" t="n">
        <v>26.775</v>
      </c>
      <c r="K184" s="6" t="n">
        <v>26.775</v>
      </c>
      <c r="L184" s="7">
        <f>IF(OR(D184="",N(J184)=0),"",MIN(1,N(K184)/J184))</f>
        <v/>
      </c>
      <c r="M184" s="5" t="inlineStr">
        <is>
          <t>PENDENTE</t>
        </is>
      </c>
      <c r="N184" s="5" t="inlineStr">
        <is>
          <t>PENDENTE</t>
        </is>
      </c>
      <c r="O184" s="5" t="inlineStr">
        <is>
          <t>PRÓPRIO</t>
        </is>
      </c>
      <c r="P184" s="5" t="n"/>
      <c r="Q184" s="5" t="n"/>
      <c r="R184" s="4" t="n"/>
      <c r="S184" s="4" t="n"/>
      <c r="T184" s="5" t="n"/>
      <c r="U184" s="8">
        <f>IF(AND(V184=1,D184&lt;&gt;""),IF(D184&gt;=corte,TODAY()-D184,""),"")</f>
        <v/>
      </c>
      <c r="V184" s="8">
        <f>IF(D184="",0,IF(OR(AND(P184&lt;&gt;"",S184=""),AND(N(J184)&gt;0,N(K184)&lt;J184),OR(M184="PENDENTE",M184="PARCIAL"),OR(N184="PENDENTE",N184="PARCIAL")),1,0))</f>
        <v/>
      </c>
      <c r="W184" s="8">
        <f>IF(AND(V184=1,D184&lt;&gt;""),IF(D184&gt;=corte,(B184="CRÍTICO")*1E9+(100000-D184)*10000+10000-ROW(),""),"")</f>
        <v/>
      </c>
      <c r="X184" s="8">
        <f>IF(AND(V184=1,D184=pas_data,E184=pas_turno),10000-ROW(),"")</f>
        <v/>
      </c>
    </row>
    <row r="185">
      <c r="A185" s="3">
        <f>IF(D185="","","TT-"&amp;TEXT(ROW()-1,"00000"))</f>
        <v/>
      </c>
      <c r="B185" s="3">
        <f>IF(D185="","",IF(V185=0,"CONCLUÍDO",IF(D185&lt;corte,"HISTÓRICO",IF(OR(AND(ISNUMBER(R185),R185&lt;TODAY()),AND(OR(N185="PENDENTE",N185="PARCIAL"),D185&lt;TODAY()-1)),"CRÍTICO",IF(OR(AND(P185&lt;&gt;"",S185=""),AND(N185="REALIZADO",M185="PENDENTE"),AND(ISNUMBER(R185),R185=TODAY())),"ATENÇÃO",IF(N(K185)=0,"PENDENTE","EM ANDAMENTO"))))))</f>
        <v/>
      </c>
      <c r="C185" s="3">
        <f>IF(D185="","",IF(V185=0,"🟢 OK",IF(D185&lt;corte,"⚪ HISTÓRICO (sem baixa)",IF(AND(ISNUMBER(R185),R185&lt;TODAY()),"🔴 PRAZO VENCIDO",IF(AND(OR(N185="PENDENTE",N185="PARCIAL"),D185&lt;TODAY()-1),"🔴 EMBARQUE ATRASADO",IF(AND(N185="REALIZADO",M185="PENDENTE"),"🟡 EMBARCADO SEM FATURAR",IF(AND(P185&lt;&gt;"",S185="",OR(Q185="",R185="")),"🟡 PENDÊNCIA SEM RESPONSÁVEL/PRAZO",IF(AND(ISNUMBER(R185),R185=TODAY()),"🟡 VENCE HOJE",IF(AND(P185&lt;&gt;"",S185=""),"🟡 PENDÊNCIA ABERTA",IF(AND(N(J185)&gt;0,N(K185)&lt;J185),"🟡 FALTA EXECUTAR",IF(OR(M185="PENDENTE",M185="PARCIAL"),"🟡 FATURAMENTO PENDENTE","🟡 EMBARQUE PENDENTE")))))))))))</f>
        <v/>
      </c>
      <c r="D185" s="4" t="n">
        <v>46232</v>
      </c>
      <c r="E185" s="5" t="inlineStr">
        <is>
          <t>A</t>
        </is>
      </c>
      <c r="F185" s="5" t="inlineStr">
        <is>
          <t>TATIANE</t>
        </is>
      </c>
      <c r="G185" s="5" t="inlineStr">
        <is>
          <t>FOB</t>
        </is>
      </c>
      <c r="H185" s="5" t="inlineStr">
        <is>
          <t>FOB</t>
        </is>
      </c>
      <c r="I185" s="5" t="inlineStr">
        <is>
          <t>TON</t>
        </is>
      </c>
      <c r="J185" s="6" t="n">
        <v>23.136</v>
      </c>
      <c r="K185" s="6" t="n">
        <v>23.136</v>
      </c>
      <c r="L185" s="7">
        <f>IF(OR(D185="",N(J185)=0),"",MIN(1,N(K185)/J185))</f>
        <v/>
      </c>
      <c r="M185" s="5" t="inlineStr">
        <is>
          <t>PENDENTE</t>
        </is>
      </c>
      <c r="N185" s="5" t="inlineStr">
        <is>
          <t>PENDENTE</t>
        </is>
      </c>
      <c r="O185" s="5" t="inlineStr">
        <is>
          <t>PRÓPRIO</t>
        </is>
      </c>
      <c r="P185" s="5" t="n"/>
      <c r="Q185" s="5" t="n"/>
      <c r="R185" s="4" t="n"/>
      <c r="S185" s="4" t="n"/>
      <c r="T185" s="5" t="n"/>
      <c r="U185" s="8">
        <f>IF(AND(V185=1,D185&lt;&gt;""),IF(D185&gt;=corte,TODAY()-D185,""),"")</f>
        <v/>
      </c>
      <c r="V185" s="8">
        <f>IF(D185="",0,IF(OR(AND(P185&lt;&gt;"",S185=""),AND(N(J185)&gt;0,N(K185)&lt;J185),OR(M185="PENDENTE",M185="PARCIAL"),OR(N185="PENDENTE",N185="PARCIAL")),1,0))</f>
        <v/>
      </c>
      <c r="W185" s="8">
        <f>IF(AND(V185=1,D185&lt;&gt;""),IF(D185&gt;=corte,(B185="CRÍTICO")*1E9+(100000-D185)*10000+10000-ROW(),""),"")</f>
        <v/>
      </c>
      <c r="X185" s="8">
        <f>IF(AND(V185=1,D185=pas_data,E185=pas_turno),10000-ROW(),"")</f>
        <v/>
      </c>
    </row>
    <row r="186">
      <c r="A186" s="3">
        <f>IF(D186="","","TT-"&amp;TEXT(ROW()-1,"00000"))</f>
        <v/>
      </c>
      <c r="B186" s="3">
        <f>IF(D186="","",IF(V186=0,"CONCLUÍDO",IF(D186&lt;corte,"HISTÓRICO",IF(OR(AND(ISNUMBER(R186),R186&lt;TODAY()),AND(OR(N186="PENDENTE",N186="PARCIAL"),D186&lt;TODAY()-1)),"CRÍTICO",IF(OR(AND(P186&lt;&gt;"",S186=""),AND(N186="REALIZADO",M186="PENDENTE"),AND(ISNUMBER(R186),R186=TODAY())),"ATENÇÃO",IF(N(K186)=0,"PENDENTE","EM ANDAMENTO"))))))</f>
        <v/>
      </c>
      <c r="C186" s="3">
        <f>IF(D186="","",IF(V186=0,"🟢 OK",IF(D186&lt;corte,"⚪ HISTÓRICO (sem baixa)",IF(AND(ISNUMBER(R186),R186&lt;TODAY()),"🔴 PRAZO VENCIDO",IF(AND(OR(N186="PENDENTE",N186="PARCIAL"),D186&lt;TODAY()-1),"🔴 EMBARQUE ATRASADO",IF(AND(N186="REALIZADO",M186="PENDENTE"),"🟡 EMBARCADO SEM FATURAR",IF(AND(P186&lt;&gt;"",S186="",OR(Q186="",R186="")),"🟡 PENDÊNCIA SEM RESPONSÁVEL/PRAZO",IF(AND(ISNUMBER(R186),R186=TODAY()),"🟡 VENCE HOJE",IF(AND(P186&lt;&gt;"",S186=""),"🟡 PENDÊNCIA ABERTA",IF(AND(N(J186)&gt;0,N(K186)&lt;J186),"🟡 FALTA EXECUTAR",IF(OR(M186="PENDENTE",M186="PARCIAL"),"🟡 FATURAMENTO PENDENTE","🟡 EMBARQUE PENDENTE")))))))))))</f>
        <v/>
      </c>
      <c r="D186" s="4" t="n">
        <v>46232</v>
      </c>
      <c r="E186" s="5" t="inlineStr">
        <is>
          <t>A</t>
        </is>
      </c>
      <c r="F186" s="5" t="inlineStr">
        <is>
          <t>TATIANE</t>
        </is>
      </c>
      <c r="G186" s="5" t="inlineStr">
        <is>
          <t>FOB</t>
        </is>
      </c>
      <c r="H186" s="5" t="inlineStr">
        <is>
          <t>FOB</t>
        </is>
      </c>
      <c r="I186" s="5" t="inlineStr">
        <is>
          <t>TON</t>
        </is>
      </c>
      <c r="J186" s="6" t="n">
        <v>10.977</v>
      </c>
      <c r="K186" s="6" t="n">
        <v>10.977</v>
      </c>
      <c r="L186" s="7">
        <f>IF(OR(D186="",N(J186)=0),"",MIN(1,N(K186)/J186))</f>
        <v/>
      </c>
      <c r="M186" s="5" t="n"/>
      <c r="N186" s="5" t="n"/>
      <c r="O186" s="5" t="n"/>
      <c r="P186" s="5" t="n"/>
      <c r="Q186" s="5" t="n"/>
      <c r="R186" s="4" t="n"/>
      <c r="S186" s="4" t="n"/>
      <c r="T186" s="5" t="n"/>
      <c r="U186" s="8">
        <f>IF(AND(V186=1,D186&lt;&gt;""),IF(D186&gt;=corte,TODAY()-D186,""),"")</f>
        <v/>
      </c>
      <c r="V186" s="8">
        <f>IF(D186="",0,IF(OR(AND(P186&lt;&gt;"",S186=""),AND(N(J186)&gt;0,N(K186)&lt;J186),OR(M186="PENDENTE",M186="PARCIAL"),OR(N186="PENDENTE",N186="PARCIAL")),1,0))</f>
        <v/>
      </c>
      <c r="W186" s="8">
        <f>IF(AND(V186=1,D186&lt;&gt;""),IF(D186&gt;=corte,(B186="CRÍTICO")*1E9+(100000-D186)*10000+10000-ROW(),""),"")</f>
        <v/>
      </c>
      <c r="X186" s="8">
        <f>IF(AND(V186=1,D186=pas_data,E186=pas_turno),10000-ROW(),"")</f>
        <v/>
      </c>
    </row>
    <row r="187">
      <c r="A187" s="3">
        <f>IF(D187="","","TT-"&amp;TEXT(ROW()-1,"00000"))</f>
        <v/>
      </c>
      <c r="B187" s="3">
        <f>IF(D187="","",IF(V187=0,"CONCLUÍDO",IF(D187&lt;corte,"HISTÓRICO",IF(OR(AND(ISNUMBER(R187),R187&lt;TODAY()),AND(OR(N187="PENDENTE",N187="PARCIAL"),D187&lt;TODAY()-1)),"CRÍTICO",IF(OR(AND(P187&lt;&gt;"",S187=""),AND(N187="REALIZADO",M187="PENDENTE"),AND(ISNUMBER(R187),R187=TODAY())),"ATENÇÃO",IF(N(K187)=0,"PENDENTE","EM ANDAMENTO"))))))</f>
        <v/>
      </c>
      <c r="C187" s="3">
        <f>IF(D187="","",IF(V187=0,"🟢 OK",IF(D187&lt;corte,"⚪ HISTÓRICO (sem baixa)",IF(AND(ISNUMBER(R187),R187&lt;TODAY()),"🔴 PRAZO VENCIDO",IF(AND(OR(N187="PENDENTE",N187="PARCIAL"),D187&lt;TODAY()-1),"🔴 EMBARQUE ATRASADO",IF(AND(N187="REALIZADO",M187="PENDENTE"),"🟡 EMBARCADO SEM FATURAR",IF(AND(P187&lt;&gt;"",S187="",OR(Q187="",R187="")),"🟡 PENDÊNCIA SEM RESPONSÁVEL/PRAZO",IF(AND(ISNUMBER(R187),R187=TODAY()),"🟡 VENCE HOJE",IF(AND(P187&lt;&gt;"",S187=""),"🟡 PENDÊNCIA ABERTA",IF(AND(N(J187)&gt;0,N(K187)&lt;J187),"🟡 FALTA EXECUTAR",IF(OR(M187="PENDENTE",M187="PARCIAL"),"🟡 FATURAMENTO PENDENTE","🟡 EMBARQUE PENDENTE")))))))))))</f>
        <v/>
      </c>
      <c r="D187" s="4" t="n">
        <v>46232</v>
      </c>
      <c r="E187" s="5" t="inlineStr">
        <is>
          <t>A</t>
        </is>
      </c>
      <c r="F187" s="5" t="inlineStr">
        <is>
          <t>TATIANE</t>
        </is>
      </c>
      <c r="G187" s="5" t="inlineStr">
        <is>
          <t>FOB</t>
        </is>
      </c>
      <c r="H187" s="5" t="inlineStr">
        <is>
          <t>FOB</t>
        </is>
      </c>
      <c r="I187" s="5" t="inlineStr">
        <is>
          <t>TON</t>
        </is>
      </c>
      <c r="J187" s="6" t="n">
        <v>10.086</v>
      </c>
      <c r="K187" s="6" t="n">
        <v>10.086</v>
      </c>
      <c r="L187" s="7">
        <f>IF(OR(D187="",N(J187)=0),"",MIN(1,N(K187)/J187))</f>
        <v/>
      </c>
      <c r="M187" s="5" t="inlineStr">
        <is>
          <t>FATURADO</t>
        </is>
      </c>
      <c r="N187" s="5" t="inlineStr">
        <is>
          <t>REALIZADO</t>
        </is>
      </c>
      <c r="O187" s="5" t="inlineStr">
        <is>
          <t>PRÓPRIO</t>
        </is>
      </c>
      <c r="P187" s="5" t="n"/>
      <c r="Q187" s="5" t="n"/>
      <c r="R187" s="4" t="n"/>
      <c r="S187" s="4" t="n"/>
      <c r="T187" s="5" t="n"/>
      <c r="U187" s="8">
        <f>IF(AND(V187=1,D187&lt;&gt;""),IF(D187&gt;=corte,TODAY()-D187,""),"")</f>
        <v/>
      </c>
      <c r="V187" s="8">
        <f>IF(D187="",0,IF(OR(AND(P187&lt;&gt;"",S187=""),AND(N(J187)&gt;0,N(K187)&lt;J187),OR(M187="PENDENTE",M187="PARCIAL"),OR(N187="PENDENTE",N187="PARCIAL")),1,0))</f>
        <v/>
      </c>
      <c r="W187" s="8">
        <f>IF(AND(V187=1,D187&lt;&gt;""),IF(D187&gt;=corte,(B187="CRÍTICO")*1E9+(100000-D187)*10000+10000-ROW(),""),"")</f>
        <v/>
      </c>
      <c r="X187" s="8">
        <f>IF(AND(V187=1,D187=pas_data,E187=pas_turno),10000-ROW(),"")</f>
        <v/>
      </c>
    </row>
    <row r="188">
      <c r="A188" s="3">
        <f>IF(D188="","","TT-"&amp;TEXT(ROW()-1,"00000"))</f>
        <v/>
      </c>
      <c r="B188" s="3">
        <f>IF(D188="","",IF(V188=0,"CONCLUÍDO",IF(D188&lt;corte,"HISTÓRICO",IF(OR(AND(ISNUMBER(R188),R188&lt;TODAY()),AND(OR(N188="PENDENTE",N188="PARCIAL"),D188&lt;TODAY()-1)),"CRÍTICO",IF(OR(AND(P188&lt;&gt;"",S188=""),AND(N188="REALIZADO",M188="PENDENTE"),AND(ISNUMBER(R188),R188=TODAY())),"ATENÇÃO",IF(N(K188)=0,"PENDENTE","EM ANDAMENTO"))))))</f>
        <v/>
      </c>
      <c r="C188" s="3">
        <f>IF(D188="","",IF(V188=0,"🟢 OK",IF(D188&lt;corte,"⚪ HISTÓRICO (sem baixa)",IF(AND(ISNUMBER(R188),R188&lt;TODAY()),"🔴 PRAZO VENCIDO",IF(AND(OR(N188="PENDENTE",N188="PARCIAL"),D188&lt;TODAY()-1),"🔴 EMBARQUE ATRASADO",IF(AND(N188="REALIZADO",M188="PENDENTE"),"🟡 EMBARCADO SEM FATURAR",IF(AND(P188&lt;&gt;"",S188="",OR(Q188="",R188="")),"🟡 PENDÊNCIA SEM RESPONSÁVEL/PRAZO",IF(AND(ISNUMBER(R188),R188=TODAY()),"🟡 VENCE HOJE",IF(AND(P188&lt;&gt;"",S188=""),"🟡 PENDÊNCIA ABERTA",IF(AND(N(J188)&gt;0,N(K188)&lt;J188),"🟡 FALTA EXECUTAR",IF(OR(M188="PENDENTE",M188="PARCIAL"),"🟡 FATURAMENTO PENDENTE","🟡 EMBARQUE PENDENTE")))))))))))</f>
        <v/>
      </c>
      <c r="D188" s="4" t="n">
        <v>46232</v>
      </c>
      <c r="E188" s="5" t="inlineStr">
        <is>
          <t>A</t>
        </is>
      </c>
      <c r="F188" s="5" t="inlineStr">
        <is>
          <t>TATIANE</t>
        </is>
      </c>
      <c r="G188" s="5" t="inlineStr">
        <is>
          <t>GM</t>
        </is>
      </c>
      <c r="H188" s="5" t="inlineStr">
        <is>
          <t>SP CAP / INT</t>
        </is>
      </c>
      <c r="I188" s="5" t="inlineStr">
        <is>
          <t>TON</t>
        </is>
      </c>
      <c r="J188" s="6" t="n">
        <v>0.58</v>
      </c>
      <c r="K188" s="6" t="n">
        <v>0.58</v>
      </c>
      <c r="L188" s="7">
        <f>IF(OR(D188="",N(J188)=0),"",MIN(1,N(K188)/J188))</f>
        <v/>
      </c>
      <c r="M188" s="5" t="inlineStr">
        <is>
          <t>FATURADO</t>
        </is>
      </c>
      <c r="N188" s="5" t="inlineStr">
        <is>
          <t>PENDENTE</t>
        </is>
      </c>
      <c r="O188" s="5" t="inlineStr">
        <is>
          <t>SMARTLOG</t>
        </is>
      </c>
      <c r="P188" s="5" t="n"/>
      <c r="Q188" s="5" t="n"/>
      <c r="R188" s="4" t="n"/>
      <c r="S188" s="4" t="n"/>
      <c r="T188" s="5" t="n"/>
      <c r="U188" s="8">
        <f>IF(AND(V188=1,D188&lt;&gt;""),IF(D188&gt;=corte,TODAY()-D188,""),"")</f>
        <v/>
      </c>
      <c r="V188" s="8">
        <f>IF(D188="",0,IF(OR(AND(P188&lt;&gt;"",S188=""),AND(N(J188)&gt;0,N(K188)&lt;J188),OR(M188="PENDENTE",M188="PARCIAL"),OR(N188="PENDENTE",N188="PARCIAL")),1,0))</f>
        <v/>
      </c>
      <c r="W188" s="8">
        <f>IF(AND(V188=1,D188&lt;&gt;""),IF(D188&gt;=corte,(B188="CRÍTICO")*1E9+(100000-D188)*10000+10000-ROW(),""),"")</f>
        <v/>
      </c>
      <c r="X188" s="8">
        <f>IF(AND(V188=1,D188=pas_data,E188=pas_turno),10000-ROW(),"")</f>
        <v/>
      </c>
    </row>
    <row r="189">
      <c r="A189" s="3">
        <f>IF(D189="","","TT-"&amp;TEXT(ROW()-1,"00000"))</f>
        <v/>
      </c>
      <c r="B189" s="3">
        <f>IF(D189="","",IF(V189=0,"CONCLUÍDO",IF(D189&lt;corte,"HISTÓRICO",IF(OR(AND(ISNUMBER(R189),R189&lt;TODAY()),AND(OR(N189="PENDENTE",N189="PARCIAL"),D189&lt;TODAY()-1)),"CRÍTICO",IF(OR(AND(P189&lt;&gt;"",S189=""),AND(N189="REALIZADO",M189="PENDENTE"),AND(ISNUMBER(R189),R189=TODAY())),"ATENÇÃO",IF(N(K189)=0,"PENDENTE","EM ANDAMENTO"))))))</f>
        <v/>
      </c>
      <c r="C189" s="3">
        <f>IF(D189="","",IF(V189=0,"🟢 OK",IF(D189&lt;corte,"⚪ HISTÓRICO (sem baixa)",IF(AND(ISNUMBER(R189),R189&lt;TODAY()),"🔴 PRAZO VENCIDO",IF(AND(OR(N189="PENDENTE",N189="PARCIAL"),D189&lt;TODAY()-1),"🔴 EMBARQUE ATRASADO",IF(AND(N189="REALIZADO",M189="PENDENTE"),"🟡 EMBARCADO SEM FATURAR",IF(AND(P189&lt;&gt;"",S189="",OR(Q189="",R189="")),"🟡 PENDÊNCIA SEM RESPONSÁVEL/PRAZO",IF(AND(ISNUMBER(R189),R189=TODAY()),"🟡 VENCE HOJE",IF(AND(P189&lt;&gt;"",S189=""),"🟡 PENDÊNCIA ABERTA",IF(AND(N(J189)&gt;0,N(K189)&lt;J189),"🟡 FALTA EXECUTAR",IF(OR(M189="PENDENTE",M189="PARCIAL"),"🟡 FATURAMENTO PENDENTE","🟡 EMBARQUE PENDENTE")))))))))))</f>
        <v/>
      </c>
      <c r="D189" s="4" t="n">
        <v>46232</v>
      </c>
      <c r="E189" s="5" t="inlineStr">
        <is>
          <t>B</t>
        </is>
      </c>
      <c r="F189" s="5" t="inlineStr">
        <is>
          <t>THIAGO</t>
        </is>
      </c>
      <c r="G189" s="5" t="inlineStr">
        <is>
          <t>GM</t>
        </is>
      </c>
      <c r="H189" s="5" t="inlineStr">
        <is>
          <t>CROSS</t>
        </is>
      </c>
      <c r="I189" s="5" t="inlineStr">
        <is>
          <t>TON</t>
        </is>
      </c>
      <c r="J189" s="6" t="n">
        <v>21.686</v>
      </c>
      <c r="K189" s="6" t="n">
        <v>21.686</v>
      </c>
      <c r="L189" s="7">
        <f>IF(OR(D189="",N(J189)=0),"",MIN(1,N(K189)/J189))</f>
        <v/>
      </c>
      <c r="M189" s="5" t="n"/>
      <c r="N189" s="5" t="n"/>
      <c r="O189" s="5" t="n"/>
      <c r="P189" s="5" t="inlineStr">
        <is>
          <t>INICIAR DO ZERO - Abastecido</t>
        </is>
      </c>
      <c r="Q189" s="5" t="n"/>
      <c r="R189" s="4" t="n"/>
      <c r="S189" s="4" t="n"/>
      <c r="T189" s="5" t="inlineStr">
        <is>
          <t>INICIAR DO ZERO - Abastecido</t>
        </is>
      </c>
      <c r="U189" s="8">
        <f>IF(AND(V189=1,D189&lt;&gt;""),IF(D189&gt;=corte,TODAY()-D189,""),"")</f>
        <v/>
      </c>
      <c r="V189" s="8">
        <f>IF(D189="",0,IF(OR(AND(P189&lt;&gt;"",S189=""),AND(N(J189)&gt;0,N(K189)&lt;J189),OR(M189="PENDENTE",M189="PARCIAL"),OR(N189="PENDENTE",N189="PARCIAL")),1,0))</f>
        <v/>
      </c>
      <c r="W189" s="8">
        <f>IF(AND(V189=1,D189&lt;&gt;""),IF(D189&gt;=corte,(B189="CRÍTICO")*1E9+(100000-D189)*10000+10000-ROW(),""),"")</f>
        <v/>
      </c>
      <c r="X189" s="8">
        <f>IF(AND(V189=1,D189=pas_data,E189=pas_turno),10000-ROW(),"")</f>
        <v/>
      </c>
    </row>
    <row r="190">
      <c r="A190" s="3">
        <f>IF(D190="","","TT-"&amp;TEXT(ROW()-1,"00000"))</f>
        <v/>
      </c>
      <c r="B190" s="3">
        <f>IF(D190="","",IF(V190=0,"CONCLUÍDO",IF(D190&lt;corte,"HISTÓRICO",IF(OR(AND(ISNUMBER(R190),R190&lt;TODAY()),AND(OR(N190="PENDENTE",N190="PARCIAL"),D190&lt;TODAY()-1)),"CRÍTICO",IF(OR(AND(P190&lt;&gt;"",S190=""),AND(N190="REALIZADO",M190="PENDENTE"),AND(ISNUMBER(R190),R190=TODAY())),"ATENÇÃO",IF(N(K190)=0,"PENDENTE","EM ANDAMENTO"))))))</f>
        <v/>
      </c>
      <c r="C190" s="3">
        <f>IF(D190="","",IF(V190=0,"🟢 OK",IF(D190&lt;corte,"⚪ HISTÓRICO (sem baixa)",IF(AND(ISNUMBER(R190),R190&lt;TODAY()),"🔴 PRAZO VENCIDO",IF(AND(OR(N190="PENDENTE",N190="PARCIAL"),D190&lt;TODAY()-1),"🔴 EMBARQUE ATRASADO",IF(AND(N190="REALIZADO",M190="PENDENTE"),"🟡 EMBARCADO SEM FATURAR",IF(AND(P190&lt;&gt;"",S190="",OR(Q190="",R190="")),"🟡 PENDÊNCIA SEM RESPONSÁVEL/PRAZO",IF(AND(ISNUMBER(R190),R190=TODAY()),"🟡 VENCE HOJE",IF(AND(P190&lt;&gt;"",S190=""),"🟡 PENDÊNCIA ABERTA",IF(AND(N(J190)&gt;0,N(K190)&lt;J190),"🟡 FALTA EXECUTAR",IF(OR(M190="PENDENTE",M190="PARCIAL"),"🟡 FATURAMENTO PENDENTE","🟡 EMBARQUE PENDENTE")))))))))))</f>
        <v/>
      </c>
      <c r="D190" s="4" t="n">
        <v>46232</v>
      </c>
      <c r="E190" s="5" t="inlineStr">
        <is>
          <t>A</t>
        </is>
      </c>
      <c r="F190" s="5" t="inlineStr">
        <is>
          <t>TATIANE</t>
        </is>
      </c>
      <c r="G190" s="5" t="inlineStr">
        <is>
          <t>FLOOR</t>
        </is>
      </c>
      <c r="H190" s="5" t="inlineStr">
        <is>
          <t>FLOR</t>
        </is>
      </c>
      <c r="I190" s="5" t="inlineStr">
        <is>
          <t>PALETE</t>
        </is>
      </c>
      <c r="J190" s="6" t="n">
        <v>70</v>
      </c>
      <c r="K190" s="6" t="n">
        <v>70</v>
      </c>
      <c r="L190" s="7">
        <f>IF(OR(D190="",N(J190)=0),"",MIN(1,N(K190)/J190))</f>
        <v/>
      </c>
      <c r="M190" s="5" t="n"/>
      <c r="N190" s="5" t="n"/>
      <c r="O190" s="5" t="n"/>
      <c r="P190" s="5" t="n"/>
      <c r="Q190" s="5" t="n"/>
      <c r="R190" s="4" t="n"/>
      <c r="S190" s="4" t="n"/>
      <c r="T190" s="5" t="n"/>
      <c r="U190" s="8">
        <f>IF(AND(V190=1,D190&lt;&gt;""),IF(D190&gt;=corte,TODAY()-D190,""),"")</f>
        <v/>
      </c>
      <c r="V190" s="8">
        <f>IF(D190="",0,IF(OR(AND(P190&lt;&gt;"",S190=""),AND(N(J190)&gt;0,N(K190)&lt;J190),OR(M190="PENDENTE",M190="PARCIAL"),OR(N190="PENDENTE",N190="PARCIAL")),1,0))</f>
        <v/>
      </c>
      <c r="W190" s="8">
        <f>IF(AND(V190=1,D190&lt;&gt;""),IF(D190&gt;=corte,(B190="CRÍTICO")*1E9+(100000-D190)*10000+10000-ROW(),""),"")</f>
        <v/>
      </c>
      <c r="X190" s="8">
        <f>IF(AND(V190=1,D190=pas_data,E190=pas_turno),10000-ROW(),"")</f>
        <v/>
      </c>
    </row>
    <row r="191">
      <c r="A191" s="3">
        <f>IF(D191="","","TT-"&amp;TEXT(ROW()-1,"00000"))</f>
        <v/>
      </c>
      <c r="B191" s="3">
        <f>IF(D191="","",IF(V191=0,"CONCLUÍDO",IF(D191&lt;corte,"HISTÓRICO",IF(OR(AND(ISNUMBER(R191),R191&lt;TODAY()),AND(OR(N191="PENDENTE",N191="PARCIAL"),D191&lt;TODAY()-1)),"CRÍTICO",IF(OR(AND(P191&lt;&gt;"",S191=""),AND(N191="REALIZADO",M191="PENDENTE"),AND(ISNUMBER(R191),R191=TODAY())),"ATENÇÃO",IF(N(K191)=0,"PENDENTE","EM ANDAMENTO"))))))</f>
        <v/>
      </c>
      <c r="C191" s="3">
        <f>IF(D191="","",IF(V191=0,"🟢 OK",IF(D191&lt;corte,"⚪ HISTÓRICO (sem baixa)",IF(AND(ISNUMBER(R191),R191&lt;TODAY()),"🔴 PRAZO VENCIDO",IF(AND(OR(N191="PENDENTE",N191="PARCIAL"),D191&lt;TODAY()-1),"🔴 EMBARQUE ATRASADO",IF(AND(N191="REALIZADO",M191="PENDENTE"),"🟡 EMBARCADO SEM FATURAR",IF(AND(P191&lt;&gt;"",S191="",OR(Q191="",R191="")),"🟡 PENDÊNCIA SEM RESPONSÁVEL/PRAZO",IF(AND(ISNUMBER(R191),R191=TODAY()),"🟡 VENCE HOJE",IF(AND(P191&lt;&gt;"",S191=""),"🟡 PENDÊNCIA ABERTA",IF(AND(N(J191)&gt;0,N(K191)&lt;J191),"🟡 FALTA EXECUTAR",IF(OR(M191="PENDENTE",M191="PARCIAL"),"🟡 FATURAMENTO PENDENTE","🟡 EMBARQUE PENDENTE")))))))))))</f>
        <v/>
      </c>
      <c r="D191" s="4" t="n">
        <v>46232</v>
      </c>
      <c r="E191" s="5" t="inlineStr">
        <is>
          <t>B</t>
        </is>
      </c>
      <c r="F191" s="5" t="inlineStr">
        <is>
          <t>THIAGO</t>
        </is>
      </c>
      <c r="G191" s="5" t="inlineStr">
        <is>
          <t>FM</t>
        </is>
      </c>
      <c r="H191" s="5" t="inlineStr">
        <is>
          <t>PANDURATA</t>
        </is>
      </c>
      <c r="I191" s="5" t="inlineStr">
        <is>
          <t>TON</t>
        </is>
      </c>
      <c r="J191" s="6" t="n">
        <v>28.054</v>
      </c>
      <c r="K191" s="6" t="n">
        <v>28.054</v>
      </c>
      <c r="L191" s="7">
        <f>IF(OR(D191="",N(J191)=0),"",MIN(1,N(K191)/J191))</f>
        <v/>
      </c>
      <c r="M191" s="5" t="inlineStr">
        <is>
          <t>FATURADO</t>
        </is>
      </c>
      <c r="N191" s="5" t="inlineStr">
        <is>
          <t>REALIZADO</t>
        </is>
      </c>
      <c r="O191" s="5" t="inlineStr">
        <is>
          <t>SPEEDYLOG</t>
        </is>
      </c>
      <c r="P191" s="5" t="n"/>
      <c r="Q191" s="5" t="n"/>
      <c r="R191" s="4" t="n"/>
      <c r="S191" s="4" t="n"/>
      <c r="T191" s="5" t="n"/>
      <c r="U191" s="8">
        <f>IF(AND(V191=1,D191&lt;&gt;""),IF(D191&gt;=corte,TODAY()-D191,""),"")</f>
        <v/>
      </c>
      <c r="V191" s="8">
        <f>IF(D191="",0,IF(OR(AND(P191&lt;&gt;"",S191=""),AND(N(J191)&gt;0,N(K191)&lt;J191),OR(M191="PENDENTE",M191="PARCIAL"),OR(N191="PENDENTE",N191="PARCIAL")),1,0))</f>
        <v/>
      </c>
      <c r="W191" s="8">
        <f>IF(AND(V191=1,D191&lt;&gt;""),IF(D191&gt;=corte,(B191="CRÍTICO")*1E9+(100000-D191)*10000+10000-ROW(),""),"")</f>
        <v/>
      </c>
      <c r="X191" s="8">
        <f>IF(AND(V191=1,D191=pas_data,E191=pas_turno),10000-ROW(),"")</f>
        <v/>
      </c>
    </row>
    <row r="192">
      <c r="A192" s="3">
        <f>IF(D192="","","TT-"&amp;TEXT(ROW()-1,"00000"))</f>
        <v/>
      </c>
      <c r="B192" s="3">
        <f>IF(D192="","",IF(V192=0,"CONCLUÍDO",IF(D192&lt;corte,"HISTÓRICO",IF(OR(AND(ISNUMBER(R192),R192&lt;TODAY()),AND(OR(N192="PENDENTE",N192="PARCIAL"),D192&lt;TODAY()-1)),"CRÍTICO",IF(OR(AND(P192&lt;&gt;"",S192=""),AND(N192="REALIZADO",M192="PENDENTE"),AND(ISNUMBER(R192),R192=TODAY())),"ATENÇÃO",IF(N(K192)=0,"PENDENTE","EM ANDAMENTO"))))))</f>
        <v/>
      </c>
      <c r="C192" s="3">
        <f>IF(D192="","",IF(V192=0,"🟢 OK",IF(D192&lt;corte,"⚪ HISTÓRICO (sem baixa)",IF(AND(ISNUMBER(R192),R192&lt;TODAY()),"🔴 PRAZO VENCIDO",IF(AND(OR(N192="PENDENTE",N192="PARCIAL"),D192&lt;TODAY()-1),"🔴 EMBARQUE ATRASADO",IF(AND(N192="REALIZADO",M192="PENDENTE"),"🟡 EMBARCADO SEM FATURAR",IF(AND(P192&lt;&gt;"",S192="",OR(Q192="",R192="")),"🟡 PENDÊNCIA SEM RESPONSÁVEL/PRAZO",IF(AND(ISNUMBER(R192),R192=TODAY()),"🟡 VENCE HOJE",IF(AND(P192&lt;&gt;"",S192=""),"🟡 PENDÊNCIA ABERTA",IF(AND(N(J192)&gt;0,N(K192)&lt;J192),"🟡 FALTA EXECUTAR",IF(OR(M192="PENDENTE",M192="PARCIAL"),"🟡 FATURAMENTO PENDENTE","🟡 EMBARQUE PENDENTE")))))))))))</f>
        <v/>
      </c>
      <c r="D192" s="4" t="n">
        <v>46232</v>
      </c>
      <c r="E192" s="5" t="inlineStr">
        <is>
          <t>B</t>
        </is>
      </c>
      <c r="F192" s="5" t="inlineStr">
        <is>
          <t>THIAGO</t>
        </is>
      </c>
      <c r="G192" s="5" t="inlineStr">
        <is>
          <t>FM</t>
        </is>
      </c>
      <c r="H192" s="5" t="inlineStr">
        <is>
          <t>SIENA</t>
        </is>
      </c>
      <c r="I192" s="5" t="inlineStr">
        <is>
          <t>TON</t>
        </is>
      </c>
      <c r="J192" s="6" t="n">
        <v>19.422</v>
      </c>
      <c r="K192" s="6" t="n">
        <v>19.422</v>
      </c>
      <c r="L192" s="7">
        <f>IF(OR(D192="",N(J192)=0),"",MIN(1,N(K192)/J192))</f>
        <v/>
      </c>
      <c r="M192" s="5" t="inlineStr">
        <is>
          <t>FATURADO</t>
        </is>
      </c>
      <c r="N192" s="5" t="inlineStr">
        <is>
          <t>REALIZADO</t>
        </is>
      </c>
      <c r="O192" s="5" t="inlineStr">
        <is>
          <t>SPEEDYLOG</t>
        </is>
      </c>
      <c r="P192" s="5" t="n"/>
      <c r="Q192" s="5" t="n"/>
      <c r="R192" s="4" t="n"/>
      <c r="S192" s="4" t="n"/>
      <c r="T192" s="5" t="n"/>
      <c r="U192" s="8">
        <f>IF(AND(V192=1,D192&lt;&gt;""),IF(D192&gt;=corte,TODAY()-D192,""),"")</f>
        <v/>
      </c>
      <c r="V192" s="8">
        <f>IF(D192="",0,IF(OR(AND(P192&lt;&gt;"",S192=""),AND(N(J192)&gt;0,N(K192)&lt;J192),OR(M192="PENDENTE",M192="PARCIAL"),OR(N192="PENDENTE",N192="PARCIAL")),1,0))</f>
        <v/>
      </c>
      <c r="W192" s="8">
        <f>IF(AND(V192=1,D192&lt;&gt;""),IF(D192&gt;=corte,(B192="CRÍTICO")*1E9+(100000-D192)*10000+10000-ROW(),""),"")</f>
        <v/>
      </c>
      <c r="X192" s="8">
        <f>IF(AND(V192=1,D192=pas_data,E192=pas_turno),10000-ROW(),"")</f>
        <v/>
      </c>
    </row>
    <row r="193">
      <c r="A193" s="3">
        <f>IF(D193="","","TT-"&amp;TEXT(ROW()-1,"00000"))</f>
        <v/>
      </c>
      <c r="B193" s="3">
        <f>IF(D193="","",IF(V193=0,"CONCLUÍDO",IF(D193&lt;corte,"HISTÓRICO",IF(OR(AND(ISNUMBER(R193),R193&lt;TODAY()),AND(OR(N193="PENDENTE",N193="PARCIAL"),D193&lt;TODAY()-1)),"CRÍTICO",IF(OR(AND(P193&lt;&gt;"",S193=""),AND(N193="REALIZADO",M193="PENDENTE"),AND(ISNUMBER(R193),R193=TODAY())),"ATENÇÃO",IF(N(K193)=0,"PENDENTE","EM ANDAMENTO"))))))</f>
        <v/>
      </c>
      <c r="C193" s="3">
        <f>IF(D193="","",IF(V193=0,"🟢 OK",IF(D193&lt;corte,"⚪ HISTÓRICO (sem baixa)",IF(AND(ISNUMBER(R193),R193&lt;TODAY()),"🔴 PRAZO VENCIDO",IF(AND(OR(N193="PENDENTE",N193="PARCIAL"),D193&lt;TODAY()-1),"🔴 EMBARQUE ATRASADO",IF(AND(N193="REALIZADO",M193="PENDENTE"),"🟡 EMBARCADO SEM FATURAR",IF(AND(P193&lt;&gt;"",S193="",OR(Q193="",R193="")),"🟡 PENDÊNCIA SEM RESPONSÁVEL/PRAZO",IF(AND(ISNUMBER(R193),R193=TODAY()),"🟡 VENCE HOJE",IF(AND(P193&lt;&gt;"",S193=""),"🟡 PENDÊNCIA ABERTA",IF(AND(N(J193)&gt;0,N(K193)&lt;J193),"🟡 FALTA EXECUTAR",IF(OR(M193="PENDENTE",M193="PARCIAL"),"🟡 FATURAMENTO PENDENTE","🟡 EMBARQUE PENDENTE")))))))))))</f>
        <v/>
      </c>
      <c r="D193" s="4" t="n">
        <v>46232</v>
      </c>
      <c r="E193" s="5" t="inlineStr">
        <is>
          <t>B</t>
        </is>
      </c>
      <c r="F193" s="5" t="inlineStr">
        <is>
          <t>THIAGO</t>
        </is>
      </c>
      <c r="G193" s="5" t="inlineStr">
        <is>
          <t>FM</t>
        </is>
      </c>
      <c r="H193" s="5" t="inlineStr">
        <is>
          <t>PANDURATA</t>
        </is>
      </c>
      <c r="I193" s="5" t="inlineStr">
        <is>
          <t>TON</t>
        </is>
      </c>
      <c r="J193" s="6" t="n">
        <v>28.054</v>
      </c>
      <c r="K193" s="6" t="n">
        <v>28.054</v>
      </c>
      <c r="L193" s="7">
        <f>IF(OR(D193="",N(J193)=0),"",MIN(1,N(K193)/J193))</f>
        <v/>
      </c>
      <c r="M193" s="5" t="inlineStr">
        <is>
          <t>FATURADO</t>
        </is>
      </c>
      <c r="N193" s="5" t="inlineStr">
        <is>
          <t>REALIZADO</t>
        </is>
      </c>
      <c r="O193" s="5" t="inlineStr">
        <is>
          <t>SPEEDYLOG</t>
        </is>
      </c>
      <c r="P193" s="5" t="n"/>
      <c r="Q193" s="5" t="n"/>
      <c r="R193" s="4" t="n"/>
      <c r="S193" s="4" t="n"/>
      <c r="T193" s="5" t="n"/>
      <c r="U193" s="8">
        <f>IF(AND(V193=1,D193&lt;&gt;""),IF(D193&gt;=corte,TODAY()-D193,""),"")</f>
        <v/>
      </c>
      <c r="V193" s="8">
        <f>IF(D193="",0,IF(OR(AND(P193&lt;&gt;"",S193=""),AND(N(J193)&gt;0,N(K193)&lt;J193),OR(M193="PENDENTE",M193="PARCIAL"),OR(N193="PENDENTE",N193="PARCIAL")),1,0))</f>
        <v/>
      </c>
      <c r="W193" s="8">
        <f>IF(AND(V193=1,D193&lt;&gt;""),IF(D193&gt;=corte,(B193="CRÍTICO")*1E9+(100000-D193)*10000+10000-ROW(),""),"")</f>
        <v/>
      </c>
      <c r="X193" s="8">
        <f>IF(AND(V193=1,D193=pas_data,E193=pas_turno),10000-ROW(),"")</f>
        <v/>
      </c>
    </row>
    <row r="194">
      <c r="A194" s="3">
        <f>IF(D194="","","TT-"&amp;TEXT(ROW()-1,"00000"))</f>
        <v/>
      </c>
      <c r="B194" s="3">
        <f>IF(D194="","",IF(V194=0,"CONCLUÍDO",IF(D194&lt;corte,"HISTÓRICO",IF(OR(AND(ISNUMBER(R194),R194&lt;TODAY()),AND(OR(N194="PENDENTE",N194="PARCIAL"),D194&lt;TODAY()-1)),"CRÍTICO",IF(OR(AND(P194&lt;&gt;"",S194=""),AND(N194="REALIZADO",M194="PENDENTE"),AND(ISNUMBER(R194),R194=TODAY())),"ATENÇÃO",IF(N(K194)=0,"PENDENTE","EM ANDAMENTO"))))))</f>
        <v/>
      </c>
      <c r="C194" s="3">
        <f>IF(D194="","",IF(V194=0,"🟢 OK",IF(D194&lt;corte,"⚪ HISTÓRICO (sem baixa)",IF(AND(ISNUMBER(R194),R194&lt;TODAY()),"🔴 PRAZO VENCIDO",IF(AND(OR(N194="PENDENTE",N194="PARCIAL"),D194&lt;TODAY()-1),"🔴 EMBARQUE ATRASADO",IF(AND(N194="REALIZADO",M194="PENDENTE"),"🟡 EMBARCADO SEM FATURAR",IF(AND(P194&lt;&gt;"",S194="",OR(Q194="",R194="")),"🟡 PENDÊNCIA SEM RESPONSÁVEL/PRAZO",IF(AND(ISNUMBER(R194),R194=TODAY()),"🟡 VENCE HOJE",IF(AND(P194&lt;&gt;"",S194=""),"🟡 PENDÊNCIA ABERTA",IF(AND(N(J194)&gt;0,N(K194)&lt;J194),"🟡 FALTA EXECUTAR",IF(OR(M194="PENDENTE",M194="PARCIAL"),"🟡 FATURAMENTO PENDENTE","🟡 EMBARQUE PENDENTE")))))))))))</f>
        <v/>
      </c>
      <c r="D194" s="4" t="n">
        <v>46232</v>
      </c>
      <c r="E194" s="5" t="inlineStr">
        <is>
          <t>B</t>
        </is>
      </c>
      <c r="F194" s="5" t="inlineStr">
        <is>
          <t>THIAGO</t>
        </is>
      </c>
      <c r="G194" s="5" t="inlineStr">
        <is>
          <t>GM</t>
        </is>
      </c>
      <c r="H194" s="5" t="inlineStr">
        <is>
          <t>BRAZALMEIDA</t>
        </is>
      </c>
      <c r="I194" s="5" t="inlineStr">
        <is>
          <t>TON</t>
        </is>
      </c>
      <c r="J194" s="6" t="n">
        <v>25.765</v>
      </c>
      <c r="K194" s="6" t="n">
        <v>25.765</v>
      </c>
      <c r="L194" s="7">
        <f>IF(OR(D194="",N(J194)=0),"",MIN(1,N(K194)/J194))</f>
        <v/>
      </c>
      <c r="M194" s="5" t="inlineStr">
        <is>
          <t>FATURADO</t>
        </is>
      </c>
      <c r="N194" s="5" t="inlineStr">
        <is>
          <t>PENDENTE</t>
        </is>
      </c>
      <c r="O194" s="5" t="n"/>
      <c r="P194" s="5" t="n"/>
      <c r="Q194" s="5" t="n"/>
      <c r="R194" s="4" t="n"/>
      <c r="S194" s="4" t="n"/>
      <c r="T194" s="5" t="n"/>
      <c r="U194" s="8">
        <f>IF(AND(V194=1,D194&lt;&gt;""),IF(D194&gt;=corte,TODAY()-D194,""),"")</f>
        <v/>
      </c>
      <c r="V194" s="8">
        <f>IF(D194="",0,IF(OR(AND(P194&lt;&gt;"",S194=""),AND(N(J194)&gt;0,N(K194)&lt;J194),OR(M194="PENDENTE",M194="PARCIAL"),OR(N194="PENDENTE",N194="PARCIAL")),1,0))</f>
        <v/>
      </c>
      <c r="W194" s="8">
        <f>IF(AND(V194=1,D194&lt;&gt;""),IF(D194&gt;=corte,(B194="CRÍTICO")*1E9+(100000-D194)*10000+10000-ROW(),""),"")</f>
        <v/>
      </c>
      <c r="X194" s="8">
        <f>IF(AND(V194=1,D194=pas_data,E194=pas_turno),10000-ROW(),"")</f>
        <v/>
      </c>
    </row>
    <row r="195">
      <c r="A195" s="3">
        <f>IF(D195="","","TT-"&amp;TEXT(ROW()-1,"00000"))</f>
        <v/>
      </c>
      <c r="B195" s="3">
        <f>IF(D195="","",IF(V195=0,"CONCLUÍDO",IF(D195&lt;corte,"HISTÓRICO",IF(OR(AND(ISNUMBER(R195),R195&lt;TODAY()),AND(OR(N195="PENDENTE",N195="PARCIAL"),D195&lt;TODAY()-1)),"CRÍTICO",IF(OR(AND(P195&lt;&gt;"",S195=""),AND(N195="REALIZADO",M195="PENDENTE"),AND(ISNUMBER(R195),R195=TODAY())),"ATENÇÃO",IF(N(K195)=0,"PENDENTE","EM ANDAMENTO"))))))</f>
        <v/>
      </c>
      <c r="C195" s="3">
        <f>IF(D195="","",IF(V195=0,"🟢 OK",IF(D195&lt;corte,"⚪ HISTÓRICO (sem baixa)",IF(AND(ISNUMBER(R195),R195&lt;TODAY()),"🔴 PRAZO VENCIDO",IF(AND(OR(N195="PENDENTE",N195="PARCIAL"),D195&lt;TODAY()-1),"🔴 EMBARQUE ATRASADO",IF(AND(N195="REALIZADO",M195="PENDENTE"),"🟡 EMBARCADO SEM FATURAR",IF(AND(P195&lt;&gt;"",S195="",OR(Q195="",R195="")),"🟡 PENDÊNCIA SEM RESPONSÁVEL/PRAZO",IF(AND(ISNUMBER(R195),R195=TODAY()),"🟡 VENCE HOJE",IF(AND(P195&lt;&gt;"",S195=""),"🟡 PENDÊNCIA ABERTA",IF(AND(N(J195)&gt;0,N(K195)&lt;J195),"🟡 FALTA EXECUTAR",IF(OR(M195="PENDENTE",M195="PARCIAL"),"🟡 FATURAMENTO PENDENTE","🟡 EMBARQUE PENDENTE")))))))))))</f>
        <v/>
      </c>
      <c r="D195" s="4" t="n">
        <v>46232</v>
      </c>
      <c r="E195" s="5" t="inlineStr">
        <is>
          <t>B</t>
        </is>
      </c>
      <c r="F195" s="5" t="inlineStr">
        <is>
          <t>THIAGO</t>
        </is>
      </c>
      <c r="G195" s="5" t="inlineStr">
        <is>
          <t>GM</t>
        </is>
      </c>
      <c r="H195" s="5" t="inlineStr">
        <is>
          <t>RFC</t>
        </is>
      </c>
      <c r="I195" s="5" t="inlineStr">
        <is>
          <t>TON</t>
        </is>
      </c>
      <c r="J195" s="6" t="n">
        <v>16.195</v>
      </c>
      <c r="K195" s="6" t="n">
        <v>16.195</v>
      </c>
      <c r="L195" s="7">
        <f>IF(OR(D195="",N(J195)=0),"",MIN(1,N(K195)/J195))</f>
        <v/>
      </c>
      <c r="M195" s="5" t="n"/>
      <c r="N195" s="5" t="n"/>
      <c r="O195" s="5" t="n"/>
      <c r="P195" s="5" t="n"/>
      <c r="Q195" s="5" t="n"/>
      <c r="R195" s="4" t="n"/>
      <c r="S195" s="4" t="n"/>
      <c r="T195" s="5" t="n"/>
      <c r="U195" s="8">
        <f>IF(AND(V195=1,D195&lt;&gt;""),IF(D195&gt;=corte,TODAY()-D195,""),"")</f>
        <v/>
      </c>
      <c r="V195" s="8">
        <f>IF(D195="",0,IF(OR(AND(P195&lt;&gt;"",S195=""),AND(N(J195)&gt;0,N(K195)&lt;J195),OR(M195="PENDENTE",M195="PARCIAL"),OR(N195="PENDENTE",N195="PARCIAL")),1,0))</f>
        <v/>
      </c>
      <c r="W195" s="8">
        <f>IF(AND(V195=1,D195&lt;&gt;""),IF(D195&gt;=corte,(B195="CRÍTICO")*1E9+(100000-D195)*10000+10000-ROW(),""),"")</f>
        <v/>
      </c>
      <c r="X195" s="8">
        <f>IF(AND(V195=1,D195=pas_data,E195=pas_turno),10000-ROW(),"")</f>
        <v/>
      </c>
    </row>
    <row r="196">
      <c r="A196" s="3">
        <f>IF(D196="","","TT-"&amp;TEXT(ROW()-1,"00000"))</f>
        <v/>
      </c>
      <c r="B196" s="3">
        <f>IF(D196="","",IF(V196=0,"CONCLUÍDO",IF(D196&lt;corte,"HISTÓRICO",IF(OR(AND(ISNUMBER(R196),R196&lt;TODAY()),AND(OR(N196="PENDENTE",N196="PARCIAL"),D196&lt;TODAY()-1)),"CRÍTICO",IF(OR(AND(P196&lt;&gt;"",S196=""),AND(N196="REALIZADO",M196="PENDENTE"),AND(ISNUMBER(R196),R196=TODAY())),"ATENÇÃO",IF(N(K196)=0,"PENDENTE","EM ANDAMENTO"))))))</f>
        <v/>
      </c>
      <c r="C196" s="3">
        <f>IF(D196="","",IF(V196=0,"🟢 OK",IF(D196&lt;corte,"⚪ HISTÓRICO (sem baixa)",IF(AND(ISNUMBER(R196),R196&lt;TODAY()),"🔴 PRAZO VENCIDO",IF(AND(OR(N196="PENDENTE",N196="PARCIAL"),D196&lt;TODAY()-1),"🔴 EMBARQUE ATRASADO",IF(AND(N196="REALIZADO",M196="PENDENTE"),"🟡 EMBARCADO SEM FATURAR",IF(AND(P196&lt;&gt;"",S196="",OR(Q196="",R196="")),"🟡 PENDÊNCIA SEM RESPONSÁVEL/PRAZO",IF(AND(ISNUMBER(R196),R196=TODAY()),"🟡 VENCE HOJE",IF(AND(P196&lt;&gt;"",S196=""),"🟡 PENDÊNCIA ABERTA",IF(AND(N(J196)&gt;0,N(K196)&lt;J196),"🟡 FALTA EXECUTAR",IF(OR(M196="PENDENTE",M196="PARCIAL"),"🟡 FATURAMENTO PENDENTE","🟡 EMBARQUE PENDENTE")))))))))))</f>
        <v/>
      </c>
      <c r="D196" s="4" t="n">
        <v>46232</v>
      </c>
      <c r="E196" s="5" t="inlineStr">
        <is>
          <t>B</t>
        </is>
      </c>
      <c r="F196" s="5" t="inlineStr">
        <is>
          <t>THIAGO</t>
        </is>
      </c>
      <c r="G196" s="5" t="inlineStr">
        <is>
          <t>FM</t>
        </is>
      </c>
      <c r="H196" s="5" t="inlineStr">
        <is>
          <t>PANDURATA</t>
        </is>
      </c>
      <c r="I196" s="5" t="inlineStr">
        <is>
          <t>TON</t>
        </is>
      </c>
      <c r="J196" s="6" t="n">
        <v>28.054</v>
      </c>
      <c r="K196" s="6" t="n">
        <v>28.054</v>
      </c>
      <c r="L196" s="7">
        <f>IF(OR(D196="",N(J196)=0),"",MIN(1,N(K196)/J196))</f>
        <v/>
      </c>
      <c r="M196" s="5" t="inlineStr">
        <is>
          <t>FATURADO</t>
        </is>
      </c>
      <c r="N196" s="5" t="inlineStr">
        <is>
          <t>REALIZADO</t>
        </is>
      </c>
      <c r="O196" s="5" t="inlineStr">
        <is>
          <t>SPEEDYLOG</t>
        </is>
      </c>
      <c r="P196" s="5" t="n"/>
      <c r="Q196" s="5" t="n"/>
      <c r="R196" s="4" t="n"/>
      <c r="S196" s="4" t="n"/>
      <c r="T196" s="5" t="n"/>
      <c r="U196" s="8">
        <f>IF(AND(V196=1,D196&lt;&gt;""),IF(D196&gt;=corte,TODAY()-D196,""),"")</f>
        <v/>
      </c>
      <c r="V196" s="8">
        <f>IF(D196="",0,IF(OR(AND(P196&lt;&gt;"",S196=""),AND(N(J196)&gt;0,N(K196)&lt;J196),OR(M196="PENDENTE",M196="PARCIAL"),OR(N196="PENDENTE",N196="PARCIAL")),1,0))</f>
        <v/>
      </c>
      <c r="W196" s="8">
        <f>IF(AND(V196=1,D196&lt;&gt;""),IF(D196&gt;=corte,(B196="CRÍTICO")*1E9+(100000-D196)*10000+10000-ROW(),""),"")</f>
        <v/>
      </c>
      <c r="X196" s="8">
        <f>IF(AND(V196=1,D196=pas_data,E196=pas_turno),10000-ROW(),"")</f>
        <v/>
      </c>
    </row>
    <row r="197">
      <c r="A197" s="3">
        <f>IF(D197="","","TT-"&amp;TEXT(ROW()-1,"00000"))</f>
        <v/>
      </c>
      <c r="B197" s="3">
        <f>IF(D197="","",IF(V197=0,"CONCLUÍDO",IF(D197&lt;corte,"HISTÓRICO",IF(OR(AND(ISNUMBER(R197),R197&lt;TODAY()),AND(OR(N197="PENDENTE",N197="PARCIAL"),D197&lt;TODAY()-1)),"CRÍTICO",IF(OR(AND(P197&lt;&gt;"",S197=""),AND(N197="REALIZADO",M197="PENDENTE"),AND(ISNUMBER(R197),R197=TODAY())),"ATENÇÃO",IF(N(K197)=0,"PENDENTE","EM ANDAMENTO"))))))</f>
        <v/>
      </c>
      <c r="C197" s="3">
        <f>IF(D197="","",IF(V197=0,"🟢 OK",IF(D197&lt;corte,"⚪ HISTÓRICO (sem baixa)",IF(AND(ISNUMBER(R197),R197&lt;TODAY()),"🔴 PRAZO VENCIDO",IF(AND(OR(N197="PENDENTE",N197="PARCIAL"),D197&lt;TODAY()-1),"🔴 EMBARQUE ATRASADO",IF(AND(N197="REALIZADO",M197="PENDENTE"),"🟡 EMBARCADO SEM FATURAR",IF(AND(P197&lt;&gt;"",S197="",OR(Q197="",R197="")),"🟡 PENDÊNCIA SEM RESPONSÁVEL/PRAZO",IF(AND(ISNUMBER(R197),R197=TODAY()),"🟡 VENCE HOJE",IF(AND(P197&lt;&gt;"",S197=""),"🟡 PENDÊNCIA ABERTA",IF(AND(N(J197)&gt;0,N(K197)&lt;J197),"🟡 FALTA EXECUTAR",IF(OR(M197="PENDENTE",M197="PARCIAL"),"🟡 FATURAMENTO PENDENTE","🟡 EMBARQUE PENDENTE")))))))))))</f>
        <v/>
      </c>
      <c r="D197" s="4" t="n">
        <v>46232</v>
      </c>
      <c r="E197" s="5" t="inlineStr">
        <is>
          <t>B</t>
        </is>
      </c>
      <c r="F197" s="5" t="inlineStr">
        <is>
          <t>THIAGO</t>
        </is>
      </c>
      <c r="G197" s="5" t="inlineStr">
        <is>
          <t>GM</t>
        </is>
      </c>
      <c r="H197" s="5" t="inlineStr">
        <is>
          <t>DISPAN</t>
        </is>
      </c>
      <c r="I197" s="5" t="inlineStr">
        <is>
          <t>TON</t>
        </is>
      </c>
      <c r="J197" s="6" t="n">
        <v>5.422</v>
      </c>
      <c r="K197" s="6" t="n"/>
      <c r="L197" s="7">
        <f>IF(OR(D197="",N(J197)=0),"",MIN(1,N(K197)/J197))</f>
        <v/>
      </c>
      <c r="M197" s="5" t="n"/>
      <c r="N197" s="5" t="n"/>
      <c r="O197" s="5" t="n"/>
      <c r="P197" s="5" t="n"/>
      <c r="Q197" s="5" t="n"/>
      <c r="R197" s="4" t="n"/>
      <c r="S197" s="4" t="n"/>
      <c r="T197" s="5" t="n"/>
      <c r="U197" s="8">
        <f>IF(AND(V197=1,D197&lt;&gt;""),IF(D197&gt;=corte,TODAY()-D197,""),"")</f>
        <v/>
      </c>
      <c r="V197" s="8">
        <f>IF(D197="",0,IF(OR(AND(P197&lt;&gt;"",S197=""),AND(N(J197)&gt;0,N(K197)&lt;J197),OR(M197="PENDENTE",M197="PARCIAL"),OR(N197="PENDENTE",N197="PARCIAL")),1,0))</f>
        <v/>
      </c>
      <c r="W197" s="8">
        <f>IF(AND(V197=1,D197&lt;&gt;""),IF(D197&gt;=corte,(B197="CRÍTICO")*1E9+(100000-D197)*10000+10000-ROW(),""),"")</f>
        <v/>
      </c>
      <c r="X197" s="8">
        <f>IF(AND(V197=1,D197=pas_data,E197=pas_turno),10000-ROW(),"")</f>
        <v/>
      </c>
    </row>
    <row r="198">
      <c r="A198" s="3">
        <f>IF(D198="","","TT-"&amp;TEXT(ROW()-1,"00000"))</f>
        <v/>
      </c>
      <c r="B198" s="3">
        <f>IF(D198="","",IF(V198=0,"CONCLUÍDO",IF(D198&lt;corte,"HISTÓRICO",IF(OR(AND(ISNUMBER(R198),R198&lt;TODAY()),AND(OR(N198="PENDENTE",N198="PARCIAL"),D198&lt;TODAY()-1)),"CRÍTICO",IF(OR(AND(P198&lt;&gt;"",S198=""),AND(N198="REALIZADO",M198="PENDENTE"),AND(ISNUMBER(R198),R198=TODAY())),"ATENÇÃO",IF(N(K198)=0,"PENDENTE","EM ANDAMENTO"))))))</f>
        <v/>
      </c>
      <c r="C198" s="3">
        <f>IF(D198="","",IF(V198=0,"🟢 OK",IF(D198&lt;corte,"⚪ HISTÓRICO (sem baixa)",IF(AND(ISNUMBER(R198),R198&lt;TODAY()),"🔴 PRAZO VENCIDO",IF(AND(OR(N198="PENDENTE",N198="PARCIAL"),D198&lt;TODAY()-1),"🔴 EMBARQUE ATRASADO",IF(AND(N198="REALIZADO",M198="PENDENTE"),"🟡 EMBARCADO SEM FATURAR",IF(AND(P198&lt;&gt;"",S198="",OR(Q198="",R198="")),"🟡 PENDÊNCIA SEM RESPONSÁVEL/PRAZO",IF(AND(ISNUMBER(R198),R198=TODAY()),"🟡 VENCE HOJE",IF(AND(P198&lt;&gt;"",S198=""),"🟡 PENDÊNCIA ABERTA",IF(AND(N(J198)&gt;0,N(K198)&lt;J198),"🟡 FALTA EXECUTAR",IF(OR(M198="PENDENTE",M198="PARCIAL"),"🟡 FATURAMENTO PENDENTE","🟡 EMBARQUE PENDENTE")))))))))))</f>
        <v/>
      </c>
      <c r="D198" s="4" t="n">
        <v>46232</v>
      </c>
      <c r="E198" s="5" t="inlineStr">
        <is>
          <t>B</t>
        </is>
      </c>
      <c r="F198" s="5" t="inlineStr">
        <is>
          <t>THIAGO</t>
        </is>
      </c>
      <c r="G198" s="5" t="inlineStr">
        <is>
          <t>GM</t>
        </is>
      </c>
      <c r="H198" s="5" t="inlineStr">
        <is>
          <t>CROSS D2</t>
        </is>
      </c>
      <c r="I198" s="5" t="inlineStr">
        <is>
          <t>TON</t>
        </is>
      </c>
      <c r="J198" s="6" t="n">
        <v>15.648</v>
      </c>
      <c r="K198" s="6" t="n">
        <v>15.648</v>
      </c>
      <c r="L198" s="7">
        <f>IF(OR(D198="",N(J198)=0),"",MIN(1,N(K198)/J198))</f>
        <v/>
      </c>
      <c r="M198" s="5" t="inlineStr">
        <is>
          <t>FATURADO</t>
        </is>
      </c>
      <c r="N198" s="5" t="inlineStr">
        <is>
          <t>PENDENTE</t>
        </is>
      </c>
      <c r="O198" s="5" t="inlineStr">
        <is>
          <t>D2</t>
        </is>
      </c>
      <c r="P198" s="5" t="n"/>
      <c r="Q198" s="5" t="n"/>
      <c r="R198" s="4" t="n"/>
      <c r="S198" s="4" t="n"/>
      <c r="T198" s="5" t="n"/>
      <c r="U198" s="8">
        <f>IF(AND(V198=1,D198&lt;&gt;""),IF(D198&gt;=corte,TODAY()-D198,""),"")</f>
        <v/>
      </c>
      <c r="V198" s="8">
        <f>IF(D198="",0,IF(OR(AND(P198&lt;&gt;"",S198=""),AND(N(J198)&gt;0,N(K198)&lt;J198),OR(M198="PENDENTE",M198="PARCIAL"),OR(N198="PENDENTE",N198="PARCIAL")),1,0))</f>
        <v/>
      </c>
      <c r="W198" s="8">
        <f>IF(AND(V198=1,D198&lt;&gt;""),IF(D198&gt;=corte,(B198="CRÍTICO")*1E9+(100000-D198)*10000+10000-ROW(),""),"")</f>
        <v/>
      </c>
      <c r="X198" s="8">
        <f>IF(AND(V198=1,D198=pas_data,E198=pas_turno),10000-ROW(),"")</f>
        <v/>
      </c>
    </row>
    <row r="199">
      <c r="A199" s="3">
        <f>IF(D199="","","TT-"&amp;TEXT(ROW()-1,"00000"))</f>
        <v/>
      </c>
      <c r="B199" s="3">
        <f>IF(D199="","",IF(V199=0,"CONCLUÍDO",IF(D199&lt;corte,"HISTÓRICO",IF(OR(AND(ISNUMBER(R199),R199&lt;TODAY()),AND(OR(N199="PENDENTE",N199="PARCIAL"),D199&lt;TODAY()-1)),"CRÍTICO",IF(OR(AND(P199&lt;&gt;"",S199=""),AND(N199="REALIZADO",M199="PENDENTE"),AND(ISNUMBER(R199),R199=TODAY())),"ATENÇÃO",IF(N(K199)=0,"PENDENTE","EM ANDAMENTO"))))))</f>
        <v/>
      </c>
      <c r="C199" s="3">
        <f>IF(D199="","",IF(V199=0,"🟢 OK",IF(D199&lt;corte,"⚪ HISTÓRICO (sem baixa)",IF(AND(ISNUMBER(R199),R199&lt;TODAY()),"🔴 PRAZO VENCIDO",IF(AND(OR(N199="PENDENTE",N199="PARCIAL"),D199&lt;TODAY()-1),"🔴 EMBARQUE ATRASADO",IF(AND(N199="REALIZADO",M199="PENDENTE"),"🟡 EMBARCADO SEM FATURAR",IF(AND(P199&lt;&gt;"",S199="",OR(Q199="",R199="")),"🟡 PENDÊNCIA SEM RESPONSÁVEL/PRAZO",IF(AND(ISNUMBER(R199),R199=TODAY()),"🟡 VENCE HOJE",IF(AND(P199&lt;&gt;"",S199=""),"🟡 PENDÊNCIA ABERTA",IF(AND(N(J199)&gt;0,N(K199)&lt;J199),"🟡 FALTA EXECUTAR",IF(OR(M199="PENDENTE",M199="PARCIAL"),"🟡 FATURAMENTO PENDENTE","🟡 EMBARQUE PENDENTE")))))))))))</f>
        <v/>
      </c>
      <c r="D199" s="4" t="n">
        <v>46232</v>
      </c>
      <c r="E199" s="5" t="inlineStr">
        <is>
          <t>B</t>
        </is>
      </c>
      <c r="F199" s="5" t="inlineStr">
        <is>
          <t>THIAGO</t>
        </is>
      </c>
      <c r="G199" s="5" t="inlineStr">
        <is>
          <t>FLOOR</t>
        </is>
      </c>
      <c r="H199" s="5" t="n"/>
      <c r="I199" s="5" t="inlineStr">
        <is>
          <t>PALETE</t>
        </is>
      </c>
      <c r="J199" s="6" t="n">
        <v>78</v>
      </c>
      <c r="K199" s="6" t="n">
        <v>78</v>
      </c>
      <c r="L199" s="7">
        <f>IF(OR(D199="",N(J199)=0),"",MIN(1,N(K199)/J199))</f>
        <v/>
      </c>
      <c r="M199" s="5" t="n"/>
      <c r="N199" s="5" t="n"/>
      <c r="O199" s="5" t="n"/>
      <c r="P199" s="5" t="n"/>
      <c r="Q199" s="5" t="n"/>
      <c r="R199" s="4" t="n"/>
      <c r="S199" s="4" t="n"/>
      <c r="T199" s="5" t="n"/>
      <c r="U199" s="8">
        <f>IF(AND(V199=1,D199&lt;&gt;""),IF(D199&gt;=corte,TODAY()-D199,""),"")</f>
        <v/>
      </c>
      <c r="V199" s="8">
        <f>IF(D199="",0,IF(OR(AND(P199&lt;&gt;"",S199=""),AND(N(J199)&gt;0,N(K199)&lt;J199),OR(M199="PENDENTE",M199="PARCIAL"),OR(N199="PENDENTE",N199="PARCIAL")),1,0))</f>
        <v/>
      </c>
      <c r="W199" s="8">
        <f>IF(AND(V199=1,D199&lt;&gt;""),IF(D199&gt;=corte,(B199="CRÍTICO")*1E9+(100000-D199)*10000+10000-ROW(),""),"")</f>
        <v/>
      </c>
      <c r="X199" s="8">
        <f>IF(AND(V199=1,D199=pas_data,E199=pas_turno),10000-ROW(),"")</f>
        <v/>
      </c>
    </row>
    <row r="200">
      <c r="A200" s="3">
        <f>IF(D200="","","TT-"&amp;TEXT(ROW()-1,"00000"))</f>
        <v/>
      </c>
      <c r="B200" s="3">
        <f>IF(D200="","",IF(V200=0,"CONCLUÍDO",IF(D200&lt;corte,"HISTÓRICO",IF(OR(AND(ISNUMBER(R200),R200&lt;TODAY()),AND(OR(N200="PENDENTE",N200="PARCIAL"),D200&lt;TODAY()-1)),"CRÍTICO",IF(OR(AND(P200&lt;&gt;"",S200=""),AND(N200="REALIZADO",M200="PENDENTE"),AND(ISNUMBER(R200),R200=TODAY())),"ATENÇÃO",IF(N(K200)=0,"PENDENTE","EM ANDAMENTO"))))))</f>
        <v/>
      </c>
      <c r="C200" s="3">
        <f>IF(D200="","",IF(V200=0,"🟢 OK",IF(D200&lt;corte,"⚪ HISTÓRICO (sem baixa)",IF(AND(ISNUMBER(R200),R200&lt;TODAY()),"🔴 PRAZO VENCIDO",IF(AND(OR(N200="PENDENTE",N200="PARCIAL"),D200&lt;TODAY()-1),"🔴 EMBARQUE ATRASADO",IF(AND(N200="REALIZADO",M200="PENDENTE"),"🟡 EMBARCADO SEM FATURAR",IF(AND(P200&lt;&gt;"",S200="",OR(Q200="",R200="")),"🟡 PENDÊNCIA SEM RESPONSÁVEL/PRAZO",IF(AND(ISNUMBER(R200),R200=TODAY()),"🟡 VENCE HOJE",IF(AND(P200&lt;&gt;"",S200=""),"🟡 PENDÊNCIA ABERTA",IF(AND(N(J200)&gt;0,N(K200)&lt;J200),"🟡 FALTA EXECUTAR",IF(OR(M200="PENDENTE",M200="PARCIAL"),"🟡 FATURAMENTO PENDENTE","🟡 EMBARQUE PENDENTE")))))))))))</f>
        <v/>
      </c>
      <c r="D200" s="4" t="n">
        <v>46233</v>
      </c>
      <c r="E200" s="5" t="inlineStr">
        <is>
          <t>C</t>
        </is>
      </c>
      <c r="F200" s="5" t="inlineStr">
        <is>
          <t>ADIB</t>
        </is>
      </c>
      <c r="G200" s="5" t="inlineStr">
        <is>
          <t>GM</t>
        </is>
      </c>
      <c r="H200" s="5" t="inlineStr">
        <is>
          <t>MIX TUDO</t>
        </is>
      </c>
      <c r="I200" s="5" t="inlineStr">
        <is>
          <t>TON</t>
        </is>
      </c>
      <c r="J200" s="6" t="n">
        <v>2.946</v>
      </c>
      <c r="K200" s="6" t="n">
        <v>2.946</v>
      </c>
      <c r="L200" s="7">
        <f>IF(OR(D200="",N(J200)=0),"",MIN(1,N(K200)/J200))</f>
        <v/>
      </c>
      <c r="M200" s="5" t="n"/>
      <c r="N200" s="5" t="inlineStr">
        <is>
          <t>PENDENTE</t>
        </is>
      </c>
      <c r="O200" s="5" t="inlineStr">
        <is>
          <t>PRÓPRIO</t>
        </is>
      </c>
      <c r="P200" s="5" t="n"/>
      <c r="Q200" s="5" t="n"/>
      <c r="R200" s="4" t="n"/>
      <c r="S200" s="4" t="n"/>
      <c r="T200" s="5" t="inlineStr">
        <is>
          <t>[MIGRAÇÃO: medida inferida]</t>
        </is>
      </c>
      <c r="U200" s="8">
        <f>IF(AND(V200=1,D200&lt;&gt;""),IF(D200&gt;=corte,TODAY()-D200,""),"")</f>
        <v/>
      </c>
      <c r="V200" s="8">
        <f>IF(D200="",0,IF(OR(AND(P200&lt;&gt;"",S200=""),AND(N(J200)&gt;0,N(K200)&lt;J200),OR(M200="PENDENTE",M200="PARCIAL"),OR(N200="PENDENTE",N200="PARCIAL")),1,0))</f>
        <v/>
      </c>
      <c r="W200" s="8">
        <f>IF(AND(V200=1,D200&lt;&gt;""),IF(D200&gt;=corte,(B200="CRÍTICO")*1E9+(100000-D200)*10000+10000-ROW(),""),"")</f>
        <v/>
      </c>
      <c r="X200" s="8">
        <f>IF(AND(V200=1,D200=pas_data,E200=pas_turno),10000-ROW(),"")</f>
        <v/>
      </c>
    </row>
    <row r="201">
      <c r="A201" s="3">
        <f>IF(D201="","","TT-"&amp;TEXT(ROW()-1,"00000"))</f>
        <v/>
      </c>
      <c r="B201" s="3">
        <f>IF(D201="","",IF(V201=0,"CONCLUÍDO",IF(D201&lt;corte,"HISTÓRICO",IF(OR(AND(ISNUMBER(R201),R201&lt;TODAY()),AND(OR(N201="PENDENTE",N201="PARCIAL"),D201&lt;TODAY()-1)),"CRÍTICO",IF(OR(AND(P201&lt;&gt;"",S201=""),AND(N201="REALIZADO",M201="PENDENTE"),AND(ISNUMBER(R201),R201=TODAY())),"ATENÇÃO",IF(N(K201)=0,"PENDENTE","EM ANDAMENTO"))))))</f>
        <v/>
      </c>
      <c r="C201" s="3">
        <f>IF(D201="","",IF(V201=0,"🟢 OK",IF(D201&lt;corte,"⚪ HISTÓRICO (sem baixa)",IF(AND(ISNUMBER(R201),R201&lt;TODAY()),"🔴 PRAZO VENCIDO",IF(AND(OR(N201="PENDENTE",N201="PARCIAL"),D201&lt;TODAY()-1),"🔴 EMBARQUE ATRASADO",IF(AND(N201="REALIZADO",M201="PENDENTE"),"🟡 EMBARCADO SEM FATURAR",IF(AND(P201&lt;&gt;"",S201="",OR(Q201="",R201="")),"🟡 PENDÊNCIA SEM RESPONSÁVEL/PRAZO",IF(AND(ISNUMBER(R201),R201=TODAY()),"🟡 VENCE HOJE",IF(AND(P201&lt;&gt;"",S201=""),"🟡 PENDÊNCIA ABERTA",IF(AND(N(J201)&gt;0,N(K201)&lt;J201),"🟡 FALTA EXECUTAR",IF(OR(M201="PENDENTE",M201="PARCIAL"),"🟡 FATURAMENTO PENDENTE","🟡 EMBARQUE PENDENTE")))))))))))</f>
        <v/>
      </c>
      <c r="D201" s="4" t="n">
        <v>46233</v>
      </c>
      <c r="E201" s="5" t="inlineStr">
        <is>
          <t>C</t>
        </is>
      </c>
      <c r="F201" s="5" t="inlineStr">
        <is>
          <t>ADIB</t>
        </is>
      </c>
      <c r="G201" s="5" t="inlineStr">
        <is>
          <t>FOB</t>
        </is>
      </c>
      <c r="H201" s="5" t="inlineStr">
        <is>
          <t>COFERPAN</t>
        </is>
      </c>
      <c r="I201" s="5" t="inlineStr">
        <is>
          <t>TON</t>
        </is>
      </c>
      <c r="J201" s="6" t="n">
        <v>7.48</v>
      </c>
      <c r="K201" s="6" t="n">
        <v>7.48</v>
      </c>
      <c r="L201" s="7">
        <f>IF(OR(D201="",N(J201)=0),"",MIN(1,N(K201)/J201))</f>
        <v/>
      </c>
      <c r="M201" s="5" t="inlineStr">
        <is>
          <t>PENDENTE</t>
        </is>
      </c>
      <c r="N201" s="5" t="inlineStr">
        <is>
          <t>PENDENTE</t>
        </is>
      </c>
      <c r="O201" s="5" t="inlineStr">
        <is>
          <t>PRÓPRIO</t>
        </is>
      </c>
      <c r="P201" s="5" t="inlineStr">
        <is>
          <t>FALTA PEGAR 1 PALETE NIVÉL G ( FALTA MAQUINA )</t>
        </is>
      </c>
      <c r="Q201" s="5" t="n"/>
      <c r="R201" s="4" t="n"/>
      <c r="S201" s="4" t="n"/>
      <c r="T201" s="5" t="inlineStr">
        <is>
          <t>FALTA PEGAR 1 PALETE NIVÉL G ( FALTA MAQUINA )</t>
        </is>
      </c>
      <c r="U201" s="8">
        <f>IF(AND(V201=1,D201&lt;&gt;""),IF(D201&gt;=corte,TODAY()-D201,""),"")</f>
        <v/>
      </c>
      <c r="V201" s="8">
        <f>IF(D201="",0,IF(OR(AND(P201&lt;&gt;"",S201=""),AND(N(J201)&gt;0,N(K201)&lt;J201),OR(M201="PENDENTE",M201="PARCIAL"),OR(N201="PENDENTE",N201="PARCIAL")),1,0))</f>
        <v/>
      </c>
      <c r="W201" s="8">
        <f>IF(AND(V201=1,D201&lt;&gt;""),IF(D201&gt;=corte,(B201="CRÍTICO")*1E9+(100000-D201)*10000+10000-ROW(),""),"")</f>
        <v/>
      </c>
      <c r="X201" s="8">
        <f>IF(AND(V201=1,D201=pas_data,E201=pas_turno),10000-ROW(),"")</f>
        <v/>
      </c>
    </row>
    <row r="202">
      <c r="A202" s="3">
        <f>IF(D202="","","TT-"&amp;TEXT(ROW()-1,"00000"))</f>
        <v/>
      </c>
      <c r="B202" s="3">
        <f>IF(D202="","",IF(V202=0,"CONCLUÍDO",IF(D202&lt;corte,"HISTÓRICO",IF(OR(AND(ISNUMBER(R202),R202&lt;TODAY()),AND(OR(N202="PENDENTE",N202="PARCIAL"),D202&lt;TODAY()-1)),"CRÍTICO",IF(OR(AND(P202&lt;&gt;"",S202=""),AND(N202="REALIZADO",M202="PENDENTE"),AND(ISNUMBER(R202),R202=TODAY())),"ATENÇÃO",IF(N(K202)=0,"PENDENTE","EM ANDAMENTO"))))))</f>
        <v/>
      </c>
      <c r="C202" s="3">
        <f>IF(D202="","",IF(V202=0,"🟢 OK",IF(D202&lt;corte,"⚪ HISTÓRICO (sem baixa)",IF(AND(ISNUMBER(R202),R202&lt;TODAY()),"🔴 PRAZO VENCIDO",IF(AND(OR(N202="PENDENTE",N202="PARCIAL"),D202&lt;TODAY()-1),"🔴 EMBARQUE ATRASADO",IF(AND(N202="REALIZADO",M202="PENDENTE"),"🟡 EMBARCADO SEM FATURAR",IF(AND(P202&lt;&gt;"",S202="",OR(Q202="",R202="")),"🟡 PENDÊNCIA SEM RESPONSÁVEL/PRAZO",IF(AND(ISNUMBER(R202),R202=TODAY()),"🟡 VENCE HOJE",IF(AND(P202&lt;&gt;"",S202=""),"🟡 PENDÊNCIA ABERTA",IF(AND(N(J202)&gt;0,N(K202)&lt;J202),"🟡 FALTA EXECUTAR",IF(OR(M202="PENDENTE",M202="PARCIAL"),"🟡 FATURAMENTO PENDENTE","🟡 EMBARQUE PENDENTE")))))))))))</f>
        <v/>
      </c>
      <c r="D202" s="4" t="n">
        <v>46233</v>
      </c>
      <c r="E202" s="5" t="inlineStr">
        <is>
          <t>C</t>
        </is>
      </c>
      <c r="F202" s="5" t="inlineStr">
        <is>
          <t>ADIB</t>
        </is>
      </c>
      <c r="G202" s="5" t="inlineStr">
        <is>
          <t>FOB</t>
        </is>
      </c>
      <c r="H202" s="5" t="inlineStr">
        <is>
          <t>ORGANI BRAZALMEIDA</t>
        </is>
      </c>
      <c r="I202" s="5" t="inlineStr">
        <is>
          <t>TON</t>
        </is>
      </c>
      <c r="J202" s="6" t="n">
        <v>21.814</v>
      </c>
      <c r="K202" s="6" t="n">
        <v>21.814</v>
      </c>
      <c r="L202" s="7">
        <f>IF(OR(D202="",N(J202)=0),"",MIN(1,N(K202)/J202))</f>
        <v/>
      </c>
      <c r="M202" s="5" t="inlineStr">
        <is>
          <t>PENDENTE</t>
        </is>
      </c>
      <c r="N202" s="5" t="inlineStr">
        <is>
          <t>PENDENTE</t>
        </is>
      </c>
      <c r="O202" s="5" t="inlineStr">
        <is>
          <t>PRÓPRIO</t>
        </is>
      </c>
      <c r="P202" s="5" t="inlineStr">
        <is>
          <t>FALTA PEGAR 1 PALETE NIVÉL G ( FALTA MAQUINA )</t>
        </is>
      </c>
      <c r="Q202" s="5" t="n"/>
      <c r="R202" s="4" t="n"/>
      <c r="S202" s="4" t="n"/>
      <c r="T202" s="5" t="inlineStr">
        <is>
          <t>FALTA PEGAR 1 PALETE NIVÉL G ( FALTA MAQUINA )</t>
        </is>
      </c>
      <c r="U202" s="8">
        <f>IF(AND(V202=1,D202&lt;&gt;""),IF(D202&gt;=corte,TODAY()-D202,""),"")</f>
        <v/>
      </c>
      <c r="V202" s="8">
        <f>IF(D202="",0,IF(OR(AND(P202&lt;&gt;"",S202=""),AND(N(J202)&gt;0,N(K202)&lt;J202),OR(M202="PENDENTE",M202="PARCIAL"),OR(N202="PENDENTE",N202="PARCIAL")),1,0))</f>
        <v/>
      </c>
      <c r="W202" s="8">
        <f>IF(AND(V202=1,D202&lt;&gt;""),IF(D202&gt;=corte,(B202="CRÍTICO")*1E9+(100000-D202)*10000+10000-ROW(),""),"")</f>
        <v/>
      </c>
      <c r="X202" s="8">
        <f>IF(AND(V202=1,D202=pas_data,E202=pas_turno),10000-ROW(),"")</f>
        <v/>
      </c>
    </row>
    <row r="203">
      <c r="A203" s="3">
        <f>IF(D203="","","TT-"&amp;TEXT(ROW()-1,"00000"))</f>
        <v/>
      </c>
      <c r="B203" s="3">
        <f>IF(D203="","",IF(V203=0,"CONCLUÍDO",IF(D203&lt;corte,"HISTÓRICO",IF(OR(AND(ISNUMBER(R203),R203&lt;TODAY()),AND(OR(N203="PENDENTE",N203="PARCIAL"),D203&lt;TODAY()-1)),"CRÍTICO",IF(OR(AND(P203&lt;&gt;"",S203=""),AND(N203="REALIZADO",M203="PENDENTE"),AND(ISNUMBER(R203),R203=TODAY())),"ATENÇÃO",IF(N(K203)=0,"PENDENTE","EM ANDAMENTO"))))))</f>
        <v/>
      </c>
      <c r="C203" s="3">
        <f>IF(D203="","",IF(V203=0,"🟢 OK",IF(D203&lt;corte,"⚪ HISTÓRICO (sem baixa)",IF(AND(ISNUMBER(R203),R203&lt;TODAY()),"🔴 PRAZO VENCIDO",IF(AND(OR(N203="PENDENTE",N203="PARCIAL"),D203&lt;TODAY()-1),"🔴 EMBARQUE ATRASADO",IF(AND(N203="REALIZADO",M203="PENDENTE"),"🟡 EMBARCADO SEM FATURAR",IF(AND(P203&lt;&gt;"",S203="",OR(Q203="",R203="")),"🟡 PENDÊNCIA SEM RESPONSÁVEL/PRAZO",IF(AND(ISNUMBER(R203),R203=TODAY()),"🟡 VENCE HOJE",IF(AND(P203&lt;&gt;"",S203=""),"🟡 PENDÊNCIA ABERTA",IF(AND(N(J203)&gt;0,N(K203)&lt;J203),"🟡 FALTA EXECUTAR",IF(OR(M203="PENDENTE",M203="PARCIAL"),"🟡 FATURAMENTO PENDENTE","🟡 EMBARQUE PENDENTE")))))))))))</f>
        <v/>
      </c>
      <c r="D203" s="4" t="n">
        <v>46233</v>
      </c>
      <c r="E203" s="5" t="inlineStr">
        <is>
          <t>C</t>
        </is>
      </c>
      <c r="F203" s="5" t="inlineStr">
        <is>
          <t>ADIB</t>
        </is>
      </c>
      <c r="G203" s="5" t="inlineStr">
        <is>
          <t>FM</t>
        </is>
      </c>
      <c r="H203" s="5" t="inlineStr">
        <is>
          <t>PANDURATA</t>
        </is>
      </c>
      <c r="I203" s="5" t="inlineStr">
        <is>
          <t>TON</t>
        </is>
      </c>
      <c r="J203" s="6" t="n">
        <v>28.054</v>
      </c>
      <c r="K203" s="6" t="n">
        <v>28.054</v>
      </c>
      <c r="L203" s="7">
        <f>IF(OR(D203="",N(J203)=0),"",MIN(1,N(K203)/J203))</f>
        <v/>
      </c>
      <c r="M203" s="5" t="inlineStr">
        <is>
          <t>FATURADO</t>
        </is>
      </c>
      <c r="N203" s="5" t="inlineStr">
        <is>
          <t>REALIZADO</t>
        </is>
      </c>
      <c r="O203" s="5" t="inlineStr">
        <is>
          <t>SPEEDYLOG</t>
        </is>
      </c>
      <c r="P203" s="5" t="n"/>
      <c r="Q203" s="5" t="n"/>
      <c r="R203" s="4" t="n"/>
      <c r="S203" s="4" t="n"/>
      <c r="T203" s="5" t="inlineStr">
        <is>
          <t>PANDURATA - CARREGADO E LIBERADO</t>
        </is>
      </c>
      <c r="U203" s="8">
        <f>IF(AND(V203=1,D203&lt;&gt;""),IF(D203&gt;=corte,TODAY()-D203,""),"")</f>
        <v/>
      </c>
      <c r="V203" s="8">
        <f>IF(D203="",0,IF(OR(AND(P203&lt;&gt;"",S203=""),AND(N(J203)&gt;0,N(K203)&lt;J203),OR(M203="PENDENTE",M203="PARCIAL"),OR(N203="PENDENTE",N203="PARCIAL")),1,0))</f>
        <v/>
      </c>
      <c r="W203" s="8">
        <f>IF(AND(V203=1,D203&lt;&gt;""),IF(D203&gt;=corte,(B203="CRÍTICO")*1E9+(100000-D203)*10000+10000-ROW(),""),"")</f>
        <v/>
      </c>
      <c r="X203" s="8">
        <f>IF(AND(V203=1,D203=pas_data,E203=pas_turno),10000-ROW(),"")</f>
        <v/>
      </c>
    </row>
    <row r="204">
      <c r="A204" s="3">
        <f>IF(D204="","","TT-"&amp;TEXT(ROW()-1,"00000"))</f>
        <v/>
      </c>
      <c r="B204" s="3">
        <f>IF(D204="","",IF(V204=0,"CONCLUÍDO",IF(D204&lt;corte,"HISTÓRICO",IF(OR(AND(ISNUMBER(R204),R204&lt;TODAY()),AND(OR(N204="PENDENTE",N204="PARCIAL"),D204&lt;TODAY()-1)),"CRÍTICO",IF(OR(AND(P204&lt;&gt;"",S204=""),AND(N204="REALIZADO",M204="PENDENTE"),AND(ISNUMBER(R204),R204=TODAY())),"ATENÇÃO",IF(N(K204)=0,"PENDENTE","EM ANDAMENTO"))))))</f>
        <v/>
      </c>
      <c r="C204" s="3">
        <f>IF(D204="","",IF(V204=0,"🟢 OK",IF(D204&lt;corte,"⚪ HISTÓRICO (sem baixa)",IF(AND(ISNUMBER(R204),R204&lt;TODAY()),"🔴 PRAZO VENCIDO",IF(AND(OR(N204="PENDENTE",N204="PARCIAL"),D204&lt;TODAY()-1),"🔴 EMBARQUE ATRASADO",IF(AND(N204="REALIZADO",M204="PENDENTE"),"🟡 EMBARCADO SEM FATURAR",IF(AND(P204&lt;&gt;"",S204="",OR(Q204="",R204="")),"🟡 PENDÊNCIA SEM RESPONSÁVEL/PRAZO",IF(AND(ISNUMBER(R204),R204=TODAY()),"🟡 VENCE HOJE",IF(AND(P204&lt;&gt;"",S204=""),"🟡 PENDÊNCIA ABERTA",IF(AND(N(J204)&gt;0,N(K204)&lt;J204),"🟡 FALTA EXECUTAR",IF(OR(M204="PENDENTE",M204="PARCIAL"),"🟡 FATURAMENTO PENDENTE","🟡 EMBARQUE PENDENTE")))))))))))</f>
        <v/>
      </c>
      <c r="D204" s="4" t="n">
        <v>46233</v>
      </c>
      <c r="E204" s="5" t="inlineStr">
        <is>
          <t>C</t>
        </is>
      </c>
      <c r="F204" s="5" t="inlineStr">
        <is>
          <t>ADIB</t>
        </is>
      </c>
      <c r="G204" s="5" t="inlineStr">
        <is>
          <t>GM</t>
        </is>
      </c>
      <c r="H204" s="5" t="inlineStr">
        <is>
          <t>SP CAP SP INT</t>
        </is>
      </c>
      <c r="I204" s="5" t="inlineStr">
        <is>
          <t>TON</t>
        </is>
      </c>
      <c r="J204" s="6" t="n">
        <v>6.43</v>
      </c>
      <c r="K204" s="6" t="n">
        <v>6.43</v>
      </c>
      <c r="L204" s="7">
        <f>IF(OR(D204="",N(J204)=0),"",MIN(1,N(K204)/J204))</f>
        <v/>
      </c>
      <c r="M204" s="5" t="inlineStr">
        <is>
          <t>FATURADO</t>
        </is>
      </c>
      <c r="N204" s="5" t="inlineStr">
        <is>
          <t>REALIZADO</t>
        </is>
      </c>
      <c r="O204" s="5" t="inlineStr">
        <is>
          <t>SMARTLOG</t>
        </is>
      </c>
      <c r="P204" s="5" t="n"/>
      <c r="Q204" s="5" t="n"/>
      <c r="R204" s="4" t="n"/>
      <c r="S204" s="4" t="n"/>
      <c r="T204" s="5" t="inlineStr">
        <is>
          <t>AGENDADAS DIA 31/07</t>
        </is>
      </c>
      <c r="U204" s="8">
        <f>IF(AND(V204=1,D204&lt;&gt;""),IF(D204&gt;=corte,TODAY()-D204,""),"")</f>
        <v/>
      </c>
      <c r="V204" s="8">
        <f>IF(D204="",0,IF(OR(AND(P204&lt;&gt;"",S204=""),AND(N(J204)&gt;0,N(K204)&lt;J204),OR(M204="PENDENTE",M204="PARCIAL"),OR(N204="PENDENTE",N204="PARCIAL")),1,0))</f>
        <v/>
      </c>
      <c r="W204" s="8">
        <f>IF(AND(V204=1,D204&lt;&gt;""),IF(D204&gt;=corte,(B204="CRÍTICO")*1E9+(100000-D204)*10000+10000-ROW(),""),"")</f>
        <v/>
      </c>
      <c r="X204" s="8">
        <f>IF(AND(V204=1,D204=pas_data,E204=pas_turno),10000-ROW(),"")</f>
        <v/>
      </c>
    </row>
    <row r="205">
      <c r="A205" s="3">
        <f>IF(D205="","","TT-"&amp;TEXT(ROW()-1,"00000"))</f>
        <v/>
      </c>
      <c r="B205" s="3">
        <f>IF(D205="","",IF(V205=0,"CONCLUÍDO",IF(D205&lt;corte,"HISTÓRICO",IF(OR(AND(ISNUMBER(R205),R205&lt;TODAY()),AND(OR(N205="PENDENTE",N205="PARCIAL"),D205&lt;TODAY()-1)),"CRÍTICO",IF(OR(AND(P205&lt;&gt;"",S205=""),AND(N205="REALIZADO",M205="PENDENTE"),AND(ISNUMBER(R205),R205=TODAY())),"ATENÇÃO",IF(N(K205)=0,"PENDENTE","EM ANDAMENTO"))))))</f>
        <v/>
      </c>
      <c r="C205" s="3">
        <f>IF(D205="","",IF(V205=0,"🟢 OK",IF(D205&lt;corte,"⚪ HISTÓRICO (sem baixa)",IF(AND(ISNUMBER(R205),R205&lt;TODAY()),"🔴 PRAZO VENCIDO",IF(AND(OR(N205="PENDENTE",N205="PARCIAL"),D205&lt;TODAY()-1),"🔴 EMBARQUE ATRASADO",IF(AND(N205="REALIZADO",M205="PENDENTE"),"🟡 EMBARCADO SEM FATURAR",IF(AND(P205&lt;&gt;"",S205="",OR(Q205="",R205="")),"🟡 PENDÊNCIA SEM RESPONSÁVEL/PRAZO",IF(AND(ISNUMBER(R205),R205=TODAY()),"🟡 VENCE HOJE",IF(AND(P205&lt;&gt;"",S205=""),"🟡 PENDÊNCIA ABERTA",IF(AND(N(J205)&gt;0,N(K205)&lt;J205),"🟡 FALTA EXECUTAR",IF(OR(M205="PENDENTE",M205="PARCIAL"),"🟡 FATURAMENTO PENDENTE","🟡 EMBARQUE PENDENTE")))))))))))</f>
        <v/>
      </c>
      <c r="D205" s="4" t="n">
        <v>46233</v>
      </c>
      <c r="E205" s="5" t="inlineStr">
        <is>
          <t>C</t>
        </is>
      </c>
      <c r="F205" s="5" t="inlineStr">
        <is>
          <t>ADIB</t>
        </is>
      </c>
      <c r="G205" s="5" t="inlineStr">
        <is>
          <t>FOB</t>
        </is>
      </c>
      <c r="H205" s="5" t="inlineStr">
        <is>
          <t>PRODUPAN</t>
        </is>
      </c>
      <c r="I205" s="5" t="inlineStr">
        <is>
          <t>TON</t>
        </is>
      </c>
      <c r="J205" s="6" t="n">
        <v>1.717</v>
      </c>
      <c r="K205" s="6" t="n">
        <v>1.717</v>
      </c>
      <c r="L205" s="7">
        <f>IF(OR(D205="",N(J205)=0),"",MIN(1,N(K205)/J205))</f>
        <v/>
      </c>
      <c r="M205" s="5" t="inlineStr">
        <is>
          <t>PENDENTE</t>
        </is>
      </c>
      <c r="N205" s="5" t="inlineStr">
        <is>
          <t>PENDENTE</t>
        </is>
      </c>
      <c r="O205" s="5" t="inlineStr">
        <is>
          <t>PRÓPRIO</t>
        </is>
      </c>
      <c r="P205" s="5" t="n"/>
      <c r="Q205" s="5" t="n"/>
      <c r="R205" s="4" t="n"/>
      <c r="S205" s="4" t="n"/>
      <c r="T205" s="5" t="n"/>
      <c r="U205" s="8">
        <f>IF(AND(V205=1,D205&lt;&gt;""),IF(D205&gt;=corte,TODAY()-D205,""),"")</f>
        <v/>
      </c>
      <c r="V205" s="8">
        <f>IF(D205="",0,IF(OR(AND(P205&lt;&gt;"",S205=""),AND(N(J205)&gt;0,N(K205)&lt;J205),OR(M205="PENDENTE",M205="PARCIAL"),OR(N205="PENDENTE",N205="PARCIAL")),1,0))</f>
        <v/>
      </c>
      <c r="W205" s="8">
        <f>IF(AND(V205=1,D205&lt;&gt;""),IF(D205&gt;=corte,(B205="CRÍTICO")*1E9+(100000-D205)*10000+10000-ROW(),""),"")</f>
        <v/>
      </c>
      <c r="X205" s="8">
        <f>IF(AND(V205=1,D205=pas_data,E205=pas_turno),10000-ROW(),"")</f>
        <v/>
      </c>
    </row>
    <row r="206">
      <c r="A206" s="3">
        <f>IF(D206="","","TT-"&amp;TEXT(ROW()-1,"00000"))</f>
        <v/>
      </c>
      <c r="B206" s="3">
        <f>IF(D206="","",IF(V206=0,"CONCLUÍDO",IF(D206&lt;corte,"HISTÓRICO",IF(OR(AND(ISNUMBER(R206),R206&lt;TODAY()),AND(OR(N206="PENDENTE",N206="PARCIAL"),D206&lt;TODAY()-1)),"CRÍTICO",IF(OR(AND(P206&lt;&gt;"",S206=""),AND(N206="REALIZADO",M206="PENDENTE"),AND(ISNUMBER(R206),R206=TODAY())),"ATENÇÃO",IF(N(K206)=0,"PENDENTE","EM ANDAMENTO"))))))</f>
        <v/>
      </c>
      <c r="C206" s="3">
        <f>IF(D206="","",IF(V206=0,"🟢 OK",IF(D206&lt;corte,"⚪ HISTÓRICO (sem baixa)",IF(AND(ISNUMBER(R206),R206&lt;TODAY()),"🔴 PRAZO VENCIDO",IF(AND(OR(N206="PENDENTE",N206="PARCIAL"),D206&lt;TODAY()-1),"🔴 EMBARQUE ATRASADO",IF(AND(N206="REALIZADO",M206="PENDENTE"),"🟡 EMBARCADO SEM FATURAR",IF(AND(P206&lt;&gt;"",S206="",OR(Q206="",R206="")),"🟡 PENDÊNCIA SEM RESPONSÁVEL/PRAZO",IF(AND(ISNUMBER(R206),R206=TODAY()),"🟡 VENCE HOJE",IF(AND(P206&lt;&gt;"",S206=""),"🟡 PENDÊNCIA ABERTA",IF(AND(N(J206)&gt;0,N(K206)&lt;J206),"🟡 FALTA EXECUTAR",IF(OR(M206="PENDENTE",M206="PARCIAL"),"🟡 FATURAMENTO PENDENTE","🟡 EMBARQUE PENDENTE")))))))))))</f>
        <v/>
      </c>
      <c r="D206" s="4" t="n">
        <v>46233</v>
      </c>
      <c r="E206" s="5" t="inlineStr">
        <is>
          <t>C</t>
        </is>
      </c>
      <c r="F206" s="5" t="inlineStr">
        <is>
          <t>ADIB</t>
        </is>
      </c>
      <c r="G206" s="5" t="inlineStr">
        <is>
          <t>FOB</t>
        </is>
      </c>
      <c r="H206" s="5" t="inlineStr">
        <is>
          <t>BRAZALMEIDA</t>
        </is>
      </c>
      <c r="I206" s="5" t="inlineStr">
        <is>
          <t>TON</t>
        </is>
      </c>
      <c r="J206" s="6" t="n">
        <v>29.768</v>
      </c>
      <c r="K206" s="6" t="n">
        <v>29.768</v>
      </c>
      <c r="L206" s="7">
        <f>IF(OR(D206="",N(J206)=0),"",MIN(1,N(K206)/J206))</f>
        <v/>
      </c>
      <c r="M206" s="5" t="inlineStr">
        <is>
          <t>PENDENTE</t>
        </is>
      </c>
      <c r="N206" s="5" t="inlineStr">
        <is>
          <t>PENDENTE</t>
        </is>
      </c>
      <c r="O206" s="5" t="inlineStr">
        <is>
          <t>PRÓPRIO</t>
        </is>
      </c>
      <c r="P206" s="5" t="n"/>
      <c r="Q206" s="5" t="n"/>
      <c r="R206" s="4" t="n"/>
      <c r="S206" s="4" t="n"/>
      <c r="T206" s="5" t="n"/>
      <c r="U206" s="8">
        <f>IF(AND(V206=1,D206&lt;&gt;""),IF(D206&gt;=corte,TODAY()-D206,""),"")</f>
        <v/>
      </c>
      <c r="V206" s="8">
        <f>IF(D206="",0,IF(OR(AND(P206&lt;&gt;"",S206=""),AND(N(J206)&gt;0,N(K206)&lt;J206),OR(M206="PENDENTE",M206="PARCIAL"),OR(N206="PENDENTE",N206="PARCIAL")),1,0))</f>
        <v/>
      </c>
      <c r="W206" s="8">
        <f>IF(AND(V206=1,D206&lt;&gt;""),IF(D206&gt;=corte,(B206="CRÍTICO")*1E9+(100000-D206)*10000+10000-ROW(),""),"")</f>
        <v/>
      </c>
      <c r="X206" s="8">
        <f>IF(AND(V206=1,D206=pas_data,E206=pas_turno),10000-ROW(),"")</f>
        <v/>
      </c>
    </row>
    <row r="207">
      <c r="A207" s="3">
        <f>IF(D207="","","TT-"&amp;TEXT(ROW()-1,"00000"))</f>
        <v/>
      </c>
      <c r="B207" s="3">
        <f>IF(D207="","",IF(V207=0,"CONCLUÍDO",IF(D207&lt;corte,"HISTÓRICO",IF(OR(AND(ISNUMBER(R207),R207&lt;TODAY()),AND(OR(N207="PENDENTE",N207="PARCIAL"),D207&lt;TODAY()-1)),"CRÍTICO",IF(OR(AND(P207&lt;&gt;"",S207=""),AND(N207="REALIZADO",M207="PENDENTE"),AND(ISNUMBER(R207),R207=TODAY())),"ATENÇÃO",IF(N(K207)=0,"PENDENTE","EM ANDAMENTO"))))))</f>
        <v/>
      </c>
      <c r="C207" s="3">
        <f>IF(D207="","",IF(V207=0,"🟢 OK",IF(D207&lt;corte,"⚪ HISTÓRICO (sem baixa)",IF(AND(ISNUMBER(R207),R207&lt;TODAY()),"🔴 PRAZO VENCIDO",IF(AND(OR(N207="PENDENTE",N207="PARCIAL"),D207&lt;TODAY()-1),"🔴 EMBARQUE ATRASADO",IF(AND(N207="REALIZADO",M207="PENDENTE"),"🟡 EMBARCADO SEM FATURAR",IF(AND(P207&lt;&gt;"",S207="",OR(Q207="",R207="")),"🟡 PENDÊNCIA SEM RESPONSÁVEL/PRAZO",IF(AND(ISNUMBER(R207),R207=TODAY()),"🟡 VENCE HOJE",IF(AND(P207&lt;&gt;"",S207=""),"🟡 PENDÊNCIA ABERTA",IF(AND(N(J207)&gt;0,N(K207)&lt;J207),"🟡 FALTA EXECUTAR",IF(OR(M207="PENDENTE",M207="PARCIAL"),"🟡 FATURAMENTO PENDENTE","🟡 EMBARQUE PENDENTE")))))))))))</f>
        <v/>
      </c>
      <c r="D207" s="4" t="n">
        <v>46233</v>
      </c>
      <c r="E207" s="5" t="inlineStr">
        <is>
          <t>C</t>
        </is>
      </c>
      <c r="F207" s="5" t="inlineStr">
        <is>
          <t>ADIB</t>
        </is>
      </c>
      <c r="G207" s="5" t="inlineStr">
        <is>
          <t>FM</t>
        </is>
      </c>
      <c r="H207" s="5" t="inlineStr">
        <is>
          <t>PANDURATA</t>
        </is>
      </c>
      <c r="I207" s="5" t="inlineStr">
        <is>
          <t>TON</t>
        </is>
      </c>
      <c r="J207" s="6" t="n">
        <v>28.054</v>
      </c>
      <c r="K207" s="6" t="n">
        <v>28.054</v>
      </c>
      <c r="L207" s="7">
        <f>IF(OR(D207="",N(J207)=0),"",MIN(1,N(K207)/J207))</f>
        <v/>
      </c>
      <c r="M207" s="5" t="inlineStr">
        <is>
          <t>FATURADO</t>
        </is>
      </c>
      <c r="N207" s="5" t="n"/>
      <c r="O207" s="5" t="inlineStr">
        <is>
          <t>SMARTLOG</t>
        </is>
      </c>
      <c r="P207" s="5" t="n"/>
      <c r="Q207" s="5" t="n"/>
      <c r="R207" s="4" t="n"/>
      <c r="S207" s="4" t="n"/>
      <c r="T207" s="5" t="inlineStr">
        <is>
          <t>PANDURATA - GUARULHOS</t>
        </is>
      </c>
      <c r="U207" s="8">
        <f>IF(AND(V207=1,D207&lt;&gt;""),IF(D207&gt;=corte,TODAY()-D207,""),"")</f>
        <v/>
      </c>
      <c r="V207" s="8">
        <f>IF(D207="",0,IF(OR(AND(P207&lt;&gt;"",S207=""),AND(N(J207)&gt;0,N(K207)&lt;J207),OR(M207="PENDENTE",M207="PARCIAL"),OR(N207="PENDENTE",N207="PARCIAL")),1,0))</f>
        <v/>
      </c>
      <c r="W207" s="8">
        <f>IF(AND(V207=1,D207&lt;&gt;""),IF(D207&gt;=corte,(B207="CRÍTICO")*1E9+(100000-D207)*10000+10000-ROW(),""),"")</f>
        <v/>
      </c>
      <c r="X207" s="8">
        <f>IF(AND(V207=1,D207=pas_data,E207=pas_turno),10000-ROW(),"")</f>
        <v/>
      </c>
    </row>
    <row r="208">
      <c r="A208" s="3">
        <f>IF(D208="","","TT-"&amp;TEXT(ROW()-1,"00000"))</f>
        <v/>
      </c>
      <c r="B208" s="3">
        <f>IF(D208="","",IF(V208=0,"CONCLUÍDO",IF(D208&lt;corte,"HISTÓRICO",IF(OR(AND(ISNUMBER(R208),R208&lt;TODAY()),AND(OR(N208="PENDENTE",N208="PARCIAL"),D208&lt;TODAY()-1)),"CRÍTICO",IF(OR(AND(P208&lt;&gt;"",S208=""),AND(N208="REALIZADO",M208="PENDENTE"),AND(ISNUMBER(R208),R208=TODAY())),"ATENÇÃO",IF(N(K208)=0,"PENDENTE","EM ANDAMENTO"))))))</f>
        <v/>
      </c>
      <c r="C208" s="3">
        <f>IF(D208="","",IF(V208=0,"🟢 OK",IF(D208&lt;corte,"⚪ HISTÓRICO (sem baixa)",IF(AND(ISNUMBER(R208),R208&lt;TODAY()),"🔴 PRAZO VENCIDO",IF(AND(OR(N208="PENDENTE",N208="PARCIAL"),D208&lt;TODAY()-1),"🔴 EMBARQUE ATRASADO",IF(AND(N208="REALIZADO",M208="PENDENTE"),"🟡 EMBARCADO SEM FATURAR",IF(AND(P208&lt;&gt;"",S208="",OR(Q208="",R208="")),"🟡 PENDÊNCIA SEM RESPONSÁVEL/PRAZO",IF(AND(ISNUMBER(R208),R208=TODAY()),"🟡 VENCE HOJE",IF(AND(P208&lt;&gt;"",S208=""),"🟡 PENDÊNCIA ABERTA",IF(AND(N(J208)&gt;0,N(K208)&lt;J208),"🟡 FALTA EXECUTAR",IF(OR(M208="PENDENTE",M208="PARCIAL"),"🟡 FATURAMENTO PENDENTE","🟡 EMBARQUE PENDENTE")))))))))))</f>
        <v/>
      </c>
      <c r="D208" s="4" t="n">
        <v>46233</v>
      </c>
      <c r="E208" s="5" t="inlineStr">
        <is>
          <t>C</t>
        </is>
      </c>
      <c r="F208" s="5" t="inlineStr">
        <is>
          <t>ADIB</t>
        </is>
      </c>
      <c r="G208" s="5" t="inlineStr">
        <is>
          <t>FOB</t>
        </is>
      </c>
      <c r="H208" s="5" t="inlineStr">
        <is>
          <t>CASA PANIF</t>
        </is>
      </c>
      <c r="I208" s="5" t="inlineStr">
        <is>
          <t>TON</t>
        </is>
      </c>
      <c r="J208" s="6" t="n">
        <v>3.504</v>
      </c>
      <c r="K208" s="6" t="n">
        <v>3.504</v>
      </c>
      <c r="L208" s="7">
        <f>IF(OR(D208="",N(J208)=0),"",MIN(1,N(K208)/J208))</f>
        <v/>
      </c>
      <c r="M208" s="5" t="inlineStr">
        <is>
          <t>PENDENTE</t>
        </is>
      </c>
      <c r="N208" s="5" t="inlineStr">
        <is>
          <t>PENDENTE</t>
        </is>
      </c>
      <c r="O208" s="5" t="inlineStr">
        <is>
          <t>PRÓPRIO</t>
        </is>
      </c>
      <c r="P208" s="5" t="n"/>
      <c r="Q208" s="5" t="n"/>
      <c r="R208" s="4" t="n"/>
      <c r="S208" s="4" t="n"/>
      <c r="T208" s="5" t="n"/>
      <c r="U208" s="8">
        <f>IF(AND(V208=1,D208&lt;&gt;""),IF(D208&gt;=corte,TODAY()-D208,""),"")</f>
        <v/>
      </c>
      <c r="V208" s="8">
        <f>IF(D208="",0,IF(OR(AND(P208&lt;&gt;"",S208=""),AND(N(J208)&gt;0,N(K208)&lt;J208),OR(M208="PENDENTE",M208="PARCIAL"),OR(N208="PENDENTE",N208="PARCIAL")),1,0))</f>
        <v/>
      </c>
      <c r="W208" s="8">
        <f>IF(AND(V208=1,D208&lt;&gt;""),IF(D208&gt;=corte,(B208="CRÍTICO")*1E9+(100000-D208)*10000+10000-ROW(),""),"")</f>
        <v/>
      </c>
      <c r="X208" s="8">
        <f>IF(AND(V208=1,D208=pas_data,E208=pas_turno),10000-ROW(),"")</f>
        <v/>
      </c>
    </row>
    <row r="209">
      <c r="A209" s="3">
        <f>IF(D209="","","TT-"&amp;TEXT(ROW()-1,"00000"))</f>
        <v/>
      </c>
      <c r="B209" s="3">
        <f>IF(D209="","",IF(V209=0,"CONCLUÍDO",IF(D209&lt;corte,"HISTÓRICO",IF(OR(AND(ISNUMBER(R209),R209&lt;TODAY()),AND(OR(N209="PENDENTE",N209="PARCIAL"),D209&lt;TODAY()-1)),"CRÍTICO",IF(OR(AND(P209&lt;&gt;"",S209=""),AND(N209="REALIZADO",M209="PENDENTE"),AND(ISNUMBER(R209),R209=TODAY())),"ATENÇÃO",IF(N(K209)=0,"PENDENTE","EM ANDAMENTO"))))))</f>
        <v/>
      </c>
      <c r="C209" s="3">
        <f>IF(D209="","",IF(V209=0,"🟢 OK",IF(D209&lt;corte,"⚪ HISTÓRICO (sem baixa)",IF(AND(ISNUMBER(R209),R209&lt;TODAY()),"🔴 PRAZO VENCIDO",IF(AND(OR(N209="PENDENTE",N209="PARCIAL"),D209&lt;TODAY()-1),"🔴 EMBARQUE ATRASADO",IF(AND(N209="REALIZADO",M209="PENDENTE"),"🟡 EMBARCADO SEM FATURAR",IF(AND(P209&lt;&gt;"",S209="",OR(Q209="",R209="")),"🟡 PENDÊNCIA SEM RESPONSÁVEL/PRAZO",IF(AND(ISNUMBER(R209),R209=TODAY()),"🟡 VENCE HOJE",IF(AND(P209&lt;&gt;"",S209=""),"🟡 PENDÊNCIA ABERTA",IF(AND(N(J209)&gt;0,N(K209)&lt;J209),"🟡 FALTA EXECUTAR",IF(OR(M209="PENDENTE",M209="PARCIAL"),"🟡 FATURAMENTO PENDENTE","🟡 EMBARQUE PENDENTE")))))))))))</f>
        <v/>
      </c>
      <c r="D209" s="4" t="n">
        <v>46233</v>
      </c>
      <c r="E209" s="5" t="inlineStr">
        <is>
          <t>C</t>
        </is>
      </c>
      <c r="F209" s="5" t="inlineStr">
        <is>
          <t>ADIB</t>
        </is>
      </c>
      <c r="G209" s="5" t="inlineStr">
        <is>
          <t>FOB</t>
        </is>
      </c>
      <c r="H209" s="5" t="inlineStr">
        <is>
          <t>CUNHAPAN</t>
        </is>
      </c>
      <c r="I209" s="5" t="inlineStr">
        <is>
          <t>TON</t>
        </is>
      </c>
      <c r="J209" s="6" t="n">
        <v>1.234</v>
      </c>
      <c r="K209" s="6" t="n">
        <v>1.234</v>
      </c>
      <c r="L209" s="7">
        <f>IF(OR(D209="",N(J209)=0),"",MIN(1,N(K209)/J209))</f>
        <v/>
      </c>
      <c r="M209" s="5" t="inlineStr">
        <is>
          <t>PENDENTE</t>
        </is>
      </c>
      <c r="N209" s="5" t="inlineStr">
        <is>
          <t>PENDENTE</t>
        </is>
      </c>
      <c r="O209" s="5" t="inlineStr">
        <is>
          <t>PRÓPRIO</t>
        </is>
      </c>
      <c r="P209" s="5" t="n"/>
      <c r="Q209" s="5" t="n"/>
      <c r="R209" s="4" t="n"/>
      <c r="S209" s="4" t="n"/>
      <c r="T209" s="5" t="n"/>
      <c r="U209" s="8">
        <f>IF(AND(V209=1,D209&lt;&gt;""),IF(D209&gt;=corte,TODAY()-D209,""),"")</f>
        <v/>
      </c>
      <c r="V209" s="8">
        <f>IF(D209="",0,IF(OR(AND(P209&lt;&gt;"",S209=""),AND(N(J209)&gt;0,N(K209)&lt;J209),OR(M209="PENDENTE",M209="PARCIAL"),OR(N209="PENDENTE",N209="PARCIAL")),1,0))</f>
        <v/>
      </c>
      <c r="W209" s="8">
        <f>IF(AND(V209=1,D209&lt;&gt;""),IF(D209&gt;=corte,(B209="CRÍTICO")*1E9+(100000-D209)*10000+10000-ROW(),""),"")</f>
        <v/>
      </c>
      <c r="X209" s="8">
        <f>IF(AND(V209=1,D209=pas_data,E209=pas_turno),10000-ROW(),"")</f>
        <v/>
      </c>
    </row>
    <row r="210">
      <c r="A210" s="3">
        <f>IF(D210="","","TT-"&amp;TEXT(ROW()-1,"00000"))</f>
        <v/>
      </c>
      <c r="B210" s="3">
        <f>IF(D210="","",IF(V210=0,"CONCLUÍDO",IF(D210&lt;corte,"HISTÓRICO",IF(OR(AND(ISNUMBER(R210),R210&lt;TODAY()),AND(OR(N210="PENDENTE",N210="PARCIAL"),D210&lt;TODAY()-1)),"CRÍTICO",IF(OR(AND(P210&lt;&gt;"",S210=""),AND(N210="REALIZADO",M210="PENDENTE"),AND(ISNUMBER(R210),R210=TODAY())),"ATENÇÃO",IF(N(K210)=0,"PENDENTE","EM ANDAMENTO"))))))</f>
        <v/>
      </c>
      <c r="C210" s="3">
        <f>IF(D210="","",IF(V210=0,"🟢 OK",IF(D210&lt;corte,"⚪ HISTÓRICO (sem baixa)",IF(AND(ISNUMBER(R210),R210&lt;TODAY()),"🔴 PRAZO VENCIDO",IF(AND(OR(N210="PENDENTE",N210="PARCIAL"),D210&lt;TODAY()-1),"🔴 EMBARQUE ATRASADO",IF(AND(N210="REALIZADO",M210="PENDENTE"),"🟡 EMBARCADO SEM FATURAR",IF(AND(P210&lt;&gt;"",S210="",OR(Q210="",R210="")),"🟡 PENDÊNCIA SEM RESPONSÁVEL/PRAZO",IF(AND(ISNUMBER(R210),R210=TODAY()),"🟡 VENCE HOJE",IF(AND(P210&lt;&gt;"",S210=""),"🟡 PENDÊNCIA ABERTA",IF(AND(N(J210)&gt;0,N(K210)&lt;J210),"🟡 FALTA EXECUTAR",IF(OR(M210="PENDENTE",M210="PARCIAL"),"🟡 FATURAMENTO PENDENTE","🟡 EMBARQUE PENDENTE")))))))))))</f>
        <v/>
      </c>
      <c r="D210" s="4" t="n">
        <v>46233</v>
      </c>
      <c r="E210" s="5" t="inlineStr">
        <is>
          <t>C</t>
        </is>
      </c>
      <c r="F210" s="5" t="inlineStr">
        <is>
          <t>ADIB</t>
        </is>
      </c>
      <c r="G210" s="5" t="inlineStr">
        <is>
          <t>GRANEL</t>
        </is>
      </c>
      <c r="H210" s="5" t="inlineStr">
        <is>
          <t>PANDURATA</t>
        </is>
      </c>
      <c r="I210" s="5" t="inlineStr">
        <is>
          <t>TON</t>
        </is>
      </c>
      <c r="J210" s="6" t="n">
        <v>27.02</v>
      </c>
      <c r="K210" s="6" t="n">
        <v>27.02</v>
      </c>
      <c r="L210" s="7">
        <f>IF(OR(D210="",N(J210)=0),"",MIN(1,N(K210)/J210))</f>
        <v/>
      </c>
      <c r="M210" s="5" t="inlineStr">
        <is>
          <t>FATURADO</t>
        </is>
      </c>
      <c r="N210" s="5" t="inlineStr">
        <is>
          <t>REALIZADO</t>
        </is>
      </c>
      <c r="O210" s="5" t="inlineStr">
        <is>
          <t>JSL</t>
        </is>
      </c>
      <c r="P210" s="5" t="n"/>
      <c r="Q210" s="5" t="n"/>
      <c r="R210" s="4" t="n"/>
      <c r="S210" s="4" t="n"/>
      <c r="T210" s="5" t="inlineStr">
        <is>
          <t>LIBERADO</t>
        </is>
      </c>
      <c r="U210" s="8">
        <f>IF(AND(V210=1,D210&lt;&gt;""),IF(D210&gt;=corte,TODAY()-D210,""),"")</f>
        <v/>
      </c>
      <c r="V210" s="8">
        <f>IF(D210="",0,IF(OR(AND(P210&lt;&gt;"",S210=""),AND(N(J210)&gt;0,N(K210)&lt;J210),OR(M210="PENDENTE",M210="PARCIAL"),OR(N210="PENDENTE",N210="PARCIAL")),1,0))</f>
        <v/>
      </c>
      <c r="W210" s="8">
        <f>IF(AND(V210=1,D210&lt;&gt;""),IF(D210&gt;=corte,(B210="CRÍTICO")*1E9+(100000-D210)*10000+10000-ROW(),""),"")</f>
        <v/>
      </c>
      <c r="X210" s="8">
        <f>IF(AND(V210=1,D210=pas_data,E210=pas_turno),10000-ROW(),"")</f>
        <v/>
      </c>
    </row>
    <row r="211">
      <c r="A211" s="3">
        <f>IF(D211="","","TT-"&amp;TEXT(ROW()-1,"00000"))</f>
        <v/>
      </c>
      <c r="B211" s="3">
        <f>IF(D211="","",IF(V211=0,"CONCLUÍDO",IF(D211&lt;corte,"HISTÓRICO",IF(OR(AND(ISNUMBER(R211),R211&lt;TODAY()),AND(OR(N211="PENDENTE",N211="PARCIAL"),D211&lt;TODAY()-1)),"CRÍTICO",IF(OR(AND(P211&lt;&gt;"",S211=""),AND(N211="REALIZADO",M211="PENDENTE"),AND(ISNUMBER(R211),R211=TODAY())),"ATENÇÃO",IF(N(K211)=0,"PENDENTE","EM ANDAMENTO"))))))</f>
        <v/>
      </c>
      <c r="C211" s="3">
        <f>IF(D211="","",IF(V211=0,"🟢 OK",IF(D211&lt;corte,"⚪ HISTÓRICO (sem baixa)",IF(AND(ISNUMBER(R211),R211&lt;TODAY()),"🔴 PRAZO VENCIDO",IF(AND(OR(N211="PENDENTE",N211="PARCIAL"),D211&lt;TODAY()-1),"🔴 EMBARQUE ATRASADO",IF(AND(N211="REALIZADO",M211="PENDENTE"),"🟡 EMBARCADO SEM FATURAR",IF(AND(P211&lt;&gt;"",S211="",OR(Q211="",R211="")),"🟡 PENDÊNCIA SEM RESPONSÁVEL/PRAZO",IF(AND(ISNUMBER(R211),R211=TODAY()),"🟡 VENCE HOJE",IF(AND(P211&lt;&gt;"",S211=""),"🟡 PENDÊNCIA ABERTA",IF(AND(N(J211)&gt;0,N(K211)&lt;J211),"🟡 FALTA EXECUTAR",IF(OR(M211="PENDENTE",M211="PARCIAL"),"🟡 FATURAMENTO PENDENTE","🟡 EMBARQUE PENDENTE")))))))))))</f>
        <v/>
      </c>
      <c r="D211" s="4" t="n">
        <v>46233</v>
      </c>
      <c r="E211" s="5" t="inlineStr">
        <is>
          <t>C</t>
        </is>
      </c>
      <c r="F211" s="5" t="inlineStr">
        <is>
          <t>ADIB</t>
        </is>
      </c>
      <c r="G211" s="5" t="inlineStr">
        <is>
          <t>CACAU</t>
        </is>
      </c>
      <c r="H211" s="5" t="inlineStr">
        <is>
          <t>CACAU BR15</t>
        </is>
      </c>
      <c r="I211" s="5" t="inlineStr">
        <is>
          <t>TON</t>
        </is>
      </c>
      <c r="J211" s="6" t="n">
        <v>12.945</v>
      </c>
      <c r="K211" s="6" t="n">
        <v>12.945</v>
      </c>
      <c r="L211" s="7">
        <f>IF(OR(D211="",N(J211)=0),"",MIN(1,N(K211)/J211))</f>
        <v/>
      </c>
      <c r="M211" s="5" t="inlineStr">
        <is>
          <t>FATURADO</t>
        </is>
      </c>
      <c r="N211" s="5" t="inlineStr">
        <is>
          <t>REALIZADO</t>
        </is>
      </c>
      <c r="O211" s="5" t="inlineStr">
        <is>
          <t>SMARTLOG</t>
        </is>
      </c>
      <c r="P211" s="5" t="n"/>
      <c r="Q211" s="5" t="n"/>
      <c r="R211" s="4" t="n"/>
      <c r="S211" s="4" t="n"/>
      <c r="T211" s="5" t="inlineStr">
        <is>
          <t>CACAU BR15 - SEPARADO E FATURADO [MIGRAÇÃO: programação original: CACAU BR15]</t>
        </is>
      </c>
      <c r="U211" s="8">
        <f>IF(AND(V211=1,D211&lt;&gt;""),IF(D211&gt;=corte,TODAY()-D211,""),"")</f>
        <v/>
      </c>
      <c r="V211" s="8">
        <f>IF(D211="",0,IF(OR(AND(P211&lt;&gt;"",S211=""),AND(N(J211)&gt;0,N(K211)&lt;J211),OR(M211="PENDENTE",M211="PARCIAL"),OR(N211="PENDENTE",N211="PARCIAL")),1,0))</f>
        <v/>
      </c>
      <c r="W211" s="8">
        <f>IF(AND(V211=1,D211&lt;&gt;""),IF(D211&gt;=corte,(B211="CRÍTICO")*1E9+(100000-D211)*10000+10000-ROW(),""),"")</f>
        <v/>
      </c>
      <c r="X211" s="8">
        <f>IF(AND(V211=1,D211=pas_data,E211=pas_turno),10000-ROW(),"")</f>
        <v/>
      </c>
    </row>
    <row r="212">
      <c r="A212" s="3">
        <f>IF(D212="","","TT-"&amp;TEXT(ROW()-1,"00000"))</f>
        <v/>
      </c>
      <c r="B212" s="3">
        <f>IF(D212="","",IF(V212=0,"CONCLUÍDO",IF(D212&lt;corte,"HISTÓRICO",IF(OR(AND(ISNUMBER(R212),R212&lt;TODAY()),AND(OR(N212="PENDENTE",N212="PARCIAL"),D212&lt;TODAY()-1)),"CRÍTICO",IF(OR(AND(P212&lt;&gt;"",S212=""),AND(N212="REALIZADO",M212="PENDENTE"),AND(ISNUMBER(R212),R212=TODAY())),"ATENÇÃO",IF(N(K212)=0,"PENDENTE","EM ANDAMENTO"))))))</f>
        <v/>
      </c>
      <c r="C212" s="3">
        <f>IF(D212="","",IF(V212=0,"🟢 OK",IF(D212&lt;corte,"⚪ HISTÓRICO (sem baixa)",IF(AND(ISNUMBER(R212),R212&lt;TODAY()),"🔴 PRAZO VENCIDO",IF(AND(OR(N212="PENDENTE",N212="PARCIAL"),D212&lt;TODAY()-1),"🔴 EMBARQUE ATRASADO",IF(AND(N212="REALIZADO",M212="PENDENTE"),"🟡 EMBARCADO SEM FATURAR",IF(AND(P212&lt;&gt;"",S212="",OR(Q212="",R212="")),"🟡 PENDÊNCIA SEM RESPONSÁVEL/PRAZO",IF(AND(ISNUMBER(R212),R212=TODAY()),"🟡 VENCE HOJE",IF(AND(P212&lt;&gt;"",S212=""),"🟡 PENDÊNCIA ABERTA",IF(AND(N(J212)&gt;0,N(K212)&lt;J212),"🟡 FALTA EXECUTAR",IF(OR(M212="PENDENTE",M212="PARCIAL"),"🟡 FATURAMENTO PENDENTE","🟡 EMBARQUE PENDENTE")))))))))))</f>
        <v/>
      </c>
      <c r="D212" s="4" t="n">
        <v>46233</v>
      </c>
      <c r="E212" s="5" t="inlineStr">
        <is>
          <t>C</t>
        </is>
      </c>
      <c r="F212" s="5" t="inlineStr">
        <is>
          <t>ADIB</t>
        </is>
      </c>
      <c r="G212" s="5" t="inlineStr">
        <is>
          <t>RECEBIMENTO</t>
        </is>
      </c>
      <c r="H212" s="5" t="inlineStr">
        <is>
          <t>RETORNO D2</t>
        </is>
      </c>
      <c r="I212" s="5" t="inlineStr">
        <is>
          <t>PALETE</t>
        </is>
      </c>
      <c r="J212" s="6" t="n">
        <v>30</v>
      </c>
      <c r="K212" s="6" t="n">
        <v>30</v>
      </c>
      <c r="L212" s="7">
        <f>IF(OR(D212="",N(J212)=0),"",MIN(1,N(K212)/J212))</f>
        <v/>
      </c>
      <c r="M212" s="5" t="inlineStr">
        <is>
          <t>FATURADO</t>
        </is>
      </c>
      <c r="N212" s="5" t="inlineStr">
        <is>
          <t>REALIZADO</t>
        </is>
      </c>
      <c r="O212" s="5" t="inlineStr">
        <is>
          <t>SMARTLOG</t>
        </is>
      </c>
      <c r="P212" s="5" t="n"/>
      <c r="Q212" s="5" t="n"/>
      <c r="R212" s="4" t="n"/>
      <c r="S212" s="4" t="n"/>
      <c r="T212" s="5" t="inlineStr">
        <is>
          <t>RETORNO D2 - IMPORTADO - ENTRADA REALIZADA [MIGRAÇÃO: programação original: RETORNO D2]</t>
        </is>
      </c>
      <c r="U212" s="8">
        <f>IF(AND(V212=1,D212&lt;&gt;""),IF(D212&gt;=corte,TODAY()-D212,""),"")</f>
        <v/>
      </c>
      <c r="V212" s="8">
        <f>IF(D212="",0,IF(OR(AND(P212&lt;&gt;"",S212=""),AND(N(J212)&gt;0,N(K212)&lt;J212),OR(M212="PENDENTE",M212="PARCIAL"),OR(N212="PENDENTE",N212="PARCIAL")),1,0))</f>
        <v/>
      </c>
      <c r="W212" s="8">
        <f>IF(AND(V212=1,D212&lt;&gt;""),IF(D212&gt;=corte,(B212="CRÍTICO")*1E9+(100000-D212)*10000+10000-ROW(),""),"")</f>
        <v/>
      </c>
      <c r="X212" s="8">
        <f>IF(AND(V212=1,D212=pas_data,E212=pas_turno),10000-ROW(),"")</f>
        <v/>
      </c>
    </row>
    <row r="213">
      <c r="A213" s="3">
        <f>IF(D213="","","TT-"&amp;TEXT(ROW()-1,"00000"))</f>
        <v/>
      </c>
      <c r="B213" s="3">
        <f>IF(D213="","",IF(V213=0,"CONCLUÍDO",IF(D213&lt;corte,"HISTÓRICO",IF(OR(AND(ISNUMBER(R213),R213&lt;TODAY()),AND(OR(N213="PENDENTE",N213="PARCIAL"),D213&lt;TODAY()-1)),"CRÍTICO",IF(OR(AND(P213&lt;&gt;"",S213=""),AND(N213="REALIZADO",M213="PENDENTE"),AND(ISNUMBER(R213),R213=TODAY())),"ATENÇÃO",IF(N(K213)=0,"PENDENTE","EM ANDAMENTO"))))))</f>
        <v/>
      </c>
      <c r="C213" s="3">
        <f>IF(D213="","",IF(V213=0,"🟢 OK",IF(D213&lt;corte,"⚪ HISTÓRICO (sem baixa)",IF(AND(ISNUMBER(R213),R213&lt;TODAY()),"🔴 PRAZO VENCIDO",IF(AND(OR(N213="PENDENTE",N213="PARCIAL"),D213&lt;TODAY()-1),"🔴 EMBARQUE ATRASADO",IF(AND(N213="REALIZADO",M213="PENDENTE"),"🟡 EMBARCADO SEM FATURAR",IF(AND(P213&lt;&gt;"",S213="",OR(Q213="",R213="")),"🟡 PENDÊNCIA SEM RESPONSÁVEL/PRAZO",IF(AND(ISNUMBER(R213),R213=TODAY()),"🟡 VENCE HOJE",IF(AND(P213&lt;&gt;"",S213=""),"🟡 PENDÊNCIA ABERTA",IF(AND(N(J213)&gt;0,N(K213)&lt;J213),"🟡 FALTA EXECUTAR",IF(OR(M213="PENDENTE",M213="PARCIAL"),"🟡 FATURAMENTO PENDENTE","🟡 EMBARQUE PENDENTE")))))))))))</f>
        <v/>
      </c>
      <c r="D213" s="4" t="n">
        <v>46233</v>
      </c>
      <c r="E213" s="5" t="inlineStr">
        <is>
          <t>D</t>
        </is>
      </c>
      <c r="F213" s="5" t="inlineStr">
        <is>
          <t>ADAO</t>
        </is>
      </c>
      <c r="G213" s="5" t="inlineStr">
        <is>
          <t>FOB</t>
        </is>
      </c>
      <c r="H213" s="5" t="inlineStr">
        <is>
          <t>DISCAMPABAMBA</t>
        </is>
      </c>
      <c r="I213" s="5" t="inlineStr">
        <is>
          <t>TON</t>
        </is>
      </c>
      <c r="J213" s="6" t="n">
        <v>9.052</v>
      </c>
      <c r="K213" s="6" t="n"/>
      <c r="L213" s="7">
        <f>IF(OR(D213="",N(J213)=0),"",MIN(1,N(K213)/J213))</f>
        <v/>
      </c>
      <c r="M213" s="5" t="inlineStr">
        <is>
          <t>PENDENTE</t>
        </is>
      </c>
      <c r="N213" s="5" t="inlineStr">
        <is>
          <t>PENDENTE</t>
        </is>
      </c>
      <c r="O213" s="5" t="inlineStr">
        <is>
          <t>PRÓPRIO</t>
        </is>
      </c>
      <c r="P213" s="5" t="inlineStr">
        <is>
          <t>FALTA SEPARARA - PENDENCIA PALETE NIVÉL G</t>
        </is>
      </c>
      <c r="Q213" s="5" t="n"/>
      <c r="R213" s="4" t="n"/>
      <c r="S213" s="4" t="n"/>
      <c r="T213" s="5" t="inlineStr">
        <is>
          <t>FALTA SEPARARA - PENDENCIA PALETE NIVÉL G</t>
        </is>
      </c>
      <c r="U213" s="8">
        <f>IF(AND(V213=1,D213&lt;&gt;""),IF(D213&gt;=corte,TODAY()-D213,""),"")</f>
        <v/>
      </c>
      <c r="V213" s="8">
        <f>IF(D213="",0,IF(OR(AND(P213&lt;&gt;"",S213=""),AND(N(J213)&gt;0,N(K213)&lt;J213),OR(M213="PENDENTE",M213="PARCIAL"),OR(N213="PENDENTE",N213="PARCIAL")),1,0))</f>
        <v/>
      </c>
      <c r="W213" s="8">
        <f>IF(AND(V213=1,D213&lt;&gt;""),IF(D213&gt;=corte,(B213="CRÍTICO")*1E9+(100000-D213)*10000+10000-ROW(),""),"")</f>
        <v/>
      </c>
      <c r="X213" s="8">
        <f>IF(AND(V213=1,D213=pas_data,E213=pas_turno),10000-ROW(),"")</f>
        <v/>
      </c>
    </row>
    <row r="214">
      <c r="A214" s="3">
        <f>IF(D214="","","TT-"&amp;TEXT(ROW()-1,"00000"))</f>
        <v/>
      </c>
      <c r="B214" s="3">
        <f>IF(D214="","",IF(V214=0,"CONCLUÍDO",IF(D214&lt;corte,"HISTÓRICO",IF(OR(AND(ISNUMBER(R214),R214&lt;TODAY()),AND(OR(N214="PENDENTE",N214="PARCIAL"),D214&lt;TODAY()-1)),"CRÍTICO",IF(OR(AND(P214&lt;&gt;"",S214=""),AND(N214="REALIZADO",M214="PENDENTE"),AND(ISNUMBER(R214),R214=TODAY())),"ATENÇÃO",IF(N(K214)=0,"PENDENTE","EM ANDAMENTO"))))))</f>
        <v/>
      </c>
      <c r="C214" s="3">
        <f>IF(D214="","",IF(V214=0,"🟢 OK",IF(D214&lt;corte,"⚪ HISTÓRICO (sem baixa)",IF(AND(ISNUMBER(R214),R214&lt;TODAY()),"🔴 PRAZO VENCIDO",IF(AND(OR(N214="PENDENTE",N214="PARCIAL"),D214&lt;TODAY()-1),"🔴 EMBARQUE ATRASADO",IF(AND(N214="REALIZADO",M214="PENDENTE"),"🟡 EMBARCADO SEM FATURAR",IF(AND(P214&lt;&gt;"",S214="",OR(Q214="",R214="")),"🟡 PENDÊNCIA SEM RESPONSÁVEL/PRAZO",IF(AND(ISNUMBER(R214),R214=TODAY()),"🟡 VENCE HOJE",IF(AND(P214&lt;&gt;"",S214=""),"🟡 PENDÊNCIA ABERTA",IF(AND(N(J214)&gt;0,N(K214)&lt;J214),"🟡 FALTA EXECUTAR",IF(OR(M214="PENDENTE",M214="PARCIAL"),"🟡 FATURAMENTO PENDENTE","🟡 EMBARQUE PENDENTE")))))))))))</f>
        <v/>
      </c>
      <c r="D214" s="4" t="n">
        <v>46233</v>
      </c>
      <c r="E214" s="5" t="inlineStr">
        <is>
          <t>D</t>
        </is>
      </c>
      <c r="F214" s="5" t="inlineStr">
        <is>
          <t>ADAO</t>
        </is>
      </c>
      <c r="G214" s="5" t="inlineStr">
        <is>
          <t>FOB</t>
        </is>
      </c>
      <c r="H214" s="5" t="inlineStr">
        <is>
          <t>RFC / MIX TUDO</t>
        </is>
      </c>
      <c r="I214" s="5" t="inlineStr">
        <is>
          <t>TON</t>
        </is>
      </c>
      <c r="J214" s="6" t="n">
        <v>18.395</v>
      </c>
      <c r="K214" s="6" t="n">
        <v>18.395</v>
      </c>
      <c r="L214" s="7">
        <f>IF(OR(D214="",N(J214)=0),"",MIN(1,N(K214)/J214))</f>
        <v/>
      </c>
      <c r="M214" s="5" t="inlineStr">
        <is>
          <t>PENDENTE</t>
        </is>
      </c>
      <c r="N214" s="5" t="n"/>
      <c r="O214" s="5" t="n"/>
      <c r="P214" s="5" t="inlineStr">
        <is>
          <t>FALTA SEPARARA - PENDENCIA PALETE NIVÉL G</t>
        </is>
      </c>
      <c r="Q214" s="5" t="n"/>
      <c r="R214" s="4" t="n"/>
      <c r="S214" s="4" t="n"/>
      <c r="T214" s="5" t="inlineStr">
        <is>
          <t>FALTA SEPARARA - PENDENCIA PALETE NIVÉL G</t>
        </is>
      </c>
      <c r="U214" s="8">
        <f>IF(AND(V214=1,D214&lt;&gt;""),IF(D214&gt;=corte,TODAY()-D214,""),"")</f>
        <v/>
      </c>
      <c r="V214" s="8">
        <f>IF(D214="",0,IF(OR(AND(P214&lt;&gt;"",S214=""),AND(N(J214)&gt;0,N(K214)&lt;J214),OR(M214="PENDENTE",M214="PARCIAL"),OR(N214="PENDENTE",N214="PARCIAL")),1,0))</f>
        <v/>
      </c>
      <c r="W214" s="8">
        <f>IF(AND(V214=1,D214&lt;&gt;""),IF(D214&gt;=corte,(B214="CRÍTICO")*1E9+(100000-D214)*10000+10000-ROW(),""),"")</f>
        <v/>
      </c>
      <c r="X214" s="8">
        <f>IF(AND(V214=1,D214=pas_data,E214=pas_turno),10000-ROW(),"")</f>
        <v/>
      </c>
    </row>
    <row r="215">
      <c r="A215" s="3">
        <f>IF(D215="","","TT-"&amp;TEXT(ROW()-1,"00000"))</f>
        <v/>
      </c>
      <c r="B215" s="3">
        <f>IF(D215="","",IF(V215=0,"CONCLUÍDO",IF(D215&lt;corte,"HISTÓRICO",IF(OR(AND(ISNUMBER(R215),R215&lt;TODAY()),AND(OR(N215="PENDENTE",N215="PARCIAL"),D215&lt;TODAY()-1)),"CRÍTICO",IF(OR(AND(P215&lt;&gt;"",S215=""),AND(N215="REALIZADO",M215="PENDENTE"),AND(ISNUMBER(R215),R215=TODAY())),"ATENÇÃO",IF(N(K215)=0,"PENDENTE","EM ANDAMENTO"))))))</f>
        <v/>
      </c>
      <c r="C215" s="3">
        <f>IF(D215="","",IF(V215=0,"🟢 OK",IF(D215&lt;corte,"⚪ HISTÓRICO (sem baixa)",IF(AND(ISNUMBER(R215),R215&lt;TODAY()),"🔴 PRAZO VENCIDO",IF(AND(OR(N215="PENDENTE",N215="PARCIAL"),D215&lt;TODAY()-1),"🔴 EMBARQUE ATRASADO",IF(AND(N215="REALIZADO",M215="PENDENTE"),"🟡 EMBARCADO SEM FATURAR",IF(AND(P215&lt;&gt;"",S215="",OR(Q215="",R215="")),"🟡 PENDÊNCIA SEM RESPONSÁVEL/PRAZO",IF(AND(ISNUMBER(R215),R215=TODAY()),"🟡 VENCE HOJE",IF(AND(P215&lt;&gt;"",S215=""),"🟡 PENDÊNCIA ABERTA",IF(AND(N(J215)&gt;0,N(K215)&lt;J215),"🟡 FALTA EXECUTAR",IF(OR(M215="PENDENTE",M215="PARCIAL"),"🟡 FATURAMENTO PENDENTE","🟡 EMBARQUE PENDENTE")))))))))))</f>
        <v/>
      </c>
      <c r="D215" s="4" t="n">
        <v>46233</v>
      </c>
      <c r="E215" s="5" t="inlineStr">
        <is>
          <t>D</t>
        </is>
      </c>
      <c r="F215" s="5" t="inlineStr">
        <is>
          <t>ADAO</t>
        </is>
      </c>
      <c r="G215" s="5" t="inlineStr">
        <is>
          <t>FM</t>
        </is>
      </c>
      <c r="H215" s="5" t="inlineStr">
        <is>
          <t>IBE</t>
        </is>
      </c>
      <c r="I215" s="5" t="inlineStr">
        <is>
          <t>TON</t>
        </is>
      </c>
      <c r="J215" s="6" t="n">
        <v>28.054</v>
      </c>
      <c r="K215" s="6" t="n">
        <v>28.054</v>
      </c>
      <c r="L215" s="7">
        <f>IF(OR(D215="",N(J215)=0),"",MIN(1,N(K215)/J215))</f>
        <v/>
      </c>
      <c r="M215" s="5" t="inlineStr">
        <is>
          <t>FATURADO</t>
        </is>
      </c>
      <c r="N215" s="5" t="inlineStr">
        <is>
          <t>PENDENTE</t>
        </is>
      </c>
      <c r="O215" s="5" t="inlineStr">
        <is>
          <t>SPEEDYLOG</t>
        </is>
      </c>
      <c r="P215" s="5" t="n"/>
      <c r="Q215" s="5" t="n"/>
      <c r="R215" s="4" t="n"/>
      <c r="S215" s="4" t="n"/>
      <c r="T215" s="5" t="n"/>
      <c r="U215" s="8">
        <f>IF(AND(V215=1,D215&lt;&gt;""),IF(D215&gt;=corte,TODAY()-D215,""),"")</f>
        <v/>
      </c>
      <c r="V215" s="8">
        <f>IF(D215="",0,IF(OR(AND(P215&lt;&gt;"",S215=""),AND(N(J215)&gt;0,N(K215)&lt;J215),OR(M215="PENDENTE",M215="PARCIAL"),OR(N215="PENDENTE",N215="PARCIAL")),1,0))</f>
        <v/>
      </c>
      <c r="W215" s="8">
        <f>IF(AND(V215=1,D215&lt;&gt;""),IF(D215&gt;=corte,(B215="CRÍTICO")*1E9+(100000-D215)*10000+10000-ROW(),""),"")</f>
        <v/>
      </c>
      <c r="X215" s="8">
        <f>IF(AND(V215=1,D215=pas_data,E215=pas_turno),10000-ROW(),"")</f>
        <v/>
      </c>
    </row>
    <row r="216">
      <c r="A216" s="3">
        <f>IF(D216="","","TT-"&amp;TEXT(ROW()-1,"00000"))</f>
        <v/>
      </c>
      <c r="B216" s="3">
        <f>IF(D216="","",IF(V216=0,"CONCLUÍDO",IF(D216&lt;corte,"HISTÓRICO",IF(OR(AND(ISNUMBER(R216),R216&lt;TODAY()),AND(OR(N216="PENDENTE",N216="PARCIAL"),D216&lt;TODAY()-1)),"CRÍTICO",IF(OR(AND(P216&lt;&gt;"",S216=""),AND(N216="REALIZADO",M216="PENDENTE"),AND(ISNUMBER(R216),R216=TODAY())),"ATENÇÃO",IF(N(K216)=0,"PENDENTE","EM ANDAMENTO"))))))</f>
        <v/>
      </c>
      <c r="C216" s="3">
        <f>IF(D216="","",IF(V216=0,"🟢 OK",IF(D216&lt;corte,"⚪ HISTÓRICO (sem baixa)",IF(AND(ISNUMBER(R216),R216&lt;TODAY()),"🔴 PRAZO VENCIDO",IF(AND(OR(N216="PENDENTE",N216="PARCIAL"),D216&lt;TODAY()-1),"🔴 EMBARQUE ATRASADO",IF(AND(N216="REALIZADO",M216="PENDENTE"),"🟡 EMBARCADO SEM FATURAR",IF(AND(P216&lt;&gt;"",S216="",OR(Q216="",R216="")),"🟡 PENDÊNCIA SEM RESPONSÁVEL/PRAZO",IF(AND(ISNUMBER(R216),R216=TODAY()),"🟡 VENCE HOJE",IF(AND(P216&lt;&gt;"",S216=""),"🟡 PENDÊNCIA ABERTA",IF(AND(N(J216)&gt;0,N(K216)&lt;J216),"🟡 FALTA EXECUTAR",IF(OR(M216="PENDENTE",M216="PARCIAL"),"🟡 FATURAMENTO PENDENTE","🟡 EMBARQUE PENDENTE")))))))))))</f>
        <v/>
      </c>
      <c r="D216" s="4" t="n">
        <v>46233</v>
      </c>
      <c r="E216" s="5" t="inlineStr">
        <is>
          <t>D</t>
        </is>
      </c>
      <c r="F216" s="5" t="inlineStr">
        <is>
          <t>ADAO</t>
        </is>
      </c>
      <c r="G216" s="5" t="inlineStr">
        <is>
          <t>FM</t>
        </is>
      </c>
      <c r="H216" s="5" t="inlineStr">
        <is>
          <t>PANDURATA</t>
        </is>
      </c>
      <c r="I216" s="5" t="inlineStr">
        <is>
          <t>TON</t>
        </is>
      </c>
      <c r="J216" s="6" t="n">
        <v>28.054</v>
      </c>
      <c r="K216" s="6" t="n">
        <v>28.054</v>
      </c>
      <c r="L216" s="7">
        <f>IF(OR(D216="",N(J216)=0),"",MIN(1,N(K216)/J216))</f>
        <v/>
      </c>
      <c r="M216" s="5" t="inlineStr">
        <is>
          <t>FATURADO</t>
        </is>
      </c>
      <c r="N216" s="5" t="n"/>
      <c r="O216" s="5" t="inlineStr">
        <is>
          <t>SMARTLOG</t>
        </is>
      </c>
      <c r="P216" s="5" t="n"/>
      <c r="Q216" s="5" t="n"/>
      <c r="R216" s="4" t="n"/>
      <c r="S216" s="4" t="n"/>
      <c r="T216" s="5" t="n"/>
      <c r="U216" s="8">
        <f>IF(AND(V216=1,D216&lt;&gt;""),IF(D216&gt;=corte,TODAY()-D216,""),"")</f>
        <v/>
      </c>
      <c r="V216" s="8">
        <f>IF(D216="",0,IF(OR(AND(P216&lt;&gt;"",S216=""),AND(N(J216)&gt;0,N(K216)&lt;J216),OR(M216="PENDENTE",M216="PARCIAL"),OR(N216="PENDENTE",N216="PARCIAL")),1,0))</f>
        <v/>
      </c>
      <c r="W216" s="8">
        <f>IF(AND(V216=1,D216&lt;&gt;""),IF(D216&gt;=corte,(B216="CRÍTICO")*1E9+(100000-D216)*10000+10000-ROW(),""),"")</f>
        <v/>
      </c>
      <c r="X216" s="8">
        <f>IF(AND(V216=1,D216=pas_data,E216=pas_turno),10000-ROW(),"")</f>
        <v/>
      </c>
    </row>
    <row r="217">
      <c r="A217" s="3">
        <f>IF(D217="","","TT-"&amp;TEXT(ROW()-1,"00000"))</f>
        <v/>
      </c>
      <c r="B217" s="3">
        <f>IF(D217="","",IF(V217=0,"CONCLUÍDO",IF(D217&lt;corte,"HISTÓRICO",IF(OR(AND(ISNUMBER(R217),R217&lt;TODAY()),AND(OR(N217="PENDENTE",N217="PARCIAL"),D217&lt;TODAY()-1)),"CRÍTICO",IF(OR(AND(P217&lt;&gt;"",S217=""),AND(N217="REALIZADO",M217="PENDENTE"),AND(ISNUMBER(R217),R217=TODAY())),"ATENÇÃO",IF(N(K217)=0,"PENDENTE","EM ANDAMENTO"))))))</f>
        <v/>
      </c>
      <c r="C217" s="3">
        <f>IF(D217="","",IF(V217=0,"🟢 OK",IF(D217&lt;corte,"⚪ HISTÓRICO (sem baixa)",IF(AND(ISNUMBER(R217),R217&lt;TODAY()),"🔴 PRAZO VENCIDO",IF(AND(OR(N217="PENDENTE",N217="PARCIAL"),D217&lt;TODAY()-1),"🔴 EMBARQUE ATRASADO",IF(AND(N217="REALIZADO",M217="PENDENTE"),"🟡 EMBARCADO SEM FATURAR",IF(AND(P217&lt;&gt;"",S217="",OR(Q217="",R217="")),"🟡 PENDÊNCIA SEM RESPONSÁVEL/PRAZO",IF(AND(ISNUMBER(R217),R217=TODAY()),"🟡 VENCE HOJE",IF(AND(P217&lt;&gt;"",S217=""),"🟡 PENDÊNCIA ABERTA",IF(AND(N(J217)&gt;0,N(K217)&lt;J217),"🟡 FALTA EXECUTAR",IF(OR(M217="PENDENTE",M217="PARCIAL"),"🟡 FATURAMENTO PENDENTE","🟡 EMBARQUE PENDENTE")))))))))))</f>
        <v/>
      </c>
      <c r="D217" s="4" t="n">
        <v>46233</v>
      </c>
      <c r="E217" s="5" t="inlineStr">
        <is>
          <t>D</t>
        </is>
      </c>
      <c r="F217" s="5" t="inlineStr">
        <is>
          <t>ADAO</t>
        </is>
      </c>
      <c r="G217" s="5" t="inlineStr">
        <is>
          <t>FM</t>
        </is>
      </c>
      <c r="H217" s="5" t="inlineStr">
        <is>
          <t>CAPRICCHE SA</t>
        </is>
      </c>
      <c r="I217" s="5" t="inlineStr">
        <is>
          <t>TON</t>
        </is>
      </c>
      <c r="J217" s="6" t="n">
        <v>13.518</v>
      </c>
      <c r="K217" s="6" t="n">
        <v>13.518</v>
      </c>
      <c r="L217" s="7">
        <f>IF(OR(D217="",N(J217)=0),"",MIN(1,N(K217)/J217))</f>
        <v/>
      </c>
      <c r="M217" s="5" t="inlineStr">
        <is>
          <t>FATURADO</t>
        </is>
      </c>
      <c r="N217" s="5" t="n"/>
      <c r="O217" s="5" t="inlineStr">
        <is>
          <t>SPEEDYLOG</t>
        </is>
      </c>
      <c r="P217" s="5" t="n"/>
      <c r="Q217" s="5" t="n"/>
      <c r="R217" s="4" t="n"/>
      <c r="S217" s="4" t="n"/>
      <c r="T217" s="5" t="n"/>
      <c r="U217" s="8">
        <f>IF(AND(V217=1,D217&lt;&gt;""),IF(D217&gt;=corte,TODAY()-D217,""),"")</f>
        <v/>
      </c>
      <c r="V217" s="8">
        <f>IF(D217="",0,IF(OR(AND(P217&lt;&gt;"",S217=""),AND(N(J217)&gt;0,N(K217)&lt;J217),OR(M217="PENDENTE",M217="PARCIAL"),OR(N217="PENDENTE",N217="PARCIAL")),1,0))</f>
        <v/>
      </c>
      <c r="W217" s="8">
        <f>IF(AND(V217=1,D217&lt;&gt;""),IF(D217&gt;=corte,(B217="CRÍTICO")*1E9+(100000-D217)*10000+10000-ROW(),""),"")</f>
        <v/>
      </c>
      <c r="X217" s="8">
        <f>IF(AND(V217=1,D217=pas_data,E217=pas_turno),10000-ROW(),"")</f>
        <v/>
      </c>
    </row>
    <row r="218">
      <c r="A218" s="3">
        <f>IF(D218="","","TT-"&amp;TEXT(ROW()-1,"00000"))</f>
        <v/>
      </c>
      <c r="B218" s="3">
        <f>IF(D218="","",IF(V218=0,"CONCLUÍDO",IF(D218&lt;corte,"HISTÓRICO",IF(OR(AND(ISNUMBER(R218),R218&lt;TODAY()),AND(OR(N218="PENDENTE",N218="PARCIAL"),D218&lt;TODAY()-1)),"CRÍTICO",IF(OR(AND(P218&lt;&gt;"",S218=""),AND(N218="REALIZADO",M218="PENDENTE"),AND(ISNUMBER(R218),R218=TODAY())),"ATENÇÃO",IF(N(K218)=0,"PENDENTE","EM ANDAMENTO"))))))</f>
        <v/>
      </c>
      <c r="C218" s="3">
        <f>IF(D218="","",IF(V218=0,"🟢 OK",IF(D218&lt;corte,"⚪ HISTÓRICO (sem baixa)",IF(AND(ISNUMBER(R218),R218&lt;TODAY()),"🔴 PRAZO VENCIDO",IF(AND(OR(N218="PENDENTE",N218="PARCIAL"),D218&lt;TODAY()-1),"🔴 EMBARQUE ATRASADO",IF(AND(N218="REALIZADO",M218="PENDENTE"),"🟡 EMBARCADO SEM FATURAR",IF(AND(P218&lt;&gt;"",S218="",OR(Q218="",R218="")),"🟡 PENDÊNCIA SEM RESPONSÁVEL/PRAZO",IF(AND(ISNUMBER(R218),R218=TODAY()),"🟡 VENCE HOJE",IF(AND(P218&lt;&gt;"",S218=""),"🟡 PENDÊNCIA ABERTA",IF(AND(N(J218)&gt;0,N(K218)&lt;J218),"🟡 FALTA EXECUTAR",IF(OR(M218="PENDENTE",M218="PARCIAL"),"🟡 FATURAMENTO PENDENTE","🟡 EMBARQUE PENDENTE")))))))))))</f>
        <v/>
      </c>
      <c r="D218" s="4" t="n">
        <v>46233</v>
      </c>
      <c r="E218" s="5" t="inlineStr">
        <is>
          <t>D</t>
        </is>
      </c>
      <c r="F218" s="5" t="inlineStr">
        <is>
          <t>ADAO</t>
        </is>
      </c>
      <c r="G218" s="5" t="inlineStr">
        <is>
          <t>FM</t>
        </is>
      </c>
      <c r="H218" s="5" t="inlineStr">
        <is>
          <t>PANDURATA</t>
        </is>
      </c>
      <c r="I218" s="5" t="inlineStr">
        <is>
          <t>TON</t>
        </is>
      </c>
      <c r="J218" s="6" t="n">
        <v>28.054</v>
      </c>
      <c r="K218" s="6" t="n">
        <v>28.054</v>
      </c>
      <c r="L218" s="7">
        <f>IF(OR(D218="",N(J218)=0),"",MIN(1,N(K218)/J218))</f>
        <v/>
      </c>
      <c r="M218" s="5" t="inlineStr">
        <is>
          <t>FATURADO</t>
        </is>
      </c>
      <c r="N218" s="5" t="inlineStr">
        <is>
          <t>REALIZADO</t>
        </is>
      </c>
      <c r="O218" s="5" t="inlineStr">
        <is>
          <t>SPEEDYLOG</t>
        </is>
      </c>
      <c r="P218" s="5" t="n"/>
      <c r="Q218" s="5" t="n"/>
      <c r="R218" s="4" t="n"/>
      <c r="S218" s="4" t="n"/>
      <c r="T218" s="5" t="n"/>
      <c r="U218" s="8">
        <f>IF(AND(V218=1,D218&lt;&gt;""),IF(D218&gt;=corte,TODAY()-D218,""),"")</f>
        <v/>
      </c>
      <c r="V218" s="8">
        <f>IF(D218="",0,IF(OR(AND(P218&lt;&gt;"",S218=""),AND(N(J218)&gt;0,N(K218)&lt;J218),OR(M218="PENDENTE",M218="PARCIAL"),OR(N218="PENDENTE",N218="PARCIAL")),1,0))</f>
        <v/>
      </c>
      <c r="W218" s="8">
        <f>IF(AND(V218=1,D218&lt;&gt;""),IF(D218&gt;=corte,(B218="CRÍTICO")*1E9+(100000-D218)*10000+10000-ROW(),""),"")</f>
        <v/>
      </c>
      <c r="X218" s="8">
        <f>IF(AND(V218=1,D218=pas_data,E218=pas_turno),10000-ROW(),"")</f>
        <v/>
      </c>
    </row>
    <row r="219">
      <c r="A219" s="3">
        <f>IF(D219="","","TT-"&amp;TEXT(ROW()-1,"00000"))</f>
        <v/>
      </c>
      <c r="B219" s="3">
        <f>IF(D219="","",IF(V219=0,"CONCLUÍDO",IF(D219&lt;corte,"HISTÓRICO",IF(OR(AND(ISNUMBER(R219),R219&lt;TODAY()),AND(OR(N219="PENDENTE",N219="PARCIAL"),D219&lt;TODAY()-1)),"CRÍTICO",IF(OR(AND(P219&lt;&gt;"",S219=""),AND(N219="REALIZADO",M219="PENDENTE"),AND(ISNUMBER(R219),R219=TODAY())),"ATENÇÃO",IF(N(K219)=0,"PENDENTE","EM ANDAMENTO"))))))</f>
        <v/>
      </c>
      <c r="C219" s="3">
        <f>IF(D219="","",IF(V219=0,"🟢 OK",IF(D219&lt;corte,"⚪ HISTÓRICO (sem baixa)",IF(AND(ISNUMBER(R219),R219&lt;TODAY()),"🔴 PRAZO VENCIDO",IF(AND(OR(N219="PENDENTE",N219="PARCIAL"),D219&lt;TODAY()-1),"🔴 EMBARQUE ATRASADO",IF(AND(N219="REALIZADO",M219="PENDENTE"),"🟡 EMBARCADO SEM FATURAR",IF(AND(P219&lt;&gt;"",S219="",OR(Q219="",R219="")),"🟡 PENDÊNCIA SEM RESPONSÁVEL/PRAZO",IF(AND(ISNUMBER(R219),R219=TODAY()),"🟡 VENCE HOJE",IF(AND(P219&lt;&gt;"",S219=""),"🟡 PENDÊNCIA ABERTA",IF(AND(N(J219)&gt;0,N(K219)&lt;J219),"🟡 FALTA EXECUTAR",IF(OR(M219="PENDENTE",M219="PARCIAL"),"🟡 FATURAMENTO PENDENTE","🟡 EMBARQUE PENDENTE")))))))))))</f>
        <v/>
      </c>
      <c r="D219" s="4" t="n">
        <v>46233</v>
      </c>
      <c r="E219" s="5" t="inlineStr">
        <is>
          <t>D</t>
        </is>
      </c>
      <c r="F219" s="5" t="inlineStr">
        <is>
          <t>ADAO</t>
        </is>
      </c>
      <c r="G219" s="5" t="inlineStr">
        <is>
          <t>FOB</t>
        </is>
      </c>
      <c r="H219" s="5" t="inlineStr">
        <is>
          <t>FOB</t>
        </is>
      </c>
      <c r="I219" s="5" t="inlineStr">
        <is>
          <t>TON</t>
        </is>
      </c>
      <c r="J219" s="6" t="n">
        <v>3.694</v>
      </c>
      <c r="K219" s="6" t="n">
        <v>3.694</v>
      </c>
      <c r="L219" s="7">
        <f>IF(OR(D219="",N(J219)=0),"",MIN(1,N(K219)/J219))</f>
        <v/>
      </c>
      <c r="M219" s="5" t="inlineStr">
        <is>
          <t>PENDENTE</t>
        </is>
      </c>
      <c r="N219" s="5" t="n"/>
      <c r="O219" s="5" t="inlineStr">
        <is>
          <t>PRÓPRIO</t>
        </is>
      </c>
      <c r="P219" s="5" t="n"/>
      <c r="Q219" s="5" t="n"/>
      <c r="R219" s="4" t="n"/>
      <c r="S219" s="4" t="n"/>
      <c r="T219" s="5" t="n"/>
      <c r="U219" s="8">
        <f>IF(AND(V219=1,D219&lt;&gt;""),IF(D219&gt;=corte,TODAY()-D219,""),"")</f>
        <v/>
      </c>
      <c r="V219" s="8">
        <f>IF(D219="",0,IF(OR(AND(P219&lt;&gt;"",S219=""),AND(N(J219)&gt;0,N(K219)&lt;J219),OR(M219="PENDENTE",M219="PARCIAL"),OR(N219="PENDENTE",N219="PARCIAL")),1,0))</f>
        <v/>
      </c>
      <c r="W219" s="8">
        <f>IF(AND(V219=1,D219&lt;&gt;""),IF(D219&gt;=corte,(B219="CRÍTICO")*1E9+(100000-D219)*10000+10000-ROW(),""),"")</f>
        <v/>
      </c>
      <c r="X219" s="8">
        <f>IF(AND(V219=1,D219=pas_data,E219=pas_turno),10000-ROW(),"")</f>
        <v/>
      </c>
    </row>
    <row r="220">
      <c r="A220" s="3">
        <f>IF(D220="","","TT-"&amp;TEXT(ROW()-1,"00000"))</f>
        <v/>
      </c>
      <c r="B220" s="3">
        <f>IF(D220="","",IF(V220=0,"CONCLUÍDO",IF(D220&lt;corte,"HISTÓRICO",IF(OR(AND(ISNUMBER(R220),R220&lt;TODAY()),AND(OR(N220="PENDENTE",N220="PARCIAL"),D220&lt;TODAY()-1)),"CRÍTICO",IF(OR(AND(P220&lt;&gt;"",S220=""),AND(N220="REALIZADO",M220="PENDENTE"),AND(ISNUMBER(R220),R220=TODAY())),"ATENÇÃO",IF(N(K220)=0,"PENDENTE","EM ANDAMENTO"))))))</f>
        <v/>
      </c>
      <c r="C220" s="3">
        <f>IF(D220="","",IF(V220=0,"🟢 OK",IF(D220&lt;corte,"⚪ HISTÓRICO (sem baixa)",IF(AND(ISNUMBER(R220),R220&lt;TODAY()),"🔴 PRAZO VENCIDO",IF(AND(OR(N220="PENDENTE",N220="PARCIAL"),D220&lt;TODAY()-1),"🔴 EMBARQUE ATRASADO",IF(AND(N220="REALIZADO",M220="PENDENTE"),"🟡 EMBARCADO SEM FATURAR",IF(AND(P220&lt;&gt;"",S220="",OR(Q220="",R220="")),"🟡 PENDÊNCIA SEM RESPONSÁVEL/PRAZO",IF(AND(ISNUMBER(R220),R220=TODAY()),"🟡 VENCE HOJE",IF(AND(P220&lt;&gt;"",S220=""),"🟡 PENDÊNCIA ABERTA",IF(AND(N(J220)&gt;0,N(K220)&lt;J220),"🟡 FALTA EXECUTAR",IF(OR(M220="PENDENTE",M220="PARCIAL"),"🟡 FATURAMENTO PENDENTE","🟡 EMBARQUE PENDENTE")))))))))))</f>
        <v/>
      </c>
      <c r="D220" s="4" t="n">
        <v>46233</v>
      </c>
      <c r="E220" s="5" t="inlineStr">
        <is>
          <t>D</t>
        </is>
      </c>
      <c r="F220" s="5" t="inlineStr">
        <is>
          <t>ADAO</t>
        </is>
      </c>
      <c r="G220" s="5" t="inlineStr">
        <is>
          <t>FM</t>
        </is>
      </c>
      <c r="H220" s="5" t="inlineStr">
        <is>
          <t>NESTLE</t>
        </is>
      </c>
      <c r="I220" s="5" t="inlineStr">
        <is>
          <t>TON</t>
        </is>
      </c>
      <c r="J220" s="6" t="n">
        <v>24.817</v>
      </c>
      <c r="K220" s="6" t="n">
        <v>24.817</v>
      </c>
      <c r="L220" s="7">
        <f>IF(OR(D220="",N(J220)=0),"",MIN(1,N(K220)/J220))</f>
        <v/>
      </c>
      <c r="M220" s="5" t="inlineStr">
        <is>
          <t>FATURADO</t>
        </is>
      </c>
      <c r="N220" s="5" t="inlineStr">
        <is>
          <t>REALIZADO</t>
        </is>
      </c>
      <c r="O220" s="5" t="inlineStr">
        <is>
          <t>SPEEDYLOG</t>
        </is>
      </c>
      <c r="P220" s="5" t="n"/>
      <c r="Q220" s="5" t="n"/>
      <c r="R220" s="4" t="n"/>
      <c r="S220" s="4" t="n"/>
      <c r="T220" s="5" t="n"/>
      <c r="U220" s="8">
        <f>IF(AND(V220=1,D220&lt;&gt;""),IF(D220&gt;=corte,TODAY()-D220,""),"")</f>
        <v/>
      </c>
      <c r="V220" s="8">
        <f>IF(D220="",0,IF(OR(AND(P220&lt;&gt;"",S220=""),AND(N(J220)&gt;0,N(K220)&lt;J220),OR(M220="PENDENTE",M220="PARCIAL"),OR(N220="PENDENTE",N220="PARCIAL")),1,0))</f>
        <v/>
      </c>
      <c r="W220" s="8">
        <f>IF(AND(V220=1,D220&lt;&gt;""),IF(D220&gt;=corte,(B220="CRÍTICO")*1E9+(100000-D220)*10000+10000-ROW(),""),"")</f>
        <v/>
      </c>
      <c r="X220" s="8">
        <f>IF(AND(V220=1,D220=pas_data,E220=pas_turno),10000-ROW(),"")</f>
        <v/>
      </c>
    </row>
    <row r="221">
      <c r="A221" s="3">
        <f>IF(D221="","","TT-"&amp;TEXT(ROW()-1,"00000"))</f>
        <v/>
      </c>
      <c r="B221" s="3">
        <f>IF(D221="","",IF(V221=0,"CONCLUÍDO",IF(D221&lt;corte,"HISTÓRICO",IF(OR(AND(ISNUMBER(R221),R221&lt;TODAY()),AND(OR(N221="PENDENTE",N221="PARCIAL"),D221&lt;TODAY()-1)),"CRÍTICO",IF(OR(AND(P221&lt;&gt;"",S221=""),AND(N221="REALIZADO",M221="PENDENTE"),AND(ISNUMBER(R221),R221=TODAY())),"ATENÇÃO",IF(N(K221)=0,"PENDENTE","EM ANDAMENTO"))))))</f>
        <v/>
      </c>
      <c r="C221" s="3">
        <f>IF(D221="","",IF(V221=0,"🟢 OK",IF(D221&lt;corte,"⚪ HISTÓRICO (sem baixa)",IF(AND(ISNUMBER(R221),R221&lt;TODAY()),"🔴 PRAZO VENCIDO",IF(AND(OR(N221="PENDENTE",N221="PARCIAL"),D221&lt;TODAY()-1),"🔴 EMBARQUE ATRASADO",IF(AND(N221="REALIZADO",M221="PENDENTE"),"🟡 EMBARCADO SEM FATURAR",IF(AND(P221&lt;&gt;"",S221="",OR(Q221="",R221="")),"🟡 PENDÊNCIA SEM RESPONSÁVEL/PRAZO",IF(AND(ISNUMBER(R221),R221=TODAY()),"🟡 VENCE HOJE",IF(AND(P221&lt;&gt;"",S221=""),"🟡 PENDÊNCIA ABERTA",IF(AND(N(J221)&gt;0,N(K221)&lt;J221),"🟡 FALTA EXECUTAR",IF(OR(M221="PENDENTE",M221="PARCIAL"),"🟡 FATURAMENTO PENDENTE","🟡 EMBARQUE PENDENTE")))))))))))</f>
        <v/>
      </c>
      <c r="D221" s="4" t="n">
        <v>46233</v>
      </c>
      <c r="E221" s="5" t="inlineStr">
        <is>
          <t>D</t>
        </is>
      </c>
      <c r="F221" s="5" t="inlineStr">
        <is>
          <t>ADAO</t>
        </is>
      </c>
      <c r="G221" s="5" t="inlineStr">
        <is>
          <t>TRANSFERÊNCIA</t>
        </is>
      </c>
      <c r="H221" s="5" t="inlineStr">
        <is>
          <t>BC MACEIO</t>
        </is>
      </c>
      <c r="I221" s="5" t="inlineStr">
        <is>
          <t>TON</t>
        </is>
      </c>
      <c r="J221" s="6" t="n">
        <v>18.836</v>
      </c>
      <c r="K221" s="6" t="n">
        <v>18.836</v>
      </c>
      <c r="L221" s="7">
        <f>IF(OR(D221="",N(J221)=0),"",MIN(1,N(K221)/J221))</f>
        <v/>
      </c>
      <c r="M221" s="5" t="inlineStr">
        <is>
          <t>FATURADO</t>
        </is>
      </c>
      <c r="N221" s="5" t="inlineStr">
        <is>
          <t>REALIZADO</t>
        </is>
      </c>
      <c r="O221" s="5" t="inlineStr">
        <is>
          <t>SPEEDYLOG</t>
        </is>
      </c>
      <c r="P221" s="5" t="n"/>
      <c r="Q221" s="5" t="n"/>
      <c r="R221" s="4" t="n"/>
      <c r="S221" s="4" t="n"/>
      <c r="T221" s="5" t="inlineStr">
        <is>
          <t>[MIGRAÇÃO: programação original: TRANSFERENCIA]</t>
        </is>
      </c>
      <c r="U221" s="8">
        <f>IF(AND(V221=1,D221&lt;&gt;""),IF(D221&gt;=corte,TODAY()-D221,""),"")</f>
        <v/>
      </c>
      <c r="V221" s="8">
        <f>IF(D221="",0,IF(OR(AND(P221&lt;&gt;"",S221=""),AND(N(J221)&gt;0,N(K221)&lt;J221),OR(M221="PENDENTE",M221="PARCIAL"),OR(N221="PENDENTE",N221="PARCIAL")),1,0))</f>
        <v/>
      </c>
      <c r="W221" s="8">
        <f>IF(AND(V221=1,D221&lt;&gt;""),IF(D221&gt;=corte,(B221="CRÍTICO")*1E9+(100000-D221)*10000+10000-ROW(),""),"")</f>
        <v/>
      </c>
      <c r="X221" s="8">
        <f>IF(AND(V221=1,D221=pas_data,E221=pas_turno),10000-ROW(),"")</f>
        <v/>
      </c>
    </row>
    <row r="222">
      <c r="A222" s="3">
        <f>IF(D222="","","TT-"&amp;TEXT(ROW()-1,"00000"))</f>
        <v/>
      </c>
      <c r="B222" s="3">
        <f>IF(D222="","",IF(V222=0,"CONCLUÍDO",IF(D222&lt;corte,"HISTÓRICO",IF(OR(AND(ISNUMBER(R222),R222&lt;TODAY()),AND(OR(N222="PENDENTE",N222="PARCIAL"),D222&lt;TODAY()-1)),"CRÍTICO",IF(OR(AND(P222&lt;&gt;"",S222=""),AND(N222="REALIZADO",M222="PENDENTE"),AND(ISNUMBER(R222),R222=TODAY())),"ATENÇÃO",IF(N(K222)=0,"PENDENTE","EM ANDAMENTO"))))))</f>
        <v/>
      </c>
      <c r="C222" s="3">
        <f>IF(D222="","",IF(V222=0,"🟢 OK",IF(D222&lt;corte,"⚪ HISTÓRICO (sem baixa)",IF(AND(ISNUMBER(R222),R222&lt;TODAY()),"🔴 PRAZO VENCIDO",IF(AND(OR(N222="PENDENTE",N222="PARCIAL"),D222&lt;TODAY()-1),"🔴 EMBARQUE ATRASADO",IF(AND(N222="REALIZADO",M222="PENDENTE"),"🟡 EMBARCADO SEM FATURAR",IF(AND(P222&lt;&gt;"",S222="",OR(Q222="",R222="")),"🟡 PENDÊNCIA SEM RESPONSÁVEL/PRAZO",IF(AND(ISNUMBER(R222),R222=TODAY()),"🟡 VENCE HOJE",IF(AND(P222&lt;&gt;"",S222=""),"🟡 PENDÊNCIA ABERTA",IF(AND(N(J222)&gt;0,N(K222)&lt;J222),"🟡 FALTA EXECUTAR",IF(OR(M222="PENDENTE",M222="PARCIAL"),"🟡 FATURAMENTO PENDENTE","🟡 EMBARQUE PENDENTE")))))))))))</f>
        <v/>
      </c>
      <c r="D222" s="4" t="n">
        <v>46233</v>
      </c>
      <c r="E222" s="5" t="inlineStr">
        <is>
          <t>D</t>
        </is>
      </c>
      <c r="F222" s="5" t="inlineStr">
        <is>
          <t>ADAO</t>
        </is>
      </c>
      <c r="G222" s="5" t="inlineStr">
        <is>
          <t>CROSS DOCKING</t>
        </is>
      </c>
      <c r="H222" s="5" t="inlineStr">
        <is>
          <t>SP</t>
        </is>
      </c>
      <c r="I222" s="5" t="inlineStr">
        <is>
          <t>TON</t>
        </is>
      </c>
      <c r="J222" s="6" t="n">
        <v>8.914999999999999</v>
      </c>
      <c r="K222" s="6" t="n">
        <v>8.914999999999999</v>
      </c>
      <c r="L222" s="7">
        <f>IF(OR(D222="",N(J222)=0),"",MIN(1,N(K222)/J222))</f>
        <v/>
      </c>
      <c r="M222" s="5" t="inlineStr">
        <is>
          <t>FATURADO</t>
        </is>
      </c>
      <c r="N222" s="5" t="n"/>
      <c r="O222" s="5" t="inlineStr">
        <is>
          <t>LOGGIO</t>
        </is>
      </c>
      <c r="P222" s="5" t="n"/>
      <c r="Q222" s="5" t="n"/>
      <c r="R222" s="4" t="n"/>
      <c r="S222" s="4" t="n"/>
      <c r="T222" s="5" t="inlineStr">
        <is>
          <t>[MIGRAÇÃO: programação original: CROSS LOGGIO]</t>
        </is>
      </c>
      <c r="U222" s="8">
        <f>IF(AND(V222=1,D222&lt;&gt;""),IF(D222&gt;=corte,TODAY()-D222,""),"")</f>
        <v/>
      </c>
      <c r="V222" s="8">
        <f>IF(D222="",0,IF(OR(AND(P222&lt;&gt;"",S222=""),AND(N(J222)&gt;0,N(K222)&lt;J222),OR(M222="PENDENTE",M222="PARCIAL"),OR(N222="PENDENTE",N222="PARCIAL")),1,0))</f>
        <v/>
      </c>
      <c r="W222" s="8">
        <f>IF(AND(V222=1,D222&lt;&gt;""),IF(D222&gt;=corte,(B222="CRÍTICO")*1E9+(100000-D222)*10000+10000-ROW(),""),"")</f>
        <v/>
      </c>
      <c r="X222" s="8">
        <f>IF(AND(V222=1,D222=pas_data,E222=pas_turno),10000-ROW(),"")</f>
        <v/>
      </c>
    </row>
    <row r="223">
      <c r="A223" s="3">
        <f>IF(D223="","","TT-"&amp;TEXT(ROW()-1,"00000"))</f>
        <v/>
      </c>
      <c r="B223" s="3">
        <f>IF(D223="","",IF(V223=0,"CONCLUÍDO",IF(D223&lt;corte,"HISTÓRICO",IF(OR(AND(ISNUMBER(R223),R223&lt;TODAY()),AND(OR(N223="PENDENTE",N223="PARCIAL"),D223&lt;TODAY()-1)),"CRÍTICO",IF(OR(AND(P223&lt;&gt;"",S223=""),AND(N223="REALIZADO",M223="PENDENTE"),AND(ISNUMBER(R223),R223=TODAY())),"ATENÇÃO",IF(N(K223)=0,"PENDENTE","EM ANDAMENTO"))))))</f>
        <v/>
      </c>
      <c r="C223" s="3">
        <f>IF(D223="","",IF(V223=0,"🟢 OK",IF(D223&lt;corte,"⚪ HISTÓRICO (sem baixa)",IF(AND(ISNUMBER(R223),R223&lt;TODAY()),"🔴 PRAZO VENCIDO",IF(AND(OR(N223="PENDENTE",N223="PARCIAL"),D223&lt;TODAY()-1),"🔴 EMBARQUE ATRASADO",IF(AND(N223="REALIZADO",M223="PENDENTE"),"🟡 EMBARCADO SEM FATURAR",IF(AND(P223&lt;&gt;"",S223="",OR(Q223="",R223="")),"🟡 PENDÊNCIA SEM RESPONSÁVEL/PRAZO",IF(AND(ISNUMBER(R223),R223=TODAY()),"🟡 VENCE HOJE",IF(AND(P223&lt;&gt;"",S223=""),"🟡 PENDÊNCIA ABERTA",IF(AND(N(J223)&gt;0,N(K223)&lt;J223),"🟡 FALTA EXECUTAR",IF(OR(M223="PENDENTE",M223="PARCIAL"),"🟡 FATURAMENTO PENDENTE","🟡 EMBARQUE PENDENTE")))))))))))</f>
        <v/>
      </c>
      <c r="D223" s="4" t="n">
        <v>46233</v>
      </c>
      <c r="E223" s="5" t="inlineStr">
        <is>
          <t>D</t>
        </is>
      </c>
      <c r="F223" s="5" t="inlineStr">
        <is>
          <t>ADAO</t>
        </is>
      </c>
      <c r="G223" s="5" t="inlineStr">
        <is>
          <t>GM</t>
        </is>
      </c>
      <c r="H223" s="5" t="inlineStr">
        <is>
          <t>SP</t>
        </is>
      </c>
      <c r="I223" s="5" t="inlineStr">
        <is>
          <t>TON</t>
        </is>
      </c>
      <c r="J223" s="6" t="n">
        <v>5.151</v>
      </c>
      <c r="K223" s="6" t="n">
        <v>5.151</v>
      </c>
      <c r="L223" s="7">
        <f>IF(OR(D223="",N(J223)=0),"",MIN(1,N(K223)/J223))</f>
        <v/>
      </c>
      <c r="M223" s="5" t="n"/>
      <c r="N223" s="5" t="n"/>
      <c r="O223" s="5" t="inlineStr">
        <is>
          <t>SMARTLOG</t>
        </is>
      </c>
      <c r="P223" s="5" t="n"/>
      <c r="Q223" s="5" t="n"/>
      <c r="R223" s="4" t="n"/>
      <c r="S223" s="4" t="n"/>
      <c r="T223" s="5" t="inlineStr">
        <is>
          <t>[MIGRAÇÃO: programação original: SMARTLOG]</t>
        </is>
      </c>
      <c r="U223" s="8">
        <f>IF(AND(V223=1,D223&lt;&gt;""),IF(D223&gt;=corte,TODAY()-D223,""),"")</f>
        <v/>
      </c>
      <c r="V223" s="8">
        <f>IF(D223="",0,IF(OR(AND(P223&lt;&gt;"",S223=""),AND(N(J223)&gt;0,N(K223)&lt;J223),OR(M223="PENDENTE",M223="PARCIAL"),OR(N223="PENDENTE",N223="PARCIAL")),1,0))</f>
        <v/>
      </c>
      <c r="W223" s="8">
        <f>IF(AND(V223=1,D223&lt;&gt;""),IF(D223&gt;=corte,(B223="CRÍTICO")*1E9+(100000-D223)*10000+10000-ROW(),""),"")</f>
        <v/>
      </c>
      <c r="X223" s="8">
        <f>IF(AND(V223=1,D223=pas_data,E223=pas_turno),10000-ROW(),"")</f>
        <v/>
      </c>
    </row>
    <row r="224">
      <c r="A224" s="3">
        <f>IF(D224="","","TT-"&amp;TEXT(ROW()-1,"00000"))</f>
        <v/>
      </c>
      <c r="B224" s="3">
        <f>IF(D224="","",IF(V224=0,"CONCLUÍDO",IF(D224&lt;corte,"HISTÓRICO",IF(OR(AND(ISNUMBER(R224),R224&lt;TODAY()),AND(OR(N224="PENDENTE",N224="PARCIAL"),D224&lt;TODAY()-1)),"CRÍTICO",IF(OR(AND(P224&lt;&gt;"",S224=""),AND(N224="REALIZADO",M224="PENDENTE"),AND(ISNUMBER(R224),R224=TODAY())),"ATENÇÃO",IF(N(K224)=0,"PENDENTE","EM ANDAMENTO"))))))</f>
        <v/>
      </c>
      <c r="C224" s="3">
        <f>IF(D224="","",IF(V224=0,"🟢 OK",IF(D224&lt;corte,"⚪ HISTÓRICO (sem baixa)",IF(AND(ISNUMBER(R224),R224&lt;TODAY()),"🔴 PRAZO VENCIDO",IF(AND(OR(N224="PENDENTE",N224="PARCIAL"),D224&lt;TODAY()-1),"🔴 EMBARQUE ATRASADO",IF(AND(N224="REALIZADO",M224="PENDENTE"),"🟡 EMBARCADO SEM FATURAR",IF(AND(P224&lt;&gt;"",S224="",OR(Q224="",R224="")),"🟡 PENDÊNCIA SEM RESPONSÁVEL/PRAZO",IF(AND(ISNUMBER(R224),R224=TODAY()),"🟡 VENCE HOJE",IF(AND(P224&lt;&gt;"",S224=""),"🟡 PENDÊNCIA ABERTA",IF(AND(N(J224)&gt;0,N(K224)&lt;J224),"🟡 FALTA EXECUTAR",IF(OR(M224="PENDENTE",M224="PARCIAL"),"🟡 FATURAMENTO PENDENTE","🟡 EMBARQUE PENDENTE")))))))))))</f>
        <v/>
      </c>
      <c r="D224" s="4" t="n">
        <v>46233</v>
      </c>
      <c r="E224" s="5" t="inlineStr">
        <is>
          <t>D</t>
        </is>
      </c>
      <c r="F224" s="5" t="inlineStr">
        <is>
          <t>ADAO</t>
        </is>
      </c>
      <c r="G224" s="5" t="inlineStr">
        <is>
          <t>FM</t>
        </is>
      </c>
      <c r="H224" s="5" t="inlineStr">
        <is>
          <t>MAGNUM</t>
        </is>
      </c>
      <c r="I224" s="5" t="inlineStr">
        <is>
          <t>TON</t>
        </is>
      </c>
      <c r="J224" s="6" t="n">
        <v>26.507</v>
      </c>
      <c r="K224" s="6" t="n">
        <v>26.507</v>
      </c>
      <c r="L224" s="7">
        <f>IF(OR(D224="",N(J224)=0),"",MIN(1,N(K224)/J224))</f>
        <v/>
      </c>
      <c r="M224" s="5" t="n"/>
      <c r="N224" s="5" t="n"/>
      <c r="O224" s="5" t="n"/>
      <c r="P224" s="5" t="n"/>
      <c r="Q224" s="5" t="n"/>
      <c r="R224" s="4" t="n"/>
      <c r="S224" s="4" t="n"/>
      <c r="T224" s="5" t="n"/>
      <c r="U224" s="8">
        <f>IF(AND(V224=1,D224&lt;&gt;""),IF(D224&gt;=corte,TODAY()-D224,""),"")</f>
        <v/>
      </c>
      <c r="V224" s="8">
        <f>IF(D224="",0,IF(OR(AND(P224&lt;&gt;"",S224=""),AND(N(J224)&gt;0,N(K224)&lt;J224),OR(M224="PENDENTE",M224="PARCIAL"),OR(N224="PENDENTE",N224="PARCIAL")),1,0))</f>
        <v/>
      </c>
      <c r="W224" s="8">
        <f>IF(AND(V224=1,D224&lt;&gt;""),IF(D224&gt;=corte,(B224="CRÍTICO")*1E9+(100000-D224)*10000+10000-ROW(),""),"")</f>
        <v/>
      </c>
      <c r="X224" s="8">
        <f>IF(AND(V224=1,D224=pas_data,E224=pas_turno),10000-ROW(),"")</f>
        <v/>
      </c>
    </row>
    <row r="225">
      <c r="A225" s="3">
        <f>IF(D225="","","TT-"&amp;TEXT(ROW()-1,"00000"))</f>
        <v/>
      </c>
      <c r="B225" s="3">
        <f>IF(D225="","",IF(V225=0,"CONCLUÍDO",IF(D225&lt;corte,"HISTÓRICO",IF(OR(AND(ISNUMBER(R225),R225&lt;TODAY()),AND(OR(N225="PENDENTE",N225="PARCIAL"),D225&lt;TODAY()-1)),"CRÍTICO",IF(OR(AND(P225&lt;&gt;"",S225=""),AND(N225="REALIZADO",M225="PENDENTE"),AND(ISNUMBER(R225),R225=TODAY())),"ATENÇÃO",IF(N(K225)=0,"PENDENTE","EM ANDAMENTO"))))))</f>
        <v/>
      </c>
      <c r="C225" s="3">
        <f>IF(D225="","",IF(V225=0,"🟢 OK",IF(D225&lt;corte,"⚪ HISTÓRICO (sem baixa)",IF(AND(ISNUMBER(R225),R225&lt;TODAY()),"🔴 PRAZO VENCIDO",IF(AND(OR(N225="PENDENTE",N225="PARCIAL"),D225&lt;TODAY()-1),"🔴 EMBARQUE ATRASADO",IF(AND(N225="REALIZADO",M225="PENDENTE"),"🟡 EMBARCADO SEM FATURAR",IF(AND(P225&lt;&gt;"",S225="",OR(Q225="",R225="")),"🟡 PENDÊNCIA SEM RESPONSÁVEL/PRAZO",IF(AND(ISNUMBER(R225),R225=TODAY()),"🟡 VENCE HOJE",IF(AND(P225&lt;&gt;"",S225=""),"🟡 PENDÊNCIA ABERTA",IF(AND(N(J225)&gt;0,N(K225)&lt;J225),"🟡 FALTA EXECUTAR",IF(OR(M225="PENDENTE",M225="PARCIAL"),"🟡 FATURAMENTO PENDENTE","🟡 EMBARQUE PENDENTE")))))))))))</f>
        <v/>
      </c>
      <c r="D225" s="4" t="n">
        <v>46233</v>
      </c>
      <c r="E225" s="5" t="inlineStr">
        <is>
          <t>D</t>
        </is>
      </c>
      <c r="F225" s="5" t="inlineStr">
        <is>
          <t>ADAO</t>
        </is>
      </c>
      <c r="G225" s="5" t="inlineStr">
        <is>
          <t>FLOOR</t>
        </is>
      </c>
      <c r="H225" s="5" t="inlineStr">
        <is>
          <t>ABASTECIMENTO</t>
        </is>
      </c>
      <c r="I225" s="5" t="inlineStr">
        <is>
          <t>PALETE</t>
        </is>
      </c>
      <c r="J225" s="6" t="n">
        <v>151</v>
      </c>
      <c r="K225" s="6" t="n">
        <v>151</v>
      </c>
      <c r="L225" s="7">
        <f>IF(OR(D225="",N(J225)=0),"",MIN(1,N(K225)/J225))</f>
        <v/>
      </c>
      <c r="M225" s="5" t="n"/>
      <c r="N225" s="5" t="n"/>
      <c r="O225" s="5" t="n"/>
      <c r="P225" s="5" t="n"/>
      <c r="Q225" s="5" t="n"/>
      <c r="R225" s="4" t="n"/>
      <c r="S225" s="4" t="n"/>
      <c r="T225" s="5" t="n"/>
      <c r="U225" s="8">
        <f>IF(AND(V225=1,D225&lt;&gt;""),IF(D225&gt;=corte,TODAY()-D225,""),"")</f>
        <v/>
      </c>
      <c r="V225" s="8">
        <f>IF(D225="",0,IF(OR(AND(P225&lt;&gt;"",S225=""),AND(N(J225)&gt;0,N(K225)&lt;J225),OR(M225="PENDENTE",M225="PARCIAL"),OR(N225="PENDENTE",N225="PARCIAL")),1,0))</f>
        <v/>
      </c>
      <c r="W225" s="8">
        <f>IF(AND(V225=1,D225&lt;&gt;""),IF(D225&gt;=corte,(B225="CRÍTICO")*1E9+(100000-D225)*10000+10000-ROW(),""),"")</f>
        <v/>
      </c>
      <c r="X225" s="8">
        <f>IF(AND(V225=1,D225=pas_data,E225=pas_turno),10000-ROW(),"")</f>
        <v/>
      </c>
    </row>
    <row r="226">
      <c r="A226" s="3">
        <f>IF(D226="","","TT-"&amp;TEXT(ROW()-1,"00000"))</f>
        <v/>
      </c>
      <c r="B226" s="3">
        <f>IF(D226="","",IF(V226=0,"CONCLUÍDO",IF(D226&lt;corte,"HISTÓRICO",IF(OR(AND(ISNUMBER(R226),R226&lt;TODAY()),AND(OR(N226="PENDENTE",N226="PARCIAL"),D226&lt;TODAY()-1)),"CRÍTICO",IF(OR(AND(P226&lt;&gt;"",S226=""),AND(N226="REALIZADO",M226="PENDENTE"),AND(ISNUMBER(R226),R226=TODAY())),"ATENÇÃO",IF(N(K226)=0,"PENDENTE","EM ANDAMENTO"))))))</f>
        <v/>
      </c>
      <c r="C226" s="3">
        <f>IF(D226="","",IF(V226=0,"🟢 OK",IF(D226&lt;corte,"⚪ HISTÓRICO (sem baixa)",IF(AND(ISNUMBER(R226),R226&lt;TODAY()),"🔴 PRAZO VENCIDO",IF(AND(OR(N226="PENDENTE",N226="PARCIAL"),D226&lt;TODAY()-1),"🔴 EMBARQUE ATRASADO",IF(AND(N226="REALIZADO",M226="PENDENTE"),"🟡 EMBARCADO SEM FATURAR",IF(AND(P226&lt;&gt;"",S226="",OR(Q226="",R226="")),"🟡 PENDÊNCIA SEM RESPONSÁVEL/PRAZO",IF(AND(ISNUMBER(R226),R226=TODAY()),"🟡 VENCE HOJE",IF(AND(P226&lt;&gt;"",S226=""),"🟡 PENDÊNCIA ABERTA",IF(AND(N(J226)&gt;0,N(K226)&lt;J226),"🟡 FALTA EXECUTAR",IF(OR(M226="PENDENTE",M226="PARCIAL"),"🟡 FATURAMENTO PENDENTE","🟡 EMBARQUE PENDENTE")))))))))))</f>
        <v/>
      </c>
      <c r="D226" s="4" t="n">
        <v>46234</v>
      </c>
      <c r="E226" s="5" t="inlineStr">
        <is>
          <t>C</t>
        </is>
      </c>
      <c r="F226" s="5" t="inlineStr">
        <is>
          <t>ADIB</t>
        </is>
      </c>
      <c r="G226" s="5" t="inlineStr">
        <is>
          <t>FM</t>
        </is>
      </c>
      <c r="H226" s="5" t="inlineStr">
        <is>
          <t>M DIAS</t>
        </is>
      </c>
      <c r="I226" s="5" t="inlineStr">
        <is>
          <t>TON</t>
        </is>
      </c>
      <c r="J226" s="6" t="n">
        <v>8.632</v>
      </c>
      <c r="K226" s="6" t="n">
        <v>8.632</v>
      </c>
      <c r="L226" s="7">
        <f>IF(OR(D226="",N(J226)=0),"",MIN(1,N(K226)/J226))</f>
        <v/>
      </c>
      <c r="M226" s="5" t="inlineStr">
        <is>
          <t>FATURADO</t>
        </is>
      </c>
      <c r="N226" s="5" t="inlineStr">
        <is>
          <t>REALIZADO</t>
        </is>
      </c>
      <c r="O226" s="5" t="inlineStr">
        <is>
          <t>SPEEDYLOG</t>
        </is>
      </c>
      <c r="P226" s="5" t="inlineStr">
        <is>
          <t>AGUARDANDO CARRO</t>
        </is>
      </c>
      <c r="Q226" s="5" t="n"/>
      <c r="R226" s="4" t="n"/>
      <c r="S226" s="4" t="n"/>
      <c r="T226" s="5" t="inlineStr">
        <is>
          <t>AGUARDANDO CARRO</t>
        </is>
      </c>
      <c r="U226" s="8">
        <f>IF(AND(V226=1,D226&lt;&gt;""),IF(D226&gt;=corte,TODAY()-D226,""),"")</f>
        <v/>
      </c>
      <c r="V226" s="8">
        <f>IF(D226="",0,IF(OR(AND(P226&lt;&gt;"",S226=""),AND(N(J226)&gt;0,N(K226)&lt;J226),OR(M226="PENDENTE",M226="PARCIAL"),OR(N226="PENDENTE",N226="PARCIAL")),1,0))</f>
        <v/>
      </c>
      <c r="W226" s="8">
        <f>IF(AND(V226=1,D226&lt;&gt;""),IF(D226&gt;=corte,(B226="CRÍTICO")*1E9+(100000-D226)*10000+10000-ROW(),""),"")</f>
        <v/>
      </c>
      <c r="X226" s="8">
        <f>IF(AND(V226=1,D226=pas_data,E226=pas_turno),10000-ROW(),"")</f>
        <v/>
      </c>
    </row>
    <row r="227">
      <c r="A227" s="3">
        <f>IF(D227="","","TT-"&amp;TEXT(ROW()-1,"00000"))</f>
        <v/>
      </c>
      <c r="B227" s="3">
        <f>IF(D227="","",IF(V227=0,"CONCLUÍDO",IF(D227&lt;corte,"HISTÓRICO",IF(OR(AND(ISNUMBER(R227),R227&lt;TODAY()),AND(OR(N227="PENDENTE",N227="PARCIAL"),D227&lt;TODAY()-1)),"CRÍTICO",IF(OR(AND(P227&lt;&gt;"",S227=""),AND(N227="REALIZADO",M227="PENDENTE"),AND(ISNUMBER(R227),R227=TODAY())),"ATENÇÃO",IF(N(K227)=0,"PENDENTE","EM ANDAMENTO"))))))</f>
        <v/>
      </c>
      <c r="C227" s="3">
        <f>IF(D227="","",IF(V227=0,"🟢 OK",IF(D227&lt;corte,"⚪ HISTÓRICO (sem baixa)",IF(AND(ISNUMBER(R227),R227&lt;TODAY()),"🔴 PRAZO VENCIDO",IF(AND(OR(N227="PENDENTE",N227="PARCIAL"),D227&lt;TODAY()-1),"🔴 EMBARQUE ATRASADO",IF(AND(N227="REALIZADO",M227="PENDENTE"),"🟡 EMBARCADO SEM FATURAR",IF(AND(P227&lt;&gt;"",S227="",OR(Q227="",R227="")),"🟡 PENDÊNCIA SEM RESPONSÁVEL/PRAZO",IF(AND(ISNUMBER(R227),R227=TODAY()),"🟡 VENCE HOJE",IF(AND(P227&lt;&gt;"",S227=""),"🟡 PENDÊNCIA ABERTA",IF(AND(N(J227)&gt;0,N(K227)&lt;J227),"🟡 FALTA EXECUTAR",IF(OR(M227="PENDENTE",M227="PARCIAL"),"🟡 FATURAMENTO PENDENTE","🟡 EMBARQUE PENDENTE")))))))))))</f>
        <v/>
      </c>
      <c r="D227" s="4" t="n">
        <v>46234</v>
      </c>
      <c r="E227" s="5" t="inlineStr">
        <is>
          <t>C</t>
        </is>
      </c>
      <c r="F227" s="5" t="inlineStr">
        <is>
          <t>ADIB</t>
        </is>
      </c>
      <c r="G227" s="5" t="inlineStr">
        <is>
          <t>FM</t>
        </is>
      </c>
      <c r="H227" s="5" t="inlineStr">
        <is>
          <t>MAGNUM</t>
        </is>
      </c>
      <c r="I227" s="5" t="inlineStr">
        <is>
          <t>TON</t>
        </is>
      </c>
      <c r="J227" s="6" t="n">
        <v>12.72</v>
      </c>
      <c r="K227" s="6" t="n">
        <v>12.72</v>
      </c>
      <c r="L227" s="7">
        <f>IF(OR(D227="",N(J227)=0),"",MIN(1,N(K227)/J227))</f>
        <v/>
      </c>
      <c r="M227" s="5" t="inlineStr">
        <is>
          <t>FATURADO</t>
        </is>
      </c>
      <c r="N227" s="5" t="inlineStr">
        <is>
          <t>REALIZADO</t>
        </is>
      </c>
      <c r="O227" s="5" t="inlineStr">
        <is>
          <t>SPEEDYLOG</t>
        </is>
      </c>
      <c r="P227" s="5" t="inlineStr">
        <is>
          <t>AGUARDANDO CARRO</t>
        </is>
      </c>
      <c r="Q227" s="5" t="n"/>
      <c r="R227" s="4" t="n"/>
      <c r="S227" s="4" t="n"/>
      <c r="T227" s="5" t="inlineStr">
        <is>
          <t>AGUARDANDO CARRO</t>
        </is>
      </c>
      <c r="U227" s="8">
        <f>IF(AND(V227=1,D227&lt;&gt;""),IF(D227&gt;=corte,TODAY()-D227,""),"")</f>
        <v/>
      </c>
      <c r="V227" s="8">
        <f>IF(D227="",0,IF(OR(AND(P227&lt;&gt;"",S227=""),AND(N(J227)&gt;0,N(K227)&lt;J227),OR(M227="PENDENTE",M227="PARCIAL"),OR(N227="PENDENTE",N227="PARCIAL")),1,0))</f>
        <v/>
      </c>
      <c r="W227" s="8">
        <f>IF(AND(V227=1,D227&lt;&gt;""),IF(D227&gt;=corte,(B227="CRÍTICO")*1E9+(100000-D227)*10000+10000-ROW(),""),"")</f>
        <v/>
      </c>
      <c r="X227" s="8">
        <f>IF(AND(V227=1,D227=pas_data,E227=pas_turno),10000-ROW(),"")</f>
        <v/>
      </c>
    </row>
    <row r="228">
      <c r="A228" s="3">
        <f>IF(D228="","","TT-"&amp;TEXT(ROW()-1,"00000"))</f>
        <v/>
      </c>
      <c r="B228" s="3">
        <f>IF(D228="","",IF(V228=0,"CONCLUÍDO",IF(D228&lt;corte,"HISTÓRICO",IF(OR(AND(ISNUMBER(R228),R228&lt;TODAY()),AND(OR(N228="PENDENTE",N228="PARCIAL"),D228&lt;TODAY()-1)),"CRÍTICO",IF(OR(AND(P228&lt;&gt;"",S228=""),AND(N228="REALIZADO",M228="PENDENTE"),AND(ISNUMBER(R228),R228=TODAY())),"ATENÇÃO",IF(N(K228)=0,"PENDENTE","EM ANDAMENTO"))))))</f>
        <v/>
      </c>
      <c r="C228" s="3">
        <f>IF(D228="","",IF(V228=0,"🟢 OK",IF(D228&lt;corte,"⚪ HISTÓRICO (sem baixa)",IF(AND(ISNUMBER(R228),R228&lt;TODAY()),"🔴 PRAZO VENCIDO",IF(AND(OR(N228="PENDENTE",N228="PARCIAL"),D228&lt;TODAY()-1),"🔴 EMBARQUE ATRASADO",IF(AND(N228="REALIZADO",M228="PENDENTE"),"🟡 EMBARCADO SEM FATURAR",IF(AND(P228&lt;&gt;"",S228="",OR(Q228="",R228="")),"🟡 PENDÊNCIA SEM RESPONSÁVEL/PRAZO",IF(AND(ISNUMBER(R228),R228=TODAY()),"🟡 VENCE HOJE",IF(AND(P228&lt;&gt;"",S228=""),"🟡 PENDÊNCIA ABERTA",IF(AND(N(J228)&gt;0,N(K228)&lt;J228),"🟡 FALTA EXECUTAR",IF(OR(M228="PENDENTE",M228="PARCIAL"),"🟡 FATURAMENTO PENDENTE","🟡 EMBARQUE PENDENTE")))))))))))</f>
        <v/>
      </c>
      <c r="D228" s="4" t="n">
        <v>46234</v>
      </c>
      <c r="E228" s="5" t="inlineStr">
        <is>
          <t>C</t>
        </is>
      </c>
      <c r="F228" s="5" t="inlineStr">
        <is>
          <t>ADIB</t>
        </is>
      </c>
      <c r="G228" s="5" t="inlineStr">
        <is>
          <t>FM</t>
        </is>
      </c>
      <c r="H228" s="5" t="inlineStr">
        <is>
          <t>PANDURATA</t>
        </is>
      </c>
      <c r="I228" s="5" t="inlineStr">
        <is>
          <t>TON</t>
        </is>
      </c>
      <c r="J228" s="6" t="n">
        <v>12.948</v>
      </c>
      <c r="K228" s="6" t="n">
        <v>12.948</v>
      </c>
      <c r="L228" s="7">
        <f>IF(OR(D228="",N(J228)=0),"",MIN(1,N(K228)/J228))</f>
        <v/>
      </c>
      <c r="M228" s="5" t="inlineStr">
        <is>
          <t>FATURADO</t>
        </is>
      </c>
      <c r="N228" s="5" t="inlineStr">
        <is>
          <t>REALIZADO</t>
        </is>
      </c>
      <c r="O228" s="5" t="inlineStr">
        <is>
          <t>SPEEDYLOG</t>
        </is>
      </c>
      <c r="P228" s="5" t="inlineStr">
        <is>
          <t>AGUARDANDO CARRO</t>
        </is>
      </c>
      <c r="Q228" s="5" t="n"/>
      <c r="R228" s="4" t="n"/>
      <c r="S228" s="4" t="n"/>
      <c r="T228" s="5" t="inlineStr">
        <is>
          <t>AGUARDANDO CARRO</t>
        </is>
      </c>
      <c r="U228" s="8">
        <f>IF(AND(V228=1,D228&lt;&gt;""),IF(D228&gt;=corte,TODAY()-D228,""),"")</f>
        <v/>
      </c>
      <c r="V228" s="8">
        <f>IF(D228="",0,IF(OR(AND(P228&lt;&gt;"",S228=""),AND(N(J228)&gt;0,N(K228)&lt;J228),OR(M228="PENDENTE",M228="PARCIAL"),OR(N228="PENDENTE",N228="PARCIAL")),1,0))</f>
        <v/>
      </c>
      <c r="W228" s="8">
        <f>IF(AND(V228=1,D228&lt;&gt;""),IF(D228&gt;=corte,(B228="CRÍTICO")*1E9+(100000-D228)*10000+10000-ROW(),""),"")</f>
        <v/>
      </c>
      <c r="X228" s="8">
        <f>IF(AND(V228=1,D228=pas_data,E228=pas_turno),10000-ROW(),"")</f>
        <v/>
      </c>
    </row>
    <row r="229">
      <c r="A229" s="3">
        <f>IF(D229="","","TT-"&amp;TEXT(ROW()-1,"00000"))</f>
        <v/>
      </c>
      <c r="B229" s="3">
        <f>IF(D229="","",IF(V229=0,"CONCLUÍDO",IF(D229&lt;corte,"HISTÓRICO",IF(OR(AND(ISNUMBER(R229),R229&lt;TODAY()),AND(OR(N229="PENDENTE",N229="PARCIAL"),D229&lt;TODAY()-1)),"CRÍTICO",IF(OR(AND(P229&lt;&gt;"",S229=""),AND(N229="REALIZADO",M229="PENDENTE"),AND(ISNUMBER(R229),R229=TODAY())),"ATENÇÃO",IF(N(K229)=0,"PENDENTE","EM ANDAMENTO"))))))</f>
        <v/>
      </c>
      <c r="C229" s="3">
        <f>IF(D229="","",IF(V229=0,"🟢 OK",IF(D229&lt;corte,"⚪ HISTÓRICO (sem baixa)",IF(AND(ISNUMBER(R229),R229&lt;TODAY()),"🔴 PRAZO VENCIDO",IF(AND(OR(N229="PENDENTE",N229="PARCIAL"),D229&lt;TODAY()-1),"🔴 EMBARQUE ATRASADO",IF(AND(N229="REALIZADO",M229="PENDENTE"),"🟡 EMBARCADO SEM FATURAR",IF(AND(P229&lt;&gt;"",S229="",OR(Q229="",R229="")),"🟡 PENDÊNCIA SEM RESPONSÁVEL/PRAZO",IF(AND(ISNUMBER(R229),R229=TODAY()),"🟡 VENCE HOJE",IF(AND(P229&lt;&gt;"",S229=""),"🟡 PENDÊNCIA ABERTA",IF(AND(N(J229)&gt;0,N(K229)&lt;J229),"🟡 FALTA EXECUTAR",IF(OR(M229="PENDENTE",M229="PARCIAL"),"🟡 FATURAMENTO PENDENTE","🟡 EMBARQUE PENDENTE")))))))))))</f>
        <v/>
      </c>
      <c r="D229" s="4" t="n">
        <v>46234</v>
      </c>
      <c r="E229" s="5" t="inlineStr">
        <is>
          <t>C</t>
        </is>
      </c>
      <c r="F229" s="5" t="inlineStr">
        <is>
          <t>ADIB</t>
        </is>
      </c>
      <c r="G229" s="5" t="inlineStr">
        <is>
          <t>FM</t>
        </is>
      </c>
      <c r="H229" s="5" t="inlineStr">
        <is>
          <t>NESTLE</t>
        </is>
      </c>
      <c r="I229" s="5" t="inlineStr">
        <is>
          <t>TON</t>
        </is>
      </c>
      <c r="J229" s="6" t="n">
        <v>8.632</v>
      </c>
      <c r="K229" s="6" t="n">
        <v>8.632</v>
      </c>
      <c r="L229" s="7">
        <f>IF(OR(D229="",N(J229)=0),"",MIN(1,N(K229)/J229))</f>
        <v/>
      </c>
      <c r="M229" s="5" t="inlineStr">
        <is>
          <t>FATURADO</t>
        </is>
      </c>
      <c r="N229" s="5" t="inlineStr">
        <is>
          <t>REALIZADO</t>
        </is>
      </c>
      <c r="O229" s="5" t="inlineStr">
        <is>
          <t>SPEEDYLOG</t>
        </is>
      </c>
      <c r="P229" s="5" t="inlineStr">
        <is>
          <t>AGUARDANDO CARRO</t>
        </is>
      </c>
      <c r="Q229" s="5" t="n"/>
      <c r="R229" s="4" t="n"/>
      <c r="S229" s="4" t="n"/>
      <c r="T229" s="5" t="inlineStr">
        <is>
          <t>AGUARDANDO CARRO</t>
        </is>
      </c>
      <c r="U229" s="8">
        <f>IF(AND(V229=1,D229&lt;&gt;""),IF(D229&gt;=corte,TODAY()-D229,""),"")</f>
        <v/>
      </c>
      <c r="V229" s="8">
        <f>IF(D229="",0,IF(OR(AND(P229&lt;&gt;"",S229=""),AND(N(J229)&gt;0,N(K229)&lt;J229),OR(M229="PENDENTE",M229="PARCIAL"),OR(N229="PENDENTE",N229="PARCIAL")),1,0))</f>
        <v/>
      </c>
      <c r="W229" s="8">
        <f>IF(AND(V229=1,D229&lt;&gt;""),IF(D229&gt;=corte,(B229="CRÍTICO")*1E9+(100000-D229)*10000+10000-ROW(),""),"")</f>
        <v/>
      </c>
      <c r="X229" s="8">
        <f>IF(AND(V229=1,D229=pas_data,E229=pas_turno),10000-ROW(),"")</f>
        <v/>
      </c>
    </row>
    <row r="230">
      <c r="A230" s="3">
        <f>IF(D230="","","TT-"&amp;TEXT(ROW()-1,"00000"))</f>
        <v/>
      </c>
      <c r="B230" s="3">
        <f>IF(D230="","",IF(V230=0,"CONCLUÍDO",IF(D230&lt;corte,"HISTÓRICO",IF(OR(AND(ISNUMBER(R230),R230&lt;TODAY()),AND(OR(N230="PENDENTE",N230="PARCIAL"),D230&lt;TODAY()-1)),"CRÍTICO",IF(OR(AND(P230&lt;&gt;"",S230=""),AND(N230="REALIZADO",M230="PENDENTE"),AND(ISNUMBER(R230),R230=TODAY())),"ATENÇÃO",IF(N(K230)=0,"PENDENTE","EM ANDAMENTO"))))))</f>
        <v/>
      </c>
      <c r="C230" s="3">
        <f>IF(D230="","",IF(V230=0,"🟢 OK",IF(D230&lt;corte,"⚪ HISTÓRICO (sem baixa)",IF(AND(ISNUMBER(R230),R230&lt;TODAY()),"🔴 PRAZO VENCIDO",IF(AND(OR(N230="PENDENTE",N230="PARCIAL"),D230&lt;TODAY()-1),"🔴 EMBARQUE ATRASADO",IF(AND(N230="REALIZADO",M230="PENDENTE"),"🟡 EMBARCADO SEM FATURAR",IF(AND(P230&lt;&gt;"",S230="",OR(Q230="",R230="")),"🟡 PENDÊNCIA SEM RESPONSÁVEL/PRAZO",IF(AND(ISNUMBER(R230),R230=TODAY()),"🟡 VENCE HOJE",IF(AND(P230&lt;&gt;"",S230=""),"🟡 PENDÊNCIA ABERTA",IF(AND(N(J230)&gt;0,N(K230)&lt;J230),"🟡 FALTA EXECUTAR",IF(OR(M230="PENDENTE",M230="PARCIAL"),"🟡 FATURAMENTO PENDENTE","🟡 EMBARQUE PENDENTE")))))))))))</f>
        <v/>
      </c>
      <c r="D230" s="4" t="n">
        <v>46234</v>
      </c>
      <c r="E230" s="5" t="inlineStr">
        <is>
          <t>C</t>
        </is>
      </c>
      <c r="F230" s="5" t="inlineStr">
        <is>
          <t>ADIB</t>
        </is>
      </c>
      <c r="G230" s="5" t="inlineStr">
        <is>
          <t>FOB</t>
        </is>
      </c>
      <c r="H230" s="5" t="inlineStr">
        <is>
          <t>PADEIRÃO</t>
        </is>
      </c>
      <c r="I230" s="5" t="inlineStr">
        <is>
          <t>TON</t>
        </is>
      </c>
      <c r="J230" s="6" t="n">
        <v>8.284000000000001</v>
      </c>
      <c r="K230" s="6" t="n">
        <v>8.284000000000001</v>
      </c>
      <c r="L230" s="7">
        <f>IF(OR(D230="",N(J230)=0),"",MIN(1,N(K230)/J230))</f>
        <v/>
      </c>
      <c r="M230" s="5" t="inlineStr">
        <is>
          <t>PENDENTE</t>
        </is>
      </c>
      <c r="N230" s="5" t="inlineStr">
        <is>
          <t>PENDENTE</t>
        </is>
      </c>
      <c r="O230" s="5" t="inlineStr">
        <is>
          <t>PRÓPRIO</t>
        </is>
      </c>
      <c r="P230" s="5" t="inlineStr">
        <is>
          <t>AGUARDANDO CARRO</t>
        </is>
      </c>
      <c r="Q230" s="5" t="n"/>
      <c r="R230" s="4" t="n"/>
      <c r="S230" s="4" t="n"/>
      <c r="T230" s="5" t="inlineStr">
        <is>
          <t>AGUARDANDO CARRO</t>
        </is>
      </c>
      <c r="U230" s="8">
        <f>IF(AND(V230=1,D230&lt;&gt;""),IF(D230&gt;=corte,TODAY()-D230,""),"")</f>
        <v/>
      </c>
      <c r="V230" s="8">
        <f>IF(D230="",0,IF(OR(AND(P230&lt;&gt;"",S230=""),AND(N(J230)&gt;0,N(K230)&lt;J230),OR(M230="PENDENTE",M230="PARCIAL"),OR(N230="PENDENTE",N230="PARCIAL")),1,0))</f>
        <v/>
      </c>
      <c r="W230" s="8">
        <f>IF(AND(V230=1,D230&lt;&gt;""),IF(D230&gt;=corte,(B230="CRÍTICO")*1E9+(100000-D230)*10000+10000-ROW(),""),"")</f>
        <v/>
      </c>
      <c r="X230" s="8">
        <f>IF(AND(V230=1,D230=pas_data,E230=pas_turno),10000-ROW(),"")</f>
        <v/>
      </c>
    </row>
    <row r="231">
      <c r="A231" s="3">
        <f>IF(D231="","","TT-"&amp;TEXT(ROW()-1,"00000"))</f>
        <v/>
      </c>
      <c r="B231" s="3">
        <f>IF(D231="","",IF(V231=0,"CONCLUÍDO",IF(D231&lt;corte,"HISTÓRICO",IF(OR(AND(ISNUMBER(R231),R231&lt;TODAY()),AND(OR(N231="PENDENTE",N231="PARCIAL"),D231&lt;TODAY()-1)),"CRÍTICO",IF(OR(AND(P231&lt;&gt;"",S231=""),AND(N231="REALIZADO",M231="PENDENTE"),AND(ISNUMBER(R231),R231=TODAY())),"ATENÇÃO",IF(N(K231)=0,"PENDENTE","EM ANDAMENTO"))))))</f>
        <v/>
      </c>
      <c r="C231" s="3">
        <f>IF(D231="","",IF(V231=0,"🟢 OK",IF(D231&lt;corte,"⚪ HISTÓRICO (sem baixa)",IF(AND(ISNUMBER(R231),R231&lt;TODAY()),"🔴 PRAZO VENCIDO",IF(AND(OR(N231="PENDENTE",N231="PARCIAL"),D231&lt;TODAY()-1),"🔴 EMBARQUE ATRASADO",IF(AND(N231="REALIZADO",M231="PENDENTE"),"🟡 EMBARCADO SEM FATURAR",IF(AND(P231&lt;&gt;"",S231="",OR(Q231="",R231="")),"🟡 PENDÊNCIA SEM RESPONSÁVEL/PRAZO",IF(AND(ISNUMBER(R231),R231=TODAY()),"🟡 VENCE HOJE",IF(AND(P231&lt;&gt;"",S231=""),"🟡 PENDÊNCIA ABERTA",IF(AND(N(J231)&gt;0,N(K231)&lt;J231),"🟡 FALTA EXECUTAR",IF(OR(M231="PENDENTE",M231="PARCIAL"),"🟡 FATURAMENTO PENDENTE","🟡 EMBARQUE PENDENTE")))))))))))</f>
        <v/>
      </c>
      <c r="D231" s="4" t="n">
        <v>46234</v>
      </c>
      <c r="E231" s="5" t="inlineStr">
        <is>
          <t>C</t>
        </is>
      </c>
      <c r="F231" s="5" t="inlineStr">
        <is>
          <t>ADIB</t>
        </is>
      </c>
      <c r="G231" s="5" t="inlineStr">
        <is>
          <t>FOB</t>
        </is>
      </c>
      <c r="H231" s="5" t="inlineStr">
        <is>
          <t>MIX TUDO</t>
        </is>
      </c>
      <c r="I231" s="5" t="inlineStr">
        <is>
          <t>TON</t>
        </is>
      </c>
      <c r="J231" s="6" t="n">
        <v>8.664999999999999</v>
      </c>
      <c r="K231" s="6" t="n">
        <v>8.664999999999999</v>
      </c>
      <c r="L231" s="7">
        <f>IF(OR(D231="",N(J231)=0),"",MIN(1,N(K231)/J231))</f>
        <v/>
      </c>
      <c r="M231" s="5" t="inlineStr">
        <is>
          <t>PENDENTE</t>
        </is>
      </c>
      <c r="N231" s="5" t="inlineStr">
        <is>
          <t>PENDENTE</t>
        </is>
      </c>
      <c r="O231" s="5" t="inlineStr">
        <is>
          <t>PRÓPRIO</t>
        </is>
      </c>
      <c r="P231" s="5" t="inlineStr">
        <is>
          <t>AGUARDANDO CARRO</t>
        </is>
      </c>
      <c r="Q231" s="5" t="n"/>
      <c r="R231" s="4" t="n"/>
      <c r="S231" s="4" t="n"/>
      <c r="T231" s="5" t="inlineStr">
        <is>
          <t>AGUARDANDO CARRO</t>
        </is>
      </c>
      <c r="U231" s="8">
        <f>IF(AND(V231=1,D231&lt;&gt;""),IF(D231&gt;=corte,TODAY()-D231,""),"")</f>
        <v/>
      </c>
      <c r="V231" s="8">
        <f>IF(D231="",0,IF(OR(AND(P231&lt;&gt;"",S231=""),AND(N(J231)&gt;0,N(K231)&lt;J231),OR(M231="PENDENTE",M231="PARCIAL"),OR(N231="PENDENTE",N231="PARCIAL")),1,0))</f>
        <v/>
      </c>
      <c r="W231" s="8">
        <f>IF(AND(V231=1,D231&lt;&gt;""),IF(D231&gt;=corte,(B231="CRÍTICO")*1E9+(100000-D231)*10000+10000-ROW(),""),"")</f>
        <v/>
      </c>
      <c r="X231" s="8">
        <f>IF(AND(V231=1,D231=pas_data,E231=pas_turno),10000-ROW(),"")</f>
        <v/>
      </c>
    </row>
    <row r="232">
      <c r="A232" s="3">
        <f>IF(D232="","","TT-"&amp;TEXT(ROW()-1,"00000"))</f>
        <v/>
      </c>
      <c r="B232" s="3">
        <f>IF(D232="","",IF(V232=0,"CONCLUÍDO",IF(D232&lt;corte,"HISTÓRICO",IF(OR(AND(ISNUMBER(R232),R232&lt;TODAY()),AND(OR(N232="PENDENTE",N232="PARCIAL"),D232&lt;TODAY()-1)),"CRÍTICO",IF(OR(AND(P232&lt;&gt;"",S232=""),AND(N232="REALIZADO",M232="PENDENTE"),AND(ISNUMBER(R232),R232=TODAY())),"ATENÇÃO",IF(N(K232)=0,"PENDENTE","EM ANDAMENTO"))))))</f>
        <v/>
      </c>
      <c r="C232" s="3">
        <f>IF(D232="","",IF(V232=0,"🟢 OK",IF(D232&lt;corte,"⚪ HISTÓRICO (sem baixa)",IF(AND(ISNUMBER(R232),R232&lt;TODAY()),"🔴 PRAZO VENCIDO",IF(AND(OR(N232="PENDENTE",N232="PARCIAL"),D232&lt;TODAY()-1),"🔴 EMBARQUE ATRASADO",IF(AND(N232="REALIZADO",M232="PENDENTE"),"🟡 EMBARCADO SEM FATURAR",IF(AND(P232&lt;&gt;"",S232="",OR(Q232="",R232="")),"🟡 PENDÊNCIA SEM RESPONSÁVEL/PRAZO",IF(AND(ISNUMBER(R232),R232=TODAY()),"🟡 VENCE HOJE",IF(AND(P232&lt;&gt;"",S232=""),"🟡 PENDÊNCIA ABERTA",IF(AND(N(J232)&gt;0,N(K232)&lt;J232),"🟡 FALTA EXECUTAR",IF(OR(M232="PENDENTE",M232="PARCIAL"),"🟡 FATURAMENTO PENDENTE","🟡 EMBARQUE PENDENTE")))))))))))</f>
        <v/>
      </c>
      <c r="D232" s="4" t="n">
        <v>46234</v>
      </c>
      <c r="E232" s="5" t="inlineStr">
        <is>
          <t>C</t>
        </is>
      </c>
      <c r="F232" s="5" t="inlineStr">
        <is>
          <t>ADIB</t>
        </is>
      </c>
      <c r="G232" s="5" t="inlineStr">
        <is>
          <t>RECEBIMENTO</t>
        </is>
      </c>
      <c r="H232" s="5" t="inlineStr">
        <is>
          <t>CACAU</t>
        </is>
      </c>
      <c r="I232" s="5" t="inlineStr">
        <is>
          <t>PALETE</t>
        </is>
      </c>
      <c r="J232" s="6" t="n">
        <v>12</v>
      </c>
      <c r="K232" s="6" t="n">
        <v>12</v>
      </c>
      <c r="L232" s="7">
        <f>IF(OR(D232="",N(J232)=0),"",MIN(1,N(K232)/J232))</f>
        <v/>
      </c>
      <c r="M232" s="5" t="inlineStr">
        <is>
          <t>FATURADO</t>
        </is>
      </c>
      <c r="N232" s="5" t="inlineStr">
        <is>
          <t>REALIZADO</t>
        </is>
      </c>
      <c r="O232" s="5" t="inlineStr">
        <is>
          <t>TIO CARLO</t>
        </is>
      </c>
      <c r="P232" s="5" t="n"/>
      <c r="Q232" s="5" t="n"/>
      <c r="R232" s="4" t="n"/>
      <c r="S232" s="4" t="n"/>
      <c r="T232" s="5" t="inlineStr">
        <is>
          <t>REALIZADA ENTRADA E ARMAZENADO [MIGRAÇÃO: programação original: RECEB CACAU]</t>
        </is>
      </c>
      <c r="U232" s="8">
        <f>IF(AND(V232=1,D232&lt;&gt;""),IF(D232&gt;=corte,TODAY()-D232,""),"")</f>
        <v/>
      </c>
      <c r="V232" s="8">
        <f>IF(D232="",0,IF(OR(AND(P232&lt;&gt;"",S232=""),AND(N(J232)&gt;0,N(K232)&lt;J232),OR(M232="PENDENTE",M232="PARCIAL"),OR(N232="PENDENTE",N232="PARCIAL")),1,0))</f>
        <v/>
      </c>
      <c r="W232" s="8">
        <f>IF(AND(V232=1,D232&lt;&gt;""),IF(D232&gt;=corte,(B232="CRÍTICO")*1E9+(100000-D232)*10000+10000-ROW(),""),"")</f>
        <v/>
      </c>
      <c r="X232" s="8">
        <f>IF(AND(V232=1,D232=pas_data,E232=pas_turno),10000-ROW(),"")</f>
        <v/>
      </c>
    </row>
    <row r="233">
      <c r="A233" s="3">
        <f>IF(D233="","","TT-"&amp;TEXT(ROW()-1,"00000"))</f>
        <v/>
      </c>
      <c r="B233" s="3">
        <f>IF(D233="","",IF(V233=0,"CONCLUÍDO",IF(D233&lt;corte,"HISTÓRICO",IF(OR(AND(ISNUMBER(R233),R233&lt;TODAY()),AND(OR(N233="PENDENTE",N233="PARCIAL"),D233&lt;TODAY()-1)),"CRÍTICO",IF(OR(AND(P233&lt;&gt;"",S233=""),AND(N233="REALIZADO",M233="PENDENTE"),AND(ISNUMBER(R233),R233=TODAY())),"ATENÇÃO",IF(N(K233)=0,"PENDENTE","EM ANDAMENTO"))))))</f>
        <v/>
      </c>
      <c r="C233" s="3">
        <f>IF(D233="","",IF(V233=0,"🟢 OK",IF(D233&lt;corte,"⚪ HISTÓRICO (sem baixa)",IF(AND(ISNUMBER(R233),R233&lt;TODAY()),"🔴 PRAZO VENCIDO",IF(AND(OR(N233="PENDENTE",N233="PARCIAL"),D233&lt;TODAY()-1),"🔴 EMBARQUE ATRASADO",IF(AND(N233="REALIZADO",M233="PENDENTE"),"🟡 EMBARCADO SEM FATURAR",IF(AND(P233&lt;&gt;"",S233="",OR(Q233="",R233="")),"🟡 PENDÊNCIA SEM RESPONSÁVEL/PRAZO",IF(AND(ISNUMBER(R233),R233=TODAY()),"🟡 VENCE HOJE",IF(AND(P233&lt;&gt;"",S233=""),"🟡 PENDÊNCIA ABERTA",IF(AND(N(J233)&gt;0,N(K233)&lt;J233),"🟡 FALTA EXECUTAR",IF(OR(M233="PENDENTE",M233="PARCIAL"),"🟡 FATURAMENTO PENDENTE","🟡 EMBARQUE PENDENTE")))))))))))</f>
        <v/>
      </c>
      <c r="D233" s="4" t="n">
        <v>46234</v>
      </c>
      <c r="E233" s="5" t="inlineStr">
        <is>
          <t>C</t>
        </is>
      </c>
      <c r="F233" s="5" t="inlineStr">
        <is>
          <t>ADIB</t>
        </is>
      </c>
      <c r="G233" s="5" t="inlineStr">
        <is>
          <t>GM</t>
        </is>
      </c>
      <c r="H233" s="5" t="inlineStr">
        <is>
          <t>SP CAP</t>
        </is>
      </c>
      <c r="I233" s="5" t="inlineStr">
        <is>
          <t>TON</t>
        </is>
      </c>
      <c r="J233" s="6" t="n">
        <v>0.5600000000000001</v>
      </c>
      <c r="K233" s="6" t="n">
        <v>0.5600000000000001</v>
      </c>
      <c r="L233" s="7">
        <f>IF(OR(D233="",N(J233)=0),"",MIN(1,N(K233)/J233))</f>
        <v/>
      </c>
      <c r="M233" s="5" t="inlineStr">
        <is>
          <t>FATURADO</t>
        </is>
      </c>
      <c r="N233" s="5" t="inlineStr">
        <is>
          <t>REALIZADO</t>
        </is>
      </c>
      <c r="O233" s="5" t="inlineStr">
        <is>
          <t>SMARTLOG</t>
        </is>
      </c>
      <c r="P233" s="5" t="n"/>
      <c r="Q233" s="5" t="n"/>
      <c r="R233" s="4" t="n"/>
      <c r="S233" s="4" t="n"/>
      <c r="T233" s="5" t="n"/>
      <c r="U233" s="8">
        <f>IF(AND(V233=1,D233&lt;&gt;""),IF(D233&gt;=corte,TODAY()-D233,""),"")</f>
        <v/>
      </c>
      <c r="V233" s="8">
        <f>IF(D233="",0,IF(OR(AND(P233&lt;&gt;"",S233=""),AND(N(J233)&gt;0,N(K233)&lt;J233),OR(M233="PENDENTE",M233="PARCIAL"),OR(N233="PENDENTE",N233="PARCIAL")),1,0))</f>
        <v/>
      </c>
      <c r="W233" s="8">
        <f>IF(AND(V233=1,D233&lt;&gt;""),IF(D233&gt;=corte,(B233="CRÍTICO")*1E9+(100000-D233)*10000+10000-ROW(),""),"")</f>
        <v/>
      </c>
      <c r="X233" s="8">
        <f>IF(AND(V233=1,D233=pas_data,E233=pas_turno),10000-ROW(),"")</f>
        <v/>
      </c>
    </row>
    <row r="234">
      <c r="A234" s="3">
        <f>IF(D234="","","TT-"&amp;TEXT(ROW()-1,"00000"))</f>
        <v/>
      </c>
      <c r="B234" s="3">
        <f>IF(D234="","",IF(V234=0,"CONCLUÍDO",IF(D234&lt;corte,"HISTÓRICO",IF(OR(AND(ISNUMBER(R234),R234&lt;TODAY()),AND(OR(N234="PENDENTE",N234="PARCIAL"),D234&lt;TODAY()-1)),"CRÍTICO",IF(OR(AND(P234&lt;&gt;"",S234=""),AND(N234="REALIZADO",M234="PENDENTE"),AND(ISNUMBER(R234),R234=TODAY())),"ATENÇÃO",IF(N(K234)=0,"PENDENTE","EM ANDAMENTO"))))))</f>
        <v/>
      </c>
      <c r="C234" s="3">
        <f>IF(D234="","",IF(V234=0,"🟢 OK",IF(D234&lt;corte,"⚪ HISTÓRICO (sem baixa)",IF(AND(ISNUMBER(R234),R234&lt;TODAY()),"🔴 PRAZO VENCIDO",IF(AND(OR(N234="PENDENTE",N234="PARCIAL"),D234&lt;TODAY()-1),"🔴 EMBARQUE ATRASADO",IF(AND(N234="REALIZADO",M234="PENDENTE"),"🟡 EMBARCADO SEM FATURAR",IF(AND(P234&lt;&gt;"",S234="",OR(Q234="",R234="")),"🟡 PENDÊNCIA SEM RESPONSÁVEL/PRAZO",IF(AND(ISNUMBER(R234),R234=TODAY()),"🟡 VENCE HOJE",IF(AND(P234&lt;&gt;"",S234=""),"🟡 PENDÊNCIA ABERTA",IF(AND(N(J234)&gt;0,N(K234)&lt;J234),"🟡 FALTA EXECUTAR",IF(OR(M234="PENDENTE",M234="PARCIAL"),"🟡 FATURAMENTO PENDENTE","🟡 EMBARQUE PENDENTE")))))))))))</f>
        <v/>
      </c>
      <c r="D234" s="4" t="n">
        <v>46234</v>
      </c>
      <c r="E234" s="5" t="inlineStr">
        <is>
          <t>C</t>
        </is>
      </c>
      <c r="F234" s="5" t="inlineStr">
        <is>
          <t>ADIB</t>
        </is>
      </c>
      <c r="G234" s="5" t="inlineStr">
        <is>
          <t>FOB</t>
        </is>
      </c>
      <c r="H234" s="5" t="inlineStr">
        <is>
          <t>DISTRIB IMPORT</t>
        </is>
      </c>
      <c r="I234" s="5" t="inlineStr">
        <is>
          <t>TON</t>
        </is>
      </c>
      <c r="J234" s="6" t="n">
        <v>3.436</v>
      </c>
      <c r="K234" s="6" t="n">
        <v>3.436</v>
      </c>
      <c r="L234" s="7">
        <f>IF(OR(D234="",N(J234)=0),"",MIN(1,N(K234)/J234))</f>
        <v/>
      </c>
      <c r="M234" s="5" t="n"/>
      <c r="N234" s="5" t="n"/>
      <c r="O234" s="5" t="inlineStr">
        <is>
          <t>PRÓPRIO</t>
        </is>
      </c>
      <c r="P234" s="5" t="n"/>
      <c r="Q234" s="5" t="n"/>
      <c r="R234" s="4" t="n"/>
      <c r="S234" s="4" t="n"/>
      <c r="T234" s="5" t="n"/>
      <c r="U234" s="8">
        <f>IF(AND(V234=1,D234&lt;&gt;""),IF(D234&gt;=corte,TODAY()-D234,""),"")</f>
        <v/>
      </c>
      <c r="V234" s="8">
        <f>IF(D234="",0,IF(OR(AND(P234&lt;&gt;"",S234=""),AND(N(J234)&gt;0,N(K234)&lt;J234),OR(M234="PENDENTE",M234="PARCIAL"),OR(N234="PENDENTE",N234="PARCIAL")),1,0))</f>
        <v/>
      </c>
      <c r="W234" s="8">
        <f>IF(AND(V234=1,D234&lt;&gt;""),IF(D234&gt;=corte,(B234="CRÍTICO")*1E9+(100000-D234)*10000+10000-ROW(),""),"")</f>
        <v/>
      </c>
      <c r="X234" s="8">
        <f>IF(AND(V234=1,D234=pas_data,E234=pas_turno),10000-ROW(),"")</f>
        <v/>
      </c>
    </row>
    <row r="235">
      <c r="A235" s="3">
        <f>IF(D235="","","TT-"&amp;TEXT(ROW()-1,"00000"))</f>
        <v/>
      </c>
      <c r="B235" s="3">
        <f>IF(D235="","",IF(V235=0,"CONCLUÍDO",IF(D235&lt;corte,"HISTÓRICO",IF(OR(AND(ISNUMBER(R235),R235&lt;TODAY()),AND(OR(N235="PENDENTE",N235="PARCIAL"),D235&lt;TODAY()-1)),"CRÍTICO",IF(OR(AND(P235&lt;&gt;"",S235=""),AND(N235="REALIZADO",M235="PENDENTE"),AND(ISNUMBER(R235),R235=TODAY())),"ATENÇÃO",IF(N(K235)=0,"PENDENTE","EM ANDAMENTO"))))))</f>
        <v/>
      </c>
      <c r="C235" s="3">
        <f>IF(D235="","",IF(V235=0,"🟢 OK",IF(D235&lt;corte,"⚪ HISTÓRICO (sem baixa)",IF(AND(ISNUMBER(R235),R235&lt;TODAY()),"🔴 PRAZO VENCIDO",IF(AND(OR(N235="PENDENTE",N235="PARCIAL"),D235&lt;TODAY()-1),"🔴 EMBARQUE ATRASADO",IF(AND(N235="REALIZADO",M235="PENDENTE"),"🟡 EMBARCADO SEM FATURAR",IF(AND(P235&lt;&gt;"",S235="",OR(Q235="",R235="")),"🟡 PENDÊNCIA SEM RESPONSÁVEL/PRAZO",IF(AND(ISNUMBER(R235),R235=TODAY()),"🟡 VENCE HOJE",IF(AND(P235&lt;&gt;"",S235=""),"🟡 PENDÊNCIA ABERTA",IF(AND(N(J235)&gt;0,N(K235)&lt;J235),"🟡 FALTA EXECUTAR",IF(OR(M235="PENDENTE",M235="PARCIAL"),"🟡 FATURAMENTO PENDENTE","🟡 EMBARQUE PENDENTE")))))))))))</f>
        <v/>
      </c>
      <c r="D235" s="4" t="n">
        <v>46234</v>
      </c>
      <c r="E235" s="5" t="inlineStr">
        <is>
          <t>C</t>
        </is>
      </c>
      <c r="F235" s="5" t="inlineStr">
        <is>
          <t>ADIB</t>
        </is>
      </c>
      <c r="G235" s="5" t="inlineStr">
        <is>
          <t>ABASTECIMENTO</t>
        </is>
      </c>
      <c r="H235" s="5" t="inlineStr">
        <is>
          <t>C.OESTE/ES/NORTE</t>
        </is>
      </c>
      <c r="I235" s="5" t="inlineStr">
        <is>
          <t>PALETE</t>
        </is>
      </c>
      <c r="J235" s="6" t="n">
        <v>22</v>
      </c>
      <c r="K235" s="6" t="n">
        <v>22</v>
      </c>
      <c r="L235" s="7">
        <f>IF(OR(D235="",N(J235)=0),"",MIN(1,N(K235)/J235))</f>
        <v/>
      </c>
      <c r="M235" s="5" t="n"/>
      <c r="N235" s="5" t="n"/>
      <c r="O235" s="5" t="n"/>
      <c r="P235" s="5" t="n"/>
      <c r="Q235" s="5" t="n"/>
      <c r="R235" s="4" t="n"/>
      <c r="S235" s="4" t="n"/>
      <c r="T235" s="5" t="inlineStr">
        <is>
          <t>ABASTECIMENTO ROTAS C.OESTE/ES/NORTE</t>
        </is>
      </c>
      <c r="U235" s="8">
        <f>IF(AND(V235=1,D235&lt;&gt;""),IF(D235&gt;=corte,TODAY()-D235,""),"")</f>
        <v/>
      </c>
      <c r="V235" s="8">
        <f>IF(D235="",0,IF(OR(AND(P235&lt;&gt;"",S235=""),AND(N(J235)&gt;0,N(K235)&lt;J235),OR(M235="PENDENTE",M235="PARCIAL"),OR(N235="PENDENTE",N235="PARCIAL")),1,0))</f>
        <v/>
      </c>
      <c r="W235" s="8">
        <f>IF(AND(V235=1,D235&lt;&gt;""),IF(D235&gt;=corte,(B235="CRÍTICO")*1E9+(100000-D235)*10000+10000-ROW(),""),"")</f>
        <v/>
      </c>
      <c r="X235" s="8">
        <f>IF(AND(V235=1,D235=pas_data,E235=pas_turno),10000-ROW(),"")</f>
        <v/>
      </c>
    </row>
    <row r="236">
      <c r="A236" s="3">
        <f>IF(D236="","","TT-"&amp;TEXT(ROW()-1,"00000"))</f>
        <v/>
      </c>
      <c r="B236" s="3">
        <f>IF(D236="","",IF(V236=0,"CONCLUÍDO",IF(D236&lt;corte,"HISTÓRICO",IF(OR(AND(ISNUMBER(R236),R236&lt;TODAY()),AND(OR(N236="PENDENTE",N236="PARCIAL"),D236&lt;TODAY()-1)),"CRÍTICO",IF(OR(AND(P236&lt;&gt;"",S236=""),AND(N236="REALIZADO",M236="PENDENTE"),AND(ISNUMBER(R236),R236=TODAY())),"ATENÇÃO",IF(N(K236)=0,"PENDENTE","EM ANDAMENTO"))))))</f>
        <v/>
      </c>
      <c r="C236" s="3">
        <f>IF(D236="","",IF(V236=0,"🟢 OK",IF(D236&lt;corte,"⚪ HISTÓRICO (sem baixa)",IF(AND(ISNUMBER(R236),R236&lt;TODAY()),"🔴 PRAZO VENCIDO",IF(AND(OR(N236="PENDENTE",N236="PARCIAL"),D236&lt;TODAY()-1),"🔴 EMBARQUE ATRASADO",IF(AND(N236="REALIZADO",M236="PENDENTE"),"🟡 EMBARCADO SEM FATURAR",IF(AND(P236&lt;&gt;"",S236="",OR(Q236="",R236="")),"🟡 PENDÊNCIA SEM RESPONSÁVEL/PRAZO",IF(AND(ISNUMBER(R236),R236=TODAY()),"🟡 VENCE HOJE",IF(AND(P236&lt;&gt;"",S236=""),"🟡 PENDÊNCIA ABERTA",IF(AND(N(J236)&gt;0,N(K236)&lt;J236),"🟡 FALTA EXECUTAR",IF(OR(M236="PENDENTE",M236="PARCIAL"),"🟡 FATURAMENTO PENDENTE","🟡 EMBARQUE PENDENTE")))))))))))</f>
        <v/>
      </c>
      <c r="D236" s="4" t="n">
        <v>46234</v>
      </c>
      <c r="E236" s="5" t="inlineStr">
        <is>
          <t>D</t>
        </is>
      </c>
      <c r="F236" s="5" t="inlineStr">
        <is>
          <t>ADAO</t>
        </is>
      </c>
      <c r="G236" s="5" t="inlineStr">
        <is>
          <t>FOB</t>
        </is>
      </c>
      <c r="H236" s="5" t="inlineStr">
        <is>
          <t>RFC / BRAZALMEIDA</t>
        </is>
      </c>
      <c r="I236" s="5" t="inlineStr">
        <is>
          <t>TON</t>
        </is>
      </c>
      <c r="J236" s="6" t="n">
        <v>33.495</v>
      </c>
      <c r="K236" s="6" t="n">
        <v>33.495</v>
      </c>
      <c r="L236" s="7">
        <f>IF(OR(D236="",N(J236)=0),"",MIN(1,N(K236)/J236))</f>
        <v/>
      </c>
      <c r="M236" s="5" t="inlineStr">
        <is>
          <t>FATURADO</t>
        </is>
      </c>
      <c r="N236" s="5" t="inlineStr">
        <is>
          <t>PENDENTE</t>
        </is>
      </c>
      <c r="O236" s="5" t="inlineStr">
        <is>
          <t>PRÓPRIO</t>
        </is>
      </c>
      <c r="P236" s="5" t="n"/>
      <c r="Q236" s="5" t="n"/>
      <c r="R236" s="4" t="n"/>
      <c r="S236" s="4" t="n"/>
      <c r="T236" s="5" t="n"/>
      <c r="U236" s="8">
        <f>IF(AND(V236=1,D236&lt;&gt;""),IF(D236&gt;=corte,TODAY()-D236,""),"")</f>
        <v/>
      </c>
      <c r="V236" s="8">
        <f>IF(D236="",0,IF(OR(AND(P236&lt;&gt;"",S236=""),AND(N(J236)&gt;0,N(K236)&lt;J236),OR(M236="PENDENTE",M236="PARCIAL"),OR(N236="PENDENTE",N236="PARCIAL")),1,0))</f>
        <v/>
      </c>
      <c r="W236" s="8">
        <f>IF(AND(V236=1,D236&lt;&gt;""),IF(D236&gt;=corte,(B236="CRÍTICO")*1E9+(100000-D236)*10000+10000-ROW(),""),"")</f>
        <v/>
      </c>
      <c r="X236" s="8">
        <f>IF(AND(V236=1,D236=pas_data,E236=pas_turno),10000-ROW(),"")</f>
        <v/>
      </c>
    </row>
    <row r="237">
      <c r="A237" s="3">
        <f>IF(D237="","","TT-"&amp;TEXT(ROW()-1,"00000"))</f>
        <v/>
      </c>
      <c r="B237" s="3">
        <f>IF(D237="","",IF(V237=0,"CONCLUÍDO",IF(D237&lt;corte,"HISTÓRICO",IF(OR(AND(ISNUMBER(R237),R237&lt;TODAY()),AND(OR(N237="PENDENTE",N237="PARCIAL"),D237&lt;TODAY()-1)),"CRÍTICO",IF(OR(AND(P237&lt;&gt;"",S237=""),AND(N237="REALIZADO",M237="PENDENTE"),AND(ISNUMBER(R237),R237=TODAY())),"ATENÇÃO",IF(N(K237)=0,"PENDENTE","EM ANDAMENTO"))))))</f>
        <v/>
      </c>
      <c r="C237" s="3">
        <f>IF(D237="","",IF(V237=0,"🟢 OK",IF(D237&lt;corte,"⚪ HISTÓRICO (sem baixa)",IF(AND(ISNUMBER(R237),R237&lt;TODAY()),"🔴 PRAZO VENCIDO",IF(AND(OR(N237="PENDENTE",N237="PARCIAL"),D237&lt;TODAY()-1),"🔴 EMBARQUE ATRASADO",IF(AND(N237="REALIZADO",M237="PENDENTE"),"🟡 EMBARCADO SEM FATURAR",IF(AND(P237&lt;&gt;"",S237="",OR(Q237="",R237="")),"🟡 PENDÊNCIA SEM RESPONSÁVEL/PRAZO",IF(AND(ISNUMBER(R237),R237=TODAY()),"🟡 VENCE HOJE",IF(AND(P237&lt;&gt;"",S237=""),"🟡 PENDÊNCIA ABERTA",IF(AND(N(J237)&gt;0,N(K237)&lt;J237),"🟡 FALTA EXECUTAR",IF(OR(M237="PENDENTE",M237="PARCIAL"),"🟡 FATURAMENTO PENDENTE","🟡 EMBARQUE PENDENTE")))))))))))</f>
        <v/>
      </c>
      <c r="D237" s="4" t="n">
        <v>46234</v>
      </c>
      <c r="E237" s="5" t="inlineStr">
        <is>
          <t>D</t>
        </is>
      </c>
      <c r="F237" s="5" t="inlineStr">
        <is>
          <t>ADAO</t>
        </is>
      </c>
      <c r="G237" s="5" t="inlineStr">
        <is>
          <t>FOB</t>
        </is>
      </c>
      <c r="H237" s="5" t="n"/>
      <c r="I237" s="5" t="inlineStr">
        <is>
          <t>TON</t>
        </is>
      </c>
      <c r="J237" s="6" t="n">
        <v>0.835</v>
      </c>
      <c r="K237" s="6" t="n">
        <v>0.835</v>
      </c>
      <c r="L237" s="7">
        <f>IF(OR(D237="",N(J237)=0),"",MIN(1,N(K237)/J237))</f>
        <v/>
      </c>
      <c r="M237" s="5" t="inlineStr">
        <is>
          <t>FATURADO</t>
        </is>
      </c>
      <c r="N237" s="5" t="inlineStr">
        <is>
          <t>PENDENTE</t>
        </is>
      </c>
      <c r="O237" s="5" t="inlineStr">
        <is>
          <t>PRÓPRIO</t>
        </is>
      </c>
      <c r="P237" s="5" t="n"/>
      <c r="Q237" s="5" t="n"/>
      <c r="R237" s="4" t="n"/>
      <c r="S237" s="4" t="n"/>
      <c r="T237" s="5" t="n"/>
      <c r="U237" s="8">
        <f>IF(AND(V237=1,D237&lt;&gt;""),IF(D237&gt;=corte,TODAY()-D237,""),"")</f>
        <v/>
      </c>
      <c r="V237" s="8">
        <f>IF(D237="",0,IF(OR(AND(P237&lt;&gt;"",S237=""),AND(N(J237)&gt;0,N(K237)&lt;J237),OR(M237="PENDENTE",M237="PARCIAL"),OR(N237="PENDENTE",N237="PARCIAL")),1,0))</f>
        <v/>
      </c>
      <c r="W237" s="8">
        <f>IF(AND(V237=1,D237&lt;&gt;""),IF(D237&gt;=corte,(B237="CRÍTICO")*1E9+(100000-D237)*10000+10000-ROW(),""),"")</f>
        <v/>
      </c>
      <c r="X237" s="8">
        <f>IF(AND(V237=1,D237=pas_data,E237=pas_turno),10000-ROW(),"")</f>
        <v/>
      </c>
    </row>
    <row r="238">
      <c r="A238" s="3">
        <f>IF(D238="","","TT-"&amp;TEXT(ROW()-1,"00000"))</f>
        <v/>
      </c>
      <c r="B238" s="3">
        <f>IF(D238="","",IF(V238=0,"CONCLUÍDO",IF(D238&lt;corte,"HISTÓRICO",IF(OR(AND(ISNUMBER(R238),R238&lt;TODAY()),AND(OR(N238="PENDENTE",N238="PARCIAL"),D238&lt;TODAY()-1)),"CRÍTICO",IF(OR(AND(P238&lt;&gt;"",S238=""),AND(N238="REALIZADO",M238="PENDENTE"),AND(ISNUMBER(R238),R238=TODAY())),"ATENÇÃO",IF(N(K238)=0,"PENDENTE","EM ANDAMENTO"))))))</f>
        <v/>
      </c>
      <c r="C238" s="3">
        <f>IF(D238="","",IF(V238=0,"🟢 OK",IF(D238&lt;corte,"⚪ HISTÓRICO (sem baixa)",IF(AND(ISNUMBER(R238),R238&lt;TODAY()),"🔴 PRAZO VENCIDO",IF(AND(OR(N238="PENDENTE",N238="PARCIAL"),D238&lt;TODAY()-1),"🔴 EMBARQUE ATRASADO",IF(AND(N238="REALIZADO",M238="PENDENTE"),"🟡 EMBARCADO SEM FATURAR",IF(AND(P238&lt;&gt;"",S238="",OR(Q238="",R238="")),"🟡 PENDÊNCIA SEM RESPONSÁVEL/PRAZO",IF(AND(ISNUMBER(R238),R238=TODAY()),"🟡 VENCE HOJE",IF(AND(P238&lt;&gt;"",S238=""),"🟡 PENDÊNCIA ABERTA",IF(AND(N(J238)&gt;0,N(K238)&lt;J238),"🟡 FALTA EXECUTAR",IF(OR(M238="PENDENTE",M238="PARCIAL"),"🟡 FATURAMENTO PENDENTE","🟡 EMBARQUE PENDENTE")))))))))))</f>
        <v/>
      </c>
      <c r="D238" s="4" t="n">
        <v>46234</v>
      </c>
      <c r="E238" s="5" t="inlineStr">
        <is>
          <t>D</t>
        </is>
      </c>
      <c r="F238" s="5" t="inlineStr">
        <is>
          <t>ADAO</t>
        </is>
      </c>
      <c r="G238" s="5" t="inlineStr">
        <is>
          <t>FOB</t>
        </is>
      </c>
      <c r="H238" s="5" t="n"/>
      <c r="I238" s="5" t="inlineStr">
        <is>
          <t>TON</t>
        </is>
      </c>
      <c r="J238" s="6" t="n">
        <v>15.582</v>
      </c>
      <c r="K238" s="6" t="n">
        <v>15.582</v>
      </c>
      <c r="L238" s="7">
        <f>IF(OR(D238="",N(J238)=0),"",MIN(1,N(K238)/J238))</f>
        <v/>
      </c>
      <c r="M238" s="5" t="inlineStr">
        <is>
          <t>FATURADO</t>
        </is>
      </c>
      <c r="N238" s="5" t="inlineStr">
        <is>
          <t>PENDENTE</t>
        </is>
      </c>
      <c r="O238" s="5" t="inlineStr">
        <is>
          <t>PRÓPRIO</t>
        </is>
      </c>
      <c r="P238" s="5" t="n"/>
      <c r="Q238" s="5" t="n"/>
      <c r="R238" s="4" t="n"/>
      <c r="S238" s="4" t="n"/>
      <c r="T238" s="5" t="n"/>
      <c r="U238" s="8">
        <f>IF(AND(V238=1,D238&lt;&gt;""),IF(D238&gt;=corte,TODAY()-D238,""),"")</f>
        <v/>
      </c>
      <c r="V238" s="8">
        <f>IF(D238="",0,IF(OR(AND(P238&lt;&gt;"",S238=""),AND(N(J238)&gt;0,N(K238)&lt;J238),OR(M238="PENDENTE",M238="PARCIAL"),OR(N238="PENDENTE",N238="PARCIAL")),1,0))</f>
        <v/>
      </c>
      <c r="W238" s="8">
        <f>IF(AND(V238=1,D238&lt;&gt;""),IF(D238&gt;=corte,(B238="CRÍTICO")*1E9+(100000-D238)*10000+10000-ROW(),""),"")</f>
        <v/>
      </c>
      <c r="X238" s="8">
        <f>IF(AND(V238=1,D238=pas_data,E238=pas_turno),10000-ROW(),"")</f>
        <v/>
      </c>
    </row>
    <row r="239">
      <c r="A239" s="3">
        <f>IF(D239="","","TT-"&amp;TEXT(ROW()-1,"00000"))</f>
        <v/>
      </c>
      <c r="B239" s="3">
        <f>IF(D239="","",IF(V239=0,"CONCLUÍDO",IF(D239&lt;corte,"HISTÓRICO",IF(OR(AND(ISNUMBER(R239),R239&lt;TODAY()),AND(OR(N239="PENDENTE",N239="PARCIAL"),D239&lt;TODAY()-1)),"CRÍTICO",IF(OR(AND(P239&lt;&gt;"",S239=""),AND(N239="REALIZADO",M239="PENDENTE"),AND(ISNUMBER(R239),R239=TODAY())),"ATENÇÃO",IF(N(K239)=0,"PENDENTE","EM ANDAMENTO"))))))</f>
        <v/>
      </c>
      <c r="C239" s="3">
        <f>IF(D239="","",IF(V239=0,"🟢 OK",IF(D239&lt;corte,"⚪ HISTÓRICO (sem baixa)",IF(AND(ISNUMBER(R239),R239&lt;TODAY()),"🔴 PRAZO VENCIDO",IF(AND(OR(N239="PENDENTE",N239="PARCIAL"),D239&lt;TODAY()-1),"🔴 EMBARQUE ATRASADO",IF(AND(N239="REALIZADO",M239="PENDENTE"),"🟡 EMBARCADO SEM FATURAR",IF(AND(P239&lt;&gt;"",S239="",OR(Q239="",R239="")),"🟡 PENDÊNCIA SEM RESPONSÁVEL/PRAZO",IF(AND(ISNUMBER(R239),R239=TODAY()),"🟡 VENCE HOJE",IF(AND(P239&lt;&gt;"",S239=""),"🟡 PENDÊNCIA ABERTA",IF(AND(N(J239)&gt;0,N(K239)&lt;J239),"🟡 FALTA EXECUTAR",IF(OR(M239="PENDENTE",M239="PARCIAL"),"🟡 FATURAMENTO PENDENTE","🟡 EMBARQUE PENDENTE")))))))))))</f>
        <v/>
      </c>
      <c r="D239" s="4" t="n">
        <v>46234</v>
      </c>
      <c r="E239" s="5" t="inlineStr">
        <is>
          <t>D</t>
        </is>
      </c>
      <c r="F239" s="5" t="inlineStr">
        <is>
          <t>ADAO</t>
        </is>
      </c>
      <c r="G239" s="5" t="inlineStr">
        <is>
          <t>FOB</t>
        </is>
      </c>
      <c r="H239" s="5" t="inlineStr">
        <is>
          <t>MIX TUDO</t>
        </is>
      </c>
      <c r="I239" s="5" t="inlineStr">
        <is>
          <t>TON</t>
        </is>
      </c>
      <c r="J239" s="6" t="n">
        <v>8.220000000000001</v>
      </c>
      <c r="K239" s="6" t="n">
        <v>8.220000000000001</v>
      </c>
      <c r="L239" s="7">
        <f>IF(OR(D239="",N(J239)=0),"",MIN(1,N(K239)/J239))</f>
        <v/>
      </c>
      <c r="M239" s="5" t="inlineStr">
        <is>
          <t>FATURADO</t>
        </is>
      </c>
      <c r="N239" s="5" t="inlineStr">
        <is>
          <t>PENDENTE</t>
        </is>
      </c>
      <c r="O239" s="5" t="inlineStr">
        <is>
          <t>PRÓPRIO</t>
        </is>
      </c>
      <c r="P239" s="5" t="n"/>
      <c r="Q239" s="5" t="n"/>
      <c r="R239" s="4" t="n"/>
      <c r="S239" s="4" t="n"/>
      <c r="T239" s="5" t="n"/>
      <c r="U239" s="8">
        <f>IF(AND(V239=1,D239&lt;&gt;""),IF(D239&gt;=corte,TODAY()-D239,""),"")</f>
        <v/>
      </c>
      <c r="V239" s="8">
        <f>IF(D239="",0,IF(OR(AND(P239&lt;&gt;"",S239=""),AND(N(J239)&gt;0,N(K239)&lt;J239),OR(M239="PENDENTE",M239="PARCIAL"),OR(N239="PENDENTE",N239="PARCIAL")),1,0))</f>
        <v/>
      </c>
      <c r="W239" s="8">
        <f>IF(AND(V239=1,D239&lt;&gt;""),IF(D239&gt;=corte,(B239="CRÍTICO")*1E9+(100000-D239)*10000+10000-ROW(),""),"")</f>
        <v/>
      </c>
      <c r="X239" s="8">
        <f>IF(AND(V239=1,D239=pas_data,E239=pas_turno),10000-ROW(),"")</f>
        <v/>
      </c>
    </row>
    <row r="240">
      <c r="A240" s="3">
        <f>IF(D240="","","TT-"&amp;TEXT(ROW()-1,"00000"))</f>
        <v/>
      </c>
      <c r="B240" s="3">
        <f>IF(D240="","",IF(V240=0,"CONCLUÍDO",IF(D240&lt;corte,"HISTÓRICO",IF(OR(AND(ISNUMBER(R240),R240&lt;TODAY()),AND(OR(N240="PENDENTE",N240="PARCIAL"),D240&lt;TODAY()-1)),"CRÍTICO",IF(OR(AND(P240&lt;&gt;"",S240=""),AND(N240="REALIZADO",M240="PENDENTE"),AND(ISNUMBER(R240),R240=TODAY())),"ATENÇÃO",IF(N(K240)=0,"PENDENTE","EM ANDAMENTO"))))))</f>
        <v/>
      </c>
      <c r="C240" s="3">
        <f>IF(D240="","",IF(V240=0,"🟢 OK",IF(D240&lt;corte,"⚪ HISTÓRICO (sem baixa)",IF(AND(ISNUMBER(R240),R240&lt;TODAY()),"🔴 PRAZO VENCIDO",IF(AND(OR(N240="PENDENTE",N240="PARCIAL"),D240&lt;TODAY()-1),"🔴 EMBARQUE ATRASADO",IF(AND(N240="REALIZADO",M240="PENDENTE"),"🟡 EMBARCADO SEM FATURAR",IF(AND(P240&lt;&gt;"",S240="",OR(Q240="",R240="")),"🟡 PENDÊNCIA SEM RESPONSÁVEL/PRAZO",IF(AND(ISNUMBER(R240),R240=TODAY()),"🟡 VENCE HOJE",IF(AND(P240&lt;&gt;"",S240=""),"🟡 PENDÊNCIA ABERTA",IF(AND(N(J240)&gt;0,N(K240)&lt;J240),"🟡 FALTA EXECUTAR",IF(OR(M240="PENDENTE",M240="PARCIAL"),"🟡 FATURAMENTO PENDENTE","🟡 EMBARQUE PENDENTE")))))))))))</f>
        <v/>
      </c>
      <c r="D240" s="4" t="n">
        <v>46234</v>
      </c>
      <c r="E240" s="5" t="inlineStr">
        <is>
          <t>D</t>
        </is>
      </c>
      <c r="F240" s="5" t="inlineStr">
        <is>
          <t>ADAO</t>
        </is>
      </c>
      <c r="G240" s="5" t="inlineStr">
        <is>
          <t>FOB</t>
        </is>
      </c>
      <c r="H240" s="5" t="n"/>
      <c r="I240" s="5" t="inlineStr">
        <is>
          <t>TON</t>
        </is>
      </c>
      <c r="J240" s="6" t="n">
        <v>12.063</v>
      </c>
      <c r="K240" s="6" t="n">
        <v>12.063</v>
      </c>
      <c r="L240" s="7">
        <f>IF(OR(D240="",N(J240)=0),"",MIN(1,N(K240)/J240))</f>
        <v/>
      </c>
      <c r="M240" s="5" t="inlineStr">
        <is>
          <t>FATURADO</t>
        </is>
      </c>
      <c r="N240" s="5" t="n"/>
      <c r="O240" s="5" t="inlineStr">
        <is>
          <t>PRÓPRIO</t>
        </is>
      </c>
      <c r="P240" s="5" t="n"/>
      <c r="Q240" s="5" t="n"/>
      <c r="R240" s="4" t="n"/>
      <c r="S240" s="4" t="n"/>
      <c r="T240" s="5" t="n"/>
      <c r="U240" s="8">
        <f>IF(AND(V240=1,D240&lt;&gt;""),IF(D240&gt;=corte,TODAY()-D240,""),"")</f>
        <v/>
      </c>
      <c r="V240" s="8">
        <f>IF(D240="",0,IF(OR(AND(P240&lt;&gt;"",S240=""),AND(N(J240)&gt;0,N(K240)&lt;J240),OR(M240="PENDENTE",M240="PARCIAL"),OR(N240="PENDENTE",N240="PARCIAL")),1,0))</f>
        <v/>
      </c>
      <c r="W240" s="8">
        <f>IF(AND(V240=1,D240&lt;&gt;""),IF(D240&gt;=corte,(B240="CRÍTICO")*1E9+(100000-D240)*10000+10000-ROW(),""),"")</f>
        <v/>
      </c>
      <c r="X240" s="8">
        <f>IF(AND(V240=1,D240=pas_data,E240=pas_turno),10000-ROW(),"")</f>
        <v/>
      </c>
    </row>
    <row r="241">
      <c r="A241" s="3">
        <f>IF(D241="","","TT-"&amp;TEXT(ROW()-1,"00000"))</f>
        <v/>
      </c>
      <c r="B241" s="3">
        <f>IF(D241="","",IF(V241=0,"CONCLUÍDO",IF(D241&lt;corte,"HISTÓRICO",IF(OR(AND(ISNUMBER(R241),R241&lt;TODAY()),AND(OR(N241="PENDENTE",N241="PARCIAL"),D241&lt;TODAY()-1)),"CRÍTICO",IF(OR(AND(P241&lt;&gt;"",S241=""),AND(N241="REALIZADO",M241="PENDENTE"),AND(ISNUMBER(R241),R241=TODAY())),"ATENÇÃO",IF(N(K241)=0,"PENDENTE","EM ANDAMENTO"))))))</f>
        <v/>
      </c>
      <c r="C241" s="3">
        <f>IF(D241="","",IF(V241=0,"🟢 OK",IF(D241&lt;corte,"⚪ HISTÓRICO (sem baixa)",IF(AND(ISNUMBER(R241),R241&lt;TODAY()),"🔴 PRAZO VENCIDO",IF(AND(OR(N241="PENDENTE",N241="PARCIAL"),D241&lt;TODAY()-1),"🔴 EMBARQUE ATRASADO",IF(AND(N241="REALIZADO",M241="PENDENTE"),"🟡 EMBARCADO SEM FATURAR",IF(AND(P241&lt;&gt;"",S241="",OR(Q241="",R241="")),"🟡 PENDÊNCIA SEM RESPONSÁVEL/PRAZO",IF(AND(ISNUMBER(R241),R241=TODAY()),"🟡 VENCE HOJE",IF(AND(P241&lt;&gt;"",S241=""),"🟡 PENDÊNCIA ABERTA",IF(AND(N(J241)&gt;0,N(K241)&lt;J241),"🟡 FALTA EXECUTAR",IF(OR(M241="PENDENTE",M241="PARCIAL"),"🟡 FATURAMENTO PENDENTE","🟡 EMBARQUE PENDENTE")))))))))))</f>
        <v/>
      </c>
      <c r="D241" s="4" t="n">
        <v>46234</v>
      </c>
      <c r="E241" s="5" t="inlineStr">
        <is>
          <t>D</t>
        </is>
      </c>
      <c r="F241" s="5" t="inlineStr">
        <is>
          <t>ADAO</t>
        </is>
      </c>
      <c r="G241" s="5" t="inlineStr">
        <is>
          <t>FOB</t>
        </is>
      </c>
      <c r="H241" s="5" t="n"/>
      <c r="I241" s="5" t="inlineStr">
        <is>
          <t>TON</t>
        </is>
      </c>
      <c r="J241" s="6" t="n">
        <v>10.474</v>
      </c>
      <c r="K241" s="6" t="n">
        <v>10.474</v>
      </c>
      <c r="L241" s="7">
        <f>IF(OR(D241="",N(J241)=0),"",MIN(1,N(K241)/J241))</f>
        <v/>
      </c>
      <c r="M241" s="5" t="inlineStr">
        <is>
          <t>FATURADO</t>
        </is>
      </c>
      <c r="N241" s="5" t="n"/>
      <c r="O241" s="5" t="inlineStr">
        <is>
          <t>PRÓPRIO</t>
        </is>
      </c>
      <c r="P241" s="5" t="n"/>
      <c r="Q241" s="5" t="n"/>
      <c r="R241" s="4" t="n"/>
      <c r="S241" s="4" t="n"/>
      <c r="T241" s="5" t="n"/>
      <c r="U241" s="8">
        <f>IF(AND(V241=1,D241&lt;&gt;""),IF(D241&gt;=corte,TODAY()-D241,""),"")</f>
        <v/>
      </c>
      <c r="V241" s="8">
        <f>IF(D241="",0,IF(OR(AND(P241&lt;&gt;"",S241=""),AND(N(J241)&gt;0,N(K241)&lt;J241),OR(M241="PENDENTE",M241="PARCIAL"),OR(N241="PENDENTE",N241="PARCIAL")),1,0))</f>
        <v/>
      </c>
      <c r="W241" s="8">
        <f>IF(AND(V241=1,D241&lt;&gt;""),IF(D241&gt;=corte,(B241="CRÍTICO")*1E9+(100000-D241)*10000+10000-ROW(),""),"")</f>
        <v/>
      </c>
      <c r="X241" s="8">
        <f>IF(AND(V241=1,D241=pas_data,E241=pas_turno),10000-ROW(),"")</f>
        <v/>
      </c>
    </row>
    <row r="242">
      <c r="A242" s="3">
        <f>IF(D242="","","TT-"&amp;TEXT(ROW()-1,"00000"))</f>
        <v/>
      </c>
      <c r="B242" s="3">
        <f>IF(D242="","",IF(V242=0,"CONCLUÍDO",IF(D242&lt;corte,"HISTÓRICO",IF(OR(AND(ISNUMBER(R242),R242&lt;TODAY()),AND(OR(N242="PENDENTE",N242="PARCIAL"),D242&lt;TODAY()-1)),"CRÍTICO",IF(OR(AND(P242&lt;&gt;"",S242=""),AND(N242="REALIZADO",M242="PENDENTE"),AND(ISNUMBER(R242),R242=TODAY())),"ATENÇÃO",IF(N(K242)=0,"PENDENTE","EM ANDAMENTO"))))))</f>
        <v/>
      </c>
      <c r="C242" s="3">
        <f>IF(D242="","",IF(V242=0,"🟢 OK",IF(D242&lt;corte,"⚪ HISTÓRICO (sem baixa)",IF(AND(ISNUMBER(R242),R242&lt;TODAY()),"🔴 PRAZO VENCIDO",IF(AND(OR(N242="PENDENTE",N242="PARCIAL"),D242&lt;TODAY()-1),"🔴 EMBARQUE ATRASADO",IF(AND(N242="REALIZADO",M242="PENDENTE"),"🟡 EMBARCADO SEM FATURAR",IF(AND(P242&lt;&gt;"",S242="",OR(Q242="",R242="")),"🟡 PENDÊNCIA SEM RESPONSÁVEL/PRAZO",IF(AND(ISNUMBER(R242),R242=TODAY()),"🟡 VENCE HOJE",IF(AND(P242&lt;&gt;"",S242=""),"🟡 PENDÊNCIA ABERTA",IF(AND(N(J242)&gt;0,N(K242)&lt;J242),"🟡 FALTA EXECUTAR",IF(OR(M242="PENDENTE",M242="PARCIAL"),"🟡 FATURAMENTO PENDENTE","🟡 EMBARQUE PENDENTE")))))))))))</f>
        <v/>
      </c>
      <c r="D242" s="4" t="n">
        <v>46234</v>
      </c>
      <c r="E242" s="5" t="inlineStr">
        <is>
          <t>D</t>
        </is>
      </c>
      <c r="F242" s="5" t="inlineStr">
        <is>
          <t>ADAO</t>
        </is>
      </c>
      <c r="G242" s="5" t="inlineStr">
        <is>
          <t>FM</t>
        </is>
      </c>
      <c r="H242" s="5" t="inlineStr">
        <is>
          <t>MAGNUM</t>
        </is>
      </c>
      <c r="I242" s="5" t="inlineStr">
        <is>
          <t>TON</t>
        </is>
      </c>
      <c r="J242" s="6" t="n">
        <v>20.338</v>
      </c>
      <c r="K242" s="6" t="n">
        <v>20.338</v>
      </c>
      <c r="L242" s="7">
        <f>IF(OR(D242="",N(J242)=0),"",MIN(1,N(K242)/J242))</f>
        <v/>
      </c>
      <c r="M242" s="5" t="inlineStr">
        <is>
          <t>FATURADO</t>
        </is>
      </c>
      <c r="N242" s="5" t="n"/>
      <c r="O242" s="5" t="inlineStr">
        <is>
          <t>SPEEDYLOG</t>
        </is>
      </c>
      <c r="P242" s="5" t="n"/>
      <c r="Q242" s="5" t="n"/>
      <c r="R242" s="4" t="n"/>
      <c r="S242" s="4" t="n"/>
      <c r="T242" s="5" t="n"/>
      <c r="U242" s="8">
        <f>IF(AND(V242=1,D242&lt;&gt;""),IF(D242&gt;=corte,TODAY()-D242,""),"")</f>
        <v/>
      </c>
      <c r="V242" s="8">
        <f>IF(D242="",0,IF(OR(AND(P242&lt;&gt;"",S242=""),AND(N(J242)&gt;0,N(K242)&lt;J242),OR(M242="PENDENTE",M242="PARCIAL"),OR(N242="PENDENTE",N242="PARCIAL")),1,0))</f>
        <v/>
      </c>
      <c r="W242" s="8">
        <f>IF(AND(V242=1,D242&lt;&gt;""),IF(D242&gt;=corte,(B242="CRÍTICO")*1E9+(100000-D242)*10000+10000-ROW(),""),"")</f>
        <v/>
      </c>
      <c r="X242" s="8">
        <f>IF(AND(V242=1,D242=pas_data,E242=pas_turno),10000-ROW(),"")</f>
        <v/>
      </c>
    </row>
    <row r="243">
      <c r="A243" s="3">
        <f>IF(D243="","","TT-"&amp;TEXT(ROW()-1,"00000"))</f>
        <v/>
      </c>
      <c r="B243" s="3">
        <f>IF(D243="","",IF(V243=0,"CONCLUÍDO",IF(D243&lt;corte,"HISTÓRICO",IF(OR(AND(ISNUMBER(R243),R243&lt;TODAY()),AND(OR(N243="PENDENTE",N243="PARCIAL"),D243&lt;TODAY()-1)),"CRÍTICO",IF(OR(AND(P243&lt;&gt;"",S243=""),AND(N243="REALIZADO",M243="PENDENTE"),AND(ISNUMBER(R243),R243=TODAY())),"ATENÇÃO",IF(N(K243)=0,"PENDENTE","EM ANDAMENTO"))))))</f>
        <v/>
      </c>
      <c r="C243" s="3">
        <f>IF(D243="","",IF(V243=0,"🟢 OK",IF(D243&lt;corte,"⚪ HISTÓRICO (sem baixa)",IF(AND(ISNUMBER(R243),R243&lt;TODAY()),"🔴 PRAZO VENCIDO",IF(AND(OR(N243="PENDENTE",N243="PARCIAL"),D243&lt;TODAY()-1),"🔴 EMBARQUE ATRASADO",IF(AND(N243="REALIZADO",M243="PENDENTE"),"🟡 EMBARCADO SEM FATURAR",IF(AND(P243&lt;&gt;"",S243="",OR(Q243="",R243="")),"🟡 PENDÊNCIA SEM RESPONSÁVEL/PRAZO",IF(AND(ISNUMBER(R243),R243=TODAY()),"🟡 VENCE HOJE",IF(AND(P243&lt;&gt;"",S243=""),"🟡 PENDÊNCIA ABERTA",IF(AND(N(J243)&gt;0,N(K243)&lt;J243),"🟡 FALTA EXECUTAR",IF(OR(M243="PENDENTE",M243="PARCIAL"),"🟡 FATURAMENTO PENDENTE","🟡 EMBARQUE PENDENTE")))))))))))</f>
        <v/>
      </c>
      <c r="D243" s="4" t="n">
        <v>46234</v>
      </c>
      <c r="E243" s="5" t="inlineStr">
        <is>
          <t>D</t>
        </is>
      </c>
      <c r="F243" s="5" t="inlineStr">
        <is>
          <t>ADAO</t>
        </is>
      </c>
      <c r="G243" s="5" t="inlineStr">
        <is>
          <t>FM</t>
        </is>
      </c>
      <c r="H243" s="5" t="inlineStr">
        <is>
          <t>M DIAS</t>
        </is>
      </c>
      <c r="I243" s="5" t="inlineStr">
        <is>
          <t>TON</t>
        </is>
      </c>
      <c r="J243" s="6" t="n">
        <v>28.738</v>
      </c>
      <c r="K243" s="6" t="n">
        <v>28.738</v>
      </c>
      <c r="L243" s="7">
        <f>IF(OR(D243="",N(J243)=0),"",MIN(1,N(K243)/J243))</f>
        <v/>
      </c>
      <c r="M243" s="5" t="inlineStr">
        <is>
          <t>FATURADO</t>
        </is>
      </c>
      <c r="N243" s="5" t="n"/>
      <c r="O243" s="5" t="inlineStr">
        <is>
          <t>SPEEDYLOG</t>
        </is>
      </c>
      <c r="P243" s="5" t="n"/>
      <c r="Q243" s="5" t="n"/>
      <c r="R243" s="4" t="n"/>
      <c r="S243" s="4" t="n"/>
      <c r="T243" s="5" t="n"/>
      <c r="U243" s="8">
        <f>IF(AND(V243=1,D243&lt;&gt;""),IF(D243&gt;=corte,TODAY()-D243,""),"")</f>
        <v/>
      </c>
      <c r="V243" s="8">
        <f>IF(D243="",0,IF(OR(AND(P243&lt;&gt;"",S243=""),AND(N(J243)&gt;0,N(K243)&lt;J243),OR(M243="PENDENTE",M243="PARCIAL"),OR(N243="PENDENTE",N243="PARCIAL")),1,0))</f>
        <v/>
      </c>
      <c r="W243" s="8">
        <f>IF(AND(V243=1,D243&lt;&gt;""),IF(D243&gt;=corte,(B243="CRÍTICO")*1E9+(100000-D243)*10000+10000-ROW(),""),"")</f>
        <v/>
      </c>
      <c r="X243" s="8">
        <f>IF(AND(V243=1,D243=pas_data,E243=pas_turno),10000-ROW(),"")</f>
        <v/>
      </c>
    </row>
    <row r="244">
      <c r="A244" s="3">
        <f>IF(D244="","","TT-"&amp;TEXT(ROW()-1,"00000"))</f>
        <v/>
      </c>
      <c r="B244" s="3">
        <f>IF(D244="","",IF(V244=0,"CONCLUÍDO",IF(D244&lt;corte,"HISTÓRICO",IF(OR(AND(ISNUMBER(R244),R244&lt;TODAY()),AND(OR(N244="PENDENTE",N244="PARCIAL"),D244&lt;TODAY()-1)),"CRÍTICO",IF(OR(AND(P244&lt;&gt;"",S244=""),AND(N244="REALIZADO",M244="PENDENTE"),AND(ISNUMBER(R244),R244=TODAY())),"ATENÇÃO",IF(N(K244)=0,"PENDENTE","EM ANDAMENTO"))))))</f>
        <v/>
      </c>
      <c r="C244" s="3">
        <f>IF(D244="","",IF(V244=0,"🟢 OK",IF(D244&lt;corte,"⚪ HISTÓRICO (sem baixa)",IF(AND(ISNUMBER(R244),R244&lt;TODAY()),"🔴 PRAZO VENCIDO",IF(AND(OR(N244="PENDENTE",N244="PARCIAL"),D244&lt;TODAY()-1),"🔴 EMBARQUE ATRASADO",IF(AND(N244="REALIZADO",M244="PENDENTE"),"🟡 EMBARCADO SEM FATURAR",IF(AND(P244&lt;&gt;"",S244="",OR(Q244="",R244="")),"🟡 PENDÊNCIA SEM RESPONSÁVEL/PRAZO",IF(AND(ISNUMBER(R244),R244=TODAY()),"🟡 VENCE HOJE",IF(AND(P244&lt;&gt;"",S244=""),"🟡 PENDÊNCIA ABERTA",IF(AND(N(J244)&gt;0,N(K244)&lt;J244),"🟡 FALTA EXECUTAR",IF(OR(M244="PENDENTE",M244="PARCIAL"),"🟡 FATURAMENTO PENDENTE","🟡 EMBARQUE PENDENTE")))))))))))</f>
        <v/>
      </c>
      <c r="D244" s="4" t="n">
        <v>46234</v>
      </c>
      <c r="E244" s="5" t="inlineStr">
        <is>
          <t>D</t>
        </is>
      </c>
      <c r="F244" s="5" t="inlineStr">
        <is>
          <t>ADAO</t>
        </is>
      </c>
      <c r="G244" s="5" t="inlineStr">
        <is>
          <t>FM</t>
        </is>
      </c>
      <c r="H244" s="5" t="inlineStr">
        <is>
          <t>NESTLE / PANDURATA</t>
        </is>
      </c>
      <c r="I244" s="5" t="inlineStr">
        <is>
          <t>TON</t>
        </is>
      </c>
      <c r="J244" s="6" t="n">
        <v>45.505</v>
      </c>
      <c r="K244" s="6" t="n">
        <v>45.505</v>
      </c>
      <c r="L244" s="7">
        <f>IF(OR(D244="",N(J244)=0),"",MIN(1,N(K244)/J244))</f>
        <v/>
      </c>
      <c r="M244" s="5" t="inlineStr">
        <is>
          <t>FATURADO</t>
        </is>
      </c>
      <c r="N244" s="5" t="n"/>
      <c r="O244" s="5" t="inlineStr">
        <is>
          <t>SPEEDYLOG</t>
        </is>
      </c>
      <c r="P244" s="5" t="n"/>
      <c r="Q244" s="5" t="n"/>
      <c r="R244" s="4" t="n"/>
      <c r="S244" s="4" t="n"/>
      <c r="T244" s="5" t="n"/>
      <c r="U244" s="8">
        <f>IF(AND(V244=1,D244&lt;&gt;""),IF(D244&gt;=corte,TODAY()-D244,""),"")</f>
        <v/>
      </c>
      <c r="V244" s="8">
        <f>IF(D244="",0,IF(OR(AND(P244&lt;&gt;"",S244=""),AND(N(J244)&gt;0,N(K244)&lt;J244),OR(M244="PENDENTE",M244="PARCIAL"),OR(N244="PENDENTE",N244="PARCIAL")),1,0))</f>
        <v/>
      </c>
      <c r="W244" s="8">
        <f>IF(AND(V244=1,D244&lt;&gt;""),IF(D244&gt;=corte,(B244="CRÍTICO")*1E9+(100000-D244)*10000+10000-ROW(),""),"")</f>
        <v/>
      </c>
      <c r="X244" s="8">
        <f>IF(AND(V244=1,D244=pas_data,E244=pas_turno),10000-ROW(),"")</f>
        <v/>
      </c>
    </row>
    <row r="245">
      <c r="A245" s="3">
        <f>IF(D245="","","TT-"&amp;TEXT(ROW()-1,"00000"))</f>
        <v/>
      </c>
      <c r="B245" s="3">
        <f>IF(D245="","",IF(V245=0,"CONCLUÍDO",IF(D245&lt;corte,"HISTÓRICO",IF(OR(AND(ISNUMBER(R245),R245&lt;TODAY()),AND(OR(N245="PENDENTE",N245="PARCIAL"),D245&lt;TODAY()-1)),"CRÍTICO",IF(OR(AND(P245&lt;&gt;"",S245=""),AND(N245="REALIZADO",M245="PENDENTE"),AND(ISNUMBER(R245),R245=TODAY())),"ATENÇÃO",IF(N(K245)=0,"PENDENTE","EM ANDAMENTO"))))))</f>
        <v/>
      </c>
      <c r="C245" s="3">
        <f>IF(D245="","",IF(V245=0,"🟢 OK",IF(D245&lt;corte,"⚪ HISTÓRICO (sem baixa)",IF(AND(ISNUMBER(R245),R245&lt;TODAY()),"🔴 PRAZO VENCIDO",IF(AND(OR(N245="PENDENTE",N245="PARCIAL"),D245&lt;TODAY()-1),"🔴 EMBARQUE ATRASADO",IF(AND(N245="REALIZADO",M245="PENDENTE"),"🟡 EMBARCADO SEM FATURAR",IF(AND(P245&lt;&gt;"",S245="",OR(Q245="",R245="")),"🟡 PENDÊNCIA SEM RESPONSÁVEL/PRAZO",IF(AND(ISNUMBER(R245),R245=TODAY()),"🟡 VENCE HOJE",IF(AND(P245&lt;&gt;"",S245=""),"🟡 PENDÊNCIA ABERTA",IF(AND(N(J245)&gt;0,N(K245)&lt;J245),"🟡 FALTA EXECUTAR",IF(OR(M245="PENDENTE",M245="PARCIAL"),"🟡 FATURAMENTO PENDENTE","🟡 EMBARQUE PENDENTE")))))))))))</f>
        <v/>
      </c>
      <c r="D245" s="4" t="n">
        <v>46234</v>
      </c>
      <c r="E245" s="5" t="inlineStr">
        <is>
          <t>D</t>
        </is>
      </c>
      <c r="F245" s="5" t="inlineStr">
        <is>
          <t>ADAO</t>
        </is>
      </c>
      <c r="G245" s="5" t="inlineStr">
        <is>
          <t>GM</t>
        </is>
      </c>
      <c r="H245" s="5" t="inlineStr">
        <is>
          <t>RJ / SP</t>
        </is>
      </c>
      <c r="I245" s="5" t="inlineStr">
        <is>
          <t>TON</t>
        </is>
      </c>
      <c r="J245" s="6" t="n">
        <v>15.151</v>
      </c>
      <c r="K245" s="6" t="n">
        <v>15.151</v>
      </c>
      <c r="L245" s="7">
        <f>IF(OR(D245="",N(J245)=0),"",MIN(1,N(K245)/J245))</f>
        <v/>
      </c>
      <c r="M245" s="5" t="inlineStr">
        <is>
          <t>FATURADO</t>
        </is>
      </c>
      <c r="N245" s="5" t="n"/>
      <c r="O245" s="5" t="n"/>
      <c r="P245" s="5" t="n"/>
      <c r="Q245" s="5" t="n"/>
      <c r="R245" s="4" t="n"/>
      <c r="S245" s="4" t="n"/>
      <c r="T245" s="5" t="n"/>
      <c r="U245" s="8">
        <f>IF(AND(V245=1,D245&lt;&gt;""),IF(D245&gt;=corte,TODAY()-D245,""),"")</f>
        <v/>
      </c>
      <c r="V245" s="8">
        <f>IF(D245="",0,IF(OR(AND(P245&lt;&gt;"",S245=""),AND(N(J245)&gt;0,N(K245)&lt;J245),OR(M245="PENDENTE",M245="PARCIAL"),OR(N245="PENDENTE",N245="PARCIAL")),1,0))</f>
        <v/>
      </c>
      <c r="W245" s="8">
        <f>IF(AND(V245=1,D245&lt;&gt;""),IF(D245&gt;=corte,(B245="CRÍTICO")*1E9+(100000-D245)*10000+10000-ROW(),""),"")</f>
        <v/>
      </c>
      <c r="X245" s="8">
        <f>IF(AND(V245=1,D245=pas_data,E245=pas_turno),10000-ROW(),"")</f>
        <v/>
      </c>
    </row>
    <row r="246">
      <c r="A246" s="3">
        <f>IF(D246="","","TT-"&amp;TEXT(ROW()-1,"00000"))</f>
        <v/>
      </c>
      <c r="B246" s="3">
        <f>IF(D246="","",IF(V246=0,"CONCLUÍDO",IF(D246&lt;corte,"HISTÓRICO",IF(OR(AND(ISNUMBER(R246),R246&lt;TODAY()),AND(OR(N246="PENDENTE",N246="PARCIAL"),D246&lt;TODAY()-1)),"CRÍTICO",IF(OR(AND(P246&lt;&gt;"",S246=""),AND(N246="REALIZADO",M246="PENDENTE"),AND(ISNUMBER(R246),R246=TODAY())),"ATENÇÃO",IF(N(K246)=0,"PENDENTE","EM ANDAMENTO"))))))</f>
        <v/>
      </c>
      <c r="C246" s="3">
        <f>IF(D246="","",IF(V246=0,"🟢 OK",IF(D246&lt;corte,"⚪ HISTÓRICO (sem baixa)",IF(AND(ISNUMBER(R246),R246&lt;TODAY()),"🔴 PRAZO VENCIDO",IF(AND(OR(N246="PENDENTE",N246="PARCIAL"),D246&lt;TODAY()-1),"🔴 EMBARQUE ATRASADO",IF(AND(N246="REALIZADO",M246="PENDENTE"),"🟡 EMBARCADO SEM FATURAR",IF(AND(P246&lt;&gt;"",S246="",OR(Q246="",R246="")),"🟡 PENDÊNCIA SEM RESPONSÁVEL/PRAZO",IF(AND(ISNUMBER(R246),R246=TODAY()),"🟡 VENCE HOJE",IF(AND(P246&lt;&gt;"",S246=""),"🟡 PENDÊNCIA ABERTA",IF(AND(N(J246)&gt;0,N(K246)&lt;J246),"🟡 FALTA EXECUTAR",IF(OR(M246="PENDENTE",M246="PARCIAL"),"🟡 FATURAMENTO PENDENTE","🟡 EMBARQUE PENDENTE")))))))))))</f>
        <v/>
      </c>
      <c r="D246" s="4" t="n">
        <v>46234</v>
      </c>
      <c r="E246" s="5" t="inlineStr">
        <is>
          <t>D</t>
        </is>
      </c>
      <c r="F246" s="5" t="inlineStr">
        <is>
          <t>ADAO</t>
        </is>
      </c>
      <c r="G246" s="5" t="inlineStr">
        <is>
          <t>FLOOR</t>
        </is>
      </c>
      <c r="H246" s="5" t="inlineStr">
        <is>
          <t>PRODUÇÃO</t>
        </is>
      </c>
      <c r="I246" s="5" t="inlineStr">
        <is>
          <t>PALETE</t>
        </is>
      </c>
      <c r="J246" s="6" t="n">
        <v>155</v>
      </c>
      <c r="K246" s="6" t="n">
        <v>155</v>
      </c>
      <c r="L246" s="7">
        <f>IF(OR(D246="",N(J246)=0),"",MIN(1,N(K246)/J246))</f>
        <v/>
      </c>
      <c r="M246" s="5" t="n"/>
      <c r="N246" s="5" t="n"/>
      <c r="O246" s="5" t="n"/>
      <c r="P246" s="5" t="n"/>
      <c r="Q246" s="5" t="n"/>
      <c r="R246" s="4" t="n"/>
      <c r="S246" s="4" t="n"/>
      <c r="T246" s="5" t="n"/>
      <c r="U246" s="8">
        <f>IF(AND(V246=1,D246&lt;&gt;""),IF(D246&gt;=corte,TODAY()-D246,""),"")</f>
        <v/>
      </c>
      <c r="V246" s="8">
        <f>IF(D246="",0,IF(OR(AND(P246&lt;&gt;"",S246=""),AND(N(J246)&gt;0,N(K246)&lt;J246),OR(M246="PENDENTE",M246="PARCIAL"),OR(N246="PENDENTE",N246="PARCIAL")),1,0))</f>
        <v/>
      </c>
      <c r="W246" s="8">
        <f>IF(AND(V246=1,D246&lt;&gt;""),IF(D246&gt;=corte,(B246="CRÍTICO")*1E9+(100000-D246)*10000+10000-ROW(),""),"")</f>
        <v/>
      </c>
      <c r="X246" s="8">
        <f>IF(AND(V246=1,D246=pas_data,E246=pas_turno),10000-ROW(),"")</f>
        <v/>
      </c>
    </row>
    <row r="247">
      <c r="A247" s="3">
        <f>IF(D247="","","TT-"&amp;TEXT(ROW()-1,"00000"))</f>
        <v/>
      </c>
      <c r="B247" s="3">
        <f>IF(D247="","",IF(V247=0,"CONCLUÍDO",IF(D247&lt;corte,"HISTÓRICO",IF(OR(AND(ISNUMBER(R247),R247&lt;TODAY()),AND(OR(N247="PENDENTE",N247="PARCIAL"),D247&lt;TODAY()-1)),"CRÍTICO",IF(OR(AND(P247&lt;&gt;"",S247=""),AND(N247="REALIZADO",M247="PENDENTE"),AND(ISNUMBER(R247),R247=TODAY())),"ATENÇÃO",IF(N(K247)=0,"PENDENTE","EM ANDAMENTO"))))))</f>
        <v/>
      </c>
      <c r="C247" s="3">
        <f>IF(D247="","",IF(V247=0,"🟢 OK",IF(D247&lt;corte,"⚪ HISTÓRICO (sem baixa)",IF(AND(ISNUMBER(R247),R247&lt;TODAY()),"🔴 PRAZO VENCIDO",IF(AND(OR(N247="PENDENTE",N247="PARCIAL"),D247&lt;TODAY()-1),"🔴 EMBARQUE ATRASADO",IF(AND(N247="REALIZADO",M247="PENDENTE"),"🟡 EMBARCADO SEM FATURAR",IF(AND(P247&lt;&gt;"",S247="",OR(Q247="",R247="")),"🟡 PENDÊNCIA SEM RESPONSÁVEL/PRAZO",IF(AND(ISNUMBER(R247),R247=TODAY()),"🟡 VENCE HOJE",IF(AND(P247&lt;&gt;"",S247=""),"🟡 PENDÊNCIA ABERTA",IF(AND(N(J247)&gt;0,N(K247)&lt;J247),"🟡 FALTA EXECUTAR",IF(OR(M247="PENDENTE",M247="PARCIAL"),"🟡 FATURAMENTO PENDENTE","🟡 EMBARQUE PENDENTE")))))))))))</f>
        <v/>
      </c>
      <c r="D247" s="4" t="n">
        <v>46235</v>
      </c>
      <c r="E247" s="5" t="inlineStr">
        <is>
          <t>A</t>
        </is>
      </c>
      <c r="F247" s="5" t="inlineStr">
        <is>
          <t>TATIANE</t>
        </is>
      </c>
      <c r="G247" s="5" t="inlineStr">
        <is>
          <t>FM</t>
        </is>
      </c>
      <c r="H247" s="5" t="inlineStr">
        <is>
          <t>FM</t>
        </is>
      </c>
      <c r="I247" s="5" t="inlineStr">
        <is>
          <t>TON</t>
        </is>
      </c>
      <c r="J247" s="6" t="n">
        <v>23.518</v>
      </c>
      <c r="K247" s="6" t="n">
        <v>23.518</v>
      </c>
      <c r="L247" s="7">
        <f>IF(OR(D247="",N(J247)=0),"",MIN(1,N(K247)/J247))</f>
        <v/>
      </c>
      <c r="M247" s="5" t="n"/>
      <c r="N247" s="5" t="inlineStr">
        <is>
          <t>REALIZADO</t>
        </is>
      </c>
      <c r="O247" s="5" t="inlineStr">
        <is>
          <t>SPEEDYLOG</t>
        </is>
      </c>
      <c r="P247" s="5" t="n"/>
      <c r="Q247" s="5" t="n"/>
      <c r="R247" s="4" t="n"/>
      <c r="S247" s="4" t="n"/>
      <c r="T247" s="5" t="inlineStr">
        <is>
          <t>EXPEDIDO - JOSUE</t>
        </is>
      </c>
      <c r="U247" s="8">
        <f>IF(AND(V247=1,D247&lt;&gt;""),IF(D247&gt;=corte,TODAY()-D247,""),"")</f>
        <v/>
      </c>
      <c r="V247" s="8">
        <f>IF(D247="",0,IF(OR(AND(P247&lt;&gt;"",S247=""),AND(N(J247)&gt;0,N(K247)&lt;J247),OR(M247="PENDENTE",M247="PARCIAL"),OR(N247="PENDENTE",N247="PARCIAL")),1,0))</f>
        <v/>
      </c>
      <c r="W247" s="8">
        <f>IF(AND(V247=1,D247&lt;&gt;""),IF(D247&gt;=corte,(B247="CRÍTICO")*1E9+(100000-D247)*10000+10000-ROW(),""),"")</f>
        <v/>
      </c>
      <c r="X247" s="8">
        <f>IF(AND(V247=1,D247=pas_data,E247=pas_turno),10000-ROW(),"")</f>
        <v/>
      </c>
    </row>
    <row r="248">
      <c r="A248" s="3">
        <f>IF(D248="","","TT-"&amp;TEXT(ROW()-1,"00000"))</f>
        <v/>
      </c>
      <c r="B248" s="3">
        <f>IF(D248="","",IF(V248=0,"CONCLUÍDO",IF(D248&lt;corte,"HISTÓRICO",IF(OR(AND(ISNUMBER(R248),R248&lt;TODAY()),AND(OR(N248="PENDENTE",N248="PARCIAL"),D248&lt;TODAY()-1)),"CRÍTICO",IF(OR(AND(P248&lt;&gt;"",S248=""),AND(N248="REALIZADO",M248="PENDENTE"),AND(ISNUMBER(R248),R248=TODAY())),"ATENÇÃO",IF(N(K248)=0,"PENDENTE","EM ANDAMENTO"))))))</f>
        <v/>
      </c>
      <c r="C248" s="3">
        <f>IF(D248="","",IF(V248=0,"🟢 OK",IF(D248&lt;corte,"⚪ HISTÓRICO (sem baixa)",IF(AND(ISNUMBER(R248),R248&lt;TODAY()),"🔴 PRAZO VENCIDO",IF(AND(OR(N248="PENDENTE",N248="PARCIAL"),D248&lt;TODAY()-1),"🔴 EMBARQUE ATRASADO",IF(AND(N248="REALIZADO",M248="PENDENTE"),"🟡 EMBARCADO SEM FATURAR",IF(AND(P248&lt;&gt;"",S248="",OR(Q248="",R248="")),"🟡 PENDÊNCIA SEM RESPONSÁVEL/PRAZO",IF(AND(ISNUMBER(R248),R248=TODAY()),"🟡 VENCE HOJE",IF(AND(P248&lt;&gt;"",S248=""),"🟡 PENDÊNCIA ABERTA",IF(AND(N(J248)&gt;0,N(K248)&lt;J248),"🟡 FALTA EXECUTAR",IF(OR(M248="PENDENTE",M248="PARCIAL"),"🟡 FATURAMENTO PENDENTE","🟡 EMBARQUE PENDENTE")))))))))))</f>
        <v/>
      </c>
      <c r="D248" s="4" t="n">
        <v>46235</v>
      </c>
      <c r="E248" s="5" t="inlineStr">
        <is>
          <t>A</t>
        </is>
      </c>
      <c r="F248" s="5" t="inlineStr">
        <is>
          <t>TATIANE</t>
        </is>
      </c>
      <c r="G248" s="5" t="inlineStr">
        <is>
          <t>FOB</t>
        </is>
      </c>
      <c r="H248" s="5" t="inlineStr">
        <is>
          <t>FOB</t>
        </is>
      </c>
      <c r="I248" s="5" t="inlineStr">
        <is>
          <t>TON</t>
        </is>
      </c>
      <c r="J248" s="6" t="n">
        <v>21.172</v>
      </c>
      <c r="K248" s="6" t="n">
        <v>21.172</v>
      </c>
      <c r="L248" s="7">
        <f>IF(OR(D248="",N(J248)=0),"",MIN(1,N(K248)/J248))</f>
        <v/>
      </c>
      <c r="M248" s="5" t="n"/>
      <c r="N248" s="5" t="inlineStr">
        <is>
          <t>REALIZADO</t>
        </is>
      </c>
      <c r="O248" s="5" t="inlineStr">
        <is>
          <t>PRÓPRIO</t>
        </is>
      </c>
      <c r="P248" s="5" t="n"/>
      <c r="Q248" s="5" t="n"/>
      <c r="R248" s="4" t="n"/>
      <c r="S248" s="4" t="n"/>
      <c r="T248" s="5" t="inlineStr">
        <is>
          <t>EXPEDIDO JONATAS</t>
        </is>
      </c>
      <c r="U248" s="8">
        <f>IF(AND(V248=1,D248&lt;&gt;""),IF(D248&gt;=corte,TODAY()-D248,""),"")</f>
        <v/>
      </c>
      <c r="V248" s="8">
        <f>IF(D248="",0,IF(OR(AND(P248&lt;&gt;"",S248=""),AND(N(J248)&gt;0,N(K248)&lt;J248),OR(M248="PENDENTE",M248="PARCIAL"),OR(N248="PENDENTE",N248="PARCIAL")),1,0))</f>
        <v/>
      </c>
      <c r="W248" s="8">
        <f>IF(AND(V248=1,D248&lt;&gt;""),IF(D248&gt;=corte,(B248="CRÍTICO")*1E9+(100000-D248)*10000+10000-ROW(),""),"")</f>
        <v/>
      </c>
      <c r="X248" s="8">
        <f>IF(AND(V248=1,D248=pas_data,E248=pas_turno),10000-ROW(),"")</f>
        <v/>
      </c>
    </row>
    <row r="249">
      <c r="A249" s="3">
        <f>IF(D249="","","TT-"&amp;TEXT(ROW()-1,"00000"))</f>
        <v/>
      </c>
      <c r="B249" s="3">
        <f>IF(D249="","",IF(V249=0,"CONCLUÍDO",IF(D249&lt;corte,"HISTÓRICO",IF(OR(AND(ISNUMBER(R249),R249&lt;TODAY()),AND(OR(N249="PENDENTE",N249="PARCIAL"),D249&lt;TODAY()-1)),"CRÍTICO",IF(OR(AND(P249&lt;&gt;"",S249=""),AND(N249="REALIZADO",M249="PENDENTE"),AND(ISNUMBER(R249),R249=TODAY())),"ATENÇÃO",IF(N(K249)=0,"PENDENTE","EM ANDAMENTO"))))))</f>
        <v/>
      </c>
      <c r="C249" s="3">
        <f>IF(D249="","",IF(V249=0,"🟢 OK",IF(D249&lt;corte,"⚪ HISTÓRICO (sem baixa)",IF(AND(ISNUMBER(R249),R249&lt;TODAY()),"🔴 PRAZO VENCIDO",IF(AND(OR(N249="PENDENTE",N249="PARCIAL"),D249&lt;TODAY()-1),"🔴 EMBARQUE ATRASADO",IF(AND(N249="REALIZADO",M249="PENDENTE"),"🟡 EMBARCADO SEM FATURAR",IF(AND(P249&lt;&gt;"",S249="",OR(Q249="",R249="")),"🟡 PENDÊNCIA SEM RESPONSÁVEL/PRAZO",IF(AND(ISNUMBER(R249),R249=TODAY()),"🟡 VENCE HOJE",IF(AND(P249&lt;&gt;"",S249=""),"🟡 PENDÊNCIA ABERTA",IF(AND(N(J249)&gt;0,N(K249)&lt;J249),"🟡 FALTA EXECUTAR",IF(OR(M249="PENDENTE",M249="PARCIAL"),"🟡 FATURAMENTO PENDENTE","🟡 EMBARQUE PENDENTE")))))))))))</f>
        <v/>
      </c>
      <c r="D249" s="4" t="n">
        <v>46235</v>
      </c>
      <c r="E249" s="5" t="inlineStr">
        <is>
          <t>A</t>
        </is>
      </c>
      <c r="F249" s="5" t="inlineStr">
        <is>
          <t>TATIANE</t>
        </is>
      </c>
      <c r="G249" s="5" t="inlineStr">
        <is>
          <t>FOB</t>
        </is>
      </c>
      <c r="H249" s="5" t="inlineStr">
        <is>
          <t>FOB</t>
        </is>
      </c>
      <c r="I249" s="5" t="inlineStr">
        <is>
          <t>TON</t>
        </is>
      </c>
      <c r="J249" s="6" t="n">
        <v>3.796</v>
      </c>
      <c r="K249" s="6" t="n">
        <v>3.796</v>
      </c>
      <c r="L249" s="7">
        <f>IF(OR(D249="",N(J249)=0),"",MIN(1,N(K249)/J249))</f>
        <v/>
      </c>
      <c r="M249" s="5" t="n"/>
      <c r="N249" s="5" t="inlineStr">
        <is>
          <t>REALIZADO</t>
        </is>
      </c>
      <c r="O249" s="5" t="inlineStr">
        <is>
          <t>PRÓPRIO</t>
        </is>
      </c>
      <c r="P249" s="5" t="n"/>
      <c r="Q249" s="5" t="n"/>
      <c r="R249" s="4" t="n"/>
      <c r="S249" s="4" t="n"/>
      <c r="T249" s="5" t="inlineStr">
        <is>
          <t>EXPEDIDO JOSÉ DENILSON</t>
        </is>
      </c>
      <c r="U249" s="8">
        <f>IF(AND(V249=1,D249&lt;&gt;""),IF(D249&gt;=corte,TODAY()-D249,""),"")</f>
        <v/>
      </c>
      <c r="V249" s="8">
        <f>IF(D249="",0,IF(OR(AND(P249&lt;&gt;"",S249=""),AND(N(J249)&gt;0,N(K249)&lt;J249),OR(M249="PENDENTE",M249="PARCIAL"),OR(N249="PENDENTE",N249="PARCIAL")),1,0))</f>
        <v/>
      </c>
      <c r="W249" s="8">
        <f>IF(AND(V249=1,D249&lt;&gt;""),IF(D249&gt;=corte,(B249="CRÍTICO")*1E9+(100000-D249)*10000+10000-ROW(),""),"")</f>
        <v/>
      </c>
      <c r="X249" s="8">
        <f>IF(AND(V249=1,D249=pas_data,E249=pas_turno),10000-ROW(),"")</f>
        <v/>
      </c>
    </row>
    <row r="250">
      <c r="A250" s="3">
        <f>IF(D250="","","TT-"&amp;TEXT(ROW()-1,"00000"))</f>
        <v/>
      </c>
      <c r="B250" s="3">
        <f>IF(D250="","",IF(V250=0,"CONCLUÍDO",IF(D250&lt;corte,"HISTÓRICO",IF(OR(AND(ISNUMBER(R250),R250&lt;TODAY()),AND(OR(N250="PENDENTE",N250="PARCIAL"),D250&lt;TODAY()-1)),"CRÍTICO",IF(OR(AND(P250&lt;&gt;"",S250=""),AND(N250="REALIZADO",M250="PENDENTE"),AND(ISNUMBER(R250),R250=TODAY())),"ATENÇÃO",IF(N(K250)=0,"PENDENTE","EM ANDAMENTO"))))))</f>
        <v/>
      </c>
      <c r="C250" s="3">
        <f>IF(D250="","",IF(V250=0,"🟢 OK",IF(D250&lt;corte,"⚪ HISTÓRICO (sem baixa)",IF(AND(ISNUMBER(R250),R250&lt;TODAY()),"🔴 PRAZO VENCIDO",IF(AND(OR(N250="PENDENTE",N250="PARCIAL"),D250&lt;TODAY()-1),"🔴 EMBARQUE ATRASADO",IF(AND(N250="REALIZADO",M250="PENDENTE"),"🟡 EMBARCADO SEM FATURAR",IF(AND(P250&lt;&gt;"",S250="",OR(Q250="",R250="")),"🟡 PENDÊNCIA SEM RESPONSÁVEL/PRAZO",IF(AND(ISNUMBER(R250),R250=TODAY()),"🟡 VENCE HOJE",IF(AND(P250&lt;&gt;"",S250=""),"🟡 PENDÊNCIA ABERTA",IF(AND(N(J250)&gt;0,N(K250)&lt;J250),"🟡 FALTA EXECUTAR",IF(OR(M250="PENDENTE",M250="PARCIAL"),"🟡 FATURAMENTO PENDENTE","🟡 EMBARQUE PENDENTE")))))))))))</f>
        <v/>
      </c>
      <c r="D250" s="4" t="n">
        <v>46235</v>
      </c>
      <c r="E250" s="5" t="inlineStr">
        <is>
          <t>A</t>
        </is>
      </c>
      <c r="F250" s="5" t="inlineStr">
        <is>
          <t>TATIANE</t>
        </is>
      </c>
      <c r="G250" s="5" t="inlineStr">
        <is>
          <t>FOB</t>
        </is>
      </c>
      <c r="H250" s="5" t="inlineStr">
        <is>
          <t>FOB</t>
        </is>
      </c>
      <c r="I250" s="5" t="inlineStr">
        <is>
          <t>TON</t>
        </is>
      </c>
      <c r="J250" s="6" t="n">
        <v>12.323</v>
      </c>
      <c r="K250" s="6" t="n">
        <v>12.323</v>
      </c>
      <c r="L250" s="7">
        <f>IF(OR(D250="",N(J250)=0),"",MIN(1,N(K250)/J250))</f>
        <v/>
      </c>
      <c r="M250" s="5" t="n"/>
      <c r="N250" s="5" t="inlineStr">
        <is>
          <t>REALIZADO</t>
        </is>
      </c>
      <c r="O250" s="5" t="inlineStr">
        <is>
          <t>PRÓPRIO</t>
        </is>
      </c>
      <c r="P250" s="5" t="n"/>
      <c r="Q250" s="5" t="n"/>
      <c r="R250" s="4" t="n"/>
      <c r="S250" s="4" t="n"/>
      <c r="T250" s="5" t="inlineStr">
        <is>
          <t>EXPEDIDO MARIO</t>
        </is>
      </c>
      <c r="U250" s="8">
        <f>IF(AND(V250=1,D250&lt;&gt;""),IF(D250&gt;=corte,TODAY()-D250,""),"")</f>
        <v/>
      </c>
      <c r="V250" s="8">
        <f>IF(D250="",0,IF(OR(AND(P250&lt;&gt;"",S250=""),AND(N(J250)&gt;0,N(K250)&lt;J250),OR(M250="PENDENTE",M250="PARCIAL"),OR(N250="PENDENTE",N250="PARCIAL")),1,0))</f>
        <v/>
      </c>
      <c r="W250" s="8">
        <f>IF(AND(V250=1,D250&lt;&gt;""),IF(D250&gt;=corte,(B250="CRÍTICO")*1E9+(100000-D250)*10000+10000-ROW(),""),"")</f>
        <v/>
      </c>
      <c r="X250" s="8">
        <f>IF(AND(V250=1,D250=pas_data,E250=pas_turno),10000-ROW(),"")</f>
        <v/>
      </c>
    </row>
    <row r="251">
      <c r="A251" s="3">
        <f>IF(D251="","","TT-"&amp;TEXT(ROW()-1,"00000"))</f>
        <v/>
      </c>
      <c r="B251" s="3">
        <f>IF(D251="","",IF(V251=0,"CONCLUÍDO",IF(D251&lt;corte,"HISTÓRICO",IF(OR(AND(ISNUMBER(R251),R251&lt;TODAY()),AND(OR(N251="PENDENTE",N251="PARCIAL"),D251&lt;TODAY()-1)),"CRÍTICO",IF(OR(AND(P251&lt;&gt;"",S251=""),AND(N251="REALIZADO",M251="PENDENTE"),AND(ISNUMBER(R251),R251=TODAY())),"ATENÇÃO",IF(N(K251)=0,"PENDENTE","EM ANDAMENTO"))))))</f>
        <v/>
      </c>
      <c r="C251" s="3">
        <f>IF(D251="","",IF(V251=0,"🟢 OK",IF(D251&lt;corte,"⚪ HISTÓRICO (sem baixa)",IF(AND(ISNUMBER(R251),R251&lt;TODAY()),"🔴 PRAZO VENCIDO",IF(AND(OR(N251="PENDENTE",N251="PARCIAL"),D251&lt;TODAY()-1),"🔴 EMBARQUE ATRASADO",IF(AND(N251="REALIZADO",M251="PENDENTE"),"🟡 EMBARCADO SEM FATURAR",IF(AND(P251&lt;&gt;"",S251="",OR(Q251="",R251="")),"🟡 PENDÊNCIA SEM RESPONSÁVEL/PRAZO",IF(AND(ISNUMBER(R251),R251=TODAY()),"🟡 VENCE HOJE",IF(AND(P251&lt;&gt;"",S251=""),"🟡 PENDÊNCIA ABERTA",IF(AND(N(J251)&gt;0,N(K251)&lt;J251),"🟡 FALTA EXECUTAR",IF(OR(M251="PENDENTE",M251="PARCIAL"),"🟡 FATURAMENTO PENDENTE","🟡 EMBARQUE PENDENTE")))))))))))</f>
        <v/>
      </c>
      <c r="D251" s="4" t="n">
        <v>46235</v>
      </c>
      <c r="E251" s="5" t="inlineStr">
        <is>
          <t>A</t>
        </is>
      </c>
      <c r="F251" s="5" t="inlineStr">
        <is>
          <t>TATIANE</t>
        </is>
      </c>
      <c r="G251" s="5" t="inlineStr">
        <is>
          <t>FOB</t>
        </is>
      </c>
      <c r="H251" s="5" t="inlineStr">
        <is>
          <t>FOB</t>
        </is>
      </c>
      <c r="I251" s="5" t="inlineStr">
        <is>
          <t>TON</t>
        </is>
      </c>
      <c r="J251" s="6" t="n">
        <v>3.375</v>
      </c>
      <c r="K251" s="6" t="n">
        <v>3.375</v>
      </c>
      <c r="L251" s="7">
        <f>IF(OR(D251="",N(J251)=0),"",MIN(1,N(K251)/J251))</f>
        <v/>
      </c>
      <c r="M251" s="5" t="n"/>
      <c r="N251" s="5" t="inlineStr">
        <is>
          <t>REALIZADO</t>
        </is>
      </c>
      <c r="O251" s="5" t="inlineStr">
        <is>
          <t>PRÓPRIO</t>
        </is>
      </c>
      <c r="P251" s="5" t="n"/>
      <c r="Q251" s="5" t="n"/>
      <c r="R251" s="4" t="n"/>
      <c r="S251" s="4" t="n"/>
      <c r="T251" s="5" t="inlineStr">
        <is>
          <t>EXPEDIDO MARCELO DANIEL</t>
        </is>
      </c>
      <c r="U251" s="8">
        <f>IF(AND(V251=1,D251&lt;&gt;""),IF(D251&gt;=corte,TODAY()-D251,""),"")</f>
        <v/>
      </c>
      <c r="V251" s="8">
        <f>IF(D251="",0,IF(OR(AND(P251&lt;&gt;"",S251=""),AND(N(J251)&gt;0,N(K251)&lt;J251),OR(M251="PENDENTE",M251="PARCIAL"),OR(N251="PENDENTE",N251="PARCIAL")),1,0))</f>
        <v/>
      </c>
      <c r="W251" s="8">
        <f>IF(AND(V251=1,D251&lt;&gt;""),IF(D251&gt;=corte,(B251="CRÍTICO")*1E9+(100000-D251)*10000+10000-ROW(),""),"")</f>
        <v/>
      </c>
      <c r="X251" s="8">
        <f>IF(AND(V251=1,D251=pas_data,E251=pas_turno),10000-ROW(),"")</f>
        <v/>
      </c>
    </row>
    <row r="252">
      <c r="A252" s="3">
        <f>IF(D252="","","TT-"&amp;TEXT(ROW()-1,"00000"))</f>
        <v/>
      </c>
      <c r="B252" s="3">
        <f>IF(D252="","",IF(V252=0,"CONCLUÍDO",IF(D252&lt;corte,"HISTÓRICO",IF(OR(AND(ISNUMBER(R252),R252&lt;TODAY()),AND(OR(N252="PENDENTE",N252="PARCIAL"),D252&lt;TODAY()-1)),"CRÍTICO",IF(OR(AND(P252&lt;&gt;"",S252=""),AND(N252="REALIZADO",M252="PENDENTE"),AND(ISNUMBER(R252),R252=TODAY())),"ATENÇÃO",IF(N(K252)=0,"PENDENTE","EM ANDAMENTO"))))))</f>
        <v/>
      </c>
      <c r="C252" s="3">
        <f>IF(D252="","",IF(V252=0,"🟢 OK",IF(D252&lt;corte,"⚪ HISTÓRICO (sem baixa)",IF(AND(ISNUMBER(R252),R252&lt;TODAY()),"🔴 PRAZO VENCIDO",IF(AND(OR(N252="PENDENTE",N252="PARCIAL"),D252&lt;TODAY()-1),"🔴 EMBARQUE ATRASADO",IF(AND(N252="REALIZADO",M252="PENDENTE"),"🟡 EMBARCADO SEM FATURAR",IF(AND(P252&lt;&gt;"",S252="",OR(Q252="",R252="")),"🟡 PENDÊNCIA SEM RESPONSÁVEL/PRAZO",IF(AND(ISNUMBER(R252),R252=TODAY()),"🟡 VENCE HOJE",IF(AND(P252&lt;&gt;"",S252=""),"🟡 PENDÊNCIA ABERTA",IF(AND(N(J252)&gt;0,N(K252)&lt;J252),"🟡 FALTA EXECUTAR",IF(OR(M252="PENDENTE",M252="PARCIAL"),"🟡 FATURAMENTO PENDENTE","🟡 EMBARQUE PENDENTE")))))))))))</f>
        <v/>
      </c>
      <c r="D252" s="4" t="n">
        <v>46235</v>
      </c>
      <c r="E252" s="5" t="inlineStr">
        <is>
          <t>A</t>
        </is>
      </c>
      <c r="F252" s="5" t="inlineStr">
        <is>
          <t>TATIANE</t>
        </is>
      </c>
      <c r="G252" s="5" t="inlineStr">
        <is>
          <t>FLOOR</t>
        </is>
      </c>
      <c r="H252" s="5" t="inlineStr">
        <is>
          <t>FLOOR</t>
        </is>
      </c>
      <c r="I252" s="5" t="inlineStr">
        <is>
          <t>PALETE</t>
        </is>
      </c>
      <c r="J252" s="6" t="n">
        <v>50</v>
      </c>
      <c r="K252" s="6" t="n">
        <v>50</v>
      </c>
      <c r="L252" s="7">
        <f>IF(OR(D252="",N(J252)=0),"",MIN(1,N(K252)/J252))</f>
        <v/>
      </c>
      <c r="M252" s="5" t="n"/>
      <c r="N252" s="5" t="n"/>
      <c r="O252" s="5" t="n"/>
      <c r="P252" s="5" t="n"/>
      <c r="Q252" s="5" t="n"/>
      <c r="R252" s="4" t="n"/>
      <c r="S252" s="4" t="n"/>
      <c r="T252" s="5" t="n"/>
      <c r="U252" s="8">
        <f>IF(AND(V252=1,D252&lt;&gt;""),IF(D252&gt;=corte,TODAY()-D252,""),"")</f>
        <v/>
      </c>
      <c r="V252" s="8">
        <f>IF(D252="",0,IF(OR(AND(P252&lt;&gt;"",S252=""),AND(N(J252)&gt;0,N(K252)&lt;J252),OR(M252="PENDENTE",M252="PARCIAL"),OR(N252="PENDENTE",N252="PARCIAL")),1,0))</f>
        <v/>
      </c>
      <c r="W252" s="8">
        <f>IF(AND(V252=1,D252&lt;&gt;""),IF(D252&gt;=corte,(B252="CRÍTICO")*1E9+(100000-D252)*10000+10000-ROW(),""),"")</f>
        <v/>
      </c>
      <c r="X252" s="8">
        <f>IF(AND(V252=1,D252=pas_data,E252=pas_turno),10000-ROW(),"")</f>
        <v/>
      </c>
    </row>
    <row r="253">
      <c r="A253" s="3">
        <f>IF(D253="","","TT-"&amp;TEXT(ROW()-1,"00000"))</f>
        <v/>
      </c>
      <c r="B253" s="3">
        <f>IF(D253="","",IF(V253=0,"CONCLUÍDO",IF(D253&lt;corte,"HISTÓRICO",IF(OR(AND(ISNUMBER(R253),R253&lt;TODAY()),AND(OR(N253="PENDENTE",N253="PARCIAL"),D253&lt;TODAY()-1)),"CRÍTICO",IF(OR(AND(P253&lt;&gt;"",S253=""),AND(N253="REALIZADO",M253="PENDENTE"),AND(ISNUMBER(R253),R253=TODAY())),"ATENÇÃO",IF(N(K253)=0,"PENDENTE","EM ANDAMENTO"))))))</f>
        <v/>
      </c>
      <c r="C253" s="3">
        <f>IF(D253="","",IF(V253=0,"🟢 OK",IF(D253&lt;corte,"⚪ HISTÓRICO (sem baixa)",IF(AND(ISNUMBER(R253),R253&lt;TODAY()),"🔴 PRAZO VENCIDO",IF(AND(OR(N253="PENDENTE",N253="PARCIAL"),D253&lt;TODAY()-1),"🔴 EMBARQUE ATRASADO",IF(AND(N253="REALIZADO",M253="PENDENTE"),"🟡 EMBARCADO SEM FATURAR",IF(AND(P253&lt;&gt;"",S253="",OR(Q253="",R253="")),"🟡 PENDÊNCIA SEM RESPONSÁVEL/PRAZO",IF(AND(ISNUMBER(R253),R253=TODAY()),"🟡 VENCE HOJE",IF(AND(P253&lt;&gt;"",S253=""),"🟡 PENDÊNCIA ABERTA",IF(AND(N(J253)&gt;0,N(K253)&lt;J253),"🟡 FALTA EXECUTAR",IF(OR(M253="PENDENTE",M253="PARCIAL"),"🟡 FATURAMENTO PENDENTE","🟡 EMBARQUE PENDENTE")))))))))))</f>
        <v/>
      </c>
      <c r="D253" s="4" t="n">
        <v>46235</v>
      </c>
      <c r="E253" s="5" t="inlineStr">
        <is>
          <t>A</t>
        </is>
      </c>
      <c r="F253" s="5" t="inlineStr">
        <is>
          <t>TATIANE</t>
        </is>
      </c>
      <c r="G253" s="5" t="inlineStr">
        <is>
          <t>GM</t>
        </is>
      </c>
      <c r="H253" s="5" t="inlineStr">
        <is>
          <t>SUL</t>
        </is>
      </c>
      <c r="I253" s="5" t="inlineStr">
        <is>
          <t>TON</t>
        </is>
      </c>
      <c r="J253" s="6" t="n">
        <v>6.843</v>
      </c>
      <c r="K253" s="6" t="n">
        <v>6.843</v>
      </c>
      <c r="L253" s="7">
        <f>IF(OR(D253="",N(J253)=0),"",MIN(1,N(K253)/J253))</f>
        <v/>
      </c>
      <c r="M253" s="5" t="n"/>
      <c r="N253" s="5" t="inlineStr">
        <is>
          <t>REALIZADO</t>
        </is>
      </c>
      <c r="O253" s="5" t="n"/>
      <c r="P253" s="5" t="n"/>
      <c r="Q253" s="5" t="n"/>
      <c r="R253" s="4" t="n"/>
      <c r="S253" s="4" t="n"/>
      <c r="T253" s="5" t="inlineStr">
        <is>
          <t>EXPEDIDO ODAIR</t>
        </is>
      </c>
      <c r="U253" s="8">
        <f>IF(AND(V253=1,D253&lt;&gt;""),IF(D253&gt;=corte,TODAY()-D253,""),"")</f>
        <v/>
      </c>
      <c r="V253" s="8">
        <f>IF(D253="",0,IF(OR(AND(P253&lt;&gt;"",S253=""),AND(N(J253)&gt;0,N(K253)&lt;J253),OR(M253="PENDENTE",M253="PARCIAL"),OR(N253="PENDENTE",N253="PARCIAL")),1,0))</f>
        <v/>
      </c>
      <c r="W253" s="8">
        <f>IF(AND(V253=1,D253&lt;&gt;""),IF(D253&gt;=corte,(B253="CRÍTICO")*1E9+(100000-D253)*10000+10000-ROW(),""),"")</f>
        <v/>
      </c>
      <c r="X253" s="8">
        <f>IF(AND(V253=1,D253=pas_data,E253=pas_turno),10000-ROW(),"")</f>
        <v/>
      </c>
    </row>
    <row r="254">
      <c r="A254" s="3">
        <f>IF(D254="","","TT-"&amp;TEXT(ROW()-1,"00000"))</f>
        <v/>
      </c>
      <c r="B254" s="3">
        <f>IF(D254="","",IF(V254=0,"CONCLUÍDO",IF(D254&lt;corte,"HISTÓRICO",IF(OR(AND(ISNUMBER(R254),R254&lt;TODAY()),AND(OR(N254="PENDENTE",N254="PARCIAL"),D254&lt;TODAY()-1)),"CRÍTICO",IF(OR(AND(P254&lt;&gt;"",S254=""),AND(N254="REALIZADO",M254="PENDENTE"),AND(ISNUMBER(R254),R254=TODAY())),"ATENÇÃO",IF(N(K254)=0,"PENDENTE","EM ANDAMENTO"))))))</f>
        <v/>
      </c>
      <c r="C254" s="3">
        <f>IF(D254="","",IF(V254=0,"🟢 OK",IF(D254&lt;corte,"⚪ HISTÓRICO (sem baixa)",IF(AND(ISNUMBER(R254),R254&lt;TODAY()),"🔴 PRAZO VENCIDO",IF(AND(OR(N254="PENDENTE",N254="PARCIAL"),D254&lt;TODAY()-1),"🔴 EMBARQUE ATRASADO",IF(AND(N254="REALIZADO",M254="PENDENTE"),"🟡 EMBARCADO SEM FATURAR",IF(AND(P254&lt;&gt;"",S254="",OR(Q254="",R254="")),"🟡 PENDÊNCIA SEM RESPONSÁVEL/PRAZO",IF(AND(ISNUMBER(R254),R254=TODAY()),"🟡 VENCE HOJE",IF(AND(P254&lt;&gt;"",S254=""),"🟡 PENDÊNCIA ABERTA",IF(AND(N(J254)&gt;0,N(K254)&lt;J254),"🟡 FALTA EXECUTAR",IF(OR(M254="PENDENTE",M254="PARCIAL"),"🟡 FATURAMENTO PENDENTE","🟡 EMBARQUE PENDENTE")))))))))))</f>
        <v/>
      </c>
      <c r="D254" s="4" t="n">
        <v>46235</v>
      </c>
      <c r="E254" s="5" t="inlineStr">
        <is>
          <t>A</t>
        </is>
      </c>
      <c r="F254" s="5" t="inlineStr">
        <is>
          <t>TATIANE</t>
        </is>
      </c>
      <c r="G254" s="5" t="inlineStr">
        <is>
          <t>INVENTÁRIO</t>
        </is>
      </c>
      <c r="H254" s="5" t="inlineStr">
        <is>
          <t>INVENTÁRIO</t>
        </is>
      </c>
      <c r="I254" s="5" t="n"/>
      <c r="J254" s="6" t="n"/>
      <c r="K254" s="6" t="n"/>
      <c r="L254" s="7">
        <f>IF(OR(D254="",N(J254)=0),"",MIN(1,N(K254)/J254))</f>
        <v/>
      </c>
      <c r="M254" s="5" t="n"/>
      <c r="N254" s="5" t="n"/>
      <c r="O254" s="5" t="n"/>
      <c r="P254" s="5" t="inlineStr">
        <is>
          <t>FALTA FINALIZAR RUA 04 LADO IMPAR</t>
        </is>
      </c>
      <c r="Q254" s="5" t="n"/>
      <c r="R254" s="4" t="n"/>
      <c r="S254" s="4" t="n"/>
      <c r="T254" s="5" t="inlineStr">
        <is>
          <t>FALTA FINALIZAR RUA 04 LADO IMPAR</t>
        </is>
      </c>
      <c r="U254" s="8">
        <f>IF(AND(V254=1,D254&lt;&gt;""),IF(D254&gt;=corte,TODAY()-D254,""),"")</f>
        <v/>
      </c>
      <c r="V254" s="8">
        <f>IF(D254="",0,IF(OR(AND(P254&lt;&gt;"",S254=""),AND(N(J254)&gt;0,N(K254)&lt;J254),OR(M254="PENDENTE",M254="PARCIAL"),OR(N254="PENDENTE",N254="PARCIAL")),1,0))</f>
        <v/>
      </c>
      <c r="W254" s="8">
        <f>IF(AND(V254=1,D254&lt;&gt;""),IF(D254&gt;=corte,(B254="CRÍTICO")*1E9+(100000-D254)*10000+10000-ROW(),""),"")</f>
        <v/>
      </c>
      <c r="X254" s="8">
        <f>IF(AND(V254=1,D254=pas_data,E254=pas_turno),10000-ROW(),"")</f>
        <v/>
      </c>
    </row>
    <row r="255">
      <c r="A255" s="3">
        <f>IF(D255="","","TT-"&amp;TEXT(ROW()-1,"00000"))</f>
        <v/>
      </c>
      <c r="B255" s="3">
        <f>IF(D255="","",IF(V255=0,"CONCLUÍDO",IF(D255&lt;corte,"HISTÓRICO",IF(OR(AND(ISNUMBER(R255),R255&lt;TODAY()),AND(OR(N255="PENDENTE",N255="PARCIAL"),D255&lt;TODAY()-1)),"CRÍTICO",IF(OR(AND(P255&lt;&gt;"",S255=""),AND(N255="REALIZADO",M255="PENDENTE"),AND(ISNUMBER(R255),R255=TODAY())),"ATENÇÃO",IF(N(K255)=0,"PENDENTE","EM ANDAMENTO"))))))</f>
        <v/>
      </c>
      <c r="C255" s="3">
        <f>IF(D255="","",IF(V255=0,"🟢 OK",IF(D255&lt;corte,"⚪ HISTÓRICO (sem baixa)",IF(AND(ISNUMBER(R255),R255&lt;TODAY()),"🔴 PRAZO VENCIDO",IF(AND(OR(N255="PENDENTE",N255="PARCIAL"),D255&lt;TODAY()-1),"🔴 EMBARQUE ATRASADO",IF(AND(N255="REALIZADO",M255="PENDENTE"),"🟡 EMBARCADO SEM FATURAR",IF(AND(P255&lt;&gt;"",S255="",OR(Q255="",R255="")),"🟡 PENDÊNCIA SEM RESPONSÁVEL/PRAZO",IF(AND(ISNUMBER(R255),R255=TODAY()),"🟡 VENCE HOJE",IF(AND(P255&lt;&gt;"",S255=""),"🟡 PENDÊNCIA ABERTA",IF(AND(N(J255)&gt;0,N(K255)&lt;J255),"🟡 FALTA EXECUTAR",IF(OR(M255="PENDENTE",M255="PARCIAL"),"🟡 FATURAMENTO PENDENTE","🟡 EMBARQUE PENDENTE")))))))))))</f>
        <v/>
      </c>
      <c r="D255" s="4" t="n">
        <v>46235</v>
      </c>
      <c r="E255" s="5" t="inlineStr">
        <is>
          <t>A</t>
        </is>
      </c>
      <c r="F255" s="5" t="inlineStr">
        <is>
          <t>TATIANE</t>
        </is>
      </c>
      <c r="G255" s="5" t="inlineStr">
        <is>
          <t>RECEBIMENTO</t>
        </is>
      </c>
      <c r="H255" s="5" t="inlineStr">
        <is>
          <t>REC CACAU</t>
        </is>
      </c>
      <c r="I255" s="5" t="inlineStr">
        <is>
          <t>TON</t>
        </is>
      </c>
      <c r="J255" s="6" t="n">
        <v>67</v>
      </c>
      <c r="K255" s="6" t="n">
        <v>67</v>
      </c>
      <c r="L255" s="7">
        <f>IF(OR(D255="",N(J255)=0),"",MIN(1,N(K255)/J255))</f>
        <v/>
      </c>
      <c r="M255" s="5" t="n"/>
      <c r="N255" s="5" t="n"/>
      <c r="O255" s="5" t="n"/>
      <c r="P255" s="5" t="inlineStr">
        <is>
          <t>FALTA DAR ENTRADA EM UMA NF 130867</t>
        </is>
      </c>
      <c r="Q255" s="5" t="n"/>
      <c r="R255" s="4" t="n"/>
      <c r="S255" s="4" t="n"/>
      <c r="T255" s="5" t="inlineStr">
        <is>
          <t>FALTA DAR ENTRADA EM UMA NF 130867 [MIGRAÇÃO: programação original: REC CACAU]</t>
        </is>
      </c>
      <c r="U255" s="8">
        <f>IF(AND(V255=1,D255&lt;&gt;""),IF(D255&gt;=corte,TODAY()-D255,""),"")</f>
        <v/>
      </c>
      <c r="V255" s="8">
        <f>IF(D255="",0,IF(OR(AND(P255&lt;&gt;"",S255=""),AND(N(J255)&gt;0,N(K255)&lt;J255),OR(M255="PENDENTE",M255="PARCIAL"),OR(N255="PENDENTE",N255="PARCIAL")),1,0))</f>
        <v/>
      </c>
      <c r="W255" s="8">
        <f>IF(AND(V255=1,D255&lt;&gt;""),IF(D255&gt;=corte,(B255="CRÍTICO")*1E9+(100000-D255)*10000+10000-ROW(),""),"")</f>
        <v/>
      </c>
      <c r="X255" s="8">
        <f>IF(AND(V255=1,D255=pas_data,E255=pas_turno),10000-ROW(),"")</f>
        <v/>
      </c>
    </row>
    <row r="256">
      <c r="A256" s="3">
        <f>IF(D256="","","TT-"&amp;TEXT(ROW()-1,"00000"))</f>
        <v/>
      </c>
      <c r="B256" s="3">
        <f>IF(D256="","",IF(V256=0,"CONCLUÍDO",IF(D256&lt;corte,"HISTÓRICO",IF(OR(AND(ISNUMBER(R256),R256&lt;TODAY()),AND(OR(N256="PENDENTE",N256="PARCIAL"),D256&lt;TODAY()-1)),"CRÍTICO",IF(OR(AND(P256&lt;&gt;"",S256=""),AND(N256="REALIZADO",M256="PENDENTE"),AND(ISNUMBER(R256),R256=TODAY())),"ATENÇÃO",IF(N(K256)=0,"PENDENTE","EM ANDAMENTO"))))))</f>
        <v/>
      </c>
      <c r="C256" s="3">
        <f>IF(D256="","",IF(V256=0,"🟢 OK",IF(D256&lt;corte,"⚪ HISTÓRICO (sem baixa)",IF(AND(ISNUMBER(R256),R256&lt;TODAY()),"🔴 PRAZO VENCIDO",IF(AND(OR(N256="PENDENTE",N256="PARCIAL"),D256&lt;TODAY()-1),"🔴 EMBARQUE ATRASADO",IF(AND(N256="REALIZADO",M256="PENDENTE"),"🟡 EMBARCADO SEM FATURAR",IF(AND(P256&lt;&gt;"",S256="",OR(Q256="",R256="")),"🟡 PENDÊNCIA SEM RESPONSÁVEL/PRAZO",IF(AND(ISNUMBER(R256),R256=TODAY()),"🟡 VENCE HOJE",IF(AND(P256&lt;&gt;"",S256=""),"🟡 PENDÊNCIA ABERTA",IF(AND(N(J256)&gt;0,N(K256)&lt;J256),"🟡 FALTA EXECUTAR",IF(OR(M256="PENDENTE",M256="PARCIAL"),"🟡 FATURAMENTO PENDENTE","🟡 EMBARQUE PENDENTE")))))))))))</f>
        <v/>
      </c>
      <c r="D256" s="4" t="n">
        <v>46235</v>
      </c>
      <c r="E256" s="5" t="inlineStr">
        <is>
          <t>B</t>
        </is>
      </c>
      <c r="F256" s="5" t="inlineStr">
        <is>
          <t>THIAGO</t>
        </is>
      </c>
      <c r="G256" s="5" t="inlineStr">
        <is>
          <t>FLOOR</t>
        </is>
      </c>
      <c r="H256" s="5" t="inlineStr">
        <is>
          <t>PRODUÇÃO / CACAU</t>
        </is>
      </c>
      <c r="I256" s="5" t="inlineStr">
        <is>
          <t>PALETE</t>
        </is>
      </c>
      <c r="J256" s="6" t="n"/>
      <c r="K256" s="6" t="n"/>
      <c r="L256" s="7">
        <f>IF(OR(D256="",N(J256)=0),"",MIN(1,N(K256)/J256))</f>
        <v/>
      </c>
      <c r="M256" s="5" t="n"/>
      <c r="N256" s="5" t="n"/>
      <c r="O256" s="5" t="n"/>
      <c r="P256" s="5" t="n"/>
      <c r="Q256" s="5" t="n"/>
      <c r="R256" s="4" t="n"/>
      <c r="S256" s="4" t="n"/>
      <c r="T256" s="5" t="inlineStr">
        <is>
          <t>[MIGRAÇÃO: data corrigida de 08/01/2026]</t>
        </is>
      </c>
      <c r="U256" s="8">
        <f>IF(AND(V256=1,D256&lt;&gt;""),IF(D256&gt;=corte,TODAY()-D256,""),"")</f>
        <v/>
      </c>
      <c r="V256" s="8">
        <f>IF(D256="",0,IF(OR(AND(P256&lt;&gt;"",S256=""),AND(N(J256)&gt;0,N(K256)&lt;J256),OR(M256="PENDENTE",M256="PARCIAL"),OR(N256="PENDENTE",N256="PARCIAL")),1,0))</f>
        <v/>
      </c>
      <c r="W256" s="8">
        <f>IF(AND(V256=1,D256&lt;&gt;""),IF(D256&gt;=corte,(B256="CRÍTICO")*1E9+(100000-D256)*10000+10000-ROW(),""),"")</f>
        <v/>
      </c>
      <c r="X256" s="8">
        <f>IF(AND(V256=1,D256=pas_data,E256=pas_turno),10000-ROW(),"")</f>
        <v/>
      </c>
    </row>
    <row r="257">
      <c r="A257" s="3">
        <f>IF(D257="","","TT-"&amp;TEXT(ROW()-1,"00000"))</f>
        <v/>
      </c>
      <c r="B257" s="3">
        <f>IF(D257="","",IF(V257=0,"CONCLUÍDO",IF(D257&lt;corte,"HISTÓRICO",IF(OR(AND(ISNUMBER(R257),R257&lt;TODAY()),AND(OR(N257="PENDENTE",N257="PARCIAL"),D257&lt;TODAY()-1)),"CRÍTICO",IF(OR(AND(P257&lt;&gt;"",S257=""),AND(N257="REALIZADO",M257="PENDENTE"),AND(ISNUMBER(R257),R257=TODAY())),"ATENÇÃO",IF(N(K257)=0,"PENDENTE","EM ANDAMENTO"))))))</f>
        <v/>
      </c>
      <c r="C257" s="3">
        <f>IF(D257="","",IF(V257=0,"🟢 OK",IF(D257&lt;corte,"⚪ HISTÓRICO (sem baixa)",IF(AND(ISNUMBER(R257),R257&lt;TODAY()),"🔴 PRAZO VENCIDO",IF(AND(OR(N257="PENDENTE",N257="PARCIAL"),D257&lt;TODAY()-1),"🔴 EMBARQUE ATRASADO",IF(AND(N257="REALIZADO",M257="PENDENTE"),"🟡 EMBARCADO SEM FATURAR",IF(AND(P257&lt;&gt;"",S257="",OR(Q257="",R257="")),"🟡 PENDÊNCIA SEM RESPONSÁVEL/PRAZO",IF(AND(ISNUMBER(R257),R257=TODAY()),"🟡 VENCE HOJE",IF(AND(P257&lt;&gt;"",S257=""),"🟡 PENDÊNCIA ABERTA",IF(AND(N(J257)&gt;0,N(K257)&lt;J257),"🟡 FALTA EXECUTAR",IF(OR(M257="PENDENTE",M257="PARCIAL"),"🟡 FATURAMENTO PENDENTE","🟡 EMBARQUE PENDENTE")))))))))))</f>
        <v/>
      </c>
      <c r="D257" s="4" t="n">
        <v>46235</v>
      </c>
      <c r="E257" s="5" t="inlineStr">
        <is>
          <t>B</t>
        </is>
      </c>
      <c r="F257" s="5" t="inlineStr">
        <is>
          <t>THIAGO</t>
        </is>
      </c>
      <c r="G257" s="5" t="inlineStr">
        <is>
          <t>INVENTÁRIO</t>
        </is>
      </c>
      <c r="H257" s="5" t="inlineStr">
        <is>
          <t>INVENTÁRIO</t>
        </is>
      </c>
      <c r="I257" s="5" t="n"/>
      <c r="J257" s="6" t="n"/>
      <c r="K257" s="6" t="n"/>
      <c r="L257" s="7">
        <f>IF(OR(D257="",N(J257)=0),"",MIN(1,N(K257)/J257))</f>
        <v/>
      </c>
      <c r="M257" s="5" t="n"/>
      <c r="N257" s="5" t="n"/>
      <c r="O257" s="5" t="n"/>
      <c r="P257" s="5" t="n"/>
      <c r="Q257" s="5" t="n"/>
      <c r="R257" s="4" t="n"/>
      <c r="S257" s="4" t="n"/>
      <c r="T257" s="5" t="inlineStr">
        <is>
          <t>[MIGRAÇÃO: data corrigida de 08/01/2026]</t>
        </is>
      </c>
      <c r="U257" s="8">
        <f>IF(AND(V257=1,D257&lt;&gt;""),IF(D257&gt;=corte,TODAY()-D257,""),"")</f>
        <v/>
      </c>
      <c r="V257" s="8">
        <f>IF(D257="",0,IF(OR(AND(P257&lt;&gt;"",S257=""),AND(N(J257)&gt;0,N(K257)&lt;J257),OR(M257="PENDENTE",M257="PARCIAL"),OR(N257="PENDENTE",N257="PARCIAL")),1,0))</f>
        <v/>
      </c>
      <c r="W257" s="8">
        <f>IF(AND(V257=1,D257&lt;&gt;""),IF(D257&gt;=corte,(B257="CRÍTICO")*1E9+(100000-D257)*10000+10000-ROW(),""),"")</f>
        <v/>
      </c>
      <c r="X257" s="8">
        <f>IF(AND(V257=1,D257=pas_data,E257=pas_turno),10000-ROW(),"")</f>
        <v/>
      </c>
    </row>
    <row r="258">
      <c r="A258" s="3">
        <f>IF(D258="","","TT-"&amp;TEXT(ROW()-1,"00000"))</f>
        <v/>
      </c>
      <c r="B258" s="3">
        <f>IF(D258="","",IF(V258=0,"CONCLUÍDO",IF(D258&lt;corte,"HISTÓRICO",IF(OR(AND(ISNUMBER(R258),R258&lt;TODAY()),AND(OR(N258="PENDENTE",N258="PARCIAL"),D258&lt;TODAY()-1)),"CRÍTICO",IF(OR(AND(P258&lt;&gt;"",S258=""),AND(N258="REALIZADO",M258="PENDENTE"),AND(ISNUMBER(R258),R258=TODAY())),"ATENÇÃO",IF(N(K258)=0,"PENDENTE","EM ANDAMENTO"))))))</f>
        <v/>
      </c>
      <c r="C258" s="3">
        <f>IF(D258="","",IF(V258=0,"🟢 OK",IF(D258&lt;corte,"⚪ HISTÓRICO (sem baixa)",IF(AND(ISNUMBER(R258),R258&lt;TODAY()),"🔴 PRAZO VENCIDO",IF(AND(OR(N258="PENDENTE",N258="PARCIAL"),D258&lt;TODAY()-1),"🔴 EMBARQUE ATRASADO",IF(AND(N258="REALIZADO",M258="PENDENTE"),"🟡 EMBARCADO SEM FATURAR",IF(AND(P258&lt;&gt;"",S258="",OR(Q258="",R258="")),"🟡 PENDÊNCIA SEM RESPONSÁVEL/PRAZO",IF(AND(ISNUMBER(R258),R258=TODAY()),"🟡 VENCE HOJE",IF(AND(P258&lt;&gt;"",S258=""),"🟡 PENDÊNCIA ABERTA",IF(AND(N(J258)&gt;0,N(K258)&lt;J258),"🟡 FALTA EXECUTAR",IF(OR(M258="PENDENTE",M258="PARCIAL"),"🟡 FATURAMENTO PENDENTE","🟡 EMBARQUE PENDENTE")))))))))))</f>
        <v/>
      </c>
      <c r="D258" s="4" t="n">
        <v>46236</v>
      </c>
      <c r="E258" s="5" t="inlineStr">
        <is>
          <t>A</t>
        </is>
      </c>
      <c r="F258" s="5" t="inlineStr">
        <is>
          <t>TATIANE</t>
        </is>
      </c>
      <c r="G258" s="5" t="inlineStr">
        <is>
          <t>GRANEL</t>
        </is>
      </c>
      <c r="H258" s="5" t="inlineStr">
        <is>
          <t>GRANEL</t>
        </is>
      </c>
      <c r="I258" s="5" t="inlineStr">
        <is>
          <t>TON</t>
        </is>
      </c>
      <c r="J258" s="6" t="n">
        <v>31.41</v>
      </c>
      <c r="K258" s="6" t="n">
        <v>31.41</v>
      </c>
      <c r="L258" s="7">
        <f>IF(OR(D258="",N(J258)=0),"",MIN(1,N(K258)/J258))</f>
        <v/>
      </c>
      <c r="M258" s="5" t="inlineStr">
        <is>
          <t>FATURADO</t>
        </is>
      </c>
      <c r="N258" s="5" t="inlineStr">
        <is>
          <t>REALIZADO</t>
        </is>
      </c>
      <c r="O258" s="5" t="inlineStr">
        <is>
          <t>JSL</t>
        </is>
      </c>
      <c r="P258" s="5" t="n"/>
      <c r="Q258" s="5" t="n"/>
      <c r="R258" s="4" t="n"/>
      <c r="S258" s="4" t="n"/>
      <c r="T258" s="5" t="n"/>
      <c r="U258" s="8">
        <f>IF(AND(V258=1,D258&lt;&gt;""),IF(D258&gt;=corte,TODAY()-D258,""),"")</f>
        <v/>
      </c>
      <c r="V258" s="8">
        <f>IF(D258="",0,IF(OR(AND(P258&lt;&gt;"",S258=""),AND(N(J258)&gt;0,N(K258)&lt;J258),OR(M258="PENDENTE",M258="PARCIAL"),OR(N258="PENDENTE",N258="PARCIAL")),1,0))</f>
        <v/>
      </c>
      <c r="W258" s="8">
        <f>IF(AND(V258=1,D258&lt;&gt;""),IF(D258&gt;=corte,(B258="CRÍTICO")*1E9+(100000-D258)*10000+10000-ROW(),""),"")</f>
        <v/>
      </c>
      <c r="X258" s="8">
        <f>IF(AND(V258=1,D258=pas_data,E258=pas_turno),10000-ROW(),"")</f>
        <v/>
      </c>
    </row>
    <row r="259">
      <c r="A259" s="3">
        <f>IF(D259="","","TT-"&amp;TEXT(ROW()-1,"00000"))</f>
        <v/>
      </c>
      <c r="B259" s="3">
        <f>IF(D259="","",IF(V259=0,"CONCLUÍDO",IF(D259&lt;corte,"HISTÓRICO",IF(OR(AND(ISNUMBER(R259),R259&lt;TODAY()),AND(OR(N259="PENDENTE",N259="PARCIAL"),D259&lt;TODAY()-1)),"CRÍTICO",IF(OR(AND(P259&lt;&gt;"",S259=""),AND(N259="REALIZADO",M259="PENDENTE"),AND(ISNUMBER(R259),R259=TODAY())),"ATENÇÃO",IF(N(K259)=0,"PENDENTE","EM ANDAMENTO"))))))</f>
        <v/>
      </c>
      <c r="C259" s="3">
        <f>IF(D259="","",IF(V259=0,"🟢 OK",IF(D259&lt;corte,"⚪ HISTÓRICO (sem baixa)",IF(AND(ISNUMBER(R259),R259&lt;TODAY()),"🔴 PRAZO VENCIDO",IF(AND(OR(N259="PENDENTE",N259="PARCIAL"),D259&lt;TODAY()-1),"🔴 EMBARQUE ATRASADO",IF(AND(N259="REALIZADO",M259="PENDENTE"),"🟡 EMBARCADO SEM FATURAR",IF(AND(P259&lt;&gt;"",S259="",OR(Q259="",R259="")),"🟡 PENDÊNCIA SEM RESPONSÁVEL/PRAZO",IF(AND(ISNUMBER(R259),R259=TODAY()),"🟡 VENCE HOJE",IF(AND(P259&lt;&gt;"",S259=""),"🟡 PENDÊNCIA ABERTA",IF(AND(N(J259)&gt;0,N(K259)&lt;J259),"🟡 FALTA EXECUTAR",IF(OR(M259="PENDENTE",M259="PARCIAL"),"🟡 FATURAMENTO PENDENTE","🟡 EMBARQUE PENDENTE")))))))))))</f>
        <v/>
      </c>
      <c r="D259" s="4" t="n">
        <v>46236</v>
      </c>
      <c r="E259" s="5" t="inlineStr">
        <is>
          <t>A</t>
        </is>
      </c>
      <c r="F259" s="5" t="inlineStr">
        <is>
          <t>TATIANE</t>
        </is>
      </c>
      <c r="G259" s="5" t="inlineStr">
        <is>
          <t>FM</t>
        </is>
      </c>
      <c r="H259" s="5" t="inlineStr">
        <is>
          <t>FM</t>
        </is>
      </c>
      <c r="I259" s="5" t="inlineStr">
        <is>
          <t>TON</t>
        </is>
      </c>
      <c r="J259" s="6" t="n">
        <v>26.507</v>
      </c>
      <c r="K259" s="6" t="n">
        <v>26.507</v>
      </c>
      <c r="L259" s="7">
        <f>IF(OR(D259="",N(J259)=0),"",MIN(1,N(K259)/J259))</f>
        <v/>
      </c>
      <c r="M259" s="5" t="n"/>
      <c r="N259" s="5" t="inlineStr">
        <is>
          <t>REALIZADO</t>
        </is>
      </c>
      <c r="O259" s="5" t="inlineStr">
        <is>
          <t>SPEEDYLOG</t>
        </is>
      </c>
      <c r="P259" s="5" t="n"/>
      <c r="Q259" s="5" t="n"/>
      <c r="R259" s="4" t="n"/>
      <c r="S259" s="4" t="n"/>
      <c r="T259" s="5" t="inlineStr">
        <is>
          <t>EXPEDIDO</t>
        </is>
      </c>
      <c r="U259" s="8">
        <f>IF(AND(V259=1,D259&lt;&gt;""),IF(D259&gt;=corte,TODAY()-D259,""),"")</f>
        <v/>
      </c>
      <c r="V259" s="8">
        <f>IF(D259="",0,IF(OR(AND(P259&lt;&gt;"",S259=""),AND(N(J259)&gt;0,N(K259)&lt;J259),OR(M259="PENDENTE",M259="PARCIAL"),OR(N259="PENDENTE",N259="PARCIAL")),1,0))</f>
        <v/>
      </c>
      <c r="W259" s="8">
        <f>IF(AND(V259=1,D259&lt;&gt;""),IF(D259&gt;=corte,(B259="CRÍTICO")*1E9+(100000-D259)*10000+10000-ROW(),""),"")</f>
        <v/>
      </c>
      <c r="X259" s="8">
        <f>IF(AND(V259=1,D259=pas_data,E259=pas_turno),10000-ROW(),"")</f>
        <v/>
      </c>
    </row>
    <row r="260">
      <c r="A260" s="3">
        <f>IF(D260="","","TT-"&amp;TEXT(ROW()-1,"00000"))</f>
        <v/>
      </c>
      <c r="B260" s="3">
        <f>IF(D260="","",IF(V260=0,"CONCLUÍDO",IF(D260&lt;corte,"HISTÓRICO",IF(OR(AND(ISNUMBER(R260),R260&lt;TODAY()),AND(OR(N260="PENDENTE",N260="PARCIAL"),D260&lt;TODAY()-1)),"CRÍTICO",IF(OR(AND(P260&lt;&gt;"",S260=""),AND(N260="REALIZADO",M260="PENDENTE"),AND(ISNUMBER(R260),R260=TODAY())),"ATENÇÃO",IF(N(K260)=0,"PENDENTE","EM ANDAMENTO"))))))</f>
        <v/>
      </c>
      <c r="C260" s="3">
        <f>IF(D260="","",IF(V260=0,"🟢 OK",IF(D260&lt;corte,"⚪ HISTÓRICO (sem baixa)",IF(AND(ISNUMBER(R260),R260&lt;TODAY()),"🔴 PRAZO VENCIDO",IF(AND(OR(N260="PENDENTE",N260="PARCIAL"),D260&lt;TODAY()-1),"🔴 EMBARQUE ATRASADO",IF(AND(N260="REALIZADO",M260="PENDENTE"),"🟡 EMBARCADO SEM FATURAR",IF(AND(P260&lt;&gt;"",S260="",OR(Q260="",R260="")),"🟡 PENDÊNCIA SEM RESPONSÁVEL/PRAZO",IF(AND(ISNUMBER(R260),R260=TODAY()),"🟡 VENCE HOJE",IF(AND(P260&lt;&gt;"",S260=""),"🟡 PENDÊNCIA ABERTA",IF(AND(N(J260)&gt;0,N(K260)&lt;J260),"🟡 FALTA EXECUTAR",IF(OR(M260="PENDENTE",M260="PARCIAL"),"🟡 FATURAMENTO PENDENTE","🟡 EMBARQUE PENDENTE")))))))))))</f>
        <v/>
      </c>
      <c r="D260" s="4" t="n">
        <v>46238</v>
      </c>
      <c r="E260" s="5" t="inlineStr">
        <is>
          <t>C</t>
        </is>
      </c>
      <c r="F260" s="5" t="inlineStr">
        <is>
          <t>ADIB</t>
        </is>
      </c>
      <c r="G260" s="5" t="inlineStr">
        <is>
          <t>RECEBIMENTO</t>
        </is>
      </c>
      <c r="H260" s="5" t="inlineStr">
        <is>
          <t>REC CACAU</t>
        </is>
      </c>
      <c r="I260" s="5" t="inlineStr">
        <is>
          <t>PALETE</t>
        </is>
      </c>
      <c r="J260" s="6" t="n">
        <v>25</v>
      </c>
      <c r="K260" s="6" t="n">
        <v>25</v>
      </c>
      <c r="L260" s="7">
        <f>IF(OR(D260="",N(J260)=0),"",MIN(1,N(K260)/J260))</f>
        <v/>
      </c>
      <c r="M260" s="5" t="n"/>
      <c r="N260" s="5" t="n"/>
      <c r="O260" s="5" t="inlineStr">
        <is>
          <t>TIO CARLO</t>
        </is>
      </c>
      <c r="P260" s="5" t="n"/>
      <c r="Q260" s="5" t="n"/>
      <c r="R260" s="4" t="n"/>
      <c r="S260" s="4" t="n"/>
      <c r="T260" s="5" t="inlineStr">
        <is>
          <t>RECEBIDO E ARMAZENADO [MIGRAÇÃO: programação original: REC CACAU]</t>
        </is>
      </c>
      <c r="U260" s="8">
        <f>IF(AND(V260=1,D260&lt;&gt;""),IF(D260&gt;=corte,TODAY()-D260,""),"")</f>
        <v/>
      </c>
      <c r="V260" s="8">
        <f>IF(D260="",0,IF(OR(AND(P260&lt;&gt;"",S260=""),AND(N(J260)&gt;0,N(K260)&lt;J260),OR(M260="PENDENTE",M260="PARCIAL"),OR(N260="PENDENTE",N260="PARCIAL")),1,0))</f>
        <v/>
      </c>
      <c r="W260" s="8">
        <f>IF(AND(V260=1,D260&lt;&gt;""),IF(D260&gt;=corte,(B260="CRÍTICO")*1E9+(100000-D260)*10000+10000-ROW(),""),"")</f>
        <v/>
      </c>
      <c r="X260" s="8">
        <f>IF(AND(V260=1,D260=pas_data,E260=pas_turno),10000-ROW(),"")</f>
        <v/>
      </c>
    </row>
    <row r="261">
      <c r="A261" s="3">
        <f>IF(D261="","","TT-"&amp;TEXT(ROW()-1,"00000"))</f>
        <v/>
      </c>
      <c r="B261" s="3">
        <f>IF(D261="","",IF(V261=0,"CONCLUÍDO",IF(D261&lt;corte,"HISTÓRICO",IF(OR(AND(ISNUMBER(R261),R261&lt;TODAY()),AND(OR(N261="PENDENTE",N261="PARCIAL"),D261&lt;TODAY()-1)),"CRÍTICO",IF(OR(AND(P261&lt;&gt;"",S261=""),AND(N261="REALIZADO",M261="PENDENTE"),AND(ISNUMBER(R261),R261=TODAY())),"ATENÇÃO",IF(N(K261)=0,"PENDENTE","EM ANDAMENTO"))))))</f>
        <v/>
      </c>
      <c r="C261" s="3">
        <f>IF(D261="","",IF(V261=0,"🟢 OK",IF(D261&lt;corte,"⚪ HISTÓRICO (sem baixa)",IF(AND(ISNUMBER(R261),R261&lt;TODAY()),"🔴 PRAZO VENCIDO",IF(AND(OR(N261="PENDENTE",N261="PARCIAL"),D261&lt;TODAY()-1),"🔴 EMBARQUE ATRASADO",IF(AND(N261="REALIZADO",M261="PENDENTE"),"🟡 EMBARCADO SEM FATURAR",IF(AND(P261&lt;&gt;"",S261="",OR(Q261="",R261="")),"🟡 PENDÊNCIA SEM RESPONSÁVEL/PRAZO",IF(AND(ISNUMBER(R261),R261=TODAY()),"🟡 VENCE HOJE",IF(AND(P261&lt;&gt;"",S261=""),"🟡 PENDÊNCIA ABERTA",IF(AND(N(J261)&gt;0,N(K261)&lt;J261),"🟡 FALTA EXECUTAR",IF(OR(M261="PENDENTE",M261="PARCIAL"),"🟡 FATURAMENTO PENDENTE","🟡 EMBARQUE PENDENTE")))))))))))</f>
        <v/>
      </c>
      <c r="D261" s="4" t="n">
        <v>46238</v>
      </c>
      <c r="E261" s="5" t="inlineStr">
        <is>
          <t>C</t>
        </is>
      </c>
      <c r="F261" s="5" t="inlineStr">
        <is>
          <t>ADIB</t>
        </is>
      </c>
      <c r="G261" s="5" t="inlineStr">
        <is>
          <t>CACAU</t>
        </is>
      </c>
      <c r="H261" s="5" t="inlineStr">
        <is>
          <t>CACAU</t>
        </is>
      </c>
      <c r="I261" s="5" t="inlineStr">
        <is>
          <t>TON</t>
        </is>
      </c>
      <c r="J261" s="6" t="n">
        <v>30.156</v>
      </c>
      <c r="K261" s="6" t="n">
        <v>30.156</v>
      </c>
      <c r="L261" s="7">
        <f>IF(OR(D261="",N(J261)=0),"",MIN(1,N(K261)/J261))</f>
        <v/>
      </c>
      <c r="M261" s="5" t="inlineStr">
        <is>
          <t>FATURADO</t>
        </is>
      </c>
      <c r="N261" s="5" t="inlineStr">
        <is>
          <t>PARCIAL</t>
        </is>
      </c>
      <c r="O261" s="5" t="inlineStr">
        <is>
          <t>SMARTLOG</t>
        </is>
      </c>
      <c r="P261" s="5" t="n"/>
      <c r="Q261" s="5" t="n"/>
      <c r="R261" s="4" t="n"/>
      <c r="S261" s="4" t="n"/>
      <c r="T261" s="5" t="inlineStr">
        <is>
          <t>ROTA SEPARADA - CARREGAMENTOS EM ANDAMENTO [MIGRAÇÃO: programação original: CACAU BR15]</t>
        </is>
      </c>
      <c r="U261" s="8">
        <f>IF(AND(V261=1,D261&lt;&gt;""),IF(D261&gt;=corte,TODAY()-D261,""),"")</f>
        <v/>
      </c>
      <c r="V261" s="8">
        <f>IF(D261="",0,IF(OR(AND(P261&lt;&gt;"",S261=""),AND(N(J261)&gt;0,N(K261)&lt;J261),OR(M261="PENDENTE",M261="PARCIAL"),OR(N261="PENDENTE",N261="PARCIAL")),1,0))</f>
        <v/>
      </c>
      <c r="W261" s="8">
        <f>IF(AND(V261=1,D261&lt;&gt;""),IF(D261&gt;=corte,(B261="CRÍTICO")*1E9+(100000-D261)*10000+10000-ROW(),""),"")</f>
        <v/>
      </c>
      <c r="X261" s="8">
        <f>IF(AND(V261=1,D261=pas_data,E261=pas_turno),10000-ROW(),"")</f>
        <v/>
      </c>
    </row>
    <row r="262">
      <c r="A262" s="3">
        <f>IF(D262="","","TT-"&amp;TEXT(ROW()-1,"00000"))</f>
        <v/>
      </c>
      <c r="B262" s="3">
        <f>IF(D262="","",IF(V262=0,"CONCLUÍDO",IF(D262&lt;corte,"HISTÓRICO",IF(OR(AND(ISNUMBER(R262),R262&lt;TODAY()),AND(OR(N262="PENDENTE",N262="PARCIAL"),D262&lt;TODAY()-1)),"CRÍTICO",IF(OR(AND(P262&lt;&gt;"",S262=""),AND(N262="REALIZADO",M262="PENDENTE"),AND(ISNUMBER(R262),R262=TODAY())),"ATENÇÃO",IF(N(K262)=0,"PENDENTE","EM ANDAMENTO"))))))</f>
        <v/>
      </c>
      <c r="C262" s="3">
        <f>IF(D262="","",IF(V262=0,"🟢 OK",IF(D262&lt;corte,"⚪ HISTÓRICO (sem baixa)",IF(AND(ISNUMBER(R262),R262&lt;TODAY()),"🔴 PRAZO VENCIDO",IF(AND(OR(N262="PENDENTE",N262="PARCIAL"),D262&lt;TODAY()-1),"🔴 EMBARQUE ATRASADO",IF(AND(N262="REALIZADO",M262="PENDENTE"),"🟡 EMBARCADO SEM FATURAR",IF(AND(P262&lt;&gt;"",S262="",OR(Q262="",R262="")),"🟡 PENDÊNCIA SEM RESPONSÁVEL/PRAZO",IF(AND(ISNUMBER(R262),R262=TODAY()),"🟡 VENCE HOJE",IF(AND(P262&lt;&gt;"",S262=""),"🟡 PENDÊNCIA ABERTA",IF(AND(N(J262)&gt;0,N(K262)&lt;J262),"🟡 FALTA EXECUTAR",IF(OR(M262="PENDENTE",M262="PARCIAL"),"🟡 FATURAMENTO PENDENTE","🟡 EMBARQUE PENDENTE")))))))))))</f>
        <v/>
      </c>
      <c r="D262" s="4" t="n">
        <v>46238</v>
      </c>
      <c r="E262" s="5" t="inlineStr">
        <is>
          <t>C</t>
        </is>
      </c>
      <c r="F262" s="5" t="inlineStr">
        <is>
          <t>ADIB</t>
        </is>
      </c>
      <c r="G262" s="5" t="inlineStr">
        <is>
          <t>RECEBIMENTO</t>
        </is>
      </c>
      <c r="H262" s="5" t="inlineStr">
        <is>
          <t>REC CACAU</t>
        </is>
      </c>
      <c r="I262" s="5" t="inlineStr">
        <is>
          <t>PALETE</t>
        </is>
      </c>
      <c r="J262" s="6" t="n">
        <v>26</v>
      </c>
      <c r="K262" s="6" t="n">
        <v>26</v>
      </c>
      <c r="L262" s="7">
        <f>IF(OR(D262="",N(J262)=0),"",MIN(1,N(K262)/J262))</f>
        <v/>
      </c>
      <c r="M262" s="5" t="n"/>
      <c r="N262" s="5" t="n"/>
      <c r="O262" s="5" t="inlineStr">
        <is>
          <t>TIO CARLO</t>
        </is>
      </c>
      <c r="P262" s="5" t="n"/>
      <c r="Q262" s="5" t="n"/>
      <c r="R262" s="4" t="n"/>
      <c r="S262" s="4" t="n"/>
      <c r="T262" s="5" t="inlineStr">
        <is>
          <t>RECEBIDO E ARMAZENADO [MIGRAÇÃO: programação original: REC CACAU]</t>
        </is>
      </c>
      <c r="U262" s="8">
        <f>IF(AND(V262=1,D262&lt;&gt;""),IF(D262&gt;=corte,TODAY()-D262,""),"")</f>
        <v/>
      </c>
      <c r="V262" s="8">
        <f>IF(D262="",0,IF(OR(AND(P262&lt;&gt;"",S262=""),AND(N(J262)&gt;0,N(K262)&lt;J262),OR(M262="PENDENTE",M262="PARCIAL"),OR(N262="PENDENTE",N262="PARCIAL")),1,0))</f>
        <v/>
      </c>
      <c r="W262" s="8">
        <f>IF(AND(V262=1,D262&lt;&gt;""),IF(D262&gt;=corte,(B262="CRÍTICO")*1E9+(100000-D262)*10000+10000-ROW(),""),"")</f>
        <v/>
      </c>
      <c r="X262" s="8">
        <f>IF(AND(V262=1,D262=pas_data,E262=pas_turno),10000-ROW(),"")</f>
        <v/>
      </c>
    </row>
    <row r="263">
      <c r="A263" s="3">
        <f>IF(D263="","","TT-"&amp;TEXT(ROW()-1,"00000"))</f>
        <v/>
      </c>
      <c r="B263" s="3">
        <f>IF(D263="","",IF(V263=0,"CONCLUÍDO",IF(D263&lt;corte,"HISTÓRICO",IF(OR(AND(ISNUMBER(R263),R263&lt;TODAY()),AND(OR(N263="PENDENTE",N263="PARCIAL"),D263&lt;TODAY()-1)),"CRÍTICO",IF(OR(AND(P263&lt;&gt;"",S263=""),AND(N263="REALIZADO",M263="PENDENTE"),AND(ISNUMBER(R263),R263=TODAY())),"ATENÇÃO",IF(N(K263)=0,"PENDENTE","EM ANDAMENTO"))))))</f>
        <v/>
      </c>
      <c r="C263" s="3">
        <f>IF(D263="","",IF(V263=0,"🟢 OK",IF(D263&lt;corte,"⚪ HISTÓRICO (sem baixa)",IF(AND(ISNUMBER(R263),R263&lt;TODAY()),"🔴 PRAZO VENCIDO",IF(AND(OR(N263="PENDENTE",N263="PARCIAL"),D263&lt;TODAY()-1),"🔴 EMBARQUE ATRASADO",IF(AND(N263="REALIZADO",M263="PENDENTE"),"🟡 EMBARCADO SEM FATURAR",IF(AND(P263&lt;&gt;"",S263="",OR(Q263="",R263="")),"🟡 PENDÊNCIA SEM RESPONSÁVEL/PRAZO",IF(AND(ISNUMBER(R263),R263=TODAY()),"🟡 VENCE HOJE",IF(AND(P263&lt;&gt;"",S263=""),"🟡 PENDÊNCIA ABERTA",IF(AND(N(J263)&gt;0,N(K263)&lt;J263),"🟡 FALTA EXECUTAR",IF(OR(M263="PENDENTE",M263="PARCIAL"),"🟡 FATURAMENTO PENDENTE","🟡 EMBARQUE PENDENTE")))))))))))</f>
        <v/>
      </c>
      <c r="D263" s="4" t="n">
        <v>46239</v>
      </c>
      <c r="E263" s="5" t="inlineStr">
        <is>
          <t>B</t>
        </is>
      </c>
      <c r="F263" s="5" t="inlineStr">
        <is>
          <t>THIAGO</t>
        </is>
      </c>
      <c r="G263" s="5" t="inlineStr">
        <is>
          <t>FM</t>
        </is>
      </c>
      <c r="H263" s="5" t="inlineStr">
        <is>
          <t>SIENA</t>
        </is>
      </c>
      <c r="I263" s="5" t="inlineStr">
        <is>
          <t>TON</t>
        </is>
      </c>
      <c r="J263" s="6" t="n">
        <v>19.422</v>
      </c>
      <c r="K263" s="6" t="n">
        <v>19.422</v>
      </c>
      <c r="L263" s="7">
        <f>IF(OR(D263="",N(J263)=0),"",MIN(1,N(K263)/J263))</f>
        <v/>
      </c>
      <c r="M263" s="5" t="inlineStr">
        <is>
          <t>FATURADO</t>
        </is>
      </c>
      <c r="N263" s="5" t="inlineStr">
        <is>
          <t>REALIZADO</t>
        </is>
      </c>
      <c r="O263" s="5" t="inlineStr">
        <is>
          <t>SPEEDYLOG</t>
        </is>
      </c>
      <c r="P263" s="5" t="n"/>
      <c r="Q263" s="5" t="n"/>
      <c r="R263" s="4" t="n"/>
      <c r="S263" s="4" t="n"/>
      <c r="T263" s="5" t="inlineStr">
        <is>
          <t>[MIGRAÇÃO: data corrigida de 08/05/2026]</t>
        </is>
      </c>
      <c r="U263" s="8">
        <f>IF(AND(V263=1,D263&lt;&gt;""),IF(D263&gt;=corte,TODAY()-D263,""),"")</f>
        <v/>
      </c>
      <c r="V263" s="8">
        <f>IF(D263="",0,IF(OR(AND(P263&lt;&gt;"",S263=""),AND(N(J263)&gt;0,N(K263)&lt;J263),OR(M263="PENDENTE",M263="PARCIAL"),OR(N263="PENDENTE",N263="PARCIAL")),1,0))</f>
        <v/>
      </c>
      <c r="W263" s="8">
        <f>IF(AND(V263=1,D263&lt;&gt;""),IF(D263&gt;=corte,(B263="CRÍTICO")*1E9+(100000-D263)*10000+10000-ROW(),""),"")</f>
        <v/>
      </c>
      <c r="X263" s="8">
        <f>IF(AND(V263=1,D263=pas_data,E263=pas_turno),10000-ROW(),"")</f>
        <v/>
      </c>
    </row>
    <row r="264">
      <c r="A264" s="3">
        <f>IF(D264="","","TT-"&amp;TEXT(ROW()-1,"00000"))</f>
        <v/>
      </c>
      <c r="B264" s="3">
        <f>IF(D264="","",IF(V264=0,"CONCLUÍDO",IF(D264&lt;corte,"HISTÓRICO",IF(OR(AND(ISNUMBER(R264),R264&lt;TODAY()),AND(OR(N264="PENDENTE",N264="PARCIAL"),D264&lt;TODAY()-1)),"CRÍTICO",IF(OR(AND(P264&lt;&gt;"",S264=""),AND(N264="REALIZADO",M264="PENDENTE"),AND(ISNUMBER(R264),R264=TODAY())),"ATENÇÃO",IF(N(K264)=0,"PENDENTE","EM ANDAMENTO"))))))</f>
        <v/>
      </c>
      <c r="C264" s="3">
        <f>IF(D264="","",IF(V264=0,"🟢 OK",IF(D264&lt;corte,"⚪ HISTÓRICO (sem baixa)",IF(AND(ISNUMBER(R264),R264&lt;TODAY()),"🔴 PRAZO VENCIDO",IF(AND(OR(N264="PENDENTE",N264="PARCIAL"),D264&lt;TODAY()-1),"🔴 EMBARQUE ATRASADO",IF(AND(N264="REALIZADO",M264="PENDENTE"),"🟡 EMBARCADO SEM FATURAR",IF(AND(P264&lt;&gt;"",S264="",OR(Q264="",R264="")),"🟡 PENDÊNCIA SEM RESPONSÁVEL/PRAZO",IF(AND(ISNUMBER(R264),R264=TODAY()),"🟡 VENCE HOJE",IF(AND(P264&lt;&gt;"",S264=""),"🟡 PENDÊNCIA ABERTA",IF(AND(N(J264)&gt;0,N(K264)&lt;J264),"🟡 FALTA EXECUTAR",IF(OR(M264="PENDENTE",M264="PARCIAL"),"🟡 FATURAMENTO PENDENTE","🟡 EMBARQUE PENDENTE")))))))))))</f>
        <v/>
      </c>
      <c r="D264" s="4" t="n">
        <v>46239</v>
      </c>
      <c r="E264" s="5" t="inlineStr">
        <is>
          <t>B</t>
        </is>
      </c>
      <c r="F264" s="5" t="inlineStr">
        <is>
          <t>THIAGO</t>
        </is>
      </c>
      <c r="G264" s="5" t="inlineStr">
        <is>
          <t>FLOOR</t>
        </is>
      </c>
      <c r="H264" s="5" t="n"/>
      <c r="I264" s="5" t="inlineStr">
        <is>
          <t>PALETE</t>
        </is>
      </c>
      <c r="J264" s="6" t="n">
        <v>123</v>
      </c>
      <c r="K264" s="6" t="n">
        <v>123</v>
      </c>
      <c r="L264" s="7">
        <f>IF(OR(D264="",N(J264)=0),"",MIN(1,N(K264)/J264))</f>
        <v/>
      </c>
      <c r="M264" s="5" t="n"/>
      <c r="N264" s="5" t="n"/>
      <c r="O264" s="5" t="n"/>
      <c r="P264" s="5" t="n"/>
      <c r="Q264" s="5" t="n"/>
      <c r="R264" s="4" t="n"/>
      <c r="S264" s="4" t="n"/>
      <c r="T264" s="5" t="inlineStr">
        <is>
          <t>[MIGRAÇÃO: data corrigida de 08/05/2026]</t>
        </is>
      </c>
      <c r="U264" s="8">
        <f>IF(AND(V264=1,D264&lt;&gt;""),IF(D264&gt;=corte,TODAY()-D264,""),"")</f>
        <v/>
      </c>
      <c r="V264" s="8">
        <f>IF(D264="",0,IF(OR(AND(P264&lt;&gt;"",S264=""),AND(N(J264)&gt;0,N(K264)&lt;J264),OR(M264="PENDENTE",M264="PARCIAL"),OR(N264="PENDENTE",N264="PARCIAL")),1,0))</f>
        <v/>
      </c>
      <c r="W264" s="8">
        <f>IF(AND(V264=1,D264&lt;&gt;""),IF(D264&gt;=corte,(B264="CRÍTICO")*1E9+(100000-D264)*10000+10000-ROW(),""),"")</f>
        <v/>
      </c>
      <c r="X264" s="8">
        <f>IF(AND(V264=1,D264=pas_data,E264=pas_turno),10000-ROW(),"")</f>
        <v/>
      </c>
    </row>
    <row r="265">
      <c r="A265" s="3">
        <f>IF(D265="","","TT-"&amp;TEXT(ROW()-1,"00000"))</f>
        <v/>
      </c>
      <c r="B265" s="3">
        <f>IF(D265="","",IF(V265=0,"CONCLUÍDO",IF(D265&lt;corte,"HISTÓRICO",IF(OR(AND(ISNUMBER(R265),R265&lt;TODAY()),AND(OR(N265="PENDENTE",N265="PARCIAL"),D265&lt;TODAY()-1)),"CRÍTICO",IF(OR(AND(P265&lt;&gt;"",S265=""),AND(N265="REALIZADO",M265="PENDENTE"),AND(ISNUMBER(R265),R265=TODAY())),"ATENÇÃO",IF(N(K265)=0,"PENDENTE","EM ANDAMENTO"))))))</f>
        <v/>
      </c>
      <c r="C265" s="3">
        <f>IF(D265="","",IF(V265=0,"🟢 OK",IF(D265&lt;corte,"⚪ HISTÓRICO (sem baixa)",IF(AND(ISNUMBER(R265),R265&lt;TODAY()),"🔴 PRAZO VENCIDO",IF(AND(OR(N265="PENDENTE",N265="PARCIAL"),D265&lt;TODAY()-1),"🔴 EMBARQUE ATRASADO",IF(AND(N265="REALIZADO",M265="PENDENTE"),"🟡 EMBARCADO SEM FATURAR",IF(AND(P265&lt;&gt;"",S265="",OR(Q265="",R265="")),"🟡 PENDÊNCIA SEM RESPONSÁVEL/PRAZO",IF(AND(ISNUMBER(R265),R265=TODAY()),"🟡 VENCE HOJE",IF(AND(P265&lt;&gt;"",S265=""),"🟡 PENDÊNCIA ABERTA",IF(AND(N(J265)&gt;0,N(K265)&lt;J265),"🟡 FALTA EXECUTAR",IF(OR(M265="PENDENTE",M265="PARCIAL"),"🟡 FATURAMENTO PENDENTE","🟡 EMBARQUE PENDENTE")))))))))))</f>
        <v/>
      </c>
      <c r="D265" s="4" t="n">
        <v>46240</v>
      </c>
      <c r="E265" s="5" t="inlineStr">
        <is>
          <t>A</t>
        </is>
      </c>
      <c r="F265" s="5" t="inlineStr">
        <is>
          <t>TATIANE</t>
        </is>
      </c>
      <c r="G265" s="5" t="inlineStr">
        <is>
          <t>GRANEL</t>
        </is>
      </c>
      <c r="H265" s="5" t="inlineStr">
        <is>
          <t>FM</t>
        </is>
      </c>
      <c r="I265" s="5" t="inlineStr">
        <is>
          <t>TON</t>
        </is>
      </c>
      <c r="J265" s="6" t="n">
        <v>26</v>
      </c>
      <c r="K265" s="6" t="n">
        <v>26.23</v>
      </c>
      <c r="L265" s="7">
        <f>IF(OR(D265="",N(J265)=0),"",MIN(1,N(K265)/J265))</f>
        <v/>
      </c>
      <c r="M265" s="5" t="inlineStr">
        <is>
          <t>FATURADO</t>
        </is>
      </c>
      <c r="N265" s="5" t="inlineStr">
        <is>
          <t>REALIZADO</t>
        </is>
      </c>
      <c r="O265" s="5" t="inlineStr">
        <is>
          <t>JSL</t>
        </is>
      </c>
      <c r="P265" s="5" t="n"/>
      <c r="Q265" s="5" t="n"/>
      <c r="R265" s="4" t="n"/>
      <c r="S265" s="4" t="n"/>
      <c r="T265" s="5" t="n"/>
      <c r="U265" s="8">
        <f>IF(AND(V265=1,D265&lt;&gt;""),IF(D265&gt;=corte,TODAY()-D265,""),"")</f>
        <v/>
      </c>
      <c r="V265" s="8">
        <f>IF(D265="",0,IF(OR(AND(P265&lt;&gt;"",S265=""),AND(N(J265)&gt;0,N(K265)&lt;J265),OR(M265="PENDENTE",M265="PARCIAL"),OR(N265="PENDENTE",N265="PARCIAL")),1,0))</f>
        <v/>
      </c>
      <c r="W265" s="8">
        <f>IF(AND(V265=1,D265&lt;&gt;""),IF(D265&gt;=corte,(B265="CRÍTICO")*1E9+(100000-D265)*10000+10000-ROW(),""),"")</f>
        <v/>
      </c>
      <c r="X265" s="8">
        <f>IF(AND(V265=1,D265=pas_data,E265=pas_turno),10000-ROW(),"")</f>
        <v/>
      </c>
    </row>
    <row r="266">
      <c r="A266" s="3">
        <f>IF(D266="","","TT-"&amp;TEXT(ROW()-1,"00000"))</f>
        <v/>
      </c>
      <c r="B266" s="3">
        <f>IF(D266="","",IF(V266=0,"CONCLUÍDO",IF(D266&lt;corte,"HISTÓRICO",IF(OR(AND(ISNUMBER(R266),R266&lt;TODAY()),AND(OR(N266="PENDENTE",N266="PARCIAL"),D266&lt;TODAY()-1)),"CRÍTICO",IF(OR(AND(P266&lt;&gt;"",S266=""),AND(N266="REALIZADO",M266="PENDENTE"),AND(ISNUMBER(R266),R266=TODAY())),"ATENÇÃO",IF(N(K266)=0,"PENDENTE","EM ANDAMENTO"))))))</f>
        <v/>
      </c>
      <c r="C266" s="3">
        <f>IF(D266="","",IF(V266=0,"🟢 OK",IF(D266&lt;corte,"⚪ HISTÓRICO (sem baixa)",IF(AND(ISNUMBER(R266),R266&lt;TODAY()),"🔴 PRAZO VENCIDO",IF(AND(OR(N266="PENDENTE",N266="PARCIAL"),D266&lt;TODAY()-1),"🔴 EMBARQUE ATRASADO",IF(AND(N266="REALIZADO",M266="PENDENTE"),"🟡 EMBARCADO SEM FATURAR",IF(AND(P266&lt;&gt;"",S266="",OR(Q266="",R266="")),"🟡 PENDÊNCIA SEM RESPONSÁVEL/PRAZO",IF(AND(ISNUMBER(R266),R266=TODAY()),"🟡 VENCE HOJE",IF(AND(P266&lt;&gt;"",S266=""),"🟡 PENDÊNCIA ABERTA",IF(AND(N(J266)&gt;0,N(K266)&lt;J266),"🟡 FALTA EXECUTAR",IF(OR(M266="PENDENTE",M266="PARCIAL"),"🟡 FATURAMENTO PENDENTE","🟡 EMBARQUE PENDENTE")))))))))))</f>
        <v/>
      </c>
      <c r="D266" s="4" t="n">
        <v>46240</v>
      </c>
      <c r="E266" s="5" t="inlineStr">
        <is>
          <t>A</t>
        </is>
      </c>
      <c r="F266" s="5" t="inlineStr">
        <is>
          <t>TATIANE</t>
        </is>
      </c>
      <c r="G266" s="5" t="inlineStr">
        <is>
          <t>GRANEL</t>
        </is>
      </c>
      <c r="H266" s="5" t="inlineStr">
        <is>
          <t>FM</t>
        </is>
      </c>
      <c r="I266" s="5" t="inlineStr">
        <is>
          <t>TON</t>
        </is>
      </c>
      <c r="J266" s="6" t="n">
        <v>10</v>
      </c>
      <c r="K266" s="6" t="n">
        <v>12.15</v>
      </c>
      <c r="L266" s="7">
        <f>IF(OR(D266="",N(J266)=0),"",MIN(1,N(K266)/J266))</f>
        <v/>
      </c>
      <c r="M266" s="5" t="inlineStr">
        <is>
          <t>FATURADO</t>
        </is>
      </c>
      <c r="N266" s="5" t="inlineStr">
        <is>
          <t>REALIZADO</t>
        </is>
      </c>
      <c r="O266" s="5" t="inlineStr">
        <is>
          <t>JSL</t>
        </is>
      </c>
      <c r="P266" s="5" t="n"/>
      <c r="Q266" s="5" t="n"/>
      <c r="R266" s="4" t="n"/>
      <c r="S266" s="4" t="n"/>
      <c r="T266" s="5" t="n"/>
      <c r="U266" s="8">
        <f>IF(AND(V266=1,D266&lt;&gt;""),IF(D266&gt;=corte,TODAY()-D266,""),"")</f>
        <v/>
      </c>
      <c r="V266" s="8">
        <f>IF(D266="",0,IF(OR(AND(P266&lt;&gt;"",S266=""),AND(N(J266)&gt;0,N(K266)&lt;J266),OR(M266="PENDENTE",M266="PARCIAL"),OR(N266="PENDENTE",N266="PARCIAL")),1,0))</f>
        <v/>
      </c>
      <c r="W266" s="8">
        <f>IF(AND(V266=1,D266&lt;&gt;""),IF(D266&gt;=corte,(B266="CRÍTICO")*1E9+(100000-D266)*10000+10000-ROW(),""),"")</f>
        <v/>
      </c>
      <c r="X266" s="8">
        <f>IF(AND(V266=1,D266=pas_data,E266=pas_turno),10000-ROW(),"")</f>
        <v/>
      </c>
    </row>
    <row r="267">
      <c r="A267" s="3">
        <f>IF(D267="","","TT-"&amp;TEXT(ROW()-1,"00000"))</f>
        <v/>
      </c>
      <c r="B267" s="3">
        <f>IF(D267="","",IF(V267=0,"CONCLUÍDO",IF(D267&lt;corte,"HISTÓRICO",IF(OR(AND(ISNUMBER(R267),R267&lt;TODAY()),AND(OR(N267="PENDENTE",N267="PARCIAL"),D267&lt;TODAY()-1)),"CRÍTICO",IF(OR(AND(P267&lt;&gt;"",S267=""),AND(N267="REALIZADO",M267="PENDENTE"),AND(ISNUMBER(R267),R267=TODAY())),"ATENÇÃO",IF(N(K267)=0,"PENDENTE","EM ANDAMENTO"))))))</f>
        <v/>
      </c>
      <c r="C267" s="3">
        <f>IF(D267="","",IF(V267=0,"🟢 OK",IF(D267&lt;corte,"⚪ HISTÓRICO (sem baixa)",IF(AND(ISNUMBER(R267),R267&lt;TODAY()),"🔴 PRAZO VENCIDO",IF(AND(OR(N267="PENDENTE",N267="PARCIAL"),D267&lt;TODAY()-1),"🔴 EMBARQUE ATRASADO",IF(AND(N267="REALIZADO",M267="PENDENTE"),"🟡 EMBARCADO SEM FATURAR",IF(AND(P267&lt;&gt;"",S267="",OR(Q267="",R267="")),"🟡 PENDÊNCIA SEM RESPONSÁVEL/PRAZO",IF(AND(ISNUMBER(R267),R267=TODAY()),"🟡 VENCE HOJE",IF(AND(P267&lt;&gt;"",S267=""),"🟡 PENDÊNCIA ABERTA",IF(AND(N(J267)&gt;0,N(K267)&lt;J267),"🟡 FALTA EXECUTAR",IF(OR(M267="PENDENTE",M267="PARCIAL"),"🟡 FATURAMENTO PENDENTE","🟡 EMBARQUE PENDENTE")))))))))))</f>
        <v/>
      </c>
      <c r="D267" s="4" t="n">
        <v>46240</v>
      </c>
      <c r="E267" s="5" t="inlineStr">
        <is>
          <t>A</t>
        </is>
      </c>
      <c r="F267" s="5" t="inlineStr">
        <is>
          <t>TATIANE</t>
        </is>
      </c>
      <c r="G267" s="5" t="inlineStr">
        <is>
          <t>FM</t>
        </is>
      </c>
      <c r="H267" s="5" t="inlineStr">
        <is>
          <t>FM</t>
        </is>
      </c>
      <c r="I267" s="5" t="inlineStr">
        <is>
          <t>TON</t>
        </is>
      </c>
      <c r="J267" s="6" t="n">
        <v>27.339</v>
      </c>
      <c r="K267" s="6" t="n">
        <v>27.339</v>
      </c>
      <c r="L267" s="7">
        <f>IF(OR(D267="",N(J267)=0),"",MIN(1,N(K267)/J267))</f>
        <v/>
      </c>
      <c r="M267" s="5" t="inlineStr">
        <is>
          <t>FATURADO</t>
        </is>
      </c>
      <c r="N267" s="5" t="inlineStr">
        <is>
          <t>REALIZADO</t>
        </is>
      </c>
      <c r="O267" s="5" t="inlineStr">
        <is>
          <t>SPEEDYLOG</t>
        </is>
      </c>
      <c r="P267" s="5" t="n"/>
      <c r="Q267" s="5" t="n"/>
      <c r="R267" s="4" t="n"/>
      <c r="S267" s="4" t="n"/>
      <c r="T267" s="5" t="n"/>
      <c r="U267" s="8">
        <f>IF(AND(V267=1,D267&lt;&gt;""),IF(D267&gt;=corte,TODAY()-D267,""),"")</f>
        <v/>
      </c>
      <c r="V267" s="8">
        <f>IF(D267="",0,IF(OR(AND(P267&lt;&gt;"",S267=""),AND(N(J267)&gt;0,N(K267)&lt;J267),OR(M267="PENDENTE",M267="PARCIAL"),OR(N267="PENDENTE",N267="PARCIAL")),1,0))</f>
        <v/>
      </c>
      <c r="W267" s="8">
        <f>IF(AND(V267=1,D267&lt;&gt;""),IF(D267&gt;=corte,(B267="CRÍTICO")*1E9+(100000-D267)*10000+10000-ROW(),""),"")</f>
        <v/>
      </c>
      <c r="X267" s="8">
        <f>IF(AND(V267=1,D267=pas_data,E267=pas_turno),10000-ROW(),"")</f>
        <v/>
      </c>
    </row>
    <row r="268">
      <c r="A268" s="3">
        <f>IF(D268="","","TT-"&amp;TEXT(ROW()-1,"00000"))</f>
        <v/>
      </c>
      <c r="B268" s="3">
        <f>IF(D268="","",IF(V268=0,"CONCLUÍDO",IF(D268&lt;corte,"HISTÓRICO",IF(OR(AND(ISNUMBER(R268),R268&lt;TODAY()),AND(OR(N268="PENDENTE",N268="PARCIAL"),D268&lt;TODAY()-1)),"CRÍTICO",IF(OR(AND(P268&lt;&gt;"",S268=""),AND(N268="REALIZADO",M268="PENDENTE"),AND(ISNUMBER(R268),R268=TODAY())),"ATENÇÃO",IF(N(K268)=0,"PENDENTE","EM ANDAMENTO"))))))</f>
        <v/>
      </c>
      <c r="C268" s="3">
        <f>IF(D268="","",IF(V268=0,"🟢 OK",IF(D268&lt;corte,"⚪ HISTÓRICO (sem baixa)",IF(AND(ISNUMBER(R268),R268&lt;TODAY()),"🔴 PRAZO VENCIDO",IF(AND(OR(N268="PENDENTE",N268="PARCIAL"),D268&lt;TODAY()-1),"🔴 EMBARQUE ATRASADO",IF(AND(N268="REALIZADO",M268="PENDENTE"),"🟡 EMBARCADO SEM FATURAR",IF(AND(P268&lt;&gt;"",S268="",OR(Q268="",R268="")),"🟡 PENDÊNCIA SEM RESPONSÁVEL/PRAZO",IF(AND(ISNUMBER(R268),R268=TODAY()),"🟡 VENCE HOJE",IF(AND(P268&lt;&gt;"",S268=""),"🟡 PENDÊNCIA ABERTA",IF(AND(N(J268)&gt;0,N(K268)&lt;J268),"🟡 FALTA EXECUTAR",IF(OR(M268="PENDENTE",M268="PARCIAL"),"🟡 FATURAMENTO PENDENTE","🟡 EMBARQUE PENDENTE")))))))))))</f>
        <v/>
      </c>
      <c r="D268" s="4" t="n">
        <v>46240</v>
      </c>
      <c r="E268" s="5" t="inlineStr">
        <is>
          <t>A</t>
        </is>
      </c>
      <c r="F268" s="5" t="inlineStr">
        <is>
          <t>TATIANE</t>
        </is>
      </c>
      <c r="G268" s="5" t="inlineStr">
        <is>
          <t>FM</t>
        </is>
      </c>
      <c r="H268" s="5" t="inlineStr">
        <is>
          <t>FM</t>
        </is>
      </c>
      <c r="I268" s="5" t="inlineStr">
        <is>
          <t>TON</t>
        </is>
      </c>
      <c r="J268" s="6" t="n">
        <v>14.721</v>
      </c>
      <c r="K268" s="6" t="n">
        <v>14.721</v>
      </c>
      <c r="L268" s="7">
        <f>IF(OR(D268="",N(J268)=0),"",MIN(1,N(K268)/J268))</f>
        <v/>
      </c>
      <c r="M268" s="5" t="inlineStr">
        <is>
          <t>FATURADO</t>
        </is>
      </c>
      <c r="N268" s="5" t="inlineStr">
        <is>
          <t>REALIZADO</t>
        </is>
      </c>
      <c r="O268" s="5" t="inlineStr">
        <is>
          <t>SPEEDYLOG</t>
        </is>
      </c>
      <c r="P268" s="5" t="n"/>
      <c r="Q268" s="5" t="n"/>
      <c r="R268" s="4" t="n"/>
      <c r="S268" s="4" t="n"/>
      <c r="T268" s="5" t="n"/>
      <c r="U268" s="8">
        <f>IF(AND(V268=1,D268&lt;&gt;""),IF(D268&gt;=corte,TODAY()-D268,""),"")</f>
        <v/>
      </c>
      <c r="V268" s="8">
        <f>IF(D268="",0,IF(OR(AND(P268&lt;&gt;"",S268=""),AND(N(J268)&gt;0,N(K268)&lt;J268),OR(M268="PENDENTE",M268="PARCIAL"),OR(N268="PENDENTE",N268="PARCIAL")),1,0))</f>
        <v/>
      </c>
      <c r="W268" s="8">
        <f>IF(AND(V268=1,D268&lt;&gt;""),IF(D268&gt;=corte,(B268="CRÍTICO")*1E9+(100000-D268)*10000+10000-ROW(),""),"")</f>
        <v/>
      </c>
      <c r="X268" s="8">
        <f>IF(AND(V268=1,D268=pas_data,E268=pas_turno),10000-ROW(),"")</f>
        <v/>
      </c>
    </row>
    <row r="269">
      <c r="A269" s="3">
        <f>IF(D269="","","TT-"&amp;TEXT(ROW()-1,"00000"))</f>
        <v/>
      </c>
      <c r="B269" s="3">
        <f>IF(D269="","",IF(V269=0,"CONCLUÍDO",IF(D269&lt;corte,"HISTÓRICO",IF(OR(AND(ISNUMBER(R269),R269&lt;TODAY()),AND(OR(N269="PENDENTE",N269="PARCIAL"),D269&lt;TODAY()-1)),"CRÍTICO",IF(OR(AND(P269&lt;&gt;"",S269=""),AND(N269="REALIZADO",M269="PENDENTE"),AND(ISNUMBER(R269),R269=TODAY())),"ATENÇÃO",IF(N(K269)=0,"PENDENTE","EM ANDAMENTO"))))))</f>
        <v/>
      </c>
      <c r="C269" s="3">
        <f>IF(D269="","",IF(V269=0,"🟢 OK",IF(D269&lt;corte,"⚪ HISTÓRICO (sem baixa)",IF(AND(ISNUMBER(R269),R269&lt;TODAY()),"🔴 PRAZO VENCIDO",IF(AND(OR(N269="PENDENTE",N269="PARCIAL"),D269&lt;TODAY()-1),"🔴 EMBARQUE ATRASADO",IF(AND(N269="REALIZADO",M269="PENDENTE"),"🟡 EMBARCADO SEM FATURAR",IF(AND(P269&lt;&gt;"",S269="",OR(Q269="",R269="")),"🟡 PENDÊNCIA SEM RESPONSÁVEL/PRAZO",IF(AND(ISNUMBER(R269),R269=TODAY()),"🟡 VENCE HOJE",IF(AND(P269&lt;&gt;"",S269=""),"🟡 PENDÊNCIA ABERTA",IF(AND(N(J269)&gt;0,N(K269)&lt;J269),"🟡 FALTA EXECUTAR",IF(OR(M269="PENDENTE",M269="PARCIAL"),"🟡 FATURAMENTO PENDENTE","🟡 EMBARQUE PENDENTE")))))))))))</f>
        <v/>
      </c>
      <c r="D269" s="4" t="n">
        <v>46240</v>
      </c>
      <c r="E269" s="5" t="inlineStr">
        <is>
          <t>A</t>
        </is>
      </c>
      <c r="F269" s="5" t="inlineStr">
        <is>
          <t>TATIANE</t>
        </is>
      </c>
      <c r="G269" s="5" t="inlineStr">
        <is>
          <t>FM</t>
        </is>
      </c>
      <c r="H269" s="5" t="inlineStr">
        <is>
          <t>FM</t>
        </is>
      </c>
      <c r="I269" s="5" t="inlineStr">
        <is>
          <t>TON</t>
        </is>
      </c>
      <c r="J269" s="6" t="n">
        <v>14.721</v>
      </c>
      <c r="K269" s="6" t="n">
        <v>14.721</v>
      </c>
      <c r="L269" s="7">
        <f>IF(OR(D269="",N(J269)=0),"",MIN(1,N(K269)/J269))</f>
        <v/>
      </c>
      <c r="M269" s="5" t="inlineStr">
        <is>
          <t>FATURADO</t>
        </is>
      </c>
      <c r="N269" s="5" t="inlineStr">
        <is>
          <t>REALIZADO</t>
        </is>
      </c>
      <c r="O269" s="5" t="inlineStr">
        <is>
          <t>SPEEDYLOG</t>
        </is>
      </c>
      <c r="P269" s="5" t="n"/>
      <c r="Q269" s="5" t="n"/>
      <c r="R269" s="4" t="n"/>
      <c r="S269" s="4" t="n"/>
      <c r="T269" s="5" t="n"/>
      <c r="U269" s="8">
        <f>IF(AND(V269=1,D269&lt;&gt;""),IF(D269&gt;=corte,TODAY()-D269,""),"")</f>
        <v/>
      </c>
      <c r="V269" s="8">
        <f>IF(D269="",0,IF(OR(AND(P269&lt;&gt;"",S269=""),AND(N(J269)&gt;0,N(K269)&lt;J269),OR(M269="PENDENTE",M269="PARCIAL"),OR(N269="PENDENTE",N269="PARCIAL")),1,0))</f>
        <v/>
      </c>
      <c r="W269" s="8">
        <f>IF(AND(V269=1,D269&lt;&gt;""),IF(D269&gt;=corte,(B269="CRÍTICO")*1E9+(100000-D269)*10000+10000-ROW(),""),"")</f>
        <v/>
      </c>
      <c r="X269" s="8">
        <f>IF(AND(V269=1,D269=pas_data,E269=pas_turno),10000-ROW(),"")</f>
        <v/>
      </c>
    </row>
    <row r="270">
      <c r="A270" s="3">
        <f>IF(D270="","","TT-"&amp;TEXT(ROW()-1,"00000"))</f>
        <v/>
      </c>
      <c r="B270" s="3">
        <f>IF(D270="","",IF(V270=0,"CONCLUÍDO",IF(D270&lt;corte,"HISTÓRICO",IF(OR(AND(ISNUMBER(R270),R270&lt;TODAY()),AND(OR(N270="PENDENTE",N270="PARCIAL"),D270&lt;TODAY()-1)),"CRÍTICO",IF(OR(AND(P270&lt;&gt;"",S270=""),AND(N270="REALIZADO",M270="PENDENTE"),AND(ISNUMBER(R270),R270=TODAY())),"ATENÇÃO",IF(N(K270)=0,"PENDENTE","EM ANDAMENTO"))))))</f>
        <v/>
      </c>
      <c r="C270" s="3">
        <f>IF(D270="","",IF(V270=0,"🟢 OK",IF(D270&lt;corte,"⚪ HISTÓRICO (sem baixa)",IF(AND(ISNUMBER(R270),R270&lt;TODAY()),"🔴 PRAZO VENCIDO",IF(AND(OR(N270="PENDENTE",N270="PARCIAL"),D270&lt;TODAY()-1),"🔴 EMBARQUE ATRASADO",IF(AND(N270="REALIZADO",M270="PENDENTE"),"🟡 EMBARCADO SEM FATURAR",IF(AND(P270&lt;&gt;"",S270="",OR(Q270="",R270="")),"🟡 PENDÊNCIA SEM RESPONSÁVEL/PRAZO",IF(AND(ISNUMBER(R270),R270=TODAY()),"🟡 VENCE HOJE",IF(AND(P270&lt;&gt;"",S270=""),"🟡 PENDÊNCIA ABERTA",IF(AND(N(J270)&gt;0,N(K270)&lt;J270),"🟡 FALTA EXECUTAR",IF(OR(M270="PENDENTE",M270="PARCIAL"),"🟡 FATURAMENTO PENDENTE","🟡 EMBARQUE PENDENTE")))))))))))</f>
        <v/>
      </c>
      <c r="D270" s="4" t="n">
        <v>46240</v>
      </c>
      <c r="E270" s="5" t="inlineStr">
        <is>
          <t>A</t>
        </is>
      </c>
      <c r="F270" s="5" t="inlineStr">
        <is>
          <t>TATIANE</t>
        </is>
      </c>
      <c r="G270" s="5" t="inlineStr">
        <is>
          <t>FM</t>
        </is>
      </c>
      <c r="H270" s="5" t="inlineStr">
        <is>
          <t>FM</t>
        </is>
      </c>
      <c r="I270" s="5" t="inlineStr">
        <is>
          <t>TON</t>
        </is>
      </c>
      <c r="J270" s="6" t="n">
        <v>12.948</v>
      </c>
      <c r="K270" s="6" t="n">
        <v>12.948</v>
      </c>
      <c r="L270" s="7">
        <f>IF(OR(D270="",N(J270)=0),"",MIN(1,N(K270)/J270))</f>
        <v/>
      </c>
      <c r="M270" s="5" t="inlineStr">
        <is>
          <t>FATURADO</t>
        </is>
      </c>
      <c r="N270" s="5" t="inlineStr">
        <is>
          <t>REALIZADO</t>
        </is>
      </c>
      <c r="O270" s="5" t="inlineStr">
        <is>
          <t>SPEEDYLOG</t>
        </is>
      </c>
      <c r="P270" s="5" t="n"/>
      <c r="Q270" s="5" t="n"/>
      <c r="R270" s="4" t="n"/>
      <c r="S270" s="4" t="n"/>
      <c r="T270" s="5" t="n"/>
      <c r="U270" s="8">
        <f>IF(AND(V270=1,D270&lt;&gt;""),IF(D270&gt;=corte,TODAY()-D270,""),"")</f>
        <v/>
      </c>
      <c r="V270" s="8">
        <f>IF(D270="",0,IF(OR(AND(P270&lt;&gt;"",S270=""),AND(N(J270)&gt;0,N(K270)&lt;J270),OR(M270="PENDENTE",M270="PARCIAL"),OR(N270="PENDENTE",N270="PARCIAL")),1,0))</f>
        <v/>
      </c>
      <c r="W270" s="8">
        <f>IF(AND(V270=1,D270&lt;&gt;""),IF(D270&gt;=corte,(B270="CRÍTICO")*1E9+(100000-D270)*10000+10000-ROW(),""),"")</f>
        <v/>
      </c>
      <c r="X270" s="8">
        <f>IF(AND(V270=1,D270=pas_data,E270=pas_turno),10000-ROW(),"")</f>
        <v/>
      </c>
    </row>
    <row r="271">
      <c r="A271" s="3">
        <f>IF(D271="","","TT-"&amp;TEXT(ROW()-1,"00000"))</f>
        <v/>
      </c>
      <c r="B271" s="3">
        <f>IF(D271="","",IF(V271=0,"CONCLUÍDO",IF(D271&lt;corte,"HISTÓRICO",IF(OR(AND(ISNUMBER(R271),R271&lt;TODAY()),AND(OR(N271="PENDENTE",N271="PARCIAL"),D271&lt;TODAY()-1)),"CRÍTICO",IF(OR(AND(P271&lt;&gt;"",S271=""),AND(N271="REALIZADO",M271="PENDENTE"),AND(ISNUMBER(R271),R271=TODAY())),"ATENÇÃO",IF(N(K271)=0,"PENDENTE","EM ANDAMENTO"))))))</f>
        <v/>
      </c>
      <c r="C271" s="3">
        <f>IF(D271="","",IF(V271=0,"🟢 OK",IF(D271&lt;corte,"⚪ HISTÓRICO (sem baixa)",IF(AND(ISNUMBER(R271),R271&lt;TODAY()),"🔴 PRAZO VENCIDO",IF(AND(OR(N271="PENDENTE",N271="PARCIAL"),D271&lt;TODAY()-1),"🔴 EMBARQUE ATRASADO",IF(AND(N271="REALIZADO",M271="PENDENTE"),"🟡 EMBARCADO SEM FATURAR",IF(AND(P271&lt;&gt;"",S271="",OR(Q271="",R271="")),"🟡 PENDÊNCIA SEM RESPONSÁVEL/PRAZO",IF(AND(ISNUMBER(R271),R271=TODAY()),"🟡 VENCE HOJE",IF(AND(P271&lt;&gt;"",S271=""),"🟡 PENDÊNCIA ABERTA",IF(AND(N(J271)&gt;0,N(K271)&lt;J271),"🟡 FALTA EXECUTAR",IF(OR(M271="PENDENTE",M271="PARCIAL"),"🟡 FATURAMENTO PENDENTE","🟡 EMBARQUE PENDENTE")))))))))))</f>
        <v/>
      </c>
      <c r="D271" s="4" t="n">
        <v>46240</v>
      </c>
      <c r="E271" s="5" t="inlineStr">
        <is>
          <t>A</t>
        </is>
      </c>
      <c r="F271" s="5" t="inlineStr">
        <is>
          <t>TATIANE</t>
        </is>
      </c>
      <c r="G271" s="5" t="inlineStr">
        <is>
          <t>FM</t>
        </is>
      </c>
      <c r="H271" s="5" t="inlineStr">
        <is>
          <t>FM</t>
        </is>
      </c>
      <c r="I271" s="5" t="inlineStr">
        <is>
          <t>TON</t>
        </is>
      </c>
      <c r="J271" s="6" t="n">
        <v>26.733</v>
      </c>
      <c r="K271" s="6" t="n"/>
      <c r="L271" s="7">
        <f>IF(OR(D271="",N(J271)=0),"",MIN(1,N(K271)/J271))</f>
        <v/>
      </c>
      <c r="M271" s="5" t="inlineStr">
        <is>
          <t>PENDENTE</t>
        </is>
      </c>
      <c r="N271" s="5" t="inlineStr">
        <is>
          <t>PENDENTE</t>
        </is>
      </c>
      <c r="O271" s="5" t="inlineStr">
        <is>
          <t>SPEEDYLOG</t>
        </is>
      </c>
      <c r="P271" s="5" t="n"/>
      <c r="Q271" s="5" t="n"/>
      <c r="R271" s="4" t="n"/>
      <c r="S271" s="4" t="n"/>
      <c r="T271" s="5" t="inlineStr">
        <is>
          <t>OTS GERADAS</t>
        </is>
      </c>
      <c r="U271" s="8">
        <f>IF(AND(V271=1,D271&lt;&gt;""),IF(D271&gt;=corte,TODAY()-D271,""),"")</f>
        <v/>
      </c>
      <c r="V271" s="8">
        <f>IF(D271="",0,IF(OR(AND(P271&lt;&gt;"",S271=""),AND(N(J271)&gt;0,N(K271)&lt;J271),OR(M271="PENDENTE",M271="PARCIAL"),OR(N271="PENDENTE",N271="PARCIAL")),1,0))</f>
        <v/>
      </c>
      <c r="W271" s="8">
        <f>IF(AND(V271=1,D271&lt;&gt;""),IF(D271&gt;=corte,(B271="CRÍTICO")*1E9+(100000-D271)*10000+10000-ROW(),""),"")</f>
        <v/>
      </c>
      <c r="X271" s="8">
        <f>IF(AND(V271=1,D271=pas_data,E271=pas_turno),10000-ROW(),"")</f>
        <v/>
      </c>
    </row>
    <row r="272">
      <c r="A272" s="3">
        <f>IF(D272="","","TT-"&amp;TEXT(ROW()-1,"00000"))</f>
        <v/>
      </c>
      <c r="B272" s="3">
        <f>IF(D272="","",IF(V272=0,"CONCLUÍDO",IF(D272&lt;corte,"HISTÓRICO",IF(OR(AND(ISNUMBER(R272),R272&lt;TODAY()),AND(OR(N272="PENDENTE",N272="PARCIAL"),D272&lt;TODAY()-1)),"CRÍTICO",IF(OR(AND(P272&lt;&gt;"",S272=""),AND(N272="REALIZADO",M272="PENDENTE"),AND(ISNUMBER(R272),R272=TODAY())),"ATENÇÃO",IF(N(K272)=0,"PENDENTE","EM ANDAMENTO"))))))</f>
        <v/>
      </c>
      <c r="C272" s="3">
        <f>IF(D272="","",IF(V272=0,"🟢 OK",IF(D272&lt;corte,"⚪ HISTÓRICO (sem baixa)",IF(AND(ISNUMBER(R272),R272&lt;TODAY()),"🔴 PRAZO VENCIDO",IF(AND(OR(N272="PENDENTE",N272="PARCIAL"),D272&lt;TODAY()-1),"🔴 EMBARQUE ATRASADO",IF(AND(N272="REALIZADO",M272="PENDENTE"),"🟡 EMBARCADO SEM FATURAR",IF(AND(P272&lt;&gt;"",S272="",OR(Q272="",R272="")),"🟡 PENDÊNCIA SEM RESPONSÁVEL/PRAZO",IF(AND(ISNUMBER(R272),R272=TODAY()),"🟡 VENCE HOJE",IF(AND(P272&lt;&gt;"",S272=""),"🟡 PENDÊNCIA ABERTA",IF(AND(N(J272)&gt;0,N(K272)&lt;J272),"🟡 FALTA EXECUTAR",IF(OR(M272="PENDENTE",M272="PARCIAL"),"🟡 FATURAMENTO PENDENTE","🟡 EMBARQUE PENDENTE")))))))))))</f>
        <v/>
      </c>
      <c r="D272" s="4" t="n">
        <v>46240</v>
      </c>
      <c r="E272" s="5" t="inlineStr">
        <is>
          <t>A</t>
        </is>
      </c>
      <c r="F272" s="5" t="inlineStr">
        <is>
          <t>TATIANE</t>
        </is>
      </c>
      <c r="G272" s="5" t="inlineStr">
        <is>
          <t>RECEBIMENTO</t>
        </is>
      </c>
      <c r="H272" s="5" t="inlineStr">
        <is>
          <t>RECEBIMENTO</t>
        </is>
      </c>
      <c r="I272" s="5" t="inlineStr">
        <is>
          <t>TON</t>
        </is>
      </c>
      <c r="J272" s="6" t="n">
        <v>12.963</v>
      </c>
      <c r="K272" s="6" t="n"/>
      <c r="L272" s="7">
        <f>IF(OR(D272="",N(J272)=0),"",MIN(1,N(K272)/J272))</f>
        <v/>
      </c>
      <c r="M272" s="5" t="n"/>
      <c r="N272" s="5" t="n"/>
      <c r="O272" s="5" t="inlineStr">
        <is>
          <t>SPEEDYLOG</t>
        </is>
      </c>
      <c r="P272" s="5" t="n"/>
      <c r="Q272" s="5" t="n"/>
      <c r="R272" s="4" t="n"/>
      <c r="S272" s="4" t="n"/>
      <c r="T272" s="5" t="inlineStr">
        <is>
          <t>RECEBIMENTO FEITO</t>
        </is>
      </c>
      <c r="U272" s="8">
        <f>IF(AND(V272=1,D272&lt;&gt;""),IF(D272&gt;=corte,TODAY()-D272,""),"")</f>
        <v/>
      </c>
      <c r="V272" s="8">
        <f>IF(D272="",0,IF(OR(AND(P272&lt;&gt;"",S272=""),AND(N(J272)&gt;0,N(K272)&lt;J272),OR(M272="PENDENTE",M272="PARCIAL"),OR(N272="PENDENTE",N272="PARCIAL")),1,0))</f>
        <v/>
      </c>
      <c r="W272" s="8">
        <f>IF(AND(V272=1,D272&lt;&gt;""),IF(D272&gt;=corte,(B272="CRÍTICO")*1E9+(100000-D272)*10000+10000-ROW(),""),"")</f>
        <v/>
      </c>
      <c r="X272" s="8">
        <f>IF(AND(V272=1,D272=pas_data,E272=pas_turno),10000-ROW(),"")</f>
        <v/>
      </c>
    </row>
    <row r="273">
      <c r="A273" s="3">
        <f>IF(D273="","","TT-"&amp;TEXT(ROW()-1,"00000"))</f>
        <v/>
      </c>
      <c r="B273" s="3">
        <f>IF(D273="","",IF(V273=0,"CONCLUÍDO",IF(D273&lt;corte,"HISTÓRICO",IF(OR(AND(ISNUMBER(R273),R273&lt;TODAY()),AND(OR(N273="PENDENTE",N273="PARCIAL"),D273&lt;TODAY()-1)),"CRÍTICO",IF(OR(AND(P273&lt;&gt;"",S273=""),AND(N273="REALIZADO",M273="PENDENTE"),AND(ISNUMBER(R273),R273=TODAY())),"ATENÇÃO",IF(N(K273)=0,"PENDENTE","EM ANDAMENTO"))))))</f>
        <v/>
      </c>
      <c r="C273" s="3">
        <f>IF(D273="","",IF(V273=0,"🟢 OK",IF(D273&lt;corte,"⚪ HISTÓRICO (sem baixa)",IF(AND(ISNUMBER(R273),R273&lt;TODAY()),"🔴 PRAZO VENCIDO",IF(AND(OR(N273="PENDENTE",N273="PARCIAL"),D273&lt;TODAY()-1),"🔴 EMBARQUE ATRASADO",IF(AND(N273="REALIZADO",M273="PENDENTE"),"🟡 EMBARCADO SEM FATURAR",IF(AND(P273&lt;&gt;"",S273="",OR(Q273="",R273="")),"🟡 PENDÊNCIA SEM RESPONSÁVEL/PRAZO",IF(AND(ISNUMBER(R273),R273=TODAY()),"🟡 VENCE HOJE",IF(AND(P273&lt;&gt;"",S273=""),"🟡 PENDÊNCIA ABERTA",IF(AND(N(J273)&gt;0,N(K273)&lt;J273),"🟡 FALTA EXECUTAR",IF(OR(M273="PENDENTE",M273="PARCIAL"),"🟡 FATURAMENTO PENDENTE","🟡 EMBARQUE PENDENTE")))))))))))</f>
        <v/>
      </c>
      <c r="D273" s="4" t="n">
        <v>46240</v>
      </c>
      <c r="E273" s="5" t="inlineStr">
        <is>
          <t>A</t>
        </is>
      </c>
      <c r="F273" s="5" t="inlineStr">
        <is>
          <t>TATIANE</t>
        </is>
      </c>
      <c r="G273" s="5" t="inlineStr">
        <is>
          <t>FLOOR</t>
        </is>
      </c>
      <c r="H273" s="5" t="inlineStr">
        <is>
          <t>FLOOR</t>
        </is>
      </c>
      <c r="I273" s="5" t="n"/>
      <c r="J273" s="6" t="n"/>
      <c r="K273" s="6" t="n"/>
      <c r="L273" s="7">
        <f>IF(OR(D273="",N(J273)=0),"",MIN(1,N(K273)/J273))</f>
        <v/>
      </c>
      <c r="M273" s="5" t="inlineStr">
        <is>
          <t>FATURADO</t>
        </is>
      </c>
      <c r="N273" s="5" t="inlineStr">
        <is>
          <t>REALIZADO</t>
        </is>
      </c>
      <c r="O273" s="5" t="inlineStr">
        <is>
          <t>SPEEDYLOG</t>
        </is>
      </c>
      <c r="P273" s="5" t="n"/>
      <c r="Q273" s="5" t="n"/>
      <c r="R273" s="4" t="n"/>
      <c r="S273" s="4" t="n"/>
      <c r="T273" s="5" t="n"/>
      <c r="U273" s="8">
        <f>IF(AND(V273=1,D273&lt;&gt;""),IF(D273&gt;=corte,TODAY()-D273,""),"")</f>
        <v/>
      </c>
      <c r="V273" s="8">
        <f>IF(D273="",0,IF(OR(AND(P273&lt;&gt;"",S273=""),AND(N(J273)&gt;0,N(K273)&lt;J273),OR(M273="PENDENTE",M273="PARCIAL"),OR(N273="PENDENTE",N273="PARCIAL")),1,0))</f>
        <v/>
      </c>
      <c r="W273" s="8">
        <f>IF(AND(V273=1,D273&lt;&gt;""),IF(D273&gt;=corte,(B273="CRÍTICO")*1E9+(100000-D273)*10000+10000-ROW(),""),"")</f>
        <v/>
      </c>
      <c r="X273" s="8">
        <f>IF(AND(V273=1,D273=pas_data,E273=pas_turno),10000-ROW(),"")</f>
        <v/>
      </c>
    </row>
    <row r="274">
      <c r="A274" s="3">
        <f>IF(D274="","","TT-"&amp;TEXT(ROW()-1,"00000"))</f>
        <v/>
      </c>
      <c r="B274" s="3">
        <f>IF(D274="","",IF(V274=0,"CONCLUÍDO",IF(D274&lt;corte,"HISTÓRICO",IF(OR(AND(ISNUMBER(R274),R274&lt;TODAY()),AND(OR(N274="PENDENTE",N274="PARCIAL"),D274&lt;TODAY()-1)),"CRÍTICO",IF(OR(AND(P274&lt;&gt;"",S274=""),AND(N274="REALIZADO",M274="PENDENTE"),AND(ISNUMBER(R274),R274=TODAY())),"ATENÇÃO",IF(N(K274)=0,"PENDENTE","EM ANDAMENTO"))))))</f>
        <v/>
      </c>
      <c r="C274" s="3">
        <f>IF(D274="","",IF(V274=0,"🟢 OK",IF(D274&lt;corte,"⚪ HISTÓRICO (sem baixa)",IF(AND(ISNUMBER(R274),R274&lt;TODAY()),"🔴 PRAZO VENCIDO",IF(AND(OR(N274="PENDENTE",N274="PARCIAL"),D274&lt;TODAY()-1),"🔴 EMBARQUE ATRASADO",IF(AND(N274="REALIZADO",M274="PENDENTE"),"🟡 EMBARCADO SEM FATURAR",IF(AND(P274&lt;&gt;"",S274="",OR(Q274="",R274="")),"🟡 PENDÊNCIA SEM RESPONSÁVEL/PRAZO",IF(AND(ISNUMBER(R274),R274=TODAY()),"🟡 VENCE HOJE",IF(AND(P274&lt;&gt;"",S274=""),"🟡 PENDÊNCIA ABERTA",IF(AND(N(J274)&gt;0,N(K274)&lt;J274),"🟡 FALTA EXECUTAR",IF(OR(M274="PENDENTE",M274="PARCIAL"),"🟡 FATURAMENTO PENDENTE","🟡 EMBARQUE PENDENTE")))))))))))</f>
        <v/>
      </c>
      <c r="D274" s="4" t="n">
        <v>46240</v>
      </c>
      <c r="E274" s="5" t="inlineStr">
        <is>
          <t>A</t>
        </is>
      </c>
      <c r="F274" s="5" t="inlineStr">
        <is>
          <t>TATIANE</t>
        </is>
      </c>
      <c r="G274" s="5" t="inlineStr">
        <is>
          <t>CACAU</t>
        </is>
      </c>
      <c r="H274" s="5" t="inlineStr">
        <is>
          <t>SEP CACAU</t>
        </is>
      </c>
      <c r="I274" s="5" t="inlineStr">
        <is>
          <t>TON</t>
        </is>
      </c>
      <c r="J274" s="6" t="n">
        <v>28.569</v>
      </c>
      <c r="K274" s="6" t="n">
        <v>28.569</v>
      </c>
      <c r="L274" s="7">
        <f>IF(OR(D274="",N(J274)=0),"",MIN(1,N(K274)/J274))</f>
        <v/>
      </c>
      <c r="M274" s="5" t="inlineStr">
        <is>
          <t>FATURADO</t>
        </is>
      </c>
      <c r="N274" s="5" t="inlineStr">
        <is>
          <t>PENDENTE</t>
        </is>
      </c>
      <c r="O274" s="5" t="n"/>
      <c r="P274" s="5" t="n"/>
      <c r="Q274" s="5" t="n"/>
      <c r="R274" s="4" t="n"/>
      <c r="S274" s="4" t="n"/>
      <c r="T274" s="5" t="inlineStr">
        <is>
          <t>[MIGRAÇÃO: programação original: SEP CACAU]</t>
        </is>
      </c>
      <c r="U274" s="8">
        <f>IF(AND(V274=1,D274&lt;&gt;""),IF(D274&gt;=corte,TODAY()-D274,""),"")</f>
        <v/>
      </c>
      <c r="V274" s="8">
        <f>IF(D274="",0,IF(OR(AND(P274&lt;&gt;"",S274=""),AND(N(J274)&gt;0,N(K274)&lt;J274),OR(M274="PENDENTE",M274="PARCIAL"),OR(N274="PENDENTE",N274="PARCIAL")),1,0))</f>
        <v/>
      </c>
      <c r="W274" s="8">
        <f>IF(AND(V274=1,D274&lt;&gt;""),IF(D274&gt;=corte,(B274="CRÍTICO")*1E9+(100000-D274)*10000+10000-ROW(),""),"")</f>
        <v/>
      </c>
      <c r="X274" s="8">
        <f>IF(AND(V274=1,D274=pas_data,E274=pas_turno),10000-ROW(),"")</f>
        <v/>
      </c>
    </row>
    <row r="275">
      <c r="A275" s="3">
        <f>IF(D275="","","TT-"&amp;TEXT(ROW()-1,"00000"))</f>
        <v/>
      </c>
      <c r="B275" s="3">
        <f>IF(D275="","",IF(V275=0,"CONCLUÍDO",IF(D275&lt;corte,"HISTÓRICO",IF(OR(AND(ISNUMBER(R275),R275&lt;TODAY()),AND(OR(N275="PENDENTE",N275="PARCIAL"),D275&lt;TODAY()-1)),"CRÍTICO",IF(OR(AND(P275&lt;&gt;"",S275=""),AND(N275="REALIZADO",M275="PENDENTE"),AND(ISNUMBER(R275),R275=TODAY())),"ATENÇÃO",IF(N(K275)=0,"PENDENTE","EM ANDAMENTO"))))))</f>
        <v/>
      </c>
      <c r="C275" s="3">
        <f>IF(D275="","",IF(V275=0,"🟢 OK",IF(D275&lt;corte,"⚪ HISTÓRICO (sem baixa)",IF(AND(ISNUMBER(R275),R275&lt;TODAY()),"🔴 PRAZO VENCIDO",IF(AND(OR(N275="PENDENTE",N275="PARCIAL"),D275&lt;TODAY()-1),"🔴 EMBARQUE ATRASADO",IF(AND(N275="REALIZADO",M275="PENDENTE"),"🟡 EMBARCADO SEM FATURAR",IF(AND(P275&lt;&gt;"",S275="",OR(Q275="",R275="")),"🟡 PENDÊNCIA SEM RESPONSÁVEL/PRAZO",IF(AND(ISNUMBER(R275),R275=TODAY()),"🟡 VENCE HOJE",IF(AND(P275&lt;&gt;"",S275=""),"🟡 PENDÊNCIA ABERTA",IF(AND(N(J275)&gt;0,N(K275)&lt;J275),"🟡 FALTA EXECUTAR",IF(OR(M275="PENDENTE",M275="PARCIAL"),"🟡 FATURAMENTO PENDENTE","🟡 EMBARQUE PENDENTE")))))))))))</f>
        <v/>
      </c>
      <c r="D275" s="4" t="n">
        <v>46240</v>
      </c>
      <c r="E275" s="5" t="inlineStr">
        <is>
          <t>B</t>
        </is>
      </c>
      <c r="F275" s="5" t="inlineStr">
        <is>
          <t>THIAGO</t>
        </is>
      </c>
      <c r="G275" s="5" t="inlineStr">
        <is>
          <t>CACAU</t>
        </is>
      </c>
      <c r="H275" s="5" t="inlineStr">
        <is>
          <t>CACAU</t>
        </is>
      </c>
      <c r="I275" s="5" t="inlineStr">
        <is>
          <t>TON</t>
        </is>
      </c>
      <c r="J275" s="6" t="n">
        <v>0.8</v>
      </c>
      <c r="K275" s="6" t="n">
        <v>0.8</v>
      </c>
      <c r="L275" s="7">
        <f>IF(OR(D275="",N(J275)=0),"",MIN(1,N(K275)/J275))</f>
        <v/>
      </c>
      <c r="M275" s="5" t="inlineStr">
        <is>
          <t>FATURADO</t>
        </is>
      </c>
      <c r="N275" s="5" t="inlineStr">
        <is>
          <t>REALIZADO</t>
        </is>
      </c>
      <c r="O275" s="5" t="inlineStr">
        <is>
          <t>SMARTLOG</t>
        </is>
      </c>
      <c r="P275" s="5" t="n"/>
      <c r="Q275" s="5" t="n"/>
      <c r="R275" s="4" t="n"/>
      <c r="S275" s="4" t="n"/>
      <c r="T275" s="5" t="inlineStr">
        <is>
          <t>[MIGRAÇÃO: data corrigida de 08/06/2026]</t>
        </is>
      </c>
      <c r="U275" s="8">
        <f>IF(AND(V275=1,D275&lt;&gt;""),IF(D275&gt;=corte,TODAY()-D275,""),"")</f>
        <v/>
      </c>
      <c r="V275" s="8">
        <f>IF(D275="",0,IF(OR(AND(P275&lt;&gt;"",S275=""),AND(N(J275)&gt;0,N(K275)&lt;J275),OR(M275="PENDENTE",M275="PARCIAL"),OR(N275="PENDENTE",N275="PARCIAL")),1,0))</f>
        <v/>
      </c>
      <c r="W275" s="8">
        <f>IF(AND(V275=1,D275&lt;&gt;""),IF(D275&gt;=corte,(B275="CRÍTICO")*1E9+(100000-D275)*10000+10000-ROW(),""),"")</f>
        <v/>
      </c>
      <c r="X275" s="8">
        <f>IF(AND(V275=1,D275=pas_data,E275=pas_turno),10000-ROW(),"")</f>
        <v/>
      </c>
    </row>
    <row r="276">
      <c r="A276" s="3">
        <f>IF(D276="","","TT-"&amp;TEXT(ROW()-1,"00000"))</f>
        <v/>
      </c>
      <c r="B276" s="3">
        <f>IF(D276="","",IF(V276=0,"CONCLUÍDO",IF(D276&lt;corte,"HISTÓRICO",IF(OR(AND(ISNUMBER(R276),R276&lt;TODAY()),AND(OR(N276="PENDENTE",N276="PARCIAL"),D276&lt;TODAY()-1)),"CRÍTICO",IF(OR(AND(P276&lt;&gt;"",S276=""),AND(N276="REALIZADO",M276="PENDENTE"),AND(ISNUMBER(R276),R276=TODAY())),"ATENÇÃO",IF(N(K276)=0,"PENDENTE","EM ANDAMENTO"))))))</f>
        <v/>
      </c>
      <c r="C276" s="3">
        <f>IF(D276="","",IF(V276=0,"🟢 OK",IF(D276&lt;corte,"⚪ HISTÓRICO (sem baixa)",IF(AND(ISNUMBER(R276),R276&lt;TODAY()),"🔴 PRAZO VENCIDO",IF(AND(OR(N276="PENDENTE",N276="PARCIAL"),D276&lt;TODAY()-1),"🔴 EMBARQUE ATRASADO",IF(AND(N276="REALIZADO",M276="PENDENTE"),"🟡 EMBARCADO SEM FATURAR",IF(AND(P276&lt;&gt;"",S276="",OR(Q276="",R276="")),"🟡 PENDÊNCIA SEM RESPONSÁVEL/PRAZO",IF(AND(ISNUMBER(R276),R276=TODAY()),"🟡 VENCE HOJE",IF(AND(P276&lt;&gt;"",S276=""),"🟡 PENDÊNCIA ABERTA",IF(AND(N(J276)&gt;0,N(K276)&lt;J276),"🟡 FALTA EXECUTAR",IF(OR(M276="PENDENTE",M276="PARCIAL"),"🟡 FATURAMENTO PENDENTE","🟡 EMBARQUE PENDENTE")))))))))))</f>
        <v/>
      </c>
      <c r="D276" s="4" t="n">
        <v>46240</v>
      </c>
      <c r="E276" s="5" t="inlineStr">
        <is>
          <t>B</t>
        </is>
      </c>
      <c r="F276" s="5" t="inlineStr">
        <is>
          <t>THIAGO</t>
        </is>
      </c>
      <c r="G276" s="5" t="inlineStr">
        <is>
          <t>FM</t>
        </is>
      </c>
      <c r="H276" s="5" t="inlineStr">
        <is>
          <t>NESTLE</t>
        </is>
      </c>
      <c r="I276" s="5" t="inlineStr">
        <is>
          <t>TON</t>
        </is>
      </c>
      <c r="J276" s="6" t="n">
        <v>15.106</v>
      </c>
      <c r="K276" s="6" t="n">
        <v>15.106</v>
      </c>
      <c r="L276" s="7">
        <f>IF(OR(D276="",N(J276)=0),"",MIN(1,N(K276)/J276))</f>
        <v/>
      </c>
      <c r="M276" s="5" t="inlineStr">
        <is>
          <t>FATURADO</t>
        </is>
      </c>
      <c r="N276" s="5" t="inlineStr">
        <is>
          <t>REALIZADO</t>
        </is>
      </c>
      <c r="O276" s="5" t="inlineStr">
        <is>
          <t>SPEEDYLOG</t>
        </is>
      </c>
      <c r="P276" s="5" t="n"/>
      <c r="Q276" s="5" t="n"/>
      <c r="R276" s="4" t="n"/>
      <c r="S276" s="4" t="n"/>
      <c r="T276" s="5" t="inlineStr">
        <is>
          <t>[MIGRAÇÃO: data corrigida de 08/06/2026]</t>
        </is>
      </c>
      <c r="U276" s="8">
        <f>IF(AND(V276=1,D276&lt;&gt;""),IF(D276&gt;=corte,TODAY()-D276,""),"")</f>
        <v/>
      </c>
      <c r="V276" s="8">
        <f>IF(D276="",0,IF(OR(AND(P276&lt;&gt;"",S276=""),AND(N(J276)&gt;0,N(K276)&lt;J276),OR(M276="PENDENTE",M276="PARCIAL"),OR(N276="PENDENTE",N276="PARCIAL")),1,0))</f>
        <v/>
      </c>
      <c r="W276" s="8">
        <f>IF(AND(V276=1,D276&lt;&gt;""),IF(D276&gt;=corte,(B276="CRÍTICO")*1E9+(100000-D276)*10000+10000-ROW(),""),"")</f>
        <v/>
      </c>
      <c r="X276" s="8">
        <f>IF(AND(V276=1,D276=pas_data,E276=pas_turno),10000-ROW(),"")</f>
        <v/>
      </c>
    </row>
    <row r="277">
      <c r="A277" s="3">
        <f>IF(D277="","","TT-"&amp;TEXT(ROW()-1,"00000"))</f>
        <v/>
      </c>
      <c r="B277" s="3">
        <f>IF(D277="","",IF(V277=0,"CONCLUÍDO",IF(D277&lt;corte,"HISTÓRICO",IF(OR(AND(ISNUMBER(R277),R277&lt;TODAY()),AND(OR(N277="PENDENTE",N277="PARCIAL"),D277&lt;TODAY()-1)),"CRÍTICO",IF(OR(AND(P277&lt;&gt;"",S277=""),AND(N277="REALIZADO",M277="PENDENTE"),AND(ISNUMBER(R277),R277=TODAY())),"ATENÇÃO",IF(N(K277)=0,"PENDENTE","EM ANDAMENTO"))))))</f>
        <v/>
      </c>
      <c r="C277" s="3">
        <f>IF(D277="","",IF(V277=0,"🟢 OK",IF(D277&lt;corte,"⚪ HISTÓRICO (sem baixa)",IF(AND(ISNUMBER(R277),R277&lt;TODAY()),"🔴 PRAZO VENCIDO",IF(AND(OR(N277="PENDENTE",N277="PARCIAL"),D277&lt;TODAY()-1),"🔴 EMBARQUE ATRASADO",IF(AND(N277="REALIZADO",M277="PENDENTE"),"🟡 EMBARCADO SEM FATURAR",IF(AND(P277&lt;&gt;"",S277="",OR(Q277="",R277="")),"🟡 PENDÊNCIA SEM RESPONSÁVEL/PRAZO",IF(AND(ISNUMBER(R277),R277=TODAY()),"🟡 VENCE HOJE",IF(AND(P277&lt;&gt;"",S277=""),"🟡 PENDÊNCIA ABERTA",IF(AND(N(J277)&gt;0,N(K277)&lt;J277),"🟡 FALTA EXECUTAR",IF(OR(M277="PENDENTE",M277="PARCIAL"),"🟡 FATURAMENTO PENDENTE","🟡 EMBARQUE PENDENTE")))))))))))</f>
        <v/>
      </c>
      <c r="D277" s="4" t="n">
        <v>46240</v>
      </c>
      <c r="E277" s="5" t="inlineStr">
        <is>
          <t>B</t>
        </is>
      </c>
      <c r="F277" s="5" t="inlineStr">
        <is>
          <t>THIAGO</t>
        </is>
      </c>
      <c r="G277" s="5" t="inlineStr">
        <is>
          <t>FM</t>
        </is>
      </c>
      <c r="H277" s="5" t="inlineStr">
        <is>
          <t>PANDURATA</t>
        </is>
      </c>
      <c r="I277" s="5" t="inlineStr">
        <is>
          <t>TON</t>
        </is>
      </c>
      <c r="J277" s="6" t="n">
        <v>24.8</v>
      </c>
      <c r="K277" s="6" t="n">
        <v>24.8</v>
      </c>
      <c r="L277" s="7">
        <f>IF(OR(D277="",N(J277)=0),"",MIN(1,N(K277)/J277))</f>
        <v/>
      </c>
      <c r="M277" s="5" t="inlineStr">
        <is>
          <t>FATURADO</t>
        </is>
      </c>
      <c r="N277" s="5" t="inlineStr">
        <is>
          <t>REALIZADO</t>
        </is>
      </c>
      <c r="O277" s="5" t="inlineStr">
        <is>
          <t>SPEEDYLOG</t>
        </is>
      </c>
      <c r="P277" s="5" t="n"/>
      <c r="Q277" s="5" t="n"/>
      <c r="R277" s="4" t="n"/>
      <c r="S277" s="4" t="n"/>
      <c r="T277" s="5" t="inlineStr">
        <is>
          <t>[MIGRAÇÃO: data corrigida de 08/06/2026]</t>
        </is>
      </c>
      <c r="U277" s="8">
        <f>IF(AND(V277=1,D277&lt;&gt;""),IF(D277&gt;=corte,TODAY()-D277,""),"")</f>
        <v/>
      </c>
      <c r="V277" s="8">
        <f>IF(D277="",0,IF(OR(AND(P277&lt;&gt;"",S277=""),AND(N(J277)&gt;0,N(K277)&lt;J277),OR(M277="PENDENTE",M277="PARCIAL"),OR(N277="PENDENTE",N277="PARCIAL")),1,0))</f>
        <v/>
      </c>
      <c r="W277" s="8">
        <f>IF(AND(V277=1,D277&lt;&gt;""),IF(D277&gt;=corte,(B277="CRÍTICO")*1E9+(100000-D277)*10000+10000-ROW(),""),"")</f>
        <v/>
      </c>
      <c r="X277" s="8">
        <f>IF(AND(V277=1,D277=pas_data,E277=pas_turno),10000-ROW(),"")</f>
        <v/>
      </c>
    </row>
    <row r="278">
      <c r="A278" s="3">
        <f>IF(D278="","","TT-"&amp;TEXT(ROW()-1,"00000"))</f>
        <v/>
      </c>
      <c r="B278" s="3">
        <f>IF(D278="","",IF(V278=0,"CONCLUÍDO",IF(D278&lt;corte,"HISTÓRICO",IF(OR(AND(ISNUMBER(R278),R278&lt;TODAY()),AND(OR(N278="PENDENTE",N278="PARCIAL"),D278&lt;TODAY()-1)),"CRÍTICO",IF(OR(AND(P278&lt;&gt;"",S278=""),AND(N278="REALIZADO",M278="PENDENTE"),AND(ISNUMBER(R278),R278=TODAY())),"ATENÇÃO",IF(N(K278)=0,"PENDENTE","EM ANDAMENTO"))))))</f>
        <v/>
      </c>
      <c r="C278" s="3">
        <f>IF(D278="","",IF(V278=0,"🟢 OK",IF(D278&lt;corte,"⚪ HISTÓRICO (sem baixa)",IF(AND(ISNUMBER(R278),R278&lt;TODAY()),"🔴 PRAZO VENCIDO",IF(AND(OR(N278="PENDENTE",N278="PARCIAL"),D278&lt;TODAY()-1),"🔴 EMBARQUE ATRASADO",IF(AND(N278="REALIZADO",M278="PENDENTE"),"🟡 EMBARCADO SEM FATURAR",IF(AND(P278&lt;&gt;"",S278="",OR(Q278="",R278="")),"🟡 PENDÊNCIA SEM RESPONSÁVEL/PRAZO",IF(AND(ISNUMBER(R278),R278=TODAY()),"🟡 VENCE HOJE",IF(AND(P278&lt;&gt;"",S278=""),"🟡 PENDÊNCIA ABERTA",IF(AND(N(J278)&gt;0,N(K278)&lt;J278),"🟡 FALTA EXECUTAR",IF(OR(M278="PENDENTE",M278="PARCIAL"),"🟡 FATURAMENTO PENDENTE","🟡 EMBARQUE PENDENTE")))))))))))</f>
        <v/>
      </c>
      <c r="D278" s="4" t="n">
        <v>46240</v>
      </c>
      <c r="E278" s="5" t="inlineStr">
        <is>
          <t>B</t>
        </is>
      </c>
      <c r="F278" s="5" t="inlineStr">
        <is>
          <t>THIAGO</t>
        </is>
      </c>
      <c r="G278" s="5" t="inlineStr">
        <is>
          <t>FM</t>
        </is>
      </c>
      <c r="H278" s="5" t="inlineStr">
        <is>
          <t>PANDURATA</t>
        </is>
      </c>
      <c r="I278" s="5" t="inlineStr">
        <is>
          <t>TON</t>
        </is>
      </c>
      <c r="J278" s="6" t="n">
        <v>24.395</v>
      </c>
      <c r="K278" s="6" t="n">
        <v>24.395</v>
      </c>
      <c r="L278" s="7">
        <f>IF(OR(D278="",N(J278)=0),"",MIN(1,N(K278)/J278))</f>
        <v/>
      </c>
      <c r="M278" s="5" t="n"/>
      <c r="N278" s="5" t="n"/>
      <c r="O278" s="5" t="n"/>
      <c r="P278" s="5" t="inlineStr">
        <is>
          <t>FATURAR QUANDO VEICULO CHEGAR</t>
        </is>
      </c>
      <c r="Q278" s="5" t="n"/>
      <c r="R278" s="4" t="n"/>
      <c r="S278" s="4" t="n"/>
      <c r="T278" s="5" t="inlineStr">
        <is>
          <t>FATURAR QUANDO VEICULO CHEGAR [MIGRAÇÃO: data corrigida de 08/06/2026]</t>
        </is>
      </c>
      <c r="U278" s="8">
        <f>IF(AND(V278=1,D278&lt;&gt;""),IF(D278&gt;=corte,TODAY()-D278,""),"")</f>
        <v/>
      </c>
      <c r="V278" s="8">
        <f>IF(D278="",0,IF(OR(AND(P278&lt;&gt;"",S278=""),AND(N(J278)&gt;0,N(K278)&lt;J278),OR(M278="PENDENTE",M278="PARCIAL"),OR(N278="PENDENTE",N278="PARCIAL")),1,0))</f>
        <v/>
      </c>
      <c r="W278" s="8">
        <f>IF(AND(V278=1,D278&lt;&gt;""),IF(D278&gt;=corte,(B278="CRÍTICO")*1E9+(100000-D278)*10000+10000-ROW(),""),"")</f>
        <v/>
      </c>
      <c r="X278" s="8">
        <f>IF(AND(V278=1,D278=pas_data,E278=pas_turno),10000-ROW(),"")</f>
        <v/>
      </c>
    </row>
    <row r="279">
      <c r="A279" s="3">
        <f>IF(D279="","","TT-"&amp;TEXT(ROW()-1,"00000"))</f>
        <v/>
      </c>
      <c r="B279" s="3">
        <f>IF(D279="","",IF(V279=0,"CONCLUÍDO",IF(D279&lt;corte,"HISTÓRICO",IF(OR(AND(ISNUMBER(R279),R279&lt;TODAY()),AND(OR(N279="PENDENTE",N279="PARCIAL"),D279&lt;TODAY()-1)),"CRÍTICO",IF(OR(AND(P279&lt;&gt;"",S279=""),AND(N279="REALIZADO",M279="PENDENTE"),AND(ISNUMBER(R279),R279=TODAY())),"ATENÇÃO",IF(N(K279)=0,"PENDENTE","EM ANDAMENTO"))))))</f>
        <v/>
      </c>
      <c r="C279" s="3">
        <f>IF(D279="","",IF(V279=0,"🟢 OK",IF(D279&lt;corte,"⚪ HISTÓRICO (sem baixa)",IF(AND(ISNUMBER(R279),R279&lt;TODAY()),"🔴 PRAZO VENCIDO",IF(AND(OR(N279="PENDENTE",N279="PARCIAL"),D279&lt;TODAY()-1),"🔴 EMBARQUE ATRASADO",IF(AND(N279="REALIZADO",M279="PENDENTE"),"🟡 EMBARCADO SEM FATURAR",IF(AND(P279&lt;&gt;"",S279="",OR(Q279="",R279="")),"🟡 PENDÊNCIA SEM RESPONSÁVEL/PRAZO",IF(AND(ISNUMBER(R279),R279=TODAY()),"🟡 VENCE HOJE",IF(AND(P279&lt;&gt;"",S279=""),"🟡 PENDÊNCIA ABERTA",IF(AND(N(J279)&gt;0,N(K279)&lt;J279),"🟡 FALTA EXECUTAR",IF(OR(M279="PENDENTE",M279="PARCIAL"),"🟡 FATURAMENTO PENDENTE","🟡 EMBARQUE PENDENTE")))))))))))</f>
        <v/>
      </c>
      <c r="D279" s="4" t="n">
        <v>46241</v>
      </c>
      <c r="E279" s="5" t="inlineStr">
        <is>
          <t>C</t>
        </is>
      </c>
      <c r="F279" s="5" t="inlineStr">
        <is>
          <t>ADIB</t>
        </is>
      </c>
      <c r="G279" s="5" t="inlineStr">
        <is>
          <t>FM</t>
        </is>
      </c>
      <c r="H279" s="5" t="inlineStr">
        <is>
          <t>CAMIL</t>
        </is>
      </c>
      <c r="I279" s="5" t="inlineStr">
        <is>
          <t>TON</t>
        </is>
      </c>
      <c r="J279" s="6" t="n">
        <v>12.948</v>
      </c>
      <c r="K279" s="6" t="n">
        <v>12.948</v>
      </c>
      <c r="L279" s="7">
        <f>IF(OR(D279="",N(J279)=0),"",MIN(1,N(K279)/J279))</f>
        <v/>
      </c>
      <c r="M279" s="5" t="inlineStr">
        <is>
          <t>FATURADO</t>
        </is>
      </c>
      <c r="N279" s="5" t="inlineStr">
        <is>
          <t>PENDENTE</t>
        </is>
      </c>
      <c r="O279" s="5" t="inlineStr">
        <is>
          <t>SPEEDYLOG</t>
        </is>
      </c>
      <c r="P279" s="5" t="inlineStr">
        <is>
          <t>AGUARDANDO CARRO</t>
        </is>
      </c>
      <c r="Q279" s="5" t="n"/>
      <c r="R279" s="4" t="n"/>
      <c r="S279" s="4" t="n"/>
      <c r="T279" s="5" t="inlineStr">
        <is>
          <t>AGUARDANDO CARRO</t>
        </is>
      </c>
      <c r="U279" s="8">
        <f>IF(AND(V279=1,D279&lt;&gt;""),IF(D279&gt;=corte,TODAY()-D279,""),"")</f>
        <v/>
      </c>
      <c r="V279" s="8">
        <f>IF(D279="",0,IF(OR(AND(P279&lt;&gt;"",S279=""),AND(N(J279)&gt;0,N(K279)&lt;J279),OR(M279="PENDENTE",M279="PARCIAL"),OR(N279="PENDENTE",N279="PARCIAL")),1,0))</f>
        <v/>
      </c>
      <c r="W279" s="8">
        <f>IF(AND(V279=1,D279&lt;&gt;""),IF(D279&gt;=corte,(B279="CRÍTICO")*1E9+(100000-D279)*10000+10000-ROW(),""),"")</f>
        <v/>
      </c>
      <c r="X279" s="8">
        <f>IF(AND(V279=1,D279=pas_data,E279=pas_turno),10000-ROW(),"")</f>
        <v/>
      </c>
    </row>
    <row r="280">
      <c r="A280" s="3">
        <f>IF(D280="","","TT-"&amp;TEXT(ROW()-1,"00000"))</f>
        <v/>
      </c>
      <c r="B280" s="3">
        <f>IF(D280="","",IF(V280=0,"CONCLUÍDO",IF(D280&lt;corte,"HISTÓRICO",IF(OR(AND(ISNUMBER(R280),R280&lt;TODAY()),AND(OR(N280="PENDENTE",N280="PARCIAL"),D280&lt;TODAY()-1)),"CRÍTICO",IF(OR(AND(P280&lt;&gt;"",S280=""),AND(N280="REALIZADO",M280="PENDENTE"),AND(ISNUMBER(R280),R280=TODAY())),"ATENÇÃO",IF(N(K280)=0,"PENDENTE","EM ANDAMENTO"))))))</f>
        <v/>
      </c>
      <c r="C280" s="3">
        <f>IF(D280="","",IF(V280=0,"🟢 OK",IF(D280&lt;corte,"⚪ HISTÓRICO (sem baixa)",IF(AND(ISNUMBER(R280),R280&lt;TODAY()),"🔴 PRAZO VENCIDO",IF(AND(OR(N280="PENDENTE",N280="PARCIAL"),D280&lt;TODAY()-1),"🔴 EMBARQUE ATRASADO",IF(AND(N280="REALIZADO",M280="PENDENTE"),"🟡 EMBARCADO SEM FATURAR",IF(AND(P280&lt;&gt;"",S280="",OR(Q280="",R280="")),"🟡 PENDÊNCIA SEM RESPONSÁVEL/PRAZO",IF(AND(ISNUMBER(R280),R280=TODAY()),"🟡 VENCE HOJE",IF(AND(P280&lt;&gt;"",S280=""),"🟡 PENDÊNCIA ABERTA",IF(AND(N(J280)&gt;0,N(K280)&lt;J280),"🟡 FALTA EXECUTAR",IF(OR(M280="PENDENTE",M280="PARCIAL"),"🟡 FATURAMENTO PENDENTE","🟡 EMBARQUE PENDENTE")))))))))))</f>
        <v/>
      </c>
      <c r="D280" s="4" t="n">
        <v>46241</v>
      </c>
      <c r="E280" s="5" t="inlineStr">
        <is>
          <t>C</t>
        </is>
      </c>
      <c r="F280" s="5" t="inlineStr">
        <is>
          <t>ADIB</t>
        </is>
      </c>
      <c r="G280" s="5" t="inlineStr">
        <is>
          <t>FM</t>
        </is>
      </c>
      <c r="H280" s="5" t="inlineStr">
        <is>
          <t>I.B.A.E</t>
        </is>
      </c>
      <c r="I280" s="5" t="inlineStr">
        <is>
          <t>TON</t>
        </is>
      </c>
      <c r="J280" s="6" t="n">
        <v>28.054</v>
      </c>
      <c r="K280" s="6" t="n">
        <v>28.054</v>
      </c>
      <c r="L280" s="7">
        <f>IF(OR(D280="",N(J280)=0),"",MIN(1,N(K280)/J280))</f>
        <v/>
      </c>
      <c r="M280" s="5" t="inlineStr">
        <is>
          <t>FATURADO</t>
        </is>
      </c>
      <c r="N280" s="5" t="inlineStr">
        <is>
          <t>PENDENTE</t>
        </is>
      </c>
      <c r="O280" s="5" t="inlineStr">
        <is>
          <t>SPEEDYLOG</t>
        </is>
      </c>
      <c r="P280" s="5" t="inlineStr">
        <is>
          <t>AGUARDANDO CARRO</t>
        </is>
      </c>
      <c r="Q280" s="5" t="n"/>
      <c r="R280" s="4" t="n"/>
      <c r="S280" s="4" t="n"/>
      <c r="T280" s="5" t="inlineStr">
        <is>
          <t>AGUARDANDO CARRO</t>
        </is>
      </c>
      <c r="U280" s="8">
        <f>IF(AND(V280=1,D280&lt;&gt;""),IF(D280&gt;=corte,TODAY()-D280,""),"")</f>
        <v/>
      </c>
      <c r="V280" s="8">
        <f>IF(D280="",0,IF(OR(AND(P280&lt;&gt;"",S280=""),AND(N(J280)&gt;0,N(K280)&lt;J280),OR(M280="PENDENTE",M280="PARCIAL"),OR(N280="PENDENTE",N280="PARCIAL")),1,0))</f>
        <v/>
      </c>
      <c r="W280" s="8">
        <f>IF(AND(V280=1,D280&lt;&gt;""),IF(D280&gt;=corte,(B280="CRÍTICO")*1E9+(100000-D280)*10000+10000-ROW(),""),"")</f>
        <v/>
      </c>
      <c r="X280" s="8">
        <f>IF(AND(V280=1,D280=pas_data,E280=pas_turno),10000-ROW(),"")</f>
        <v/>
      </c>
    </row>
    <row r="281">
      <c r="A281" s="3">
        <f>IF(D281="","","TT-"&amp;TEXT(ROW()-1,"00000"))</f>
        <v/>
      </c>
      <c r="B281" s="3">
        <f>IF(D281="","",IF(V281=0,"CONCLUÍDO",IF(D281&lt;corte,"HISTÓRICO",IF(OR(AND(ISNUMBER(R281),R281&lt;TODAY()),AND(OR(N281="PENDENTE",N281="PARCIAL"),D281&lt;TODAY()-1)),"CRÍTICO",IF(OR(AND(P281&lt;&gt;"",S281=""),AND(N281="REALIZADO",M281="PENDENTE"),AND(ISNUMBER(R281),R281=TODAY())),"ATENÇÃO",IF(N(K281)=0,"PENDENTE","EM ANDAMENTO"))))))</f>
        <v/>
      </c>
      <c r="C281" s="3">
        <f>IF(D281="","",IF(V281=0,"🟢 OK",IF(D281&lt;corte,"⚪ HISTÓRICO (sem baixa)",IF(AND(ISNUMBER(R281),R281&lt;TODAY()),"🔴 PRAZO VENCIDO",IF(AND(OR(N281="PENDENTE",N281="PARCIAL"),D281&lt;TODAY()-1),"🔴 EMBARQUE ATRASADO",IF(AND(N281="REALIZADO",M281="PENDENTE"),"🟡 EMBARCADO SEM FATURAR",IF(AND(P281&lt;&gt;"",S281="",OR(Q281="",R281="")),"🟡 PENDÊNCIA SEM RESPONSÁVEL/PRAZO",IF(AND(ISNUMBER(R281),R281=TODAY()),"🟡 VENCE HOJE",IF(AND(P281&lt;&gt;"",S281=""),"🟡 PENDÊNCIA ABERTA",IF(AND(N(J281)&gt;0,N(K281)&lt;J281),"🟡 FALTA EXECUTAR",IF(OR(M281="PENDENTE",M281="PARCIAL"),"🟡 FATURAMENTO PENDENTE","🟡 EMBARQUE PENDENTE")))))))))))</f>
        <v/>
      </c>
      <c r="D281" s="4" t="n">
        <v>46241</v>
      </c>
      <c r="E281" s="5" t="inlineStr">
        <is>
          <t>C</t>
        </is>
      </c>
      <c r="F281" s="5" t="inlineStr">
        <is>
          <t>ADIB</t>
        </is>
      </c>
      <c r="G281" s="5" t="inlineStr">
        <is>
          <t>FM</t>
        </is>
      </c>
      <c r="H281" s="5" t="inlineStr">
        <is>
          <t>MAGNUM</t>
        </is>
      </c>
      <c r="I281" s="5" t="inlineStr">
        <is>
          <t>TON</t>
        </is>
      </c>
      <c r="J281" s="6" t="n">
        <v>18.935</v>
      </c>
      <c r="K281" s="6" t="n">
        <v>18.935</v>
      </c>
      <c r="L281" s="7">
        <f>IF(OR(D281="",N(J281)=0),"",MIN(1,N(K281)/J281))</f>
        <v/>
      </c>
      <c r="M281" s="5" t="inlineStr">
        <is>
          <t>FATURADO</t>
        </is>
      </c>
      <c r="N281" s="5" t="inlineStr">
        <is>
          <t>REALIZADO</t>
        </is>
      </c>
      <c r="O281" s="5" t="inlineStr">
        <is>
          <t>SPEEDYLOG</t>
        </is>
      </c>
      <c r="P281" s="5" t="n"/>
      <c r="Q281" s="5" t="n"/>
      <c r="R281" s="4" t="n"/>
      <c r="S281" s="4" t="n"/>
      <c r="T281" s="5" t="inlineStr">
        <is>
          <t>CARREGADO E LIBERADO</t>
        </is>
      </c>
      <c r="U281" s="8">
        <f>IF(AND(V281=1,D281&lt;&gt;""),IF(D281&gt;=corte,TODAY()-D281,""),"")</f>
        <v/>
      </c>
      <c r="V281" s="8">
        <f>IF(D281="",0,IF(OR(AND(P281&lt;&gt;"",S281=""),AND(N(J281)&gt;0,N(K281)&lt;J281),OR(M281="PENDENTE",M281="PARCIAL"),OR(N281="PENDENTE",N281="PARCIAL")),1,0))</f>
        <v/>
      </c>
      <c r="W281" s="8">
        <f>IF(AND(V281=1,D281&lt;&gt;""),IF(D281&gt;=corte,(B281="CRÍTICO")*1E9+(100000-D281)*10000+10000-ROW(),""),"")</f>
        <v/>
      </c>
      <c r="X281" s="8">
        <f>IF(AND(V281=1,D281=pas_data,E281=pas_turno),10000-ROW(),"")</f>
        <v/>
      </c>
    </row>
    <row r="282">
      <c r="A282" s="3">
        <f>IF(D282="","","TT-"&amp;TEXT(ROW()-1,"00000"))</f>
        <v/>
      </c>
      <c r="B282" s="3">
        <f>IF(D282="","",IF(V282=0,"CONCLUÍDO",IF(D282&lt;corte,"HISTÓRICO",IF(OR(AND(ISNUMBER(R282),R282&lt;TODAY()),AND(OR(N282="PENDENTE",N282="PARCIAL"),D282&lt;TODAY()-1)),"CRÍTICO",IF(OR(AND(P282&lt;&gt;"",S282=""),AND(N282="REALIZADO",M282="PENDENTE"),AND(ISNUMBER(R282),R282=TODAY())),"ATENÇÃO",IF(N(K282)=0,"PENDENTE","EM ANDAMENTO"))))))</f>
        <v/>
      </c>
      <c r="C282" s="3">
        <f>IF(D282="","",IF(V282=0,"🟢 OK",IF(D282&lt;corte,"⚪ HISTÓRICO (sem baixa)",IF(AND(ISNUMBER(R282),R282&lt;TODAY()),"🔴 PRAZO VENCIDO",IF(AND(OR(N282="PENDENTE",N282="PARCIAL"),D282&lt;TODAY()-1),"🔴 EMBARQUE ATRASADO",IF(AND(N282="REALIZADO",M282="PENDENTE"),"🟡 EMBARCADO SEM FATURAR",IF(AND(P282&lt;&gt;"",S282="",OR(Q282="",R282="")),"🟡 PENDÊNCIA SEM RESPONSÁVEL/PRAZO",IF(AND(ISNUMBER(R282),R282=TODAY()),"🟡 VENCE HOJE",IF(AND(P282&lt;&gt;"",S282=""),"🟡 PENDÊNCIA ABERTA",IF(AND(N(J282)&gt;0,N(K282)&lt;J282),"🟡 FALTA EXECUTAR",IF(OR(M282="PENDENTE",M282="PARCIAL"),"🟡 FATURAMENTO PENDENTE","🟡 EMBARQUE PENDENTE")))))))))))</f>
        <v/>
      </c>
      <c r="D282" s="4" t="n">
        <v>46241</v>
      </c>
      <c r="E282" s="5" t="inlineStr">
        <is>
          <t>C</t>
        </is>
      </c>
      <c r="F282" s="5" t="inlineStr">
        <is>
          <t>ADIB</t>
        </is>
      </c>
      <c r="G282" s="5" t="inlineStr">
        <is>
          <t>CACAU</t>
        </is>
      </c>
      <c r="H282" s="5" t="inlineStr">
        <is>
          <t>CACAU</t>
        </is>
      </c>
      <c r="I282" s="5" t="inlineStr">
        <is>
          <t>TON</t>
        </is>
      </c>
      <c r="J282" s="6" t="n">
        <v>7.5</v>
      </c>
      <c r="K282" s="6" t="n">
        <v>7.5</v>
      </c>
      <c r="L282" s="7">
        <f>IF(OR(D282="",N(J282)=0),"",MIN(1,N(K282)/J282))</f>
        <v/>
      </c>
      <c r="M282" s="5" t="inlineStr">
        <is>
          <t>FATURADO</t>
        </is>
      </c>
      <c r="N282" s="5" t="inlineStr">
        <is>
          <t>PARCIAL</t>
        </is>
      </c>
      <c r="O282" s="5" t="inlineStr">
        <is>
          <t>SMARTLOG</t>
        </is>
      </c>
      <c r="P282" s="5" t="n"/>
      <c r="Q282" s="5" t="n"/>
      <c r="R282" s="4" t="n"/>
      <c r="S282" s="4" t="n"/>
      <c r="T282" s="5" t="inlineStr">
        <is>
          <t>SEPARADO E FATURADO [MIGRAÇÃO: programação original: SEP CACAU]</t>
        </is>
      </c>
      <c r="U282" s="8">
        <f>IF(AND(V282=1,D282&lt;&gt;""),IF(D282&gt;=corte,TODAY()-D282,""),"")</f>
        <v/>
      </c>
      <c r="V282" s="8">
        <f>IF(D282="",0,IF(OR(AND(P282&lt;&gt;"",S282=""),AND(N(J282)&gt;0,N(K282)&lt;J282),OR(M282="PENDENTE",M282="PARCIAL"),OR(N282="PENDENTE",N282="PARCIAL")),1,0))</f>
        <v/>
      </c>
      <c r="W282" s="8">
        <f>IF(AND(V282=1,D282&lt;&gt;""),IF(D282&gt;=corte,(B282="CRÍTICO")*1E9+(100000-D282)*10000+10000-ROW(),""),"")</f>
        <v/>
      </c>
      <c r="X282" s="8">
        <f>IF(AND(V282=1,D282=pas_data,E282=pas_turno),10000-ROW(),"")</f>
        <v/>
      </c>
    </row>
    <row r="283">
      <c r="A283" s="3">
        <f>IF(D283="","","TT-"&amp;TEXT(ROW()-1,"00000"))</f>
        <v/>
      </c>
      <c r="B283" s="3">
        <f>IF(D283="","",IF(V283=0,"CONCLUÍDO",IF(D283&lt;corte,"HISTÓRICO",IF(OR(AND(ISNUMBER(R283),R283&lt;TODAY()),AND(OR(N283="PENDENTE",N283="PARCIAL"),D283&lt;TODAY()-1)),"CRÍTICO",IF(OR(AND(P283&lt;&gt;"",S283=""),AND(N283="REALIZADO",M283="PENDENTE"),AND(ISNUMBER(R283),R283=TODAY())),"ATENÇÃO",IF(N(K283)=0,"PENDENTE","EM ANDAMENTO"))))))</f>
        <v/>
      </c>
      <c r="C283" s="3">
        <f>IF(D283="","",IF(V283=0,"🟢 OK",IF(D283&lt;corte,"⚪ HISTÓRICO (sem baixa)",IF(AND(ISNUMBER(R283),R283&lt;TODAY()),"🔴 PRAZO VENCIDO",IF(AND(OR(N283="PENDENTE",N283="PARCIAL"),D283&lt;TODAY()-1),"🔴 EMBARQUE ATRASADO",IF(AND(N283="REALIZADO",M283="PENDENTE"),"🟡 EMBARCADO SEM FATURAR",IF(AND(P283&lt;&gt;"",S283="",OR(Q283="",R283="")),"🟡 PENDÊNCIA SEM RESPONSÁVEL/PRAZO",IF(AND(ISNUMBER(R283),R283=TODAY()),"🟡 VENCE HOJE",IF(AND(P283&lt;&gt;"",S283=""),"🟡 PENDÊNCIA ABERTA",IF(AND(N(J283)&gt;0,N(K283)&lt;J283),"🟡 FALTA EXECUTAR",IF(OR(M283="PENDENTE",M283="PARCIAL"),"🟡 FATURAMENTO PENDENTE","🟡 EMBARQUE PENDENTE")))))))))))</f>
        <v/>
      </c>
      <c r="D283" s="4" t="n">
        <v>46241</v>
      </c>
      <c r="E283" s="5" t="inlineStr">
        <is>
          <t>C</t>
        </is>
      </c>
      <c r="F283" s="5" t="inlineStr">
        <is>
          <t>ADIB</t>
        </is>
      </c>
      <c r="G283" s="5" t="inlineStr">
        <is>
          <t>FM</t>
        </is>
      </c>
      <c r="H283" s="5" t="inlineStr">
        <is>
          <t>PANDURATA</t>
        </is>
      </c>
      <c r="I283" s="5" t="inlineStr">
        <is>
          <t>TON</t>
        </is>
      </c>
      <c r="J283" s="6" t="n">
        <v>24.396</v>
      </c>
      <c r="K283" s="6" t="n">
        <v>24.396</v>
      </c>
      <c r="L283" s="7">
        <f>IF(OR(D283="",N(J283)=0),"",MIN(1,N(K283)/J283))</f>
        <v/>
      </c>
      <c r="M283" s="5" t="inlineStr">
        <is>
          <t>FATURADO</t>
        </is>
      </c>
      <c r="N283" s="5" t="inlineStr">
        <is>
          <t>REALIZADO</t>
        </is>
      </c>
      <c r="O283" s="5" t="inlineStr">
        <is>
          <t>SMARTLOG</t>
        </is>
      </c>
      <c r="P283" s="5" t="n"/>
      <c r="Q283" s="5" t="n"/>
      <c r="R283" s="4" t="n"/>
      <c r="S283" s="4" t="n"/>
      <c r="T283" s="5" t="inlineStr">
        <is>
          <t>CARREGADO E LIBERADO</t>
        </is>
      </c>
      <c r="U283" s="8">
        <f>IF(AND(V283=1,D283&lt;&gt;""),IF(D283&gt;=corte,TODAY()-D283,""),"")</f>
        <v/>
      </c>
      <c r="V283" s="8">
        <f>IF(D283="",0,IF(OR(AND(P283&lt;&gt;"",S283=""),AND(N(J283)&gt;0,N(K283)&lt;J283),OR(M283="PENDENTE",M283="PARCIAL"),OR(N283="PENDENTE",N283="PARCIAL")),1,0))</f>
        <v/>
      </c>
      <c r="W283" s="8">
        <f>IF(AND(V283=1,D283&lt;&gt;""),IF(D283&gt;=corte,(B283="CRÍTICO")*1E9+(100000-D283)*10000+10000-ROW(),""),"")</f>
        <v/>
      </c>
      <c r="X283" s="8">
        <f>IF(AND(V283=1,D283=pas_data,E283=pas_turno),10000-ROW(),"")</f>
        <v/>
      </c>
    </row>
    <row r="284">
      <c r="A284" s="3">
        <f>IF(D284="","","TT-"&amp;TEXT(ROW()-1,"00000"))</f>
        <v/>
      </c>
      <c r="B284" s="3">
        <f>IF(D284="","",IF(V284=0,"CONCLUÍDO",IF(D284&lt;corte,"HISTÓRICO",IF(OR(AND(ISNUMBER(R284),R284&lt;TODAY()),AND(OR(N284="PENDENTE",N284="PARCIAL"),D284&lt;TODAY()-1)),"CRÍTICO",IF(OR(AND(P284&lt;&gt;"",S284=""),AND(N284="REALIZADO",M284="PENDENTE"),AND(ISNUMBER(R284),R284=TODAY())),"ATENÇÃO",IF(N(K284)=0,"PENDENTE","EM ANDAMENTO"))))))</f>
        <v/>
      </c>
      <c r="C284" s="3">
        <f>IF(D284="","",IF(V284=0,"🟢 OK",IF(D284&lt;corte,"⚪ HISTÓRICO (sem baixa)",IF(AND(ISNUMBER(R284),R284&lt;TODAY()),"🔴 PRAZO VENCIDO",IF(AND(OR(N284="PENDENTE",N284="PARCIAL"),D284&lt;TODAY()-1),"🔴 EMBARQUE ATRASADO",IF(AND(N284="REALIZADO",M284="PENDENTE"),"🟡 EMBARCADO SEM FATURAR",IF(AND(P284&lt;&gt;"",S284="",OR(Q284="",R284="")),"🟡 PENDÊNCIA SEM RESPONSÁVEL/PRAZO",IF(AND(ISNUMBER(R284),R284=TODAY()),"🟡 VENCE HOJE",IF(AND(P284&lt;&gt;"",S284=""),"🟡 PENDÊNCIA ABERTA",IF(AND(N(J284)&gt;0,N(K284)&lt;J284),"🟡 FALTA EXECUTAR",IF(OR(M284="PENDENTE",M284="PARCIAL"),"🟡 FATURAMENTO PENDENTE","🟡 EMBARQUE PENDENTE")))))))))))</f>
        <v/>
      </c>
      <c r="D284" s="4" t="n">
        <v>46241</v>
      </c>
      <c r="E284" s="5" t="inlineStr">
        <is>
          <t>C</t>
        </is>
      </c>
      <c r="F284" s="5" t="inlineStr">
        <is>
          <t>ADIB</t>
        </is>
      </c>
      <c r="G284" s="5" t="inlineStr">
        <is>
          <t>GRANEL</t>
        </is>
      </c>
      <c r="H284" s="5" t="inlineStr">
        <is>
          <t>UNILEVER</t>
        </is>
      </c>
      <c r="I284" s="5" t="inlineStr">
        <is>
          <t>TON</t>
        </is>
      </c>
      <c r="J284" s="6" t="n">
        <v>10.67</v>
      </c>
      <c r="K284" s="6" t="n">
        <v>10.67</v>
      </c>
      <c r="L284" s="7">
        <f>IF(OR(D284="",N(J284)=0),"",MIN(1,N(K284)/J284))</f>
        <v/>
      </c>
      <c r="M284" s="5" t="inlineStr">
        <is>
          <t>FATURADO</t>
        </is>
      </c>
      <c r="N284" s="5" t="inlineStr">
        <is>
          <t>REALIZADO</t>
        </is>
      </c>
      <c r="O284" s="5" t="inlineStr">
        <is>
          <t>JSL</t>
        </is>
      </c>
      <c r="P284" s="5" t="n"/>
      <c r="Q284" s="5" t="n"/>
      <c r="R284" s="4" t="n"/>
      <c r="S284" s="4" t="n"/>
      <c r="T284" s="5" t="inlineStr">
        <is>
          <t>GRANEL UNILEVER - LIBERAR CARRO AS 18:30</t>
        </is>
      </c>
      <c r="U284" s="8">
        <f>IF(AND(V284=1,D284&lt;&gt;""),IF(D284&gt;=corte,TODAY()-D284,""),"")</f>
        <v/>
      </c>
      <c r="V284" s="8">
        <f>IF(D284="",0,IF(OR(AND(P284&lt;&gt;"",S284=""),AND(N(J284)&gt;0,N(K284)&lt;J284),OR(M284="PENDENTE",M284="PARCIAL"),OR(N284="PENDENTE",N284="PARCIAL")),1,0))</f>
        <v/>
      </c>
      <c r="W284" s="8">
        <f>IF(AND(V284=1,D284&lt;&gt;""),IF(D284&gt;=corte,(B284="CRÍTICO")*1E9+(100000-D284)*10000+10000-ROW(),""),"")</f>
        <v/>
      </c>
      <c r="X284" s="8">
        <f>IF(AND(V284=1,D284=pas_data,E284=pas_turno),10000-ROW(),"")</f>
        <v/>
      </c>
    </row>
    <row r="285">
      <c r="A285" s="3">
        <f>IF(D285="","","TT-"&amp;TEXT(ROW()-1,"00000"))</f>
        <v/>
      </c>
      <c r="B285" s="3">
        <f>IF(D285="","",IF(V285=0,"CONCLUÍDO",IF(D285&lt;corte,"HISTÓRICO",IF(OR(AND(ISNUMBER(R285),R285&lt;TODAY()),AND(OR(N285="PENDENTE",N285="PARCIAL"),D285&lt;TODAY()-1)),"CRÍTICO",IF(OR(AND(P285&lt;&gt;"",S285=""),AND(N285="REALIZADO",M285="PENDENTE"),AND(ISNUMBER(R285),R285=TODAY())),"ATENÇÃO",IF(N(K285)=0,"PENDENTE","EM ANDAMENTO"))))))</f>
        <v/>
      </c>
      <c r="C285" s="3">
        <f>IF(D285="","",IF(V285=0,"🟢 OK",IF(D285&lt;corte,"⚪ HISTÓRICO (sem baixa)",IF(AND(ISNUMBER(R285),R285&lt;TODAY()),"🔴 PRAZO VENCIDO",IF(AND(OR(N285="PENDENTE",N285="PARCIAL"),D285&lt;TODAY()-1),"🔴 EMBARQUE ATRASADO",IF(AND(N285="REALIZADO",M285="PENDENTE"),"🟡 EMBARCADO SEM FATURAR",IF(AND(P285&lt;&gt;"",S285="",OR(Q285="",R285="")),"🟡 PENDÊNCIA SEM RESPONSÁVEL/PRAZO",IF(AND(ISNUMBER(R285),R285=TODAY()),"🟡 VENCE HOJE",IF(AND(P285&lt;&gt;"",S285=""),"🟡 PENDÊNCIA ABERTA",IF(AND(N(J285)&gt;0,N(K285)&lt;J285),"🟡 FALTA EXECUTAR",IF(OR(M285="PENDENTE",M285="PARCIAL"),"🟡 FATURAMENTO PENDENTE","🟡 EMBARQUE PENDENTE")))))))))))</f>
        <v/>
      </c>
      <c r="D285" s="4" t="n">
        <v>46241</v>
      </c>
      <c r="E285" s="5" t="inlineStr">
        <is>
          <t>C</t>
        </is>
      </c>
      <c r="F285" s="5" t="inlineStr">
        <is>
          <t>ADIB</t>
        </is>
      </c>
      <c r="G285" s="5" t="inlineStr">
        <is>
          <t>EXPORTAÇÃO</t>
        </is>
      </c>
      <c r="H285" s="5" t="inlineStr">
        <is>
          <t>DGRX</t>
        </is>
      </c>
      <c r="I285" s="5" t="inlineStr">
        <is>
          <t>TON</t>
        </is>
      </c>
      <c r="J285" s="6" t="n">
        <v>13.422</v>
      </c>
      <c r="K285" s="6" t="n">
        <v>13.422</v>
      </c>
      <c r="L285" s="7">
        <f>IF(OR(D285="",N(J285)=0),"",MIN(1,N(K285)/J285))</f>
        <v/>
      </c>
      <c r="M285" s="5" t="inlineStr">
        <is>
          <t>FATURADO</t>
        </is>
      </c>
      <c r="N285" s="5" t="inlineStr">
        <is>
          <t>REALIZADO</t>
        </is>
      </c>
      <c r="O285" s="5" t="inlineStr">
        <is>
          <t>PRÓPRIO</t>
        </is>
      </c>
      <c r="P285" s="5" t="inlineStr">
        <is>
          <t>FALTA LIBERAÇÃO EMIAL DIVERGENCIA</t>
        </is>
      </c>
      <c r="Q285" s="5" t="n"/>
      <c r="R285" s="4" t="n"/>
      <c r="S285" s="4" t="n"/>
      <c r="T285" s="5" t="inlineStr">
        <is>
          <t>FALTA LIBERAÇÃO EMIAL DIVERGENCIA</t>
        </is>
      </c>
      <c r="U285" s="8">
        <f>IF(AND(V285=1,D285&lt;&gt;""),IF(D285&gt;=corte,TODAY()-D285,""),"")</f>
        <v/>
      </c>
      <c r="V285" s="8">
        <f>IF(D285="",0,IF(OR(AND(P285&lt;&gt;"",S285=""),AND(N(J285)&gt;0,N(K285)&lt;J285),OR(M285="PENDENTE",M285="PARCIAL"),OR(N285="PENDENTE",N285="PARCIAL")),1,0))</f>
        <v/>
      </c>
      <c r="W285" s="8">
        <f>IF(AND(V285=1,D285&lt;&gt;""),IF(D285&gt;=corte,(B285="CRÍTICO")*1E9+(100000-D285)*10000+10000-ROW(),""),"")</f>
        <v/>
      </c>
      <c r="X285" s="8">
        <f>IF(AND(V285=1,D285=pas_data,E285=pas_turno),10000-ROW(),"")</f>
        <v/>
      </c>
    </row>
    <row r="286">
      <c r="A286" s="3">
        <f>IF(D286="","","TT-"&amp;TEXT(ROW()-1,"00000"))</f>
        <v/>
      </c>
      <c r="B286" s="3">
        <f>IF(D286="","",IF(V286=0,"CONCLUÍDO",IF(D286&lt;corte,"HISTÓRICO",IF(OR(AND(ISNUMBER(R286),R286&lt;TODAY()),AND(OR(N286="PENDENTE",N286="PARCIAL"),D286&lt;TODAY()-1)),"CRÍTICO",IF(OR(AND(P286&lt;&gt;"",S286=""),AND(N286="REALIZADO",M286="PENDENTE"),AND(ISNUMBER(R286),R286=TODAY())),"ATENÇÃO",IF(N(K286)=0,"PENDENTE","EM ANDAMENTO"))))))</f>
        <v/>
      </c>
      <c r="C286" s="3">
        <f>IF(D286="","",IF(V286=0,"🟢 OK",IF(D286&lt;corte,"⚪ HISTÓRICO (sem baixa)",IF(AND(ISNUMBER(R286),R286&lt;TODAY()),"🔴 PRAZO VENCIDO",IF(AND(OR(N286="PENDENTE",N286="PARCIAL"),D286&lt;TODAY()-1),"🔴 EMBARQUE ATRASADO",IF(AND(N286="REALIZADO",M286="PENDENTE"),"🟡 EMBARCADO SEM FATURAR",IF(AND(P286&lt;&gt;"",S286="",OR(Q286="",R286="")),"🟡 PENDÊNCIA SEM RESPONSÁVEL/PRAZO",IF(AND(ISNUMBER(R286),R286=TODAY()),"🟡 VENCE HOJE",IF(AND(P286&lt;&gt;"",S286=""),"🟡 PENDÊNCIA ABERTA",IF(AND(N(J286)&gt;0,N(K286)&lt;J286),"🟡 FALTA EXECUTAR",IF(OR(M286="PENDENTE",M286="PARCIAL"),"🟡 FATURAMENTO PENDENTE","🟡 EMBARQUE PENDENTE")))))))))))</f>
        <v/>
      </c>
      <c r="D286" s="4" t="n">
        <v>46241</v>
      </c>
      <c r="E286" s="5" t="inlineStr">
        <is>
          <t>D</t>
        </is>
      </c>
      <c r="F286" s="5" t="inlineStr">
        <is>
          <t>ADAO</t>
        </is>
      </c>
      <c r="G286" s="5" t="inlineStr">
        <is>
          <t>FOB</t>
        </is>
      </c>
      <c r="H286" s="5" t="inlineStr">
        <is>
          <t>RFC/MBF</t>
        </is>
      </c>
      <c r="I286" s="5" t="inlineStr">
        <is>
          <t>TON</t>
        </is>
      </c>
      <c r="J286" s="6" t="n">
        <v>17.382</v>
      </c>
      <c r="K286" s="6" t="n">
        <v>17.382</v>
      </c>
      <c r="L286" s="7">
        <f>IF(OR(D286="",N(J286)=0),"",MIN(1,N(K286)/J286))</f>
        <v/>
      </c>
      <c r="M286" s="5" t="inlineStr">
        <is>
          <t>PENDENTE</t>
        </is>
      </c>
      <c r="N286" s="5" t="inlineStr">
        <is>
          <t>PENDENTE</t>
        </is>
      </c>
      <c r="O286" s="5" t="inlineStr">
        <is>
          <t>PRÓPRIO</t>
        </is>
      </c>
      <c r="P286" s="5" t="n"/>
      <c r="Q286" s="5" t="n"/>
      <c r="R286" s="4" t="n"/>
      <c r="S286" s="4" t="n"/>
      <c r="T286" s="5" t="n"/>
      <c r="U286" s="8">
        <f>IF(AND(V286=1,D286&lt;&gt;""),IF(D286&gt;=corte,TODAY()-D286,""),"")</f>
        <v/>
      </c>
      <c r="V286" s="8">
        <f>IF(D286="",0,IF(OR(AND(P286&lt;&gt;"",S286=""),AND(N(J286)&gt;0,N(K286)&lt;J286),OR(M286="PENDENTE",M286="PARCIAL"),OR(N286="PENDENTE",N286="PARCIAL")),1,0))</f>
        <v/>
      </c>
      <c r="W286" s="8">
        <f>IF(AND(V286=1,D286&lt;&gt;""),IF(D286&gt;=corte,(B286="CRÍTICO")*1E9+(100000-D286)*10000+10000-ROW(),""),"")</f>
        <v/>
      </c>
      <c r="X286" s="8">
        <f>IF(AND(V286=1,D286=pas_data,E286=pas_turno),10000-ROW(),"")</f>
        <v/>
      </c>
    </row>
    <row r="287">
      <c r="A287" s="3">
        <f>IF(D287="","","TT-"&amp;TEXT(ROW()-1,"00000"))</f>
        <v/>
      </c>
      <c r="B287" s="3">
        <f>IF(D287="","",IF(V287=0,"CONCLUÍDO",IF(D287&lt;corte,"HISTÓRICO",IF(OR(AND(ISNUMBER(R287),R287&lt;TODAY()),AND(OR(N287="PENDENTE",N287="PARCIAL"),D287&lt;TODAY()-1)),"CRÍTICO",IF(OR(AND(P287&lt;&gt;"",S287=""),AND(N287="REALIZADO",M287="PENDENTE"),AND(ISNUMBER(R287),R287=TODAY())),"ATENÇÃO",IF(N(K287)=0,"PENDENTE","EM ANDAMENTO"))))))</f>
        <v/>
      </c>
      <c r="C287" s="3">
        <f>IF(D287="","",IF(V287=0,"🟢 OK",IF(D287&lt;corte,"⚪ HISTÓRICO (sem baixa)",IF(AND(ISNUMBER(R287),R287&lt;TODAY()),"🔴 PRAZO VENCIDO",IF(AND(OR(N287="PENDENTE",N287="PARCIAL"),D287&lt;TODAY()-1),"🔴 EMBARQUE ATRASADO",IF(AND(N287="REALIZADO",M287="PENDENTE"),"🟡 EMBARCADO SEM FATURAR",IF(AND(P287&lt;&gt;"",S287="",OR(Q287="",R287="")),"🟡 PENDÊNCIA SEM RESPONSÁVEL/PRAZO",IF(AND(ISNUMBER(R287),R287=TODAY()),"🟡 VENCE HOJE",IF(AND(P287&lt;&gt;"",S287=""),"🟡 PENDÊNCIA ABERTA",IF(AND(N(J287)&gt;0,N(K287)&lt;J287),"🟡 FALTA EXECUTAR",IF(OR(M287="PENDENTE",M287="PARCIAL"),"🟡 FATURAMENTO PENDENTE","🟡 EMBARQUE PENDENTE")))))))))))</f>
        <v/>
      </c>
      <c r="D287" s="4" t="n">
        <v>46241</v>
      </c>
      <c r="E287" s="5" t="inlineStr">
        <is>
          <t>D</t>
        </is>
      </c>
      <c r="F287" s="5" t="inlineStr">
        <is>
          <t>ADAO</t>
        </is>
      </c>
      <c r="G287" s="5" t="inlineStr">
        <is>
          <t>GM</t>
        </is>
      </c>
      <c r="H287" s="5" t="inlineStr">
        <is>
          <t>SP</t>
        </is>
      </c>
      <c r="I287" s="5" t="inlineStr">
        <is>
          <t>TON</t>
        </is>
      </c>
      <c r="J287" s="6" t="n">
        <v>6.106</v>
      </c>
      <c r="K287" s="6" t="n">
        <v>6.106</v>
      </c>
      <c r="L287" s="7">
        <f>IF(OR(D287="",N(J287)=0),"",MIN(1,N(K287)/J287))</f>
        <v/>
      </c>
      <c r="M287" s="5" t="inlineStr">
        <is>
          <t>FATURADO</t>
        </is>
      </c>
      <c r="N287" s="5" t="n"/>
      <c r="O287" s="5" t="inlineStr">
        <is>
          <t>SMARTLOG</t>
        </is>
      </c>
      <c r="P287" s="5" t="n"/>
      <c r="Q287" s="5" t="n"/>
      <c r="R287" s="4" t="n"/>
      <c r="S287" s="4" t="n"/>
      <c r="T287" s="5" t="inlineStr">
        <is>
          <t>[MIGRAÇÃO: programação original: SMT]</t>
        </is>
      </c>
      <c r="U287" s="8">
        <f>IF(AND(V287=1,D287&lt;&gt;""),IF(D287&gt;=corte,TODAY()-D287,""),"")</f>
        <v/>
      </c>
      <c r="V287" s="8">
        <f>IF(D287="",0,IF(OR(AND(P287&lt;&gt;"",S287=""),AND(N(J287)&gt;0,N(K287)&lt;J287),OR(M287="PENDENTE",M287="PARCIAL"),OR(N287="PENDENTE",N287="PARCIAL")),1,0))</f>
        <v/>
      </c>
      <c r="W287" s="8">
        <f>IF(AND(V287=1,D287&lt;&gt;""),IF(D287&gt;=corte,(B287="CRÍTICO")*1E9+(100000-D287)*10000+10000-ROW(),""),"")</f>
        <v/>
      </c>
      <c r="X287" s="8">
        <f>IF(AND(V287=1,D287=pas_data,E287=pas_turno),10000-ROW(),"")</f>
        <v/>
      </c>
    </row>
    <row r="288">
      <c r="A288" s="3">
        <f>IF(D288="","","TT-"&amp;TEXT(ROW()-1,"00000"))</f>
        <v/>
      </c>
      <c r="B288" s="3">
        <f>IF(D288="","",IF(V288=0,"CONCLUÍDO",IF(D288&lt;corte,"HISTÓRICO",IF(OR(AND(ISNUMBER(R288),R288&lt;TODAY()),AND(OR(N288="PENDENTE",N288="PARCIAL"),D288&lt;TODAY()-1)),"CRÍTICO",IF(OR(AND(P288&lt;&gt;"",S288=""),AND(N288="REALIZADO",M288="PENDENTE"),AND(ISNUMBER(R288),R288=TODAY())),"ATENÇÃO",IF(N(K288)=0,"PENDENTE","EM ANDAMENTO"))))))</f>
        <v/>
      </c>
      <c r="C288" s="3">
        <f>IF(D288="","",IF(V288=0,"🟢 OK",IF(D288&lt;corte,"⚪ HISTÓRICO (sem baixa)",IF(AND(ISNUMBER(R288),R288&lt;TODAY()),"🔴 PRAZO VENCIDO",IF(AND(OR(N288="PENDENTE",N288="PARCIAL"),D288&lt;TODAY()-1),"🔴 EMBARQUE ATRASADO",IF(AND(N288="REALIZADO",M288="PENDENTE"),"🟡 EMBARCADO SEM FATURAR",IF(AND(P288&lt;&gt;"",S288="",OR(Q288="",R288="")),"🟡 PENDÊNCIA SEM RESPONSÁVEL/PRAZO",IF(AND(ISNUMBER(R288),R288=TODAY()),"🟡 VENCE HOJE",IF(AND(P288&lt;&gt;"",S288=""),"🟡 PENDÊNCIA ABERTA",IF(AND(N(J288)&gt;0,N(K288)&lt;J288),"🟡 FALTA EXECUTAR",IF(OR(M288="PENDENTE",M288="PARCIAL"),"🟡 FATURAMENTO PENDENTE","🟡 EMBARQUE PENDENTE")))))))))))</f>
        <v/>
      </c>
      <c r="D288" s="4" t="n">
        <v>46241</v>
      </c>
      <c r="E288" s="5" t="inlineStr">
        <is>
          <t>D</t>
        </is>
      </c>
      <c r="F288" s="5" t="inlineStr">
        <is>
          <t>ADAO</t>
        </is>
      </c>
      <c r="G288" s="5" t="inlineStr">
        <is>
          <t>GM</t>
        </is>
      </c>
      <c r="H288" s="5" t="inlineStr">
        <is>
          <t>CARREFOUR</t>
        </is>
      </c>
      <c r="I288" s="5" t="inlineStr">
        <is>
          <t>TON</t>
        </is>
      </c>
      <c r="J288" s="6" t="n">
        <v>23.416</v>
      </c>
      <c r="K288" s="6" t="n">
        <v>23.416</v>
      </c>
      <c r="L288" s="7">
        <f>IF(OR(D288="",N(J288)=0),"",MIN(1,N(K288)/J288))</f>
        <v/>
      </c>
      <c r="M288" s="5" t="inlineStr">
        <is>
          <t>FATURADO</t>
        </is>
      </c>
      <c r="N288" s="5" t="inlineStr">
        <is>
          <t>PENDENTE</t>
        </is>
      </c>
      <c r="O288" s="5" t="inlineStr">
        <is>
          <t>SPEEDYLOG</t>
        </is>
      </c>
      <c r="P288" s="5" t="inlineStr">
        <is>
          <t>FALTA ETIQUETAR COM AS ETIQUETA NUTRICIONAL</t>
        </is>
      </c>
      <c r="Q288" s="5" t="n"/>
      <c r="R288" s="4" t="n"/>
      <c r="S288" s="4" t="n"/>
      <c r="T288" s="5" t="inlineStr">
        <is>
          <t>FALTA ETIQUETAR COM AS ETIQUETA NUTRICIONAL</t>
        </is>
      </c>
      <c r="U288" s="8">
        <f>IF(AND(V288=1,D288&lt;&gt;""),IF(D288&gt;=corte,TODAY()-D288,""),"")</f>
        <v/>
      </c>
      <c r="V288" s="8">
        <f>IF(D288="",0,IF(OR(AND(P288&lt;&gt;"",S288=""),AND(N(J288)&gt;0,N(K288)&lt;J288),OR(M288="PENDENTE",M288="PARCIAL"),OR(N288="PENDENTE",N288="PARCIAL")),1,0))</f>
        <v/>
      </c>
      <c r="W288" s="8">
        <f>IF(AND(V288=1,D288&lt;&gt;""),IF(D288&gt;=corte,(B288="CRÍTICO")*1E9+(100000-D288)*10000+10000-ROW(),""),"")</f>
        <v/>
      </c>
      <c r="X288" s="8">
        <f>IF(AND(V288=1,D288=pas_data,E288=pas_turno),10000-ROW(),"")</f>
        <v/>
      </c>
    </row>
    <row r="289">
      <c r="A289" s="3">
        <f>IF(D289="","","TT-"&amp;TEXT(ROW()-1,"00000"))</f>
        <v/>
      </c>
      <c r="B289" s="3">
        <f>IF(D289="","",IF(V289=0,"CONCLUÍDO",IF(D289&lt;corte,"HISTÓRICO",IF(OR(AND(ISNUMBER(R289),R289&lt;TODAY()),AND(OR(N289="PENDENTE",N289="PARCIAL"),D289&lt;TODAY()-1)),"CRÍTICO",IF(OR(AND(P289&lt;&gt;"",S289=""),AND(N289="REALIZADO",M289="PENDENTE"),AND(ISNUMBER(R289),R289=TODAY())),"ATENÇÃO",IF(N(K289)=0,"PENDENTE","EM ANDAMENTO"))))))</f>
        <v/>
      </c>
      <c r="C289" s="3">
        <f>IF(D289="","",IF(V289=0,"🟢 OK",IF(D289&lt;corte,"⚪ HISTÓRICO (sem baixa)",IF(AND(ISNUMBER(R289),R289&lt;TODAY()),"🔴 PRAZO VENCIDO",IF(AND(OR(N289="PENDENTE",N289="PARCIAL"),D289&lt;TODAY()-1),"🔴 EMBARQUE ATRASADO",IF(AND(N289="REALIZADO",M289="PENDENTE"),"🟡 EMBARCADO SEM FATURAR",IF(AND(P289&lt;&gt;"",S289="",OR(Q289="",R289="")),"🟡 PENDÊNCIA SEM RESPONSÁVEL/PRAZO",IF(AND(ISNUMBER(R289),R289=TODAY()),"🟡 VENCE HOJE",IF(AND(P289&lt;&gt;"",S289=""),"🟡 PENDÊNCIA ABERTA",IF(AND(N(J289)&gt;0,N(K289)&lt;J289),"🟡 FALTA EXECUTAR",IF(OR(M289="PENDENTE",M289="PARCIAL"),"🟡 FATURAMENTO PENDENTE","🟡 EMBARQUE PENDENTE")))))))))))</f>
        <v/>
      </c>
      <c r="D289" s="4" t="n">
        <v>46241</v>
      </c>
      <c r="E289" s="5" t="inlineStr">
        <is>
          <t>D</t>
        </is>
      </c>
      <c r="F289" s="5" t="inlineStr">
        <is>
          <t>ADAO</t>
        </is>
      </c>
      <c r="G289" s="5" t="inlineStr">
        <is>
          <t>GM</t>
        </is>
      </c>
      <c r="H289" s="5" t="inlineStr">
        <is>
          <t>NORTE</t>
        </is>
      </c>
      <c r="I289" s="5" t="inlineStr">
        <is>
          <t>TON</t>
        </is>
      </c>
      <c r="J289" s="6" t="n">
        <v>19.73</v>
      </c>
      <c r="K289" s="6" t="n">
        <v>19.73</v>
      </c>
      <c r="L289" s="7">
        <f>IF(OR(D289="",N(J289)=0),"",MIN(1,N(K289)/J289))</f>
        <v/>
      </c>
      <c r="M289" s="5" t="inlineStr">
        <is>
          <t>FATURADO</t>
        </is>
      </c>
      <c r="N289" s="5" t="inlineStr">
        <is>
          <t>PENDENTE</t>
        </is>
      </c>
      <c r="O289" s="5" t="inlineStr">
        <is>
          <t>TAFF</t>
        </is>
      </c>
      <c r="P289" s="5" t="inlineStr">
        <is>
          <t>FALTA FINALIZAR A SEPARAÇÃO E FATURAR</t>
        </is>
      </c>
      <c r="Q289" s="5" t="n"/>
      <c r="R289" s="4" t="n"/>
      <c r="S289" s="4" t="n"/>
      <c r="T289" s="5" t="inlineStr">
        <is>
          <t>FALTA FINALIZAR A SEPARAÇÃO E FATURAR</t>
        </is>
      </c>
      <c r="U289" s="8">
        <f>IF(AND(V289=1,D289&lt;&gt;""),IF(D289&gt;=corte,TODAY()-D289,""),"")</f>
        <v/>
      </c>
      <c r="V289" s="8">
        <f>IF(D289="",0,IF(OR(AND(P289&lt;&gt;"",S289=""),AND(N(J289)&gt;0,N(K289)&lt;J289),OR(M289="PENDENTE",M289="PARCIAL"),OR(N289="PENDENTE",N289="PARCIAL")),1,0))</f>
        <v/>
      </c>
      <c r="W289" s="8">
        <f>IF(AND(V289=1,D289&lt;&gt;""),IF(D289&gt;=corte,(B289="CRÍTICO")*1E9+(100000-D289)*10000+10000-ROW(),""),"")</f>
        <v/>
      </c>
      <c r="X289" s="8">
        <f>IF(AND(V289=1,D289=pas_data,E289=pas_turno),10000-ROW(),"")</f>
        <v/>
      </c>
    </row>
    <row r="290">
      <c r="A290" s="3">
        <f>IF(D290="","","TT-"&amp;TEXT(ROW()-1,"00000"))</f>
        <v/>
      </c>
      <c r="B290" s="3">
        <f>IF(D290="","",IF(V290=0,"CONCLUÍDO",IF(D290&lt;corte,"HISTÓRICO",IF(OR(AND(ISNUMBER(R290),R290&lt;TODAY()),AND(OR(N290="PENDENTE",N290="PARCIAL"),D290&lt;TODAY()-1)),"CRÍTICO",IF(OR(AND(P290&lt;&gt;"",S290=""),AND(N290="REALIZADO",M290="PENDENTE"),AND(ISNUMBER(R290),R290=TODAY())),"ATENÇÃO",IF(N(K290)=0,"PENDENTE","EM ANDAMENTO"))))))</f>
        <v/>
      </c>
      <c r="C290" s="3">
        <f>IF(D290="","",IF(V290=0,"🟢 OK",IF(D290&lt;corte,"⚪ HISTÓRICO (sem baixa)",IF(AND(ISNUMBER(R290),R290&lt;TODAY()),"🔴 PRAZO VENCIDO",IF(AND(OR(N290="PENDENTE",N290="PARCIAL"),D290&lt;TODAY()-1),"🔴 EMBARQUE ATRASADO",IF(AND(N290="REALIZADO",M290="PENDENTE"),"🟡 EMBARCADO SEM FATURAR",IF(AND(P290&lt;&gt;"",S290="",OR(Q290="",R290="")),"🟡 PENDÊNCIA SEM RESPONSÁVEL/PRAZO",IF(AND(ISNUMBER(R290),R290=TODAY()),"🟡 VENCE HOJE",IF(AND(P290&lt;&gt;"",S290=""),"🟡 PENDÊNCIA ABERTA",IF(AND(N(J290)&gt;0,N(K290)&lt;J290),"🟡 FALTA EXECUTAR",IF(OR(M290="PENDENTE",M290="PARCIAL"),"🟡 FATURAMENTO PENDENTE","🟡 EMBARQUE PENDENTE")))))))))))</f>
        <v/>
      </c>
      <c r="D290" s="4" t="n">
        <v>46241</v>
      </c>
      <c r="E290" s="5" t="inlineStr">
        <is>
          <t>D</t>
        </is>
      </c>
      <c r="F290" s="5" t="inlineStr">
        <is>
          <t>ADAO</t>
        </is>
      </c>
      <c r="G290" s="5" t="inlineStr">
        <is>
          <t>GM</t>
        </is>
      </c>
      <c r="H290" s="5" t="inlineStr">
        <is>
          <t>CO / ES</t>
        </is>
      </c>
      <c r="I290" s="5" t="inlineStr">
        <is>
          <t>TON</t>
        </is>
      </c>
      <c r="J290" s="6" t="n">
        <v>17.693</v>
      </c>
      <c r="K290" s="6" t="n">
        <v>0</v>
      </c>
      <c r="L290" s="7">
        <f>IF(OR(D290="",N(J290)=0),"",MIN(1,N(K290)/J290))</f>
        <v/>
      </c>
      <c r="M290" s="5" t="inlineStr">
        <is>
          <t>FATURADO</t>
        </is>
      </c>
      <c r="N290" s="5" t="inlineStr">
        <is>
          <t>PENDENTE</t>
        </is>
      </c>
      <c r="O290" s="5" t="inlineStr">
        <is>
          <t>TAFF</t>
        </is>
      </c>
      <c r="P290" s="5" t="inlineStr">
        <is>
          <t>OTS GERADAS FALTA SEPARAR</t>
        </is>
      </c>
      <c r="Q290" s="5" t="n"/>
      <c r="R290" s="4" t="n"/>
      <c r="S290" s="4" t="n"/>
      <c r="T290" s="5" t="inlineStr">
        <is>
          <t>OTS GERADAS FALTA SEPARAR</t>
        </is>
      </c>
      <c r="U290" s="8">
        <f>IF(AND(V290=1,D290&lt;&gt;""),IF(D290&gt;=corte,TODAY()-D290,""),"")</f>
        <v/>
      </c>
      <c r="V290" s="8">
        <f>IF(D290="",0,IF(OR(AND(P290&lt;&gt;"",S290=""),AND(N(J290)&gt;0,N(K290)&lt;J290),OR(M290="PENDENTE",M290="PARCIAL"),OR(N290="PENDENTE",N290="PARCIAL")),1,0))</f>
        <v/>
      </c>
      <c r="W290" s="8">
        <f>IF(AND(V290=1,D290&lt;&gt;""),IF(D290&gt;=corte,(B290="CRÍTICO")*1E9+(100000-D290)*10000+10000-ROW(),""),"")</f>
        <v/>
      </c>
      <c r="X290" s="8">
        <f>IF(AND(V290=1,D290=pas_data,E290=pas_turno),10000-ROW(),"")</f>
        <v/>
      </c>
    </row>
    <row r="291">
      <c r="A291" s="3">
        <f>IF(D291="","","TT-"&amp;TEXT(ROW()-1,"00000"))</f>
        <v/>
      </c>
      <c r="B291" s="3">
        <f>IF(D291="","",IF(V291=0,"CONCLUÍDO",IF(D291&lt;corte,"HISTÓRICO",IF(OR(AND(ISNUMBER(R291),R291&lt;TODAY()),AND(OR(N291="PENDENTE",N291="PARCIAL"),D291&lt;TODAY()-1)),"CRÍTICO",IF(OR(AND(P291&lt;&gt;"",S291=""),AND(N291="REALIZADO",M291="PENDENTE"),AND(ISNUMBER(R291),R291=TODAY())),"ATENÇÃO",IF(N(K291)=0,"PENDENTE","EM ANDAMENTO"))))))</f>
        <v/>
      </c>
      <c r="C291" s="3">
        <f>IF(D291="","",IF(V291=0,"🟢 OK",IF(D291&lt;corte,"⚪ HISTÓRICO (sem baixa)",IF(AND(ISNUMBER(R291),R291&lt;TODAY()),"🔴 PRAZO VENCIDO",IF(AND(OR(N291="PENDENTE",N291="PARCIAL"),D291&lt;TODAY()-1),"🔴 EMBARQUE ATRASADO",IF(AND(N291="REALIZADO",M291="PENDENTE"),"🟡 EMBARCADO SEM FATURAR",IF(AND(P291&lt;&gt;"",S291="",OR(Q291="",R291="")),"🟡 PENDÊNCIA SEM RESPONSÁVEL/PRAZO",IF(AND(ISNUMBER(R291),R291=TODAY()),"🟡 VENCE HOJE",IF(AND(P291&lt;&gt;"",S291=""),"🟡 PENDÊNCIA ABERTA",IF(AND(N(J291)&gt;0,N(K291)&lt;J291),"🟡 FALTA EXECUTAR",IF(OR(M291="PENDENTE",M291="PARCIAL"),"🟡 FATURAMENTO PENDENTE","🟡 EMBARQUE PENDENTE")))))))))))</f>
        <v/>
      </c>
      <c r="D291" s="4" t="n">
        <v>46241</v>
      </c>
      <c r="E291" s="5" t="inlineStr">
        <is>
          <t>D</t>
        </is>
      </c>
      <c r="F291" s="5" t="inlineStr">
        <is>
          <t>ADAO</t>
        </is>
      </c>
      <c r="G291" s="5" t="inlineStr">
        <is>
          <t>FLOOR</t>
        </is>
      </c>
      <c r="H291" s="5" t="inlineStr">
        <is>
          <t>PRODUÇÃO</t>
        </is>
      </c>
      <c r="I291" s="5" t="inlineStr">
        <is>
          <t>PALETE</t>
        </is>
      </c>
      <c r="J291" s="6" t="n">
        <v>122</v>
      </c>
      <c r="K291" s="6" t="n">
        <v>122</v>
      </c>
      <c r="L291" s="7">
        <f>IF(OR(D291="",N(J291)=0),"",MIN(1,N(K291)/J291))</f>
        <v/>
      </c>
      <c r="M291" s="5" t="n"/>
      <c r="N291" s="5" t="n"/>
      <c r="O291" s="5" t="n"/>
      <c r="P291" s="5" t="n"/>
      <c r="Q291" s="5" t="n"/>
      <c r="R291" s="4" t="n"/>
      <c r="S291" s="4" t="n"/>
      <c r="T291" s="5" t="inlineStr">
        <is>
          <t>[MIGRAÇÃO: programação original: FLOOR / PK1; medida inferida]</t>
        </is>
      </c>
      <c r="U291" s="8">
        <f>IF(AND(V291=1,D291&lt;&gt;""),IF(D291&gt;=corte,TODAY()-D291,""),"")</f>
        <v/>
      </c>
      <c r="V291" s="8">
        <f>IF(D291="",0,IF(OR(AND(P291&lt;&gt;"",S291=""),AND(N(J291)&gt;0,N(K291)&lt;J291),OR(M291="PENDENTE",M291="PARCIAL"),OR(N291="PENDENTE",N291="PARCIAL")),1,0))</f>
        <v/>
      </c>
      <c r="W291" s="8">
        <f>IF(AND(V291=1,D291&lt;&gt;""),IF(D291&gt;=corte,(B291="CRÍTICO")*1E9+(100000-D291)*10000+10000-ROW(),""),"")</f>
        <v/>
      </c>
      <c r="X291" s="8">
        <f>IF(AND(V291=1,D291=pas_data,E291=pas_turno),10000-ROW(),"")</f>
        <v/>
      </c>
    </row>
    <row r="292">
      <c r="A292" s="3">
        <f>IF(D292="","","TT-"&amp;TEXT(ROW()-1,"00000"))</f>
        <v/>
      </c>
      <c r="B292" s="3">
        <f>IF(D292="","",IF(V292=0,"CONCLUÍDO",IF(D292&lt;corte,"HISTÓRICO",IF(OR(AND(ISNUMBER(R292),R292&lt;TODAY()),AND(OR(N292="PENDENTE",N292="PARCIAL"),D292&lt;TODAY()-1)),"CRÍTICO",IF(OR(AND(P292&lt;&gt;"",S292=""),AND(N292="REALIZADO",M292="PENDENTE"),AND(ISNUMBER(R292),R292=TODAY())),"ATENÇÃO",IF(N(K292)=0,"PENDENTE","EM ANDAMENTO"))))))</f>
        <v/>
      </c>
      <c r="C292" s="3">
        <f>IF(D292="","",IF(V292=0,"🟢 OK",IF(D292&lt;corte,"⚪ HISTÓRICO (sem baixa)",IF(AND(ISNUMBER(R292),R292&lt;TODAY()),"🔴 PRAZO VENCIDO",IF(AND(OR(N292="PENDENTE",N292="PARCIAL"),D292&lt;TODAY()-1),"🔴 EMBARQUE ATRASADO",IF(AND(N292="REALIZADO",M292="PENDENTE"),"🟡 EMBARCADO SEM FATURAR",IF(AND(P292&lt;&gt;"",S292="",OR(Q292="",R292="")),"🟡 PENDÊNCIA SEM RESPONSÁVEL/PRAZO",IF(AND(ISNUMBER(R292),R292=TODAY()),"🟡 VENCE HOJE",IF(AND(P292&lt;&gt;"",S292=""),"🟡 PENDÊNCIA ABERTA",IF(AND(N(J292)&gt;0,N(K292)&lt;J292),"🟡 FALTA EXECUTAR",IF(OR(M292="PENDENTE",M292="PARCIAL"),"🟡 FATURAMENTO PENDENTE","🟡 EMBARQUE PENDENTE")))))))))))</f>
        <v/>
      </c>
      <c r="D292" s="4" t="n">
        <v>46242</v>
      </c>
      <c r="E292" s="5" t="inlineStr">
        <is>
          <t>C</t>
        </is>
      </c>
      <c r="F292" s="5" t="inlineStr">
        <is>
          <t>ADIB</t>
        </is>
      </c>
      <c r="G292" s="5" t="inlineStr">
        <is>
          <t>GM</t>
        </is>
      </c>
      <c r="H292" s="5" t="inlineStr">
        <is>
          <t>NORTE</t>
        </is>
      </c>
      <c r="I292" s="5" t="inlineStr">
        <is>
          <t>TON</t>
        </is>
      </c>
      <c r="J292" s="6" t="n">
        <v>7.079</v>
      </c>
      <c r="K292" s="6" t="n">
        <v>7.079</v>
      </c>
      <c r="L292" s="7">
        <f>IF(OR(D292="",N(J292)=0),"",MIN(1,N(K292)/J292))</f>
        <v/>
      </c>
      <c r="M292" s="5" t="inlineStr">
        <is>
          <t>FATURADO</t>
        </is>
      </c>
      <c r="N292" s="5" t="inlineStr">
        <is>
          <t>PENDENTE</t>
        </is>
      </c>
      <c r="O292" s="5" t="inlineStr">
        <is>
          <t>TAFF</t>
        </is>
      </c>
      <c r="P292" s="5" t="n"/>
      <c r="Q292" s="5" t="n"/>
      <c r="R292" s="4" t="n"/>
      <c r="S292" s="4" t="n"/>
      <c r="T292" s="5" t="n"/>
      <c r="U292" s="8">
        <f>IF(AND(V292=1,D292&lt;&gt;""),IF(D292&gt;=corte,TODAY()-D292,""),"")</f>
        <v/>
      </c>
      <c r="V292" s="8">
        <f>IF(D292="",0,IF(OR(AND(P292&lt;&gt;"",S292=""),AND(N(J292)&gt;0,N(K292)&lt;J292),OR(M292="PENDENTE",M292="PARCIAL"),OR(N292="PENDENTE",N292="PARCIAL")),1,0))</f>
        <v/>
      </c>
      <c r="W292" s="8">
        <f>IF(AND(V292=1,D292&lt;&gt;""),IF(D292&gt;=corte,(B292="CRÍTICO")*1E9+(100000-D292)*10000+10000-ROW(),""),"")</f>
        <v/>
      </c>
      <c r="X292" s="8">
        <f>IF(AND(V292=1,D292=pas_data,E292=pas_turno),10000-ROW(),"")</f>
        <v/>
      </c>
    </row>
    <row r="293">
      <c r="A293" s="3">
        <f>IF(D293="","","TT-"&amp;TEXT(ROW()-1,"00000"))</f>
        <v/>
      </c>
      <c r="B293" s="3">
        <f>IF(D293="","",IF(V293=0,"CONCLUÍDO",IF(D293&lt;corte,"HISTÓRICO",IF(OR(AND(ISNUMBER(R293),R293&lt;TODAY()),AND(OR(N293="PENDENTE",N293="PARCIAL"),D293&lt;TODAY()-1)),"CRÍTICO",IF(OR(AND(P293&lt;&gt;"",S293=""),AND(N293="REALIZADO",M293="PENDENTE"),AND(ISNUMBER(R293),R293=TODAY())),"ATENÇÃO",IF(N(K293)=0,"PENDENTE","EM ANDAMENTO"))))))</f>
        <v/>
      </c>
      <c r="C293" s="3">
        <f>IF(D293="","",IF(V293=0,"🟢 OK",IF(D293&lt;corte,"⚪ HISTÓRICO (sem baixa)",IF(AND(ISNUMBER(R293),R293&lt;TODAY()),"🔴 PRAZO VENCIDO",IF(AND(OR(N293="PENDENTE",N293="PARCIAL"),D293&lt;TODAY()-1),"🔴 EMBARQUE ATRASADO",IF(AND(N293="REALIZADO",M293="PENDENTE"),"🟡 EMBARCADO SEM FATURAR",IF(AND(P293&lt;&gt;"",S293="",OR(Q293="",R293="")),"🟡 PENDÊNCIA SEM RESPONSÁVEL/PRAZO",IF(AND(ISNUMBER(R293),R293=TODAY()),"🟡 VENCE HOJE",IF(AND(P293&lt;&gt;"",S293=""),"🟡 PENDÊNCIA ABERTA",IF(AND(N(J293)&gt;0,N(K293)&lt;J293),"🟡 FALTA EXECUTAR",IF(OR(M293="PENDENTE",M293="PARCIAL"),"🟡 FATURAMENTO PENDENTE","🟡 EMBARQUE PENDENTE")))))))))))</f>
        <v/>
      </c>
      <c r="D293" s="4" t="n">
        <v>46242</v>
      </c>
      <c r="E293" s="5" t="inlineStr">
        <is>
          <t>C</t>
        </is>
      </c>
      <c r="F293" s="5" t="inlineStr">
        <is>
          <t>ADIB</t>
        </is>
      </c>
      <c r="G293" s="5" t="inlineStr">
        <is>
          <t>GM</t>
        </is>
      </c>
      <c r="H293" s="5" t="inlineStr">
        <is>
          <t>ESPIRITO SANTO</t>
        </is>
      </c>
      <c r="I293" s="5" t="inlineStr">
        <is>
          <t>TON</t>
        </is>
      </c>
      <c r="J293" s="6" t="n">
        <v>4.252</v>
      </c>
      <c r="K293" s="6" t="n">
        <v>4.252</v>
      </c>
      <c r="L293" s="7">
        <f>IF(OR(D293="",N(J293)=0),"",MIN(1,N(K293)/J293))</f>
        <v/>
      </c>
      <c r="M293" s="5" t="inlineStr">
        <is>
          <t>FATURADO</t>
        </is>
      </c>
      <c r="N293" s="5" t="inlineStr">
        <is>
          <t>PENDENTE</t>
        </is>
      </c>
      <c r="O293" s="5" t="inlineStr">
        <is>
          <t>TAFF</t>
        </is>
      </c>
      <c r="P293" s="5" t="n"/>
      <c r="Q293" s="5" t="n"/>
      <c r="R293" s="4" t="n"/>
      <c r="S293" s="4" t="n"/>
      <c r="T293" s="5" t="n"/>
      <c r="U293" s="8">
        <f>IF(AND(V293=1,D293&lt;&gt;""),IF(D293&gt;=corte,TODAY()-D293,""),"")</f>
        <v/>
      </c>
      <c r="V293" s="8">
        <f>IF(D293="",0,IF(OR(AND(P293&lt;&gt;"",S293=""),AND(N(J293)&gt;0,N(K293)&lt;J293),OR(M293="PENDENTE",M293="PARCIAL"),OR(N293="PENDENTE",N293="PARCIAL")),1,0))</f>
        <v/>
      </c>
      <c r="W293" s="8">
        <f>IF(AND(V293=1,D293&lt;&gt;""),IF(D293&gt;=corte,(B293="CRÍTICO")*1E9+(100000-D293)*10000+10000-ROW(),""),"")</f>
        <v/>
      </c>
      <c r="X293" s="8">
        <f>IF(AND(V293=1,D293=pas_data,E293=pas_turno),10000-ROW(),"")</f>
        <v/>
      </c>
    </row>
    <row r="294">
      <c r="A294" s="3">
        <f>IF(D294="","","TT-"&amp;TEXT(ROW()-1,"00000"))</f>
        <v/>
      </c>
      <c r="B294" s="3">
        <f>IF(D294="","",IF(V294=0,"CONCLUÍDO",IF(D294&lt;corte,"HISTÓRICO",IF(OR(AND(ISNUMBER(R294),R294&lt;TODAY()),AND(OR(N294="PENDENTE",N294="PARCIAL"),D294&lt;TODAY()-1)),"CRÍTICO",IF(OR(AND(P294&lt;&gt;"",S294=""),AND(N294="REALIZADO",M294="PENDENTE"),AND(ISNUMBER(R294),R294=TODAY())),"ATENÇÃO",IF(N(K294)=0,"PENDENTE","EM ANDAMENTO"))))))</f>
        <v/>
      </c>
      <c r="C294" s="3">
        <f>IF(D294="","",IF(V294=0,"🟢 OK",IF(D294&lt;corte,"⚪ HISTÓRICO (sem baixa)",IF(AND(ISNUMBER(R294),R294&lt;TODAY()),"🔴 PRAZO VENCIDO",IF(AND(OR(N294="PENDENTE",N294="PARCIAL"),D294&lt;TODAY()-1),"🔴 EMBARQUE ATRASADO",IF(AND(N294="REALIZADO",M294="PENDENTE"),"🟡 EMBARCADO SEM FATURAR",IF(AND(P294&lt;&gt;"",S294="",OR(Q294="",R294="")),"🟡 PENDÊNCIA SEM RESPONSÁVEL/PRAZO",IF(AND(ISNUMBER(R294),R294=TODAY()),"🟡 VENCE HOJE",IF(AND(P294&lt;&gt;"",S294=""),"🟡 PENDÊNCIA ABERTA",IF(AND(N(J294)&gt;0,N(K294)&lt;J294),"🟡 FALTA EXECUTAR",IF(OR(M294="PENDENTE",M294="PARCIAL"),"🟡 FATURAMENTO PENDENTE","🟡 EMBARQUE PENDENTE")))))))))))</f>
        <v/>
      </c>
      <c r="D294" s="4" t="n">
        <v>46242</v>
      </c>
      <c r="E294" s="5" t="inlineStr">
        <is>
          <t>C</t>
        </is>
      </c>
      <c r="F294" s="5" t="inlineStr">
        <is>
          <t>ADIB</t>
        </is>
      </c>
      <c r="G294" s="5" t="inlineStr">
        <is>
          <t>GM</t>
        </is>
      </c>
      <c r="H294" s="5" t="inlineStr">
        <is>
          <t>CARREFOUR</t>
        </is>
      </c>
      <c r="I294" s="5" t="inlineStr">
        <is>
          <t>TON</t>
        </is>
      </c>
      <c r="J294" s="6" t="n">
        <v>23.416</v>
      </c>
      <c r="K294" s="6" t="n">
        <v>23.416</v>
      </c>
      <c r="L294" s="7">
        <f>IF(OR(D294="",N(J294)=0),"",MIN(1,N(K294)/J294))</f>
        <v/>
      </c>
      <c r="M294" s="5" t="inlineStr">
        <is>
          <t>FATURADO</t>
        </is>
      </c>
      <c r="N294" s="5" t="inlineStr">
        <is>
          <t>REALIZADO</t>
        </is>
      </c>
      <c r="O294" s="5" t="inlineStr">
        <is>
          <t>SPEEDYLOG</t>
        </is>
      </c>
      <c r="P294" s="5" t="n"/>
      <c r="Q294" s="5" t="n"/>
      <c r="R294" s="4" t="n"/>
      <c r="S294" s="4" t="n"/>
      <c r="T294" s="5" t="inlineStr">
        <is>
          <t>CARGA ETIQUETADA E CARREGADA</t>
        </is>
      </c>
      <c r="U294" s="8">
        <f>IF(AND(V294=1,D294&lt;&gt;""),IF(D294&gt;=corte,TODAY()-D294,""),"")</f>
        <v/>
      </c>
      <c r="V294" s="8">
        <f>IF(D294="",0,IF(OR(AND(P294&lt;&gt;"",S294=""),AND(N(J294)&gt;0,N(K294)&lt;J294),OR(M294="PENDENTE",M294="PARCIAL"),OR(N294="PENDENTE",N294="PARCIAL")),1,0))</f>
        <v/>
      </c>
      <c r="W294" s="8">
        <f>IF(AND(V294=1,D294&lt;&gt;""),IF(D294&gt;=corte,(B294="CRÍTICO")*1E9+(100000-D294)*10000+10000-ROW(),""),"")</f>
        <v/>
      </c>
      <c r="X294" s="8">
        <f>IF(AND(V294=1,D294=pas_data,E294=pas_turno),10000-ROW(),"")</f>
        <v/>
      </c>
    </row>
    <row r="295">
      <c r="A295" s="3">
        <f>IF(D295="","","TT-"&amp;TEXT(ROW()-1,"00000"))</f>
        <v/>
      </c>
      <c r="B295" s="3">
        <f>IF(D295="","",IF(V295=0,"CONCLUÍDO",IF(D295&lt;corte,"HISTÓRICO",IF(OR(AND(ISNUMBER(R295),R295&lt;TODAY()),AND(OR(N295="PENDENTE",N295="PARCIAL"),D295&lt;TODAY()-1)),"CRÍTICO",IF(OR(AND(P295&lt;&gt;"",S295=""),AND(N295="REALIZADO",M295="PENDENTE"),AND(ISNUMBER(R295),R295=TODAY())),"ATENÇÃO",IF(N(K295)=0,"PENDENTE","EM ANDAMENTO"))))))</f>
        <v/>
      </c>
      <c r="C295" s="3">
        <f>IF(D295="","",IF(V295=0,"🟢 OK",IF(D295&lt;corte,"⚪ HISTÓRICO (sem baixa)",IF(AND(ISNUMBER(R295),R295&lt;TODAY()),"🔴 PRAZO VENCIDO",IF(AND(OR(N295="PENDENTE",N295="PARCIAL"),D295&lt;TODAY()-1),"🔴 EMBARQUE ATRASADO",IF(AND(N295="REALIZADO",M295="PENDENTE"),"🟡 EMBARCADO SEM FATURAR",IF(AND(P295&lt;&gt;"",S295="",OR(Q295="",R295="")),"🟡 PENDÊNCIA SEM RESPONSÁVEL/PRAZO",IF(AND(ISNUMBER(R295),R295=TODAY()),"🟡 VENCE HOJE",IF(AND(P295&lt;&gt;"",S295=""),"🟡 PENDÊNCIA ABERTA",IF(AND(N(J295)&gt;0,N(K295)&lt;J295),"🟡 FALTA EXECUTAR",IF(OR(M295="PENDENTE",M295="PARCIAL"),"🟡 FATURAMENTO PENDENTE","🟡 EMBARQUE PENDENTE")))))))))))</f>
        <v/>
      </c>
      <c r="D295" s="4" t="n">
        <v>46242</v>
      </c>
      <c r="E295" s="5" t="inlineStr">
        <is>
          <t>C</t>
        </is>
      </c>
      <c r="F295" s="5" t="inlineStr">
        <is>
          <t>ADIB</t>
        </is>
      </c>
      <c r="G295" s="5" t="inlineStr">
        <is>
          <t>GM</t>
        </is>
      </c>
      <c r="H295" s="5" t="inlineStr">
        <is>
          <t>C.OESTE</t>
        </is>
      </c>
      <c r="I295" s="5" t="inlineStr">
        <is>
          <t>TON</t>
        </is>
      </c>
      <c r="J295" s="6" t="n">
        <v>13.441</v>
      </c>
      <c r="K295" s="6" t="n">
        <v>10.38</v>
      </c>
      <c r="L295" s="7">
        <f>IF(OR(D295="",N(J295)=0),"",MIN(1,N(K295)/J295))</f>
        <v/>
      </c>
      <c r="M295" s="5" t="inlineStr">
        <is>
          <t>PARCIAL</t>
        </is>
      </c>
      <c r="N295" s="5" t="inlineStr">
        <is>
          <t>PENDENTE</t>
        </is>
      </c>
      <c r="O295" s="5" t="inlineStr">
        <is>
          <t>TAFF</t>
        </is>
      </c>
      <c r="P295" s="5" t="inlineStr">
        <is>
          <t>FINALIZAR SEPARAÇÕES</t>
        </is>
      </c>
      <c r="Q295" s="5" t="n"/>
      <c r="R295" s="4" t="n"/>
      <c r="S295" s="4" t="n"/>
      <c r="T295" s="5" t="inlineStr">
        <is>
          <t>FINALIZAR SEPARAÇÕES</t>
        </is>
      </c>
      <c r="U295" s="8">
        <f>IF(AND(V295=1,D295&lt;&gt;""),IF(D295&gt;=corte,TODAY()-D295,""),"")</f>
        <v/>
      </c>
      <c r="V295" s="8">
        <f>IF(D295="",0,IF(OR(AND(P295&lt;&gt;"",S295=""),AND(N(J295)&gt;0,N(K295)&lt;J295),OR(M295="PENDENTE",M295="PARCIAL"),OR(N295="PENDENTE",N295="PARCIAL")),1,0))</f>
        <v/>
      </c>
      <c r="W295" s="8">
        <f>IF(AND(V295=1,D295&lt;&gt;""),IF(D295&gt;=corte,(B295="CRÍTICO")*1E9+(100000-D295)*10000+10000-ROW(),""),"")</f>
        <v/>
      </c>
      <c r="X295" s="8">
        <f>IF(AND(V295=1,D295=pas_data,E295=pas_turno),10000-ROW(),"")</f>
        <v/>
      </c>
    </row>
    <row r="296">
      <c r="A296" s="3">
        <f>IF(D296="","","TT-"&amp;TEXT(ROW()-1,"00000"))</f>
        <v/>
      </c>
      <c r="B296" s="3">
        <f>IF(D296="","",IF(V296=0,"CONCLUÍDO",IF(D296&lt;corte,"HISTÓRICO",IF(OR(AND(ISNUMBER(R296),R296&lt;TODAY()),AND(OR(N296="PENDENTE",N296="PARCIAL"),D296&lt;TODAY()-1)),"CRÍTICO",IF(OR(AND(P296&lt;&gt;"",S296=""),AND(N296="REALIZADO",M296="PENDENTE"),AND(ISNUMBER(R296),R296=TODAY())),"ATENÇÃO",IF(N(K296)=0,"PENDENTE","EM ANDAMENTO"))))))</f>
        <v/>
      </c>
      <c r="C296" s="3">
        <f>IF(D296="","",IF(V296=0,"🟢 OK",IF(D296&lt;corte,"⚪ HISTÓRICO (sem baixa)",IF(AND(ISNUMBER(R296),R296&lt;TODAY()),"🔴 PRAZO VENCIDO",IF(AND(OR(N296="PENDENTE",N296="PARCIAL"),D296&lt;TODAY()-1),"🔴 EMBARQUE ATRASADO",IF(AND(N296="REALIZADO",M296="PENDENTE"),"🟡 EMBARCADO SEM FATURAR",IF(AND(P296&lt;&gt;"",S296="",OR(Q296="",R296="")),"🟡 PENDÊNCIA SEM RESPONSÁVEL/PRAZO",IF(AND(ISNUMBER(R296),R296=TODAY()),"🟡 VENCE HOJE",IF(AND(P296&lt;&gt;"",S296=""),"🟡 PENDÊNCIA ABERTA",IF(AND(N(J296)&gt;0,N(K296)&lt;J296),"🟡 FALTA EXECUTAR",IF(OR(M296="PENDENTE",M296="PARCIAL"),"🟡 FATURAMENTO PENDENTE","🟡 EMBARQUE PENDENTE")))))))))))</f>
        <v/>
      </c>
      <c r="D296" s="4" t="n">
        <v>46243</v>
      </c>
      <c r="E296" s="5" t="inlineStr">
        <is>
          <t>A</t>
        </is>
      </c>
      <c r="F296" s="5" t="inlineStr">
        <is>
          <t>TATIANE</t>
        </is>
      </c>
      <c r="G296" s="5" t="inlineStr">
        <is>
          <t>GM</t>
        </is>
      </c>
      <c r="H296" s="5" t="inlineStr">
        <is>
          <t>RJ</t>
        </is>
      </c>
      <c r="I296" s="5" t="inlineStr">
        <is>
          <t>TON</t>
        </is>
      </c>
      <c r="J296" s="6" t="n">
        <v>22.711</v>
      </c>
      <c r="K296" s="6" t="n">
        <v>8.5</v>
      </c>
      <c r="L296" s="7">
        <f>IF(OR(D296="",N(J296)=0),"",MIN(1,N(K296)/J296))</f>
        <v/>
      </c>
      <c r="M296" s="5" t="inlineStr">
        <is>
          <t>PARCIAL</t>
        </is>
      </c>
      <c r="N296" s="5" t="inlineStr">
        <is>
          <t>PENDENTE</t>
        </is>
      </c>
      <c r="O296" s="5" t="inlineStr">
        <is>
          <t>OMEGA X</t>
        </is>
      </c>
      <c r="P296" s="5" t="inlineStr">
        <is>
          <t>FALTA TRÊS DELIVERYS PARA FATURAR</t>
        </is>
      </c>
      <c r="Q296" s="5" t="n"/>
      <c r="R296" s="4" t="n"/>
      <c r="S296" s="4" t="n"/>
      <c r="T296" s="5" t="inlineStr">
        <is>
          <t>FALTA TRÊS DELIVERYS PARA FATURAR</t>
        </is>
      </c>
      <c r="U296" s="8">
        <f>IF(AND(V296=1,D296&lt;&gt;""),IF(D296&gt;=corte,TODAY()-D296,""),"")</f>
        <v/>
      </c>
      <c r="V296" s="8">
        <f>IF(D296="",0,IF(OR(AND(P296&lt;&gt;"",S296=""),AND(N(J296)&gt;0,N(K296)&lt;J296),OR(M296="PENDENTE",M296="PARCIAL"),OR(N296="PENDENTE",N296="PARCIAL")),1,0))</f>
        <v/>
      </c>
      <c r="W296" s="8">
        <f>IF(AND(V296=1,D296&lt;&gt;""),IF(D296&gt;=corte,(B296="CRÍTICO")*1E9+(100000-D296)*10000+10000-ROW(),""),"")</f>
        <v/>
      </c>
      <c r="X296" s="8">
        <f>IF(AND(V296=1,D296=pas_data,E296=pas_turno),10000-ROW(),"")</f>
        <v/>
      </c>
    </row>
    <row r="297">
      <c r="A297" s="3">
        <f>IF(D297="","","TT-"&amp;TEXT(ROW()-1,"00000"))</f>
        <v/>
      </c>
      <c r="B297" s="3">
        <f>IF(D297="","",IF(V297=0,"CONCLUÍDO",IF(D297&lt;corte,"HISTÓRICO",IF(OR(AND(ISNUMBER(R297),R297&lt;TODAY()),AND(OR(N297="PENDENTE",N297="PARCIAL"),D297&lt;TODAY()-1)),"CRÍTICO",IF(OR(AND(P297&lt;&gt;"",S297=""),AND(N297="REALIZADO",M297="PENDENTE"),AND(ISNUMBER(R297),R297=TODAY())),"ATENÇÃO",IF(N(K297)=0,"PENDENTE","EM ANDAMENTO"))))))</f>
        <v/>
      </c>
      <c r="C297" s="3">
        <f>IF(D297="","",IF(V297=0,"🟢 OK",IF(D297&lt;corte,"⚪ HISTÓRICO (sem baixa)",IF(AND(ISNUMBER(R297),R297&lt;TODAY()),"🔴 PRAZO VENCIDO",IF(AND(OR(N297="PENDENTE",N297="PARCIAL"),D297&lt;TODAY()-1),"🔴 EMBARQUE ATRASADO",IF(AND(N297="REALIZADO",M297="PENDENTE"),"🟡 EMBARCADO SEM FATURAR",IF(AND(P297&lt;&gt;"",S297="",OR(Q297="",R297="")),"🟡 PENDÊNCIA SEM RESPONSÁVEL/PRAZO",IF(AND(ISNUMBER(R297),R297=TODAY()),"🟡 VENCE HOJE",IF(AND(P297&lt;&gt;"",S297=""),"🟡 PENDÊNCIA ABERTA",IF(AND(N(J297)&gt;0,N(K297)&lt;J297),"🟡 FALTA EXECUTAR",IF(OR(M297="PENDENTE",M297="PARCIAL"),"🟡 FATURAMENTO PENDENTE","🟡 EMBARQUE PENDENTE")))))))))))</f>
        <v/>
      </c>
      <c r="D297" s="4" t="n">
        <v>46243</v>
      </c>
      <c r="E297" s="5" t="inlineStr">
        <is>
          <t>A</t>
        </is>
      </c>
      <c r="F297" s="5" t="inlineStr">
        <is>
          <t>TATIANE</t>
        </is>
      </c>
      <c r="G297" s="5" t="inlineStr">
        <is>
          <t>GM</t>
        </is>
      </c>
      <c r="H297" s="5" t="inlineStr">
        <is>
          <t>RJ</t>
        </is>
      </c>
      <c r="I297" s="5" t="inlineStr">
        <is>
          <t>TON</t>
        </is>
      </c>
      <c r="J297" s="6" t="n">
        <v>18.049</v>
      </c>
      <c r="K297" s="6" t="n">
        <v>8.199999999999999</v>
      </c>
      <c r="L297" s="7">
        <f>IF(OR(D297="",N(J297)=0),"",MIN(1,N(K297)/J297))</f>
        <v/>
      </c>
      <c r="M297" s="5" t="inlineStr">
        <is>
          <t>PENDENTE</t>
        </is>
      </c>
      <c r="N297" s="5" t="inlineStr">
        <is>
          <t>PENDENTE</t>
        </is>
      </c>
      <c r="O297" s="5" t="inlineStr">
        <is>
          <t>OMEGA X</t>
        </is>
      </c>
      <c r="P297" s="5" t="n"/>
      <c r="Q297" s="5" t="n"/>
      <c r="R297" s="4" t="n"/>
      <c r="S297" s="4" t="n"/>
      <c r="T297" s="5" t="n"/>
      <c r="U297" s="8">
        <f>IF(AND(V297=1,D297&lt;&gt;""),IF(D297&gt;=corte,TODAY()-D297,""),"")</f>
        <v/>
      </c>
      <c r="V297" s="8">
        <f>IF(D297="",0,IF(OR(AND(P297&lt;&gt;"",S297=""),AND(N(J297)&gt;0,N(K297)&lt;J297),OR(M297="PENDENTE",M297="PARCIAL"),OR(N297="PENDENTE",N297="PARCIAL")),1,0))</f>
        <v/>
      </c>
      <c r="W297" s="8">
        <f>IF(AND(V297=1,D297&lt;&gt;""),IF(D297&gt;=corte,(B297="CRÍTICO")*1E9+(100000-D297)*10000+10000-ROW(),""),"")</f>
        <v/>
      </c>
      <c r="X297" s="8">
        <f>IF(AND(V297=1,D297=pas_data,E297=pas_turno),10000-ROW(),"")</f>
        <v/>
      </c>
    </row>
    <row r="298">
      <c r="A298" s="3">
        <f>IF(D298="","","TT-"&amp;TEXT(ROW()-1,"00000"))</f>
        <v/>
      </c>
      <c r="B298" s="3">
        <f>IF(D298="","",IF(V298=0,"CONCLUÍDO",IF(D298&lt;corte,"HISTÓRICO",IF(OR(AND(ISNUMBER(R298),R298&lt;TODAY()),AND(OR(N298="PENDENTE",N298="PARCIAL"),D298&lt;TODAY()-1)),"CRÍTICO",IF(OR(AND(P298&lt;&gt;"",S298=""),AND(N298="REALIZADO",M298="PENDENTE"),AND(ISNUMBER(R298),R298=TODAY())),"ATENÇÃO",IF(N(K298)=0,"PENDENTE","EM ANDAMENTO"))))))</f>
        <v/>
      </c>
      <c r="C298" s="3">
        <f>IF(D298="","",IF(V298=0,"🟢 OK",IF(D298&lt;corte,"⚪ HISTÓRICO (sem baixa)",IF(AND(ISNUMBER(R298),R298&lt;TODAY()),"🔴 PRAZO VENCIDO",IF(AND(OR(N298="PENDENTE",N298="PARCIAL"),D298&lt;TODAY()-1),"🔴 EMBARQUE ATRASADO",IF(AND(N298="REALIZADO",M298="PENDENTE"),"🟡 EMBARCADO SEM FATURAR",IF(AND(P298&lt;&gt;"",S298="",OR(Q298="",R298="")),"🟡 PENDÊNCIA SEM RESPONSÁVEL/PRAZO",IF(AND(ISNUMBER(R298),R298=TODAY()),"🟡 VENCE HOJE",IF(AND(P298&lt;&gt;"",S298=""),"🟡 PENDÊNCIA ABERTA",IF(AND(N(J298)&gt;0,N(K298)&lt;J298),"🟡 FALTA EXECUTAR",IF(OR(M298="PENDENTE",M298="PARCIAL"),"🟡 FATURAMENTO PENDENTE","🟡 EMBARQUE PENDENTE")))))))))))</f>
        <v/>
      </c>
      <c r="D298" s="4" t="n">
        <v>46243</v>
      </c>
      <c r="E298" s="5" t="inlineStr">
        <is>
          <t>A</t>
        </is>
      </c>
      <c r="F298" s="5" t="inlineStr">
        <is>
          <t>TATIANE</t>
        </is>
      </c>
      <c r="G298" s="5" t="inlineStr">
        <is>
          <t>GRANEL</t>
        </is>
      </c>
      <c r="H298" s="5" t="inlineStr">
        <is>
          <t>GRANEL</t>
        </is>
      </c>
      <c r="I298" s="5" t="inlineStr">
        <is>
          <t>TON</t>
        </is>
      </c>
      <c r="J298" s="6" t="n">
        <v>20</v>
      </c>
      <c r="K298" s="6" t="n">
        <v>18.88</v>
      </c>
      <c r="L298" s="7">
        <f>IF(OR(D298="",N(J298)=0),"",MIN(1,N(K298)/J298))</f>
        <v/>
      </c>
      <c r="M298" s="5" t="inlineStr">
        <is>
          <t>FATURADO</t>
        </is>
      </c>
      <c r="N298" s="5" t="inlineStr">
        <is>
          <t>REALIZADO</t>
        </is>
      </c>
      <c r="O298" s="5" t="inlineStr">
        <is>
          <t>JSL</t>
        </is>
      </c>
      <c r="P298" s="5" t="inlineStr">
        <is>
          <t>AGUARDANDO MOTORISTA ALEX VIR BUSCAR</t>
        </is>
      </c>
      <c r="Q298" s="5" t="n"/>
      <c r="R298" s="4" t="n"/>
      <c r="S298" s="4" t="n"/>
      <c r="T298" s="5" t="inlineStr">
        <is>
          <t>AGUARDANDO MOTORISTA ALEX VIR BUSCAR</t>
        </is>
      </c>
      <c r="U298" s="8">
        <f>IF(AND(V298=1,D298&lt;&gt;""),IF(D298&gt;=corte,TODAY()-D298,""),"")</f>
        <v/>
      </c>
      <c r="V298" s="8">
        <f>IF(D298="",0,IF(OR(AND(P298&lt;&gt;"",S298=""),AND(N(J298)&gt;0,N(K298)&lt;J298),OR(M298="PENDENTE",M298="PARCIAL"),OR(N298="PENDENTE",N298="PARCIAL")),1,0))</f>
        <v/>
      </c>
      <c r="W298" s="8">
        <f>IF(AND(V298=1,D298&lt;&gt;""),IF(D298&gt;=corte,(B298="CRÍTICO")*1E9+(100000-D298)*10000+10000-ROW(),""),"")</f>
        <v/>
      </c>
      <c r="X298" s="8">
        <f>IF(AND(V298=1,D298=pas_data,E298=pas_turno),10000-ROW(),"")</f>
        <v/>
      </c>
    </row>
    <row r="299">
      <c r="A299" s="3">
        <f>IF(D299="","","TT-"&amp;TEXT(ROW()-1,"00000"))</f>
        <v/>
      </c>
      <c r="B299" s="3">
        <f>IF(D299="","",IF(V299=0,"CONCLUÍDO",IF(D299&lt;corte,"HISTÓRICO",IF(OR(AND(ISNUMBER(R299),R299&lt;TODAY()),AND(OR(N299="PENDENTE",N299="PARCIAL"),D299&lt;TODAY()-1)),"CRÍTICO",IF(OR(AND(P299&lt;&gt;"",S299=""),AND(N299="REALIZADO",M299="PENDENTE"),AND(ISNUMBER(R299),R299=TODAY())),"ATENÇÃO",IF(N(K299)=0,"PENDENTE","EM ANDAMENTO"))))))</f>
        <v/>
      </c>
      <c r="C299" s="3">
        <f>IF(D299="","",IF(V299=0,"🟢 OK",IF(D299&lt;corte,"⚪ HISTÓRICO (sem baixa)",IF(AND(ISNUMBER(R299),R299&lt;TODAY()),"🔴 PRAZO VENCIDO",IF(AND(OR(N299="PENDENTE",N299="PARCIAL"),D299&lt;TODAY()-1),"🔴 EMBARQUE ATRASADO",IF(AND(N299="REALIZADO",M299="PENDENTE"),"🟡 EMBARCADO SEM FATURAR",IF(AND(P299&lt;&gt;"",S299="",OR(Q299="",R299="")),"🟡 PENDÊNCIA SEM RESPONSÁVEL/PRAZO",IF(AND(ISNUMBER(R299),R299=TODAY()),"🟡 VENCE HOJE",IF(AND(P299&lt;&gt;"",S299=""),"🟡 PENDÊNCIA ABERTA",IF(AND(N(J299)&gt;0,N(K299)&lt;J299),"🟡 FALTA EXECUTAR",IF(OR(M299="PENDENTE",M299="PARCIAL"),"🟡 FATURAMENTO PENDENTE","🟡 EMBARQUE PENDENTE")))))))))))</f>
        <v/>
      </c>
      <c r="D299" s="4" t="n">
        <v>46243</v>
      </c>
      <c r="E299" s="5" t="inlineStr">
        <is>
          <t>A</t>
        </is>
      </c>
      <c r="F299" s="5" t="inlineStr">
        <is>
          <t>TATIANE</t>
        </is>
      </c>
      <c r="G299" s="5" t="inlineStr">
        <is>
          <t>GRANEL</t>
        </is>
      </c>
      <c r="H299" s="5" t="inlineStr">
        <is>
          <t>GRANEL</t>
        </is>
      </c>
      <c r="I299" s="5" t="inlineStr">
        <is>
          <t>TON</t>
        </is>
      </c>
      <c r="J299" s="6" t="n">
        <v>12</v>
      </c>
      <c r="K299" s="6" t="n"/>
      <c r="L299" s="7">
        <f>IF(OR(D299="",N(J299)=0),"",MIN(1,N(K299)/J299))</f>
        <v/>
      </c>
      <c r="M299" s="5" t="inlineStr">
        <is>
          <t>PENDENTE</t>
        </is>
      </c>
      <c r="N299" s="5" t="inlineStr">
        <is>
          <t>PENDENTE</t>
        </is>
      </c>
      <c r="O299" s="5" t="inlineStr">
        <is>
          <t>JSL</t>
        </is>
      </c>
      <c r="P299" s="5" t="inlineStr">
        <is>
          <t>EM CARREGAMENTO</t>
        </is>
      </c>
      <c r="Q299" s="5" t="n"/>
      <c r="R299" s="4" t="n"/>
      <c r="S299" s="4" t="n"/>
      <c r="T299" s="5" t="inlineStr">
        <is>
          <t>EM CARREGAMENTO</t>
        </is>
      </c>
      <c r="U299" s="8">
        <f>IF(AND(V299=1,D299&lt;&gt;""),IF(D299&gt;=corte,TODAY()-D299,""),"")</f>
        <v/>
      </c>
      <c r="V299" s="8">
        <f>IF(D299="",0,IF(OR(AND(P299&lt;&gt;"",S299=""),AND(N(J299)&gt;0,N(K299)&lt;J299),OR(M299="PENDENTE",M299="PARCIAL"),OR(N299="PENDENTE",N299="PARCIAL")),1,0))</f>
        <v/>
      </c>
      <c r="W299" s="8">
        <f>IF(AND(V299=1,D299&lt;&gt;""),IF(D299&gt;=corte,(B299="CRÍTICO")*1E9+(100000-D299)*10000+10000-ROW(),""),"")</f>
        <v/>
      </c>
      <c r="X299" s="8">
        <f>IF(AND(V299=1,D299=pas_data,E299=pas_turno),10000-ROW(),"")</f>
        <v/>
      </c>
    </row>
    <row r="300">
      <c r="A300" s="3">
        <f>IF(D300="","","TT-"&amp;TEXT(ROW()-1,"00000"))</f>
        <v/>
      </c>
      <c r="B300" s="3">
        <f>IF(D300="","",IF(V300=0,"CONCLUÍDO",IF(D300&lt;corte,"HISTÓRICO",IF(OR(AND(ISNUMBER(R300),R300&lt;TODAY()),AND(OR(N300="PENDENTE",N300="PARCIAL"),D300&lt;TODAY()-1)),"CRÍTICO",IF(OR(AND(P300&lt;&gt;"",S300=""),AND(N300="REALIZADO",M300="PENDENTE"),AND(ISNUMBER(R300),R300=TODAY())),"ATENÇÃO",IF(N(K300)=0,"PENDENTE","EM ANDAMENTO"))))))</f>
        <v/>
      </c>
      <c r="C300" s="3">
        <f>IF(D300="","",IF(V300=0,"🟢 OK",IF(D300&lt;corte,"⚪ HISTÓRICO (sem baixa)",IF(AND(ISNUMBER(R300),R300&lt;TODAY()),"🔴 PRAZO VENCIDO",IF(AND(OR(N300="PENDENTE",N300="PARCIAL"),D300&lt;TODAY()-1),"🔴 EMBARQUE ATRASADO",IF(AND(N300="REALIZADO",M300="PENDENTE"),"🟡 EMBARCADO SEM FATURAR",IF(AND(P300&lt;&gt;"",S300="",OR(Q300="",R300="")),"🟡 PENDÊNCIA SEM RESPONSÁVEL/PRAZO",IF(AND(ISNUMBER(R300),R300=TODAY()),"🟡 VENCE HOJE",IF(AND(P300&lt;&gt;"",S300=""),"🟡 PENDÊNCIA ABERTA",IF(AND(N(J300)&gt;0,N(K300)&lt;J300),"🟡 FALTA EXECUTAR",IF(OR(M300="PENDENTE",M300="PARCIAL"),"🟡 FATURAMENTO PENDENTE","🟡 EMBARQUE PENDENTE")))))))))))</f>
        <v/>
      </c>
      <c r="D300" s="4" t="n">
        <v>46243</v>
      </c>
      <c r="E300" s="5" t="inlineStr">
        <is>
          <t>A</t>
        </is>
      </c>
      <c r="F300" s="5" t="inlineStr">
        <is>
          <t>TATIANE</t>
        </is>
      </c>
      <c r="G300" s="5" t="inlineStr">
        <is>
          <t>CACAU</t>
        </is>
      </c>
      <c r="H300" s="5" t="inlineStr">
        <is>
          <t>CACAU BR15</t>
        </is>
      </c>
      <c r="I300" s="5" t="inlineStr">
        <is>
          <t>TON</t>
        </is>
      </c>
      <c r="J300" s="6" t="n">
        <v>12.327</v>
      </c>
      <c r="K300" s="6" t="n">
        <v>8.170999999999999</v>
      </c>
      <c r="L300" s="7">
        <f>IF(OR(D300="",N(J300)=0),"",MIN(1,N(K300)/J300))</f>
        <v/>
      </c>
      <c r="M300" s="5" t="inlineStr">
        <is>
          <t>PARCIAL</t>
        </is>
      </c>
      <c r="N300" s="5" t="inlineStr">
        <is>
          <t>PENDENTE</t>
        </is>
      </c>
      <c r="O300" s="5" t="n"/>
      <c r="P300" s="5" t="n"/>
      <c r="Q300" s="5" t="n"/>
      <c r="R300" s="4" t="n"/>
      <c r="S300" s="4" t="n"/>
      <c r="T300" s="5" t="inlineStr">
        <is>
          <t>DELIVERY DE CACAU - SEM SALDO [MIGRAÇÃO: programação original: SEP CACAU]</t>
        </is>
      </c>
      <c r="U300" s="8">
        <f>IF(AND(V300=1,D300&lt;&gt;""),IF(D300&gt;=corte,TODAY()-D300,""),"")</f>
        <v/>
      </c>
      <c r="V300" s="8">
        <f>IF(D300="",0,IF(OR(AND(P300&lt;&gt;"",S300=""),AND(N(J300)&gt;0,N(K300)&lt;J300),OR(M300="PENDENTE",M300="PARCIAL"),OR(N300="PENDENTE",N300="PARCIAL")),1,0))</f>
        <v/>
      </c>
      <c r="W300" s="8">
        <f>IF(AND(V300=1,D300&lt;&gt;""),IF(D300&gt;=corte,(B300="CRÍTICO")*1E9+(100000-D300)*10000+10000-ROW(),""),"")</f>
        <v/>
      </c>
      <c r="X300" s="8">
        <f>IF(AND(V300=1,D300=pas_data,E300=pas_turno),10000-ROW(),"")</f>
        <v/>
      </c>
    </row>
    <row r="301">
      <c r="A301" s="3">
        <f>IF(D301="","","TT-"&amp;TEXT(ROW()-1,"00000"))</f>
        <v/>
      </c>
      <c r="B301" s="3">
        <f>IF(D301="","",IF(V301=0,"CONCLUÍDO",IF(D301&lt;corte,"HISTÓRICO",IF(OR(AND(ISNUMBER(R301),R301&lt;TODAY()),AND(OR(N301="PENDENTE",N301="PARCIAL"),D301&lt;TODAY()-1)),"CRÍTICO",IF(OR(AND(P301&lt;&gt;"",S301=""),AND(N301="REALIZADO",M301="PENDENTE"),AND(ISNUMBER(R301),R301=TODAY())),"ATENÇÃO",IF(N(K301)=0,"PENDENTE","EM ANDAMENTO"))))))</f>
        <v/>
      </c>
      <c r="C301" s="3">
        <f>IF(D301="","",IF(V301=0,"🟢 OK",IF(D301&lt;corte,"⚪ HISTÓRICO (sem baixa)",IF(AND(ISNUMBER(R301),R301&lt;TODAY()),"🔴 PRAZO VENCIDO",IF(AND(OR(N301="PENDENTE",N301="PARCIAL"),D301&lt;TODAY()-1),"🔴 EMBARQUE ATRASADO",IF(AND(N301="REALIZADO",M301="PENDENTE"),"🟡 EMBARCADO SEM FATURAR",IF(AND(P301&lt;&gt;"",S301="",OR(Q301="",R301="")),"🟡 PENDÊNCIA SEM RESPONSÁVEL/PRAZO",IF(AND(ISNUMBER(R301),R301=TODAY()),"🟡 VENCE HOJE",IF(AND(P301&lt;&gt;"",S301=""),"🟡 PENDÊNCIA ABERTA",IF(AND(N(J301)&gt;0,N(K301)&lt;J301),"🟡 FALTA EXECUTAR",IF(OR(M301="PENDENTE",M301="PARCIAL"),"🟡 FATURAMENTO PENDENTE","🟡 EMBARQUE PENDENTE")))))))))))</f>
        <v/>
      </c>
      <c r="D301" s="4" t="n">
        <v>46244</v>
      </c>
      <c r="E301" s="5" t="inlineStr">
        <is>
          <t>A</t>
        </is>
      </c>
      <c r="F301" s="5" t="inlineStr">
        <is>
          <t>TATIANE</t>
        </is>
      </c>
      <c r="G301" s="5" t="inlineStr">
        <is>
          <t>GM</t>
        </is>
      </c>
      <c r="H301" s="5" t="inlineStr">
        <is>
          <t>SUL</t>
        </is>
      </c>
      <c r="I301" s="5" t="inlineStr">
        <is>
          <t>TON</t>
        </is>
      </c>
      <c r="J301" s="6" t="n">
        <v>17.973</v>
      </c>
      <c r="K301" s="6" t="n">
        <v>7.973</v>
      </c>
      <c r="L301" s="7">
        <f>IF(OR(D301="",N(J301)=0),"",MIN(1,N(K301)/J301))</f>
        <v/>
      </c>
      <c r="M301" s="5" t="inlineStr">
        <is>
          <t>PENDENTE</t>
        </is>
      </c>
      <c r="N301" s="5" t="inlineStr">
        <is>
          <t>PENDENTE</t>
        </is>
      </c>
      <c r="O301" s="5" t="inlineStr">
        <is>
          <t>RENOVAÇÃO</t>
        </is>
      </c>
      <c r="P301" s="5" t="n"/>
      <c r="Q301" s="5" t="n"/>
      <c r="R301" s="4" t="n"/>
      <c r="S301" s="4" t="n"/>
      <c r="T301" s="5" t="inlineStr">
        <is>
          <t>SEPARADO PARCIAL</t>
        </is>
      </c>
      <c r="U301" s="8">
        <f>IF(AND(V301=1,D301&lt;&gt;""),IF(D301&gt;=corte,TODAY()-D301,""),"")</f>
        <v/>
      </c>
      <c r="V301" s="8">
        <f>IF(D301="",0,IF(OR(AND(P301&lt;&gt;"",S301=""),AND(N(J301)&gt;0,N(K301)&lt;J301),OR(M301="PENDENTE",M301="PARCIAL"),OR(N301="PENDENTE",N301="PARCIAL")),1,0))</f>
        <v/>
      </c>
      <c r="W301" s="8">
        <f>IF(AND(V301=1,D301&lt;&gt;""),IF(D301&gt;=corte,(B301="CRÍTICO")*1E9+(100000-D301)*10000+10000-ROW(),""),"")</f>
        <v/>
      </c>
      <c r="X301" s="8">
        <f>IF(AND(V301=1,D301=pas_data,E301=pas_turno),10000-ROW(),"")</f>
        <v/>
      </c>
    </row>
    <row r="302">
      <c r="A302" s="3">
        <f>IF(D302="","","TT-"&amp;TEXT(ROW()-1,"00000"))</f>
        <v/>
      </c>
      <c r="B302" s="3">
        <f>IF(D302="","",IF(V302=0,"CONCLUÍDO",IF(D302&lt;corte,"HISTÓRICO",IF(OR(AND(ISNUMBER(R302),R302&lt;TODAY()),AND(OR(N302="PENDENTE",N302="PARCIAL"),D302&lt;TODAY()-1)),"CRÍTICO",IF(OR(AND(P302&lt;&gt;"",S302=""),AND(N302="REALIZADO",M302="PENDENTE"),AND(ISNUMBER(R302),R302=TODAY())),"ATENÇÃO",IF(N(K302)=0,"PENDENTE","EM ANDAMENTO"))))))</f>
        <v/>
      </c>
      <c r="C302" s="3">
        <f>IF(D302="","",IF(V302=0,"🟢 OK",IF(D302&lt;corte,"⚪ HISTÓRICO (sem baixa)",IF(AND(ISNUMBER(R302),R302&lt;TODAY()),"🔴 PRAZO VENCIDO",IF(AND(OR(N302="PENDENTE",N302="PARCIAL"),D302&lt;TODAY()-1),"🔴 EMBARQUE ATRASADO",IF(AND(N302="REALIZADO",M302="PENDENTE"),"🟡 EMBARCADO SEM FATURAR",IF(AND(P302&lt;&gt;"",S302="",OR(Q302="",R302="")),"🟡 PENDÊNCIA SEM RESPONSÁVEL/PRAZO",IF(AND(ISNUMBER(R302),R302=TODAY()),"🟡 VENCE HOJE",IF(AND(P302&lt;&gt;"",S302=""),"🟡 PENDÊNCIA ABERTA",IF(AND(N(J302)&gt;0,N(K302)&lt;J302),"🟡 FALTA EXECUTAR",IF(OR(M302="PENDENTE",M302="PARCIAL"),"🟡 FATURAMENTO PENDENTE","🟡 EMBARQUE PENDENTE")))))))))))</f>
        <v/>
      </c>
      <c r="D302" s="4" t="n">
        <v>46244</v>
      </c>
      <c r="E302" s="5" t="inlineStr">
        <is>
          <t>A</t>
        </is>
      </c>
      <c r="F302" s="5" t="inlineStr">
        <is>
          <t>TATIANE</t>
        </is>
      </c>
      <c r="G302" s="5" t="inlineStr">
        <is>
          <t>CACAU</t>
        </is>
      </c>
      <c r="H302" s="5" t="inlineStr">
        <is>
          <t>CACAU BR15</t>
        </is>
      </c>
      <c r="I302" s="5" t="inlineStr">
        <is>
          <t>TON</t>
        </is>
      </c>
      <c r="J302" s="6" t="n">
        <v>12.327</v>
      </c>
      <c r="K302" s="6" t="n">
        <v>12.327</v>
      </c>
      <c r="L302" s="7">
        <f>IF(OR(D302="",N(J302)=0),"",MIN(1,N(K302)/J302))</f>
        <v/>
      </c>
      <c r="M302" s="5" t="inlineStr">
        <is>
          <t>FATURADO</t>
        </is>
      </c>
      <c r="N302" s="5" t="inlineStr">
        <is>
          <t>PARCIAL</t>
        </is>
      </c>
      <c r="O302" s="5" t="n"/>
      <c r="P302" s="5" t="n"/>
      <c r="Q302" s="5" t="n"/>
      <c r="R302" s="4" t="n"/>
      <c r="S302" s="4" t="n"/>
      <c r="T302" s="5" t="inlineStr">
        <is>
          <t>[MIGRAÇÃO: programação original: SEP CACAU]</t>
        </is>
      </c>
      <c r="U302" s="8">
        <f>IF(AND(V302=1,D302&lt;&gt;""),IF(D302&gt;=corte,TODAY()-D302,""),"")</f>
        <v/>
      </c>
      <c r="V302" s="8">
        <f>IF(D302="",0,IF(OR(AND(P302&lt;&gt;"",S302=""),AND(N(J302)&gt;0,N(K302)&lt;J302),OR(M302="PENDENTE",M302="PARCIAL"),OR(N302="PENDENTE",N302="PARCIAL")),1,0))</f>
        <v/>
      </c>
      <c r="W302" s="8">
        <f>IF(AND(V302=1,D302&lt;&gt;""),IF(D302&gt;=corte,(B302="CRÍTICO")*1E9+(100000-D302)*10000+10000-ROW(),""),"")</f>
        <v/>
      </c>
      <c r="X302" s="8">
        <f>IF(AND(V302=1,D302=pas_data,E302=pas_turno),10000-ROW(),"")</f>
        <v/>
      </c>
    </row>
    <row r="303">
      <c r="A303" s="3">
        <f>IF(D303="","","TT-"&amp;TEXT(ROW()-1,"00000"))</f>
        <v/>
      </c>
      <c r="B303" s="3">
        <f>IF(D303="","",IF(V303=0,"CONCLUÍDO",IF(D303&lt;corte,"HISTÓRICO",IF(OR(AND(ISNUMBER(R303),R303&lt;TODAY()),AND(OR(N303="PENDENTE",N303="PARCIAL"),D303&lt;TODAY()-1)),"CRÍTICO",IF(OR(AND(P303&lt;&gt;"",S303=""),AND(N303="REALIZADO",M303="PENDENTE"),AND(ISNUMBER(R303),R303=TODAY())),"ATENÇÃO",IF(N(K303)=0,"PENDENTE","EM ANDAMENTO"))))))</f>
        <v/>
      </c>
      <c r="C303" s="3">
        <f>IF(D303="","",IF(V303=0,"🟢 OK",IF(D303&lt;corte,"⚪ HISTÓRICO (sem baixa)",IF(AND(ISNUMBER(R303),R303&lt;TODAY()),"🔴 PRAZO VENCIDO",IF(AND(OR(N303="PENDENTE",N303="PARCIAL"),D303&lt;TODAY()-1),"🔴 EMBARQUE ATRASADO",IF(AND(N303="REALIZADO",M303="PENDENTE"),"🟡 EMBARCADO SEM FATURAR",IF(AND(P303&lt;&gt;"",S303="",OR(Q303="",R303="")),"🟡 PENDÊNCIA SEM RESPONSÁVEL/PRAZO",IF(AND(ISNUMBER(R303),R303=TODAY()),"🟡 VENCE HOJE",IF(AND(P303&lt;&gt;"",S303=""),"🟡 PENDÊNCIA ABERTA",IF(AND(N(J303)&gt;0,N(K303)&lt;J303),"🟡 FALTA EXECUTAR",IF(OR(M303="PENDENTE",M303="PARCIAL"),"🟡 FATURAMENTO PENDENTE","🟡 EMBARQUE PENDENTE")))))))))))</f>
        <v/>
      </c>
      <c r="D303" s="4" t="n">
        <v>46244</v>
      </c>
      <c r="E303" s="5" t="inlineStr">
        <is>
          <t>A</t>
        </is>
      </c>
      <c r="F303" s="5" t="inlineStr">
        <is>
          <t>TATIANE</t>
        </is>
      </c>
      <c r="G303" s="5" t="inlineStr">
        <is>
          <t>CACAU</t>
        </is>
      </c>
      <c r="H303" s="5" t="inlineStr">
        <is>
          <t>CACAU BR15</t>
        </is>
      </c>
      <c r="I303" s="5" t="inlineStr">
        <is>
          <t>TON</t>
        </is>
      </c>
      <c r="J303" s="6" t="n">
        <v>23.048</v>
      </c>
      <c r="K303" s="6" t="n">
        <v>23.048</v>
      </c>
      <c r="L303" s="7">
        <f>IF(OR(D303="",N(J303)=0),"",MIN(1,N(K303)/J303))</f>
        <v/>
      </c>
      <c r="M303" s="5" t="inlineStr">
        <is>
          <t>FATURADO</t>
        </is>
      </c>
      <c r="N303" s="5" t="inlineStr">
        <is>
          <t>PENDENTE</t>
        </is>
      </c>
      <c r="O303" s="5" t="n"/>
      <c r="P303" s="5" t="n"/>
      <c r="Q303" s="5" t="n"/>
      <c r="R303" s="4" t="n"/>
      <c r="S303" s="4" t="n"/>
      <c r="T303" s="5" t="inlineStr">
        <is>
          <t>[MIGRAÇÃO: programação original: SEP CACAU]</t>
        </is>
      </c>
      <c r="U303" s="8">
        <f>IF(AND(V303=1,D303&lt;&gt;""),IF(D303&gt;=corte,TODAY()-D303,""),"")</f>
        <v/>
      </c>
      <c r="V303" s="8">
        <f>IF(D303="",0,IF(OR(AND(P303&lt;&gt;"",S303=""),AND(N(J303)&gt;0,N(K303)&lt;J303),OR(M303="PENDENTE",M303="PARCIAL"),OR(N303="PENDENTE",N303="PARCIAL")),1,0))</f>
        <v/>
      </c>
      <c r="W303" s="8">
        <f>IF(AND(V303=1,D303&lt;&gt;""),IF(D303&gt;=corte,(B303="CRÍTICO")*1E9+(100000-D303)*10000+10000-ROW(),""),"")</f>
        <v/>
      </c>
      <c r="X303" s="8">
        <f>IF(AND(V303=1,D303=pas_data,E303=pas_turno),10000-ROW(),"")</f>
        <v/>
      </c>
    </row>
    <row r="304">
      <c r="A304" s="3">
        <f>IF(D304="","","TT-"&amp;TEXT(ROW()-1,"00000"))</f>
        <v/>
      </c>
      <c r="B304" s="3">
        <f>IF(D304="","",IF(V304=0,"CONCLUÍDO",IF(D304&lt;corte,"HISTÓRICO",IF(OR(AND(ISNUMBER(R304),R304&lt;TODAY()),AND(OR(N304="PENDENTE",N304="PARCIAL"),D304&lt;TODAY()-1)),"CRÍTICO",IF(OR(AND(P304&lt;&gt;"",S304=""),AND(N304="REALIZADO",M304="PENDENTE"),AND(ISNUMBER(R304),R304=TODAY())),"ATENÇÃO",IF(N(K304)=0,"PENDENTE","EM ANDAMENTO"))))))</f>
        <v/>
      </c>
      <c r="C304" s="3">
        <f>IF(D304="","",IF(V304=0,"🟢 OK",IF(D304&lt;corte,"⚪ HISTÓRICO (sem baixa)",IF(AND(ISNUMBER(R304),R304&lt;TODAY()),"🔴 PRAZO VENCIDO",IF(AND(OR(N304="PENDENTE",N304="PARCIAL"),D304&lt;TODAY()-1),"🔴 EMBARQUE ATRASADO",IF(AND(N304="REALIZADO",M304="PENDENTE"),"🟡 EMBARCADO SEM FATURAR",IF(AND(P304&lt;&gt;"",S304="",OR(Q304="",R304="")),"🟡 PENDÊNCIA SEM RESPONSÁVEL/PRAZO",IF(AND(ISNUMBER(R304),R304=TODAY()),"🟡 VENCE HOJE",IF(AND(P304&lt;&gt;"",S304=""),"🟡 PENDÊNCIA ABERTA",IF(AND(N(J304)&gt;0,N(K304)&lt;J304),"🟡 FALTA EXECUTAR",IF(OR(M304="PENDENTE",M304="PARCIAL"),"🟡 FATURAMENTO PENDENTE","🟡 EMBARQUE PENDENTE")))))))))))</f>
        <v/>
      </c>
      <c r="D304" s="4" t="n">
        <v>46244</v>
      </c>
      <c r="E304" s="5" t="inlineStr">
        <is>
          <t>A</t>
        </is>
      </c>
      <c r="F304" s="5" t="inlineStr">
        <is>
          <t>TATIANE</t>
        </is>
      </c>
      <c r="G304" s="5" t="inlineStr">
        <is>
          <t>GRANEL</t>
        </is>
      </c>
      <c r="H304" s="5" t="inlineStr">
        <is>
          <t>GRANEL</t>
        </is>
      </c>
      <c r="I304" s="5" t="inlineStr">
        <is>
          <t>TON</t>
        </is>
      </c>
      <c r="J304" s="6" t="n">
        <v>30</v>
      </c>
      <c r="K304" s="6" t="n">
        <v>28.58</v>
      </c>
      <c r="L304" s="7">
        <f>IF(OR(D304="",N(J304)=0),"",MIN(1,N(K304)/J304))</f>
        <v/>
      </c>
      <c r="M304" s="5" t="inlineStr">
        <is>
          <t>FATURADO</t>
        </is>
      </c>
      <c r="N304" s="5" t="inlineStr">
        <is>
          <t>REALIZADO</t>
        </is>
      </c>
      <c r="O304" s="5" t="inlineStr">
        <is>
          <t>JSL</t>
        </is>
      </c>
      <c r="P304" s="5" t="n"/>
      <c r="Q304" s="5" t="n"/>
      <c r="R304" s="4" t="n"/>
      <c r="S304" s="4" t="n"/>
      <c r="T304" s="5" t="n"/>
      <c r="U304" s="8">
        <f>IF(AND(V304=1,D304&lt;&gt;""),IF(D304&gt;=corte,TODAY()-D304,""),"")</f>
        <v/>
      </c>
      <c r="V304" s="8">
        <f>IF(D304="",0,IF(OR(AND(P304&lt;&gt;"",S304=""),AND(N(J304)&gt;0,N(K304)&lt;J304),OR(M304="PENDENTE",M304="PARCIAL"),OR(N304="PENDENTE",N304="PARCIAL")),1,0))</f>
        <v/>
      </c>
      <c r="W304" s="8">
        <f>IF(AND(V304=1,D304&lt;&gt;""),IF(D304&gt;=corte,(B304="CRÍTICO")*1E9+(100000-D304)*10000+10000-ROW(),""),"")</f>
        <v/>
      </c>
      <c r="X304" s="8">
        <f>IF(AND(V304=1,D304=pas_data,E304=pas_turno),10000-ROW(),"")</f>
        <v/>
      </c>
    </row>
    <row r="305">
      <c r="A305" s="3">
        <f>IF(D305="","","TT-"&amp;TEXT(ROW()-1,"00000"))</f>
        <v/>
      </c>
      <c r="B305" s="3">
        <f>IF(D305="","",IF(V305=0,"CONCLUÍDO",IF(D305&lt;corte,"HISTÓRICO",IF(OR(AND(ISNUMBER(R305),R305&lt;TODAY()),AND(OR(N305="PENDENTE",N305="PARCIAL"),D305&lt;TODAY()-1)),"CRÍTICO",IF(OR(AND(P305&lt;&gt;"",S305=""),AND(N305="REALIZADO",M305="PENDENTE"),AND(ISNUMBER(R305),R305=TODAY())),"ATENÇÃO",IF(N(K305)=0,"PENDENTE","EM ANDAMENTO"))))))</f>
        <v/>
      </c>
      <c r="C305" s="3">
        <f>IF(D305="","",IF(V305=0,"🟢 OK",IF(D305&lt;corte,"⚪ HISTÓRICO (sem baixa)",IF(AND(ISNUMBER(R305),R305&lt;TODAY()),"🔴 PRAZO VENCIDO",IF(AND(OR(N305="PENDENTE",N305="PARCIAL"),D305&lt;TODAY()-1),"🔴 EMBARQUE ATRASADO",IF(AND(N305="REALIZADO",M305="PENDENTE"),"🟡 EMBARCADO SEM FATURAR",IF(AND(P305&lt;&gt;"",S305="",OR(Q305="",R305="")),"🟡 PENDÊNCIA SEM RESPONSÁVEL/PRAZO",IF(AND(ISNUMBER(R305),R305=TODAY()),"🟡 VENCE HOJE",IF(AND(P305&lt;&gt;"",S305=""),"🟡 PENDÊNCIA ABERTA",IF(AND(N(J305)&gt;0,N(K305)&lt;J305),"🟡 FALTA EXECUTAR",IF(OR(M305="PENDENTE",M305="PARCIAL"),"🟡 FATURAMENTO PENDENTE","🟡 EMBARQUE PENDENTE")))))))))))</f>
        <v/>
      </c>
      <c r="D305" s="4" t="n">
        <v>46244</v>
      </c>
      <c r="E305" s="5" t="inlineStr">
        <is>
          <t>A</t>
        </is>
      </c>
      <c r="F305" s="5" t="inlineStr">
        <is>
          <t>TATIANE</t>
        </is>
      </c>
      <c r="G305" s="5" t="inlineStr">
        <is>
          <t>FM</t>
        </is>
      </c>
      <c r="H305" s="5" t="inlineStr">
        <is>
          <t>FM</t>
        </is>
      </c>
      <c r="I305" s="5" t="inlineStr">
        <is>
          <t>TON</t>
        </is>
      </c>
      <c r="J305" s="6" t="n">
        <v>14</v>
      </c>
      <c r="K305" s="6" t="n">
        <v>14.721</v>
      </c>
      <c r="L305" s="7">
        <f>IF(OR(D305="",N(J305)=0),"",MIN(1,N(K305)/J305))</f>
        <v/>
      </c>
      <c r="M305" s="5" t="inlineStr">
        <is>
          <t>FATURADO</t>
        </is>
      </c>
      <c r="N305" s="5" t="inlineStr">
        <is>
          <t>REALIZADO</t>
        </is>
      </c>
      <c r="O305" s="5" t="inlineStr">
        <is>
          <t>SPEEDYLOG</t>
        </is>
      </c>
      <c r="P305" s="5" t="n"/>
      <c r="Q305" s="5" t="n"/>
      <c r="R305" s="4" t="n"/>
      <c r="S305" s="4" t="n"/>
      <c r="T305" s="5" t="n"/>
      <c r="U305" s="8">
        <f>IF(AND(V305=1,D305&lt;&gt;""),IF(D305&gt;=corte,TODAY()-D305,""),"")</f>
        <v/>
      </c>
      <c r="V305" s="8">
        <f>IF(D305="",0,IF(OR(AND(P305&lt;&gt;"",S305=""),AND(N(J305)&gt;0,N(K305)&lt;J305),OR(M305="PENDENTE",M305="PARCIAL"),OR(N305="PENDENTE",N305="PARCIAL")),1,0))</f>
        <v/>
      </c>
      <c r="W305" s="8">
        <f>IF(AND(V305=1,D305&lt;&gt;""),IF(D305&gt;=corte,(B305="CRÍTICO")*1E9+(100000-D305)*10000+10000-ROW(),""),"")</f>
        <v/>
      </c>
      <c r="X305" s="8">
        <f>IF(AND(V305=1,D305=pas_data,E305=pas_turno),10000-ROW(),"")</f>
        <v/>
      </c>
    </row>
    <row r="306">
      <c r="A306" s="3">
        <f>IF(D306="","","TT-"&amp;TEXT(ROW()-1,"00000"))</f>
        <v/>
      </c>
      <c r="B306" s="3">
        <f>IF(D306="","",IF(V306=0,"CONCLUÍDO",IF(D306&lt;corte,"HISTÓRICO",IF(OR(AND(ISNUMBER(R306),R306&lt;TODAY()),AND(OR(N306="PENDENTE",N306="PARCIAL"),D306&lt;TODAY()-1)),"CRÍTICO",IF(OR(AND(P306&lt;&gt;"",S306=""),AND(N306="REALIZADO",M306="PENDENTE"),AND(ISNUMBER(R306),R306=TODAY())),"ATENÇÃO",IF(N(K306)=0,"PENDENTE","EM ANDAMENTO"))))))</f>
        <v/>
      </c>
      <c r="C306" s="3">
        <f>IF(D306="","",IF(V306=0,"🟢 OK",IF(D306&lt;corte,"⚪ HISTÓRICO (sem baixa)",IF(AND(ISNUMBER(R306),R306&lt;TODAY()),"🔴 PRAZO VENCIDO",IF(AND(OR(N306="PENDENTE",N306="PARCIAL"),D306&lt;TODAY()-1),"🔴 EMBARQUE ATRASADO",IF(AND(N306="REALIZADO",M306="PENDENTE"),"🟡 EMBARCADO SEM FATURAR",IF(AND(P306&lt;&gt;"",S306="",OR(Q306="",R306="")),"🟡 PENDÊNCIA SEM RESPONSÁVEL/PRAZO",IF(AND(ISNUMBER(R306),R306=TODAY()),"🟡 VENCE HOJE",IF(AND(P306&lt;&gt;"",S306=""),"🟡 PENDÊNCIA ABERTA",IF(AND(N(J306)&gt;0,N(K306)&lt;J306),"🟡 FALTA EXECUTAR",IF(OR(M306="PENDENTE",M306="PARCIAL"),"🟡 FATURAMENTO PENDENTE","🟡 EMBARQUE PENDENTE")))))))))))</f>
        <v/>
      </c>
      <c r="D306" s="4" t="n">
        <v>46244</v>
      </c>
      <c r="E306" s="5" t="inlineStr">
        <is>
          <t>A</t>
        </is>
      </c>
      <c r="F306" s="5" t="inlineStr">
        <is>
          <t>TATIANE</t>
        </is>
      </c>
      <c r="G306" s="5" t="inlineStr">
        <is>
          <t>FM</t>
        </is>
      </c>
      <c r="H306" s="5" t="inlineStr">
        <is>
          <t>FM</t>
        </is>
      </c>
      <c r="I306" s="5" t="inlineStr">
        <is>
          <t>TON</t>
        </is>
      </c>
      <c r="J306" s="6" t="n">
        <v>16.065</v>
      </c>
      <c r="K306" s="6" t="n">
        <v>16.065</v>
      </c>
      <c r="L306" s="7">
        <f>IF(OR(D306="",N(J306)=0),"",MIN(1,N(K306)/J306))</f>
        <v/>
      </c>
      <c r="M306" s="5" t="inlineStr">
        <is>
          <t>PENDENTE</t>
        </is>
      </c>
      <c r="N306" s="5" t="inlineStr">
        <is>
          <t>PENDENTE</t>
        </is>
      </c>
      <c r="O306" s="5" t="inlineStr">
        <is>
          <t>SPEEDYLOG</t>
        </is>
      </c>
      <c r="P306" s="5" t="inlineStr">
        <is>
          <t>MOTORISTA AGUARDANDO - RODRIGO</t>
        </is>
      </c>
      <c r="Q306" s="5" t="n"/>
      <c r="R306" s="4" t="n"/>
      <c r="S306" s="4" t="n"/>
      <c r="T306" s="5" t="inlineStr">
        <is>
          <t>MOTORISTA AGUARDANDO - RODRIGO</t>
        </is>
      </c>
      <c r="U306" s="8">
        <f>IF(AND(V306=1,D306&lt;&gt;""),IF(D306&gt;=corte,TODAY()-D306,""),"")</f>
        <v/>
      </c>
      <c r="V306" s="8">
        <f>IF(D306="",0,IF(OR(AND(P306&lt;&gt;"",S306=""),AND(N(J306)&gt;0,N(K306)&lt;J306),OR(M306="PENDENTE",M306="PARCIAL"),OR(N306="PENDENTE",N306="PARCIAL")),1,0))</f>
        <v/>
      </c>
      <c r="W306" s="8">
        <f>IF(AND(V306=1,D306&lt;&gt;""),IF(D306&gt;=corte,(B306="CRÍTICO")*1E9+(100000-D306)*10000+10000-ROW(),""),"")</f>
        <v/>
      </c>
      <c r="X306" s="8">
        <f>IF(AND(V306=1,D306=pas_data,E306=pas_turno),10000-ROW(),"")</f>
        <v/>
      </c>
    </row>
    <row r="307">
      <c r="A307" s="3">
        <f>IF(D307="","","TT-"&amp;TEXT(ROW()-1,"00000"))</f>
        <v/>
      </c>
      <c r="B307" s="3">
        <f>IF(D307="","",IF(V307=0,"CONCLUÍDO",IF(D307&lt;corte,"HISTÓRICO",IF(OR(AND(ISNUMBER(R307),R307&lt;TODAY()),AND(OR(N307="PENDENTE",N307="PARCIAL"),D307&lt;TODAY()-1)),"CRÍTICO",IF(OR(AND(P307&lt;&gt;"",S307=""),AND(N307="REALIZADO",M307="PENDENTE"),AND(ISNUMBER(R307),R307=TODAY())),"ATENÇÃO",IF(N(K307)=0,"PENDENTE","EM ANDAMENTO"))))))</f>
        <v/>
      </c>
      <c r="C307" s="3">
        <f>IF(D307="","",IF(V307=0,"🟢 OK",IF(D307&lt;corte,"⚪ HISTÓRICO (sem baixa)",IF(AND(ISNUMBER(R307),R307&lt;TODAY()),"🔴 PRAZO VENCIDO",IF(AND(OR(N307="PENDENTE",N307="PARCIAL"),D307&lt;TODAY()-1),"🔴 EMBARQUE ATRASADO",IF(AND(N307="REALIZADO",M307="PENDENTE"),"🟡 EMBARCADO SEM FATURAR",IF(AND(P307&lt;&gt;"",S307="",OR(Q307="",R307="")),"🟡 PENDÊNCIA SEM RESPONSÁVEL/PRAZO",IF(AND(ISNUMBER(R307),R307=TODAY()),"🟡 VENCE HOJE",IF(AND(P307&lt;&gt;"",S307=""),"🟡 PENDÊNCIA ABERTA",IF(AND(N(J307)&gt;0,N(K307)&lt;J307),"🟡 FALTA EXECUTAR",IF(OR(M307="PENDENTE",M307="PARCIAL"),"🟡 FATURAMENTO PENDENTE","🟡 EMBARQUE PENDENTE")))))))))))</f>
        <v/>
      </c>
      <c r="D307" s="4" t="n">
        <v>46244</v>
      </c>
      <c r="E307" s="5" t="inlineStr">
        <is>
          <t>A</t>
        </is>
      </c>
      <c r="F307" s="5" t="inlineStr">
        <is>
          <t>TATIANE</t>
        </is>
      </c>
      <c r="G307" s="5" t="inlineStr">
        <is>
          <t>GM</t>
        </is>
      </c>
      <c r="H307" s="5" t="inlineStr">
        <is>
          <t>SP</t>
        </is>
      </c>
      <c r="I307" s="5" t="inlineStr">
        <is>
          <t>TON</t>
        </is>
      </c>
      <c r="J307" s="6" t="n">
        <v>17.554</v>
      </c>
      <c r="K307" s="6" t="n">
        <v>0.303</v>
      </c>
      <c r="L307" s="7">
        <f>IF(OR(D307="",N(J307)=0),"",MIN(1,N(K307)/J307))</f>
        <v/>
      </c>
      <c r="M307" s="5" t="inlineStr">
        <is>
          <t>PARCIAL</t>
        </is>
      </c>
      <c r="N307" s="5" t="inlineStr">
        <is>
          <t>PARCIAL</t>
        </is>
      </c>
      <c r="O307" s="5" t="inlineStr">
        <is>
          <t>SMARTLOG</t>
        </is>
      </c>
      <c r="P307" s="5" t="n"/>
      <c r="Q307" s="5" t="n"/>
      <c r="R307" s="4" t="n"/>
      <c r="S307" s="4" t="n"/>
      <c r="T307" s="5" t="inlineStr">
        <is>
          <t>CARREGAMOS A AGENDA CRM</t>
        </is>
      </c>
      <c r="U307" s="8">
        <f>IF(AND(V307=1,D307&lt;&gt;""),IF(D307&gt;=corte,TODAY()-D307,""),"")</f>
        <v/>
      </c>
      <c r="V307" s="8">
        <f>IF(D307="",0,IF(OR(AND(P307&lt;&gt;"",S307=""),AND(N(J307)&gt;0,N(K307)&lt;J307),OR(M307="PENDENTE",M307="PARCIAL"),OR(N307="PENDENTE",N307="PARCIAL")),1,0))</f>
        <v/>
      </c>
      <c r="W307" s="8">
        <f>IF(AND(V307=1,D307&lt;&gt;""),IF(D307&gt;=corte,(B307="CRÍTICO")*1E9+(100000-D307)*10000+10000-ROW(),""),"")</f>
        <v/>
      </c>
      <c r="X307" s="8">
        <f>IF(AND(V307=1,D307=pas_data,E307=pas_turno),10000-ROW(),"")</f>
        <v/>
      </c>
    </row>
    <row r="308">
      <c r="A308" s="3">
        <f>IF(D308="","","TT-"&amp;TEXT(ROW()-1,"00000"))</f>
        <v/>
      </c>
      <c r="B308" s="3">
        <f>IF(D308="","",IF(V308=0,"CONCLUÍDO",IF(D308&lt;corte,"HISTÓRICO",IF(OR(AND(ISNUMBER(R308),R308&lt;TODAY()),AND(OR(N308="PENDENTE",N308="PARCIAL"),D308&lt;TODAY()-1)),"CRÍTICO",IF(OR(AND(P308&lt;&gt;"",S308=""),AND(N308="REALIZADO",M308="PENDENTE"),AND(ISNUMBER(R308),R308=TODAY())),"ATENÇÃO",IF(N(K308)=0,"PENDENTE","EM ANDAMENTO"))))))</f>
        <v/>
      </c>
      <c r="C308" s="3">
        <f>IF(D308="","",IF(V308=0,"🟢 OK",IF(D308&lt;corte,"⚪ HISTÓRICO (sem baixa)",IF(AND(ISNUMBER(R308),R308&lt;TODAY()),"🔴 PRAZO VENCIDO",IF(AND(OR(N308="PENDENTE",N308="PARCIAL"),D308&lt;TODAY()-1),"🔴 EMBARQUE ATRASADO",IF(AND(N308="REALIZADO",M308="PENDENTE"),"🟡 EMBARCADO SEM FATURAR",IF(AND(P308&lt;&gt;"",S308="",OR(Q308="",R308="")),"🟡 PENDÊNCIA SEM RESPONSÁVEL/PRAZO",IF(AND(ISNUMBER(R308),R308=TODAY()),"🟡 VENCE HOJE",IF(AND(P308&lt;&gt;"",S308=""),"🟡 PENDÊNCIA ABERTA",IF(AND(N(J308)&gt;0,N(K308)&lt;J308),"🟡 FALTA EXECUTAR",IF(OR(M308="PENDENTE",M308="PARCIAL"),"🟡 FATURAMENTO PENDENTE","🟡 EMBARQUE PENDENTE")))))))))))</f>
        <v/>
      </c>
      <c r="D308" s="4" t="n">
        <v>46244</v>
      </c>
      <c r="E308" s="5" t="inlineStr">
        <is>
          <t>A</t>
        </is>
      </c>
      <c r="F308" s="5" t="inlineStr">
        <is>
          <t>TATIANE</t>
        </is>
      </c>
      <c r="G308" s="5" t="inlineStr">
        <is>
          <t>FLOOR</t>
        </is>
      </c>
      <c r="H308" s="5" t="inlineStr">
        <is>
          <t>FLOOR</t>
        </is>
      </c>
      <c r="I308" s="5" t="inlineStr">
        <is>
          <t>PALETE</t>
        </is>
      </c>
      <c r="J308" s="6" t="n">
        <v>120</v>
      </c>
      <c r="K308" s="6" t="n">
        <v>100</v>
      </c>
      <c r="L308" s="7">
        <f>IF(OR(D308="",N(J308)=0),"",MIN(1,N(K308)/J308))</f>
        <v/>
      </c>
      <c r="M308" s="5" t="n"/>
      <c r="N308" s="5" t="n"/>
      <c r="O308" s="5" t="n"/>
      <c r="P308" s="5" t="n"/>
      <c r="Q308" s="5" t="n"/>
      <c r="R308" s="4" t="n"/>
      <c r="S308" s="4" t="n"/>
      <c r="T308" s="5" t="inlineStr">
        <is>
          <t>[MIGRAÇÃO: programação original: FLOOR / PK1]</t>
        </is>
      </c>
      <c r="U308" s="8">
        <f>IF(AND(V308=1,D308&lt;&gt;""),IF(D308&gt;=corte,TODAY()-D308,""),"")</f>
        <v/>
      </c>
      <c r="V308" s="8">
        <f>IF(D308="",0,IF(OR(AND(P308&lt;&gt;"",S308=""),AND(N(J308)&gt;0,N(K308)&lt;J308),OR(M308="PENDENTE",M308="PARCIAL"),OR(N308="PENDENTE",N308="PARCIAL")),1,0))</f>
        <v/>
      </c>
      <c r="W308" s="8">
        <f>IF(AND(V308=1,D308&lt;&gt;""),IF(D308&gt;=corte,(B308="CRÍTICO")*1E9+(100000-D308)*10000+10000-ROW(),""),"")</f>
        <v/>
      </c>
      <c r="X308" s="8">
        <f>IF(AND(V308=1,D308=pas_data,E308=pas_turno),10000-ROW(),"")</f>
        <v/>
      </c>
    </row>
    <row r="309">
      <c r="A309" s="3">
        <f>IF(D309="","","TT-"&amp;TEXT(ROW()-1,"00000"))</f>
        <v/>
      </c>
      <c r="B309" s="3">
        <f>IF(D309="","",IF(V309=0,"CONCLUÍDO",IF(D309&lt;corte,"HISTÓRICO",IF(OR(AND(ISNUMBER(R309),R309&lt;TODAY()),AND(OR(N309="PENDENTE",N309="PARCIAL"),D309&lt;TODAY()-1)),"CRÍTICO",IF(OR(AND(P309&lt;&gt;"",S309=""),AND(N309="REALIZADO",M309="PENDENTE"),AND(ISNUMBER(R309),R309=TODAY())),"ATENÇÃO",IF(N(K309)=0,"PENDENTE","EM ANDAMENTO"))))))</f>
        <v/>
      </c>
      <c r="C309" s="3">
        <f>IF(D309="","",IF(V309=0,"🟢 OK",IF(D309&lt;corte,"⚪ HISTÓRICO (sem baixa)",IF(AND(ISNUMBER(R309),R309&lt;TODAY()),"🔴 PRAZO VENCIDO",IF(AND(OR(N309="PENDENTE",N309="PARCIAL"),D309&lt;TODAY()-1),"🔴 EMBARQUE ATRASADO",IF(AND(N309="REALIZADO",M309="PENDENTE"),"🟡 EMBARCADO SEM FATURAR",IF(AND(P309&lt;&gt;"",S309="",OR(Q309="",R309="")),"🟡 PENDÊNCIA SEM RESPONSÁVEL/PRAZO",IF(AND(ISNUMBER(R309),R309=TODAY()),"🟡 VENCE HOJE",IF(AND(P309&lt;&gt;"",S309=""),"🟡 PENDÊNCIA ABERTA",IF(AND(N(J309)&gt;0,N(K309)&lt;J309),"🟡 FALTA EXECUTAR",IF(OR(M309="PENDENTE",M309="PARCIAL"),"🟡 FATURAMENTO PENDENTE","🟡 EMBARQUE PENDENTE")))))))))))</f>
        <v/>
      </c>
      <c r="D309" s="4" t="n">
        <v>46244</v>
      </c>
      <c r="E309" s="5" t="inlineStr">
        <is>
          <t>B</t>
        </is>
      </c>
      <c r="F309" s="5" t="inlineStr">
        <is>
          <t>THIAGO</t>
        </is>
      </c>
      <c r="G309" s="5" t="inlineStr">
        <is>
          <t>GM</t>
        </is>
      </c>
      <c r="H309" s="5" t="inlineStr">
        <is>
          <t>SUL PR</t>
        </is>
      </c>
      <c r="I309" s="5" t="inlineStr">
        <is>
          <t>TON</t>
        </is>
      </c>
      <c r="J309" s="6" t="n">
        <v>10</v>
      </c>
      <c r="K309" s="6" t="n">
        <v>10</v>
      </c>
      <c r="L309" s="7">
        <f>IF(OR(D309="",N(J309)=0),"",MIN(1,N(K309)/J309))</f>
        <v/>
      </c>
      <c r="M309" s="5" t="n"/>
      <c r="N309" s="5" t="n"/>
      <c r="O309" s="5" t="n"/>
      <c r="P309" s="5" t="n"/>
      <c r="Q309" s="5" t="n"/>
      <c r="R309" s="4" t="n"/>
      <c r="S309" s="4" t="n"/>
      <c r="T309" s="5" t="n"/>
      <c r="U309" s="8">
        <f>IF(AND(V309=1,D309&lt;&gt;""),IF(D309&gt;=corte,TODAY()-D309,""),"")</f>
        <v/>
      </c>
      <c r="V309" s="8">
        <f>IF(D309="",0,IF(OR(AND(P309&lt;&gt;"",S309=""),AND(N(J309)&gt;0,N(K309)&lt;J309),OR(M309="PENDENTE",M309="PARCIAL"),OR(N309="PENDENTE",N309="PARCIAL")),1,0))</f>
        <v/>
      </c>
      <c r="W309" s="8">
        <f>IF(AND(V309=1,D309&lt;&gt;""),IF(D309&gt;=corte,(B309="CRÍTICO")*1E9+(100000-D309)*10000+10000-ROW(),""),"")</f>
        <v/>
      </c>
      <c r="X309" s="8">
        <f>IF(AND(V309=1,D309=pas_data,E309=pas_turno),10000-ROW(),"")</f>
        <v/>
      </c>
    </row>
    <row r="310">
      <c r="A310" s="3">
        <f>IF(D310="","","TT-"&amp;TEXT(ROW()-1,"00000"))</f>
        <v/>
      </c>
      <c r="B310" s="3">
        <f>IF(D310="","",IF(V310=0,"CONCLUÍDO",IF(D310&lt;corte,"HISTÓRICO",IF(OR(AND(ISNUMBER(R310),R310&lt;TODAY()),AND(OR(N310="PENDENTE",N310="PARCIAL"),D310&lt;TODAY()-1)),"CRÍTICO",IF(OR(AND(P310&lt;&gt;"",S310=""),AND(N310="REALIZADO",M310="PENDENTE"),AND(ISNUMBER(R310),R310=TODAY())),"ATENÇÃO",IF(N(K310)=0,"PENDENTE","EM ANDAMENTO"))))))</f>
        <v/>
      </c>
      <c r="C310" s="3">
        <f>IF(D310="","",IF(V310=0,"🟢 OK",IF(D310&lt;corte,"⚪ HISTÓRICO (sem baixa)",IF(AND(ISNUMBER(R310),R310&lt;TODAY()),"🔴 PRAZO VENCIDO",IF(AND(OR(N310="PENDENTE",N310="PARCIAL"),D310&lt;TODAY()-1),"🔴 EMBARQUE ATRASADO",IF(AND(N310="REALIZADO",M310="PENDENTE"),"🟡 EMBARCADO SEM FATURAR",IF(AND(P310&lt;&gt;"",S310="",OR(Q310="",R310="")),"🟡 PENDÊNCIA SEM RESPONSÁVEL/PRAZO",IF(AND(ISNUMBER(R310),R310=TODAY()),"🟡 VENCE HOJE",IF(AND(P310&lt;&gt;"",S310=""),"🟡 PENDÊNCIA ABERTA",IF(AND(N(J310)&gt;0,N(K310)&lt;J310),"🟡 FALTA EXECUTAR",IF(OR(M310="PENDENTE",M310="PARCIAL"),"🟡 FATURAMENTO PENDENTE","🟡 EMBARQUE PENDENTE")))))))))))</f>
        <v/>
      </c>
      <c r="D310" s="4" t="n">
        <v>46244</v>
      </c>
      <c r="E310" s="5" t="inlineStr">
        <is>
          <t>B</t>
        </is>
      </c>
      <c r="F310" s="5" t="inlineStr">
        <is>
          <t>THIAGO</t>
        </is>
      </c>
      <c r="G310" s="5" t="inlineStr">
        <is>
          <t>GM</t>
        </is>
      </c>
      <c r="H310" s="5" t="inlineStr">
        <is>
          <t>SUL SC</t>
        </is>
      </c>
      <c r="I310" s="5" t="inlineStr">
        <is>
          <t>TON</t>
        </is>
      </c>
      <c r="J310" s="6" t="n">
        <v>14.495</v>
      </c>
      <c r="K310" s="6" t="n">
        <v>13.387</v>
      </c>
      <c r="L310" s="7">
        <f>IF(OR(D310="",N(J310)=0),"",MIN(1,N(K310)/J310))</f>
        <v/>
      </c>
      <c r="M310" s="5" t="n"/>
      <c r="N310" s="5" t="n"/>
      <c r="O310" s="5" t="n"/>
      <c r="P310" s="5" t="inlineStr">
        <is>
          <t>falta de espaço e lentidao da equipe</t>
        </is>
      </c>
      <c r="Q310" s="5" t="n"/>
      <c r="R310" s="4" t="n"/>
      <c r="S310" s="4" t="n"/>
      <c r="T310" s="5" t="inlineStr">
        <is>
          <t>falta de espaço e lentidao da equipe</t>
        </is>
      </c>
      <c r="U310" s="8">
        <f>IF(AND(V310=1,D310&lt;&gt;""),IF(D310&gt;=corte,TODAY()-D310,""),"")</f>
        <v/>
      </c>
      <c r="V310" s="8">
        <f>IF(D310="",0,IF(OR(AND(P310&lt;&gt;"",S310=""),AND(N(J310)&gt;0,N(K310)&lt;J310),OR(M310="PENDENTE",M310="PARCIAL"),OR(N310="PENDENTE",N310="PARCIAL")),1,0))</f>
        <v/>
      </c>
      <c r="W310" s="8">
        <f>IF(AND(V310=1,D310&lt;&gt;""),IF(D310&gt;=corte,(B310="CRÍTICO")*1E9+(100000-D310)*10000+10000-ROW(),""),"")</f>
        <v/>
      </c>
      <c r="X310" s="8">
        <f>IF(AND(V310=1,D310=pas_data,E310=pas_turno),10000-ROW(),"")</f>
        <v/>
      </c>
    </row>
    <row r="311">
      <c r="A311" s="3">
        <f>IF(D311="","","TT-"&amp;TEXT(ROW()-1,"00000"))</f>
        <v/>
      </c>
      <c r="B311" s="3">
        <f>IF(D311="","",IF(V311=0,"CONCLUÍDO",IF(D311&lt;corte,"HISTÓRICO",IF(OR(AND(ISNUMBER(R311),R311&lt;TODAY()),AND(OR(N311="PENDENTE",N311="PARCIAL"),D311&lt;TODAY()-1)),"CRÍTICO",IF(OR(AND(P311&lt;&gt;"",S311=""),AND(N311="REALIZADO",M311="PENDENTE"),AND(ISNUMBER(R311),R311=TODAY())),"ATENÇÃO",IF(N(K311)=0,"PENDENTE","EM ANDAMENTO"))))))</f>
        <v/>
      </c>
      <c r="C311" s="3">
        <f>IF(D311="","",IF(V311=0,"🟢 OK",IF(D311&lt;corte,"⚪ HISTÓRICO (sem baixa)",IF(AND(ISNUMBER(R311),R311&lt;TODAY()),"🔴 PRAZO VENCIDO",IF(AND(OR(N311="PENDENTE",N311="PARCIAL"),D311&lt;TODAY()-1),"🔴 EMBARQUE ATRASADO",IF(AND(N311="REALIZADO",M311="PENDENTE"),"🟡 EMBARCADO SEM FATURAR",IF(AND(P311&lt;&gt;"",S311="",OR(Q311="",R311="")),"🟡 PENDÊNCIA SEM RESPONSÁVEL/PRAZO",IF(AND(ISNUMBER(R311),R311=TODAY()),"🟡 VENCE HOJE",IF(AND(P311&lt;&gt;"",S311=""),"🟡 PENDÊNCIA ABERTA",IF(AND(N(J311)&gt;0,N(K311)&lt;J311),"🟡 FALTA EXECUTAR",IF(OR(M311="PENDENTE",M311="PARCIAL"),"🟡 FATURAMENTO PENDENTE","🟡 EMBARQUE PENDENTE")))))))))))</f>
        <v/>
      </c>
      <c r="D311" s="4" t="n">
        <v>46244</v>
      </c>
      <c r="E311" s="5" t="inlineStr">
        <is>
          <t>B</t>
        </is>
      </c>
      <c r="F311" s="5" t="inlineStr">
        <is>
          <t>THIAGO</t>
        </is>
      </c>
      <c r="G311" s="5" t="inlineStr">
        <is>
          <t>GM</t>
        </is>
      </c>
      <c r="H311" s="5" t="inlineStr">
        <is>
          <t>SUL RS</t>
        </is>
      </c>
      <c r="I311" s="5" t="inlineStr">
        <is>
          <t>TON</t>
        </is>
      </c>
      <c r="J311" s="6" t="n">
        <v>21.393</v>
      </c>
      <c r="K311" s="6" t="n"/>
      <c r="L311" s="7">
        <f>IF(OR(D311="",N(J311)=0),"",MIN(1,N(K311)/J311))</f>
        <v/>
      </c>
      <c r="M311" s="5" t="n"/>
      <c r="N311" s="5" t="n"/>
      <c r="O311" s="5" t="n"/>
      <c r="P311" s="5" t="n"/>
      <c r="Q311" s="5" t="n"/>
      <c r="R311" s="4" t="n"/>
      <c r="S311" s="4" t="n"/>
      <c r="T311" s="5" t="inlineStr">
        <is>
          <t>GERADO PARCIAL</t>
        </is>
      </c>
      <c r="U311" s="8">
        <f>IF(AND(V311=1,D311&lt;&gt;""),IF(D311&gt;=corte,TODAY()-D311,""),"")</f>
        <v/>
      </c>
      <c r="V311" s="8">
        <f>IF(D311="",0,IF(OR(AND(P311&lt;&gt;"",S311=""),AND(N(J311)&gt;0,N(K311)&lt;J311),OR(M311="PENDENTE",M311="PARCIAL"),OR(N311="PENDENTE",N311="PARCIAL")),1,0))</f>
        <v/>
      </c>
      <c r="W311" s="8">
        <f>IF(AND(V311=1,D311&lt;&gt;""),IF(D311&gt;=corte,(B311="CRÍTICO")*1E9+(100000-D311)*10000+10000-ROW(),""),"")</f>
        <v/>
      </c>
      <c r="X311" s="8">
        <f>IF(AND(V311=1,D311=pas_data,E311=pas_turno),10000-ROW(),"")</f>
        <v/>
      </c>
    </row>
    <row r="312">
      <c r="A312" s="3">
        <f>IF(D312="","","TT-"&amp;TEXT(ROW()-1,"00000"))</f>
        <v/>
      </c>
      <c r="B312" s="3">
        <f>IF(D312="","",IF(V312=0,"CONCLUÍDO",IF(D312&lt;corte,"HISTÓRICO",IF(OR(AND(ISNUMBER(R312),R312&lt;TODAY()),AND(OR(N312="PENDENTE",N312="PARCIAL"),D312&lt;TODAY()-1)),"CRÍTICO",IF(OR(AND(P312&lt;&gt;"",S312=""),AND(N312="REALIZADO",M312="PENDENTE"),AND(ISNUMBER(R312),R312=TODAY())),"ATENÇÃO",IF(N(K312)=0,"PENDENTE","EM ANDAMENTO"))))))</f>
        <v/>
      </c>
      <c r="C312" s="3">
        <f>IF(D312="","",IF(V312=0,"🟢 OK",IF(D312&lt;corte,"⚪ HISTÓRICO (sem baixa)",IF(AND(ISNUMBER(R312),R312&lt;TODAY()),"🔴 PRAZO VENCIDO",IF(AND(OR(N312="PENDENTE",N312="PARCIAL"),D312&lt;TODAY()-1),"🔴 EMBARQUE ATRASADO",IF(AND(N312="REALIZADO",M312="PENDENTE"),"🟡 EMBARCADO SEM FATURAR",IF(AND(P312&lt;&gt;"",S312="",OR(Q312="",R312="")),"🟡 PENDÊNCIA SEM RESPONSÁVEL/PRAZO",IF(AND(ISNUMBER(R312),R312=TODAY()),"🟡 VENCE HOJE",IF(AND(P312&lt;&gt;"",S312=""),"🟡 PENDÊNCIA ABERTA",IF(AND(N(J312)&gt;0,N(K312)&lt;J312),"🟡 FALTA EXECUTAR",IF(OR(M312="PENDENTE",M312="PARCIAL"),"🟡 FATURAMENTO PENDENTE","🟡 EMBARQUE PENDENTE")))))))))))</f>
        <v/>
      </c>
      <c r="D312" s="4" t="n">
        <v>46244</v>
      </c>
      <c r="E312" s="5" t="inlineStr">
        <is>
          <t>B</t>
        </is>
      </c>
      <c r="F312" s="5" t="inlineStr">
        <is>
          <t>THIAGO</t>
        </is>
      </c>
      <c r="G312" s="5" t="inlineStr">
        <is>
          <t>RECEBIMENTO</t>
        </is>
      </c>
      <c r="H312" s="5" t="inlineStr">
        <is>
          <t>CACAU BR15</t>
        </is>
      </c>
      <c r="I312" s="5" t="inlineStr">
        <is>
          <t>TON</t>
        </is>
      </c>
      <c r="J312" s="6" t="n">
        <v>24</v>
      </c>
      <c r="K312" s="6" t="n">
        <v>24</v>
      </c>
      <c r="L312" s="7">
        <f>IF(OR(D312="",N(J312)=0),"",MIN(1,N(K312)/J312))</f>
        <v/>
      </c>
      <c r="M312" s="5" t="n"/>
      <c r="N312" s="5" t="n"/>
      <c r="O312" s="5" t="n"/>
      <c r="P312" s="5" t="n"/>
      <c r="Q312" s="5" t="n"/>
      <c r="R312" s="4" t="n"/>
      <c r="S312" s="4" t="n"/>
      <c r="T312" s="5" t="n"/>
      <c r="U312" s="8">
        <f>IF(AND(V312=1,D312&lt;&gt;""),IF(D312&gt;=corte,TODAY()-D312,""),"")</f>
        <v/>
      </c>
      <c r="V312" s="8">
        <f>IF(D312="",0,IF(OR(AND(P312&lt;&gt;"",S312=""),AND(N(J312)&gt;0,N(K312)&lt;J312),OR(M312="PENDENTE",M312="PARCIAL"),OR(N312="PENDENTE",N312="PARCIAL")),1,0))</f>
        <v/>
      </c>
      <c r="W312" s="8">
        <f>IF(AND(V312=1,D312&lt;&gt;""),IF(D312&gt;=corte,(B312="CRÍTICO")*1E9+(100000-D312)*10000+10000-ROW(),""),"")</f>
        <v/>
      </c>
      <c r="X312" s="8">
        <f>IF(AND(V312=1,D312=pas_data,E312=pas_turno),10000-ROW(),"")</f>
        <v/>
      </c>
    </row>
    <row r="313">
      <c r="A313" s="3">
        <f>IF(D313="","","TT-"&amp;TEXT(ROW()-1,"00000"))</f>
        <v/>
      </c>
      <c r="B313" s="3">
        <f>IF(D313="","",IF(V313=0,"CONCLUÍDO",IF(D313&lt;corte,"HISTÓRICO",IF(OR(AND(ISNUMBER(R313),R313&lt;TODAY()),AND(OR(N313="PENDENTE",N313="PARCIAL"),D313&lt;TODAY()-1)),"CRÍTICO",IF(OR(AND(P313&lt;&gt;"",S313=""),AND(N313="REALIZADO",M313="PENDENTE"),AND(ISNUMBER(R313),R313=TODAY())),"ATENÇÃO",IF(N(K313)=0,"PENDENTE","EM ANDAMENTO"))))))</f>
        <v/>
      </c>
      <c r="C313" s="3">
        <f>IF(D313="","",IF(V313=0,"🟢 OK",IF(D313&lt;corte,"⚪ HISTÓRICO (sem baixa)",IF(AND(ISNUMBER(R313),R313&lt;TODAY()),"🔴 PRAZO VENCIDO",IF(AND(OR(N313="PENDENTE",N313="PARCIAL"),D313&lt;TODAY()-1),"🔴 EMBARQUE ATRASADO",IF(AND(N313="REALIZADO",M313="PENDENTE"),"🟡 EMBARCADO SEM FATURAR",IF(AND(P313&lt;&gt;"",S313="",OR(Q313="",R313="")),"🟡 PENDÊNCIA SEM RESPONSÁVEL/PRAZO",IF(AND(ISNUMBER(R313),R313=TODAY()),"🟡 VENCE HOJE",IF(AND(P313&lt;&gt;"",S313=""),"🟡 PENDÊNCIA ABERTA",IF(AND(N(J313)&gt;0,N(K313)&lt;J313),"🟡 FALTA EXECUTAR",IF(OR(M313="PENDENTE",M313="PARCIAL"),"🟡 FATURAMENTO PENDENTE","🟡 EMBARQUE PENDENTE")))))))))))</f>
        <v/>
      </c>
      <c r="D313" s="4" t="n">
        <v>46244</v>
      </c>
      <c r="E313" s="5" t="inlineStr">
        <is>
          <t>B</t>
        </is>
      </c>
      <c r="F313" s="5" t="inlineStr">
        <is>
          <t>THIAGO</t>
        </is>
      </c>
      <c r="G313" s="5" t="inlineStr">
        <is>
          <t>CACAU</t>
        </is>
      </c>
      <c r="H313" s="5" t="inlineStr">
        <is>
          <t>CACAU</t>
        </is>
      </c>
      <c r="I313" s="5" t="inlineStr">
        <is>
          <t>TON</t>
        </is>
      </c>
      <c r="J313" s="6" t="n"/>
      <c r="K313" s="6" t="n"/>
      <c r="L313" s="7">
        <f>IF(OR(D313="",N(J313)=0),"",MIN(1,N(K313)/J313))</f>
        <v/>
      </c>
      <c r="M313" s="5" t="n"/>
      <c r="N313" s="5" t="n"/>
      <c r="O313" s="5" t="n"/>
      <c r="P313" s="5" t="n"/>
      <c r="Q313" s="5" t="n"/>
      <c r="R313" s="4" t="n"/>
      <c r="S313" s="4" t="n"/>
      <c r="T313" s="5" t="n"/>
      <c r="U313" s="8">
        <f>IF(AND(V313=1,D313&lt;&gt;""),IF(D313&gt;=corte,TODAY()-D313,""),"")</f>
        <v/>
      </c>
      <c r="V313" s="8">
        <f>IF(D313="",0,IF(OR(AND(P313&lt;&gt;"",S313=""),AND(N(J313)&gt;0,N(K313)&lt;J313),OR(M313="PENDENTE",M313="PARCIAL"),OR(N313="PENDENTE",N313="PARCIAL")),1,0))</f>
        <v/>
      </c>
      <c r="W313" s="8">
        <f>IF(AND(V313=1,D313&lt;&gt;""),IF(D313&gt;=corte,(B313="CRÍTICO")*1E9+(100000-D313)*10000+10000-ROW(),""),"")</f>
        <v/>
      </c>
      <c r="X313" s="8">
        <f>IF(AND(V313=1,D313=pas_data,E313=pas_turno),10000-ROW(),"")</f>
        <v/>
      </c>
    </row>
    <row r="314">
      <c r="A314" s="3">
        <f>IF(D314="","","TT-"&amp;TEXT(ROW()-1,"00000"))</f>
        <v/>
      </c>
      <c r="B314" s="3">
        <f>IF(D314="","",IF(V314=0,"CONCLUÍDO",IF(D314&lt;corte,"HISTÓRICO",IF(OR(AND(ISNUMBER(R314),R314&lt;TODAY()),AND(OR(N314="PENDENTE",N314="PARCIAL"),D314&lt;TODAY()-1)),"CRÍTICO",IF(OR(AND(P314&lt;&gt;"",S314=""),AND(N314="REALIZADO",M314="PENDENTE"),AND(ISNUMBER(R314),R314=TODAY())),"ATENÇÃO",IF(N(K314)=0,"PENDENTE","EM ANDAMENTO"))))))</f>
        <v/>
      </c>
      <c r="C314" s="3">
        <f>IF(D314="","",IF(V314=0,"🟢 OK",IF(D314&lt;corte,"⚪ HISTÓRICO (sem baixa)",IF(AND(ISNUMBER(R314),R314&lt;TODAY()),"🔴 PRAZO VENCIDO",IF(AND(OR(N314="PENDENTE",N314="PARCIAL"),D314&lt;TODAY()-1),"🔴 EMBARQUE ATRASADO",IF(AND(N314="REALIZADO",M314="PENDENTE"),"🟡 EMBARCADO SEM FATURAR",IF(AND(P314&lt;&gt;"",S314="",OR(Q314="",R314="")),"🟡 PENDÊNCIA SEM RESPONSÁVEL/PRAZO",IF(AND(ISNUMBER(R314),R314=TODAY()),"🟡 VENCE HOJE",IF(AND(P314&lt;&gt;"",S314=""),"🟡 PENDÊNCIA ABERTA",IF(AND(N(J314)&gt;0,N(K314)&lt;J314),"🟡 FALTA EXECUTAR",IF(OR(M314="PENDENTE",M314="PARCIAL"),"🟡 FATURAMENTO PENDENTE","🟡 EMBARQUE PENDENTE")))))))))))</f>
        <v/>
      </c>
      <c r="D314" s="4" t="n">
        <v>46244</v>
      </c>
      <c r="E314" s="5" t="inlineStr">
        <is>
          <t>B</t>
        </is>
      </c>
      <c r="F314" s="5" t="inlineStr">
        <is>
          <t>THIAGO</t>
        </is>
      </c>
      <c r="G314" s="5" t="inlineStr">
        <is>
          <t>GM</t>
        </is>
      </c>
      <c r="H314" s="5" t="inlineStr">
        <is>
          <t>HAMASAKI</t>
        </is>
      </c>
      <c r="I314" s="5" t="inlineStr">
        <is>
          <t>TON</t>
        </is>
      </c>
      <c r="J314" s="6" t="n">
        <v>1.385</v>
      </c>
      <c r="K314" s="6" t="n">
        <v>1.385</v>
      </c>
      <c r="L314" s="7">
        <f>IF(OR(D314="",N(J314)=0),"",MIN(1,N(K314)/J314))</f>
        <v/>
      </c>
      <c r="M314" s="5" t="n"/>
      <c r="N314" s="5" t="n"/>
      <c r="O314" s="5" t="n"/>
      <c r="P314" s="5" t="n"/>
      <c r="Q314" s="5" t="n"/>
      <c r="R314" s="4" t="n"/>
      <c r="S314" s="4" t="n"/>
      <c r="T314" s="5" t="n"/>
      <c r="U314" s="8">
        <f>IF(AND(V314=1,D314&lt;&gt;""),IF(D314&gt;=corte,TODAY()-D314,""),"")</f>
        <v/>
      </c>
      <c r="V314" s="8">
        <f>IF(D314="",0,IF(OR(AND(P314&lt;&gt;"",S314=""),AND(N(J314)&gt;0,N(K314)&lt;J314),OR(M314="PENDENTE",M314="PARCIAL"),OR(N314="PENDENTE",N314="PARCIAL")),1,0))</f>
        <v/>
      </c>
      <c r="W314" s="8">
        <f>IF(AND(V314=1,D314&lt;&gt;""),IF(D314&gt;=corte,(B314="CRÍTICO")*1E9+(100000-D314)*10000+10000-ROW(),""),"")</f>
        <v/>
      </c>
      <c r="X314" s="8">
        <f>IF(AND(V314=1,D314=pas_data,E314=pas_turno),10000-ROW(),"")</f>
        <v/>
      </c>
    </row>
    <row r="315">
      <c r="A315" s="3">
        <f>IF(D315="","","TT-"&amp;TEXT(ROW()-1,"00000"))</f>
        <v/>
      </c>
      <c r="B315" s="3">
        <f>IF(D315="","",IF(V315=0,"CONCLUÍDO",IF(D315&lt;corte,"HISTÓRICO",IF(OR(AND(ISNUMBER(R315),R315&lt;TODAY()),AND(OR(N315="PENDENTE",N315="PARCIAL"),D315&lt;TODAY()-1)),"CRÍTICO",IF(OR(AND(P315&lt;&gt;"",S315=""),AND(N315="REALIZADO",M315="PENDENTE"),AND(ISNUMBER(R315),R315=TODAY())),"ATENÇÃO",IF(N(K315)=0,"PENDENTE","EM ANDAMENTO"))))))</f>
        <v/>
      </c>
      <c r="C315" s="3">
        <f>IF(D315="","",IF(V315=0,"🟢 OK",IF(D315&lt;corte,"⚪ HISTÓRICO (sem baixa)",IF(AND(ISNUMBER(R315),R315&lt;TODAY()),"🔴 PRAZO VENCIDO",IF(AND(OR(N315="PENDENTE",N315="PARCIAL"),D315&lt;TODAY()-1),"🔴 EMBARQUE ATRASADO",IF(AND(N315="REALIZADO",M315="PENDENTE"),"🟡 EMBARCADO SEM FATURAR",IF(AND(P315&lt;&gt;"",S315="",OR(Q315="",R315="")),"🟡 PENDÊNCIA SEM RESPONSÁVEL/PRAZO",IF(AND(ISNUMBER(R315),R315=TODAY()),"🟡 VENCE HOJE",IF(AND(P315&lt;&gt;"",S315=""),"🟡 PENDÊNCIA ABERTA",IF(AND(N(J315)&gt;0,N(K315)&lt;J315),"🟡 FALTA EXECUTAR",IF(OR(M315="PENDENTE",M315="PARCIAL"),"🟡 FATURAMENTO PENDENTE","🟡 EMBARQUE PENDENTE")))))))))))</f>
        <v/>
      </c>
      <c r="D315" s="4" t="n">
        <v>46244</v>
      </c>
      <c r="E315" s="5" t="inlineStr">
        <is>
          <t>B</t>
        </is>
      </c>
      <c r="F315" s="5" t="inlineStr">
        <is>
          <t>THIAGO</t>
        </is>
      </c>
      <c r="G315" s="5" t="inlineStr">
        <is>
          <t>ABASTECIMENTO</t>
        </is>
      </c>
      <c r="H315" s="5" t="n"/>
      <c r="I315" s="5" t="inlineStr">
        <is>
          <t>PALETE</t>
        </is>
      </c>
      <c r="J315" s="6" t="n">
        <v>22</v>
      </c>
      <c r="K315" s="6" t="n">
        <v>22</v>
      </c>
      <c r="L315" s="7">
        <f>IF(OR(D315="",N(J315)=0),"",MIN(1,N(K315)/J315))</f>
        <v/>
      </c>
      <c r="M315" s="5" t="n"/>
      <c r="N315" s="5" t="n"/>
      <c r="O315" s="5" t="n"/>
      <c r="P315" s="5" t="n"/>
      <c r="Q315" s="5" t="n"/>
      <c r="R315" s="4" t="n"/>
      <c r="S315" s="4" t="n"/>
      <c r="T315" s="5" t="n"/>
      <c r="U315" s="8">
        <f>IF(AND(V315=1,D315&lt;&gt;""),IF(D315&gt;=corte,TODAY()-D315,""),"")</f>
        <v/>
      </c>
      <c r="V315" s="8">
        <f>IF(D315="",0,IF(OR(AND(P315&lt;&gt;"",S315=""),AND(N(J315)&gt;0,N(K315)&lt;J315),OR(M315="PENDENTE",M315="PARCIAL"),OR(N315="PENDENTE",N315="PARCIAL")),1,0))</f>
        <v/>
      </c>
      <c r="W315" s="8">
        <f>IF(AND(V315=1,D315&lt;&gt;""),IF(D315&gt;=corte,(B315="CRÍTICO")*1E9+(100000-D315)*10000+10000-ROW(),""),"")</f>
        <v/>
      </c>
      <c r="X315" s="8">
        <f>IF(AND(V315=1,D315=pas_data,E315=pas_turno),10000-ROW(),"")</f>
        <v/>
      </c>
    </row>
    <row r="316">
      <c r="A316" s="3">
        <f>IF(D316="","","TT-"&amp;TEXT(ROW()-1,"00000"))</f>
        <v/>
      </c>
      <c r="B316" s="3">
        <f>IF(D316="","",IF(V316=0,"CONCLUÍDO",IF(D316&lt;corte,"HISTÓRICO",IF(OR(AND(ISNUMBER(R316),R316&lt;TODAY()),AND(OR(N316="PENDENTE",N316="PARCIAL"),D316&lt;TODAY()-1)),"CRÍTICO",IF(OR(AND(P316&lt;&gt;"",S316=""),AND(N316="REALIZADO",M316="PENDENTE"),AND(ISNUMBER(R316),R316=TODAY())),"ATENÇÃO",IF(N(K316)=0,"PENDENTE","EM ANDAMENTO"))))))</f>
        <v/>
      </c>
      <c r="C316" s="3">
        <f>IF(D316="","",IF(V316=0,"🟢 OK",IF(D316&lt;corte,"⚪ HISTÓRICO (sem baixa)",IF(AND(ISNUMBER(R316),R316&lt;TODAY()),"🔴 PRAZO VENCIDO",IF(AND(OR(N316="PENDENTE",N316="PARCIAL"),D316&lt;TODAY()-1),"🔴 EMBARQUE ATRASADO",IF(AND(N316="REALIZADO",M316="PENDENTE"),"🟡 EMBARCADO SEM FATURAR",IF(AND(P316&lt;&gt;"",S316="",OR(Q316="",R316="")),"🟡 PENDÊNCIA SEM RESPONSÁVEL/PRAZO",IF(AND(ISNUMBER(R316),R316=TODAY()),"🟡 VENCE HOJE",IF(AND(P316&lt;&gt;"",S316=""),"🟡 PENDÊNCIA ABERTA",IF(AND(N(J316)&gt;0,N(K316)&lt;J316),"🟡 FALTA EXECUTAR",IF(OR(M316="PENDENTE",M316="PARCIAL"),"🟡 FATURAMENTO PENDENTE","🟡 EMBARQUE PENDENTE")))))))))))</f>
        <v/>
      </c>
      <c r="D316" s="4" t="n">
        <v>46244</v>
      </c>
      <c r="E316" s="5" t="inlineStr">
        <is>
          <t>B</t>
        </is>
      </c>
      <c r="F316" s="5" t="inlineStr">
        <is>
          <t>THIAGO</t>
        </is>
      </c>
      <c r="G316" s="5" t="inlineStr">
        <is>
          <t>FM</t>
        </is>
      </c>
      <c r="H316" s="5" t="inlineStr">
        <is>
          <t>PANDURATA</t>
        </is>
      </c>
      <c r="I316" s="5" t="inlineStr">
        <is>
          <t>TON</t>
        </is>
      </c>
      <c r="J316" s="6" t="n">
        <v>25.522</v>
      </c>
      <c r="K316" s="6" t="n">
        <v>25.522</v>
      </c>
      <c r="L316" s="7">
        <f>IF(OR(D316="",N(J316)=0),"",MIN(1,N(K316)/J316))</f>
        <v/>
      </c>
      <c r="M316" s="5" t="n"/>
      <c r="N316" s="5" t="n"/>
      <c r="O316" s="5" t="n"/>
      <c r="P316" s="5" t="n"/>
      <c r="Q316" s="5" t="n"/>
      <c r="R316" s="4" t="n"/>
      <c r="S316" s="4" t="n"/>
      <c r="T316" s="5" t="n"/>
      <c r="U316" s="8">
        <f>IF(AND(V316=1,D316&lt;&gt;""),IF(D316&gt;=corte,TODAY()-D316,""),"")</f>
        <v/>
      </c>
      <c r="V316" s="8">
        <f>IF(D316="",0,IF(OR(AND(P316&lt;&gt;"",S316=""),AND(N(J316)&gt;0,N(K316)&lt;J316),OR(M316="PENDENTE",M316="PARCIAL"),OR(N316="PENDENTE",N316="PARCIAL")),1,0))</f>
        <v/>
      </c>
      <c r="W316" s="8">
        <f>IF(AND(V316=1,D316&lt;&gt;""),IF(D316&gt;=corte,(B316="CRÍTICO")*1E9+(100000-D316)*10000+10000-ROW(),""),"")</f>
        <v/>
      </c>
      <c r="X316" s="8">
        <f>IF(AND(V316=1,D316=pas_data,E316=pas_turno),10000-ROW(),"")</f>
        <v/>
      </c>
    </row>
    <row r="317">
      <c r="A317" s="3">
        <f>IF(D317="","","TT-"&amp;TEXT(ROW()-1,"00000"))</f>
        <v/>
      </c>
      <c r="B317" s="3">
        <f>IF(D317="","",IF(V317=0,"CONCLUÍDO",IF(D317&lt;corte,"HISTÓRICO",IF(OR(AND(ISNUMBER(R317),R317&lt;TODAY()),AND(OR(N317="PENDENTE",N317="PARCIAL"),D317&lt;TODAY()-1)),"CRÍTICO",IF(OR(AND(P317&lt;&gt;"",S317=""),AND(N317="REALIZADO",M317="PENDENTE"),AND(ISNUMBER(R317),R317=TODAY())),"ATENÇÃO",IF(N(K317)=0,"PENDENTE","EM ANDAMENTO"))))))</f>
        <v/>
      </c>
      <c r="C317" s="3">
        <f>IF(D317="","",IF(V317=0,"🟢 OK",IF(D317&lt;corte,"⚪ HISTÓRICO (sem baixa)",IF(AND(ISNUMBER(R317),R317&lt;TODAY()),"🔴 PRAZO VENCIDO",IF(AND(OR(N317="PENDENTE",N317="PARCIAL"),D317&lt;TODAY()-1),"🔴 EMBARQUE ATRASADO",IF(AND(N317="REALIZADO",M317="PENDENTE"),"🟡 EMBARCADO SEM FATURAR",IF(AND(P317&lt;&gt;"",S317="",OR(Q317="",R317="")),"🟡 PENDÊNCIA SEM RESPONSÁVEL/PRAZO",IF(AND(ISNUMBER(R317),R317=TODAY()),"🟡 VENCE HOJE",IF(AND(P317&lt;&gt;"",S317=""),"🟡 PENDÊNCIA ABERTA",IF(AND(N(J317)&gt;0,N(K317)&lt;J317),"🟡 FALTA EXECUTAR",IF(OR(M317="PENDENTE",M317="PARCIAL"),"🟡 FATURAMENTO PENDENTE","🟡 EMBARQUE PENDENTE")))))))))))</f>
        <v/>
      </c>
      <c r="D317" s="4" t="n">
        <v>46244</v>
      </c>
      <c r="E317" s="5" t="inlineStr">
        <is>
          <t>B</t>
        </is>
      </c>
      <c r="F317" s="5" t="inlineStr">
        <is>
          <t>THIAGO</t>
        </is>
      </c>
      <c r="G317" s="5" t="n"/>
      <c r="H317" s="5" t="inlineStr">
        <is>
          <t>FLOOR/CACAU</t>
        </is>
      </c>
      <c r="I317" s="5" t="inlineStr">
        <is>
          <t>PALETE</t>
        </is>
      </c>
      <c r="J317" s="6" t="n">
        <v>140</v>
      </c>
      <c r="K317" s="6" t="n">
        <v>140</v>
      </c>
      <c r="L317" s="7">
        <f>IF(OR(D317="",N(J317)=0),"",MIN(1,N(K317)/J317))</f>
        <v/>
      </c>
      <c r="M317" s="5" t="n"/>
      <c r="N317" s="5" t="n"/>
      <c r="O317" s="5" t="n"/>
      <c r="P317" s="5" t="n"/>
      <c r="Q317" s="5" t="n"/>
      <c r="R317" s="4" t="n"/>
      <c r="S317" s="4" t="n"/>
      <c r="T317" s="5" t="n"/>
      <c r="U317" s="8">
        <f>IF(AND(V317=1,D317&lt;&gt;""),IF(D317&gt;=corte,TODAY()-D317,""),"")</f>
        <v/>
      </c>
      <c r="V317" s="8">
        <f>IF(D317="",0,IF(OR(AND(P317&lt;&gt;"",S317=""),AND(N(J317)&gt;0,N(K317)&lt;J317),OR(M317="PENDENTE",M317="PARCIAL"),OR(N317="PENDENTE",N317="PARCIAL")),1,0))</f>
        <v/>
      </c>
      <c r="W317" s="8">
        <f>IF(AND(V317=1,D317&lt;&gt;""),IF(D317&gt;=corte,(B317="CRÍTICO")*1E9+(100000-D317)*10000+10000-ROW(),""),"")</f>
        <v/>
      </c>
      <c r="X317" s="8">
        <f>IF(AND(V317=1,D317=pas_data,E317=pas_turno),10000-ROW(),"")</f>
        <v/>
      </c>
    </row>
    <row r="318">
      <c r="A318" s="3">
        <f>IF(D318="","","TT-"&amp;TEXT(ROW()-1,"00000"))</f>
        <v/>
      </c>
      <c r="B318" s="3">
        <f>IF(D318="","",IF(V318=0,"CONCLUÍDO",IF(D318&lt;corte,"HISTÓRICO",IF(OR(AND(ISNUMBER(R318),R318&lt;TODAY()),AND(OR(N318="PENDENTE",N318="PARCIAL"),D318&lt;TODAY()-1)),"CRÍTICO",IF(OR(AND(P318&lt;&gt;"",S318=""),AND(N318="REALIZADO",M318="PENDENTE"),AND(ISNUMBER(R318),R318=TODAY())),"ATENÇÃO",IF(N(K318)=0,"PENDENTE","EM ANDAMENTO"))))))</f>
        <v/>
      </c>
      <c r="C318" s="3">
        <f>IF(D318="","",IF(V318=0,"🟢 OK",IF(D318&lt;corte,"⚪ HISTÓRICO (sem baixa)",IF(AND(ISNUMBER(R318),R318&lt;TODAY()),"🔴 PRAZO VENCIDO",IF(AND(OR(N318="PENDENTE",N318="PARCIAL"),D318&lt;TODAY()-1),"🔴 EMBARQUE ATRASADO",IF(AND(N318="REALIZADO",M318="PENDENTE"),"🟡 EMBARCADO SEM FATURAR",IF(AND(P318&lt;&gt;"",S318="",OR(Q318="",R318="")),"🟡 PENDÊNCIA SEM RESPONSÁVEL/PRAZO",IF(AND(ISNUMBER(R318),R318=TODAY()),"🟡 VENCE HOJE",IF(AND(P318&lt;&gt;"",S318=""),"🟡 PENDÊNCIA ABERTA",IF(AND(N(J318)&gt;0,N(K318)&lt;J318),"🟡 FALTA EXECUTAR",IF(OR(M318="PENDENTE",M318="PARCIAL"),"🟡 FATURAMENTO PENDENTE","🟡 EMBARQUE PENDENTE")))))))))))</f>
        <v/>
      </c>
      <c r="D318" s="4" t="n">
        <v>46245</v>
      </c>
      <c r="E318" s="5" t="inlineStr">
        <is>
          <t>C</t>
        </is>
      </c>
      <c r="F318" s="5" t="inlineStr">
        <is>
          <t>ADIB</t>
        </is>
      </c>
      <c r="G318" s="5" t="inlineStr">
        <is>
          <t>GM</t>
        </is>
      </c>
      <c r="H318" s="5" t="inlineStr">
        <is>
          <t>SUL SC</t>
        </is>
      </c>
      <c r="I318" s="5" t="inlineStr">
        <is>
          <t>TON</t>
        </is>
      </c>
      <c r="J318" s="6" t="n">
        <v>1.108</v>
      </c>
      <c r="K318" s="6" t="n">
        <v>1.108</v>
      </c>
      <c r="L318" s="7">
        <f>IF(OR(D318="",N(J318)=0),"",MIN(1,N(K318)/J318))</f>
        <v/>
      </c>
      <c r="M318" s="5" t="inlineStr">
        <is>
          <t>FATURADO</t>
        </is>
      </c>
      <c r="N318" s="5" t="inlineStr">
        <is>
          <t>PENDENTE</t>
        </is>
      </c>
      <c r="O318" s="5" t="inlineStr">
        <is>
          <t>TAFF</t>
        </is>
      </c>
      <c r="P318" s="5" t="inlineStr">
        <is>
          <t>ELOG FALTA REMONTAR CARGA</t>
        </is>
      </c>
      <c r="Q318" s="5" t="n"/>
      <c r="R318" s="4" t="n"/>
      <c r="S318" s="4" t="n"/>
      <c r="T318" s="5" t="inlineStr">
        <is>
          <t>ELOG FALTA REMONTAR CARGA</t>
        </is>
      </c>
      <c r="U318" s="8">
        <f>IF(AND(V318=1,D318&lt;&gt;""),IF(D318&gt;=corte,TODAY()-D318,""),"")</f>
        <v/>
      </c>
      <c r="V318" s="8">
        <f>IF(D318="",0,IF(OR(AND(P318&lt;&gt;"",S318=""),AND(N(J318)&gt;0,N(K318)&lt;J318),OR(M318="PENDENTE",M318="PARCIAL"),OR(N318="PENDENTE",N318="PARCIAL")),1,0))</f>
        <v/>
      </c>
      <c r="W318" s="8">
        <f>IF(AND(V318=1,D318&lt;&gt;""),IF(D318&gt;=corte,(B318="CRÍTICO")*1E9+(100000-D318)*10000+10000-ROW(),""),"")</f>
        <v/>
      </c>
      <c r="X318" s="8">
        <f>IF(AND(V318=1,D318=pas_data,E318=pas_turno),10000-ROW(),"")</f>
        <v/>
      </c>
    </row>
    <row r="319">
      <c r="A319" s="3">
        <f>IF(D319="","","TT-"&amp;TEXT(ROW()-1,"00000"))</f>
        <v/>
      </c>
      <c r="B319" s="3">
        <f>IF(D319="","",IF(V319=0,"CONCLUÍDO",IF(D319&lt;corte,"HISTÓRICO",IF(OR(AND(ISNUMBER(R319),R319&lt;TODAY()),AND(OR(N319="PENDENTE",N319="PARCIAL"),D319&lt;TODAY()-1)),"CRÍTICO",IF(OR(AND(P319&lt;&gt;"",S319=""),AND(N319="REALIZADO",M319="PENDENTE"),AND(ISNUMBER(R319),R319=TODAY())),"ATENÇÃO",IF(N(K319)=0,"PENDENTE","EM ANDAMENTO"))))))</f>
        <v/>
      </c>
      <c r="C319" s="3">
        <f>IF(D319="","",IF(V319=0,"🟢 OK",IF(D319&lt;corte,"⚪ HISTÓRICO (sem baixa)",IF(AND(ISNUMBER(R319),R319&lt;TODAY()),"🔴 PRAZO VENCIDO",IF(AND(OR(N319="PENDENTE",N319="PARCIAL"),D319&lt;TODAY()-1),"🔴 EMBARQUE ATRASADO",IF(AND(N319="REALIZADO",M319="PENDENTE"),"🟡 EMBARCADO SEM FATURAR",IF(AND(P319&lt;&gt;"",S319="",OR(Q319="",R319="")),"🟡 PENDÊNCIA SEM RESPONSÁVEL/PRAZO",IF(AND(ISNUMBER(R319),R319=TODAY()),"🟡 VENCE HOJE",IF(AND(P319&lt;&gt;"",S319=""),"🟡 PENDÊNCIA ABERTA",IF(AND(N(J319)&gt;0,N(K319)&lt;J319),"🟡 FALTA EXECUTAR",IF(OR(M319="PENDENTE",M319="PARCIAL"),"🟡 FATURAMENTO PENDENTE","🟡 EMBARQUE PENDENTE")))))))))))</f>
        <v/>
      </c>
      <c r="D319" s="4" t="n">
        <v>46245</v>
      </c>
      <c r="E319" s="5" t="inlineStr">
        <is>
          <t>C</t>
        </is>
      </c>
      <c r="F319" s="5" t="inlineStr">
        <is>
          <t>ADIB</t>
        </is>
      </c>
      <c r="G319" s="5" t="inlineStr">
        <is>
          <t>GM</t>
        </is>
      </c>
      <c r="H319" s="5" t="inlineStr">
        <is>
          <t>SUL RS</t>
        </is>
      </c>
      <c r="I319" s="5" t="inlineStr">
        <is>
          <t>TON</t>
        </is>
      </c>
      <c r="J319" s="6" t="n">
        <v>21.393</v>
      </c>
      <c r="K319" s="6" t="n"/>
      <c r="L319" s="7">
        <f>IF(OR(D319="",N(J319)=0),"",MIN(1,N(K319)/J319))</f>
        <v/>
      </c>
      <c r="M319" s="5" t="n"/>
      <c r="N319" s="5" t="n"/>
      <c r="O319" s="5" t="n"/>
      <c r="P319" s="5" t="n"/>
      <c r="Q319" s="5" t="n"/>
      <c r="R319" s="4" t="n"/>
      <c r="S319" s="4" t="n"/>
      <c r="T319" s="5" t="n"/>
      <c r="U319" s="8">
        <f>IF(AND(V319=1,D319&lt;&gt;""),IF(D319&gt;=corte,TODAY()-D319,""),"")</f>
        <v/>
      </c>
      <c r="V319" s="8">
        <f>IF(D319="",0,IF(OR(AND(P319&lt;&gt;"",S319=""),AND(N(J319)&gt;0,N(K319)&lt;J319),OR(M319="PENDENTE",M319="PARCIAL"),OR(N319="PENDENTE",N319="PARCIAL")),1,0))</f>
        <v/>
      </c>
      <c r="W319" s="8">
        <f>IF(AND(V319=1,D319&lt;&gt;""),IF(D319&gt;=corte,(B319="CRÍTICO")*1E9+(100000-D319)*10000+10000-ROW(),""),"")</f>
        <v/>
      </c>
      <c r="X319" s="8">
        <f>IF(AND(V319=1,D319=pas_data,E319=pas_turno),10000-ROW(),"")</f>
        <v/>
      </c>
    </row>
    <row r="320">
      <c r="A320" s="3">
        <f>IF(D320="","","TT-"&amp;TEXT(ROW()-1,"00000"))</f>
        <v/>
      </c>
      <c r="B320" s="3">
        <f>IF(D320="","",IF(V320=0,"CONCLUÍDO",IF(D320&lt;corte,"HISTÓRICO",IF(OR(AND(ISNUMBER(R320),R320&lt;TODAY()),AND(OR(N320="PENDENTE",N320="PARCIAL"),D320&lt;TODAY()-1)),"CRÍTICO",IF(OR(AND(P320&lt;&gt;"",S320=""),AND(N320="REALIZADO",M320="PENDENTE"),AND(ISNUMBER(R320),R320=TODAY())),"ATENÇÃO",IF(N(K320)=0,"PENDENTE","EM ANDAMENTO"))))))</f>
        <v/>
      </c>
      <c r="C320" s="3">
        <f>IF(D320="","",IF(V320=0,"🟢 OK",IF(D320&lt;corte,"⚪ HISTÓRICO (sem baixa)",IF(AND(ISNUMBER(R320),R320&lt;TODAY()),"🔴 PRAZO VENCIDO",IF(AND(OR(N320="PENDENTE",N320="PARCIAL"),D320&lt;TODAY()-1),"🔴 EMBARQUE ATRASADO",IF(AND(N320="REALIZADO",M320="PENDENTE"),"🟡 EMBARCADO SEM FATURAR",IF(AND(P320&lt;&gt;"",S320="",OR(Q320="",R320="")),"🟡 PENDÊNCIA SEM RESPONSÁVEL/PRAZO",IF(AND(ISNUMBER(R320),R320=TODAY()),"🟡 VENCE HOJE",IF(AND(P320&lt;&gt;"",S320=""),"🟡 PENDÊNCIA ABERTA",IF(AND(N(J320)&gt;0,N(K320)&lt;J320),"🟡 FALTA EXECUTAR",IF(OR(M320="PENDENTE",M320="PARCIAL"),"🟡 FATURAMENTO PENDENTE","🟡 EMBARQUE PENDENTE")))))))))))</f>
        <v/>
      </c>
      <c r="D320" s="4" t="n">
        <v>46245</v>
      </c>
      <c r="E320" s="5" t="inlineStr">
        <is>
          <t>C</t>
        </is>
      </c>
      <c r="F320" s="5" t="inlineStr">
        <is>
          <t>ADIB</t>
        </is>
      </c>
      <c r="G320" s="5" t="inlineStr">
        <is>
          <t>FM</t>
        </is>
      </c>
      <c r="H320" s="5" t="inlineStr">
        <is>
          <t>MAGNUM ICC</t>
        </is>
      </c>
      <c r="I320" s="5" t="inlineStr">
        <is>
          <t>TON</t>
        </is>
      </c>
      <c r="J320" s="6" t="n">
        <v>26.354</v>
      </c>
      <c r="K320" s="6" t="n">
        <v>26.354</v>
      </c>
      <c r="L320" s="7">
        <f>IF(OR(D320="",N(J320)=0),"",MIN(1,N(K320)/J320))</f>
        <v/>
      </c>
      <c r="M320" s="5" t="inlineStr">
        <is>
          <t>FATURADO</t>
        </is>
      </c>
      <c r="N320" s="5" t="inlineStr">
        <is>
          <t>REALIZADO</t>
        </is>
      </c>
      <c r="O320" s="5" t="inlineStr">
        <is>
          <t>SPEEDYLOG</t>
        </is>
      </c>
      <c r="P320" s="5" t="n"/>
      <c r="Q320" s="5" t="n"/>
      <c r="R320" s="4" t="n"/>
      <c r="S320" s="4" t="n"/>
      <c r="T320" s="5" t="n"/>
      <c r="U320" s="8">
        <f>IF(AND(V320=1,D320&lt;&gt;""),IF(D320&gt;=corte,TODAY()-D320,""),"")</f>
        <v/>
      </c>
      <c r="V320" s="8">
        <f>IF(D320="",0,IF(OR(AND(P320&lt;&gt;"",S320=""),AND(N(J320)&gt;0,N(K320)&lt;J320),OR(M320="PENDENTE",M320="PARCIAL"),OR(N320="PENDENTE",N320="PARCIAL")),1,0))</f>
        <v/>
      </c>
      <c r="W320" s="8">
        <f>IF(AND(V320=1,D320&lt;&gt;""),IF(D320&gt;=corte,(B320="CRÍTICO")*1E9+(100000-D320)*10000+10000-ROW(),""),"")</f>
        <v/>
      </c>
      <c r="X320" s="8">
        <f>IF(AND(V320=1,D320=pas_data,E320=pas_turno),10000-ROW(),"")</f>
        <v/>
      </c>
    </row>
    <row r="321">
      <c r="A321" s="3">
        <f>IF(D321="","","TT-"&amp;TEXT(ROW()-1,"00000"))</f>
        <v/>
      </c>
      <c r="B321" s="3">
        <f>IF(D321="","",IF(V321=0,"CONCLUÍDO",IF(D321&lt;corte,"HISTÓRICO",IF(OR(AND(ISNUMBER(R321),R321&lt;TODAY()),AND(OR(N321="PENDENTE",N321="PARCIAL"),D321&lt;TODAY()-1)),"CRÍTICO",IF(OR(AND(P321&lt;&gt;"",S321=""),AND(N321="REALIZADO",M321="PENDENTE"),AND(ISNUMBER(R321),R321=TODAY())),"ATENÇÃO",IF(N(K321)=0,"PENDENTE","EM ANDAMENTO"))))))</f>
        <v/>
      </c>
      <c r="C321" s="3">
        <f>IF(D321="","",IF(V321=0,"🟢 OK",IF(D321&lt;corte,"⚪ HISTÓRICO (sem baixa)",IF(AND(ISNUMBER(R321),R321&lt;TODAY()),"🔴 PRAZO VENCIDO",IF(AND(OR(N321="PENDENTE",N321="PARCIAL"),D321&lt;TODAY()-1),"🔴 EMBARQUE ATRASADO",IF(AND(N321="REALIZADO",M321="PENDENTE"),"🟡 EMBARCADO SEM FATURAR",IF(AND(P321&lt;&gt;"",S321="",OR(Q321="",R321="")),"🟡 PENDÊNCIA SEM RESPONSÁVEL/PRAZO",IF(AND(ISNUMBER(R321),R321=TODAY()),"🟡 VENCE HOJE",IF(AND(P321&lt;&gt;"",S321=""),"🟡 PENDÊNCIA ABERTA",IF(AND(N(J321)&gt;0,N(K321)&lt;J321),"🟡 FALTA EXECUTAR",IF(OR(M321="PENDENTE",M321="PARCIAL"),"🟡 FATURAMENTO PENDENTE","🟡 EMBARQUE PENDENTE")))))))))))</f>
        <v/>
      </c>
      <c r="D321" s="4" t="n">
        <v>46245</v>
      </c>
      <c r="E321" s="5" t="inlineStr">
        <is>
          <t>C</t>
        </is>
      </c>
      <c r="F321" s="5" t="inlineStr">
        <is>
          <t>ADIB</t>
        </is>
      </c>
      <c r="G321" s="5" t="inlineStr">
        <is>
          <t>FM</t>
        </is>
      </c>
      <c r="H321" s="5" t="inlineStr">
        <is>
          <t>PANDURATA</t>
        </is>
      </c>
      <c r="I321" s="5" t="inlineStr">
        <is>
          <t>TON</t>
        </is>
      </c>
      <c r="J321" s="6" t="n">
        <v>25.552</v>
      </c>
      <c r="K321" s="6" t="n">
        <v>25.552</v>
      </c>
      <c r="L321" s="7">
        <f>IF(OR(D321="",N(J321)=0),"",MIN(1,N(K321)/J321))</f>
        <v/>
      </c>
      <c r="M321" s="5" t="inlineStr">
        <is>
          <t>FATURADO</t>
        </is>
      </c>
      <c r="N321" s="5" t="inlineStr">
        <is>
          <t>REALIZADO</t>
        </is>
      </c>
      <c r="O321" s="5" t="inlineStr">
        <is>
          <t>SPEEDYLOG</t>
        </is>
      </c>
      <c r="P321" s="5" t="n"/>
      <c r="Q321" s="5" t="n"/>
      <c r="R321" s="4" t="n"/>
      <c r="S321" s="4" t="n"/>
      <c r="T321" s="5" t="inlineStr">
        <is>
          <t>CARREGADO E LIBERADO</t>
        </is>
      </c>
      <c r="U321" s="8">
        <f>IF(AND(V321=1,D321&lt;&gt;""),IF(D321&gt;=corte,TODAY()-D321,""),"")</f>
        <v/>
      </c>
      <c r="V321" s="8">
        <f>IF(D321="",0,IF(OR(AND(P321&lt;&gt;"",S321=""),AND(N(J321)&gt;0,N(K321)&lt;J321),OR(M321="PENDENTE",M321="PARCIAL"),OR(N321="PENDENTE",N321="PARCIAL")),1,0))</f>
        <v/>
      </c>
      <c r="W321" s="8">
        <f>IF(AND(V321=1,D321&lt;&gt;""),IF(D321&gt;=corte,(B321="CRÍTICO")*1E9+(100000-D321)*10000+10000-ROW(),""),"")</f>
        <v/>
      </c>
      <c r="X321" s="8">
        <f>IF(AND(V321=1,D321=pas_data,E321=pas_turno),10000-ROW(),"")</f>
        <v/>
      </c>
    </row>
    <row r="322">
      <c r="A322" s="3">
        <f>IF(D322="","","TT-"&amp;TEXT(ROW()-1,"00000"))</f>
        <v/>
      </c>
      <c r="B322" s="3">
        <f>IF(D322="","",IF(V322=0,"CONCLUÍDO",IF(D322&lt;corte,"HISTÓRICO",IF(OR(AND(ISNUMBER(R322),R322&lt;TODAY()),AND(OR(N322="PENDENTE",N322="PARCIAL"),D322&lt;TODAY()-1)),"CRÍTICO",IF(OR(AND(P322&lt;&gt;"",S322=""),AND(N322="REALIZADO",M322="PENDENTE"),AND(ISNUMBER(R322),R322=TODAY())),"ATENÇÃO",IF(N(K322)=0,"PENDENTE","EM ANDAMENTO"))))))</f>
        <v/>
      </c>
      <c r="C322" s="3">
        <f>IF(D322="","",IF(V322=0,"🟢 OK",IF(D322&lt;corte,"⚪ HISTÓRICO (sem baixa)",IF(AND(ISNUMBER(R322),R322&lt;TODAY()),"🔴 PRAZO VENCIDO",IF(AND(OR(N322="PENDENTE",N322="PARCIAL"),D322&lt;TODAY()-1),"🔴 EMBARQUE ATRASADO",IF(AND(N322="REALIZADO",M322="PENDENTE"),"🟡 EMBARCADO SEM FATURAR",IF(AND(P322&lt;&gt;"",S322="",OR(Q322="",R322="")),"🟡 PENDÊNCIA SEM RESPONSÁVEL/PRAZO",IF(AND(ISNUMBER(R322),R322=TODAY()),"🟡 VENCE HOJE",IF(AND(P322&lt;&gt;"",S322=""),"🟡 PENDÊNCIA ABERTA",IF(AND(N(J322)&gt;0,N(K322)&lt;J322),"🟡 FALTA EXECUTAR",IF(OR(M322="PENDENTE",M322="PARCIAL"),"🟡 FATURAMENTO PENDENTE","🟡 EMBARQUE PENDENTE")))))))))))</f>
        <v/>
      </c>
      <c r="D322" s="4" t="n">
        <v>46245</v>
      </c>
      <c r="E322" s="5" t="inlineStr">
        <is>
          <t>C</t>
        </is>
      </c>
      <c r="F322" s="5" t="inlineStr">
        <is>
          <t>ADIB</t>
        </is>
      </c>
      <c r="G322" s="5" t="inlineStr">
        <is>
          <t>GM</t>
        </is>
      </c>
      <c r="H322" s="5" t="inlineStr">
        <is>
          <t>SMARTLOG AGENDADA</t>
        </is>
      </c>
      <c r="I322" s="5" t="inlineStr">
        <is>
          <t>TON</t>
        </is>
      </c>
      <c r="J322" s="6" t="n">
        <v>2.967</v>
      </c>
      <c r="K322" s="6" t="n"/>
      <c r="L322" s="7">
        <f>IF(OR(D322="",N(J322)=0),"",MIN(1,N(K322)/J322))</f>
        <v/>
      </c>
      <c r="M322" s="5" t="n"/>
      <c r="N322" s="5" t="n"/>
      <c r="O322" s="5" t="n"/>
      <c r="P322" s="5" t="inlineStr">
        <is>
          <t>FALTA SEPARAR DELIVERY GERADAS</t>
        </is>
      </c>
      <c r="Q322" s="5" t="n"/>
      <c r="R322" s="4" t="n"/>
      <c r="S322" s="4" t="n"/>
      <c r="T322" s="5" t="inlineStr">
        <is>
          <t>FALTA SEPARAR DELIVERY GERADAS</t>
        </is>
      </c>
      <c r="U322" s="8">
        <f>IF(AND(V322=1,D322&lt;&gt;""),IF(D322&gt;=corte,TODAY()-D322,""),"")</f>
        <v/>
      </c>
      <c r="V322" s="8">
        <f>IF(D322="",0,IF(OR(AND(P322&lt;&gt;"",S322=""),AND(N(J322)&gt;0,N(K322)&lt;J322),OR(M322="PENDENTE",M322="PARCIAL"),OR(N322="PENDENTE",N322="PARCIAL")),1,0))</f>
        <v/>
      </c>
      <c r="W322" s="8">
        <f>IF(AND(V322=1,D322&lt;&gt;""),IF(D322&gt;=corte,(B322="CRÍTICO")*1E9+(100000-D322)*10000+10000-ROW(),""),"")</f>
        <v/>
      </c>
      <c r="X322" s="8">
        <f>IF(AND(V322=1,D322=pas_data,E322=pas_turno),10000-ROW(),"")</f>
        <v/>
      </c>
    </row>
    <row r="323">
      <c r="A323" s="3">
        <f>IF(D323="","","TT-"&amp;TEXT(ROW()-1,"00000"))</f>
        <v/>
      </c>
      <c r="B323" s="3">
        <f>IF(D323="","",IF(V323=0,"CONCLUÍDO",IF(D323&lt;corte,"HISTÓRICO",IF(OR(AND(ISNUMBER(R323),R323&lt;TODAY()),AND(OR(N323="PENDENTE",N323="PARCIAL"),D323&lt;TODAY()-1)),"CRÍTICO",IF(OR(AND(P323&lt;&gt;"",S323=""),AND(N323="REALIZADO",M323="PENDENTE"),AND(ISNUMBER(R323),R323=TODAY())),"ATENÇÃO",IF(N(K323)=0,"PENDENTE","EM ANDAMENTO"))))))</f>
        <v/>
      </c>
      <c r="C323" s="3">
        <f>IF(D323="","",IF(V323=0,"🟢 OK",IF(D323&lt;corte,"⚪ HISTÓRICO (sem baixa)",IF(AND(ISNUMBER(R323),R323&lt;TODAY()),"🔴 PRAZO VENCIDO",IF(AND(OR(N323="PENDENTE",N323="PARCIAL"),D323&lt;TODAY()-1),"🔴 EMBARQUE ATRASADO",IF(AND(N323="REALIZADO",M323="PENDENTE"),"🟡 EMBARCADO SEM FATURAR",IF(AND(P323&lt;&gt;"",S323="",OR(Q323="",R323="")),"🟡 PENDÊNCIA SEM RESPONSÁVEL/PRAZO",IF(AND(ISNUMBER(R323),R323=TODAY()),"🟡 VENCE HOJE",IF(AND(P323&lt;&gt;"",S323=""),"🟡 PENDÊNCIA ABERTA",IF(AND(N(J323)&gt;0,N(K323)&lt;J323),"🟡 FALTA EXECUTAR",IF(OR(M323="PENDENTE",M323="PARCIAL"),"🟡 FATURAMENTO PENDENTE","🟡 EMBARQUE PENDENTE")))))))))))</f>
        <v/>
      </c>
      <c r="D323" s="4" t="n">
        <v>46245</v>
      </c>
      <c r="E323" s="5" t="inlineStr">
        <is>
          <t>C</t>
        </is>
      </c>
      <c r="F323" s="5" t="inlineStr">
        <is>
          <t>ADIB</t>
        </is>
      </c>
      <c r="G323" s="5" t="inlineStr">
        <is>
          <t>FOB</t>
        </is>
      </c>
      <c r="H323" s="5" t="inlineStr">
        <is>
          <t>COFERPAN/C.COMER</t>
        </is>
      </c>
      <c r="I323" s="5" t="inlineStr">
        <is>
          <t>TON</t>
        </is>
      </c>
      <c r="J323" s="6" t="n">
        <v>6.959</v>
      </c>
      <c r="K323" s="6" t="n">
        <v>3.956</v>
      </c>
      <c r="L323" s="7">
        <f>IF(OR(D323="",N(J323)=0),"",MIN(1,N(K323)/J323))</f>
        <v/>
      </c>
      <c r="M323" s="5" t="inlineStr">
        <is>
          <t>PENDENTE</t>
        </is>
      </c>
      <c r="N323" s="5" t="inlineStr">
        <is>
          <t>PENDENTE</t>
        </is>
      </c>
      <c r="O323" s="5" t="inlineStr">
        <is>
          <t>PRÓPRIO</t>
        </is>
      </c>
      <c r="P323" s="5" t="inlineStr">
        <is>
          <t>FALTA SEPARAR DELIVERY 17807983</t>
        </is>
      </c>
      <c r="Q323" s="5" t="n"/>
      <c r="R323" s="4" t="n"/>
      <c r="S323" s="4" t="n"/>
      <c r="T323" s="5" t="inlineStr">
        <is>
          <t>FALTA SEPARAR DELIVERY 17807983</t>
        </is>
      </c>
      <c r="U323" s="8">
        <f>IF(AND(V323=1,D323&lt;&gt;""),IF(D323&gt;=corte,TODAY()-D323,""),"")</f>
        <v/>
      </c>
      <c r="V323" s="8">
        <f>IF(D323="",0,IF(OR(AND(P323&lt;&gt;"",S323=""),AND(N(J323)&gt;0,N(K323)&lt;J323),OR(M323="PENDENTE",M323="PARCIAL"),OR(N323="PENDENTE",N323="PARCIAL")),1,0))</f>
        <v/>
      </c>
      <c r="W323" s="8">
        <f>IF(AND(V323=1,D323&lt;&gt;""),IF(D323&gt;=corte,(B323="CRÍTICO")*1E9+(100000-D323)*10000+10000-ROW(),""),"")</f>
        <v/>
      </c>
      <c r="X323" s="8">
        <f>IF(AND(V323=1,D323=pas_data,E323=pas_turno),10000-ROW(),"")</f>
        <v/>
      </c>
    </row>
    <row r="324">
      <c r="A324" s="3">
        <f>IF(D324="","","TT-"&amp;TEXT(ROW()-1,"00000"))</f>
        <v/>
      </c>
      <c r="B324" s="3">
        <f>IF(D324="","",IF(V324=0,"CONCLUÍDO",IF(D324&lt;corte,"HISTÓRICO",IF(OR(AND(ISNUMBER(R324),R324&lt;TODAY()),AND(OR(N324="PENDENTE",N324="PARCIAL"),D324&lt;TODAY()-1)),"CRÍTICO",IF(OR(AND(P324&lt;&gt;"",S324=""),AND(N324="REALIZADO",M324="PENDENTE"),AND(ISNUMBER(R324),R324=TODAY())),"ATENÇÃO",IF(N(K324)=0,"PENDENTE","EM ANDAMENTO"))))))</f>
        <v/>
      </c>
      <c r="C324" s="3">
        <f>IF(D324="","",IF(V324=0,"🟢 OK",IF(D324&lt;corte,"⚪ HISTÓRICO (sem baixa)",IF(AND(ISNUMBER(R324),R324&lt;TODAY()),"🔴 PRAZO VENCIDO",IF(AND(OR(N324="PENDENTE",N324="PARCIAL"),D324&lt;TODAY()-1),"🔴 EMBARQUE ATRASADO",IF(AND(N324="REALIZADO",M324="PENDENTE"),"🟡 EMBARCADO SEM FATURAR",IF(AND(P324&lt;&gt;"",S324="",OR(Q324="",R324="")),"🟡 PENDÊNCIA SEM RESPONSÁVEL/PRAZO",IF(AND(ISNUMBER(R324),R324=TODAY()),"🟡 VENCE HOJE",IF(AND(P324&lt;&gt;"",S324=""),"🟡 PENDÊNCIA ABERTA",IF(AND(N(J324)&gt;0,N(K324)&lt;J324),"🟡 FALTA EXECUTAR",IF(OR(M324="PENDENTE",M324="PARCIAL"),"🟡 FATURAMENTO PENDENTE","🟡 EMBARQUE PENDENTE")))))))))))</f>
        <v/>
      </c>
      <c r="D324" s="4" t="n">
        <v>46245</v>
      </c>
      <c r="E324" s="5" t="inlineStr">
        <is>
          <t>C</t>
        </is>
      </c>
      <c r="F324" s="5" t="inlineStr">
        <is>
          <t>ADIB</t>
        </is>
      </c>
      <c r="G324" s="5" t="inlineStr">
        <is>
          <t>GRANEL</t>
        </is>
      </c>
      <c r="H324" s="5" t="inlineStr">
        <is>
          <t>FRONERI</t>
        </is>
      </c>
      <c r="I324" s="5" t="inlineStr">
        <is>
          <t>TON</t>
        </is>
      </c>
      <c r="J324" s="6" t="n">
        <v>23.56</v>
      </c>
      <c r="K324" s="6" t="n">
        <v>23.56</v>
      </c>
      <c r="L324" s="7">
        <f>IF(OR(D324="",N(J324)=0),"",MIN(1,N(K324)/J324))</f>
        <v/>
      </c>
      <c r="M324" s="5" t="inlineStr">
        <is>
          <t>FATURADO</t>
        </is>
      </c>
      <c r="N324" s="5" t="inlineStr">
        <is>
          <t>REALIZADO</t>
        </is>
      </c>
      <c r="O324" s="5" t="inlineStr">
        <is>
          <t>JSL</t>
        </is>
      </c>
      <c r="P324" s="5" t="n"/>
      <c r="Q324" s="5" t="n"/>
      <c r="R324" s="4" t="n"/>
      <c r="S324" s="4" t="n"/>
      <c r="T324" s="5" t="inlineStr">
        <is>
          <t>LIBERADO</t>
        </is>
      </c>
      <c r="U324" s="8">
        <f>IF(AND(V324=1,D324&lt;&gt;""),IF(D324&gt;=corte,TODAY()-D324,""),"")</f>
        <v/>
      </c>
      <c r="V324" s="8">
        <f>IF(D324="",0,IF(OR(AND(P324&lt;&gt;"",S324=""),AND(N(J324)&gt;0,N(K324)&lt;J324),OR(M324="PENDENTE",M324="PARCIAL"),OR(N324="PENDENTE",N324="PARCIAL")),1,0))</f>
        <v/>
      </c>
      <c r="W324" s="8">
        <f>IF(AND(V324=1,D324&lt;&gt;""),IF(D324&gt;=corte,(B324="CRÍTICO")*1E9+(100000-D324)*10000+10000-ROW(),""),"")</f>
        <v/>
      </c>
      <c r="X324" s="8">
        <f>IF(AND(V324=1,D324=pas_data,E324=pas_turno),10000-ROW(),"")</f>
        <v/>
      </c>
    </row>
    <row r="325">
      <c r="A325" s="3">
        <f>IF(D325="","","TT-"&amp;TEXT(ROW()-1,"00000"))</f>
        <v/>
      </c>
      <c r="B325" s="3">
        <f>IF(D325="","",IF(V325=0,"CONCLUÍDO",IF(D325&lt;corte,"HISTÓRICO",IF(OR(AND(ISNUMBER(R325),R325&lt;TODAY()),AND(OR(N325="PENDENTE",N325="PARCIAL"),D325&lt;TODAY()-1)),"CRÍTICO",IF(OR(AND(P325&lt;&gt;"",S325=""),AND(N325="REALIZADO",M325="PENDENTE"),AND(ISNUMBER(R325),R325=TODAY())),"ATENÇÃO",IF(N(K325)=0,"PENDENTE","EM ANDAMENTO"))))))</f>
        <v/>
      </c>
      <c r="C325" s="3">
        <f>IF(D325="","",IF(V325=0,"🟢 OK",IF(D325&lt;corte,"⚪ HISTÓRICO (sem baixa)",IF(AND(ISNUMBER(R325),R325&lt;TODAY()),"🔴 PRAZO VENCIDO",IF(AND(OR(N325="PENDENTE",N325="PARCIAL"),D325&lt;TODAY()-1),"🔴 EMBARQUE ATRASADO",IF(AND(N325="REALIZADO",M325="PENDENTE"),"🟡 EMBARCADO SEM FATURAR",IF(AND(P325&lt;&gt;"",S325="",OR(Q325="",R325="")),"🟡 PENDÊNCIA SEM RESPONSÁVEL/PRAZO",IF(AND(ISNUMBER(R325),R325=TODAY()),"🟡 VENCE HOJE",IF(AND(P325&lt;&gt;"",S325=""),"🟡 PENDÊNCIA ABERTA",IF(AND(N(J325)&gt;0,N(K325)&lt;J325),"🟡 FALTA EXECUTAR",IF(OR(M325="PENDENTE",M325="PARCIAL"),"🟡 FATURAMENTO PENDENTE","🟡 EMBARQUE PENDENTE")))))))))))</f>
        <v/>
      </c>
      <c r="D325" s="4" t="n">
        <v>46245</v>
      </c>
      <c r="E325" s="5" t="inlineStr">
        <is>
          <t>C</t>
        </is>
      </c>
      <c r="F325" s="5" t="inlineStr">
        <is>
          <t>ADIB</t>
        </is>
      </c>
      <c r="G325" s="5" t="inlineStr">
        <is>
          <t>GRANEL</t>
        </is>
      </c>
      <c r="H325" s="5" t="inlineStr">
        <is>
          <t>PANDURATA</t>
        </is>
      </c>
      <c r="I325" s="5" t="inlineStr">
        <is>
          <t>TON</t>
        </is>
      </c>
      <c r="J325" s="6" t="n">
        <v>28.27</v>
      </c>
      <c r="K325" s="6" t="n">
        <v>28.27</v>
      </c>
      <c r="L325" s="7">
        <f>IF(OR(D325="",N(J325)=0),"",MIN(1,N(K325)/J325))</f>
        <v/>
      </c>
      <c r="M325" s="5" t="inlineStr">
        <is>
          <t>FATURADO</t>
        </is>
      </c>
      <c r="N325" s="5" t="inlineStr">
        <is>
          <t>REALIZADO</t>
        </is>
      </c>
      <c r="O325" s="5" t="inlineStr">
        <is>
          <t>JSL</t>
        </is>
      </c>
      <c r="P325" s="5" t="n"/>
      <c r="Q325" s="5" t="n"/>
      <c r="R325" s="4" t="n"/>
      <c r="S325" s="4" t="n"/>
      <c r="T325" s="5" t="inlineStr">
        <is>
          <t>LIBERADO</t>
        </is>
      </c>
      <c r="U325" s="8">
        <f>IF(AND(V325=1,D325&lt;&gt;""),IF(D325&gt;=corte,TODAY()-D325,""),"")</f>
        <v/>
      </c>
      <c r="V325" s="8">
        <f>IF(D325="",0,IF(OR(AND(P325&lt;&gt;"",S325=""),AND(N(J325)&gt;0,N(K325)&lt;J325),OR(M325="PENDENTE",M325="PARCIAL"),OR(N325="PENDENTE",N325="PARCIAL")),1,0))</f>
        <v/>
      </c>
      <c r="W325" s="8">
        <f>IF(AND(V325=1,D325&lt;&gt;""),IF(D325&gt;=corte,(B325="CRÍTICO")*1E9+(100000-D325)*10000+10000-ROW(),""),"")</f>
        <v/>
      </c>
      <c r="X325" s="8">
        <f>IF(AND(V325=1,D325=pas_data,E325=pas_turno),10000-ROW(),"")</f>
        <v/>
      </c>
    </row>
    <row r="326">
      <c r="A326" s="3">
        <f>IF(D326="","","TT-"&amp;TEXT(ROW()-1,"00000"))</f>
        <v/>
      </c>
      <c r="B326" s="3">
        <f>IF(D326="","",IF(V326=0,"CONCLUÍDO",IF(D326&lt;corte,"HISTÓRICO",IF(OR(AND(ISNUMBER(R326),R326&lt;TODAY()),AND(OR(N326="PENDENTE",N326="PARCIAL"),D326&lt;TODAY()-1)),"CRÍTICO",IF(OR(AND(P326&lt;&gt;"",S326=""),AND(N326="REALIZADO",M326="PENDENTE"),AND(ISNUMBER(R326),R326=TODAY())),"ATENÇÃO",IF(N(K326)=0,"PENDENTE","EM ANDAMENTO"))))))</f>
        <v/>
      </c>
      <c r="C326" s="3">
        <f>IF(D326="","",IF(V326=0,"🟢 OK",IF(D326&lt;corte,"⚪ HISTÓRICO (sem baixa)",IF(AND(ISNUMBER(R326),R326&lt;TODAY()),"🔴 PRAZO VENCIDO",IF(AND(OR(N326="PENDENTE",N326="PARCIAL"),D326&lt;TODAY()-1),"🔴 EMBARQUE ATRASADO",IF(AND(N326="REALIZADO",M326="PENDENTE"),"🟡 EMBARCADO SEM FATURAR",IF(AND(P326&lt;&gt;"",S326="",OR(Q326="",R326="")),"🟡 PENDÊNCIA SEM RESPONSÁVEL/PRAZO",IF(AND(ISNUMBER(R326),R326=TODAY()),"🟡 VENCE HOJE",IF(AND(P326&lt;&gt;"",S326=""),"🟡 PENDÊNCIA ABERTA",IF(AND(N(J326)&gt;0,N(K326)&lt;J326),"🟡 FALTA EXECUTAR",IF(OR(M326="PENDENTE",M326="PARCIAL"),"🟡 FATURAMENTO PENDENTE","🟡 EMBARQUE PENDENTE")))))))))))</f>
        <v/>
      </c>
      <c r="D326" s="4" t="n">
        <v>46245</v>
      </c>
      <c r="E326" s="5" t="inlineStr">
        <is>
          <t>D</t>
        </is>
      </c>
      <c r="F326" s="5" t="inlineStr">
        <is>
          <t>VINICIUS</t>
        </is>
      </c>
      <c r="G326" s="5" t="inlineStr">
        <is>
          <t>FM</t>
        </is>
      </c>
      <c r="H326" s="5" t="inlineStr">
        <is>
          <t>SIENA</t>
        </is>
      </c>
      <c r="I326" s="5" t="inlineStr">
        <is>
          <t>TON</t>
        </is>
      </c>
      <c r="J326" s="6" t="n">
        <v>19.99</v>
      </c>
      <c r="K326" s="6" t="n">
        <v>19.99</v>
      </c>
      <c r="L326" s="7">
        <f>IF(OR(D326="",N(J326)=0),"",MIN(1,N(K326)/J326))</f>
        <v/>
      </c>
      <c r="M326" s="5" t="inlineStr">
        <is>
          <t>FATURADO</t>
        </is>
      </c>
      <c r="N326" s="5" t="inlineStr">
        <is>
          <t>REALIZADO</t>
        </is>
      </c>
      <c r="O326" s="5" t="inlineStr">
        <is>
          <t>SPEEDYLOG</t>
        </is>
      </c>
      <c r="P326" s="5" t="n"/>
      <c r="Q326" s="5" t="n"/>
      <c r="R326" s="4" t="n"/>
      <c r="S326" s="4" t="n"/>
      <c r="T326" s="5" t="n"/>
      <c r="U326" s="8">
        <f>IF(AND(V326=1,D326&lt;&gt;""),IF(D326&gt;=corte,TODAY()-D326,""),"")</f>
        <v/>
      </c>
      <c r="V326" s="8">
        <f>IF(D326="",0,IF(OR(AND(P326&lt;&gt;"",S326=""),AND(N(J326)&gt;0,N(K326)&lt;J326),OR(M326="PENDENTE",M326="PARCIAL"),OR(N326="PENDENTE",N326="PARCIAL")),1,0))</f>
        <v/>
      </c>
      <c r="W326" s="8">
        <f>IF(AND(V326=1,D326&lt;&gt;""),IF(D326&gt;=corte,(B326="CRÍTICO")*1E9+(100000-D326)*10000+10000-ROW(),""),"")</f>
        <v/>
      </c>
      <c r="X326" s="8">
        <f>IF(AND(V326=1,D326=pas_data,E326=pas_turno),10000-ROW(),"")</f>
        <v/>
      </c>
    </row>
    <row r="327">
      <c r="A327" s="3">
        <f>IF(D327="","","TT-"&amp;TEXT(ROW()-1,"00000"))</f>
        <v/>
      </c>
      <c r="B327" s="3">
        <f>IF(D327="","",IF(V327=0,"CONCLUÍDO",IF(D327&lt;corte,"HISTÓRICO",IF(OR(AND(ISNUMBER(R327),R327&lt;TODAY()),AND(OR(N327="PENDENTE",N327="PARCIAL"),D327&lt;TODAY()-1)),"CRÍTICO",IF(OR(AND(P327&lt;&gt;"",S327=""),AND(N327="REALIZADO",M327="PENDENTE"),AND(ISNUMBER(R327),R327=TODAY())),"ATENÇÃO",IF(N(K327)=0,"PENDENTE","EM ANDAMENTO"))))))</f>
        <v/>
      </c>
      <c r="C327" s="3">
        <f>IF(D327="","",IF(V327=0,"🟢 OK",IF(D327&lt;corte,"⚪ HISTÓRICO (sem baixa)",IF(AND(ISNUMBER(R327),R327&lt;TODAY()),"🔴 PRAZO VENCIDO",IF(AND(OR(N327="PENDENTE",N327="PARCIAL"),D327&lt;TODAY()-1),"🔴 EMBARQUE ATRASADO",IF(AND(N327="REALIZADO",M327="PENDENTE"),"🟡 EMBARCADO SEM FATURAR",IF(AND(P327&lt;&gt;"",S327="",OR(Q327="",R327="")),"🟡 PENDÊNCIA SEM RESPONSÁVEL/PRAZO",IF(AND(ISNUMBER(R327),R327=TODAY()),"🟡 VENCE HOJE",IF(AND(P327&lt;&gt;"",S327=""),"🟡 PENDÊNCIA ABERTA",IF(AND(N(J327)&gt;0,N(K327)&lt;J327),"🟡 FALTA EXECUTAR",IF(OR(M327="PENDENTE",M327="PARCIAL"),"🟡 FATURAMENTO PENDENTE","🟡 EMBARQUE PENDENTE")))))))))))</f>
        <v/>
      </c>
      <c r="D327" s="4" t="n">
        <v>46245</v>
      </c>
      <c r="E327" s="5" t="inlineStr">
        <is>
          <t>D</t>
        </is>
      </c>
      <c r="F327" s="5" t="inlineStr">
        <is>
          <t>VINICIUS</t>
        </is>
      </c>
      <c r="G327" s="5" t="inlineStr">
        <is>
          <t>FOB</t>
        </is>
      </c>
      <c r="H327" s="5" t="inlineStr">
        <is>
          <t>DISPAN</t>
        </is>
      </c>
      <c r="I327" s="5" t="inlineStr">
        <is>
          <t>TON</t>
        </is>
      </c>
      <c r="J327" s="6" t="n">
        <v>22.003</v>
      </c>
      <c r="K327" s="6" t="n">
        <v>22.003</v>
      </c>
      <c r="L327" s="7">
        <f>IF(OR(D327="",N(J327)=0),"",MIN(1,N(K327)/J327))</f>
        <v/>
      </c>
      <c r="M327" s="5" t="inlineStr">
        <is>
          <t>PENDENTE</t>
        </is>
      </c>
      <c r="N327" s="5" t="inlineStr">
        <is>
          <t>PENDENTE</t>
        </is>
      </c>
      <c r="O327" s="5" t="inlineStr">
        <is>
          <t>PRÓPRIO</t>
        </is>
      </c>
      <c r="P327" s="5" t="inlineStr">
        <is>
          <t>SEPARADO FALTA CONFERENCIA E FATURAMENTO</t>
        </is>
      </c>
      <c r="Q327" s="5" t="n"/>
      <c r="R327" s="4" t="n"/>
      <c r="S327" s="4" t="n"/>
      <c r="T327" s="5" t="inlineStr">
        <is>
          <t>SEPARADO FALTA CONFERENCIA E FATURAMENTO</t>
        </is>
      </c>
      <c r="U327" s="8">
        <f>IF(AND(V327=1,D327&lt;&gt;""),IF(D327&gt;=corte,TODAY()-D327,""),"")</f>
        <v/>
      </c>
      <c r="V327" s="8">
        <f>IF(D327="",0,IF(OR(AND(P327&lt;&gt;"",S327=""),AND(N(J327)&gt;0,N(K327)&lt;J327),OR(M327="PENDENTE",M327="PARCIAL"),OR(N327="PENDENTE",N327="PARCIAL")),1,0))</f>
        <v/>
      </c>
      <c r="W327" s="8">
        <f>IF(AND(V327=1,D327&lt;&gt;""),IF(D327&gt;=corte,(B327="CRÍTICO")*1E9+(100000-D327)*10000+10000-ROW(),""),"")</f>
        <v/>
      </c>
      <c r="X327" s="8">
        <f>IF(AND(V327=1,D327=pas_data,E327=pas_turno),10000-ROW(),"")</f>
        <v/>
      </c>
    </row>
    <row r="328">
      <c r="A328" s="3">
        <f>IF(D328="","","TT-"&amp;TEXT(ROW()-1,"00000"))</f>
        <v/>
      </c>
      <c r="B328" s="3">
        <f>IF(D328="","",IF(V328=0,"CONCLUÍDO",IF(D328&lt;corte,"HISTÓRICO",IF(OR(AND(ISNUMBER(R328),R328&lt;TODAY()),AND(OR(N328="PENDENTE",N328="PARCIAL"),D328&lt;TODAY()-1)),"CRÍTICO",IF(OR(AND(P328&lt;&gt;"",S328=""),AND(N328="REALIZADO",M328="PENDENTE"),AND(ISNUMBER(R328),R328=TODAY())),"ATENÇÃO",IF(N(K328)=0,"PENDENTE","EM ANDAMENTO"))))))</f>
        <v/>
      </c>
      <c r="C328" s="3">
        <f>IF(D328="","",IF(V328=0,"🟢 OK",IF(D328&lt;corte,"⚪ HISTÓRICO (sem baixa)",IF(AND(ISNUMBER(R328),R328&lt;TODAY()),"🔴 PRAZO VENCIDO",IF(AND(OR(N328="PENDENTE",N328="PARCIAL"),D328&lt;TODAY()-1),"🔴 EMBARQUE ATRASADO",IF(AND(N328="REALIZADO",M328="PENDENTE"),"🟡 EMBARCADO SEM FATURAR",IF(AND(P328&lt;&gt;"",S328="",OR(Q328="",R328="")),"🟡 PENDÊNCIA SEM RESPONSÁVEL/PRAZO",IF(AND(ISNUMBER(R328),R328=TODAY()),"🟡 VENCE HOJE",IF(AND(P328&lt;&gt;"",S328=""),"🟡 PENDÊNCIA ABERTA",IF(AND(N(J328)&gt;0,N(K328)&lt;J328),"🟡 FALTA EXECUTAR",IF(OR(M328="PENDENTE",M328="PARCIAL"),"🟡 FATURAMENTO PENDENTE","🟡 EMBARQUE PENDENTE")))))))))))</f>
        <v/>
      </c>
      <c r="D328" s="4" t="n">
        <v>46245</v>
      </c>
      <c r="E328" s="5" t="inlineStr">
        <is>
          <t>D</t>
        </is>
      </c>
      <c r="F328" s="5" t="inlineStr">
        <is>
          <t>VINICIUS</t>
        </is>
      </c>
      <c r="G328" s="5" t="inlineStr">
        <is>
          <t>GM</t>
        </is>
      </c>
      <c r="H328" s="5" t="inlineStr">
        <is>
          <t>MG/ NORDESTE</t>
        </is>
      </c>
      <c r="I328" s="5" t="inlineStr">
        <is>
          <t>TON</t>
        </is>
      </c>
      <c r="J328" s="6" t="n">
        <v>26.466</v>
      </c>
      <c r="K328" s="6" t="n">
        <v>0.25</v>
      </c>
      <c r="L328" s="7">
        <f>IF(OR(D328="",N(J328)=0),"",MIN(1,N(K328)/J328))</f>
        <v/>
      </c>
      <c r="M328" s="5" t="inlineStr">
        <is>
          <t>PENDENTE</t>
        </is>
      </c>
      <c r="N328" s="5" t="inlineStr">
        <is>
          <t>PENDENTE</t>
        </is>
      </c>
      <c r="O328" s="5" t="inlineStr">
        <is>
          <t>BORA</t>
        </is>
      </c>
      <c r="P328" s="5" t="inlineStr">
        <is>
          <t>NORDESTE SEPARAÇÃO INICIADA FALTA FINALIZAR/ MG OTS GERADAS FALTA INICIAR A SEPARAÇAO</t>
        </is>
      </c>
      <c r="Q328" s="5" t="n"/>
      <c r="R328" s="4" t="n"/>
      <c r="S328" s="4" t="n"/>
      <c r="T328" s="5" t="inlineStr">
        <is>
          <t>NORDESTE SEPARAÇÃO INICIADA FALTA FINALIZAR/ MG OTS GERADAS FALTA INICIAR A SEPARAÇAO</t>
        </is>
      </c>
      <c r="U328" s="8">
        <f>IF(AND(V328=1,D328&lt;&gt;""),IF(D328&gt;=corte,TODAY()-D328,""),"")</f>
        <v/>
      </c>
      <c r="V328" s="8">
        <f>IF(D328="",0,IF(OR(AND(P328&lt;&gt;"",S328=""),AND(N(J328)&gt;0,N(K328)&lt;J328),OR(M328="PENDENTE",M328="PARCIAL"),OR(N328="PENDENTE",N328="PARCIAL")),1,0))</f>
        <v/>
      </c>
      <c r="W328" s="8">
        <f>IF(AND(V328=1,D328&lt;&gt;""),IF(D328&gt;=corte,(B328="CRÍTICO")*1E9+(100000-D328)*10000+10000-ROW(),""),"")</f>
        <v/>
      </c>
      <c r="X328" s="8">
        <f>IF(AND(V328=1,D328=pas_data,E328=pas_turno),10000-ROW(),"")</f>
        <v/>
      </c>
    </row>
    <row r="329">
      <c r="A329" s="3">
        <f>IF(D329="","","TT-"&amp;TEXT(ROW()-1,"00000"))</f>
        <v/>
      </c>
      <c r="B329" s="3">
        <f>IF(D329="","",IF(V329=0,"CONCLUÍDO",IF(D329&lt;corte,"HISTÓRICO",IF(OR(AND(ISNUMBER(R329),R329&lt;TODAY()),AND(OR(N329="PENDENTE",N329="PARCIAL"),D329&lt;TODAY()-1)),"CRÍTICO",IF(OR(AND(P329&lt;&gt;"",S329=""),AND(N329="REALIZADO",M329="PENDENTE"),AND(ISNUMBER(R329),R329=TODAY())),"ATENÇÃO",IF(N(K329)=0,"PENDENTE","EM ANDAMENTO"))))))</f>
        <v/>
      </c>
      <c r="C329" s="3">
        <f>IF(D329="","",IF(V329=0,"🟢 OK",IF(D329&lt;corte,"⚪ HISTÓRICO (sem baixa)",IF(AND(ISNUMBER(R329),R329&lt;TODAY()),"🔴 PRAZO VENCIDO",IF(AND(OR(N329="PENDENTE",N329="PARCIAL"),D329&lt;TODAY()-1),"🔴 EMBARQUE ATRASADO",IF(AND(N329="REALIZADO",M329="PENDENTE"),"🟡 EMBARCADO SEM FATURAR",IF(AND(P329&lt;&gt;"",S329="",OR(Q329="",R329="")),"🟡 PENDÊNCIA SEM RESPONSÁVEL/PRAZO",IF(AND(ISNUMBER(R329),R329=TODAY()),"🟡 VENCE HOJE",IF(AND(P329&lt;&gt;"",S329=""),"🟡 PENDÊNCIA ABERTA",IF(AND(N(J329)&gt;0,N(K329)&lt;J329),"🟡 FALTA EXECUTAR",IF(OR(M329="PENDENTE",M329="PARCIAL"),"🟡 FATURAMENTO PENDENTE","🟡 EMBARQUE PENDENTE")))))))))))</f>
        <v/>
      </c>
      <c r="D329" s="4" t="n">
        <v>46245</v>
      </c>
      <c r="E329" s="5" t="inlineStr">
        <is>
          <t>D</t>
        </is>
      </c>
      <c r="F329" s="5" t="inlineStr">
        <is>
          <t>VINICIUS</t>
        </is>
      </c>
      <c r="G329" s="5" t="inlineStr">
        <is>
          <t>GM</t>
        </is>
      </c>
      <c r="H329" s="5" t="inlineStr">
        <is>
          <t>SP</t>
        </is>
      </c>
      <c r="I329" s="5" t="inlineStr">
        <is>
          <t>TON</t>
        </is>
      </c>
      <c r="J329" s="6" t="n">
        <v>3.5</v>
      </c>
      <c r="K329" s="6" t="n">
        <v>3.5</v>
      </c>
      <c r="L329" s="7">
        <f>IF(OR(D329="",N(J329)=0),"",MIN(1,N(K329)/J329))</f>
        <v/>
      </c>
      <c r="M329" s="5" t="n"/>
      <c r="N329" s="5" t="n"/>
      <c r="O329" s="5" t="inlineStr">
        <is>
          <t>SMARTLOG</t>
        </is>
      </c>
      <c r="P329" s="5" t="n"/>
      <c r="Q329" s="5" t="n"/>
      <c r="R329" s="4" t="n"/>
      <c r="S329" s="4" t="n"/>
      <c r="T329" s="5" t="inlineStr">
        <is>
          <t>[MIGRAÇÃO: programação original: AGENDA]</t>
        </is>
      </c>
      <c r="U329" s="8">
        <f>IF(AND(V329=1,D329&lt;&gt;""),IF(D329&gt;=corte,TODAY()-D329,""),"")</f>
        <v/>
      </c>
      <c r="V329" s="8">
        <f>IF(D329="",0,IF(OR(AND(P329&lt;&gt;"",S329=""),AND(N(J329)&gt;0,N(K329)&lt;J329),OR(M329="PENDENTE",M329="PARCIAL"),OR(N329="PENDENTE",N329="PARCIAL")),1,0))</f>
        <v/>
      </c>
      <c r="W329" s="8">
        <f>IF(AND(V329=1,D329&lt;&gt;""),IF(D329&gt;=corte,(B329="CRÍTICO")*1E9+(100000-D329)*10000+10000-ROW(),""),"")</f>
        <v/>
      </c>
      <c r="X329" s="8">
        <f>IF(AND(V329=1,D329=pas_data,E329=pas_turno),10000-ROW(),"")</f>
        <v/>
      </c>
    </row>
    <row r="330">
      <c r="A330" s="3">
        <f>IF(D330="","","TT-"&amp;TEXT(ROW()-1,"00000"))</f>
        <v/>
      </c>
      <c r="B330" s="3">
        <f>IF(D330="","",IF(V330=0,"CONCLUÍDO",IF(D330&lt;corte,"HISTÓRICO",IF(OR(AND(ISNUMBER(R330),R330&lt;TODAY()),AND(OR(N330="PENDENTE",N330="PARCIAL"),D330&lt;TODAY()-1)),"CRÍTICO",IF(OR(AND(P330&lt;&gt;"",S330=""),AND(N330="REALIZADO",M330="PENDENTE"),AND(ISNUMBER(R330),R330=TODAY())),"ATENÇÃO",IF(N(K330)=0,"PENDENTE","EM ANDAMENTO"))))))</f>
        <v/>
      </c>
      <c r="C330" s="3">
        <f>IF(D330="","",IF(V330=0,"🟢 OK",IF(D330&lt;corte,"⚪ HISTÓRICO (sem baixa)",IF(AND(ISNUMBER(R330),R330&lt;TODAY()),"🔴 PRAZO VENCIDO",IF(AND(OR(N330="PENDENTE",N330="PARCIAL"),D330&lt;TODAY()-1),"🔴 EMBARQUE ATRASADO",IF(AND(N330="REALIZADO",M330="PENDENTE"),"🟡 EMBARCADO SEM FATURAR",IF(AND(P330&lt;&gt;"",S330="",OR(Q330="",R330="")),"🟡 PENDÊNCIA SEM RESPONSÁVEL/PRAZO",IF(AND(ISNUMBER(R330),R330=TODAY()),"🟡 VENCE HOJE",IF(AND(P330&lt;&gt;"",S330=""),"🟡 PENDÊNCIA ABERTA",IF(AND(N(J330)&gt;0,N(K330)&lt;J330),"🟡 FALTA EXECUTAR",IF(OR(M330="PENDENTE",M330="PARCIAL"),"🟡 FATURAMENTO PENDENTE","🟡 EMBARQUE PENDENTE")))))))))))</f>
        <v/>
      </c>
      <c r="D330" s="4" t="n">
        <v>46246</v>
      </c>
      <c r="E330" s="5" t="inlineStr">
        <is>
          <t>C</t>
        </is>
      </c>
      <c r="F330" s="5" t="inlineStr">
        <is>
          <t>ADIB</t>
        </is>
      </c>
      <c r="G330" s="5" t="inlineStr">
        <is>
          <t>GM</t>
        </is>
      </c>
      <c r="H330" s="5" t="inlineStr">
        <is>
          <t>NORDERSTE</t>
        </is>
      </c>
      <c r="I330" s="5" t="inlineStr">
        <is>
          <t>TON</t>
        </is>
      </c>
      <c r="J330" s="6" t="n">
        <v>7.605</v>
      </c>
      <c r="K330" s="6" t="n">
        <v>7.605</v>
      </c>
      <c r="L330" s="7">
        <f>IF(OR(D330="",N(J330)=0),"",MIN(1,N(K330)/J330))</f>
        <v/>
      </c>
      <c r="M330" s="5" t="inlineStr">
        <is>
          <t>FATURADO</t>
        </is>
      </c>
      <c r="N330" s="5" t="inlineStr">
        <is>
          <t>PENDENTE</t>
        </is>
      </c>
      <c r="O330" s="5" t="inlineStr">
        <is>
          <t>BORA</t>
        </is>
      </c>
      <c r="P330" s="5" t="n"/>
      <c r="Q330" s="5" t="n"/>
      <c r="R330" s="4" t="n"/>
      <c r="S330" s="4" t="n"/>
      <c r="T330" s="5" t="n"/>
      <c r="U330" s="8">
        <f>IF(AND(V330=1,D330&lt;&gt;""),IF(D330&gt;=corte,TODAY()-D330,""),"")</f>
        <v/>
      </c>
      <c r="V330" s="8">
        <f>IF(D330="",0,IF(OR(AND(P330&lt;&gt;"",S330=""),AND(N(J330)&gt;0,N(K330)&lt;J330),OR(M330="PENDENTE",M330="PARCIAL"),OR(N330="PENDENTE",N330="PARCIAL")),1,0))</f>
        <v/>
      </c>
      <c r="W330" s="8">
        <f>IF(AND(V330=1,D330&lt;&gt;""),IF(D330&gt;=corte,(B330="CRÍTICO")*1E9+(100000-D330)*10000+10000-ROW(),""),"")</f>
        <v/>
      </c>
      <c r="X330" s="8">
        <f>IF(AND(V330=1,D330=pas_data,E330=pas_turno),10000-ROW(),"")</f>
        <v/>
      </c>
    </row>
    <row r="331">
      <c r="A331" s="3">
        <f>IF(D331="","","TT-"&amp;TEXT(ROW()-1,"00000"))</f>
        <v/>
      </c>
      <c r="B331" s="3">
        <f>IF(D331="","",IF(V331=0,"CONCLUÍDO",IF(D331&lt;corte,"HISTÓRICO",IF(OR(AND(ISNUMBER(R331),R331&lt;TODAY()),AND(OR(N331="PENDENTE",N331="PARCIAL"),D331&lt;TODAY()-1)),"CRÍTICO",IF(OR(AND(P331&lt;&gt;"",S331=""),AND(N331="REALIZADO",M331="PENDENTE"),AND(ISNUMBER(R331),R331=TODAY())),"ATENÇÃO",IF(N(K331)=0,"PENDENTE","EM ANDAMENTO"))))))</f>
        <v/>
      </c>
      <c r="C331" s="3">
        <f>IF(D331="","",IF(V331=0,"🟢 OK",IF(D331&lt;corte,"⚪ HISTÓRICO (sem baixa)",IF(AND(ISNUMBER(R331),R331&lt;TODAY()),"🔴 PRAZO VENCIDO",IF(AND(OR(N331="PENDENTE",N331="PARCIAL"),D331&lt;TODAY()-1),"🔴 EMBARQUE ATRASADO",IF(AND(N331="REALIZADO",M331="PENDENTE"),"🟡 EMBARCADO SEM FATURAR",IF(AND(P331&lt;&gt;"",S331="",OR(Q331="",R331="")),"🟡 PENDÊNCIA SEM RESPONSÁVEL/PRAZO",IF(AND(ISNUMBER(R331),R331=TODAY()),"🟡 VENCE HOJE",IF(AND(P331&lt;&gt;"",S331=""),"🟡 PENDÊNCIA ABERTA",IF(AND(N(J331)&gt;0,N(K331)&lt;J331),"🟡 FALTA EXECUTAR",IF(OR(M331="PENDENTE",M331="PARCIAL"),"🟡 FATURAMENTO PENDENTE","🟡 EMBARQUE PENDENTE")))))))))))</f>
        <v/>
      </c>
      <c r="D331" s="4" t="n">
        <v>46246</v>
      </c>
      <c r="E331" s="5" t="inlineStr">
        <is>
          <t>C</t>
        </is>
      </c>
      <c r="F331" s="5" t="inlineStr">
        <is>
          <t>ADIB</t>
        </is>
      </c>
      <c r="G331" s="5" t="inlineStr">
        <is>
          <t>FOB</t>
        </is>
      </c>
      <c r="H331" s="5" t="inlineStr">
        <is>
          <t>CUNHAPAN /CASA PAN</t>
        </is>
      </c>
      <c r="I331" s="5" t="inlineStr">
        <is>
          <t>TON</t>
        </is>
      </c>
      <c r="J331" s="6" t="n">
        <v>24.963</v>
      </c>
      <c r="K331" s="6" t="n">
        <v>24.963</v>
      </c>
      <c r="L331" s="7">
        <f>IF(OR(D331="",N(J331)=0),"",MIN(1,N(K331)/J331))</f>
        <v/>
      </c>
      <c r="M331" s="5" t="inlineStr">
        <is>
          <t>PENDENTE</t>
        </is>
      </c>
      <c r="N331" s="5" t="inlineStr">
        <is>
          <t>PENDENTE</t>
        </is>
      </c>
      <c r="O331" s="5" t="inlineStr">
        <is>
          <t>PRÓPRIO</t>
        </is>
      </c>
      <c r="P331" s="5" t="inlineStr">
        <is>
          <t>AGUARDANDO CARRO</t>
        </is>
      </c>
      <c r="Q331" s="5" t="n"/>
      <c r="R331" s="4" t="n"/>
      <c r="S331" s="4" t="n"/>
      <c r="T331" s="5" t="inlineStr">
        <is>
          <t>AGUARDANDO CARRO</t>
        </is>
      </c>
      <c r="U331" s="8">
        <f>IF(AND(V331=1,D331&lt;&gt;""),IF(D331&gt;=corte,TODAY()-D331,""),"")</f>
        <v/>
      </c>
      <c r="V331" s="8">
        <f>IF(D331="",0,IF(OR(AND(P331&lt;&gt;"",S331=""),AND(N(J331)&gt;0,N(K331)&lt;J331),OR(M331="PENDENTE",M331="PARCIAL"),OR(N331="PENDENTE",N331="PARCIAL")),1,0))</f>
        <v/>
      </c>
      <c r="W331" s="8">
        <f>IF(AND(V331=1,D331&lt;&gt;""),IF(D331&gt;=corte,(B331="CRÍTICO")*1E9+(100000-D331)*10000+10000-ROW(),""),"")</f>
        <v/>
      </c>
      <c r="X331" s="8">
        <f>IF(AND(V331=1,D331=pas_data,E331=pas_turno),10000-ROW(),"")</f>
        <v/>
      </c>
    </row>
    <row r="332">
      <c r="A332" s="3">
        <f>IF(D332="","","TT-"&amp;TEXT(ROW()-1,"00000"))</f>
        <v/>
      </c>
      <c r="B332" s="3">
        <f>IF(D332="","",IF(V332=0,"CONCLUÍDO",IF(D332&lt;corte,"HISTÓRICO",IF(OR(AND(ISNUMBER(R332),R332&lt;TODAY()),AND(OR(N332="PENDENTE",N332="PARCIAL"),D332&lt;TODAY()-1)),"CRÍTICO",IF(OR(AND(P332&lt;&gt;"",S332=""),AND(N332="REALIZADO",M332="PENDENTE"),AND(ISNUMBER(R332),R332=TODAY())),"ATENÇÃO",IF(N(K332)=0,"PENDENTE","EM ANDAMENTO"))))))</f>
        <v/>
      </c>
      <c r="C332" s="3">
        <f>IF(D332="","",IF(V332=0,"🟢 OK",IF(D332&lt;corte,"⚪ HISTÓRICO (sem baixa)",IF(AND(ISNUMBER(R332),R332&lt;TODAY()),"🔴 PRAZO VENCIDO",IF(AND(OR(N332="PENDENTE",N332="PARCIAL"),D332&lt;TODAY()-1),"🔴 EMBARQUE ATRASADO",IF(AND(N332="REALIZADO",M332="PENDENTE"),"🟡 EMBARCADO SEM FATURAR",IF(AND(P332&lt;&gt;"",S332="",OR(Q332="",R332="")),"🟡 PENDÊNCIA SEM RESPONSÁVEL/PRAZO",IF(AND(ISNUMBER(R332),R332=TODAY()),"🟡 VENCE HOJE",IF(AND(P332&lt;&gt;"",S332=""),"🟡 PENDÊNCIA ABERTA",IF(AND(N(J332)&gt;0,N(K332)&lt;J332),"🟡 FALTA EXECUTAR",IF(OR(M332="PENDENTE",M332="PARCIAL"),"🟡 FATURAMENTO PENDENTE","🟡 EMBARQUE PENDENTE")))))))))))</f>
        <v/>
      </c>
      <c r="D332" s="4" t="n">
        <v>46246</v>
      </c>
      <c r="E332" s="5" t="inlineStr">
        <is>
          <t>C</t>
        </is>
      </c>
      <c r="F332" s="5" t="inlineStr">
        <is>
          <t>ADIB</t>
        </is>
      </c>
      <c r="G332" s="5" t="inlineStr">
        <is>
          <t>FOB</t>
        </is>
      </c>
      <c r="H332" s="5" t="inlineStr">
        <is>
          <t>DISPAN</t>
        </is>
      </c>
      <c r="I332" s="5" t="inlineStr">
        <is>
          <t>TON</t>
        </is>
      </c>
      <c r="J332" s="6" t="n">
        <v>22.003</v>
      </c>
      <c r="K332" s="6" t="n">
        <v>22.003</v>
      </c>
      <c r="L332" s="7">
        <f>IF(OR(D332="",N(J332)=0),"",MIN(1,N(K332)/J332))</f>
        <v/>
      </c>
      <c r="M332" s="5" t="inlineStr">
        <is>
          <t>FATURADO</t>
        </is>
      </c>
      <c r="N332" s="5" t="inlineStr">
        <is>
          <t>REALIZADO</t>
        </is>
      </c>
      <c r="O332" s="5" t="inlineStr">
        <is>
          <t>PRÓPRIO</t>
        </is>
      </c>
      <c r="P332" s="5" t="n"/>
      <c r="Q332" s="5" t="n"/>
      <c r="R332" s="4" t="n"/>
      <c r="S332" s="4" t="n"/>
      <c r="T332" s="5" t="n"/>
      <c r="U332" s="8">
        <f>IF(AND(V332=1,D332&lt;&gt;""),IF(D332&gt;=corte,TODAY()-D332,""),"")</f>
        <v/>
      </c>
      <c r="V332" s="8">
        <f>IF(D332="",0,IF(OR(AND(P332&lt;&gt;"",S332=""),AND(N(J332)&gt;0,N(K332)&lt;J332),OR(M332="PENDENTE",M332="PARCIAL"),OR(N332="PENDENTE",N332="PARCIAL")),1,0))</f>
        <v/>
      </c>
      <c r="W332" s="8">
        <f>IF(AND(V332=1,D332&lt;&gt;""),IF(D332&gt;=corte,(B332="CRÍTICO")*1E9+(100000-D332)*10000+10000-ROW(),""),"")</f>
        <v/>
      </c>
      <c r="X332" s="8">
        <f>IF(AND(V332=1,D332=pas_data,E332=pas_turno),10000-ROW(),"")</f>
        <v/>
      </c>
    </row>
    <row r="333">
      <c r="A333" s="3">
        <f>IF(D333="","","TT-"&amp;TEXT(ROW()-1,"00000"))</f>
        <v/>
      </c>
      <c r="B333" s="3">
        <f>IF(D333="","",IF(V333=0,"CONCLUÍDO",IF(D333&lt;corte,"HISTÓRICO",IF(OR(AND(ISNUMBER(R333),R333&lt;TODAY()),AND(OR(N333="PENDENTE",N333="PARCIAL"),D333&lt;TODAY()-1)),"CRÍTICO",IF(OR(AND(P333&lt;&gt;"",S333=""),AND(N333="REALIZADO",M333="PENDENTE"),AND(ISNUMBER(R333),R333=TODAY())),"ATENÇÃO",IF(N(K333)=0,"PENDENTE","EM ANDAMENTO"))))))</f>
        <v/>
      </c>
      <c r="C333" s="3">
        <f>IF(D333="","",IF(V333=0,"🟢 OK",IF(D333&lt;corte,"⚪ HISTÓRICO (sem baixa)",IF(AND(ISNUMBER(R333),R333&lt;TODAY()),"🔴 PRAZO VENCIDO",IF(AND(OR(N333="PENDENTE",N333="PARCIAL"),D333&lt;TODAY()-1),"🔴 EMBARQUE ATRASADO",IF(AND(N333="REALIZADO",M333="PENDENTE"),"🟡 EMBARCADO SEM FATURAR",IF(AND(P333&lt;&gt;"",S333="",OR(Q333="",R333="")),"🟡 PENDÊNCIA SEM RESPONSÁVEL/PRAZO",IF(AND(ISNUMBER(R333),R333=TODAY()),"🟡 VENCE HOJE",IF(AND(P333&lt;&gt;"",S333=""),"🟡 PENDÊNCIA ABERTA",IF(AND(N(J333)&gt;0,N(K333)&lt;J333),"🟡 FALTA EXECUTAR",IF(OR(M333="PENDENTE",M333="PARCIAL"),"🟡 FATURAMENTO PENDENTE","🟡 EMBARQUE PENDENTE")))))))))))</f>
        <v/>
      </c>
      <c r="D333" s="4" t="n">
        <v>46246</v>
      </c>
      <c r="E333" s="5" t="inlineStr">
        <is>
          <t>C</t>
        </is>
      </c>
      <c r="F333" s="5" t="inlineStr">
        <is>
          <t>ADIB</t>
        </is>
      </c>
      <c r="G333" s="5" t="inlineStr">
        <is>
          <t>GM</t>
        </is>
      </c>
      <c r="H333" s="5" t="inlineStr">
        <is>
          <t>SMARTLOG AGENDADOS</t>
        </is>
      </c>
      <c r="I333" s="5" t="inlineStr">
        <is>
          <t>TON</t>
        </is>
      </c>
      <c r="J333" s="6" t="n">
        <v>6.78</v>
      </c>
      <c r="K333" s="6" t="n">
        <v>6.78</v>
      </c>
      <c r="L333" s="7">
        <f>IF(OR(D333="",N(J333)=0),"",MIN(1,N(K333)/J333))</f>
        <v/>
      </c>
      <c r="M333" s="5" t="inlineStr">
        <is>
          <t>PARCIAL</t>
        </is>
      </c>
      <c r="N333" s="5" t="inlineStr">
        <is>
          <t>PENDENTE</t>
        </is>
      </c>
      <c r="O333" s="5" t="inlineStr">
        <is>
          <t>SMARTLOG</t>
        </is>
      </c>
      <c r="P333" s="5" t="n"/>
      <c r="Q333" s="5" t="n"/>
      <c r="R333" s="4" t="n"/>
      <c r="S333" s="4" t="n"/>
      <c r="T333" s="5" t="n"/>
      <c r="U333" s="8">
        <f>IF(AND(V333=1,D333&lt;&gt;""),IF(D333&gt;=corte,TODAY()-D333,""),"")</f>
        <v/>
      </c>
      <c r="V333" s="8">
        <f>IF(D333="",0,IF(OR(AND(P333&lt;&gt;"",S333=""),AND(N(J333)&gt;0,N(K333)&lt;J333),OR(M333="PENDENTE",M333="PARCIAL"),OR(N333="PENDENTE",N333="PARCIAL")),1,0))</f>
        <v/>
      </c>
      <c r="W333" s="8">
        <f>IF(AND(V333=1,D333&lt;&gt;""),IF(D333&gt;=corte,(B333="CRÍTICO")*1E9+(100000-D333)*10000+10000-ROW(),""),"")</f>
        <v/>
      </c>
      <c r="X333" s="8">
        <f>IF(AND(V333=1,D333=pas_data,E333=pas_turno),10000-ROW(),"")</f>
        <v/>
      </c>
    </row>
    <row r="334">
      <c r="A334" s="3">
        <f>IF(D334="","","TT-"&amp;TEXT(ROW()-1,"00000"))</f>
        <v/>
      </c>
      <c r="B334" s="3">
        <f>IF(D334="","",IF(V334=0,"CONCLUÍDO",IF(D334&lt;corte,"HISTÓRICO",IF(OR(AND(ISNUMBER(R334),R334&lt;TODAY()),AND(OR(N334="PENDENTE",N334="PARCIAL"),D334&lt;TODAY()-1)),"CRÍTICO",IF(OR(AND(P334&lt;&gt;"",S334=""),AND(N334="REALIZADO",M334="PENDENTE"),AND(ISNUMBER(R334),R334=TODAY())),"ATENÇÃO",IF(N(K334)=0,"PENDENTE","EM ANDAMENTO"))))))</f>
        <v/>
      </c>
      <c r="C334" s="3">
        <f>IF(D334="","",IF(V334=0,"🟢 OK",IF(D334&lt;corte,"⚪ HISTÓRICO (sem baixa)",IF(AND(ISNUMBER(R334),R334&lt;TODAY()),"🔴 PRAZO VENCIDO",IF(AND(OR(N334="PENDENTE",N334="PARCIAL"),D334&lt;TODAY()-1),"🔴 EMBARQUE ATRASADO",IF(AND(N334="REALIZADO",M334="PENDENTE"),"🟡 EMBARCADO SEM FATURAR",IF(AND(P334&lt;&gt;"",S334="",OR(Q334="",R334="")),"🟡 PENDÊNCIA SEM RESPONSÁVEL/PRAZO",IF(AND(ISNUMBER(R334),R334=TODAY()),"🟡 VENCE HOJE",IF(AND(P334&lt;&gt;"",S334=""),"🟡 PENDÊNCIA ABERTA",IF(AND(N(J334)&gt;0,N(K334)&lt;J334),"🟡 FALTA EXECUTAR",IF(OR(M334="PENDENTE",M334="PARCIAL"),"🟡 FATURAMENTO PENDENTE","🟡 EMBARQUE PENDENTE")))))))))))</f>
        <v/>
      </c>
      <c r="D334" s="4" t="n">
        <v>46246</v>
      </c>
      <c r="E334" s="5" t="inlineStr">
        <is>
          <t>C</t>
        </is>
      </c>
      <c r="F334" s="5" t="inlineStr">
        <is>
          <t>ADIB</t>
        </is>
      </c>
      <c r="G334" s="5" t="inlineStr">
        <is>
          <t>FM</t>
        </is>
      </c>
      <c r="H334" s="5" t="inlineStr">
        <is>
          <t>TOC MIX</t>
        </is>
      </c>
      <c r="I334" s="5" t="inlineStr">
        <is>
          <t>TON</t>
        </is>
      </c>
      <c r="J334" s="6" t="n">
        <v>26</v>
      </c>
      <c r="K334" s="6" t="n">
        <v>26</v>
      </c>
      <c r="L334" s="7">
        <f>IF(OR(D334="",N(J334)=0),"",MIN(1,N(K334)/J334))</f>
        <v/>
      </c>
      <c r="M334" s="5" t="inlineStr">
        <is>
          <t>FATURADO</t>
        </is>
      </c>
      <c r="N334" s="5" t="inlineStr">
        <is>
          <t>PENDENTE</t>
        </is>
      </c>
      <c r="O334" s="5" t="inlineStr">
        <is>
          <t>SPEEDYLOG</t>
        </is>
      </c>
      <c r="P334" s="5" t="inlineStr">
        <is>
          <t>AGUARDANDO CARRO</t>
        </is>
      </c>
      <c r="Q334" s="5" t="n"/>
      <c r="R334" s="4" t="n"/>
      <c r="S334" s="4" t="n"/>
      <c r="T334" s="5" t="inlineStr">
        <is>
          <t>AGUARDANDO CARRO</t>
        </is>
      </c>
      <c r="U334" s="8">
        <f>IF(AND(V334=1,D334&lt;&gt;""),IF(D334&gt;=corte,TODAY()-D334,""),"")</f>
        <v/>
      </c>
      <c r="V334" s="8">
        <f>IF(D334="",0,IF(OR(AND(P334&lt;&gt;"",S334=""),AND(N(J334)&gt;0,N(K334)&lt;J334),OR(M334="PENDENTE",M334="PARCIAL"),OR(N334="PENDENTE",N334="PARCIAL")),1,0))</f>
        <v/>
      </c>
      <c r="W334" s="8">
        <f>IF(AND(V334=1,D334&lt;&gt;""),IF(D334&gt;=corte,(B334="CRÍTICO")*1E9+(100000-D334)*10000+10000-ROW(),""),"")</f>
        <v/>
      </c>
      <c r="X334" s="8">
        <f>IF(AND(V334=1,D334=pas_data,E334=pas_turno),10000-ROW(),"")</f>
        <v/>
      </c>
    </row>
    <row r="335">
      <c r="A335" s="3">
        <f>IF(D335="","","TT-"&amp;TEXT(ROW()-1,"00000"))</f>
        <v/>
      </c>
      <c r="B335" s="3">
        <f>IF(D335="","",IF(V335=0,"CONCLUÍDO",IF(D335&lt;corte,"HISTÓRICO",IF(OR(AND(ISNUMBER(R335),R335&lt;TODAY()),AND(OR(N335="PENDENTE",N335="PARCIAL"),D335&lt;TODAY()-1)),"CRÍTICO",IF(OR(AND(P335&lt;&gt;"",S335=""),AND(N335="REALIZADO",M335="PENDENTE"),AND(ISNUMBER(R335),R335=TODAY())),"ATENÇÃO",IF(N(K335)=0,"PENDENTE","EM ANDAMENTO"))))))</f>
        <v/>
      </c>
      <c r="C335" s="3">
        <f>IF(D335="","",IF(V335=0,"🟢 OK",IF(D335&lt;corte,"⚪ HISTÓRICO (sem baixa)",IF(AND(ISNUMBER(R335),R335&lt;TODAY()),"🔴 PRAZO VENCIDO",IF(AND(OR(N335="PENDENTE",N335="PARCIAL"),D335&lt;TODAY()-1),"🔴 EMBARQUE ATRASADO",IF(AND(N335="REALIZADO",M335="PENDENTE"),"🟡 EMBARCADO SEM FATURAR",IF(AND(P335&lt;&gt;"",S335="",OR(Q335="",R335="")),"🟡 PENDÊNCIA SEM RESPONSÁVEL/PRAZO",IF(AND(ISNUMBER(R335),R335=TODAY()),"🟡 VENCE HOJE",IF(AND(P335&lt;&gt;"",S335=""),"🟡 PENDÊNCIA ABERTA",IF(AND(N(J335)&gt;0,N(K335)&lt;J335),"🟡 FALTA EXECUTAR",IF(OR(M335="PENDENTE",M335="PARCIAL"),"🟡 FATURAMENTO PENDENTE","🟡 EMBARQUE PENDENTE")))))))))))</f>
        <v/>
      </c>
      <c r="D335" s="4" t="n">
        <v>46246</v>
      </c>
      <c r="E335" s="5" t="inlineStr">
        <is>
          <t>C</t>
        </is>
      </c>
      <c r="F335" s="5" t="inlineStr">
        <is>
          <t>ADIB</t>
        </is>
      </c>
      <c r="G335" s="5" t="inlineStr">
        <is>
          <t>FM</t>
        </is>
      </c>
      <c r="H335" s="5" t="inlineStr">
        <is>
          <t>PANDURATA</t>
        </is>
      </c>
      <c r="I335" s="5" t="inlineStr">
        <is>
          <t>TON</t>
        </is>
      </c>
      <c r="J335" s="6" t="n">
        <v>28.054</v>
      </c>
      <c r="K335" s="6" t="n">
        <v>28.054</v>
      </c>
      <c r="L335" s="7">
        <f>IF(OR(D335="",N(J335)=0),"",MIN(1,N(K335)/J335))</f>
        <v/>
      </c>
      <c r="M335" s="5" t="inlineStr">
        <is>
          <t>FATURADO</t>
        </is>
      </c>
      <c r="N335" s="5" t="inlineStr">
        <is>
          <t>REALIZADO</t>
        </is>
      </c>
      <c r="O335" s="5" t="inlineStr">
        <is>
          <t>SPEEDYLOG</t>
        </is>
      </c>
      <c r="P335" s="5" t="n"/>
      <c r="Q335" s="5" t="n"/>
      <c r="R335" s="4" t="n"/>
      <c r="S335" s="4" t="n"/>
      <c r="T335" s="5" t="inlineStr">
        <is>
          <t>CARREGADO E LIBERADO</t>
        </is>
      </c>
      <c r="U335" s="8">
        <f>IF(AND(V335=1,D335&lt;&gt;""),IF(D335&gt;=corte,TODAY()-D335,""),"")</f>
        <v/>
      </c>
      <c r="V335" s="8">
        <f>IF(D335="",0,IF(OR(AND(P335&lt;&gt;"",S335=""),AND(N(J335)&gt;0,N(K335)&lt;J335),OR(M335="PENDENTE",M335="PARCIAL"),OR(N335="PENDENTE",N335="PARCIAL")),1,0))</f>
        <v/>
      </c>
      <c r="W335" s="8">
        <f>IF(AND(V335=1,D335&lt;&gt;""),IF(D335&gt;=corte,(B335="CRÍTICO")*1E9+(100000-D335)*10000+10000-ROW(),""),"")</f>
        <v/>
      </c>
      <c r="X335" s="8">
        <f>IF(AND(V335=1,D335=pas_data,E335=pas_turno),10000-ROW(),"")</f>
        <v/>
      </c>
    </row>
    <row r="336">
      <c r="A336" s="3">
        <f>IF(D336="","","TT-"&amp;TEXT(ROW()-1,"00000"))</f>
        <v/>
      </c>
      <c r="B336" s="3">
        <f>IF(D336="","",IF(V336=0,"CONCLUÍDO",IF(D336&lt;corte,"HISTÓRICO",IF(OR(AND(ISNUMBER(R336),R336&lt;TODAY()),AND(OR(N336="PENDENTE",N336="PARCIAL"),D336&lt;TODAY()-1)),"CRÍTICO",IF(OR(AND(P336&lt;&gt;"",S336=""),AND(N336="REALIZADO",M336="PENDENTE"),AND(ISNUMBER(R336),R336=TODAY())),"ATENÇÃO",IF(N(K336)=0,"PENDENTE","EM ANDAMENTO"))))))</f>
        <v/>
      </c>
      <c r="C336" s="3">
        <f>IF(D336="","",IF(V336=0,"🟢 OK",IF(D336&lt;corte,"⚪ HISTÓRICO (sem baixa)",IF(AND(ISNUMBER(R336),R336&lt;TODAY()),"🔴 PRAZO VENCIDO",IF(AND(OR(N336="PENDENTE",N336="PARCIAL"),D336&lt;TODAY()-1),"🔴 EMBARQUE ATRASADO",IF(AND(N336="REALIZADO",M336="PENDENTE"),"🟡 EMBARCADO SEM FATURAR",IF(AND(P336&lt;&gt;"",S336="",OR(Q336="",R336="")),"🟡 PENDÊNCIA SEM RESPONSÁVEL/PRAZO",IF(AND(ISNUMBER(R336),R336=TODAY()),"🟡 VENCE HOJE",IF(AND(P336&lt;&gt;"",S336=""),"🟡 PENDÊNCIA ABERTA",IF(AND(N(J336)&gt;0,N(K336)&lt;J336),"🟡 FALTA EXECUTAR",IF(OR(M336="PENDENTE",M336="PARCIAL"),"🟡 FATURAMENTO PENDENTE","🟡 EMBARQUE PENDENTE")))))))))))</f>
        <v/>
      </c>
      <c r="D336" s="4" t="n">
        <v>46246</v>
      </c>
      <c r="E336" s="5" t="inlineStr">
        <is>
          <t>C</t>
        </is>
      </c>
      <c r="F336" s="5" t="inlineStr">
        <is>
          <t>ADIB</t>
        </is>
      </c>
      <c r="G336" s="5" t="inlineStr">
        <is>
          <t>CACAU</t>
        </is>
      </c>
      <c r="H336" s="5" t="inlineStr">
        <is>
          <t>CACAU</t>
        </is>
      </c>
      <c r="I336" s="5" t="inlineStr">
        <is>
          <t>TON</t>
        </is>
      </c>
      <c r="J336" s="6" t="n">
        <v>7.644</v>
      </c>
      <c r="K336" s="6" t="n">
        <v>7.644</v>
      </c>
      <c r="L336" s="7">
        <f>IF(OR(D336="",N(J336)=0),"",MIN(1,N(K336)/J336))</f>
        <v/>
      </c>
      <c r="M336" s="5" t="inlineStr">
        <is>
          <t>FATURADO</t>
        </is>
      </c>
      <c r="N336" s="5" t="inlineStr">
        <is>
          <t>PENDENTE</t>
        </is>
      </c>
      <c r="O336" s="5" t="inlineStr">
        <is>
          <t>SMARTLOG</t>
        </is>
      </c>
      <c r="P336" s="5" t="n"/>
      <c r="Q336" s="5" t="n"/>
      <c r="R336" s="4" t="n"/>
      <c r="S336" s="4" t="n"/>
      <c r="T336" s="5" t="n"/>
      <c r="U336" s="8">
        <f>IF(AND(V336=1,D336&lt;&gt;""),IF(D336&gt;=corte,TODAY()-D336,""),"")</f>
        <v/>
      </c>
      <c r="V336" s="8">
        <f>IF(D336="",0,IF(OR(AND(P336&lt;&gt;"",S336=""),AND(N(J336)&gt;0,N(K336)&lt;J336),OR(M336="PENDENTE",M336="PARCIAL"),OR(N336="PENDENTE",N336="PARCIAL")),1,0))</f>
        <v/>
      </c>
      <c r="W336" s="8">
        <f>IF(AND(V336=1,D336&lt;&gt;""),IF(D336&gt;=corte,(B336="CRÍTICO")*1E9+(100000-D336)*10000+10000-ROW(),""),"")</f>
        <v/>
      </c>
      <c r="X336" s="8">
        <f>IF(AND(V336=1,D336=pas_data,E336=pas_turno),10000-ROW(),"")</f>
        <v/>
      </c>
    </row>
    <row r="337">
      <c r="A337" s="3">
        <f>IF(D337="","","TT-"&amp;TEXT(ROW()-1,"00000"))</f>
        <v/>
      </c>
      <c r="B337" s="3">
        <f>IF(D337="","",IF(V337=0,"CONCLUÍDO",IF(D337&lt;corte,"HISTÓRICO",IF(OR(AND(ISNUMBER(R337),R337&lt;TODAY()),AND(OR(N337="PENDENTE",N337="PARCIAL"),D337&lt;TODAY()-1)),"CRÍTICO",IF(OR(AND(P337&lt;&gt;"",S337=""),AND(N337="REALIZADO",M337="PENDENTE"),AND(ISNUMBER(R337),R337=TODAY())),"ATENÇÃO",IF(N(K337)=0,"PENDENTE","EM ANDAMENTO"))))))</f>
        <v/>
      </c>
      <c r="C337" s="3">
        <f>IF(D337="","",IF(V337=0,"🟢 OK",IF(D337&lt;corte,"⚪ HISTÓRICO (sem baixa)",IF(AND(ISNUMBER(R337),R337&lt;TODAY()),"🔴 PRAZO VENCIDO",IF(AND(OR(N337="PENDENTE",N337="PARCIAL"),D337&lt;TODAY()-1),"🔴 EMBARQUE ATRASADO",IF(AND(N337="REALIZADO",M337="PENDENTE"),"🟡 EMBARCADO SEM FATURAR",IF(AND(P337&lt;&gt;"",S337="",OR(Q337="",R337="")),"🟡 PENDÊNCIA SEM RESPONSÁVEL/PRAZO",IF(AND(ISNUMBER(R337),R337=TODAY()),"🟡 VENCE HOJE",IF(AND(P337&lt;&gt;"",S337=""),"🟡 PENDÊNCIA ABERTA",IF(AND(N(J337)&gt;0,N(K337)&lt;J337),"🟡 FALTA EXECUTAR",IF(OR(M337="PENDENTE",M337="PARCIAL"),"🟡 FATURAMENTO PENDENTE","🟡 EMBARQUE PENDENTE")))))))))))</f>
        <v/>
      </c>
      <c r="D337" s="4" t="n">
        <v>46246</v>
      </c>
      <c r="E337" s="5" t="inlineStr">
        <is>
          <t>C</t>
        </is>
      </c>
      <c r="F337" s="5" t="inlineStr">
        <is>
          <t>ADIB</t>
        </is>
      </c>
      <c r="G337" s="5" t="inlineStr">
        <is>
          <t>DESCARTE</t>
        </is>
      </c>
      <c r="H337" s="5" t="inlineStr">
        <is>
          <t>DESCARTE INTERAÇÃO</t>
        </is>
      </c>
      <c r="I337" s="5" t="inlineStr">
        <is>
          <t>PALETE</t>
        </is>
      </c>
      <c r="J337" s="6" t="n">
        <v>26</v>
      </c>
      <c r="K337" s="6" t="n">
        <v>26</v>
      </c>
      <c r="L337" s="7">
        <f>IF(OR(D337="",N(J337)=0),"",MIN(1,N(K337)/J337))</f>
        <v/>
      </c>
      <c r="M337" s="5" t="inlineStr">
        <is>
          <t>FATURADO</t>
        </is>
      </c>
      <c r="N337" s="5" t="inlineStr">
        <is>
          <t>REALIZADO</t>
        </is>
      </c>
      <c r="O337" s="5" t="inlineStr">
        <is>
          <t>PRÓPRIO</t>
        </is>
      </c>
      <c r="P337" s="5" t="n"/>
      <c r="Q337" s="5" t="n"/>
      <c r="R337" s="4" t="n"/>
      <c r="S337" s="4" t="n"/>
      <c r="T337" s="5" t="inlineStr">
        <is>
          <t>SEPARADO CARREGADO E LIBERADO</t>
        </is>
      </c>
      <c r="U337" s="8">
        <f>IF(AND(V337=1,D337&lt;&gt;""),IF(D337&gt;=corte,TODAY()-D337,""),"")</f>
        <v/>
      </c>
      <c r="V337" s="8">
        <f>IF(D337="",0,IF(OR(AND(P337&lt;&gt;"",S337=""),AND(N(J337)&gt;0,N(K337)&lt;J337),OR(M337="PENDENTE",M337="PARCIAL"),OR(N337="PENDENTE",N337="PARCIAL")),1,0))</f>
        <v/>
      </c>
      <c r="W337" s="8">
        <f>IF(AND(V337=1,D337&lt;&gt;""),IF(D337&gt;=corte,(B337="CRÍTICO")*1E9+(100000-D337)*10000+10000-ROW(),""),"")</f>
        <v/>
      </c>
      <c r="X337" s="8">
        <f>IF(AND(V337=1,D337=pas_data,E337=pas_turno),10000-ROW(),"")</f>
        <v/>
      </c>
    </row>
    <row r="338">
      <c r="A338" s="3">
        <f>IF(D338="","","TT-"&amp;TEXT(ROW()-1,"00000"))</f>
        <v/>
      </c>
      <c r="B338" s="3">
        <f>IF(D338="","",IF(V338=0,"CONCLUÍDO",IF(D338&lt;corte,"HISTÓRICO",IF(OR(AND(ISNUMBER(R338),R338&lt;TODAY()),AND(OR(N338="PENDENTE",N338="PARCIAL"),D338&lt;TODAY()-1)),"CRÍTICO",IF(OR(AND(P338&lt;&gt;"",S338=""),AND(N338="REALIZADO",M338="PENDENTE"),AND(ISNUMBER(R338),R338=TODAY())),"ATENÇÃO",IF(N(K338)=0,"PENDENTE","EM ANDAMENTO"))))))</f>
        <v/>
      </c>
      <c r="C338" s="3">
        <f>IF(D338="","",IF(V338=0,"🟢 OK",IF(D338&lt;corte,"⚪ HISTÓRICO (sem baixa)",IF(AND(ISNUMBER(R338),R338&lt;TODAY()),"🔴 PRAZO VENCIDO",IF(AND(OR(N338="PENDENTE",N338="PARCIAL"),D338&lt;TODAY()-1),"🔴 EMBARQUE ATRASADO",IF(AND(N338="REALIZADO",M338="PENDENTE"),"🟡 EMBARCADO SEM FATURAR",IF(AND(P338&lt;&gt;"",S338="",OR(Q338="",R338="")),"🟡 PENDÊNCIA SEM RESPONSÁVEL/PRAZO",IF(AND(ISNUMBER(R338),R338=TODAY()),"🟡 VENCE HOJE",IF(AND(P338&lt;&gt;"",S338=""),"🟡 PENDÊNCIA ABERTA",IF(AND(N(J338)&gt;0,N(K338)&lt;J338),"🟡 FALTA EXECUTAR",IF(OR(M338="PENDENTE",M338="PARCIAL"),"🟡 FATURAMENTO PENDENTE","🟡 EMBARQUE PENDENTE")))))))))))</f>
        <v/>
      </c>
      <c r="D338" s="4" t="n">
        <v>46246</v>
      </c>
      <c r="E338" s="5" t="inlineStr">
        <is>
          <t>D</t>
        </is>
      </c>
      <c r="F338" s="5" t="inlineStr">
        <is>
          <t>VINICIUS</t>
        </is>
      </c>
      <c r="G338" s="5" t="inlineStr">
        <is>
          <t>GM</t>
        </is>
      </c>
      <c r="H338" s="5" t="inlineStr">
        <is>
          <t>MG</t>
        </is>
      </c>
      <c r="I338" s="5" t="inlineStr">
        <is>
          <t>TON</t>
        </is>
      </c>
      <c r="J338" s="6" t="n">
        <v>17.618</v>
      </c>
      <c r="K338" s="6" t="n">
        <v>0</v>
      </c>
      <c r="L338" s="7">
        <f>IF(OR(D338="",N(J338)=0),"",MIN(1,N(K338)/J338))</f>
        <v/>
      </c>
      <c r="M338" s="5" t="inlineStr">
        <is>
          <t>PENDENTE</t>
        </is>
      </c>
      <c r="N338" s="5" t="inlineStr">
        <is>
          <t>PENDENTE</t>
        </is>
      </c>
      <c r="O338" s="5" t="inlineStr">
        <is>
          <t>BORA</t>
        </is>
      </c>
      <c r="P338" s="5" t="inlineStr">
        <is>
          <t>FALTA SEPARAR</t>
        </is>
      </c>
      <c r="Q338" s="5" t="n"/>
      <c r="R338" s="4" t="n"/>
      <c r="S338" s="4" t="n"/>
      <c r="T338" s="5" t="inlineStr">
        <is>
          <t>FALTA SEPARAR</t>
        </is>
      </c>
      <c r="U338" s="8">
        <f>IF(AND(V338=1,D338&lt;&gt;""),IF(D338&gt;=corte,TODAY()-D338,""),"")</f>
        <v/>
      </c>
      <c r="V338" s="8">
        <f>IF(D338="",0,IF(OR(AND(P338&lt;&gt;"",S338=""),AND(N(J338)&gt;0,N(K338)&lt;J338),OR(M338="PENDENTE",M338="PARCIAL"),OR(N338="PENDENTE",N338="PARCIAL")),1,0))</f>
        <v/>
      </c>
      <c r="W338" s="8">
        <f>IF(AND(V338=1,D338&lt;&gt;""),IF(D338&gt;=corte,(B338="CRÍTICO")*1E9+(100000-D338)*10000+10000-ROW(),""),"")</f>
        <v/>
      </c>
      <c r="X338" s="8">
        <f>IF(AND(V338=1,D338=pas_data,E338=pas_turno),10000-ROW(),"")</f>
        <v/>
      </c>
    </row>
    <row r="339">
      <c r="A339" s="3">
        <f>IF(D339="","","TT-"&amp;TEXT(ROW()-1,"00000"))</f>
        <v/>
      </c>
      <c r="B339" s="3">
        <f>IF(D339="","",IF(V339=0,"CONCLUÍDO",IF(D339&lt;corte,"HISTÓRICO",IF(OR(AND(ISNUMBER(R339),R339&lt;TODAY()),AND(OR(N339="PENDENTE",N339="PARCIAL"),D339&lt;TODAY()-1)),"CRÍTICO",IF(OR(AND(P339&lt;&gt;"",S339=""),AND(N339="REALIZADO",M339="PENDENTE"),AND(ISNUMBER(R339),R339=TODAY())),"ATENÇÃO",IF(N(K339)=0,"PENDENTE","EM ANDAMENTO"))))))</f>
        <v/>
      </c>
      <c r="C339" s="3">
        <f>IF(D339="","",IF(V339=0,"🟢 OK",IF(D339&lt;corte,"⚪ HISTÓRICO (sem baixa)",IF(AND(ISNUMBER(R339),R339&lt;TODAY()),"🔴 PRAZO VENCIDO",IF(AND(OR(N339="PENDENTE",N339="PARCIAL"),D339&lt;TODAY()-1),"🔴 EMBARQUE ATRASADO",IF(AND(N339="REALIZADO",M339="PENDENTE"),"🟡 EMBARCADO SEM FATURAR",IF(AND(P339&lt;&gt;"",S339="",OR(Q339="",R339="")),"🟡 PENDÊNCIA SEM RESPONSÁVEL/PRAZO",IF(AND(ISNUMBER(R339),R339=TODAY()),"🟡 VENCE HOJE",IF(AND(P339&lt;&gt;"",S339=""),"🟡 PENDÊNCIA ABERTA",IF(AND(N(J339)&gt;0,N(K339)&lt;J339),"🟡 FALTA EXECUTAR",IF(OR(M339="PENDENTE",M339="PARCIAL"),"🟡 FATURAMENTO PENDENTE","🟡 EMBARQUE PENDENTE")))))))))))</f>
        <v/>
      </c>
      <c r="D339" s="4" t="n">
        <v>46246</v>
      </c>
      <c r="E339" s="5" t="inlineStr">
        <is>
          <t>D</t>
        </is>
      </c>
      <c r="F339" s="5" t="inlineStr">
        <is>
          <t>VINICIUS</t>
        </is>
      </c>
      <c r="G339" s="5" t="inlineStr">
        <is>
          <t>FM</t>
        </is>
      </c>
      <c r="H339" s="5" t="inlineStr">
        <is>
          <t>PANDURATA/SIENA/ NESTLE</t>
        </is>
      </c>
      <c r="I339" s="5" t="inlineStr">
        <is>
          <t>TON</t>
        </is>
      </c>
      <c r="J339" s="6" t="n">
        <v>110.492</v>
      </c>
      <c r="K339" s="6" t="n">
        <v>110.492</v>
      </c>
      <c r="L339" s="7">
        <f>IF(OR(D339="",N(J339)=0),"",MIN(1,N(K339)/J339))</f>
        <v/>
      </c>
      <c r="M339" s="5" t="n"/>
      <c r="N339" s="5" t="n"/>
      <c r="O339" s="5" t="n"/>
      <c r="P339" s="5" t="n"/>
      <c r="Q339" s="5" t="n"/>
      <c r="R339" s="4" t="n"/>
      <c r="S339" s="4" t="n"/>
      <c r="T339" s="5" t="n"/>
      <c r="U339" s="8">
        <f>IF(AND(V339=1,D339&lt;&gt;""),IF(D339&gt;=corte,TODAY()-D339,""),"")</f>
        <v/>
      </c>
      <c r="V339" s="8">
        <f>IF(D339="",0,IF(OR(AND(P339&lt;&gt;"",S339=""),AND(N(J339)&gt;0,N(K339)&lt;J339),OR(M339="PENDENTE",M339="PARCIAL"),OR(N339="PENDENTE",N339="PARCIAL")),1,0))</f>
        <v/>
      </c>
      <c r="W339" s="8">
        <f>IF(AND(V339=1,D339&lt;&gt;""),IF(D339&gt;=corte,(B339="CRÍTICO")*1E9+(100000-D339)*10000+10000-ROW(),""),"")</f>
        <v/>
      </c>
      <c r="X339" s="8">
        <f>IF(AND(V339=1,D339=pas_data,E339=pas_turno),10000-ROW(),"")</f>
        <v/>
      </c>
    </row>
    <row r="340">
      <c r="A340" s="3">
        <f>IF(D340="","","TT-"&amp;TEXT(ROW()-1,"00000"))</f>
        <v/>
      </c>
      <c r="B340" s="3">
        <f>IF(D340="","",IF(V340=0,"CONCLUÍDO",IF(D340&lt;corte,"HISTÓRICO",IF(OR(AND(ISNUMBER(R340),R340&lt;TODAY()),AND(OR(N340="PENDENTE",N340="PARCIAL"),D340&lt;TODAY()-1)),"CRÍTICO",IF(OR(AND(P340&lt;&gt;"",S340=""),AND(N340="REALIZADO",M340="PENDENTE"),AND(ISNUMBER(R340),R340=TODAY())),"ATENÇÃO",IF(N(K340)=0,"PENDENTE","EM ANDAMENTO"))))))</f>
        <v/>
      </c>
      <c r="C340" s="3">
        <f>IF(D340="","",IF(V340=0,"🟢 OK",IF(D340&lt;corte,"⚪ HISTÓRICO (sem baixa)",IF(AND(ISNUMBER(R340),R340&lt;TODAY()),"🔴 PRAZO VENCIDO",IF(AND(OR(N340="PENDENTE",N340="PARCIAL"),D340&lt;TODAY()-1),"🔴 EMBARQUE ATRASADO",IF(AND(N340="REALIZADO",M340="PENDENTE"),"🟡 EMBARCADO SEM FATURAR",IF(AND(P340&lt;&gt;"",S340="",OR(Q340="",R340="")),"🟡 PENDÊNCIA SEM RESPONSÁVEL/PRAZO",IF(AND(ISNUMBER(R340),R340=TODAY()),"🟡 VENCE HOJE",IF(AND(P340&lt;&gt;"",S340=""),"🟡 PENDÊNCIA ABERTA",IF(AND(N(J340)&gt;0,N(K340)&lt;J340),"🟡 FALTA EXECUTAR",IF(OR(M340="PENDENTE",M340="PARCIAL"),"🟡 FATURAMENTO PENDENTE","🟡 EMBARQUE PENDENTE")))))))))))</f>
        <v/>
      </c>
      <c r="D340" s="4" t="n">
        <v>46246</v>
      </c>
      <c r="E340" s="5" t="inlineStr">
        <is>
          <t>D</t>
        </is>
      </c>
      <c r="F340" s="5" t="inlineStr">
        <is>
          <t>VINICIUS</t>
        </is>
      </c>
      <c r="G340" s="5" t="inlineStr">
        <is>
          <t>GM</t>
        </is>
      </c>
      <c r="H340" s="5" t="inlineStr">
        <is>
          <t>MG/ SMT / RIBERFOODS</t>
        </is>
      </c>
      <c r="I340" s="5" t="inlineStr">
        <is>
          <t>TON</t>
        </is>
      </c>
      <c r="J340" s="6" t="n">
        <v>24.107</v>
      </c>
      <c r="K340" s="6" t="n">
        <v>24.107</v>
      </c>
      <c r="L340" s="7">
        <f>IF(OR(D340="",N(J340)=0),"",MIN(1,N(K340)/J340))</f>
        <v/>
      </c>
      <c r="M340" s="5" t="n"/>
      <c r="N340" s="5" t="n"/>
      <c r="O340" s="5" t="n"/>
      <c r="P340" s="5" t="n"/>
      <c r="Q340" s="5" t="n"/>
      <c r="R340" s="4" t="n"/>
      <c r="S340" s="4" t="n"/>
      <c r="T340" s="5" t="n"/>
      <c r="U340" s="8">
        <f>IF(AND(V340=1,D340&lt;&gt;""),IF(D340&gt;=corte,TODAY()-D340,""),"")</f>
        <v/>
      </c>
      <c r="V340" s="8">
        <f>IF(D340="",0,IF(OR(AND(P340&lt;&gt;"",S340=""),AND(N(J340)&gt;0,N(K340)&lt;J340),OR(M340="PENDENTE",M340="PARCIAL"),OR(N340="PENDENTE",N340="PARCIAL")),1,0))</f>
        <v/>
      </c>
      <c r="W340" s="8">
        <f>IF(AND(V340=1,D340&lt;&gt;""),IF(D340&gt;=corte,(B340="CRÍTICO")*1E9+(100000-D340)*10000+10000-ROW(),""),"")</f>
        <v/>
      </c>
      <c r="X340" s="8">
        <f>IF(AND(V340=1,D340=pas_data,E340=pas_turno),10000-ROW(),"")</f>
        <v/>
      </c>
    </row>
    <row r="341">
      <c r="A341" s="3">
        <f>IF(D341="","","TT-"&amp;TEXT(ROW()-1,"00000"))</f>
        <v/>
      </c>
      <c r="B341" s="3">
        <f>IF(D341="","",IF(V341=0,"CONCLUÍDO",IF(D341&lt;corte,"HISTÓRICO",IF(OR(AND(ISNUMBER(R341),R341&lt;TODAY()),AND(OR(N341="PENDENTE",N341="PARCIAL"),D341&lt;TODAY()-1)),"CRÍTICO",IF(OR(AND(P341&lt;&gt;"",S341=""),AND(N341="REALIZADO",M341="PENDENTE"),AND(ISNUMBER(R341),R341=TODAY())),"ATENÇÃO",IF(N(K341)=0,"PENDENTE","EM ANDAMENTO"))))))</f>
        <v/>
      </c>
      <c r="C341" s="3">
        <f>IF(D341="","",IF(V341=0,"🟢 OK",IF(D341&lt;corte,"⚪ HISTÓRICO (sem baixa)",IF(AND(ISNUMBER(R341),R341&lt;TODAY()),"🔴 PRAZO VENCIDO",IF(AND(OR(N341="PENDENTE",N341="PARCIAL"),D341&lt;TODAY()-1),"🔴 EMBARQUE ATRASADO",IF(AND(N341="REALIZADO",M341="PENDENTE"),"🟡 EMBARCADO SEM FATURAR",IF(AND(P341&lt;&gt;"",S341="",OR(Q341="",R341="")),"🟡 PENDÊNCIA SEM RESPONSÁVEL/PRAZO",IF(AND(ISNUMBER(R341),R341=TODAY()),"🟡 VENCE HOJE",IF(AND(P341&lt;&gt;"",S341=""),"🟡 PENDÊNCIA ABERTA",IF(AND(N(J341)&gt;0,N(K341)&lt;J341),"🟡 FALTA EXECUTAR",IF(OR(M341="PENDENTE",M341="PARCIAL"),"🟡 FATURAMENTO PENDENTE","🟡 EMBARQUE PENDENTE")))))))))))</f>
        <v/>
      </c>
      <c r="D341" s="4" t="n">
        <v>46246</v>
      </c>
      <c r="E341" s="5" t="inlineStr">
        <is>
          <t>D</t>
        </is>
      </c>
      <c r="F341" s="5" t="inlineStr">
        <is>
          <t>VINICIUS</t>
        </is>
      </c>
      <c r="G341" s="5" t="inlineStr">
        <is>
          <t>FLOOR</t>
        </is>
      </c>
      <c r="H341" s="5" t="inlineStr">
        <is>
          <t>PRODUÇÃO</t>
        </is>
      </c>
      <c r="I341" s="5" t="inlineStr">
        <is>
          <t>PALETE</t>
        </is>
      </c>
      <c r="J341" s="6" t="n">
        <v>55</v>
      </c>
      <c r="K341" s="6" t="n">
        <v>55</v>
      </c>
      <c r="L341" s="7">
        <f>IF(OR(D341="",N(J341)=0),"",MIN(1,N(K341)/J341))</f>
        <v/>
      </c>
      <c r="M341" s="5" t="n"/>
      <c r="N341" s="5" t="n"/>
      <c r="O341" s="5" t="n"/>
      <c r="P341" s="5" t="inlineStr">
        <is>
          <t>SEPARADO FALTA FATURAR</t>
        </is>
      </c>
      <c r="Q341" s="5" t="n"/>
      <c r="R341" s="4" t="n"/>
      <c r="S341" s="4" t="n"/>
      <c r="T341" s="5" t="inlineStr">
        <is>
          <t>SEPARADO FALTA FATURAR [MIGRAÇÃO: programação original: FLOOR / PK1; medida inferida]</t>
        </is>
      </c>
      <c r="U341" s="8">
        <f>IF(AND(V341=1,D341&lt;&gt;""),IF(D341&gt;=corte,TODAY()-D341,""),"")</f>
        <v/>
      </c>
      <c r="V341" s="8">
        <f>IF(D341="",0,IF(OR(AND(P341&lt;&gt;"",S341=""),AND(N(J341)&gt;0,N(K341)&lt;J341),OR(M341="PENDENTE",M341="PARCIAL"),OR(N341="PENDENTE",N341="PARCIAL")),1,0))</f>
        <v/>
      </c>
      <c r="W341" s="8">
        <f>IF(AND(V341=1,D341&lt;&gt;""),IF(D341&gt;=corte,(B341="CRÍTICO")*1E9+(100000-D341)*10000+10000-ROW(),""),"")</f>
        <v/>
      </c>
      <c r="X341" s="8">
        <f>IF(AND(V341=1,D341=pas_data,E341=pas_turno),10000-ROW(),"")</f>
        <v/>
      </c>
    </row>
    <row r="342">
      <c r="A342" s="3">
        <f>IF(D342="","","TT-"&amp;TEXT(ROW()-1,"00000"))</f>
        <v/>
      </c>
      <c r="B342" s="3">
        <f>IF(D342="","",IF(V342=0,"CONCLUÍDO",IF(D342&lt;corte,"HISTÓRICO",IF(OR(AND(ISNUMBER(R342),R342&lt;TODAY()),AND(OR(N342="PENDENTE",N342="PARCIAL"),D342&lt;TODAY()-1)),"CRÍTICO",IF(OR(AND(P342&lt;&gt;"",S342=""),AND(N342="REALIZADO",M342="PENDENTE"),AND(ISNUMBER(R342),R342=TODAY())),"ATENÇÃO",IF(N(K342)=0,"PENDENTE","EM ANDAMENTO"))))))</f>
        <v/>
      </c>
      <c r="C342" s="3">
        <f>IF(D342="","",IF(V342=0,"🟢 OK",IF(D342&lt;corte,"⚪ HISTÓRICO (sem baixa)",IF(AND(ISNUMBER(R342),R342&lt;TODAY()),"🔴 PRAZO VENCIDO",IF(AND(OR(N342="PENDENTE",N342="PARCIAL"),D342&lt;TODAY()-1),"🔴 EMBARQUE ATRASADO",IF(AND(N342="REALIZADO",M342="PENDENTE"),"🟡 EMBARCADO SEM FATURAR",IF(AND(P342&lt;&gt;"",S342="",OR(Q342="",R342="")),"🟡 PENDÊNCIA SEM RESPONSÁVEL/PRAZO",IF(AND(ISNUMBER(R342),R342=TODAY()),"🟡 VENCE HOJE",IF(AND(P342&lt;&gt;"",S342=""),"🟡 PENDÊNCIA ABERTA",IF(AND(N(J342)&gt;0,N(K342)&lt;J342),"🟡 FALTA EXECUTAR",IF(OR(M342="PENDENTE",M342="PARCIAL"),"🟡 FATURAMENTO PENDENTE","🟡 EMBARQUE PENDENTE")))))))))))</f>
        <v/>
      </c>
      <c r="D342" s="4" t="n">
        <v>46247</v>
      </c>
      <c r="E342" s="5" t="inlineStr">
        <is>
          <t>A</t>
        </is>
      </c>
      <c r="F342" s="5" t="inlineStr">
        <is>
          <t>TATIANE</t>
        </is>
      </c>
      <c r="G342" s="5" t="inlineStr">
        <is>
          <t>FOB</t>
        </is>
      </c>
      <c r="H342" s="5" t="inlineStr">
        <is>
          <t>FOB 13/08</t>
        </is>
      </c>
      <c r="I342" s="5" t="inlineStr">
        <is>
          <t>TON</t>
        </is>
      </c>
      <c r="J342" s="6" t="n">
        <v>35.486</v>
      </c>
      <c r="K342" s="6" t="n">
        <v>33.722</v>
      </c>
      <c r="L342" s="7">
        <f>IF(OR(D342="",N(J342)=0),"",MIN(1,N(K342)/J342))</f>
        <v/>
      </c>
      <c r="M342" s="5" t="inlineStr">
        <is>
          <t>PARCIAL</t>
        </is>
      </c>
      <c r="N342" s="5" t="inlineStr">
        <is>
          <t>PARCIAL</t>
        </is>
      </c>
      <c r="O342" s="5" t="n"/>
      <c r="P342" s="5" t="n"/>
      <c r="Q342" s="5" t="n"/>
      <c r="R342" s="4" t="n"/>
      <c r="S342" s="4" t="n"/>
      <c r="T342" s="5" t="n"/>
      <c r="U342" s="8">
        <f>IF(AND(V342=1,D342&lt;&gt;""),IF(D342&gt;=corte,TODAY()-D342,""),"")</f>
        <v/>
      </c>
      <c r="V342" s="8">
        <f>IF(D342="",0,IF(OR(AND(P342&lt;&gt;"",S342=""),AND(N(J342)&gt;0,N(K342)&lt;J342),OR(M342="PENDENTE",M342="PARCIAL"),OR(N342="PENDENTE",N342="PARCIAL")),1,0))</f>
        <v/>
      </c>
      <c r="W342" s="8">
        <f>IF(AND(V342=1,D342&lt;&gt;""),IF(D342&gt;=corte,(B342="CRÍTICO")*1E9+(100000-D342)*10000+10000-ROW(),""),"")</f>
        <v/>
      </c>
      <c r="X342" s="8">
        <f>IF(AND(V342=1,D342=pas_data,E342=pas_turno),10000-ROW(),"")</f>
        <v/>
      </c>
    </row>
    <row r="343">
      <c r="A343" s="3">
        <f>IF(D343="","","TT-"&amp;TEXT(ROW()-1,"00000"))</f>
        <v/>
      </c>
      <c r="B343" s="3">
        <f>IF(D343="","",IF(V343=0,"CONCLUÍDO",IF(D343&lt;corte,"HISTÓRICO",IF(OR(AND(ISNUMBER(R343),R343&lt;TODAY()),AND(OR(N343="PENDENTE",N343="PARCIAL"),D343&lt;TODAY()-1)),"CRÍTICO",IF(OR(AND(P343&lt;&gt;"",S343=""),AND(N343="REALIZADO",M343="PENDENTE"),AND(ISNUMBER(R343),R343=TODAY())),"ATENÇÃO",IF(N(K343)=0,"PENDENTE","EM ANDAMENTO"))))))</f>
        <v/>
      </c>
      <c r="C343" s="3">
        <f>IF(D343="","",IF(V343=0,"🟢 OK",IF(D343&lt;corte,"⚪ HISTÓRICO (sem baixa)",IF(AND(ISNUMBER(R343),R343&lt;TODAY()),"🔴 PRAZO VENCIDO",IF(AND(OR(N343="PENDENTE",N343="PARCIAL"),D343&lt;TODAY()-1),"🔴 EMBARQUE ATRASADO",IF(AND(N343="REALIZADO",M343="PENDENTE"),"🟡 EMBARCADO SEM FATURAR",IF(AND(P343&lt;&gt;"",S343="",OR(Q343="",R343="")),"🟡 PENDÊNCIA SEM RESPONSÁVEL/PRAZO",IF(AND(ISNUMBER(R343),R343=TODAY()),"🟡 VENCE HOJE",IF(AND(P343&lt;&gt;"",S343=""),"🟡 PENDÊNCIA ABERTA",IF(AND(N(J343)&gt;0,N(K343)&lt;J343),"🟡 FALTA EXECUTAR",IF(OR(M343="PENDENTE",M343="PARCIAL"),"🟡 FATURAMENTO PENDENTE","🟡 EMBARQUE PENDENTE")))))))))))</f>
        <v/>
      </c>
      <c r="D343" s="4" t="n">
        <v>46247</v>
      </c>
      <c r="E343" s="5" t="inlineStr">
        <is>
          <t>A</t>
        </is>
      </c>
      <c r="F343" s="5" t="inlineStr">
        <is>
          <t>TATIANE</t>
        </is>
      </c>
      <c r="G343" s="5" t="inlineStr">
        <is>
          <t>FM</t>
        </is>
      </c>
      <c r="H343" s="5" t="inlineStr">
        <is>
          <t>FM</t>
        </is>
      </c>
      <c r="I343" s="5" t="inlineStr">
        <is>
          <t>TON</t>
        </is>
      </c>
      <c r="J343" s="6" t="n">
        <v>16.586</v>
      </c>
      <c r="K343" s="6" t="n">
        <v>16.586</v>
      </c>
      <c r="L343" s="7">
        <f>IF(OR(D343="",N(J343)=0),"",MIN(1,N(K343)/J343))</f>
        <v/>
      </c>
      <c r="M343" s="5" t="inlineStr">
        <is>
          <t>FATURADO</t>
        </is>
      </c>
      <c r="N343" s="5" t="inlineStr">
        <is>
          <t>PARCIAL</t>
        </is>
      </c>
      <c r="O343" s="5" t="inlineStr">
        <is>
          <t>SPEEDYLOG</t>
        </is>
      </c>
      <c r="P343" s="5" t="n"/>
      <c r="Q343" s="5" t="n"/>
      <c r="R343" s="4" t="n"/>
      <c r="S343" s="4" t="n"/>
      <c r="T343" s="5" t="n"/>
      <c r="U343" s="8">
        <f>IF(AND(V343=1,D343&lt;&gt;""),IF(D343&gt;=corte,TODAY()-D343,""),"")</f>
        <v/>
      </c>
      <c r="V343" s="8">
        <f>IF(D343="",0,IF(OR(AND(P343&lt;&gt;"",S343=""),AND(N(J343)&gt;0,N(K343)&lt;J343),OR(M343="PENDENTE",M343="PARCIAL"),OR(N343="PENDENTE",N343="PARCIAL")),1,0))</f>
        <v/>
      </c>
      <c r="W343" s="8">
        <f>IF(AND(V343=1,D343&lt;&gt;""),IF(D343&gt;=corte,(B343="CRÍTICO")*1E9+(100000-D343)*10000+10000-ROW(),""),"")</f>
        <v/>
      </c>
      <c r="X343" s="8">
        <f>IF(AND(V343=1,D343=pas_data,E343=pas_turno),10000-ROW(),"")</f>
        <v/>
      </c>
    </row>
    <row r="344">
      <c r="A344" s="3">
        <f>IF(D344="","","TT-"&amp;TEXT(ROW()-1,"00000"))</f>
        <v/>
      </c>
      <c r="B344" s="3">
        <f>IF(D344="","",IF(V344=0,"CONCLUÍDO",IF(D344&lt;corte,"HISTÓRICO",IF(OR(AND(ISNUMBER(R344),R344&lt;TODAY()),AND(OR(N344="PENDENTE",N344="PARCIAL"),D344&lt;TODAY()-1)),"CRÍTICO",IF(OR(AND(P344&lt;&gt;"",S344=""),AND(N344="REALIZADO",M344="PENDENTE"),AND(ISNUMBER(R344),R344=TODAY())),"ATENÇÃO",IF(N(K344)=0,"PENDENTE","EM ANDAMENTO"))))))</f>
        <v/>
      </c>
      <c r="C344" s="3">
        <f>IF(D344="","",IF(V344=0,"🟢 OK",IF(D344&lt;corte,"⚪ HISTÓRICO (sem baixa)",IF(AND(ISNUMBER(R344),R344&lt;TODAY()),"🔴 PRAZO VENCIDO",IF(AND(OR(N344="PENDENTE",N344="PARCIAL"),D344&lt;TODAY()-1),"🔴 EMBARQUE ATRASADO",IF(AND(N344="REALIZADO",M344="PENDENTE"),"🟡 EMBARCADO SEM FATURAR",IF(AND(P344&lt;&gt;"",S344="",OR(Q344="",R344="")),"🟡 PENDÊNCIA SEM RESPONSÁVEL/PRAZO",IF(AND(ISNUMBER(R344),R344=TODAY()),"🟡 VENCE HOJE",IF(AND(P344&lt;&gt;"",S344=""),"🟡 PENDÊNCIA ABERTA",IF(AND(N(J344)&gt;0,N(K344)&lt;J344),"🟡 FALTA EXECUTAR",IF(OR(M344="PENDENTE",M344="PARCIAL"),"🟡 FATURAMENTO PENDENTE","🟡 EMBARQUE PENDENTE")))))))))))</f>
        <v/>
      </c>
      <c r="D344" s="4" t="n">
        <v>46247</v>
      </c>
      <c r="E344" s="5" t="inlineStr">
        <is>
          <t>A</t>
        </is>
      </c>
      <c r="F344" s="5" t="inlineStr">
        <is>
          <t>TATIANE</t>
        </is>
      </c>
      <c r="G344" s="5" t="inlineStr">
        <is>
          <t>GM</t>
        </is>
      </c>
      <c r="H344" s="5" t="inlineStr">
        <is>
          <t>SP CAP/INT</t>
        </is>
      </c>
      <c r="I344" s="5" t="inlineStr">
        <is>
          <t>TON</t>
        </is>
      </c>
      <c r="J344" s="6" t="n">
        <v>16.796</v>
      </c>
      <c r="K344" s="6" t="n">
        <v>16.796</v>
      </c>
      <c r="L344" s="7">
        <f>IF(OR(D344="",N(J344)=0),"",MIN(1,N(K344)/J344))</f>
        <v/>
      </c>
      <c r="M344" s="5" t="inlineStr">
        <is>
          <t>PARCIAL</t>
        </is>
      </c>
      <c r="N344" s="5" t="inlineStr">
        <is>
          <t>PARCIAL</t>
        </is>
      </c>
      <c r="O344" s="5" t="inlineStr">
        <is>
          <t>SMARTLOG</t>
        </is>
      </c>
      <c r="P344" s="5" t="n"/>
      <c r="Q344" s="5" t="n"/>
      <c r="R344" s="4" t="n"/>
      <c r="S344" s="4" t="n"/>
      <c r="T344" s="5" t="inlineStr">
        <is>
          <t>[MIGRAÇÃO: programação original: SP CAP/INT]</t>
        </is>
      </c>
      <c r="U344" s="8">
        <f>IF(AND(V344=1,D344&lt;&gt;""),IF(D344&gt;=corte,TODAY()-D344,""),"")</f>
        <v/>
      </c>
      <c r="V344" s="8">
        <f>IF(D344="",0,IF(OR(AND(P344&lt;&gt;"",S344=""),AND(N(J344)&gt;0,N(K344)&lt;J344),OR(M344="PENDENTE",M344="PARCIAL"),OR(N344="PENDENTE",N344="PARCIAL")),1,0))</f>
        <v/>
      </c>
      <c r="W344" s="8">
        <f>IF(AND(V344=1,D344&lt;&gt;""),IF(D344&gt;=corte,(B344="CRÍTICO")*1E9+(100000-D344)*10000+10000-ROW(),""),"")</f>
        <v/>
      </c>
      <c r="X344" s="8">
        <f>IF(AND(V344=1,D344=pas_data,E344=pas_turno),10000-ROW(),"")</f>
        <v/>
      </c>
    </row>
    <row r="345">
      <c r="A345" s="3">
        <f>IF(D345="","","TT-"&amp;TEXT(ROW()-1,"00000"))</f>
        <v/>
      </c>
      <c r="B345" s="3">
        <f>IF(D345="","",IF(V345=0,"CONCLUÍDO",IF(D345&lt;corte,"HISTÓRICO",IF(OR(AND(ISNUMBER(R345),R345&lt;TODAY()),AND(OR(N345="PENDENTE",N345="PARCIAL"),D345&lt;TODAY()-1)),"CRÍTICO",IF(OR(AND(P345&lt;&gt;"",S345=""),AND(N345="REALIZADO",M345="PENDENTE"),AND(ISNUMBER(R345),R345=TODAY())),"ATENÇÃO",IF(N(K345)=0,"PENDENTE","EM ANDAMENTO"))))))</f>
        <v/>
      </c>
      <c r="C345" s="3">
        <f>IF(D345="","",IF(V345=0,"🟢 OK",IF(D345&lt;corte,"⚪ HISTÓRICO (sem baixa)",IF(AND(ISNUMBER(R345),R345&lt;TODAY()),"🔴 PRAZO VENCIDO",IF(AND(OR(N345="PENDENTE",N345="PARCIAL"),D345&lt;TODAY()-1),"🔴 EMBARQUE ATRASADO",IF(AND(N345="REALIZADO",M345="PENDENTE"),"🟡 EMBARCADO SEM FATURAR",IF(AND(P345&lt;&gt;"",S345="",OR(Q345="",R345="")),"🟡 PENDÊNCIA SEM RESPONSÁVEL/PRAZO",IF(AND(ISNUMBER(R345),R345=TODAY()),"🟡 VENCE HOJE",IF(AND(P345&lt;&gt;"",S345=""),"🟡 PENDÊNCIA ABERTA",IF(AND(N(J345)&gt;0,N(K345)&lt;J345),"🟡 FALTA EXECUTAR",IF(OR(M345="PENDENTE",M345="PARCIAL"),"🟡 FATURAMENTO PENDENTE","🟡 EMBARQUE PENDENTE")))))))))))</f>
        <v/>
      </c>
      <c r="D345" s="4" t="n">
        <v>46247</v>
      </c>
      <c r="E345" s="5" t="inlineStr">
        <is>
          <t>A</t>
        </is>
      </c>
      <c r="F345" s="5" t="inlineStr">
        <is>
          <t>TATIANE</t>
        </is>
      </c>
      <c r="G345" s="5" t="inlineStr">
        <is>
          <t>GM</t>
        </is>
      </c>
      <c r="H345" s="5" t="inlineStr">
        <is>
          <t>GM</t>
        </is>
      </c>
      <c r="I345" s="5" t="inlineStr">
        <is>
          <t>TON</t>
        </is>
      </c>
      <c r="J345" s="6" t="n">
        <v>9.154999999999999</v>
      </c>
      <c r="K345" s="6" t="n">
        <v>9.154999999999999</v>
      </c>
      <c r="L345" s="7">
        <f>IF(OR(D345="",N(J345)=0),"",MIN(1,N(K345)/J345))</f>
        <v/>
      </c>
      <c r="M345" s="5" t="inlineStr">
        <is>
          <t>FATURADO</t>
        </is>
      </c>
      <c r="N345" s="5" t="inlineStr">
        <is>
          <t>PARCIAL</t>
        </is>
      </c>
      <c r="O345" s="5" t="inlineStr">
        <is>
          <t>BORA</t>
        </is>
      </c>
      <c r="P345" s="5" t="n"/>
      <c r="Q345" s="5" t="n"/>
      <c r="R345" s="4" t="n"/>
      <c r="S345" s="4" t="n"/>
      <c r="T345" s="5" t="n"/>
      <c r="U345" s="8">
        <f>IF(AND(V345=1,D345&lt;&gt;""),IF(D345&gt;=corte,TODAY()-D345,""),"")</f>
        <v/>
      </c>
      <c r="V345" s="8">
        <f>IF(D345="",0,IF(OR(AND(P345&lt;&gt;"",S345=""),AND(N(J345)&gt;0,N(K345)&lt;J345),OR(M345="PENDENTE",M345="PARCIAL"),OR(N345="PENDENTE",N345="PARCIAL")),1,0))</f>
        <v/>
      </c>
      <c r="W345" s="8">
        <f>IF(AND(V345=1,D345&lt;&gt;""),IF(D345&gt;=corte,(B345="CRÍTICO")*1E9+(100000-D345)*10000+10000-ROW(),""),"")</f>
        <v/>
      </c>
      <c r="X345" s="8">
        <f>IF(AND(V345=1,D345=pas_data,E345=pas_turno),10000-ROW(),"")</f>
        <v/>
      </c>
    </row>
    <row r="346">
      <c r="A346" s="3">
        <f>IF(D346="","","TT-"&amp;TEXT(ROW()-1,"00000"))</f>
        <v/>
      </c>
      <c r="B346" s="3">
        <f>IF(D346="","",IF(V346=0,"CONCLUÍDO",IF(D346&lt;corte,"HISTÓRICO",IF(OR(AND(ISNUMBER(R346),R346&lt;TODAY()),AND(OR(N346="PENDENTE",N346="PARCIAL"),D346&lt;TODAY()-1)),"CRÍTICO",IF(OR(AND(P346&lt;&gt;"",S346=""),AND(N346="REALIZADO",M346="PENDENTE"),AND(ISNUMBER(R346),R346=TODAY())),"ATENÇÃO",IF(N(K346)=0,"PENDENTE","EM ANDAMENTO"))))))</f>
        <v/>
      </c>
      <c r="C346" s="3">
        <f>IF(D346="","",IF(V346=0,"🟢 OK",IF(D346&lt;corte,"⚪ HISTÓRICO (sem baixa)",IF(AND(ISNUMBER(R346),R346&lt;TODAY()),"🔴 PRAZO VENCIDO",IF(AND(OR(N346="PENDENTE",N346="PARCIAL"),D346&lt;TODAY()-1),"🔴 EMBARQUE ATRASADO",IF(AND(N346="REALIZADO",M346="PENDENTE"),"🟡 EMBARCADO SEM FATURAR",IF(AND(P346&lt;&gt;"",S346="",OR(Q346="",R346="")),"🟡 PENDÊNCIA SEM RESPONSÁVEL/PRAZO",IF(AND(ISNUMBER(R346),R346=TODAY()),"🟡 VENCE HOJE",IF(AND(P346&lt;&gt;"",S346=""),"🟡 PENDÊNCIA ABERTA",IF(AND(N(J346)&gt;0,N(K346)&lt;J346),"🟡 FALTA EXECUTAR",IF(OR(M346="PENDENTE",M346="PARCIAL"),"🟡 FATURAMENTO PENDENTE","🟡 EMBARQUE PENDENTE")))))))))))</f>
        <v/>
      </c>
      <c r="D346" s="4" t="n">
        <v>46247</v>
      </c>
      <c r="E346" s="5" t="inlineStr">
        <is>
          <t>A</t>
        </is>
      </c>
      <c r="F346" s="5" t="inlineStr">
        <is>
          <t>TATIANE</t>
        </is>
      </c>
      <c r="G346" s="5" t="inlineStr">
        <is>
          <t>GRANEL</t>
        </is>
      </c>
      <c r="H346" s="5" t="inlineStr">
        <is>
          <t>GRANEL</t>
        </is>
      </c>
      <c r="I346" s="5" t="inlineStr">
        <is>
          <t>TON</t>
        </is>
      </c>
      <c r="J346" s="6" t="n">
        <v>26</v>
      </c>
      <c r="K346" s="6" t="n">
        <v>25.91</v>
      </c>
      <c r="L346" s="7">
        <f>IF(OR(D346="",N(J346)=0),"",MIN(1,N(K346)/J346))</f>
        <v/>
      </c>
      <c r="M346" s="5" t="inlineStr">
        <is>
          <t>FATURADO</t>
        </is>
      </c>
      <c r="N346" s="5" t="inlineStr">
        <is>
          <t>REALIZADO</t>
        </is>
      </c>
      <c r="O346" s="5" t="inlineStr">
        <is>
          <t>JSL</t>
        </is>
      </c>
      <c r="P346" s="5" t="n"/>
      <c r="Q346" s="5" t="n"/>
      <c r="R346" s="4" t="n"/>
      <c r="S346" s="4" t="n"/>
      <c r="T346" s="5" t="n"/>
      <c r="U346" s="8">
        <f>IF(AND(V346=1,D346&lt;&gt;""),IF(D346&gt;=corte,TODAY()-D346,""),"")</f>
        <v/>
      </c>
      <c r="V346" s="8">
        <f>IF(D346="",0,IF(OR(AND(P346&lt;&gt;"",S346=""),AND(N(J346)&gt;0,N(K346)&lt;J346),OR(M346="PENDENTE",M346="PARCIAL"),OR(N346="PENDENTE",N346="PARCIAL")),1,0))</f>
        <v/>
      </c>
      <c r="W346" s="8">
        <f>IF(AND(V346=1,D346&lt;&gt;""),IF(D346&gt;=corte,(B346="CRÍTICO")*1E9+(100000-D346)*10000+10000-ROW(),""),"")</f>
        <v/>
      </c>
      <c r="X346" s="8">
        <f>IF(AND(V346=1,D346=pas_data,E346=pas_turno),10000-ROW(),"")</f>
        <v/>
      </c>
    </row>
    <row r="347">
      <c r="A347" s="3">
        <f>IF(D347="","","TT-"&amp;TEXT(ROW()-1,"00000"))</f>
        <v/>
      </c>
      <c r="B347" s="3">
        <f>IF(D347="","",IF(V347=0,"CONCLUÍDO",IF(D347&lt;corte,"HISTÓRICO",IF(OR(AND(ISNUMBER(R347),R347&lt;TODAY()),AND(OR(N347="PENDENTE",N347="PARCIAL"),D347&lt;TODAY()-1)),"CRÍTICO",IF(OR(AND(P347&lt;&gt;"",S347=""),AND(N347="REALIZADO",M347="PENDENTE"),AND(ISNUMBER(R347),R347=TODAY())),"ATENÇÃO",IF(N(K347)=0,"PENDENTE","EM ANDAMENTO"))))))</f>
        <v/>
      </c>
      <c r="C347" s="3">
        <f>IF(D347="","",IF(V347=0,"🟢 OK",IF(D347&lt;corte,"⚪ HISTÓRICO (sem baixa)",IF(AND(ISNUMBER(R347),R347&lt;TODAY()),"🔴 PRAZO VENCIDO",IF(AND(OR(N347="PENDENTE",N347="PARCIAL"),D347&lt;TODAY()-1),"🔴 EMBARQUE ATRASADO",IF(AND(N347="REALIZADO",M347="PENDENTE"),"🟡 EMBARCADO SEM FATURAR",IF(AND(P347&lt;&gt;"",S347="",OR(Q347="",R347="")),"🟡 PENDÊNCIA SEM RESPONSÁVEL/PRAZO",IF(AND(ISNUMBER(R347),R347=TODAY()),"🟡 VENCE HOJE",IF(AND(P347&lt;&gt;"",S347=""),"🟡 PENDÊNCIA ABERTA",IF(AND(N(J347)&gt;0,N(K347)&lt;J347),"🟡 FALTA EXECUTAR",IF(OR(M347="PENDENTE",M347="PARCIAL"),"🟡 FATURAMENTO PENDENTE","🟡 EMBARQUE PENDENTE")))))))))))</f>
        <v/>
      </c>
      <c r="D347" s="4" t="n">
        <v>46247</v>
      </c>
      <c r="E347" s="5" t="inlineStr">
        <is>
          <t>A</t>
        </is>
      </c>
      <c r="F347" s="5" t="inlineStr">
        <is>
          <t>TATIANE</t>
        </is>
      </c>
      <c r="G347" s="5" t="inlineStr">
        <is>
          <t>FLOOR</t>
        </is>
      </c>
      <c r="H347" s="5" t="inlineStr">
        <is>
          <t>PRODUÇÃO</t>
        </is>
      </c>
      <c r="I347" s="5" t="inlineStr">
        <is>
          <t>PALETE</t>
        </is>
      </c>
      <c r="J347" s="6" t="n">
        <v>100</v>
      </c>
      <c r="K347" s="6" t="n">
        <v>80</v>
      </c>
      <c r="L347" s="7">
        <f>IF(OR(D347="",N(J347)=0),"",MIN(1,N(K347)/J347))</f>
        <v/>
      </c>
      <c r="M347" s="5" t="n"/>
      <c r="N347" s="5" t="n"/>
      <c r="O347" s="5" t="n"/>
      <c r="P347" s="5" t="n"/>
      <c r="Q347" s="5" t="n"/>
      <c r="R347" s="4" t="n"/>
      <c r="S347" s="4" t="n"/>
      <c r="T347" s="5" t="inlineStr">
        <is>
          <t>[MIGRAÇÃO: programação original: FLOOR / PK1]</t>
        </is>
      </c>
      <c r="U347" s="8">
        <f>IF(AND(V347=1,D347&lt;&gt;""),IF(D347&gt;=corte,TODAY()-D347,""),"")</f>
        <v/>
      </c>
      <c r="V347" s="8">
        <f>IF(D347="",0,IF(OR(AND(P347&lt;&gt;"",S347=""),AND(N(J347)&gt;0,N(K347)&lt;J347),OR(M347="PENDENTE",M347="PARCIAL"),OR(N347="PENDENTE",N347="PARCIAL")),1,0))</f>
        <v/>
      </c>
      <c r="W347" s="8">
        <f>IF(AND(V347=1,D347&lt;&gt;""),IF(D347&gt;=corte,(B347="CRÍTICO")*1E9+(100000-D347)*10000+10000-ROW(),""),"")</f>
        <v/>
      </c>
      <c r="X347" s="8">
        <f>IF(AND(V347=1,D347=pas_data,E347=pas_turno),10000-ROW(),"")</f>
        <v/>
      </c>
    </row>
    <row r="348">
      <c r="A348" s="3">
        <f>IF(D348="","","TT-"&amp;TEXT(ROW()-1,"00000"))</f>
        <v/>
      </c>
      <c r="B348" s="3">
        <f>IF(D348="","",IF(V348=0,"CONCLUÍDO",IF(D348&lt;corte,"HISTÓRICO",IF(OR(AND(ISNUMBER(R348),R348&lt;TODAY()),AND(OR(N348="PENDENTE",N348="PARCIAL"),D348&lt;TODAY()-1)),"CRÍTICO",IF(OR(AND(P348&lt;&gt;"",S348=""),AND(N348="REALIZADO",M348="PENDENTE"),AND(ISNUMBER(R348),R348=TODAY())),"ATENÇÃO",IF(N(K348)=0,"PENDENTE","EM ANDAMENTO"))))))</f>
        <v/>
      </c>
      <c r="C348" s="3">
        <f>IF(D348="","",IF(V348=0,"🟢 OK",IF(D348&lt;corte,"⚪ HISTÓRICO (sem baixa)",IF(AND(ISNUMBER(R348),R348&lt;TODAY()),"🔴 PRAZO VENCIDO",IF(AND(OR(N348="PENDENTE",N348="PARCIAL"),D348&lt;TODAY()-1),"🔴 EMBARQUE ATRASADO",IF(AND(N348="REALIZADO",M348="PENDENTE"),"🟡 EMBARCADO SEM FATURAR",IF(AND(P348&lt;&gt;"",S348="",OR(Q348="",R348="")),"🟡 PENDÊNCIA SEM RESPONSÁVEL/PRAZO",IF(AND(ISNUMBER(R348),R348=TODAY()),"🟡 VENCE HOJE",IF(AND(P348&lt;&gt;"",S348=""),"🟡 PENDÊNCIA ABERTA",IF(AND(N(J348)&gt;0,N(K348)&lt;J348),"🟡 FALTA EXECUTAR",IF(OR(M348="PENDENTE",M348="PARCIAL"),"🟡 FATURAMENTO PENDENTE","🟡 EMBARQUE PENDENTE")))))))))))</f>
        <v/>
      </c>
      <c r="D348" s="4" t="n">
        <v>46247</v>
      </c>
      <c r="E348" s="5" t="inlineStr">
        <is>
          <t>A</t>
        </is>
      </c>
      <c r="F348" s="5" t="inlineStr">
        <is>
          <t>TATIANE</t>
        </is>
      </c>
      <c r="G348" s="5" t="inlineStr">
        <is>
          <t>CACAU</t>
        </is>
      </c>
      <c r="H348" s="5" t="inlineStr">
        <is>
          <t>CACAU</t>
        </is>
      </c>
      <c r="I348" s="5" t="inlineStr">
        <is>
          <t>TON</t>
        </is>
      </c>
      <c r="J348" s="6" t="n">
        <v>14.873</v>
      </c>
      <c r="K348" s="6" t="n">
        <v>12.643</v>
      </c>
      <c r="L348" s="7">
        <f>IF(OR(D348="",N(J348)=0),"",MIN(1,N(K348)/J348))</f>
        <v/>
      </c>
      <c r="M348" s="5" t="inlineStr">
        <is>
          <t>PENDENTE</t>
        </is>
      </c>
      <c r="N348" s="5" t="inlineStr">
        <is>
          <t>PENDENTE</t>
        </is>
      </c>
      <c r="O348" s="5" t="n"/>
      <c r="P348" s="5" t="inlineStr">
        <is>
          <t>SEPARADO - CONFERIR E FATURAR</t>
        </is>
      </c>
      <c r="Q348" s="5" t="n"/>
      <c r="R348" s="4" t="n"/>
      <c r="S348" s="4" t="n"/>
      <c r="T348" s="5" t="inlineStr">
        <is>
          <t>SEPARADO - CONFERIR E FATURAR [MIGRAÇÃO: programação original: SEP CACAU]</t>
        </is>
      </c>
      <c r="U348" s="8">
        <f>IF(AND(V348=1,D348&lt;&gt;""),IF(D348&gt;=corte,TODAY()-D348,""),"")</f>
        <v/>
      </c>
      <c r="V348" s="8">
        <f>IF(D348="",0,IF(OR(AND(P348&lt;&gt;"",S348=""),AND(N(J348)&gt;0,N(K348)&lt;J348),OR(M348="PENDENTE",M348="PARCIAL"),OR(N348="PENDENTE",N348="PARCIAL")),1,0))</f>
        <v/>
      </c>
      <c r="W348" s="8">
        <f>IF(AND(V348=1,D348&lt;&gt;""),IF(D348&gt;=corte,(B348="CRÍTICO")*1E9+(100000-D348)*10000+10000-ROW(),""),"")</f>
        <v/>
      </c>
      <c r="X348" s="8">
        <f>IF(AND(V348=1,D348=pas_data,E348=pas_turno),10000-ROW(),"")</f>
        <v/>
      </c>
    </row>
    <row r="349">
      <c r="A349" s="3">
        <f>IF(D349="","","TT-"&amp;TEXT(ROW()-1,"00000"))</f>
        <v/>
      </c>
      <c r="B349" s="3">
        <f>IF(D349="","",IF(V349=0,"CONCLUÍDO",IF(D349&lt;corte,"HISTÓRICO",IF(OR(AND(ISNUMBER(R349),R349&lt;TODAY()),AND(OR(N349="PENDENTE",N349="PARCIAL"),D349&lt;TODAY()-1)),"CRÍTICO",IF(OR(AND(P349&lt;&gt;"",S349=""),AND(N349="REALIZADO",M349="PENDENTE"),AND(ISNUMBER(R349),R349=TODAY())),"ATENÇÃO",IF(N(K349)=0,"PENDENTE","EM ANDAMENTO"))))))</f>
        <v/>
      </c>
      <c r="C349" s="3">
        <f>IF(D349="","",IF(V349=0,"🟢 OK",IF(D349&lt;corte,"⚪ HISTÓRICO (sem baixa)",IF(AND(ISNUMBER(R349),R349&lt;TODAY()),"🔴 PRAZO VENCIDO",IF(AND(OR(N349="PENDENTE",N349="PARCIAL"),D349&lt;TODAY()-1),"🔴 EMBARQUE ATRASADO",IF(AND(N349="REALIZADO",M349="PENDENTE"),"🟡 EMBARCADO SEM FATURAR",IF(AND(P349&lt;&gt;"",S349="",OR(Q349="",R349="")),"🟡 PENDÊNCIA SEM RESPONSÁVEL/PRAZO",IF(AND(ISNUMBER(R349),R349=TODAY()),"🟡 VENCE HOJE",IF(AND(P349&lt;&gt;"",S349=""),"🟡 PENDÊNCIA ABERTA",IF(AND(N(J349)&gt;0,N(K349)&lt;J349),"🟡 FALTA EXECUTAR",IF(OR(M349="PENDENTE",M349="PARCIAL"),"🟡 FATURAMENTO PENDENTE","🟡 EMBARQUE PENDENTE")))))))))))</f>
        <v/>
      </c>
      <c r="D349" s="4" t="n">
        <v>46247</v>
      </c>
      <c r="E349" s="5" t="inlineStr">
        <is>
          <t>B</t>
        </is>
      </c>
      <c r="F349" s="5" t="inlineStr">
        <is>
          <t>THIAGO</t>
        </is>
      </c>
      <c r="G349" s="5" t="inlineStr">
        <is>
          <t>FM</t>
        </is>
      </c>
      <c r="H349" s="5" t="inlineStr">
        <is>
          <t>NESTLE</t>
        </is>
      </c>
      <c r="I349" s="5" t="inlineStr">
        <is>
          <t>TON</t>
        </is>
      </c>
      <c r="J349" s="6" t="n">
        <v>11.869</v>
      </c>
      <c r="K349" s="6" t="n">
        <v>11.869</v>
      </c>
      <c r="L349" s="7">
        <f>IF(OR(D349="",N(J349)=0),"",MIN(1,N(K349)/J349))</f>
        <v/>
      </c>
      <c r="M349" s="5" t="n"/>
      <c r="N349" s="5" t="n"/>
      <c r="O349" s="5" t="n"/>
      <c r="P349" s="5" t="n"/>
      <c r="Q349" s="5" t="n"/>
      <c r="R349" s="4" t="n"/>
      <c r="S349" s="4" t="n"/>
      <c r="T349" s="5" t="n"/>
      <c r="U349" s="8">
        <f>IF(AND(V349=1,D349&lt;&gt;""),IF(D349&gt;=corte,TODAY()-D349,""),"")</f>
        <v/>
      </c>
      <c r="V349" s="8">
        <f>IF(D349="",0,IF(OR(AND(P349&lt;&gt;"",S349=""),AND(N(J349)&gt;0,N(K349)&lt;J349),OR(M349="PENDENTE",M349="PARCIAL"),OR(N349="PENDENTE",N349="PARCIAL")),1,0))</f>
        <v/>
      </c>
      <c r="W349" s="8">
        <f>IF(AND(V349=1,D349&lt;&gt;""),IF(D349&gt;=corte,(B349="CRÍTICO")*1E9+(100000-D349)*10000+10000-ROW(),""),"")</f>
        <v/>
      </c>
      <c r="X349" s="8">
        <f>IF(AND(V349=1,D349=pas_data,E349=pas_turno),10000-ROW(),"")</f>
        <v/>
      </c>
    </row>
    <row r="350">
      <c r="A350" s="3">
        <f>IF(D350="","","TT-"&amp;TEXT(ROW()-1,"00000"))</f>
        <v/>
      </c>
      <c r="B350" s="3">
        <f>IF(D350="","",IF(V350=0,"CONCLUÍDO",IF(D350&lt;corte,"HISTÓRICO",IF(OR(AND(ISNUMBER(R350),R350&lt;TODAY()),AND(OR(N350="PENDENTE",N350="PARCIAL"),D350&lt;TODAY()-1)),"CRÍTICO",IF(OR(AND(P350&lt;&gt;"",S350=""),AND(N350="REALIZADO",M350="PENDENTE"),AND(ISNUMBER(R350),R350=TODAY())),"ATENÇÃO",IF(N(K350)=0,"PENDENTE","EM ANDAMENTO"))))))</f>
        <v/>
      </c>
      <c r="C350" s="3">
        <f>IF(D350="","",IF(V350=0,"🟢 OK",IF(D350&lt;corte,"⚪ HISTÓRICO (sem baixa)",IF(AND(ISNUMBER(R350),R350&lt;TODAY()),"🔴 PRAZO VENCIDO",IF(AND(OR(N350="PENDENTE",N350="PARCIAL"),D350&lt;TODAY()-1),"🔴 EMBARQUE ATRASADO",IF(AND(N350="REALIZADO",M350="PENDENTE"),"🟡 EMBARCADO SEM FATURAR",IF(AND(P350&lt;&gt;"",S350="",OR(Q350="",R350="")),"🟡 PENDÊNCIA SEM RESPONSÁVEL/PRAZO",IF(AND(ISNUMBER(R350),R350=TODAY()),"🟡 VENCE HOJE",IF(AND(P350&lt;&gt;"",S350=""),"🟡 PENDÊNCIA ABERTA",IF(AND(N(J350)&gt;0,N(K350)&lt;J350),"🟡 FALTA EXECUTAR",IF(OR(M350="PENDENTE",M350="PARCIAL"),"🟡 FATURAMENTO PENDENTE","🟡 EMBARQUE PENDENTE")))))))))))</f>
        <v/>
      </c>
      <c r="D350" s="4" t="n">
        <v>46247</v>
      </c>
      <c r="E350" s="5" t="inlineStr">
        <is>
          <t>B</t>
        </is>
      </c>
      <c r="F350" s="5" t="inlineStr">
        <is>
          <t>THIAGO</t>
        </is>
      </c>
      <c r="G350" s="5" t="inlineStr">
        <is>
          <t>GM</t>
        </is>
      </c>
      <c r="H350" s="5" t="n"/>
      <c r="I350" s="5" t="inlineStr">
        <is>
          <t>TON</t>
        </is>
      </c>
      <c r="J350" s="6" t="n">
        <v>18.233</v>
      </c>
      <c r="K350" s="6" t="n">
        <v>18.233</v>
      </c>
      <c r="L350" s="7">
        <f>IF(OR(D350="",N(J350)=0),"",MIN(1,N(K350)/J350))</f>
        <v/>
      </c>
      <c r="M350" s="5" t="n"/>
      <c r="N350" s="5" t="n"/>
      <c r="O350" s="5" t="n"/>
      <c r="P350" s="5" t="n"/>
      <c r="Q350" s="5" t="n"/>
      <c r="R350" s="4" t="n"/>
      <c r="S350" s="4" t="n"/>
      <c r="T350" s="5" t="inlineStr">
        <is>
          <t>[MIGRAÇÃO: programação original: SP CAP/INT]</t>
        </is>
      </c>
      <c r="U350" s="8">
        <f>IF(AND(V350=1,D350&lt;&gt;""),IF(D350&gt;=corte,TODAY()-D350,""),"")</f>
        <v/>
      </c>
      <c r="V350" s="8">
        <f>IF(D350="",0,IF(OR(AND(P350&lt;&gt;"",S350=""),AND(N(J350)&gt;0,N(K350)&lt;J350),OR(M350="PENDENTE",M350="PARCIAL"),OR(N350="PENDENTE",N350="PARCIAL")),1,0))</f>
        <v/>
      </c>
      <c r="W350" s="8">
        <f>IF(AND(V350=1,D350&lt;&gt;""),IF(D350&gt;=corte,(B350="CRÍTICO")*1E9+(100000-D350)*10000+10000-ROW(),""),"")</f>
        <v/>
      </c>
      <c r="X350" s="8">
        <f>IF(AND(V350=1,D350=pas_data,E350=pas_turno),10000-ROW(),"")</f>
        <v/>
      </c>
    </row>
    <row r="351">
      <c r="A351" s="3">
        <f>IF(D351="","","TT-"&amp;TEXT(ROW()-1,"00000"))</f>
        <v/>
      </c>
      <c r="B351" s="3">
        <f>IF(D351="","",IF(V351=0,"CONCLUÍDO",IF(D351&lt;corte,"HISTÓRICO",IF(OR(AND(ISNUMBER(R351),R351&lt;TODAY()),AND(OR(N351="PENDENTE",N351="PARCIAL"),D351&lt;TODAY()-1)),"CRÍTICO",IF(OR(AND(P351&lt;&gt;"",S351=""),AND(N351="REALIZADO",M351="PENDENTE"),AND(ISNUMBER(R351),R351=TODAY())),"ATENÇÃO",IF(N(K351)=0,"PENDENTE","EM ANDAMENTO"))))))</f>
        <v/>
      </c>
      <c r="C351" s="3">
        <f>IF(D351="","",IF(V351=0,"🟢 OK",IF(D351&lt;corte,"⚪ HISTÓRICO (sem baixa)",IF(AND(ISNUMBER(R351),R351&lt;TODAY()),"🔴 PRAZO VENCIDO",IF(AND(OR(N351="PENDENTE",N351="PARCIAL"),D351&lt;TODAY()-1),"🔴 EMBARQUE ATRASADO",IF(AND(N351="REALIZADO",M351="PENDENTE"),"🟡 EMBARCADO SEM FATURAR",IF(AND(P351&lt;&gt;"",S351="",OR(Q351="",R351="")),"🟡 PENDÊNCIA SEM RESPONSÁVEL/PRAZO",IF(AND(ISNUMBER(R351),R351=TODAY()),"🟡 VENCE HOJE",IF(AND(P351&lt;&gt;"",S351=""),"🟡 PENDÊNCIA ABERTA",IF(AND(N(J351)&gt;0,N(K351)&lt;J351),"🟡 FALTA EXECUTAR",IF(OR(M351="PENDENTE",M351="PARCIAL"),"🟡 FATURAMENTO PENDENTE","🟡 EMBARQUE PENDENTE")))))))))))</f>
        <v/>
      </c>
      <c r="D351" s="4" t="n">
        <v>46247</v>
      </c>
      <c r="E351" s="5" t="inlineStr">
        <is>
          <t>B</t>
        </is>
      </c>
      <c r="F351" s="5" t="inlineStr">
        <is>
          <t>THIAGO</t>
        </is>
      </c>
      <c r="G351" s="5" t="inlineStr">
        <is>
          <t>FM</t>
        </is>
      </c>
      <c r="H351" s="5" t="inlineStr">
        <is>
          <t>NESTLE</t>
        </is>
      </c>
      <c r="I351" s="5" t="inlineStr">
        <is>
          <t>TON</t>
        </is>
      </c>
      <c r="J351" s="6" t="n">
        <v>10.79</v>
      </c>
      <c r="K351" s="6" t="n">
        <v>10.79</v>
      </c>
      <c r="L351" s="7">
        <f>IF(OR(D351="",N(J351)=0),"",MIN(1,N(K351)/J351))</f>
        <v/>
      </c>
      <c r="M351" s="5" t="n"/>
      <c r="N351" s="5" t="n"/>
      <c r="O351" s="5" t="n"/>
      <c r="P351" s="5" t="n"/>
      <c r="Q351" s="5" t="n"/>
      <c r="R351" s="4" t="n"/>
      <c r="S351" s="4" t="n"/>
      <c r="T351" s="5" t="n"/>
      <c r="U351" s="8">
        <f>IF(AND(V351=1,D351&lt;&gt;""),IF(D351&gt;=corte,TODAY()-D351,""),"")</f>
        <v/>
      </c>
      <c r="V351" s="8">
        <f>IF(D351="",0,IF(OR(AND(P351&lt;&gt;"",S351=""),AND(N(J351)&gt;0,N(K351)&lt;J351),OR(M351="PENDENTE",M351="PARCIAL"),OR(N351="PENDENTE",N351="PARCIAL")),1,0))</f>
        <v/>
      </c>
      <c r="W351" s="8">
        <f>IF(AND(V351=1,D351&lt;&gt;""),IF(D351&gt;=corte,(B351="CRÍTICO")*1E9+(100000-D351)*10000+10000-ROW(),""),"")</f>
        <v/>
      </c>
      <c r="X351" s="8">
        <f>IF(AND(V351=1,D351=pas_data,E351=pas_turno),10000-ROW(),"")</f>
        <v/>
      </c>
    </row>
    <row r="352">
      <c r="A352" s="3">
        <f>IF(D352="","","TT-"&amp;TEXT(ROW()-1,"00000"))</f>
        <v/>
      </c>
      <c r="B352" s="3">
        <f>IF(D352="","",IF(V352=0,"CONCLUÍDO",IF(D352&lt;corte,"HISTÓRICO",IF(OR(AND(ISNUMBER(R352),R352&lt;TODAY()),AND(OR(N352="PENDENTE",N352="PARCIAL"),D352&lt;TODAY()-1)),"CRÍTICO",IF(OR(AND(P352&lt;&gt;"",S352=""),AND(N352="REALIZADO",M352="PENDENTE"),AND(ISNUMBER(R352),R352=TODAY())),"ATENÇÃO",IF(N(K352)=0,"PENDENTE","EM ANDAMENTO"))))))</f>
        <v/>
      </c>
      <c r="C352" s="3">
        <f>IF(D352="","",IF(V352=0,"🟢 OK",IF(D352&lt;corte,"⚪ HISTÓRICO (sem baixa)",IF(AND(ISNUMBER(R352),R352&lt;TODAY()),"🔴 PRAZO VENCIDO",IF(AND(OR(N352="PENDENTE",N352="PARCIAL"),D352&lt;TODAY()-1),"🔴 EMBARQUE ATRASADO",IF(AND(N352="REALIZADO",M352="PENDENTE"),"🟡 EMBARCADO SEM FATURAR",IF(AND(P352&lt;&gt;"",S352="",OR(Q352="",R352="")),"🟡 PENDÊNCIA SEM RESPONSÁVEL/PRAZO",IF(AND(ISNUMBER(R352),R352=TODAY()),"🟡 VENCE HOJE",IF(AND(P352&lt;&gt;"",S352=""),"🟡 PENDÊNCIA ABERTA",IF(AND(N(J352)&gt;0,N(K352)&lt;J352),"🟡 FALTA EXECUTAR",IF(OR(M352="PENDENTE",M352="PARCIAL"),"🟡 FATURAMENTO PENDENTE","🟡 EMBARQUE PENDENTE")))))))))))</f>
        <v/>
      </c>
      <c r="D352" s="4" t="n">
        <v>46247</v>
      </c>
      <c r="E352" s="5" t="inlineStr">
        <is>
          <t>B</t>
        </is>
      </c>
      <c r="F352" s="5" t="inlineStr">
        <is>
          <t>THIAGO</t>
        </is>
      </c>
      <c r="G352" s="5" t="inlineStr">
        <is>
          <t>GRANEL</t>
        </is>
      </c>
      <c r="H352" s="5" t="inlineStr">
        <is>
          <t>PANDURATA</t>
        </is>
      </c>
      <c r="I352" s="5" t="inlineStr">
        <is>
          <t>TON</t>
        </is>
      </c>
      <c r="J352" s="6" t="n">
        <v>23.88</v>
      </c>
      <c r="K352" s="6" t="n">
        <v>23.88</v>
      </c>
      <c r="L352" s="7">
        <f>IF(OR(D352="",N(J352)=0),"",MIN(1,N(K352)/J352))</f>
        <v/>
      </c>
      <c r="M352" s="5" t="n"/>
      <c r="N352" s="5" t="n"/>
      <c r="O352" s="5" t="n"/>
      <c r="P352" s="5" t="n"/>
      <c r="Q352" s="5" t="n"/>
      <c r="R352" s="4" t="n"/>
      <c r="S352" s="4" t="n"/>
      <c r="T352" s="5" t="n"/>
      <c r="U352" s="8">
        <f>IF(AND(V352=1,D352&lt;&gt;""),IF(D352&gt;=corte,TODAY()-D352,""),"")</f>
        <v/>
      </c>
      <c r="V352" s="8">
        <f>IF(D352="",0,IF(OR(AND(P352&lt;&gt;"",S352=""),AND(N(J352)&gt;0,N(K352)&lt;J352),OR(M352="PENDENTE",M352="PARCIAL"),OR(N352="PENDENTE",N352="PARCIAL")),1,0))</f>
        <v/>
      </c>
      <c r="W352" s="8">
        <f>IF(AND(V352=1,D352&lt;&gt;""),IF(D352&gt;=corte,(B352="CRÍTICO")*1E9+(100000-D352)*10000+10000-ROW(),""),"")</f>
        <v/>
      </c>
      <c r="X352" s="8">
        <f>IF(AND(V352=1,D352=pas_data,E352=pas_turno),10000-ROW(),"")</f>
        <v/>
      </c>
    </row>
    <row r="353">
      <c r="A353" s="3">
        <f>IF(D353="","","TT-"&amp;TEXT(ROW()-1,"00000"))</f>
        <v/>
      </c>
      <c r="B353" s="3">
        <f>IF(D353="","",IF(V353=0,"CONCLUÍDO",IF(D353&lt;corte,"HISTÓRICO",IF(OR(AND(ISNUMBER(R353),R353&lt;TODAY()),AND(OR(N353="PENDENTE",N353="PARCIAL"),D353&lt;TODAY()-1)),"CRÍTICO",IF(OR(AND(P353&lt;&gt;"",S353=""),AND(N353="REALIZADO",M353="PENDENTE"),AND(ISNUMBER(R353),R353=TODAY())),"ATENÇÃO",IF(N(K353)=0,"PENDENTE","EM ANDAMENTO"))))))</f>
        <v/>
      </c>
      <c r="C353" s="3">
        <f>IF(D353="","",IF(V353=0,"🟢 OK",IF(D353&lt;corte,"⚪ HISTÓRICO (sem baixa)",IF(AND(ISNUMBER(R353),R353&lt;TODAY()),"🔴 PRAZO VENCIDO",IF(AND(OR(N353="PENDENTE",N353="PARCIAL"),D353&lt;TODAY()-1),"🔴 EMBARQUE ATRASADO",IF(AND(N353="REALIZADO",M353="PENDENTE"),"🟡 EMBARCADO SEM FATURAR",IF(AND(P353&lt;&gt;"",S353="",OR(Q353="",R353="")),"🟡 PENDÊNCIA SEM RESPONSÁVEL/PRAZO",IF(AND(ISNUMBER(R353),R353=TODAY()),"🟡 VENCE HOJE",IF(AND(P353&lt;&gt;"",S353=""),"🟡 PENDÊNCIA ABERTA",IF(AND(N(J353)&gt;0,N(K353)&lt;J353),"🟡 FALTA EXECUTAR",IF(OR(M353="PENDENTE",M353="PARCIAL"),"🟡 FATURAMENTO PENDENTE","🟡 EMBARQUE PENDENTE")))))))))))</f>
        <v/>
      </c>
      <c r="D353" s="4" t="n">
        <v>46247</v>
      </c>
      <c r="E353" s="5" t="inlineStr">
        <is>
          <t>B</t>
        </is>
      </c>
      <c r="F353" s="5" t="inlineStr">
        <is>
          <t>THIAGO</t>
        </is>
      </c>
      <c r="G353" s="5" t="inlineStr">
        <is>
          <t>ABASTECIMENTO</t>
        </is>
      </c>
      <c r="H353" s="5" t="n"/>
      <c r="I353" s="5" t="inlineStr">
        <is>
          <t>PALETE</t>
        </is>
      </c>
      <c r="J353" s="6" t="n">
        <v>37</v>
      </c>
      <c r="K353" s="6" t="n">
        <v>37</v>
      </c>
      <c r="L353" s="7">
        <f>IF(OR(D353="",N(J353)=0),"",MIN(1,N(K353)/J353))</f>
        <v/>
      </c>
      <c r="M353" s="5" t="n"/>
      <c r="N353" s="5" t="n"/>
      <c r="O353" s="5" t="n"/>
      <c r="P353" s="5" t="n"/>
      <c r="Q353" s="5" t="n"/>
      <c r="R353" s="4" t="n"/>
      <c r="S353" s="4" t="n"/>
      <c r="T353" s="5" t="n"/>
      <c r="U353" s="8">
        <f>IF(AND(V353=1,D353&lt;&gt;""),IF(D353&gt;=corte,TODAY()-D353,""),"")</f>
        <v/>
      </c>
      <c r="V353" s="8">
        <f>IF(D353="",0,IF(OR(AND(P353&lt;&gt;"",S353=""),AND(N(J353)&gt;0,N(K353)&lt;J353),OR(M353="PENDENTE",M353="PARCIAL"),OR(N353="PENDENTE",N353="PARCIAL")),1,0))</f>
        <v/>
      </c>
      <c r="W353" s="8">
        <f>IF(AND(V353=1,D353&lt;&gt;""),IF(D353&gt;=corte,(B353="CRÍTICO")*1E9+(100000-D353)*10000+10000-ROW(),""),"")</f>
        <v/>
      </c>
      <c r="X353" s="8">
        <f>IF(AND(V353=1,D353=pas_data,E353=pas_turno),10000-ROW(),"")</f>
        <v/>
      </c>
    </row>
    <row r="354">
      <c r="A354" s="3">
        <f>IF(D354="","","TT-"&amp;TEXT(ROW()-1,"00000"))</f>
        <v/>
      </c>
      <c r="B354" s="3">
        <f>IF(D354="","",IF(V354=0,"CONCLUÍDO",IF(D354&lt;corte,"HISTÓRICO",IF(OR(AND(ISNUMBER(R354),R354&lt;TODAY()),AND(OR(N354="PENDENTE",N354="PARCIAL"),D354&lt;TODAY()-1)),"CRÍTICO",IF(OR(AND(P354&lt;&gt;"",S354=""),AND(N354="REALIZADO",M354="PENDENTE"),AND(ISNUMBER(R354),R354=TODAY())),"ATENÇÃO",IF(N(K354)=0,"PENDENTE","EM ANDAMENTO"))))))</f>
        <v/>
      </c>
      <c r="C354" s="3">
        <f>IF(D354="","",IF(V354=0,"🟢 OK",IF(D354&lt;corte,"⚪ HISTÓRICO (sem baixa)",IF(AND(ISNUMBER(R354),R354&lt;TODAY()),"🔴 PRAZO VENCIDO",IF(AND(OR(N354="PENDENTE",N354="PARCIAL"),D354&lt;TODAY()-1),"🔴 EMBARQUE ATRASADO",IF(AND(N354="REALIZADO",M354="PENDENTE"),"🟡 EMBARCADO SEM FATURAR",IF(AND(P354&lt;&gt;"",S354="",OR(Q354="",R354="")),"🟡 PENDÊNCIA SEM RESPONSÁVEL/PRAZO",IF(AND(ISNUMBER(R354),R354=TODAY()),"🟡 VENCE HOJE",IF(AND(P354&lt;&gt;"",S354=""),"🟡 PENDÊNCIA ABERTA",IF(AND(N(J354)&gt;0,N(K354)&lt;J354),"🟡 FALTA EXECUTAR",IF(OR(M354="PENDENTE",M354="PARCIAL"),"🟡 FATURAMENTO PENDENTE","🟡 EMBARQUE PENDENTE")))))))))))</f>
        <v/>
      </c>
      <c r="D354" s="4" t="n">
        <v>46247</v>
      </c>
      <c r="E354" s="5" t="inlineStr">
        <is>
          <t>B</t>
        </is>
      </c>
      <c r="F354" s="5" t="inlineStr">
        <is>
          <t>THIAGO</t>
        </is>
      </c>
      <c r="G354" s="5" t="inlineStr">
        <is>
          <t>FM</t>
        </is>
      </c>
      <c r="H354" s="5" t="inlineStr">
        <is>
          <t>PANDURATA</t>
        </is>
      </c>
      <c r="I354" s="5" t="n"/>
      <c r="J354" s="6" t="n"/>
      <c r="K354" s="6" t="n"/>
      <c r="L354" s="7">
        <f>IF(OR(D354="",N(J354)=0),"",MIN(1,N(K354)/J354))</f>
        <v/>
      </c>
      <c r="M354" s="5" t="n"/>
      <c r="N354" s="5" t="n"/>
      <c r="O354" s="5" t="n"/>
      <c r="P354" s="5" t="n"/>
      <c r="Q354" s="5" t="n"/>
      <c r="R354" s="4" t="n"/>
      <c r="S354" s="4" t="n"/>
      <c r="T354" s="5" t="n"/>
      <c r="U354" s="8">
        <f>IF(AND(V354=1,D354&lt;&gt;""),IF(D354&gt;=corte,TODAY()-D354,""),"")</f>
        <v/>
      </c>
      <c r="V354" s="8">
        <f>IF(D354="",0,IF(OR(AND(P354&lt;&gt;"",S354=""),AND(N(J354)&gt;0,N(K354)&lt;J354),OR(M354="PENDENTE",M354="PARCIAL"),OR(N354="PENDENTE",N354="PARCIAL")),1,0))</f>
        <v/>
      </c>
      <c r="W354" s="8">
        <f>IF(AND(V354=1,D354&lt;&gt;""),IF(D354&gt;=corte,(B354="CRÍTICO")*1E9+(100000-D354)*10000+10000-ROW(),""),"")</f>
        <v/>
      </c>
      <c r="X354" s="8">
        <f>IF(AND(V354=1,D354=pas_data,E354=pas_turno),10000-ROW(),"")</f>
        <v/>
      </c>
    </row>
    <row r="355">
      <c r="A355" s="3">
        <f>IF(D355="","","TT-"&amp;TEXT(ROW()-1,"00000"))</f>
        <v/>
      </c>
      <c r="B355" s="3">
        <f>IF(D355="","",IF(V355=0,"CONCLUÍDO",IF(D355&lt;corte,"HISTÓRICO",IF(OR(AND(ISNUMBER(R355),R355&lt;TODAY()),AND(OR(N355="PENDENTE",N355="PARCIAL"),D355&lt;TODAY()-1)),"CRÍTICO",IF(OR(AND(P355&lt;&gt;"",S355=""),AND(N355="REALIZADO",M355="PENDENTE"),AND(ISNUMBER(R355),R355=TODAY())),"ATENÇÃO",IF(N(K355)=0,"PENDENTE","EM ANDAMENTO"))))))</f>
        <v/>
      </c>
      <c r="C355" s="3">
        <f>IF(D355="","",IF(V355=0,"🟢 OK",IF(D355&lt;corte,"⚪ HISTÓRICO (sem baixa)",IF(AND(ISNUMBER(R355),R355&lt;TODAY()),"🔴 PRAZO VENCIDO",IF(AND(OR(N355="PENDENTE",N355="PARCIAL"),D355&lt;TODAY()-1),"🔴 EMBARQUE ATRASADO",IF(AND(N355="REALIZADO",M355="PENDENTE"),"🟡 EMBARCADO SEM FATURAR",IF(AND(P355&lt;&gt;"",S355="",OR(Q355="",R355="")),"🟡 PENDÊNCIA SEM RESPONSÁVEL/PRAZO",IF(AND(ISNUMBER(R355),R355=TODAY()),"🟡 VENCE HOJE",IF(AND(P355&lt;&gt;"",S355=""),"🟡 PENDÊNCIA ABERTA",IF(AND(N(J355)&gt;0,N(K355)&lt;J355),"🟡 FALTA EXECUTAR",IF(OR(M355="PENDENTE",M355="PARCIAL"),"🟡 FATURAMENTO PENDENTE","🟡 EMBARQUE PENDENTE")))))))))))</f>
        <v/>
      </c>
      <c r="D355" s="4" t="n">
        <v>46247</v>
      </c>
      <c r="E355" s="5" t="inlineStr">
        <is>
          <t>B</t>
        </is>
      </c>
      <c r="F355" s="5" t="inlineStr">
        <is>
          <t>THIAGO</t>
        </is>
      </c>
      <c r="G355" s="5" t="inlineStr">
        <is>
          <t>FM</t>
        </is>
      </c>
      <c r="H355" s="5" t="inlineStr">
        <is>
          <t>PANDURATA</t>
        </is>
      </c>
      <c r="I355" s="5" t="n"/>
      <c r="J355" s="6" t="n"/>
      <c r="K355" s="6" t="n"/>
      <c r="L355" s="7">
        <f>IF(OR(D355="",N(J355)=0),"",MIN(1,N(K355)/J355))</f>
        <v/>
      </c>
      <c r="M355" s="5" t="n"/>
      <c r="N355" s="5" t="n"/>
      <c r="O355" s="5" t="n"/>
      <c r="P355" s="5" t="n"/>
      <c r="Q355" s="5" t="n"/>
      <c r="R355" s="4" t="n"/>
      <c r="S355" s="4" t="n"/>
      <c r="T355" s="5" t="n"/>
      <c r="U355" s="8">
        <f>IF(AND(V355=1,D355&lt;&gt;""),IF(D355&gt;=corte,TODAY()-D355,""),"")</f>
        <v/>
      </c>
      <c r="V355" s="8">
        <f>IF(D355="",0,IF(OR(AND(P355&lt;&gt;"",S355=""),AND(N(J355)&gt;0,N(K355)&lt;J355),OR(M355="PENDENTE",M355="PARCIAL"),OR(N355="PENDENTE",N355="PARCIAL")),1,0))</f>
        <v/>
      </c>
      <c r="W355" s="8">
        <f>IF(AND(V355=1,D355&lt;&gt;""),IF(D355&gt;=corte,(B355="CRÍTICO")*1E9+(100000-D355)*10000+10000-ROW(),""),"")</f>
        <v/>
      </c>
      <c r="X355" s="8">
        <f>IF(AND(V355=1,D355=pas_data,E355=pas_turno),10000-ROW(),"")</f>
        <v/>
      </c>
    </row>
    <row r="356">
      <c r="A356" s="3">
        <f>IF(D356="","","TT-"&amp;TEXT(ROW()-1,"00000"))</f>
        <v/>
      </c>
      <c r="B356" s="3">
        <f>IF(D356="","",IF(V356=0,"CONCLUÍDO",IF(D356&lt;corte,"HISTÓRICO",IF(OR(AND(ISNUMBER(R356),R356&lt;TODAY()),AND(OR(N356="PENDENTE",N356="PARCIAL"),D356&lt;TODAY()-1)),"CRÍTICO",IF(OR(AND(P356&lt;&gt;"",S356=""),AND(N356="REALIZADO",M356="PENDENTE"),AND(ISNUMBER(R356),R356=TODAY())),"ATENÇÃO",IF(N(K356)=0,"PENDENTE","EM ANDAMENTO"))))))</f>
        <v/>
      </c>
      <c r="C356" s="3">
        <f>IF(D356="","",IF(V356=0,"🟢 OK",IF(D356&lt;corte,"⚪ HISTÓRICO (sem baixa)",IF(AND(ISNUMBER(R356),R356&lt;TODAY()),"🔴 PRAZO VENCIDO",IF(AND(OR(N356="PENDENTE",N356="PARCIAL"),D356&lt;TODAY()-1),"🔴 EMBARQUE ATRASADO",IF(AND(N356="REALIZADO",M356="PENDENTE"),"🟡 EMBARCADO SEM FATURAR",IF(AND(P356&lt;&gt;"",S356="",OR(Q356="",R356="")),"🟡 PENDÊNCIA SEM RESPONSÁVEL/PRAZO",IF(AND(ISNUMBER(R356),R356=TODAY()),"🟡 VENCE HOJE",IF(AND(P356&lt;&gt;"",S356=""),"🟡 PENDÊNCIA ABERTA",IF(AND(N(J356)&gt;0,N(K356)&lt;J356),"🟡 FALTA EXECUTAR",IF(OR(M356="PENDENTE",M356="PARCIAL"),"🟡 FATURAMENTO PENDENTE","🟡 EMBARQUE PENDENTE")))))))))))</f>
        <v/>
      </c>
      <c r="D356" s="4" t="n">
        <v>46247</v>
      </c>
      <c r="E356" s="5" t="inlineStr">
        <is>
          <t>B</t>
        </is>
      </c>
      <c r="F356" s="5" t="inlineStr">
        <is>
          <t>THIAGO</t>
        </is>
      </c>
      <c r="G356" s="5" t="inlineStr">
        <is>
          <t>GM</t>
        </is>
      </c>
      <c r="H356" s="5" t="inlineStr">
        <is>
          <t>CROSS CO/NO/ES 1</t>
        </is>
      </c>
      <c r="I356" s="5" t="inlineStr">
        <is>
          <t>TON</t>
        </is>
      </c>
      <c r="J356" s="6" t="n">
        <v>14.542</v>
      </c>
      <c r="K356" s="6" t="n">
        <v>14.542</v>
      </c>
      <c r="L356" s="7">
        <f>IF(OR(D356="",N(J356)=0),"",MIN(1,N(K356)/J356))</f>
        <v/>
      </c>
      <c r="M356" s="5" t="n"/>
      <c r="N356" s="5" t="n"/>
      <c r="O356" s="5" t="n"/>
      <c r="P356" s="5" t="n"/>
      <c r="Q356" s="5" t="n"/>
      <c r="R356" s="4" t="n"/>
      <c r="S356" s="4" t="n"/>
      <c r="T356" s="5" t="n"/>
      <c r="U356" s="8">
        <f>IF(AND(V356=1,D356&lt;&gt;""),IF(D356&gt;=corte,TODAY()-D356,""),"")</f>
        <v/>
      </c>
      <c r="V356" s="8">
        <f>IF(D356="",0,IF(OR(AND(P356&lt;&gt;"",S356=""),AND(N(J356)&gt;0,N(K356)&lt;J356),OR(M356="PENDENTE",M356="PARCIAL"),OR(N356="PENDENTE",N356="PARCIAL")),1,0))</f>
        <v/>
      </c>
      <c r="W356" s="8">
        <f>IF(AND(V356=1,D356&lt;&gt;""),IF(D356&gt;=corte,(B356="CRÍTICO")*1E9+(100000-D356)*10000+10000-ROW(),""),"")</f>
        <v/>
      </c>
      <c r="X356" s="8">
        <f>IF(AND(V356=1,D356=pas_data,E356=pas_turno),10000-ROW(),"")</f>
        <v/>
      </c>
    </row>
    <row r="357">
      <c r="A357" s="3">
        <f>IF(D357="","","TT-"&amp;TEXT(ROW()-1,"00000"))</f>
        <v/>
      </c>
      <c r="B357" s="3">
        <f>IF(D357="","",IF(V357=0,"CONCLUÍDO",IF(D357&lt;corte,"HISTÓRICO",IF(OR(AND(ISNUMBER(R357),R357&lt;TODAY()),AND(OR(N357="PENDENTE",N357="PARCIAL"),D357&lt;TODAY()-1)),"CRÍTICO",IF(OR(AND(P357&lt;&gt;"",S357=""),AND(N357="REALIZADO",M357="PENDENTE"),AND(ISNUMBER(R357),R357=TODAY())),"ATENÇÃO",IF(N(K357)=0,"PENDENTE","EM ANDAMENTO"))))))</f>
        <v/>
      </c>
      <c r="C357" s="3">
        <f>IF(D357="","",IF(V357=0,"🟢 OK",IF(D357&lt;corte,"⚪ HISTÓRICO (sem baixa)",IF(AND(ISNUMBER(R357),R357&lt;TODAY()),"🔴 PRAZO VENCIDO",IF(AND(OR(N357="PENDENTE",N357="PARCIAL"),D357&lt;TODAY()-1),"🔴 EMBARQUE ATRASADO",IF(AND(N357="REALIZADO",M357="PENDENTE"),"🟡 EMBARCADO SEM FATURAR",IF(AND(P357&lt;&gt;"",S357="",OR(Q357="",R357="")),"🟡 PENDÊNCIA SEM RESPONSÁVEL/PRAZO",IF(AND(ISNUMBER(R357),R357=TODAY()),"🟡 VENCE HOJE",IF(AND(P357&lt;&gt;"",S357=""),"🟡 PENDÊNCIA ABERTA",IF(AND(N(J357)&gt;0,N(K357)&lt;J357),"🟡 FALTA EXECUTAR",IF(OR(M357="PENDENTE",M357="PARCIAL"),"🟡 FATURAMENTO PENDENTE","🟡 EMBARQUE PENDENTE")))))))))))</f>
        <v/>
      </c>
      <c r="D357" s="4" t="n">
        <v>46247</v>
      </c>
      <c r="E357" s="5" t="inlineStr">
        <is>
          <t>B</t>
        </is>
      </c>
      <c r="F357" s="5" t="inlineStr">
        <is>
          <t>THIAGO</t>
        </is>
      </c>
      <c r="G357" s="5" t="inlineStr">
        <is>
          <t>GRANEL</t>
        </is>
      </c>
      <c r="H357" s="5" t="inlineStr">
        <is>
          <t>UNILEVER</t>
        </is>
      </c>
      <c r="I357" s="5" t="inlineStr">
        <is>
          <t>TON</t>
        </is>
      </c>
      <c r="J357" s="6" t="n">
        <v>9.470000000000001</v>
      </c>
      <c r="K357" s="6" t="n">
        <v>9.470000000000001</v>
      </c>
      <c r="L357" s="7">
        <f>IF(OR(D357="",N(J357)=0),"",MIN(1,N(K357)/J357))</f>
        <v/>
      </c>
      <c r="M357" s="5" t="n"/>
      <c r="N357" s="5" t="n"/>
      <c r="O357" s="5" t="n"/>
      <c r="P357" s="5" t="n"/>
      <c r="Q357" s="5" t="n"/>
      <c r="R357" s="4" t="n"/>
      <c r="S357" s="4" t="n"/>
      <c r="T357" s="5" t="n"/>
      <c r="U357" s="8">
        <f>IF(AND(V357=1,D357&lt;&gt;""),IF(D357&gt;=corte,TODAY()-D357,""),"")</f>
        <v/>
      </c>
      <c r="V357" s="8">
        <f>IF(D357="",0,IF(OR(AND(P357&lt;&gt;"",S357=""),AND(N(J357)&gt;0,N(K357)&lt;J357),OR(M357="PENDENTE",M357="PARCIAL"),OR(N357="PENDENTE",N357="PARCIAL")),1,0))</f>
        <v/>
      </c>
      <c r="W357" s="8">
        <f>IF(AND(V357=1,D357&lt;&gt;""),IF(D357&gt;=corte,(B357="CRÍTICO")*1E9+(100000-D357)*10000+10000-ROW(),""),"")</f>
        <v/>
      </c>
      <c r="X357" s="8">
        <f>IF(AND(V357=1,D357=pas_data,E357=pas_turno),10000-ROW(),"")</f>
        <v/>
      </c>
    </row>
    <row r="358">
      <c r="A358" s="3">
        <f>IF(D358="","","TT-"&amp;TEXT(ROW()-1,"00000"))</f>
        <v/>
      </c>
      <c r="B358" s="3">
        <f>IF(D358="","",IF(V358=0,"CONCLUÍDO",IF(D358&lt;corte,"HISTÓRICO",IF(OR(AND(ISNUMBER(R358),R358&lt;TODAY()),AND(OR(N358="PENDENTE",N358="PARCIAL"),D358&lt;TODAY()-1)),"CRÍTICO",IF(OR(AND(P358&lt;&gt;"",S358=""),AND(N358="REALIZADO",M358="PENDENTE"),AND(ISNUMBER(R358),R358=TODAY())),"ATENÇÃO",IF(N(K358)=0,"PENDENTE","EM ANDAMENTO"))))))</f>
        <v/>
      </c>
      <c r="C358" s="3">
        <f>IF(D358="","",IF(V358=0,"🟢 OK",IF(D358&lt;corte,"⚪ HISTÓRICO (sem baixa)",IF(AND(ISNUMBER(R358),R358&lt;TODAY()),"🔴 PRAZO VENCIDO",IF(AND(OR(N358="PENDENTE",N358="PARCIAL"),D358&lt;TODAY()-1),"🔴 EMBARQUE ATRASADO",IF(AND(N358="REALIZADO",M358="PENDENTE"),"🟡 EMBARCADO SEM FATURAR",IF(AND(P358&lt;&gt;"",S358="",OR(Q358="",R358="")),"🟡 PENDÊNCIA SEM RESPONSÁVEL/PRAZO",IF(AND(ISNUMBER(R358),R358=TODAY()),"🟡 VENCE HOJE",IF(AND(P358&lt;&gt;"",S358=""),"🟡 PENDÊNCIA ABERTA",IF(AND(N(J358)&gt;0,N(K358)&lt;J358),"🟡 FALTA EXECUTAR",IF(OR(M358="PENDENTE",M358="PARCIAL"),"🟡 FATURAMENTO PENDENTE","🟡 EMBARQUE PENDENTE")))))))))))</f>
        <v/>
      </c>
      <c r="D358" s="4" t="n">
        <v>46247</v>
      </c>
      <c r="E358" s="5" t="inlineStr">
        <is>
          <t>B</t>
        </is>
      </c>
      <c r="F358" s="5" t="inlineStr">
        <is>
          <t>THIAGO</t>
        </is>
      </c>
      <c r="G358" s="5" t="n"/>
      <c r="H358" s="5" t="inlineStr">
        <is>
          <t>FLOOR/CACAU</t>
        </is>
      </c>
      <c r="I358" s="5" t="inlineStr">
        <is>
          <t>PALETE</t>
        </is>
      </c>
      <c r="J358" s="6" t="n">
        <v>110</v>
      </c>
      <c r="K358" s="6" t="n"/>
      <c r="L358" s="7">
        <f>IF(OR(D358="",N(J358)=0),"",MIN(1,N(K358)/J358))</f>
        <v/>
      </c>
      <c r="M358" s="5" t="n"/>
      <c r="N358" s="5" t="n"/>
      <c r="O358" s="5" t="n"/>
      <c r="P358" s="5" t="n"/>
      <c r="Q358" s="5" t="n"/>
      <c r="R358" s="4" t="n"/>
      <c r="S358" s="4" t="n"/>
      <c r="T358" s="5" t="n"/>
      <c r="U358" s="8">
        <f>IF(AND(V358=1,D358&lt;&gt;""),IF(D358&gt;=corte,TODAY()-D358,""),"")</f>
        <v/>
      </c>
      <c r="V358" s="8">
        <f>IF(D358="",0,IF(OR(AND(P358&lt;&gt;"",S358=""),AND(N(J358)&gt;0,N(K358)&lt;J358),OR(M358="PENDENTE",M358="PARCIAL"),OR(N358="PENDENTE",N358="PARCIAL")),1,0))</f>
        <v/>
      </c>
      <c r="W358" s="8">
        <f>IF(AND(V358=1,D358&lt;&gt;""),IF(D358&gt;=corte,(B358="CRÍTICO")*1E9+(100000-D358)*10000+10000-ROW(),""),"")</f>
        <v/>
      </c>
      <c r="X358" s="8">
        <f>IF(AND(V358=1,D358=pas_data,E358=pas_turno),10000-ROW(),"")</f>
        <v/>
      </c>
    </row>
    <row r="359">
      <c r="A359" s="3">
        <f>IF(D359="","","TT-"&amp;TEXT(ROW()-1,"00000"))</f>
        <v/>
      </c>
      <c r="B359" s="3">
        <f>IF(D359="","",IF(V359=0,"CONCLUÍDO",IF(D359&lt;corte,"HISTÓRICO",IF(OR(AND(ISNUMBER(R359),R359&lt;TODAY()),AND(OR(N359="PENDENTE",N359="PARCIAL"),D359&lt;TODAY()-1)),"CRÍTICO",IF(OR(AND(P359&lt;&gt;"",S359=""),AND(N359="REALIZADO",M359="PENDENTE"),AND(ISNUMBER(R359),R359=TODAY())),"ATENÇÃO",IF(N(K359)=0,"PENDENTE","EM ANDAMENTO"))))))</f>
        <v/>
      </c>
      <c r="C359" s="3">
        <f>IF(D359="","",IF(V359=0,"🟢 OK",IF(D359&lt;corte,"⚪ HISTÓRICO (sem baixa)",IF(AND(ISNUMBER(R359),R359&lt;TODAY()),"🔴 PRAZO VENCIDO",IF(AND(OR(N359="PENDENTE",N359="PARCIAL"),D359&lt;TODAY()-1),"🔴 EMBARQUE ATRASADO",IF(AND(N359="REALIZADO",M359="PENDENTE"),"🟡 EMBARCADO SEM FATURAR",IF(AND(P359&lt;&gt;"",S359="",OR(Q359="",R359="")),"🟡 PENDÊNCIA SEM RESPONSÁVEL/PRAZO",IF(AND(ISNUMBER(R359),R359=TODAY()),"🟡 VENCE HOJE",IF(AND(P359&lt;&gt;"",S359=""),"🟡 PENDÊNCIA ABERTA",IF(AND(N(J359)&gt;0,N(K359)&lt;J359),"🟡 FALTA EXECUTAR",IF(OR(M359="PENDENTE",M359="PARCIAL"),"🟡 FATURAMENTO PENDENTE","🟡 EMBARQUE PENDENTE")))))))))))</f>
        <v/>
      </c>
      <c r="D359" s="4" t="n">
        <v>46248</v>
      </c>
      <c r="E359" s="5" t="inlineStr">
        <is>
          <t>A</t>
        </is>
      </c>
      <c r="F359" s="5" t="inlineStr">
        <is>
          <t>TATIANE</t>
        </is>
      </c>
      <c r="G359" s="5" t="inlineStr">
        <is>
          <t>GM</t>
        </is>
      </c>
      <c r="H359" s="5" t="inlineStr">
        <is>
          <t>GM</t>
        </is>
      </c>
      <c r="I359" s="5" t="inlineStr">
        <is>
          <t>TON</t>
        </is>
      </c>
      <c r="J359" s="6" t="n">
        <v>13.355</v>
      </c>
      <c r="K359" s="6" t="n">
        <v>5.355</v>
      </c>
      <c r="L359" s="7">
        <f>IF(OR(D359="",N(J359)=0),"",MIN(1,N(K359)/J359))</f>
        <v/>
      </c>
      <c r="M359" s="5" t="inlineStr">
        <is>
          <t>FATURADO</t>
        </is>
      </c>
      <c r="N359" s="5" t="inlineStr">
        <is>
          <t>REALIZADO</t>
        </is>
      </c>
      <c r="O359" s="5" t="inlineStr">
        <is>
          <t>TAFF</t>
        </is>
      </c>
      <c r="P359" s="5" t="n"/>
      <c r="Q359" s="5" t="n"/>
      <c r="R359" s="4" t="n"/>
      <c r="S359" s="4" t="n"/>
      <c r="T359" s="5" t="n"/>
      <c r="U359" s="8">
        <f>IF(AND(V359=1,D359&lt;&gt;""),IF(D359&gt;=corte,TODAY()-D359,""),"")</f>
        <v/>
      </c>
      <c r="V359" s="8">
        <f>IF(D359="",0,IF(OR(AND(P359&lt;&gt;"",S359=""),AND(N(J359)&gt;0,N(K359)&lt;J359),OR(M359="PENDENTE",M359="PARCIAL"),OR(N359="PENDENTE",N359="PARCIAL")),1,0))</f>
        <v/>
      </c>
      <c r="W359" s="8">
        <f>IF(AND(V359=1,D359&lt;&gt;""),IF(D359&gt;=corte,(B359="CRÍTICO")*1E9+(100000-D359)*10000+10000-ROW(),""),"")</f>
        <v/>
      </c>
      <c r="X359" s="8">
        <f>IF(AND(V359=1,D359=pas_data,E359=pas_turno),10000-ROW(),"")</f>
        <v/>
      </c>
    </row>
    <row r="360">
      <c r="A360" s="3">
        <f>IF(D360="","","TT-"&amp;TEXT(ROW()-1,"00000"))</f>
        <v/>
      </c>
      <c r="B360" s="3">
        <f>IF(D360="","",IF(V360=0,"CONCLUÍDO",IF(D360&lt;corte,"HISTÓRICO",IF(OR(AND(ISNUMBER(R360),R360&lt;TODAY()),AND(OR(N360="PENDENTE",N360="PARCIAL"),D360&lt;TODAY()-1)),"CRÍTICO",IF(OR(AND(P360&lt;&gt;"",S360=""),AND(N360="REALIZADO",M360="PENDENTE"),AND(ISNUMBER(R360),R360=TODAY())),"ATENÇÃO",IF(N(K360)=0,"PENDENTE","EM ANDAMENTO"))))))</f>
        <v/>
      </c>
      <c r="C360" s="3">
        <f>IF(D360="","",IF(V360=0,"🟢 OK",IF(D360&lt;corte,"⚪ HISTÓRICO (sem baixa)",IF(AND(ISNUMBER(R360),R360&lt;TODAY()),"🔴 PRAZO VENCIDO",IF(AND(OR(N360="PENDENTE",N360="PARCIAL"),D360&lt;TODAY()-1),"🔴 EMBARQUE ATRASADO",IF(AND(N360="REALIZADO",M360="PENDENTE"),"🟡 EMBARCADO SEM FATURAR",IF(AND(P360&lt;&gt;"",S360="",OR(Q360="",R360="")),"🟡 PENDÊNCIA SEM RESPONSÁVEL/PRAZO",IF(AND(ISNUMBER(R360),R360=TODAY()),"🟡 VENCE HOJE",IF(AND(P360&lt;&gt;"",S360=""),"🟡 PENDÊNCIA ABERTA",IF(AND(N(J360)&gt;0,N(K360)&lt;J360),"🟡 FALTA EXECUTAR",IF(OR(M360="PENDENTE",M360="PARCIAL"),"🟡 FATURAMENTO PENDENTE","🟡 EMBARQUE PENDENTE")))))))))))</f>
        <v/>
      </c>
      <c r="D360" s="4" t="n">
        <v>46248</v>
      </c>
      <c r="E360" s="5" t="inlineStr">
        <is>
          <t>A</t>
        </is>
      </c>
      <c r="F360" s="5" t="inlineStr">
        <is>
          <t>TATIANE</t>
        </is>
      </c>
      <c r="G360" s="5" t="inlineStr">
        <is>
          <t>GM</t>
        </is>
      </c>
      <c r="H360" s="5" t="inlineStr">
        <is>
          <t>GM</t>
        </is>
      </c>
      <c r="I360" s="5" t="inlineStr">
        <is>
          <t>TON</t>
        </is>
      </c>
      <c r="J360" s="6" t="n">
        <v>12.587</v>
      </c>
      <c r="K360" s="6" t="n">
        <v>12.587</v>
      </c>
      <c r="L360" s="7">
        <f>IF(OR(D360="",N(J360)=0),"",MIN(1,N(K360)/J360))</f>
        <v/>
      </c>
      <c r="M360" s="5" t="inlineStr">
        <is>
          <t>FATURADO</t>
        </is>
      </c>
      <c r="N360" s="5" t="inlineStr">
        <is>
          <t>PENDENTE</t>
        </is>
      </c>
      <c r="O360" s="5" t="inlineStr">
        <is>
          <t>TAFF</t>
        </is>
      </c>
      <c r="P360" s="5" t="n"/>
      <c r="Q360" s="5" t="n"/>
      <c r="R360" s="4" t="n"/>
      <c r="S360" s="4" t="n"/>
      <c r="T360" s="5" t="n"/>
      <c r="U360" s="8">
        <f>IF(AND(V360=1,D360&lt;&gt;""),IF(D360&gt;=corte,TODAY()-D360,""),"")</f>
        <v/>
      </c>
      <c r="V360" s="8">
        <f>IF(D360="",0,IF(OR(AND(P360&lt;&gt;"",S360=""),AND(N(J360)&gt;0,N(K360)&lt;J360),OR(M360="PENDENTE",M360="PARCIAL"),OR(N360="PENDENTE",N360="PARCIAL")),1,0))</f>
        <v/>
      </c>
      <c r="W360" s="8">
        <f>IF(AND(V360=1,D360&lt;&gt;""),IF(D360&gt;=corte,(B360="CRÍTICO")*1E9+(100000-D360)*10000+10000-ROW(),""),"")</f>
        <v/>
      </c>
      <c r="X360" s="8">
        <f>IF(AND(V360=1,D360=pas_data,E360=pas_turno),10000-ROW(),"")</f>
        <v/>
      </c>
    </row>
    <row r="361">
      <c r="A361" s="3">
        <f>IF(D361="","","TT-"&amp;TEXT(ROW()-1,"00000"))</f>
        <v/>
      </c>
      <c r="B361" s="3">
        <f>IF(D361="","",IF(V361=0,"CONCLUÍDO",IF(D361&lt;corte,"HISTÓRICO",IF(OR(AND(ISNUMBER(R361),R361&lt;TODAY()),AND(OR(N361="PENDENTE",N361="PARCIAL"),D361&lt;TODAY()-1)),"CRÍTICO",IF(OR(AND(P361&lt;&gt;"",S361=""),AND(N361="REALIZADO",M361="PENDENTE"),AND(ISNUMBER(R361),R361=TODAY())),"ATENÇÃO",IF(N(K361)=0,"PENDENTE","EM ANDAMENTO"))))))</f>
        <v/>
      </c>
      <c r="C361" s="3">
        <f>IF(D361="","",IF(V361=0,"🟢 OK",IF(D361&lt;corte,"⚪ HISTÓRICO (sem baixa)",IF(AND(ISNUMBER(R361),R361&lt;TODAY()),"🔴 PRAZO VENCIDO",IF(AND(OR(N361="PENDENTE",N361="PARCIAL"),D361&lt;TODAY()-1),"🔴 EMBARQUE ATRASADO",IF(AND(N361="REALIZADO",M361="PENDENTE"),"🟡 EMBARCADO SEM FATURAR",IF(AND(P361&lt;&gt;"",S361="",OR(Q361="",R361="")),"🟡 PENDÊNCIA SEM RESPONSÁVEL/PRAZO",IF(AND(ISNUMBER(R361),R361=TODAY()),"🟡 VENCE HOJE",IF(AND(P361&lt;&gt;"",S361=""),"🟡 PENDÊNCIA ABERTA",IF(AND(N(J361)&gt;0,N(K361)&lt;J361),"🟡 FALTA EXECUTAR",IF(OR(M361="PENDENTE",M361="PARCIAL"),"🟡 FATURAMENTO PENDENTE","🟡 EMBARQUE PENDENTE")))))))))))</f>
        <v/>
      </c>
      <c r="D361" s="4" t="n">
        <v>46248</v>
      </c>
      <c r="E361" s="5" t="inlineStr">
        <is>
          <t>A</t>
        </is>
      </c>
      <c r="F361" s="5" t="inlineStr">
        <is>
          <t>TATIANE</t>
        </is>
      </c>
      <c r="G361" s="5" t="inlineStr">
        <is>
          <t>GM</t>
        </is>
      </c>
      <c r="H361" s="5" t="inlineStr">
        <is>
          <t>GM</t>
        </is>
      </c>
      <c r="I361" s="5" t="inlineStr">
        <is>
          <t>TON</t>
        </is>
      </c>
      <c r="J361" s="6" t="n">
        <v>18.784</v>
      </c>
      <c r="K361" s="6" t="n">
        <v>18.784</v>
      </c>
      <c r="L361" s="7">
        <f>IF(OR(D361="",N(J361)=0),"",MIN(1,N(K361)/J361))</f>
        <v/>
      </c>
      <c r="M361" s="5" t="n"/>
      <c r="N361" s="5" t="n"/>
      <c r="O361" s="5" t="n"/>
      <c r="P361" s="5" t="n"/>
      <c r="Q361" s="5" t="n"/>
      <c r="R361" s="4" t="n"/>
      <c r="S361" s="4" t="n"/>
      <c r="T361" s="5" t="n"/>
      <c r="U361" s="8">
        <f>IF(AND(V361=1,D361&lt;&gt;""),IF(D361&gt;=corte,TODAY()-D361,""),"")</f>
        <v/>
      </c>
      <c r="V361" s="8">
        <f>IF(D361="",0,IF(OR(AND(P361&lt;&gt;"",S361=""),AND(N(J361)&gt;0,N(K361)&lt;J361),OR(M361="PENDENTE",M361="PARCIAL"),OR(N361="PENDENTE",N361="PARCIAL")),1,0))</f>
        <v/>
      </c>
      <c r="W361" s="8">
        <f>IF(AND(V361=1,D361&lt;&gt;""),IF(D361&gt;=corte,(B361="CRÍTICO")*1E9+(100000-D361)*10000+10000-ROW(),""),"")</f>
        <v/>
      </c>
      <c r="X361" s="8">
        <f>IF(AND(V361=1,D361=pas_data,E361=pas_turno),10000-ROW(),"")</f>
        <v/>
      </c>
    </row>
    <row r="362">
      <c r="A362" s="3">
        <f>IF(D362="","","TT-"&amp;TEXT(ROW()-1,"00000"))</f>
        <v/>
      </c>
      <c r="B362" s="3">
        <f>IF(D362="","",IF(V362=0,"CONCLUÍDO",IF(D362&lt;corte,"HISTÓRICO",IF(OR(AND(ISNUMBER(R362),R362&lt;TODAY()),AND(OR(N362="PENDENTE",N362="PARCIAL"),D362&lt;TODAY()-1)),"CRÍTICO",IF(OR(AND(P362&lt;&gt;"",S362=""),AND(N362="REALIZADO",M362="PENDENTE"),AND(ISNUMBER(R362),R362=TODAY())),"ATENÇÃO",IF(N(K362)=0,"PENDENTE","EM ANDAMENTO"))))))</f>
        <v/>
      </c>
      <c r="C362" s="3">
        <f>IF(D362="","",IF(V362=0,"🟢 OK",IF(D362&lt;corte,"⚪ HISTÓRICO (sem baixa)",IF(AND(ISNUMBER(R362),R362&lt;TODAY()),"🔴 PRAZO VENCIDO",IF(AND(OR(N362="PENDENTE",N362="PARCIAL"),D362&lt;TODAY()-1),"🔴 EMBARQUE ATRASADO",IF(AND(N362="REALIZADO",M362="PENDENTE"),"🟡 EMBARCADO SEM FATURAR",IF(AND(P362&lt;&gt;"",S362="",OR(Q362="",R362="")),"🟡 PENDÊNCIA SEM RESPONSÁVEL/PRAZO",IF(AND(ISNUMBER(R362),R362=TODAY()),"🟡 VENCE HOJE",IF(AND(P362&lt;&gt;"",S362=""),"🟡 PENDÊNCIA ABERTA",IF(AND(N(J362)&gt;0,N(K362)&lt;J362),"🟡 FALTA EXECUTAR",IF(OR(M362="PENDENTE",M362="PARCIAL"),"🟡 FATURAMENTO PENDENTE","🟡 EMBARQUE PENDENTE")))))))))))</f>
        <v/>
      </c>
      <c r="D362" s="4" t="n">
        <v>46248</v>
      </c>
      <c r="E362" s="5" t="inlineStr">
        <is>
          <t>A</t>
        </is>
      </c>
      <c r="F362" s="5" t="inlineStr">
        <is>
          <t>TATIANE</t>
        </is>
      </c>
      <c r="G362" s="5" t="inlineStr">
        <is>
          <t>GM</t>
        </is>
      </c>
      <c r="H362" s="5" t="inlineStr">
        <is>
          <t>GM</t>
        </is>
      </c>
      <c r="I362" s="5" t="inlineStr">
        <is>
          <t>TON</t>
        </is>
      </c>
      <c r="J362" s="6" t="n">
        <v>16.569</v>
      </c>
      <c r="K362" s="6" t="n">
        <v>16.569</v>
      </c>
      <c r="L362" s="7">
        <f>IF(OR(D362="",N(J362)=0),"",MIN(1,N(K362)/J362))</f>
        <v/>
      </c>
      <c r="M362" s="5" t="inlineStr">
        <is>
          <t>FATURADO</t>
        </is>
      </c>
      <c r="N362" s="5" t="inlineStr">
        <is>
          <t>REALIZADO</t>
        </is>
      </c>
      <c r="O362" s="5" t="inlineStr">
        <is>
          <t>SPEEDYLOG</t>
        </is>
      </c>
      <c r="P362" s="5" t="n"/>
      <c r="Q362" s="5" t="n"/>
      <c r="R362" s="4" t="n"/>
      <c r="S362" s="4" t="n"/>
      <c r="T362" s="5" t="n"/>
      <c r="U362" s="8">
        <f>IF(AND(V362=1,D362&lt;&gt;""),IF(D362&gt;=corte,TODAY()-D362,""),"")</f>
        <v/>
      </c>
      <c r="V362" s="8">
        <f>IF(D362="",0,IF(OR(AND(P362&lt;&gt;"",S362=""),AND(N(J362)&gt;0,N(K362)&lt;J362),OR(M362="PENDENTE",M362="PARCIAL"),OR(N362="PENDENTE",N362="PARCIAL")),1,0))</f>
        <v/>
      </c>
      <c r="W362" s="8">
        <f>IF(AND(V362=1,D362&lt;&gt;""),IF(D362&gt;=corte,(B362="CRÍTICO")*1E9+(100000-D362)*10000+10000-ROW(),""),"")</f>
        <v/>
      </c>
      <c r="X362" s="8">
        <f>IF(AND(V362=1,D362=pas_data,E362=pas_turno),10000-ROW(),"")</f>
        <v/>
      </c>
    </row>
    <row r="363">
      <c r="A363" s="3">
        <f>IF(D363="","","TT-"&amp;TEXT(ROW()-1,"00000"))</f>
        <v/>
      </c>
      <c r="B363" s="3">
        <f>IF(D363="","",IF(V363=0,"CONCLUÍDO",IF(D363&lt;corte,"HISTÓRICO",IF(OR(AND(ISNUMBER(R363),R363&lt;TODAY()),AND(OR(N363="PENDENTE",N363="PARCIAL"),D363&lt;TODAY()-1)),"CRÍTICO",IF(OR(AND(P363&lt;&gt;"",S363=""),AND(N363="REALIZADO",M363="PENDENTE"),AND(ISNUMBER(R363),R363=TODAY())),"ATENÇÃO",IF(N(K363)=0,"PENDENTE","EM ANDAMENTO"))))))</f>
        <v/>
      </c>
      <c r="C363" s="3">
        <f>IF(D363="","",IF(V363=0,"🟢 OK",IF(D363&lt;corte,"⚪ HISTÓRICO (sem baixa)",IF(AND(ISNUMBER(R363),R363&lt;TODAY()),"🔴 PRAZO VENCIDO",IF(AND(OR(N363="PENDENTE",N363="PARCIAL"),D363&lt;TODAY()-1),"🔴 EMBARQUE ATRASADO",IF(AND(N363="REALIZADO",M363="PENDENTE"),"🟡 EMBARCADO SEM FATURAR",IF(AND(P363&lt;&gt;"",S363="",OR(Q363="",R363="")),"🟡 PENDÊNCIA SEM RESPONSÁVEL/PRAZO",IF(AND(ISNUMBER(R363),R363=TODAY()),"🟡 VENCE HOJE",IF(AND(P363&lt;&gt;"",S363=""),"🟡 PENDÊNCIA ABERTA",IF(AND(N(J363)&gt;0,N(K363)&lt;J363),"🟡 FALTA EXECUTAR",IF(OR(M363="PENDENTE",M363="PARCIAL"),"🟡 FATURAMENTO PENDENTE","🟡 EMBARQUE PENDENTE")))))))))))</f>
        <v/>
      </c>
      <c r="D363" s="4" t="n">
        <v>46248</v>
      </c>
      <c r="E363" s="5" t="inlineStr">
        <is>
          <t>A</t>
        </is>
      </c>
      <c r="F363" s="5" t="inlineStr">
        <is>
          <t>TATIANE</t>
        </is>
      </c>
      <c r="G363" s="5" t="inlineStr">
        <is>
          <t>FOB</t>
        </is>
      </c>
      <c r="H363" s="5" t="inlineStr">
        <is>
          <t>FOB 14/08</t>
        </is>
      </c>
      <c r="I363" s="5" t="inlineStr">
        <is>
          <t>TON</t>
        </is>
      </c>
      <c r="J363" s="6" t="n">
        <v>1.702</v>
      </c>
      <c r="K363" s="6" t="n">
        <v>1.702</v>
      </c>
      <c r="L363" s="7">
        <f>IF(OR(D363="",N(J363)=0),"",MIN(1,N(K363)/J363))</f>
        <v/>
      </c>
      <c r="M363" s="5" t="inlineStr">
        <is>
          <t>FATURADO</t>
        </is>
      </c>
      <c r="N363" s="5" t="inlineStr">
        <is>
          <t>PENDENTE</t>
        </is>
      </c>
      <c r="O363" s="5" t="inlineStr">
        <is>
          <t>PRÓPRIO</t>
        </is>
      </c>
      <c r="P363" s="5" t="n"/>
      <c r="Q363" s="5" t="n"/>
      <c r="R363" s="4" t="n"/>
      <c r="S363" s="4" t="n"/>
      <c r="T363" s="5" t="n"/>
      <c r="U363" s="8">
        <f>IF(AND(V363=1,D363&lt;&gt;""),IF(D363&gt;=corte,TODAY()-D363,""),"")</f>
        <v/>
      </c>
      <c r="V363" s="8">
        <f>IF(D363="",0,IF(OR(AND(P363&lt;&gt;"",S363=""),AND(N(J363)&gt;0,N(K363)&lt;J363),OR(M363="PENDENTE",M363="PARCIAL"),OR(N363="PENDENTE",N363="PARCIAL")),1,0))</f>
        <v/>
      </c>
      <c r="W363" s="8">
        <f>IF(AND(V363=1,D363&lt;&gt;""),IF(D363&gt;=corte,(B363="CRÍTICO")*1E9+(100000-D363)*10000+10000-ROW(),""),"")</f>
        <v/>
      </c>
      <c r="X363" s="8">
        <f>IF(AND(V363=1,D363=pas_data,E363=pas_turno),10000-ROW(),"")</f>
        <v/>
      </c>
    </row>
    <row r="364">
      <c r="A364" s="3">
        <f>IF(D364="","","TT-"&amp;TEXT(ROW()-1,"00000"))</f>
        <v/>
      </c>
      <c r="B364" s="3">
        <f>IF(D364="","",IF(V364=0,"CONCLUÍDO",IF(D364&lt;corte,"HISTÓRICO",IF(OR(AND(ISNUMBER(R364),R364&lt;TODAY()),AND(OR(N364="PENDENTE",N364="PARCIAL"),D364&lt;TODAY()-1)),"CRÍTICO",IF(OR(AND(P364&lt;&gt;"",S364=""),AND(N364="REALIZADO",M364="PENDENTE"),AND(ISNUMBER(R364),R364=TODAY())),"ATENÇÃO",IF(N(K364)=0,"PENDENTE","EM ANDAMENTO"))))))</f>
        <v/>
      </c>
      <c r="C364" s="3">
        <f>IF(D364="","",IF(V364=0,"🟢 OK",IF(D364&lt;corte,"⚪ HISTÓRICO (sem baixa)",IF(AND(ISNUMBER(R364),R364&lt;TODAY()),"🔴 PRAZO VENCIDO",IF(AND(OR(N364="PENDENTE",N364="PARCIAL"),D364&lt;TODAY()-1),"🔴 EMBARQUE ATRASADO",IF(AND(N364="REALIZADO",M364="PENDENTE"),"🟡 EMBARCADO SEM FATURAR",IF(AND(P364&lt;&gt;"",S364="",OR(Q364="",R364="")),"🟡 PENDÊNCIA SEM RESPONSÁVEL/PRAZO",IF(AND(ISNUMBER(R364),R364=TODAY()),"🟡 VENCE HOJE",IF(AND(P364&lt;&gt;"",S364=""),"🟡 PENDÊNCIA ABERTA",IF(AND(N(J364)&gt;0,N(K364)&lt;J364),"🟡 FALTA EXECUTAR",IF(OR(M364="PENDENTE",M364="PARCIAL"),"🟡 FATURAMENTO PENDENTE","🟡 EMBARQUE PENDENTE")))))))))))</f>
        <v/>
      </c>
      <c r="D364" s="4" t="n">
        <v>46248</v>
      </c>
      <c r="E364" s="5" t="inlineStr">
        <is>
          <t>A</t>
        </is>
      </c>
      <c r="F364" s="5" t="inlineStr">
        <is>
          <t>TATIANE</t>
        </is>
      </c>
      <c r="G364" s="5" t="inlineStr">
        <is>
          <t>FOB</t>
        </is>
      </c>
      <c r="H364" s="5" t="inlineStr">
        <is>
          <t>FOB 14/08</t>
        </is>
      </c>
      <c r="I364" s="5" t="inlineStr">
        <is>
          <t>TON</t>
        </is>
      </c>
      <c r="J364" s="6" t="n">
        <v>14.518</v>
      </c>
      <c r="K364" s="6" t="n"/>
      <c r="L364" s="7">
        <f>IF(OR(D364="",N(J364)=0),"",MIN(1,N(K364)/J364))</f>
        <v/>
      </c>
      <c r="M364" s="5" t="inlineStr">
        <is>
          <t>PENDENTE</t>
        </is>
      </c>
      <c r="N364" s="5" t="inlineStr">
        <is>
          <t>PENDENTE</t>
        </is>
      </c>
      <c r="O364" s="5" t="n"/>
      <c r="P364" s="5" t="inlineStr">
        <is>
          <t>GERADO- SEPARAR</t>
        </is>
      </c>
      <c r="Q364" s="5" t="n"/>
      <c r="R364" s="4" t="n"/>
      <c r="S364" s="4" t="n"/>
      <c r="T364" s="5" t="inlineStr">
        <is>
          <t>GERADO- SEPARAR</t>
        </is>
      </c>
      <c r="U364" s="8">
        <f>IF(AND(V364=1,D364&lt;&gt;""),IF(D364&gt;=corte,TODAY()-D364,""),"")</f>
        <v/>
      </c>
      <c r="V364" s="8">
        <f>IF(D364="",0,IF(OR(AND(P364&lt;&gt;"",S364=""),AND(N(J364)&gt;0,N(K364)&lt;J364),OR(M364="PENDENTE",M364="PARCIAL"),OR(N364="PENDENTE",N364="PARCIAL")),1,0))</f>
        <v/>
      </c>
      <c r="W364" s="8">
        <f>IF(AND(V364=1,D364&lt;&gt;""),IF(D364&gt;=corte,(B364="CRÍTICO")*1E9+(100000-D364)*10000+10000-ROW(),""),"")</f>
        <v/>
      </c>
      <c r="X364" s="8">
        <f>IF(AND(V364=1,D364=pas_data,E364=pas_turno),10000-ROW(),"")</f>
        <v/>
      </c>
    </row>
    <row r="365">
      <c r="A365" s="3">
        <f>IF(D365="","","TT-"&amp;TEXT(ROW()-1,"00000"))</f>
        <v/>
      </c>
      <c r="B365" s="3">
        <f>IF(D365="","",IF(V365=0,"CONCLUÍDO",IF(D365&lt;corte,"HISTÓRICO",IF(OR(AND(ISNUMBER(R365),R365&lt;TODAY()),AND(OR(N365="PENDENTE",N365="PARCIAL"),D365&lt;TODAY()-1)),"CRÍTICO",IF(OR(AND(P365&lt;&gt;"",S365=""),AND(N365="REALIZADO",M365="PENDENTE"),AND(ISNUMBER(R365),R365=TODAY())),"ATENÇÃO",IF(N(K365)=0,"PENDENTE","EM ANDAMENTO"))))))</f>
        <v/>
      </c>
      <c r="C365" s="3">
        <f>IF(D365="","",IF(V365=0,"🟢 OK",IF(D365&lt;corte,"⚪ HISTÓRICO (sem baixa)",IF(AND(ISNUMBER(R365),R365&lt;TODAY()),"🔴 PRAZO VENCIDO",IF(AND(OR(N365="PENDENTE",N365="PARCIAL"),D365&lt;TODAY()-1),"🔴 EMBARQUE ATRASADO",IF(AND(N365="REALIZADO",M365="PENDENTE"),"🟡 EMBARCADO SEM FATURAR",IF(AND(P365&lt;&gt;"",S365="",OR(Q365="",R365="")),"🟡 PENDÊNCIA SEM RESPONSÁVEL/PRAZO",IF(AND(ISNUMBER(R365),R365=TODAY()),"🟡 VENCE HOJE",IF(AND(P365&lt;&gt;"",S365=""),"🟡 PENDÊNCIA ABERTA",IF(AND(N(J365)&gt;0,N(K365)&lt;J365),"🟡 FALTA EXECUTAR",IF(OR(M365="PENDENTE",M365="PARCIAL"),"🟡 FATURAMENTO PENDENTE","🟡 EMBARQUE PENDENTE")))))))))))</f>
        <v/>
      </c>
      <c r="D365" s="4" t="n">
        <v>46248</v>
      </c>
      <c r="E365" s="5" t="inlineStr">
        <is>
          <t>A</t>
        </is>
      </c>
      <c r="F365" s="5" t="inlineStr">
        <is>
          <t>TATIANE</t>
        </is>
      </c>
      <c r="G365" s="5" t="inlineStr">
        <is>
          <t>CACAU</t>
        </is>
      </c>
      <c r="H365" s="5" t="inlineStr">
        <is>
          <t>REC CACAU</t>
        </is>
      </c>
      <c r="I365" s="5" t="inlineStr">
        <is>
          <t>TON</t>
        </is>
      </c>
      <c r="J365" s="6" t="n">
        <v>24</v>
      </c>
      <c r="K365" s="6" t="n">
        <v>24</v>
      </c>
      <c r="L365" s="7">
        <f>IF(OR(D365="",N(J365)=0),"",MIN(1,N(K365)/J365))</f>
        <v/>
      </c>
      <c r="M365" s="5" t="n"/>
      <c r="N365" s="5" t="n"/>
      <c r="O365" s="5" t="inlineStr">
        <is>
          <t>TIO CARLO</t>
        </is>
      </c>
      <c r="P365" s="5" t="n"/>
      <c r="Q365" s="5" t="n"/>
      <c r="R365" s="4" t="n"/>
      <c r="S365" s="4" t="n"/>
      <c r="T365" s="5" t="n"/>
      <c r="U365" s="8">
        <f>IF(AND(V365=1,D365&lt;&gt;""),IF(D365&gt;=corte,TODAY()-D365,""),"")</f>
        <v/>
      </c>
      <c r="V365" s="8">
        <f>IF(D365="",0,IF(OR(AND(P365&lt;&gt;"",S365=""),AND(N(J365)&gt;0,N(K365)&lt;J365),OR(M365="PENDENTE",M365="PARCIAL"),OR(N365="PENDENTE",N365="PARCIAL")),1,0))</f>
        <v/>
      </c>
      <c r="W365" s="8">
        <f>IF(AND(V365=1,D365&lt;&gt;""),IF(D365&gt;=corte,(B365="CRÍTICO")*1E9+(100000-D365)*10000+10000-ROW(),""),"")</f>
        <v/>
      </c>
      <c r="X365" s="8">
        <f>IF(AND(V365=1,D365=pas_data,E365=pas_turno),10000-ROW(),"")</f>
        <v/>
      </c>
    </row>
    <row r="366">
      <c r="A366" s="3">
        <f>IF(D366="","","TT-"&amp;TEXT(ROW()-1,"00000"))</f>
        <v/>
      </c>
      <c r="B366" s="3">
        <f>IF(D366="","",IF(V366=0,"CONCLUÍDO",IF(D366&lt;corte,"HISTÓRICO",IF(OR(AND(ISNUMBER(R366),R366&lt;TODAY()),AND(OR(N366="PENDENTE",N366="PARCIAL"),D366&lt;TODAY()-1)),"CRÍTICO",IF(OR(AND(P366&lt;&gt;"",S366=""),AND(N366="REALIZADO",M366="PENDENTE"),AND(ISNUMBER(R366),R366=TODAY())),"ATENÇÃO",IF(N(K366)=0,"PENDENTE","EM ANDAMENTO"))))))</f>
        <v/>
      </c>
      <c r="C366" s="3">
        <f>IF(D366="","",IF(V366=0,"🟢 OK",IF(D366&lt;corte,"⚪ HISTÓRICO (sem baixa)",IF(AND(ISNUMBER(R366),R366&lt;TODAY()),"🔴 PRAZO VENCIDO",IF(AND(OR(N366="PENDENTE",N366="PARCIAL"),D366&lt;TODAY()-1),"🔴 EMBARQUE ATRASADO",IF(AND(N366="REALIZADO",M366="PENDENTE"),"🟡 EMBARCADO SEM FATURAR",IF(AND(P366&lt;&gt;"",S366="",OR(Q366="",R366="")),"🟡 PENDÊNCIA SEM RESPONSÁVEL/PRAZO",IF(AND(ISNUMBER(R366),R366=TODAY()),"🟡 VENCE HOJE",IF(AND(P366&lt;&gt;"",S366=""),"🟡 PENDÊNCIA ABERTA",IF(AND(N(J366)&gt;0,N(K366)&lt;J366),"🟡 FALTA EXECUTAR",IF(OR(M366="PENDENTE",M366="PARCIAL"),"🟡 FATURAMENTO PENDENTE","🟡 EMBARQUE PENDENTE")))))))))))</f>
        <v/>
      </c>
      <c r="D366" s="4" t="n">
        <v>46248</v>
      </c>
      <c r="E366" s="5" t="inlineStr">
        <is>
          <t>A</t>
        </is>
      </c>
      <c r="F366" s="5" t="inlineStr">
        <is>
          <t>TATIANE</t>
        </is>
      </c>
      <c r="G366" s="5" t="inlineStr">
        <is>
          <t>CACAU</t>
        </is>
      </c>
      <c r="H366" s="5" t="inlineStr">
        <is>
          <t>CACAU</t>
        </is>
      </c>
      <c r="I366" s="5" t="inlineStr">
        <is>
          <t>TON</t>
        </is>
      </c>
      <c r="J366" s="6" t="n">
        <v>22.981</v>
      </c>
      <c r="K366" s="6" t="n">
        <v>22.981</v>
      </c>
      <c r="L366" s="7">
        <f>IF(OR(D366="",N(J366)=0),"",MIN(1,N(K366)/J366))</f>
        <v/>
      </c>
      <c r="M366" s="5" t="inlineStr">
        <is>
          <t>PENDENTE</t>
        </is>
      </c>
      <c r="N366" s="5" t="inlineStr">
        <is>
          <t>PENDENTE</t>
        </is>
      </c>
      <c r="O366" s="5" t="n"/>
      <c r="P366" s="5" t="n"/>
      <c r="Q366" s="5" t="n"/>
      <c r="R366" s="4" t="n"/>
      <c r="S366" s="4" t="n"/>
      <c r="T366" s="5" t="n"/>
      <c r="U366" s="8">
        <f>IF(AND(V366=1,D366&lt;&gt;""),IF(D366&gt;=corte,TODAY()-D366,""),"")</f>
        <v/>
      </c>
      <c r="V366" s="8">
        <f>IF(D366="",0,IF(OR(AND(P366&lt;&gt;"",S366=""),AND(N(J366)&gt;0,N(K366)&lt;J366),OR(M366="PENDENTE",M366="PARCIAL"),OR(N366="PENDENTE",N366="PARCIAL")),1,0))</f>
        <v/>
      </c>
      <c r="W366" s="8">
        <f>IF(AND(V366=1,D366&lt;&gt;""),IF(D366&gt;=corte,(B366="CRÍTICO")*1E9+(100000-D366)*10000+10000-ROW(),""),"")</f>
        <v/>
      </c>
      <c r="X366" s="8">
        <f>IF(AND(V366=1,D366=pas_data,E366=pas_turno),10000-ROW(),"")</f>
        <v/>
      </c>
    </row>
    <row r="367">
      <c r="A367" s="3">
        <f>IF(D367="","","TT-"&amp;TEXT(ROW()-1,"00000"))</f>
        <v/>
      </c>
      <c r="B367" s="3">
        <f>IF(D367="","",IF(V367=0,"CONCLUÍDO",IF(D367&lt;corte,"HISTÓRICO",IF(OR(AND(ISNUMBER(R367),R367&lt;TODAY()),AND(OR(N367="PENDENTE",N367="PARCIAL"),D367&lt;TODAY()-1)),"CRÍTICO",IF(OR(AND(P367&lt;&gt;"",S367=""),AND(N367="REALIZADO",M367="PENDENTE"),AND(ISNUMBER(R367),R367=TODAY())),"ATENÇÃO",IF(N(K367)=0,"PENDENTE","EM ANDAMENTO"))))))</f>
        <v/>
      </c>
      <c r="C367" s="3">
        <f>IF(D367="","",IF(V367=0,"🟢 OK",IF(D367&lt;corte,"⚪ HISTÓRICO (sem baixa)",IF(AND(ISNUMBER(R367),R367&lt;TODAY()),"🔴 PRAZO VENCIDO",IF(AND(OR(N367="PENDENTE",N367="PARCIAL"),D367&lt;TODAY()-1),"🔴 EMBARQUE ATRASADO",IF(AND(N367="REALIZADO",M367="PENDENTE"),"🟡 EMBARCADO SEM FATURAR",IF(AND(P367&lt;&gt;"",S367="",OR(Q367="",R367="")),"🟡 PENDÊNCIA SEM RESPONSÁVEL/PRAZO",IF(AND(ISNUMBER(R367),R367=TODAY()),"🟡 VENCE HOJE",IF(AND(P367&lt;&gt;"",S367=""),"🟡 PENDÊNCIA ABERTA",IF(AND(N(J367)&gt;0,N(K367)&lt;J367),"🟡 FALTA EXECUTAR",IF(OR(M367="PENDENTE",M367="PARCIAL"),"🟡 FATURAMENTO PENDENTE","🟡 EMBARQUE PENDENTE")))))))))))</f>
        <v/>
      </c>
      <c r="D367" s="4" t="n">
        <v>46248</v>
      </c>
      <c r="E367" s="5" t="inlineStr">
        <is>
          <t>B</t>
        </is>
      </c>
      <c r="F367" s="5" t="inlineStr">
        <is>
          <t>THIAGO</t>
        </is>
      </c>
      <c r="G367" s="5" t="inlineStr">
        <is>
          <t>GM</t>
        </is>
      </c>
      <c r="H367" s="5" t="inlineStr">
        <is>
          <t>SP CAP/INT</t>
        </is>
      </c>
      <c r="I367" s="5" t="inlineStr">
        <is>
          <t>TON</t>
        </is>
      </c>
      <c r="J367" s="6" t="n">
        <v>1.828</v>
      </c>
      <c r="K367" s="6" t="n"/>
      <c r="L367" s="7">
        <f>IF(OR(D367="",N(J367)=0),"",MIN(1,N(K367)/J367))</f>
        <v/>
      </c>
      <c r="M367" s="5" t="inlineStr">
        <is>
          <t>FATURADO</t>
        </is>
      </c>
      <c r="N367" s="5" t="inlineStr">
        <is>
          <t>PENDENTE</t>
        </is>
      </c>
      <c r="O367" s="5" t="inlineStr">
        <is>
          <t>SMARTLOG</t>
        </is>
      </c>
      <c r="P367" s="5" t="n"/>
      <c r="Q367" s="5" t="n"/>
      <c r="R367" s="4" t="n"/>
      <c r="S367" s="4" t="n"/>
      <c r="T367" s="5" t="inlineStr">
        <is>
          <t>[MIGRAÇÃO: programação original: SP CAP/INT]</t>
        </is>
      </c>
      <c r="U367" s="8">
        <f>IF(AND(V367=1,D367&lt;&gt;""),IF(D367&gt;=corte,TODAY()-D367,""),"")</f>
        <v/>
      </c>
      <c r="V367" s="8">
        <f>IF(D367="",0,IF(OR(AND(P367&lt;&gt;"",S367=""),AND(N(J367)&gt;0,N(K367)&lt;J367),OR(M367="PENDENTE",M367="PARCIAL"),OR(N367="PENDENTE",N367="PARCIAL")),1,0))</f>
        <v/>
      </c>
      <c r="W367" s="8">
        <f>IF(AND(V367=1,D367&lt;&gt;""),IF(D367&gt;=corte,(B367="CRÍTICO")*1E9+(100000-D367)*10000+10000-ROW(),""),"")</f>
        <v/>
      </c>
      <c r="X367" s="8">
        <f>IF(AND(V367=1,D367=pas_data,E367=pas_turno),10000-ROW(),"")</f>
        <v/>
      </c>
    </row>
    <row r="368">
      <c r="A368" s="3">
        <f>IF(D368="","","TT-"&amp;TEXT(ROW()-1,"00000"))</f>
        <v/>
      </c>
      <c r="B368" s="3">
        <f>IF(D368="","",IF(V368=0,"CONCLUÍDO",IF(D368&lt;corte,"HISTÓRICO",IF(OR(AND(ISNUMBER(R368),R368&lt;TODAY()),AND(OR(N368="PENDENTE",N368="PARCIAL"),D368&lt;TODAY()-1)),"CRÍTICO",IF(OR(AND(P368&lt;&gt;"",S368=""),AND(N368="REALIZADO",M368="PENDENTE"),AND(ISNUMBER(R368),R368=TODAY())),"ATENÇÃO",IF(N(K368)=0,"PENDENTE","EM ANDAMENTO"))))))</f>
        <v/>
      </c>
      <c r="C368" s="3">
        <f>IF(D368="","",IF(V368=0,"🟢 OK",IF(D368&lt;corte,"⚪ HISTÓRICO (sem baixa)",IF(AND(ISNUMBER(R368),R368&lt;TODAY()),"🔴 PRAZO VENCIDO",IF(AND(OR(N368="PENDENTE",N368="PARCIAL"),D368&lt;TODAY()-1),"🔴 EMBARQUE ATRASADO",IF(AND(N368="REALIZADO",M368="PENDENTE"),"🟡 EMBARCADO SEM FATURAR",IF(AND(P368&lt;&gt;"",S368="",OR(Q368="",R368="")),"🟡 PENDÊNCIA SEM RESPONSÁVEL/PRAZO",IF(AND(ISNUMBER(R368),R368=TODAY()),"🟡 VENCE HOJE",IF(AND(P368&lt;&gt;"",S368=""),"🟡 PENDÊNCIA ABERTA",IF(AND(N(J368)&gt;0,N(K368)&lt;J368),"🟡 FALTA EXECUTAR",IF(OR(M368="PENDENTE",M368="PARCIAL"),"🟡 FATURAMENTO PENDENTE","🟡 EMBARQUE PENDENTE")))))))))))</f>
        <v/>
      </c>
      <c r="D368" s="4" t="n">
        <v>46248</v>
      </c>
      <c r="E368" s="5" t="inlineStr">
        <is>
          <t>A</t>
        </is>
      </c>
      <c r="F368" s="5" t="inlineStr">
        <is>
          <t>TATIANE</t>
        </is>
      </c>
      <c r="G368" s="5" t="inlineStr">
        <is>
          <t>RECEBIMENTO</t>
        </is>
      </c>
      <c r="H368" s="5" t="inlineStr">
        <is>
          <t>MACEIO</t>
        </is>
      </c>
      <c r="I368" s="5" t="inlineStr">
        <is>
          <t>TON</t>
        </is>
      </c>
      <c r="J368" s="6" t="n">
        <v>13.209</v>
      </c>
      <c r="K368" s="6" t="n">
        <v>13.209</v>
      </c>
      <c r="L368" s="7">
        <f>IF(OR(D368="",N(J368)=0),"",MIN(1,N(K368)/J368))</f>
        <v/>
      </c>
      <c r="M368" s="5" t="inlineStr">
        <is>
          <t>FATURADO</t>
        </is>
      </c>
      <c r="N368" s="5" t="inlineStr">
        <is>
          <t>REALIZADO</t>
        </is>
      </c>
      <c r="O368" s="5" t="inlineStr">
        <is>
          <t>SPEEDYLOG</t>
        </is>
      </c>
      <c r="P368" s="5" t="n"/>
      <c r="Q368" s="5" t="n"/>
      <c r="R368" s="4" t="n"/>
      <c r="S368" s="4" t="n"/>
      <c r="T368" s="5" t="inlineStr">
        <is>
          <t>[MIGRAÇÃO: programação original: MACEIO]</t>
        </is>
      </c>
      <c r="U368" s="8">
        <f>IF(AND(V368=1,D368&lt;&gt;""),IF(D368&gt;=corte,TODAY()-D368,""),"")</f>
        <v/>
      </c>
      <c r="V368" s="8">
        <f>IF(D368="",0,IF(OR(AND(P368&lt;&gt;"",S368=""),AND(N(J368)&gt;0,N(K368)&lt;J368),OR(M368="PENDENTE",M368="PARCIAL"),OR(N368="PENDENTE",N368="PARCIAL")),1,0))</f>
        <v/>
      </c>
      <c r="W368" s="8">
        <f>IF(AND(V368=1,D368&lt;&gt;""),IF(D368&gt;=corte,(B368="CRÍTICO")*1E9+(100000-D368)*10000+10000-ROW(),""),"")</f>
        <v/>
      </c>
      <c r="X368" s="8">
        <f>IF(AND(V368=1,D368=pas_data,E368=pas_turno),10000-ROW(),"")</f>
        <v/>
      </c>
    </row>
    <row r="369">
      <c r="A369" s="3">
        <f>IF(D369="","","TT-"&amp;TEXT(ROW()-1,"00000"))</f>
        <v/>
      </c>
      <c r="B369" s="3">
        <f>IF(D369="","",IF(V369=0,"CONCLUÍDO",IF(D369&lt;corte,"HISTÓRICO",IF(OR(AND(ISNUMBER(R369),R369&lt;TODAY()),AND(OR(N369="PENDENTE",N369="PARCIAL"),D369&lt;TODAY()-1)),"CRÍTICO",IF(OR(AND(P369&lt;&gt;"",S369=""),AND(N369="REALIZADO",M369="PENDENTE"),AND(ISNUMBER(R369),R369=TODAY())),"ATENÇÃO",IF(N(K369)=0,"PENDENTE","EM ANDAMENTO"))))))</f>
        <v/>
      </c>
      <c r="C369" s="3">
        <f>IF(D369="","",IF(V369=0,"🟢 OK",IF(D369&lt;corte,"⚪ HISTÓRICO (sem baixa)",IF(AND(ISNUMBER(R369),R369&lt;TODAY()),"🔴 PRAZO VENCIDO",IF(AND(OR(N369="PENDENTE",N369="PARCIAL"),D369&lt;TODAY()-1),"🔴 EMBARQUE ATRASADO",IF(AND(N369="REALIZADO",M369="PENDENTE"),"🟡 EMBARCADO SEM FATURAR",IF(AND(P369&lt;&gt;"",S369="",OR(Q369="",R369="")),"🟡 PENDÊNCIA SEM RESPONSÁVEL/PRAZO",IF(AND(ISNUMBER(R369),R369=TODAY()),"🟡 VENCE HOJE",IF(AND(P369&lt;&gt;"",S369=""),"🟡 PENDÊNCIA ABERTA",IF(AND(N(J369)&gt;0,N(K369)&lt;J369),"🟡 FALTA EXECUTAR",IF(OR(M369="PENDENTE",M369="PARCIAL"),"🟡 FATURAMENTO PENDENTE","🟡 EMBARQUE PENDENTE")))))))))))</f>
        <v/>
      </c>
      <c r="D369" s="4" t="n">
        <v>46248</v>
      </c>
      <c r="E369" s="5" t="inlineStr">
        <is>
          <t>B</t>
        </is>
      </c>
      <c r="F369" s="5" t="inlineStr">
        <is>
          <t>THIAGO</t>
        </is>
      </c>
      <c r="G369" s="5" t="n"/>
      <c r="H369" s="5" t="inlineStr">
        <is>
          <t>ABASTECIMENTO</t>
        </is>
      </c>
      <c r="I369" s="5" t="inlineStr">
        <is>
          <t>PALETE</t>
        </is>
      </c>
      <c r="J369" s="6" t="n">
        <v>49</v>
      </c>
      <c r="K369" s="6" t="n"/>
      <c r="L369" s="7">
        <f>IF(OR(D369="",N(J369)=0),"",MIN(1,N(K369)/J369))</f>
        <v/>
      </c>
      <c r="M369" s="5" t="n"/>
      <c r="N369" s="5" t="n"/>
      <c r="O369" s="5" t="n"/>
      <c r="P369" s="5" t="n"/>
      <c r="Q369" s="5" t="n"/>
      <c r="R369" s="4" t="n"/>
      <c r="S369" s="4" t="n"/>
      <c r="T369" s="5" t="n"/>
      <c r="U369" s="8">
        <f>IF(AND(V369=1,D369&lt;&gt;""),IF(D369&gt;=corte,TODAY()-D369,""),"")</f>
        <v/>
      </c>
      <c r="V369" s="8">
        <f>IF(D369="",0,IF(OR(AND(P369&lt;&gt;"",S369=""),AND(N(J369)&gt;0,N(K369)&lt;J369),OR(M369="PENDENTE",M369="PARCIAL"),OR(N369="PENDENTE",N369="PARCIAL")),1,0))</f>
        <v/>
      </c>
      <c r="W369" s="8">
        <f>IF(AND(V369=1,D369&lt;&gt;""),IF(D369&gt;=corte,(B369="CRÍTICO")*1E9+(100000-D369)*10000+10000-ROW(),""),"")</f>
        <v/>
      </c>
      <c r="X369" s="8">
        <f>IF(AND(V369=1,D369=pas_data,E369=pas_turno),10000-ROW(),"")</f>
        <v/>
      </c>
    </row>
    <row r="370">
      <c r="A370" s="3">
        <f>IF(D370="","","TT-"&amp;TEXT(ROW()-1,"00000"))</f>
        <v/>
      </c>
      <c r="B370" s="3">
        <f>IF(D370="","",IF(V370=0,"CONCLUÍDO",IF(D370&lt;corte,"HISTÓRICO",IF(OR(AND(ISNUMBER(R370),R370&lt;TODAY()),AND(OR(N370="PENDENTE",N370="PARCIAL"),D370&lt;TODAY()-1)),"CRÍTICO",IF(OR(AND(P370&lt;&gt;"",S370=""),AND(N370="REALIZADO",M370="PENDENTE"),AND(ISNUMBER(R370),R370=TODAY())),"ATENÇÃO",IF(N(K370)=0,"PENDENTE","EM ANDAMENTO"))))))</f>
        <v/>
      </c>
      <c r="C370" s="3">
        <f>IF(D370="","",IF(V370=0,"🟢 OK",IF(D370&lt;corte,"⚪ HISTÓRICO (sem baixa)",IF(AND(ISNUMBER(R370),R370&lt;TODAY()),"🔴 PRAZO VENCIDO",IF(AND(OR(N370="PENDENTE",N370="PARCIAL"),D370&lt;TODAY()-1),"🔴 EMBARQUE ATRASADO",IF(AND(N370="REALIZADO",M370="PENDENTE"),"🟡 EMBARCADO SEM FATURAR",IF(AND(P370&lt;&gt;"",S370="",OR(Q370="",R370="")),"🟡 PENDÊNCIA SEM RESPONSÁVEL/PRAZO",IF(AND(ISNUMBER(R370),R370=TODAY()),"🟡 VENCE HOJE",IF(AND(P370&lt;&gt;"",S370=""),"🟡 PENDÊNCIA ABERTA",IF(AND(N(J370)&gt;0,N(K370)&lt;J370),"🟡 FALTA EXECUTAR",IF(OR(M370="PENDENTE",M370="PARCIAL"),"🟡 FATURAMENTO PENDENTE","🟡 EMBARQUE PENDENTE")))))))))))</f>
        <v/>
      </c>
      <c r="D370" s="4" t="n">
        <v>46248</v>
      </c>
      <c r="E370" s="5" t="inlineStr">
        <is>
          <t>B</t>
        </is>
      </c>
      <c r="F370" s="5" t="inlineStr">
        <is>
          <t>THIAGO</t>
        </is>
      </c>
      <c r="G370" s="5" t="inlineStr">
        <is>
          <t>FOB</t>
        </is>
      </c>
      <c r="H370" s="5" t="inlineStr">
        <is>
          <t>OESA</t>
        </is>
      </c>
      <c r="I370" s="5" t="inlineStr">
        <is>
          <t>TON</t>
        </is>
      </c>
      <c r="J370" s="6" t="n">
        <v>14.418</v>
      </c>
      <c r="K370" s="6" t="n">
        <v>14.418</v>
      </c>
      <c r="L370" s="7">
        <f>IF(OR(D370="",N(J370)=0),"",MIN(1,N(K370)/J370))</f>
        <v/>
      </c>
      <c r="M370" s="5" t="n"/>
      <c r="N370" s="5" t="n"/>
      <c r="O370" s="5" t="n"/>
      <c r="P370" s="5" t="n"/>
      <c r="Q370" s="5" t="n"/>
      <c r="R370" s="4" t="n"/>
      <c r="S370" s="4" t="n"/>
      <c r="T370" s="5" t="inlineStr">
        <is>
          <t>[MIGRAÇÃO: medida inferida]</t>
        </is>
      </c>
      <c r="U370" s="8">
        <f>IF(AND(V370=1,D370&lt;&gt;""),IF(D370&gt;=corte,TODAY()-D370,""),"")</f>
        <v/>
      </c>
      <c r="V370" s="8">
        <f>IF(D370="",0,IF(OR(AND(P370&lt;&gt;"",S370=""),AND(N(J370)&gt;0,N(K370)&lt;J370),OR(M370="PENDENTE",M370="PARCIAL"),OR(N370="PENDENTE",N370="PARCIAL")),1,0))</f>
        <v/>
      </c>
      <c r="W370" s="8">
        <f>IF(AND(V370=1,D370&lt;&gt;""),IF(D370&gt;=corte,(B370="CRÍTICO")*1E9+(100000-D370)*10000+10000-ROW(),""),"")</f>
        <v/>
      </c>
      <c r="X370" s="8">
        <f>IF(AND(V370=1,D370=pas_data,E370=pas_turno),10000-ROW(),"")</f>
        <v/>
      </c>
    </row>
    <row r="371">
      <c r="A371" s="3">
        <f>IF(D371="","","TT-"&amp;TEXT(ROW()-1,"00000"))</f>
        <v/>
      </c>
      <c r="B371" s="3">
        <f>IF(D371="","",IF(V371=0,"CONCLUÍDO",IF(D371&lt;corte,"HISTÓRICO",IF(OR(AND(ISNUMBER(R371),R371&lt;TODAY()),AND(OR(N371="PENDENTE",N371="PARCIAL"),D371&lt;TODAY()-1)),"CRÍTICO",IF(OR(AND(P371&lt;&gt;"",S371=""),AND(N371="REALIZADO",M371="PENDENTE"),AND(ISNUMBER(R371),R371=TODAY())),"ATENÇÃO",IF(N(K371)=0,"PENDENTE","EM ANDAMENTO"))))))</f>
        <v/>
      </c>
      <c r="C371" s="3">
        <f>IF(D371="","",IF(V371=0,"🟢 OK",IF(D371&lt;corte,"⚪ HISTÓRICO (sem baixa)",IF(AND(ISNUMBER(R371),R371&lt;TODAY()),"🔴 PRAZO VENCIDO",IF(AND(OR(N371="PENDENTE",N371="PARCIAL"),D371&lt;TODAY()-1),"🔴 EMBARQUE ATRASADO",IF(AND(N371="REALIZADO",M371="PENDENTE"),"🟡 EMBARCADO SEM FATURAR",IF(AND(P371&lt;&gt;"",S371="",OR(Q371="",R371="")),"🟡 PENDÊNCIA SEM RESPONSÁVEL/PRAZO",IF(AND(ISNUMBER(R371),R371=TODAY()),"🟡 VENCE HOJE",IF(AND(P371&lt;&gt;"",S371=""),"🟡 PENDÊNCIA ABERTA",IF(AND(N(J371)&gt;0,N(K371)&lt;J371),"🟡 FALTA EXECUTAR",IF(OR(M371="PENDENTE",M371="PARCIAL"),"🟡 FATURAMENTO PENDENTE","🟡 EMBARQUE PENDENTE")))))))))))</f>
        <v/>
      </c>
      <c r="D371" s="4" t="n">
        <v>46248</v>
      </c>
      <c r="E371" s="5" t="inlineStr">
        <is>
          <t>B</t>
        </is>
      </c>
      <c r="F371" s="5" t="inlineStr">
        <is>
          <t>THIAGO</t>
        </is>
      </c>
      <c r="G371" s="5" t="inlineStr">
        <is>
          <t>GM</t>
        </is>
      </c>
      <c r="H371" s="5" t="inlineStr">
        <is>
          <t>CROSS SUL</t>
        </is>
      </c>
      <c r="I371" s="5" t="inlineStr">
        <is>
          <t>TON</t>
        </is>
      </c>
      <c r="J371" s="6" t="n">
        <v>18.46</v>
      </c>
      <c r="K371" s="6" t="n">
        <v>18.46</v>
      </c>
      <c r="L371" s="7">
        <f>IF(OR(D371="",N(J371)=0),"",MIN(1,N(K371)/J371))</f>
        <v/>
      </c>
      <c r="M371" s="5" t="n"/>
      <c r="N371" s="5" t="n"/>
      <c r="O371" s="5" t="n"/>
      <c r="P371" s="5" t="n"/>
      <c r="Q371" s="5" t="n"/>
      <c r="R371" s="4" t="n"/>
      <c r="S371" s="4" t="n"/>
      <c r="T371" s="5" t="n"/>
      <c r="U371" s="8">
        <f>IF(AND(V371=1,D371&lt;&gt;""),IF(D371&gt;=corte,TODAY()-D371,""),"")</f>
        <v/>
      </c>
      <c r="V371" s="8">
        <f>IF(D371="",0,IF(OR(AND(P371&lt;&gt;"",S371=""),AND(N(J371)&gt;0,N(K371)&lt;J371),OR(M371="PENDENTE",M371="PARCIAL"),OR(N371="PENDENTE",N371="PARCIAL")),1,0))</f>
        <v/>
      </c>
      <c r="W371" s="8">
        <f>IF(AND(V371=1,D371&lt;&gt;""),IF(D371&gt;=corte,(B371="CRÍTICO")*1E9+(100000-D371)*10000+10000-ROW(),""),"")</f>
        <v/>
      </c>
      <c r="X371" s="8">
        <f>IF(AND(V371=1,D371=pas_data,E371=pas_turno),10000-ROW(),"")</f>
        <v/>
      </c>
    </row>
    <row r="372">
      <c r="A372" s="3">
        <f>IF(D372="","","TT-"&amp;TEXT(ROW()-1,"00000"))</f>
        <v/>
      </c>
      <c r="B372" s="3">
        <f>IF(D372="","",IF(V372=0,"CONCLUÍDO",IF(D372&lt;corte,"HISTÓRICO",IF(OR(AND(ISNUMBER(R372),R372&lt;TODAY()),AND(OR(N372="PENDENTE",N372="PARCIAL"),D372&lt;TODAY()-1)),"CRÍTICO",IF(OR(AND(P372&lt;&gt;"",S372=""),AND(N372="REALIZADO",M372="PENDENTE"),AND(ISNUMBER(R372),R372=TODAY())),"ATENÇÃO",IF(N(K372)=0,"PENDENTE","EM ANDAMENTO"))))))</f>
        <v/>
      </c>
      <c r="C372" s="3">
        <f>IF(D372="","",IF(V372=0,"🟢 OK",IF(D372&lt;corte,"⚪ HISTÓRICO (sem baixa)",IF(AND(ISNUMBER(R372),R372&lt;TODAY()),"🔴 PRAZO VENCIDO",IF(AND(OR(N372="PENDENTE",N372="PARCIAL"),D372&lt;TODAY()-1),"🔴 EMBARQUE ATRASADO",IF(AND(N372="REALIZADO",M372="PENDENTE"),"🟡 EMBARCADO SEM FATURAR",IF(AND(P372&lt;&gt;"",S372="",OR(Q372="",R372="")),"🟡 PENDÊNCIA SEM RESPONSÁVEL/PRAZO",IF(AND(ISNUMBER(R372),R372=TODAY()),"🟡 VENCE HOJE",IF(AND(P372&lt;&gt;"",S372=""),"🟡 PENDÊNCIA ABERTA",IF(AND(N(J372)&gt;0,N(K372)&lt;J372),"🟡 FALTA EXECUTAR",IF(OR(M372="PENDENTE",M372="PARCIAL"),"🟡 FATURAMENTO PENDENTE","🟡 EMBARQUE PENDENTE")))))))))))</f>
        <v/>
      </c>
      <c r="D372" s="4" t="n">
        <v>46248</v>
      </c>
      <c r="E372" s="5" t="inlineStr">
        <is>
          <t>B</t>
        </is>
      </c>
      <c r="F372" s="5" t="inlineStr">
        <is>
          <t>THIAGO</t>
        </is>
      </c>
      <c r="G372" s="5" t="inlineStr">
        <is>
          <t>FM</t>
        </is>
      </c>
      <c r="H372" s="5" t="inlineStr">
        <is>
          <t>PANDURATA</t>
        </is>
      </c>
      <c r="I372" s="5" t="inlineStr">
        <is>
          <t>TON</t>
        </is>
      </c>
      <c r="J372" s="6" t="n">
        <v>20.732</v>
      </c>
      <c r="K372" s="6" t="n">
        <v>20.732</v>
      </c>
      <c r="L372" s="7">
        <f>IF(OR(D372="",N(J372)=0),"",MIN(1,N(K372)/J372))</f>
        <v/>
      </c>
      <c r="M372" s="5" t="n"/>
      <c r="N372" s="5" t="n"/>
      <c r="O372" s="5" t="n"/>
      <c r="P372" s="5" t="n"/>
      <c r="Q372" s="5" t="n"/>
      <c r="R372" s="4" t="n"/>
      <c r="S372" s="4" t="n"/>
      <c r="T372" s="5" t="n"/>
      <c r="U372" s="8">
        <f>IF(AND(V372=1,D372&lt;&gt;""),IF(D372&gt;=corte,TODAY()-D372,""),"")</f>
        <v/>
      </c>
      <c r="V372" s="8">
        <f>IF(D372="",0,IF(OR(AND(P372&lt;&gt;"",S372=""),AND(N(J372)&gt;0,N(K372)&lt;J372),OR(M372="PENDENTE",M372="PARCIAL"),OR(N372="PENDENTE",N372="PARCIAL")),1,0))</f>
        <v/>
      </c>
      <c r="W372" s="8">
        <f>IF(AND(V372=1,D372&lt;&gt;""),IF(D372&gt;=corte,(B372="CRÍTICO")*1E9+(100000-D372)*10000+10000-ROW(),""),"")</f>
        <v/>
      </c>
      <c r="X372" s="8">
        <f>IF(AND(V372=1,D372=pas_data,E372=pas_turno),10000-ROW(),"")</f>
        <v/>
      </c>
    </row>
    <row r="373">
      <c r="A373" s="3">
        <f>IF(D373="","","TT-"&amp;TEXT(ROW()-1,"00000"))</f>
        <v/>
      </c>
      <c r="B373" s="3">
        <f>IF(D373="","",IF(V373=0,"CONCLUÍDO",IF(D373&lt;corte,"HISTÓRICO",IF(OR(AND(ISNUMBER(R373),R373&lt;TODAY()),AND(OR(N373="PENDENTE",N373="PARCIAL"),D373&lt;TODAY()-1)),"CRÍTICO",IF(OR(AND(P373&lt;&gt;"",S373=""),AND(N373="REALIZADO",M373="PENDENTE"),AND(ISNUMBER(R373),R373=TODAY())),"ATENÇÃO",IF(N(K373)=0,"PENDENTE","EM ANDAMENTO"))))))</f>
        <v/>
      </c>
      <c r="C373" s="3">
        <f>IF(D373="","",IF(V373=0,"🟢 OK",IF(D373&lt;corte,"⚪ HISTÓRICO (sem baixa)",IF(AND(ISNUMBER(R373),R373&lt;TODAY()),"🔴 PRAZO VENCIDO",IF(AND(OR(N373="PENDENTE",N373="PARCIAL"),D373&lt;TODAY()-1),"🔴 EMBARQUE ATRASADO",IF(AND(N373="REALIZADO",M373="PENDENTE"),"🟡 EMBARCADO SEM FATURAR",IF(AND(P373&lt;&gt;"",S373="",OR(Q373="",R373="")),"🟡 PENDÊNCIA SEM RESPONSÁVEL/PRAZO",IF(AND(ISNUMBER(R373),R373=TODAY()),"🟡 VENCE HOJE",IF(AND(P373&lt;&gt;"",S373=""),"🟡 PENDÊNCIA ABERTA",IF(AND(N(J373)&gt;0,N(K373)&lt;J373),"🟡 FALTA EXECUTAR",IF(OR(M373="PENDENTE",M373="PARCIAL"),"🟡 FATURAMENTO PENDENTE","🟡 EMBARQUE PENDENTE")))))))))))</f>
        <v/>
      </c>
      <c r="D373" s="4" t="n">
        <v>46248</v>
      </c>
      <c r="E373" s="5" t="inlineStr">
        <is>
          <t>B</t>
        </is>
      </c>
      <c r="F373" s="5" t="inlineStr">
        <is>
          <t>THIAGO</t>
        </is>
      </c>
      <c r="G373" s="5" t="inlineStr">
        <is>
          <t>GM</t>
        </is>
      </c>
      <c r="H373" s="5" t="inlineStr">
        <is>
          <t>CROSS D2</t>
        </is>
      </c>
      <c r="I373" s="5" t="inlineStr">
        <is>
          <t>TON</t>
        </is>
      </c>
      <c r="J373" s="6" t="n">
        <v>15.477</v>
      </c>
      <c r="K373" s="6" t="n"/>
      <c r="L373" s="7">
        <f>IF(OR(D373="",N(J373)=0),"",MIN(1,N(K373)/J373))</f>
        <v/>
      </c>
      <c r="M373" s="5" t="n"/>
      <c r="N373" s="5" t="n"/>
      <c r="O373" s="5" t="n"/>
      <c r="P373" s="5" t="inlineStr">
        <is>
          <t>gerado falta montar processo</t>
        </is>
      </c>
      <c r="Q373" s="5" t="n"/>
      <c r="R373" s="4" t="n"/>
      <c r="S373" s="4" t="n"/>
      <c r="T373" s="5" t="inlineStr">
        <is>
          <t>gerado falta montar processo</t>
        </is>
      </c>
      <c r="U373" s="8">
        <f>IF(AND(V373=1,D373&lt;&gt;""),IF(D373&gt;=corte,TODAY()-D373,""),"")</f>
        <v/>
      </c>
      <c r="V373" s="8">
        <f>IF(D373="",0,IF(OR(AND(P373&lt;&gt;"",S373=""),AND(N(J373)&gt;0,N(K373)&lt;J373),OR(M373="PENDENTE",M373="PARCIAL"),OR(N373="PENDENTE",N373="PARCIAL")),1,0))</f>
        <v/>
      </c>
      <c r="W373" s="8">
        <f>IF(AND(V373=1,D373&lt;&gt;""),IF(D373&gt;=corte,(B373="CRÍTICO")*1E9+(100000-D373)*10000+10000-ROW(),""),"")</f>
        <v/>
      </c>
      <c r="X373" s="8">
        <f>IF(AND(V373=1,D373=pas_data,E373=pas_turno),10000-ROW(),"")</f>
        <v/>
      </c>
    </row>
    <row r="374">
      <c r="A374" s="3">
        <f>IF(D374="","","TT-"&amp;TEXT(ROW()-1,"00000"))</f>
        <v/>
      </c>
      <c r="B374" s="3">
        <f>IF(D374="","",IF(V374=0,"CONCLUÍDO",IF(D374&lt;corte,"HISTÓRICO",IF(OR(AND(ISNUMBER(R374),R374&lt;TODAY()),AND(OR(N374="PENDENTE",N374="PARCIAL"),D374&lt;TODAY()-1)),"CRÍTICO",IF(OR(AND(P374&lt;&gt;"",S374=""),AND(N374="REALIZADO",M374="PENDENTE"),AND(ISNUMBER(R374),R374=TODAY())),"ATENÇÃO",IF(N(K374)=0,"PENDENTE","EM ANDAMENTO"))))))</f>
        <v/>
      </c>
      <c r="C374" s="3">
        <f>IF(D374="","",IF(V374=0,"🟢 OK",IF(D374&lt;corte,"⚪ HISTÓRICO (sem baixa)",IF(AND(ISNUMBER(R374),R374&lt;TODAY()),"🔴 PRAZO VENCIDO",IF(AND(OR(N374="PENDENTE",N374="PARCIAL"),D374&lt;TODAY()-1),"🔴 EMBARQUE ATRASADO",IF(AND(N374="REALIZADO",M374="PENDENTE"),"🟡 EMBARCADO SEM FATURAR",IF(AND(P374&lt;&gt;"",S374="",OR(Q374="",R374="")),"🟡 PENDÊNCIA SEM RESPONSÁVEL/PRAZO",IF(AND(ISNUMBER(R374),R374=TODAY()),"🟡 VENCE HOJE",IF(AND(P374&lt;&gt;"",S374=""),"🟡 PENDÊNCIA ABERTA",IF(AND(N(J374)&gt;0,N(K374)&lt;J374),"🟡 FALTA EXECUTAR",IF(OR(M374="PENDENTE",M374="PARCIAL"),"🟡 FATURAMENTO PENDENTE","🟡 EMBARQUE PENDENTE")))))))))))</f>
        <v/>
      </c>
      <c r="D374" s="4" t="n">
        <v>46248</v>
      </c>
      <c r="E374" s="5" t="inlineStr">
        <is>
          <t>B</t>
        </is>
      </c>
      <c r="F374" s="5" t="inlineStr">
        <is>
          <t>THIAGO</t>
        </is>
      </c>
      <c r="G374" s="5" t="inlineStr">
        <is>
          <t>GRANEL</t>
        </is>
      </c>
      <c r="H374" s="5" t="inlineStr">
        <is>
          <t>PANDURATA</t>
        </is>
      </c>
      <c r="I374" s="5" t="inlineStr">
        <is>
          <t>TON</t>
        </is>
      </c>
      <c r="J374" s="6" t="n">
        <v>27.69</v>
      </c>
      <c r="K374" s="6" t="n">
        <v>27.69</v>
      </c>
      <c r="L374" s="7">
        <f>IF(OR(D374="",N(J374)=0),"",MIN(1,N(K374)/J374))</f>
        <v/>
      </c>
      <c r="M374" s="5" t="n"/>
      <c r="N374" s="5" t="n"/>
      <c r="O374" s="5" t="n"/>
      <c r="P374" s="5" t="n"/>
      <c r="Q374" s="5" t="n"/>
      <c r="R374" s="4" t="n"/>
      <c r="S374" s="4" t="n"/>
      <c r="T374" s="5" t="n"/>
      <c r="U374" s="8">
        <f>IF(AND(V374=1,D374&lt;&gt;""),IF(D374&gt;=corte,TODAY()-D374,""),"")</f>
        <v/>
      </c>
      <c r="V374" s="8">
        <f>IF(D374="",0,IF(OR(AND(P374&lt;&gt;"",S374=""),AND(N(J374)&gt;0,N(K374)&lt;J374),OR(M374="PENDENTE",M374="PARCIAL"),OR(N374="PENDENTE",N374="PARCIAL")),1,0))</f>
        <v/>
      </c>
      <c r="W374" s="8">
        <f>IF(AND(V374=1,D374&lt;&gt;""),IF(D374&gt;=corte,(B374="CRÍTICO")*1E9+(100000-D374)*10000+10000-ROW(),""),"")</f>
        <v/>
      </c>
      <c r="X374" s="8">
        <f>IF(AND(V374=1,D374=pas_data,E374=pas_turno),10000-ROW(),"")</f>
        <v/>
      </c>
    </row>
    <row r="375">
      <c r="A375" s="3">
        <f>IF(D375="","","TT-"&amp;TEXT(ROW()-1,"00000"))</f>
        <v/>
      </c>
      <c r="B375" s="3">
        <f>IF(D375="","",IF(V375=0,"CONCLUÍDO",IF(D375&lt;corte,"HISTÓRICO",IF(OR(AND(ISNUMBER(R375),R375&lt;TODAY()),AND(OR(N375="PENDENTE",N375="PARCIAL"),D375&lt;TODAY()-1)),"CRÍTICO",IF(OR(AND(P375&lt;&gt;"",S375=""),AND(N375="REALIZADO",M375="PENDENTE"),AND(ISNUMBER(R375),R375=TODAY())),"ATENÇÃO",IF(N(K375)=0,"PENDENTE","EM ANDAMENTO"))))))</f>
        <v/>
      </c>
      <c r="C375" s="3">
        <f>IF(D375="","",IF(V375=0,"🟢 OK",IF(D375&lt;corte,"⚪ HISTÓRICO (sem baixa)",IF(AND(ISNUMBER(R375),R375&lt;TODAY()),"🔴 PRAZO VENCIDO",IF(AND(OR(N375="PENDENTE",N375="PARCIAL"),D375&lt;TODAY()-1),"🔴 EMBARQUE ATRASADO",IF(AND(N375="REALIZADO",M375="PENDENTE"),"🟡 EMBARCADO SEM FATURAR",IF(AND(P375&lt;&gt;"",S375="",OR(Q375="",R375="")),"🟡 PENDÊNCIA SEM RESPONSÁVEL/PRAZO",IF(AND(ISNUMBER(R375),R375=TODAY()),"🟡 VENCE HOJE",IF(AND(P375&lt;&gt;"",S375=""),"🟡 PENDÊNCIA ABERTA",IF(AND(N(J375)&gt;0,N(K375)&lt;J375),"🟡 FALTA EXECUTAR",IF(OR(M375="PENDENTE",M375="PARCIAL"),"🟡 FATURAMENTO PENDENTE","🟡 EMBARQUE PENDENTE")))))))))))</f>
        <v/>
      </c>
      <c r="D375" s="4" t="n">
        <v>46248</v>
      </c>
      <c r="E375" s="5" t="inlineStr">
        <is>
          <t>B</t>
        </is>
      </c>
      <c r="F375" s="5" t="inlineStr">
        <is>
          <t>THIAGO</t>
        </is>
      </c>
      <c r="G375" s="5" t="inlineStr">
        <is>
          <t>FOB</t>
        </is>
      </c>
      <c r="H375" s="5" t="inlineStr">
        <is>
          <t>LOJAS DOCE</t>
        </is>
      </c>
      <c r="I375" s="5" t="inlineStr">
        <is>
          <t>TON</t>
        </is>
      </c>
      <c r="J375" s="6" t="n">
        <v>3.013</v>
      </c>
      <c r="K375" s="6" t="n">
        <v>3.013</v>
      </c>
      <c r="L375" s="7">
        <f>IF(OR(D375="",N(J375)=0),"",MIN(1,N(K375)/J375))</f>
        <v/>
      </c>
      <c r="M375" s="5" t="n"/>
      <c r="N375" s="5" t="n"/>
      <c r="O375" s="5" t="n"/>
      <c r="P375" s="5" t="inlineStr">
        <is>
          <t>em conferencia</t>
        </is>
      </c>
      <c r="Q375" s="5" t="n"/>
      <c r="R375" s="4" t="n"/>
      <c r="S375" s="4" t="n"/>
      <c r="T375" s="5" t="inlineStr">
        <is>
          <t>em conferencia</t>
        </is>
      </c>
      <c r="U375" s="8">
        <f>IF(AND(V375=1,D375&lt;&gt;""),IF(D375&gt;=corte,TODAY()-D375,""),"")</f>
        <v/>
      </c>
      <c r="V375" s="8">
        <f>IF(D375="",0,IF(OR(AND(P375&lt;&gt;"",S375=""),AND(N(J375)&gt;0,N(K375)&lt;J375),OR(M375="PENDENTE",M375="PARCIAL"),OR(N375="PENDENTE",N375="PARCIAL")),1,0))</f>
        <v/>
      </c>
      <c r="W375" s="8">
        <f>IF(AND(V375=1,D375&lt;&gt;""),IF(D375&gt;=corte,(B375="CRÍTICO")*1E9+(100000-D375)*10000+10000-ROW(),""),"")</f>
        <v/>
      </c>
      <c r="X375" s="8">
        <f>IF(AND(V375=1,D375=pas_data,E375=pas_turno),10000-ROW(),"")</f>
        <v/>
      </c>
    </row>
    <row r="376">
      <c r="A376" s="3">
        <f>IF(D376="","","TT-"&amp;TEXT(ROW()-1,"00000"))</f>
        <v/>
      </c>
      <c r="B376" s="3">
        <f>IF(D376="","",IF(V376=0,"CONCLUÍDO",IF(D376&lt;corte,"HISTÓRICO",IF(OR(AND(ISNUMBER(R376),R376&lt;TODAY()),AND(OR(N376="PENDENTE",N376="PARCIAL"),D376&lt;TODAY()-1)),"CRÍTICO",IF(OR(AND(P376&lt;&gt;"",S376=""),AND(N376="REALIZADO",M376="PENDENTE"),AND(ISNUMBER(R376),R376=TODAY())),"ATENÇÃO",IF(N(K376)=0,"PENDENTE","EM ANDAMENTO"))))))</f>
        <v/>
      </c>
      <c r="C376" s="3">
        <f>IF(D376="","",IF(V376=0,"🟢 OK",IF(D376&lt;corte,"⚪ HISTÓRICO (sem baixa)",IF(AND(ISNUMBER(R376),R376&lt;TODAY()),"🔴 PRAZO VENCIDO",IF(AND(OR(N376="PENDENTE",N376="PARCIAL"),D376&lt;TODAY()-1),"🔴 EMBARQUE ATRASADO",IF(AND(N376="REALIZADO",M376="PENDENTE"),"🟡 EMBARCADO SEM FATURAR",IF(AND(P376&lt;&gt;"",S376="",OR(Q376="",R376="")),"🟡 PENDÊNCIA SEM RESPONSÁVEL/PRAZO",IF(AND(ISNUMBER(R376),R376=TODAY()),"🟡 VENCE HOJE",IF(AND(P376&lt;&gt;"",S376=""),"🟡 PENDÊNCIA ABERTA",IF(AND(N(J376)&gt;0,N(K376)&lt;J376),"🟡 FALTA EXECUTAR",IF(OR(M376="PENDENTE",M376="PARCIAL"),"🟡 FATURAMENTO PENDENTE","🟡 EMBARQUE PENDENTE")))))))))))</f>
        <v/>
      </c>
      <c r="D376" s="4" t="n">
        <v>46248</v>
      </c>
      <c r="E376" s="5" t="inlineStr">
        <is>
          <t>B</t>
        </is>
      </c>
      <c r="F376" s="5" t="inlineStr">
        <is>
          <t>THIAGO</t>
        </is>
      </c>
      <c r="G376" s="5" t="inlineStr">
        <is>
          <t>CACAU</t>
        </is>
      </c>
      <c r="H376" s="5" t="n"/>
      <c r="I376" s="5" t="inlineStr">
        <is>
          <t>TON</t>
        </is>
      </c>
      <c r="J376" s="6" t="n">
        <v>21.547</v>
      </c>
      <c r="K376" s="6" t="n"/>
      <c r="L376" s="7">
        <f>IF(OR(D376="",N(J376)=0),"",MIN(1,N(K376)/J376))</f>
        <v/>
      </c>
      <c r="M376" s="5" t="n"/>
      <c r="N376" s="5" t="n"/>
      <c r="O376" s="5" t="n"/>
      <c r="P376" s="5" t="n"/>
      <c r="Q376" s="5" t="n"/>
      <c r="R376" s="4" t="n"/>
      <c r="S376" s="4" t="n"/>
      <c r="T376" s="5" t="n"/>
      <c r="U376" s="8">
        <f>IF(AND(V376=1,D376&lt;&gt;""),IF(D376&gt;=corte,TODAY()-D376,""),"")</f>
        <v/>
      </c>
      <c r="V376" s="8">
        <f>IF(D376="",0,IF(OR(AND(P376&lt;&gt;"",S376=""),AND(N(J376)&gt;0,N(K376)&lt;J376),OR(M376="PENDENTE",M376="PARCIAL"),OR(N376="PENDENTE",N376="PARCIAL")),1,0))</f>
        <v/>
      </c>
      <c r="W376" s="8">
        <f>IF(AND(V376=1,D376&lt;&gt;""),IF(D376&gt;=corte,(B376="CRÍTICO")*1E9+(100000-D376)*10000+10000-ROW(),""),"")</f>
        <v/>
      </c>
      <c r="X376" s="8">
        <f>IF(AND(V376=1,D376=pas_data,E376=pas_turno),10000-ROW(),"")</f>
        <v/>
      </c>
    </row>
    <row r="377">
      <c r="A377" s="3">
        <f>IF(D377="","","TT-"&amp;TEXT(ROW()-1,"00000"))</f>
        <v/>
      </c>
      <c r="B377" s="3">
        <f>IF(D377="","",IF(V377=0,"CONCLUÍDO",IF(D377&lt;corte,"HISTÓRICO",IF(OR(AND(ISNUMBER(R377),R377&lt;TODAY()),AND(OR(N377="PENDENTE",N377="PARCIAL"),D377&lt;TODAY()-1)),"CRÍTICO",IF(OR(AND(P377&lt;&gt;"",S377=""),AND(N377="REALIZADO",M377="PENDENTE"),AND(ISNUMBER(R377),R377=TODAY())),"ATENÇÃO",IF(N(K377)=0,"PENDENTE","EM ANDAMENTO"))))))</f>
        <v/>
      </c>
      <c r="C377" s="3">
        <f>IF(D377="","",IF(V377=0,"🟢 OK",IF(D377&lt;corte,"⚪ HISTÓRICO (sem baixa)",IF(AND(ISNUMBER(R377),R377&lt;TODAY()),"🔴 PRAZO VENCIDO",IF(AND(OR(N377="PENDENTE",N377="PARCIAL"),D377&lt;TODAY()-1),"🔴 EMBARQUE ATRASADO",IF(AND(N377="REALIZADO",M377="PENDENTE"),"🟡 EMBARCADO SEM FATURAR",IF(AND(P377&lt;&gt;"",S377="",OR(Q377="",R377="")),"🟡 PENDÊNCIA SEM RESPONSÁVEL/PRAZO",IF(AND(ISNUMBER(R377),R377=TODAY()),"🟡 VENCE HOJE",IF(AND(P377&lt;&gt;"",S377=""),"🟡 PENDÊNCIA ABERTA",IF(AND(N(J377)&gt;0,N(K377)&lt;J377),"🟡 FALTA EXECUTAR",IF(OR(M377="PENDENTE",M377="PARCIAL"),"🟡 FATURAMENTO PENDENTE","🟡 EMBARQUE PENDENTE")))))))))))</f>
        <v/>
      </c>
      <c r="D377" s="4" t="n">
        <v>46248</v>
      </c>
      <c r="E377" s="5" t="inlineStr">
        <is>
          <t>B</t>
        </is>
      </c>
      <c r="F377" s="5" t="inlineStr">
        <is>
          <t>THIAGO</t>
        </is>
      </c>
      <c r="G377" s="5" t="inlineStr">
        <is>
          <t>FLOOR</t>
        </is>
      </c>
      <c r="H377" s="5" t="n"/>
      <c r="I377" s="5" t="inlineStr">
        <is>
          <t>PALETE</t>
        </is>
      </c>
      <c r="J377" s="6" t="n">
        <v>113</v>
      </c>
      <c r="K377" s="6" t="n"/>
      <c r="L377" s="7">
        <f>IF(OR(D377="",N(J377)=0),"",MIN(1,N(K377)/J377))</f>
        <v/>
      </c>
      <c r="M377" s="5" t="n"/>
      <c r="N377" s="5" t="n"/>
      <c r="O377" s="5" t="n"/>
      <c r="P377" s="5" t="n"/>
      <c r="Q377" s="5" t="n"/>
      <c r="R377" s="4" t="n"/>
      <c r="S377" s="4" t="n"/>
      <c r="T377" s="5" t="n"/>
      <c r="U377" s="8">
        <f>IF(AND(V377=1,D377&lt;&gt;""),IF(D377&gt;=corte,TODAY()-D377,""),"")</f>
        <v/>
      </c>
      <c r="V377" s="8">
        <f>IF(D377="",0,IF(OR(AND(P377&lt;&gt;"",S377=""),AND(N(J377)&gt;0,N(K377)&lt;J377),OR(M377="PENDENTE",M377="PARCIAL"),OR(N377="PENDENTE",N377="PARCIAL")),1,0))</f>
        <v/>
      </c>
      <c r="W377" s="8">
        <f>IF(AND(V377=1,D377&lt;&gt;""),IF(D377&gt;=corte,(B377="CRÍTICO")*1E9+(100000-D377)*10000+10000-ROW(),""),"")</f>
        <v/>
      </c>
      <c r="X377" s="8">
        <f>IF(AND(V377=1,D377=pas_data,E377=pas_turno),10000-ROW(),"")</f>
        <v/>
      </c>
    </row>
    <row r="378">
      <c r="A378" s="3">
        <f>IF(D378="","","TT-"&amp;TEXT(ROW()-1,"00000"))</f>
        <v/>
      </c>
      <c r="B378" s="3">
        <f>IF(D378="","",IF(V378=0,"CONCLUÍDO",IF(D378&lt;corte,"HISTÓRICO",IF(OR(AND(ISNUMBER(R378),R378&lt;TODAY()),AND(OR(N378="PENDENTE",N378="PARCIAL"),D378&lt;TODAY()-1)),"CRÍTICO",IF(OR(AND(P378&lt;&gt;"",S378=""),AND(N378="REALIZADO",M378="PENDENTE"),AND(ISNUMBER(R378),R378=TODAY())),"ATENÇÃO",IF(N(K378)=0,"PENDENTE","EM ANDAMENTO"))))))</f>
        <v/>
      </c>
      <c r="C378" s="3">
        <f>IF(D378="","",IF(V378=0,"🟢 OK",IF(D378&lt;corte,"⚪ HISTÓRICO (sem baixa)",IF(AND(ISNUMBER(R378),R378&lt;TODAY()),"🔴 PRAZO VENCIDO",IF(AND(OR(N378="PENDENTE",N378="PARCIAL"),D378&lt;TODAY()-1),"🔴 EMBARQUE ATRASADO",IF(AND(N378="REALIZADO",M378="PENDENTE"),"🟡 EMBARCADO SEM FATURAR",IF(AND(P378&lt;&gt;"",S378="",OR(Q378="",R378="")),"🟡 PENDÊNCIA SEM RESPONSÁVEL/PRAZO",IF(AND(ISNUMBER(R378),R378=TODAY()),"🟡 VENCE HOJE",IF(AND(P378&lt;&gt;"",S378=""),"🟡 PENDÊNCIA ABERTA",IF(AND(N(J378)&gt;0,N(K378)&lt;J378),"🟡 FALTA EXECUTAR",IF(OR(M378="PENDENTE",M378="PARCIAL"),"🟡 FATURAMENTO PENDENTE","🟡 EMBARQUE PENDENTE")))))))))))</f>
        <v/>
      </c>
      <c r="D378" s="4" t="n">
        <v>46249</v>
      </c>
      <c r="E378" s="5" t="inlineStr">
        <is>
          <t>C</t>
        </is>
      </c>
      <c r="F378" s="5" t="inlineStr">
        <is>
          <t>ADIB</t>
        </is>
      </c>
      <c r="G378" s="5" t="inlineStr">
        <is>
          <t>GM</t>
        </is>
      </c>
      <c r="H378" s="5" t="inlineStr">
        <is>
          <t>CROSS D2</t>
        </is>
      </c>
      <c r="I378" s="5" t="inlineStr">
        <is>
          <t>TON</t>
        </is>
      </c>
      <c r="J378" s="6" t="n">
        <v>15.476</v>
      </c>
      <c r="K378" s="6" t="n">
        <v>15.476</v>
      </c>
      <c r="L378" s="7">
        <f>IF(OR(D378="",N(J378)=0),"",MIN(1,N(K378)/J378))</f>
        <v/>
      </c>
      <c r="M378" s="5" t="inlineStr">
        <is>
          <t>FATURADO</t>
        </is>
      </c>
      <c r="N378" s="5" t="inlineStr">
        <is>
          <t>REALIZADO</t>
        </is>
      </c>
      <c r="O378" s="5" t="inlineStr">
        <is>
          <t>D2</t>
        </is>
      </c>
      <c r="P378" s="5" t="inlineStr">
        <is>
          <t>FALTA BAIXAR ALGUMAS POSIÇÕES ALTO</t>
        </is>
      </c>
      <c r="Q378" s="5" t="n"/>
      <c r="R378" s="4" t="n"/>
      <c r="S378" s="4" t="n"/>
      <c r="T378" s="5" t="inlineStr">
        <is>
          <t>FALTA BAIXAR ALGUMAS POSIÇÕES ALTO</t>
        </is>
      </c>
      <c r="U378" s="8">
        <f>IF(AND(V378=1,D378&lt;&gt;""),IF(D378&gt;=corte,TODAY()-D378,""),"")</f>
        <v/>
      </c>
      <c r="V378" s="8">
        <f>IF(D378="",0,IF(OR(AND(P378&lt;&gt;"",S378=""),AND(N(J378)&gt;0,N(K378)&lt;J378),OR(M378="PENDENTE",M378="PARCIAL"),OR(N378="PENDENTE",N378="PARCIAL")),1,0))</f>
        <v/>
      </c>
      <c r="W378" s="8">
        <f>IF(AND(V378=1,D378&lt;&gt;""),IF(D378&gt;=corte,(B378="CRÍTICO")*1E9+(100000-D378)*10000+10000-ROW(),""),"")</f>
        <v/>
      </c>
      <c r="X378" s="8">
        <f>IF(AND(V378=1,D378=pas_data,E378=pas_turno),10000-ROW(),"")</f>
        <v/>
      </c>
    </row>
    <row r="379">
      <c r="A379" s="3">
        <f>IF(D379="","","TT-"&amp;TEXT(ROW()-1,"00000"))</f>
        <v/>
      </c>
      <c r="B379" s="3">
        <f>IF(D379="","",IF(V379=0,"CONCLUÍDO",IF(D379&lt;corte,"HISTÓRICO",IF(OR(AND(ISNUMBER(R379),R379&lt;TODAY()),AND(OR(N379="PENDENTE",N379="PARCIAL"),D379&lt;TODAY()-1)),"CRÍTICO",IF(OR(AND(P379&lt;&gt;"",S379=""),AND(N379="REALIZADO",M379="PENDENTE"),AND(ISNUMBER(R379),R379=TODAY())),"ATENÇÃO",IF(N(K379)=0,"PENDENTE","EM ANDAMENTO"))))))</f>
        <v/>
      </c>
      <c r="C379" s="3">
        <f>IF(D379="","",IF(V379=0,"🟢 OK",IF(D379&lt;corte,"⚪ HISTÓRICO (sem baixa)",IF(AND(ISNUMBER(R379),R379&lt;TODAY()),"🔴 PRAZO VENCIDO",IF(AND(OR(N379="PENDENTE",N379="PARCIAL"),D379&lt;TODAY()-1),"🔴 EMBARQUE ATRASADO",IF(AND(N379="REALIZADO",M379="PENDENTE"),"🟡 EMBARCADO SEM FATURAR",IF(AND(P379&lt;&gt;"",S379="",OR(Q379="",R379="")),"🟡 PENDÊNCIA SEM RESPONSÁVEL/PRAZO",IF(AND(ISNUMBER(R379),R379=TODAY()),"🟡 VENCE HOJE",IF(AND(P379&lt;&gt;"",S379=""),"🟡 PENDÊNCIA ABERTA",IF(AND(N(J379)&gt;0,N(K379)&lt;J379),"🟡 FALTA EXECUTAR",IF(OR(M379="PENDENTE",M379="PARCIAL"),"🟡 FATURAMENTO PENDENTE","🟡 EMBARQUE PENDENTE")))))))))))</f>
        <v/>
      </c>
      <c r="D379" s="4" t="n">
        <v>46249</v>
      </c>
      <c r="E379" s="5" t="inlineStr">
        <is>
          <t>C</t>
        </is>
      </c>
      <c r="F379" s="5" t="inlineStr">
        <is>
          <t>ADIB</t>
        </is>
      </c>
      <c r="G379" s="5" t="inlineStr">
        <is>
          <t>FM</t>
        </is>
      </c>
      <c r="H379" s="5" t="inlineStr">
        <is>
          <t>I.B.A.E</t>
        </is>
      </c>
      <c r="I379" s="5" t="inlineStr">
        <is>
          <t>TON</t>
        </is>
      </c>
      <c r="J379" s="6" t="n">
        <v>28.054</v>
      </c>
      <c r="K379" s="6" t="n">
        <v>28.054</v>
      </c>
      <c r="L379" s="7">
        <f>IF(OR(D379="",N(J379)=0),"",MIN(1,N(K379)/J379))</f>
        <v/>
      </c>
      <c r="M379" s="5" t="inlineStr">
        <is>
          <t>FATURADO</t>
        </is>
      </c>
      <c r="N379" s="5" t="inlineStr">
        <is>
          <t>REALIZADO</t>
        </is>
      </c>
      <c r="O379" s="5" t="inlineStr">
        <is>
          <t>SPEEDYLOG</t>
        </is>
      </c>
      <c r="P379" s="5" t="n"/>
      <c r="Q379" s="5" t="n"/>
      <c r="R379" s="4" t="n"/>
      <c r="S379" s="4" t="n"/>
      <c r="T379" s="5" t="inlineStr">
        <is>
          <t>CARREGADO E LIBERADO</t>
        </is>
      </c>
      <c r="U379" s="8">
        <f>IF(AND(V379=1,D379&lt;&gt;""),IF(D379&gt;=corte,TODAY()-D379,""),"")</f>
        <v/>
      </c>
      <c r="V379" s="8">
        <f>IF(D379="",0,IF(OR(AND(P379&lt;&gt;"",S379=""),AND(N(J379)&gt;0,N(K379)&lt;J379),OR(M379="PENDENTE",M379="PARCIAL"),OR(N379="PENDENTE",N379="PARCIAL")),1,0))</f>
        <v/>
      </c>
      <c r="W379" s="8">
        <f>IF(AND(V379=1,D379&lt;&gt;""),IF(D379&gt;=corte,(B379="CRÍTICO")*1E9+(100000-D379)*10000+10000-ROW(),""),"")</f>
        <v/>
      </c>
      <c r="X379" s="8">
        <f>IF(AND(V379=1,D379=pas_data,E379=pas_turno),10000-ROW(),"")</f>
        <v/>
      </c>
    </row>
    <row r="380">
      <c r="A380" s="3">
        <f>IF(D380="","","TT-"&amp;TEXT(ROW()-1,"00000"))</f>
        <v/>
      </c>
      <c r="B380" s="3">
        <f>IF(D380="","",IF(V380=0,"CONCLUÍDO",IF(D380&lt;corte,"HISTÓRICO",IF(OR(AND(ISNUMBER(R380),R380&lt;TODAY()),AND(OR(N380="PENDENTE",N380="PARCIAL"),D380&lt;TODAY()-1)),"CRÍTICO",IF(OR(AND(P380&lt;&gt;"",S380=""),AND(N380="REALIZADO",M380="PENDENTE"),AND(ISNUMBER(R380),R380=TODAY())),"ATENÇÃO",IF(N(K380)=0,"PENDENTE","EM ANDAMENTO"))))))</f>
        <v/>
      </c>
      <c r="C380" s="3">
        <f>IF(D380="","",IF(V380=0,"🟢 OK",IF(D380&lt;corte,"⚪ HISTÓRICO (sem baixa)",IF(AND(ISNUMBER(R380),R380&lt;TODAY()),"🔴 PRAZO VENCIDO",IF(AND(OR(N380="PENDENTE",N380="PARCIAL"),D380&lt;TODAY()-1),"🔴 EMBARQUE ATRASADO",IF(AND(N380="REALIZADO",M380="PENDENTE"),"🟡 EMBARCADO SEM FATURAR",IF(AND(P380&lt;&gt;"",S380="",OR(Q380="",R380="")),"🟡 PENDÊNCIA SEM RESPONSÁVEL/PRAZO",IF(AND(ISNUMBER(R380),R380=TODAY()),"🟡 VENCE HOJE",IF(AND(P380&lt;&gt;"",S380=""),"🟡 PENDÊNCIA ABERTA",IF(AND(N(J380)&gt;0,N(K380)&lt;J380),"🟡 FALTA EXECUTAR",IF(OR(M380="PENDENTE",M380="PARCIAL"),"🟡 FATURAMENTO PENDENTE","🟡 EMBARQUE PENDENTE")))))))))))</f>
        <v/>
      </c>
      <c r="D380" s="4" t="n">
        <v>46249</v>
      </c>
      <c r="E380" s="5" t="inlineStr">
        <is>
          <t>C</t>
        </is>
      </c>
      <c r="F380" s="5" t="inlineStr">
        <is>
          <t>ADIB</t>
        </is>
      </c>
      <c r="G380" s="5" t="inlineStr">
        <is>
          <t>GM</t>
        </is>
      </c>
      <c r="H380" s="5" t="inlineStr">
        <is>
          <t>SMARTLOG AGENDADOS</t>
        </is>
      </c>
      <c r="I380" s="5" t="inlineStr">
        <is>
          <t>TON</t>
        </is>
      </c>
      <c r="J380" s="6" t="n">
        <v>2.7</v>
      </c>
      <c r="K380" s="6" t="n">
        <v>2.7</v>
      </c>
      <c r="L380" s="7">
        <f>IF(OR(D380="",N(J380)=0),"",MIN(1,N(K380)/J380))</f>
        <v/>
      </c>
      <c r="M380" s="5" t="inlineStr">
        <is>
          <t>FATURADO</t>
        </is>
      </c>
      <c r="N380" s="5" t="inlineStr">
        <is>
          <t>PENDENTE</t>
        </is>
      </c>
      <c r="O380" s="5" t="inlineStr">
        <is>
          <t>SMARTLOG</t>
        </is>
      </c>
      <c r="P380" s="5" t="inlineStr">
        <is>
          <t>SEPARADO E FATURADO (AGUARDANDO CARRO)</t>
        </is>
      </c>
      <c r="Q380" s="5" t="n"/>
      <c r="R380" s="4" t="n"/>
      <c r="S380" s="4" t="n"/>
      <c r="T380" s="5" t="inlineStr">
        <is>
          <t>SEPARADO E FATURADO (AGUARDANDO CARRO)</t>
        </is>
      </c>
      <c r="U380" s="8">
        <f>IF(AND(V380=1,D380&lt;&gt;""),IF(D380&gt;=corte,TODAY()-D380,""),"")</f>
        <v/>
      </c>
      <c r="V380" s="8">
        <f>IF(D380="",0,IF(OR(AND(P380&lt;&gt;"",S380=""),AND(N(J380)&gt;0,N(K380)&lt;J380),OR(M380="PENDENTE",M380="PARCIAL"),OR(N380="PENDENTE",N380="PARCIAL")),1,0))</f>
        <v/>
      </c>
      <c r="W380" s="8">
        <f>IF(AND(V380=1,D380&lt;&gt;""),IF(D380&gt;=corte,(B380="CRÍTICO")*1E9+(100000-D380)*10000+10000-ROW(),""),"")</f>
        <v/>
      </c>
      <c r="X380" s="8">
        <f>IF(AND(V380=1,D380=pas_data,E380=pas_turno),10000-ROW(),"")</f>
        <v/>
      </c>
    </row>
    <row r="381">
      <c r="A381" s="3">
        <f>IF(D381="","","TT-"&amp;TEXT(ROW()-1,"00000"))</f>
        <v/>
      </c>
      <c r="B381" s="3">
        <f>IF(D381="","",IF(V381=0,"CONCLUÍDO",IF(D381&lt;corte,"HISTÓRICO",IF(OR(AND(ISNUMBER(R381),R381&lt;TODAY()),AND(OR(N381="PENDENTE",N381="PARCIAL"),D381&lt;TODAY()-1)),"CRÍTICO",IF(OR(AND(P381&lt;&gt;"",S381=""),AND(N381="REALIZADO",M381="PENDENTE"),AND(ISNUMBER(R381),R381=TODAY())),"ATENÇÃO",IF(N(K381)=0,"PENDENTE","EM ANDAMENTO"))))))</f>
        <v/>
      </c>
      <c r="C381" s="3">
        <f>IF(D381="","",IF(V381=0,"🟢 OK",IF(D381&lt;corte,"⚪ HISTÓRICO (sem baixa)",IF(AND(ISNUMBER(R381),R381&lt;TODAY()),"🔴 PRAZO VENCIDO",IF(AND(OR(N381="PENDENTE",N381="PARCIAL"),D381&lt;TODAY()-1),"🔴 EMBARQUE ATRASADO",IF(AND(N381="REALIZADO",M381="PENDENTE"),"🟡 EMBARCADO SEM FATURAR",IF(AND(P381&lt;&gt;"",S381="",OR(Q381="",R381="")),"🟡 PENDÊNCIA SEM RESPONSÁVEL/PRAZO",IF(AND(ISNUMBER(R381),R381=TODAY()),"🟡 VENCE HOJE",IF(AND(P381&lt;&gt;"",S381=""),"🟡 PENDÊNCIA ABERTA",IF(AND(N(J381)&gt;0,N(K381)&lt;J381),"🟡 FALTA EXECUTAR",IF(OR(M381="PENDENTE",M381="PARCIAL"),"🟡 FATURAMENTO PENDENTE","🟡 EMBARQUE PENDENTE")))))))))))</f>
        <v/>
      </c>
      <c r="D381" s="4" t="n">
        <v>46249</v>
      </c>
      <c r="E381" s="5" t="inlineStr">
        <is>
          <t>D</t>
        </is>
      </c>
      <c r="F381" s="5" t="inlineStr">
        <is>
          <t>VINICIUS</t>
        </is>
      </c>
      <c r="G381" s="5" t="inlineStr">
        <is>
          <t>FOB</t>
        </is>
      </c>
      <c r="H381" s="5" t="inlineStr">
        <is>
          <t>PRODUPAN / CUNHAPAN</t>
        </is>
      </c>
      <c r="I381" s="5" t="inlineStr">
        <is>
          <t>TON</t>
        </is>
      </c>
      <c r="J381" s="6" t="n">
        <v>9.817</v>
      </c>
      <c r="K381" s="6" t="n">
        <v>9.817</v>
      </c>
      <c r="L381" s="7">
        <f>IF(OR(D381="",N(J381)=0),"",MIN(1,N(K381)/J381))</f>
        <v/>
      </c>
      <c r="M381" s="5" t="inlineStr">
        <is>
          <t>FATURADO</t>
        </is>
      </c>
      <c r="N381" s="5" t="inlineStr">
        <is>
          <t>REALIZADO</t>
        </is>
      </c>
      <c r="O381" s="5" t="inlineStr">
        <is>
          <t>PRÓPRIO</t>
        </is>
      </c>
      <c r="P381" s="5" t="n"/>
      <c r="Q381" s="5" t="n"/>
      <c r="R381" s="4" t="n"/>
      <c r="S381" s="4" t="n"/>
      <c r="T381" s="5" t="inlineStr">
        <is>
          <t>CARREGADO E LIBERADO</t>
        </is>
      </c>
      <c r="U381" s="8">
        <f>IF(AND(V381=1,D381&lt;&gt;""),IF(D381&gt;=corte,TODAY()-D381,""),"")</f>
        <v/>
      </c>
      <c r="V381" s="8">
        <f>IF(D381="",0,IF(OR(AND(P381&lt;&gt;"",S381=""),AND(N(J381)&gt;0,N(K381)&lt;J381),OR(M381="PENDENTE",M381="PARCIAL"),OR(N381="PENDENTE",N381="PARCIAL")),1,0))</f>
        <v/>
      </c>
      <c r="W381" s="8">
        <f>IF(AND(V381=1,D381&lt;&gt;""),IF(D381&gt;=corte,(B381="CRÍTICO")*1E9+(100000-D381)*10000+10000-ROW(),""),"")</f>
        <v/>
      </c>
      <c r="X381" s="8">
        <f>IF(AND(V381=1,D381=pas_data,E381=pas_turno),10000-ROW(),"")</f>
        <v/>
      </c>
    </row>
    <row r="382">
      <c r="A382" s="3">
        <f>IF(D382="","","TT-"&amp;TEXT(ROW()-1,"00000"))</f>
        <v/>
      </c>
      <c r="B382" s="3">
        <f>IF(D382="","",IF(V382=0,"CONCLUÍDO",IF(D382&lt;corte,"HISTÓRICO",IF(OR(AND(ISNUMBER(R382),R382&lt;TODAY()),AND(OR(N382="PENDENTE",N382="PARCIAL"),D382&lt;TODAY()-1)),"CRÍTICO",IF(OR(AND(P382&lt;&gt;"",S382=""),AND(N382="REALIZADO",M382="PENDENTE"),AND(ISNUMBER(R382),R382=TODAY())),"ATENÇÃO",IF(N(K382)=0,"PENDENTE","EM ANDAMENTO"))))))</f>
        <v/>
      </c>
      <c r="C382" s="3">
        <f>IF(D382="","",IF(V382=0,"🟢 OK",IF(D382&lt;corte,"⚪ HISTÓRICO (sem baixa)",IF(AND(ISNUMBER(R382),R382&lt;TODAY()),"🔴 PRAZO VENCIDO",IF(AND(OR(N382="PENDENTE",N382="PARCIAL"),D382&lt;TODAY()-1),"🔴 EMBARQUE ATRASADO",IF(AND(N382="REALIZADO",M382="PENDENTE"),"🟡 EMBARCADO SEM FATURAR",IF(AND(P382&lt;&gt;"",S382="",OR(Q382="",R382="")),"🟡 PENDÊNCIA SEM RESPONSÁVEL/PRAZO",IF(AND(ISNUMBER(R382),R382=TODAY()),"🟡 VENCE HOJE",IF(AND(P382&lt;&gt;"",S382=""),"🟡 PENDÊNCIA ABERTA",IF(AND(N(J382)&gt;0,N(K382)&lt;J382),"🟡 FALTA EXECUTAR",IF(OR(M382="PENDENTE",M382="PARCIAL"),"🟡 FATURAMENTO PENDENTE","🟡 EMBARQUE PENDENTE")))))))))))</f>
        <v/>
      </c>
      <c r="D382" s="4" t="n">
        <v>46249</v>
      </c>
      <c r="E382" s="5" t="inlineStr">
        <is>
          <t>C</t>
        </is>
      </c>
      <c r="F382" s="5" t="inlineStr">
        <is>
          <t>ADIB</t>
        </is>
      </c>
      <c r="G382" s="5" t="inlineStr">
        <is>
          <t>FOB</t>
        </is>
      </c>
      <c r="H382" s="5" t="inlineStr">
        <is>
          <t>ORG BRAZALMEIDA</t>
        </is>
      </c>
      <c r="I382" s="5" t="inlineStr">
        <is>
          <t>TON</t>
        </is>
      </c>
      <c r="J382" s="6" t="n">
        <v>5.254</v>
      </c>
      <c r="K382" s="6" t="n">
        <v>5.254</v>
      </c>
      <c r="L382" s="7">
        <f>IF(OR(D382="",N(J382)=0),"",MIN(1,N(K382)/J382))</f>
        <v/>
      </c>
      <c r="M382" s="5" t="inlineStr">
        <is>
          <t>FATURADO</t>
        </is>
      </c>
      <c r="N382" s="5" t="inlineStr">
        <is>
          <t>REALIZADO</t>
        </is>
      </c>
      <c r="O382" s="5" t="inlineStr">
        <is>
          <t>PRÓPRIO</t>
        </is>
      </c>
      <c r="P382" s="5" t="n"/>
      <c r="Q382" s="5" t="n"/>
      <c r="R382" s="4" t="n"/>
      <c r="S382" s="4" t="n"/>
      <c r="T382" s="5" t="inlineStr">
        <is>
          <t>CARREGADO E LIBERADO</t>
        </is>
      </c>
      <c r="U382" s="8">
        <f>IF(AND(V382=1,D382&lt;&gt;""),IF(D382&gt;=corte,TODAY()-D382,""),"")</f>
        <v/>
      </c>
      <c r="V382" s="8">
        <f>IF(D382="",0,IF(OR(AND(P382&lt;&gt;"",S382=""),AND(N(J382)&gt;0,N(K382)&lt;J382),OR(M382="PENDENTE",M382="PARCIAL"),OR(N382="PENDENTE",N382="PARCIAL")),1,0))</f>
        <v/>
      </c>
      <c r="W382" s="8">
        <f>IF(AND(V382=1,D382&lt;&gt;""),IF(D382&gt;=corte,(B382="CRÍTICO")*1E9+(100000-D382)*10000+10000-ROW(),""),"")</f>
        <v/>
      </c>
      <c r="X382" s="8">
        <f>IF(AND(V382=1,D382=pas_data,E382=pas_turno),10000-ROW(),"")</f>
        <v/>
      </c>
    </row>
    <row r="383">
      <c r="A383" s="3">
        <f>IF(D383="","","TT-"&amp;TEXT(ROW()-1,"00000"))</f>
        <v/>
      </c>
      <c r="B383" s="3">
        <f>IF(D383="","",IF(V383=0,"CONCLUÍDO",IF(D383&lt;corte,"HISTÓRICO",IF(OR(AND(ISNUMBER(R383),R383&lt;TODAY()),AND(OR(N383="PENDENTE",N383="PARCIAL"),D383&lt;TODAY()-1)),"CRÍTICO",IF(OR(AND(P383&lt;&gt;"",S383=""),AND(N383="REALIZADO",M383="PENDENTE"),AND(ISNUMBER(R383),R383=TODAY())),"ATENÇÃO",IF(N(K383)=0,"PENDENTE","EM ANDAMENTO"))))))</f>
        <v/>
      </c>
      <c r="C383" s="3">
        <f>IF(D383="","",IF(V383=0,"🟢 OK",IF(D383&lt;corte,"⚪ HISTÓRICO (sem baixa)",IF(AND(ISNUMBER(R383),R383&lt;TODAY()),"🔴 PRAZO VENCIDO",IF(AND(OR(N383="PENDENTE",N383="PARCIAL"),D383&lt;TODAY()-1),"🔴 EMBARQUE ATRASADO",IF(AND(N383="REALIZADO",M383="PENDENTE"),"🟡 EMBARCADO SEM FATURAR",IF(AND(P383&lt;&gt;"",S383="",OR(Q383="",R383="")),"🟡 PENDÊNCIA SEM RESPONSÁVEL/PRAZO",IF(AND(ISNUMBER(R383),R383=TODAY()),"🟡 VENCE HOJE",IF(AND(P383&lt;&gt;"",S383=""),"🟡 PENDÊNCIA ABERTA",IF(AND(N(J383)&gt;0,N(K383)&lt;J383),"🟡 FALTA EXECUTAR",IF(OR(M383="PENDENTE",M383="PARCIAL"),"🟡 FATURAMENTO PENDENTE","🟡 EMBARQUE PENDENTE")))))))))))</f>
        <v/>
      </c>
      <c r="D383" s="4" t="n">
        <v>46249</v>
      </c>
      <c r="E383" s="5" t="inlineStr">
        <is>
          <t>D</t>
        </is>
      </c>
      <c r="F383" s="5" t="inlineStr">
        <is>
          <t>VINICIUS</t>
        </is>
      </c>
      <c r="G383" s="5" t="inlineStr">
        <is>
          <t>GM</t>
        </is>
      </c>
      <c r="H383" s="5" t="inlineStr">
        <is>
          <t>SMARTLOG AGENDADO/DIRETAS</t>
        </is>
      </c>
      <c r="I383" s="5" t="inlineStr">
        <is>
          <t>PALETE</t>
        </is>
      </c>
      <c r="J383" s="6" t="n">
        <v>5</v>
      </c>
      <c r="K383" s="6" t="n">
        <v>5</v>
      </c>
      <c r="L383" s="7">
        <f>IF(OR(D383="",N(J383)=0),"",MIN(1,N(K383)/J383))</f>
        <v/>
      </c>
      <c r="M383" s="5" t="inlineStr">
        <is>
          <t>FATURADO</t>
        </is>
      </c>
      <c r="N383" s="5" t="inlineStr">
        <is>
          <t>REALIZADO</t>
        </is>
      </c>
      <c r="O383" s="5" t="inlineStr">
        <is>
          <t>SMARTLOG</t>
        </is>
      </c>
      <c r="P383" s="5" t="n"/>
      <c r="Q383" s="5" t="n"/>
      <c r="R383" s="4" t="n"/>
      <c r="S383" s="4" t="n"/>
      <c r="T383" s="5" t="inlineStr">
        <is>
          <t>CARREGADO E LIBERADO</t>
        </is>
      </c>
      <c r="U383" s="8">
        <f>IF(AND(V383=1,D383&lt;&gt;""),IF(D383&gt;=corte,TODAY()-D383,""),"")</f>
        <v/>
      </c>
      <c r="V383" s="8">
        <f>IF(D383="",0,IF(OR(AND(P383&lt;&gt;"",S383=""),AND(N(J383)&gt;0,N(K383)&lt;J383),OR(M383="PENDENTE",M383="PARCIAL"),OR(N383="PENDENTE",N383="PARCIAL")),1,0))</f>
        <v/>
      </c>
      <c r="W383" s="8">
        <f>IF(AND(V383=1,D383&lt;&gt;""),IF(D383&gt;=corte,(B383="CRÍTICO")*1E9+(100000-D383)*10000+10000-ROW(),""),"")</f>
        <v/>
      </c>
      <c r="X383" s="8">
        <f>IF(AND(V383=1,D383=pas_data,E383=pas_turno),10000-ROW(),"")</f>
        <v/>
      </c>
    </row>
    <row r="384">
      <c r="A384" s="3">
        <f>IF(D384="","","TT-"&amp;TEXT(ROW()-1,"00000"))</f>
        <v/>
      </c>
      <c r="B384" s="3">
        <f>IF(D384="","",IF(V384=0,"CONCLUÍDO",IF(D384&lt;corte,"HISTÓRICO",IF(OR(AND(ISNUMBER(R384),R384&lt;TODAY()),AND(OR(N384="PENDENTE",N384="PARCIAL"),D384&lt;TODAY()-1)),"CRÍTICO",IF(OR(AND(P384&lt;&gt;"",S384=""),AND(N384="REALIZADO",M384="PENDENTE"),AND(ISNUMBER(R384),R384=TODAY())),"ATENÇÃO",IF(N(K384)=0,"PENDENTE","EM ANDAMENTO"))))))</f>
        <v/>
      </c>
      <c r="C384" s="3">
        <f>IF(D384="","",IF(V384=0,"🟢 OK",IF(D384&lt;corte,"⚪ HISTÓRICO (sem baixa)",IF(AND(ISNUMBER(R384),R384&lt;TODAY()),"🔴 PRAZO VENCIDO",IF(AND(OR(N384="PENDENTE",N384="PARCIAL"),D384&lt;TODAY()-1),"🔴 EMBARQUE ATRASADO",IF(AND(N384="REALIZADO",M384="PENDENTE"),"🟡 EMBARCADO SEM FATURAR",IF(AND(P384&lt;&gt;"",S384="",OR(Q384="",R384="")),"🟡 PENDÊNCIA SEM RESPONSÁVEL/PRAZO",IF(AND(ISNUMBER(R384),R384=TODAY()),"🟡 VENCE HOJE",IF(AND(P384&lt;&gt;"",S384=""),"🟡 PENDÊNCIA ABERTA",IF(AND(N(J384)&gt;0,N(K384)&lt;J384),"🟡 FALTA EXECUTAR",IF(OR(M384="PENDENTE",M384="PARCIAL"),"🟡 FATURAMENTO PENDENTE","🟡 EMBARQUE PENDENTE")))))))))))</f>
        <v/>
      </c>
      <c r="D384" s="4" t="n">
        <v>46249</v>
      </c>
      <c r="E384" s="5" t="inlineStr">
        <is>
          <t>D</t>
        </is>
      </c>
      <c r="F384" s="5" t="inlineStr">
        <is>
          <t>VINICIUS</t>
        </is>
      </c>
      <c r="G384" s="5" t="inlineStr">
        <is>
          <t>FM</t>
        </is>
      </c>
      <c r="H384" s="5" t="inlineStr">
        <is>
          <t>PANDURATA / IBAE</t>
        </is>
      </c>
      <c r="I384" s="5" t="inlineStr">
        <is>
          <t>TON</t>
        </is>
      </c>
      <c r="J384" s="6" t="n">
        <v>52.358</v>
      </c>
      <c r="K384" s="6" t="n">
        <v>52.358</v>
      </c>
      <c r="L384" s="7">
        <f>IF(OR(D384="",N(J384)=0),"",MIN(1,N(K384)/J384))</f>
        <v/>
      </c>
      <c r="M384" s="5" t="inlineStr">
        <is>
          <t>PENDENTE</t>
        </is>
      </c>
      <c r="N384" s="5" t="inlineStr">
        <is>
          <t>PENDENTE</t>
        </is>
      </c>
      <c r="O384" s="5" t="inlineStr">
        <is>
          <t>SPEEDYLOG</t>
        </is>
      </c>
      <c r="P384" s="5" t="inlineStr">
        <is>
          <t>SEPARADO, AGUARDANDO FATURAMENTO</t>
        </is>
      </c>
      <c r="Q384" s="5" t="n"/>
      <c r="R384" s="4" t="n"/>
      <c r="S384" s="4" t="n"/>
      <c r="T384" s="5" t="inlineStr">
        <is>
          <t>SEPARADO, AGUARDANDO FATURAMENTO</t>
        </is>
      </c>
      <c r="U384" s="8">
        <f>IF(AND(V384=1,D384&lt;&gt;""),IF(D384&gt;=corte,TODAY()-D384,""),"")</f>
        <v/>
      </c>
      <c r="V384" s="8">
        <f>IF(D384="",0,IF(OR(AND(P384&lt;&gt;"",S384=""),AND(N(J384)&gt;0,N(K384)&lt;J384),OR(M384="PENDENTE",M384="PARCIAL"),OR(N384="PENDENTE",N384="PARCIAL")),1,0))</f>
        <v/>
      </c>
      <c r="W384" s="8">
        <f>IF(AND(V384=1,D384&lt;&gt;""),IF(D384&gt;=corte,(B384="CRÍTICO")*1E9+(100000-D384)*10000+10000-ROW(),""),"")</f>
        <v/>
      </c>
      <c r="X384" s="8">
        <f>IF(AND(V384=1,D384=pas_data,E384=pas_turno),10000-ROW(),"")</f>
        <v/>
      </c>
    </row>
    <row r="385">
      <c r="A385" s="3">
        <f>IF(D385="","","TT-"&amp;TEXT(ROW()-1,"00000"))</f>
        <v/>
      </c>
      <c r="B385" s="3">
        <f>IF(D385="","",IF(V385=0,"CONCLUÍDO",IF(D385&lt;corte,"HISTÓRICO",IF(OR(AND(ISNUMBER(R385),R385&lt;TODAY()),AND(OR(N385="PENDENTE",N385="PARCIAL"),D385&lt;TODAY()-1)),"CRÍTICO",IF(OR(AND(P385&lt;&gt;"",S385=""),AND(N385="REALIZADO",M385="PENDENTE"),AND(ISNUMBER(R385),R385=TODAY())),"ATENÇÃO",IF(N(K385)=0,"PENDENTE","EM ANDAMENTO"))))))</f>
        <v/>
      </c>
      <c r="C385" s="3">
        <f>IF(D385="","",IF(V385=0,"🟢 OK",IF(D385&lt;corte,"⚪ HISTÓRICO (sem baixa)",IF(AND(ISNUMBER(R385),R385&lt;TODAY()),"🔴 PRAZO VENCIDO",IF(AND(OR(N385="PENDENTE",N385="PARCIAL"),D385&lt;TODAY()-1),"🔴 EMBARQUE ATRASADO",IF(AND(N385="REALIZADO",M385="PENDENTE"),"🟡 EMBARCADO SEM FATURAR",IF(AND(P385&lt;&gt;"",S385="",OR(Q385="",R385="")),"🟡 PENDÊNCIA SEM RESPONSÁVEL/PRAZO",IF(AND(ISNUMBER(R385),R385=TODAY()),"🟡 VENCE HOJE",IF(AND(P385&lt;&gt;"",S385=""),"🟡 PENDÊNCIA ABERTA",IF(AND(N(J385)&gt;0,N(K385)&lt;J385),"🟡 FALTA EXECUTAR",IF(OR(M385="PENDENTE",M385="PARCIAL"),"🟡 FATURAMENTO PENDENTE","🟡 EMBARQUE PENDENTE")))))))))))</f>
        <v/>
      </c>
      <c r="D385" s="4" t="n">
        <v>46249</v>
      </c>
      <c r="E385" s="5" t="inlineStr">
        <is>
          <t>D</t>
        </is>
      </c>
      <c r="F385" s="5" t="inlineStr">
        <is>
          <t>VINICIUS</t>
        </is>
      </c>
      <c r="G385" s="5" t="inlineStr">
        <is>
          <t>FOB</t>
        </is>
      </c>
      <c r="H385" s="5" t="inlineStr">
        <is>
          <t>MARCOS ARTIGOS</t>
        </is>
      </c>
      <c r="I385" s="5" t="inlineStr">
        <is>
          <t>TON</t>
        </is>
      </c>
      <c r="J385" s="6" t="n">
        <v>15.779</v>
      </c>
      <c r="K385" s="6" t="n">
        <v>15.779</v>
      </c>
      <c r="L385" s="7">
        <f>IF(OR(D385="",N(J385)=0),"",MIN(1,N(K385)/J385))</f>
        <v/>
      </c>
      <c r="M385" s="5" t="inlineStr">
        <is>
          <t>FATURADO</t>
        </is>
      </c>
      <c r="N385" s="5" t="inlineStr">
        <is>
          <t>PENDENTE</t>
        </is>
      </c>
      <c r="O385" s="5" t="inlineStr">
        <is>
          <t>PRÓPRIO</t>
        </is>
      </c>
      <c r="P385" s="5" t="inlineStr">
        <is>
          <t>SEPARADO E FATURADO (AGUARDANDO CARRO)</t>
        </is>
      </c>
      <c r="Q385" s="5" t="n"/>
      <c r="R385" s="4" t="n"/>
      <c r="S385" s="4" t="n"/>
      <c r="T385" s="5" t="inlineStr">
        <is>
          <t>SEPARADO E FATURADO (AGUARDANDO CARRO)</t>
        </is>
      </c>
      <c r="U385" s="8">
        <f>IF(AND(V385=1,D385&lt;&gt;""),IF(D385&gt;=corte,TODAY()-D385,""),"")</f>
        <v/>
      </c>
      <c r="V385" s="8">
        <f>IF(D385="",0,IF(OR(AND(P385&lt;&gt;"",S385=""),AND(N(J385)&gt;0,N(K385)&lt;J385),OR(M385="PENDENTE",M385="PARCIAL"),OR(N385="PENDENTE",N385="PARCIAL")),1,0))</f>
        <v/>
      </c>
      <c r="W385" s="8">
        <f>IF(AND(V385=1,D385&lt;&gt;""),IF(D385&gt;=corte,(B385="CRÍTICO")*1E9+(100000-D385)*10000+10000-ROW(),""),"")</f>
        <v/>
      </c>
      <c r="X385" s="8">
        <f>IF(AND(V385=1,D385=pas_data,E385=pas_turno),10000-ROW(),"")</f>
        <v/>
      </c>
    </row>
    <row r="386">
      <c r="A386" s="3">
        <f>IF(D386="","","TT-"&amp;TEXT(ROW()-1,"00000"))</f>
        <v/>
      </c>
      <c r="B386" s="3">
        <f>IF(D386="","",IF(V386=0,"CONCLUÍDO",IF(D386&lt;corte,"HISTÓRICO",IF(OR(AND(ISNUMBER(R386),R386&lt;TODAY()),AND(OR(N386="PENDENTE",N386="PARCIAL"),D386&lt;TODAY()-1)),"CRÍTICO",IF(OR(AND(P386&lt;&gt;"",S386=""),AND(N386="REALIZADO",M386="PENDENTE"),AND(ISNUMBER(R386),R386=TODAY())),"ATENÇÃO",IF(N(K386)=0,"PENDENTE","EM ANDAMENTO"))))))</f>
        <v/>
      </c>
      <c r="C386" s="3">
        <f>IF(D386="","",IF(V386=0,"🟢 OK",IF(D386&lt;corte,"⚪ HISTÓRICO (sem baixa)",IF(AND(ISNUMBER(R386),R386&lt;TODAY()),"🔴 PRAZO VENCIDO",IF(AND(OR(N386="PENDENTE",N386="PARCIAL"),D386&lt;TODAY()-1),"🔴 EMBARQUE ATRASADO",IF(AND(N386="REALIZADO",M386="PENDENTE"),"🟡 EMBARCADO SEM FATURAR",IF(AND(P386&lt;&gt;"",S386="",OR(Q386="",R386="")),"🟡 PENDÊNCIA SEM RESPONSÁVEL/PRAZO",IF(AND(ISNUMBER(R386),R386=TODAY()),"🟡 VENCE HOJE",IF(AND(P386&lt;&gt;"",S386=""),"🟡 PENDÊNCIA ABERTA",IF(AND(N(J386)&gt;0,N(K386)&lt;J386),"🟡 FALTA EXECUTAR",IF(OR(M386="PENDENTE",M386="PARCIAL"),"🟡 FATURAMENTO PENDENTE","🟡 EMBARQUE PENDENTE")))))))))))</f>
        <v/>
      </c>
      <c r="D386" s="4" t="n">
        <v>46249</v>
      </c>
      <c r="E386" s="5" t="inlineStr">
        <is>
          <t>D</t>
        </is>
      </c>
      <c r="F386" s="5" t="inlineStr">
        <is>
          <t>VINICIUS</t>
        </is>
      </c>
      <c r="G386" s="5" t="inlineStr">
        <is>
          <t>GM</t>
        </is>
      </c>
      <c r="H386" s="5" t="inlineStr">
        <is>
          <t>CROSS D2</t>
        </is>
      </c>
      <c r="I386" s="5" t="inlineStr">
        <is>
          <t>TON</t>
        </is>
      </c>
      <c r="J386" s="6" t="n">
        <v>1.079</v>
      </c>
      <c r="K386" s="6" t="n">
        <v>1.079</v>
      </c>
      <c r="L386" s="7">
        <f>IF(OR(D386="",N(J386)=0),"",MIN(1,N(K386)/J386))</f>
        <v/>
      </c>
      <c r="M386" s="5" t="inlineStr">
        <is>
          <t>FATURADO</t>
        </is>
      </c>
      <c r="N386" s="5" t="inlineStr">
        <is>
          <t>REALIZADO</t>
        </is>
      </c>
      <c r="O386" s="5" t="inlineStr">
        <is>
          <t>D2</t>
        </is>
      </c>
      <c r="P386" s="5" t="inlineStr">
        <is>
          <t>SEPARADO E FATURADO (AGUARDANDO CARRO)</t>
        </is>
      </c>
      <c r="Q386" s="5" t="n"/>
      <c r="R386" s="4" t="n"/>
      <c r="S386" s="4" t="n"/>
      <c r="T386" s="5" t="inlineStr">
        <is>
          <t>SEPARADO E FATURADO (AGUARDANDO CARRO)</t>
        </is>
      </c>
      <c r="U386" s="8">
        <f>IF(AND(V386=1,D386&lt;&gt;""),IF(D386&gt;=corte,TODAY()-D386,""),"")</f>
        <v/>
      </c>
      <c r="V386" s="8">
        <f>IF(D386="",0,IF(OR(AND(P386&lt;&gt;"",S386=""),AND(N(J386)&gt;0,N(K386)&lt;J386),OR(M386="PENDENTE",M386="PARCIAL"),OR(N386="PENDENTE",N386="PARCIAL")),1,0))</f>
        <v/>
      </c>
      <c r="W386" s="8">
        <f>IF(AND(V386=1,D386&lt;&gt;""),IF(D386&gt;=corte,(B386="CRÍTICO")*1E9+(100000-D386)*10000+10000-ROW(),""),"")</f>
        <v/>
      </c>
      <c r="X386" s="8">
        <f>IF(AND(V386=1,D386=pas_data,E386=pas_turno),10000-ROW(),"")</f>
        <v/>
      </c>
    </row>
    <row r="387">
      <c r="A387" s="3">
        <f>IF(D387="","","TT-"&amp;TEXT(ROW()-1,"00000"))</f>
        <v/>
      </c>
      <c r="B387" s="3">
        <f>IF(D387="","",IF(V387=0,"CONCLUÍDO",IF(D387&lt;corte,"HISTÓRICO",IF(OR(AND(ISNUMBER(R387),R387&lt;TODAY()),AND(OR(N387="PENDENTE",N387="PARCIAL"),D387&lt;TODAY()-1)),"CRÍTICO",IF(OR(AND(P387&lt;&gt;"",S387=""),AND(N387="REALIZADO",M387="PENDENTE"),AND(ISNUMBER(R387),R387=TODAY())),"ATENÇÃO",IF(N(K387)=0,"PENDENTE","EM ANDAMENTO"))))))</f>
        <v/>
      </c>
      <c r="C387" s="3">
        <f>IF(D387="","",IF(V387=0,"🟢 OK",IF(D387&lt;corte,"⚪ HISTÓRICO (sem baixa)",IF(AND(ISNUMBER(R387),R387&lt;TODAY()),"🔴 PRAZO VENCIDO",IF(AND(OR(N387="PENDENTE",N387="PARCIAL"),D387&lt;TODAY()-1),"🔴 EMBARQUE ATRASADO",IF(AND(N387="REALIZADO",M387="PENDENTE"),"🟡 EMBARCADO SEM FATURAR",IF(AND(P387&lt;&gt;"",S387="",OR(Q387="",R387="")),"🟡 PENDÊNCIA SEM RESPONSÁVEL/PRAZO",IF(AND(ISNUMBER(R387),R387=TODAY()),"🟡 VENCE HOJE",IF(AND(P387&lt;&gt;"",S387=""),"🟡 PENDÊNCIA ABERTA",IF(AND(N(J387)&gt;0,N(K387)&lt;J387),"🟡 FALTA EXECUTAR",IF(OR(M387="PENDENTE",M387="PARCIAL"),"🟡 FATURAMENTO PENDENTE","🟡 EMBARQUE PENDENTE")))))))))))</f>
        <v/>
      </c>
      <c r="D387" s="4" t="n">
        <v>46249</v>
      </c>
      <c r="E387" s="5" t="inlineStr">
        <is>
          <t>D</t>
        </is>
      </c>
      <c r="F387" s="5" t="inlineStr">
        <is>
          <t>VINICIUS</t>
        </is>
      </c>
      <c r="G387" s="5" t="inlineStr">
        <is>
          <t>GM</t>
        </is>
      </c>
      <c r="H387" s="5" t="inlineStr">
        <is>
          <t>SMARTLOG AGENDADO/DIRETAS</t>
        </is>
      </c>
      <c r="I387" s="5" t="inlineStr">
        <is>
          <t>TON</t>
        </is>
      </c>
      <c r="J387" s="6" t="n">
        <v>25.739</v>
      </c>
      <c r="K387" s="6" t="n">
        <v>25.739</v>
      </c>
      <c r="L387" s="7">
        <f>IF(OR(D387="",N(J387)=0),"",MIN(1,N(K387)/J387))</f>
        <v/>
      </c>
      <c r="M387" s="5" t="inlineStr">
        <is>
          <t>PARCIAL</t>
        </is>
      </c>
      <c r="N387" s="5" t="inlineStr">
        <is>
          <t>PENDENTE</t>
        </is>
      </c>
      <c r="O387" s="5" t="inlineStr">
        <is>
          <t>SMARTLOG</t>
        </is>
      </c>
      <c r="P387" s="5" t="n"/>
      <c r="Q387" s="5" t="n"/>
      <c r="R387" s="4" t="n"/>
      <c r="S387" s="4" t="n"/>
      <c r="T387" s="5" t="n"/>
      <c r="U387" s="8">
        <f>IF(AND(V387=1,D387&lt;&gt;""),IF(D387&gt;=corte,TODAY()-D387,""),"")</f>
        <v/>
      </c>
      <c r="V387" s="8">
        <f>IF(D387="",0,IF(OR(AND(P387&lt;&gt;"",S387=""),AND(N(J387)&gt;0,N(K387)&lt;J387),OR(M387="PENDENTE",M387="PARCIAL"),OR(N387="PENDENTE",N387="PARCIAL")),1,0))</f>
        <v/>
      </c>
      <c r="W387" s="8">
        <f>IF(AND(V387=1,D387&lt;&gt;""),IF(D387&gt;=corte,(B387="CRÍTICO")*1E9+(100000-D387)*10000+10000-ROW(),""),"")</f>
        <v/>
      </c>
      <c r="X387" s="8">
        <f>IF(AND(V387=1,D387=pas_data,E387=pas_turno),10000-ROW(),"")</f>
        <v/>
      </c>
    </row>
    <row r="388">
      <c r="A388" s="3">
        <f>IF(D388="","","TT-"&amp;TEXT(ROW()-1,"00000"))</f>
        <v/>
      </c>
      <c r="B388" s="3">
        <f>IF(D388="","",IF(V388=0,"CONCLUÍDO",IF(D388&lt;corte,"HISTÓRICO",IF(OR(AND(ISNUMBER(R388),R388&lt;TODAY()),AND(OR(N388="PENDENTE",N388="PARCIAL"),D388&lt;TODAY()-1)),"CRÍTICO",IF(OR(AND(P388&lt;&gt;"",S388=""),AND(N388="REALIZADO",M388="PENDENTE"),AND(ISNUMBER(R388),R388=TODAY())),"ATENÇÃO",IF(N(K388)=0,"PENDENTE","EM ANDAMENTO"))))))</f>
        <v/>
      </c>
      <c r="C388" s="3">
        <f>IF(D388="","",IF(V388=0,"🟢 OK",IF(D388&lt;corte,"⚪ HISTÓRICO (sem baixa)",IF(AND(ISNUMBER(R388),R388&lt;TODAY()),"🔴 PRAZO VENCIDO",IF(AND(OR(N388="PENDENTE",N388="PARCIAL"),D388&lt;TODAY()-1),"🔴 EMBARQUE ATRASADO",IF(AND(N388="REALIZADO",M388="PENDENTE"),"🟡 EMBARCADO SEM FATURAR",IF(AND(P388&lt;&gt;"",S388="",OR(Q388="",R388="")),"🟡 PENDÊNCIA SEM RESPONSÁVEL/PRAZO",IF(AND(ISNUMBER(R388),R388=TODAY()),"🟡 VENCE HOJE",IF(AND(P388&lt;&gt;"",S388=""),"🟡 PENDÊNCIA ABERTA",IF(AND(N(J388)&gt;0,N(K388)&lt;J388),"🟡 FALTA EXECUTAR",IF(OR(M388="PENDENTE",M388="PARCIAL"),"🟡 FATURAMENTO PENDENTE","🟡 EMBARQUE PENDENTE")))))))))))</f>
        <v/>
      </c>
      <c r="D388" s="4" t="n">
        <v>46249</v>
      </c>
      <c r="E388" s="5" t="inlineStr">
        <is>
          <t>D</t>
        </is>
      </c>
      <c r="F388" s="5" t="inlineStr">
        <is>
          <t>VINICIUS</t>
        </is>
      </c>
      <c r="G388" s="5" t="inlineStr">
        <is>
          <t>MOVIMENTAÇÃO</t>
        </is>
      </c>
      <c r="H388" s="5" t="inlineStr">
        <is>
          <t>PALETE</t>
        </is>
      </c>
      <c r="I388" s="5" t="inlineStr">
        <is>
          <t>PALETE</t>
        </is>
      </c>
      <c r="J388" s="6" t="n">
        <v>107</v>
      </c>
      <c r="K388" s="6" t="n">
        <v>107</v>
      </c>
      <c r="L388" s="7">
        <f>IF(OR(D388="",N(J388)=0),"",MIN(1,N(K388)/J388))</f>
        <v/>
      </c>
      <c r="M388" s="5" t="n"/>
      <c r="N388" s="5" t="n"/>
      <c r="O388" s="5" t="n"/>
      <c r="P388" s="5" t="n"/>
      <c r="Q388" s="5" t="n"/>
      <c r="R388" s="4" t="n"/>
      <c r="S388" s="4" t="n"/>
      <c r="T388" s="5" t="inlineStr">
        <is>
          <t>[MIGRAÇÃO: programação original: PRODUÇÃO]</t>
        </is>
      </c>
      <c r="U388" s="8">
        <f>IF(AND(V388=1,D388&lt;&gt;""),IF(D388&gt;=corte,TODAY()-D388,""),"")</f>
        <v/>
      </c>
      <c r="V388" s="8">
        <f>IF(D388="",0,IF(OR(AND(P388&lt;&gt;"",S388=""),AND(N(J388)&gt;0,N(K388)&lt;J388),OR(M388="PENDENTE",M388="PARCIAL"),OR(N388="PENDENTE",N388="PARCIAL")),1,0))</f>
        <v/>
      </c>
      <c r="W388" s="8">
        <f>IF(AND(V388=1,D388&lt;&gt;""),IF(D388&gt;=corte,(B388="CRÍTICO")*1E9+(100000-D388)*10000+10000-ROW(),""),"")</f>
        <v/>
      </c>
      <c r="X388" s="8">
        <f>IF(AND(V388=1,D388=pas_data,E388=pas_turno),10000-ROW(),"")</f>
        <v/>
      </c>
    </row>
    <row r="389">
      <c r="A389" s="3">
        <f>IF(D389="","","TT-"&amp;TEXT(ROW()-1,"00000"))</f>
        <v/>
      </c>
      <c r="B389" s="3">
        <f>IF(D389="","",IF(V389=0,"CONCLUÍDO",IF(D389&lt;corte,"HISTÓRICO",IF(OR(AND(ISNUMBER(R389),R389&lt;TODAY()),AND(OR(N389="PENDENTE",N389="PARCIAL"),D389&lt;TODAY()-1)),"CRÍTICO",IF(OR(AND(P389&lt;&gt;"",S389=""),AND(N389="REALIZADO",M389="PENDENTE"),AND(ISNUMBER(R389),R389=TODAY())),"ATENÇÃO",IF(N(K389)=0,"PENDENTE","EM ANDAMENTO"))))))</f>
        <v/>
      </c>
      <c r="C389" s="3">
        <f>IF(D389="","",IF(V389=0,"🟢 OK",IF(D389&lt;corte,"⚪ HISTÓRICO (sem baixa)",IF(AND(ISNUMBER(R389),R389&lt;TODAY()),"🔴 PRAZO VENCIDO",IF(AND(OR(N389="PENDENTE",N389="PARCIAL"),D389&lt;TODAY()-1),"🔴 EMBARQUE ATRASADO",IF(AND(N389="REALIZADO",M389="PENDENTE"),"🟡 EMBARCADO SEM FATURAR",IF(AND(P389&lt;&gt;"",S389="",OR(Q389="",R389="")),"🟡 PENDÊNCIA SEM RESPONSÁVEL/PRAZO",IF(AND(ISNUMBER(R389),R389=TODAY()),"🟡 VENCE HOJE",IF(AND(P389&lt;&gt;"",S389=""),"🟡 PENDÊNCIA ABERTA",IF(AND(N(J389)&gt;0,N(K389)&lt;J389),"🟡 FALTA EXECUTAR",IF(OR(M389="PENDENTE",M389="PARCIAL"),"🟡 FATURAMENTO PENDENTE","🟡 EMBARQUE PENDENTE")))))))))))</f>
        <v/>
      </c>
      <c r="D389" s="4" t="n">
        <v>46250</v>
      </c>
      <c r="E389" s="5" t="inlineStr">
        <is>
          <t>C</t>
        </is>
      </c>
      <c r="F389" s="5" t="inlineStr">
        <is>
          <t>ADIB</t>
        </is>
      </c>
      <c r="G389" s="5" t="inlineStr">
        <is>
          <t>FOB</t>
        </is>
      </c>
      <c r="H389" s="5" t="inlineStr">
        <is>
          <t>ATACADÃO</t>
        </is>
      </c>
      <c r="I389" s="5" t="inlineStr">
        <is>
          <t>TON</t>
        </is>
      </c>
      <c r="J389" s="6" t="n">
        <v>9.798</v>
      </c>
      <c r="K389" s="6" t="n">
        <v>9.798</v>
      </c>
      <c r="L389" s="7">
        <f>IF(OR(D389="",N(J389)=0),"",MIN(1,N(K389)/J389))</f>
        <v/>
      </c>
      <c r="M389" s="5" t="inlineStr">
        <is>
          <t>FATURADO</t>
        </is>
      </c>
      <c r="N389" s="5" t="inlineStr">
        <is>
          <t>REALIZADO</t>
        </is>
      </c>
      <c r="O389" s="5" t="inlineStr">
        <is>
          <t>PRÓPRIO</t>
        </is>
      </c>
      <c r="P389" s="5" t="n"/>
      <c r="Q389" s="5" t="n"/>
      <c r="R389" s="4" t="n"/>
      <c r="S389" s="4" t="n"/>
      <c r="T389" s="5" t="inlineStr">
        <is>
          <t>SEPARADO FATURADO E CARREGADO</t>
        </is>
      </c>
      <c r="U389" s="8">
        <f>IF(AND(V389=1,D389&lt;&gt;""),IF(D389&gt;=corte,TODAY()-D389,""),"")</f>
        <v/>
      </c>
      <c r="V389" s="8">
        <f>IF(D389="",0,IF(OR(AND(P389&lt;&gt;"",S389=""),AND(N(J389)&gt;0,N(K389)&lt;J389),OR(M389="PENDENTE",M389="PARCIAL"),OR(N389="PENDENTE",N389="PARCIAL")),1,0))</f>
        <v/>
      </c>
      <c r="W389" s="8">
        <f>IF(AND(V389=1,D389&lt;&gt;""),IF(D389&gt;=corte,(B389="CRÍTICO")*1E9+(100000-D389)*10000+10000-ROW(),""),"")</f>
        <v/>
      </c>
      <c r="X389" s="8">
        <f>IF(AND(V389=1,D389=pas_data,E389=pas_turno),10000-ROW(),"")</f>
        <v/>
      </c>
    </row>
    <row r="390">
      <c r="A390" s="3">
        <f>IF(D390="","","TT-"&amp;TEXT(ROW()-1,"00000"))</f>
        <v/>
      </c>
      <c r="B390" s="3">
        <f>IF(D390="","",IF(V390=0,"CONCLUÍDO",IF(D390&lt;corte,"HISTÓRICO",IF(OR(AND(ISNUMBER(R390),R390&lt;TODAY()),AND(OR(N390="PENDENTE",N390="PARCIAL"),D390&lt;TODAY()-1)),"CRÍTICO",IF(OR(AND(P390&lt;&gt;"",S390=""),AND(N390="REALIZADO",M390="PENDENTE"),AND(ISNUMBER(R390),R390=TODAY())),"ATENÇÃO",IF(N(K390)=0,"PENDENTE","EM ANDAMENTO"))))))</f>
        <v/>
      </c>
      <c r="C390" s="3">
        <f>IF(D390="","",IF(V390=0,"🟢 OK",IF(D390&lt;corte,"⚪ HISTÓRICO (sem baixa)",IF(AND(ISNUMBER(R390),R390&lt;TODAY()),"🔴 PRAZO VENCIDO",IF(AND(OR(N390="PENDENTE",N390="PARCIAL"),D390&lt;TODAY()-1),"🔴 EMBARQUE ATRASADO",IF(AND(N390="REALIZADO",M390="PENDENTE"),"🟡 EMBARCADO SEM FATURAR",IF(AND(P390&lt;&gt;"",S390="",OR(Q390="",R390="")),"🟡 PENDÊNCIA SEM RESPONSÁVEL/PRAZO",IF(AND(ISNUMBER(R390),R390=TODAY()),"🟡 VENCE HOJE",IF(AND(P390&lt;&gt;"",S390=""),"🟡 PENDÊNCIA ABERTA",IF(AND(N(J390)&gt;0,N(K390)&lt;J390),"🟡 FALTA EXECUTAR",IF(OR(M390="PENDENTE",M390="PARCIAL"),"🟡 FATURAMENTO PENDENTE","🟡 EMBARQUE PENDENTE")))))))))))</f>
        <v/>
      </c>
      <c r="D390" s="4" t="n">
        <v>46250</v>
      </c>
      <c r="E390" s="5" t="inlineStr">
        <is>
          <t>C</t>
        </is>
      </c>
      <c r="F390" s="5" t="inlineStr">
        <is>
          <t>ADIB</t>
        </is>
      </c>
      <c r="G390" s="5" t="inlineStr">
        <is>
          <t>FOB</t>
        </is>
      </c>
      <c r="H390" s="5" t="inlineStr">
        <is>
          <t>ATACADÃO</t>
        </is>
      </c>
      <c r="I390" s="5" t="inlineStr">
        <is>
          <t>TON</t>
        </is>
      </c>
      <c r="J390" s="6" t="n">
        <v>9.468</v>
      </c>
      <c r="K390" s="6" t="n">
        <v>9.468</v>
      </c>
      <c r="L390" s="7">
        <f>IF(OR(D390="",N(J390)=0),"",MIN(1,N(K390)/J390))</f>
        <v/>
      </c>
      <c r="M390" s="5" t="inlineStr">
        <is>
          <t>FATURADO</t>
        </is>
      </c>
      <c r="N390" s="5" t="inlineStr">
        <is>
          <t>REALIZADO</t>
        </is>
      </c>
      <c r="O390" s="5" t="inlineStr">
        <is>
          <t>PRÓPRIO</t>
        </is>
      </c>
      <c r="P390" s="5" t="n"/>
      <c r="Q390" s="5" t="n"/>
      <c r="R390" s="4" t="n"/>
      <c r="S390" s="4" t="n"/>
      <c r="T390" s="5" t="inlineStr">
        <is>
          <t>SEPARADO FATURADO E CARREGADO</t>
        </is>
      </c>
      <c r="U390" s="8">
        <f>IF(AND(V390=1,D390&lt;&gt;""),IF(D390&gt;=corte,TODAY()-D390,""),"")</f>
        <v/>
      </c>
      <c r="V390" s="8">
        <f>IF(D390="",0,IF(OR(AND(P390&lt;&gt;"",S390=""),AND(N(J390)&gt;0,N(K390)&lt;J390),OR(M390="PENDENTE",M390="PARCIAL"),OR(N390="PENDENTE",N390="PARCIAL")),1,0))</f>
        <v/>
      </c>
      <c r="W390" s="8">
        <f>IF(AND(V390=1,D390&lt;&gt;""),IF(D390&gt;=corte,(B390="CRÍTICO")*1E9+(100000-D390)*10000+10000-ROW(),""),"")</f>
        <v/>
      </c>
      <c r="X390" s="8">
        <f>IF(AND(V390=1,D390=pas_data,E390=pas_turno),10000-ROW(),"")</f>
        <v/>
      </c>
    </row>
    <row r="391">
      <c r="A391" s="3">
        <f>IF(D391="","","TT-"&amp;TEXT(ROW()-1,"00000"))</f>
        <v/>
      </c>
      <c r="B391" s="3">
        <f>IF(D391="","",IF(V391=0,"CONCLUÍDO",IF(D391&lt;corte,"HISTÓRICO",IF(OR(AND(ISNUMBER(R391),R391&lt;TODAY()),AND(OR(N391="PENDENTE",N391="PARCIAL"),D391&lt;TODAY()-1)),"CRÍTICO",IF(OR(AND(P391&lt;&gt;"",S391=""),AND(N391="REALIZADO",M391="PENDENTE"),AND(ISNUMBER(R391),R391=TODAY())),"ATENÇÃO",IF(N(K391)=0,"PENDENTE","EM ANDAMENTO"))))))</f>
        <v/>
      </c>
      <c r="C391" s="3">
        <f>IF(D391="","",IF(V391=0,"🟢 OK",IF(D391&lt;corte,"⚪ HISTÓRICO (sem baixa)",IF(AND(ISNUMBER(R391),R391&lt;TODAY()),"🔴 PRAZO VENCIDO",IF(AND(OR(N391="PENDENTE",N391="PARCIAL"),D391&lt;TODAY()-1),"🔴 EMBARQUE ATRASADO",IF(AND(N391="REALIZADO",M391="PENDENTE"),"🟡 EMBARCADO SEM FATURAR",IF(AND(P391&lt;&gt;"",S391="",OR(Q391="",R391="")),"🟡 PENDÊNCIA SEM RESPONSÁVEL/PRAZO",IF(AND(ISNUMBER(R391),R391=TODAY()),"🟡 VENCE HOJE",IF(AND(P391&lt;&gt;"",S391=""),"🟡 PENDÊNCIA ABERTA",IF(AND(N(J391)&gt;0,N(K391)&lt;J391),"🟡 FALTA EXECUTAR",IF(OR(M391="PENDENTE",M391="PARCIAL"),"🟡 FATURAMENTO PENDENTE","🟡 EMBARQUE PENDENTE")))))))))))</f>
        <v/>
      </c>
      <c r="D391" s="4" t="n">
        <v>46250</v>
      </c>
      <c r="E391" s="5" t="inlineStr">
        <is>
          <t>C</t>
        </is>
      </c>
      <c r="F391" s="5" t="inlineStr">
        <is>
          <t>ADIB</t>
        </is>
      </c>
      <c r="G391" s="5" t="inlineStr">
        <is>
          <t>CACAU</t>
        </is>
      </c>
      <c r="H391" s="5" t="inlineStr">
        <is>
          <t>FRUTAROM</t>
        </is>
      </c>
      <c r="I391" s="5" t="inlineStr">
        <is>
          <t>TON</t>
        </is>
      </c>
      <c r="J391" s="6" t="n">
        <v>10.4</v>
      </c>
      <c r="K391" s="6" t="n">
        <v>10.4</v>
      </c>
      <c r="L391" s="7">
        <f>IF(OR(D391="",N(J391)=0),"",MIN(1,N(K391)/J391))</f>
        <v/>
      </c>
      <c r="M391" s="5" t="inlineStr">
        <is>
          <t>FATURADO</t>
        </is>
      </c>
      <c r="N391" s="5" t="inlineStr">
        <is>
          <t>REALIZADO</t>
        </is>
      </c>
      <c r="O391" s="5" t="inlineStr">
        <is>
          <t>SPEEDYLOG</t>
        </is>
      </c>
      <c r="P391" s="5" t="n"/>
      <c r="Q391" s="5" t="n"/>
      <c r="R391" s="4" t="n"/>
      <c r="S391" s="4" t="n"/>
      <c r="T391" s="5" t="inlineStr">
        <is>
          <t>SEPARADO FATURADO E CARREGADO</t>
        </is>
      </c>
      <c r="U391" s="8">
        <f>IF(AND(V391=1,D391&lt;&gt;""),IF(D391&gt;=corte,TODAY()-D391,""),"")</f>
        <v/>
      </c>
      <c r="V391" s="8">
        <f>IF(D391="",0,IF(OR(AND(P391&lt;&gt;"",S391=""),AND(N(J391)&gt;0,N(K391)&lt;J391),OR(M391="PENDENTE",M391="PARCIAL"),OR(N391="PENDENTE",N391="PARCIAL")),1,0))</f>
        <v/>
      </c>
      <c r="W391" s="8">
        <f>IF(AND(V391=1,D391&lt;&gt;""),IF(D391&gt;=corte,(B391="CRÍTICO")*1E9+(100000-D391)*10000+10000-ROW(),""),"")</f>
        <v/>
      </c>
      <c r="X391" s="8">
        <f>IF(AND(V391=1,D391=pas_data,E391=pas_turno),10000-ROW(),"")</f>
        <v/>
      </c>
    </row>
    <row r="392">
      <c r="A392" s="3">
        <f>IF(D392="","","TT-"&amp;TEXT(ROW()-1,"00000"))</f>
        <v/>
      </c>
      <c r="B392" s="3">
        <f>IF(D392="","",IF(V392=0,"CONCLUÍDO",IF(D392&lt;corte,"HISTÓRICO",IF(OR(AND(ISNUMBER(R392),R392&lt;TODAY()),AND(OR(N392="PENDENTE",N392="PARCIAL"),D392&lt;TODAY()-1)),"CRÍTICO",IF(OR(AND(P392&lt;&gt;"",S392=""),AND(N392="REALIZADO",M392="PENDENTE"),AND(ISNUMBER(R392),R392=TODAY())),"ATENÇÃO",IF(N(K392)=0,"PENDENTE","EM ANDAMENTO"))))))</f>
        <v/>
      </c>
      <c r="C392" s="3">
        <f>IF(D392="","",IF(V392=0,"🟢 OK",IF(D392&lt;corte,"⚪ HISTÓRICO (sem baixa)",IF(AND(ISNUMBER(R392),R392&lt;TODAY()),"🔴 PRAZO VENCIDO",IF(AND(OR(N392="PENDENTE",N392="PARCIAL"),D392&lt;TODAY()-1),"🔴 EMBARQUE ATRASADO",IF(AND(N392="REALIZADO",M392="PENDENTE"),"🟡 EMBARCADO SEM FATURAR",IF(AND(P392&lt;&gt;"",S392="",OR(Q392="",R392="")),"🟡 PENDÊNCIA SEM RESPONSÁVEL/PRAZO",IF(AND(ISNUMBER(R392),R392=TODAY()),"🟡 VENCE HOJE",IF(AND(P392&lt;&gt;"",S392=""),"🟡 PENDÊNCIA ABERTA",IF(AND(N(J392)&gt;0,N(K392)&lt;J392),"🟡 FALTA EXECUTAR",IF(OR(M392="PENDENTE",M392="PARCIAL"),"🟡 FATURAMENTO PENDENTE","🟡 EMBARQUE PENDENTE")))))))))))</f>
        <v/>
      </c>
      <c r="D392" s="4" t="n">
        <v>46250</v>
      </c>
      <c r="E392" s="5" t="inlineStr">
        <is>
          <t>C</t>
        </is>
      </c>
      <c r="F392" s="5" t="inlineStr">
        <is>
          <t>ADIB</t>
        </is>
      </c>
      <c r="G392" s="5" t="inlineStr">
        <is>
          <t>GM</t>
        </is>
      </c>
      <c r="H392" s="5" t="inlineStr">
        <is>
          <t>SMARTLOG AGENDADO/DIRETAS</t>
        </is>
      </c>
      <c r="I392" s="5" t="inlineStr">
        <is>
          <t>TON</t>
        </is>
      </c>
      <c r="J392" s="6" t="n">
        <v>15.664</v>
      </c>
      <c r="K392" s="6" t="n">
        <v>15.664</v>
      </c>
      <c r="L392" s="7">
        <f>IF(OR(D392="",N(J392)=0),"",MIN(1,N(K392)/J392))</f>
        <v/>
      </c>
      <c r="M392" s="5" t="inlineStr">
        <is>
          <t>FATURADO</t>
        </is>
      </c>
      <c r="N392" s="5" t="inlineStr">
        <is>
          <t>PARCIAL</t>
        </is>
      </c>
      <c r="O392" s="5" t="inlineStr">
        <is>
          <t>SMARTLOG</t>
        </is>
      </c>
      <c r="P392" s="5" t="n"/>
      <c r="Q392" s="5" t="n"/>
      <c r="R392" s="4" t="n"/>
      <c r="S392" s="4" t="n"/>
      <c r="T392" s="5" t="n"/>
      <c r="U392" s="8">
        <f>IF(AND(V392=1,D392&lt;&gt;""),IF(D392&gt;=corte,TODAY()-D392,""),"")</f>
        <v/>
      </c>
      <c r="V392" s="8">
        <f>IF(D392="",0,IF(OR(AND(P392&lt;&gt;"",S392=""),AND(N(J392)&gt;0,N(K392)&lt;J392),OR(M392="PENDENTE",M392="PARCIAL"),OR(N392="PENDENTE",N392="PARCIAL")),1,0))</f>
        <v/>
      </c>
      <c r="W392" s="8">
        <f>IF(AND(V392=1,D392&lt;&gt;""),IF(D392&gt;=corte,(B392="CRÍTICO")*1E9+(100000-D392)*10000+10000-ROW(),""),"")</f>
        <v/>
      </c>
      <c r="X392" s="8">
        <f>IF(AND(V392=1,D392=pas_data,E392=pas_turno),10000-ROW(),"")</f>
        <v/>
      </c>
    </row>
    <row r="393">
      <c r="A393" s="3">
        <f>IF(D393="","","TT-"&amp;TEXT(ROW()-1,"00000"))</f>
        <v/>
      </c>
      <c r="B393" s="3">
        <f>IF(D393="","",IF(V393=0,"CONCLUÍDO",IF(D393&lt;corte,"HISTÓRICO",IF(OR(AND(ISNUMBER(R393),R393&lt;TODAY()),AND(OR(N393="PENDENTE",N393="PARCIAL"),D393&lt;TODAY()-1)),"CRÍTICO",IF(OR(AND(P393&lt;&gt;"",S393=""),AND(N393="REALIZADO",M393="PENDENTE"),AND(ISNUMBER(R393),R393=TODAY())),"ATENÇÃO",IF(N(K393)=0,"PENDENTE","EM ANDAMENTO"))))))</f>
        <v/>
      </c>
      <c r="C393" s="3">
        <f>IF(D393="","",IF(V393=0,"🟢 OK",IF(D393&lt;corte,"⚪ HISTÓRICO (sem baixa)",IF(AND(ISNUMBER(R393),R393&lt;TODAY()),"🔴 PRAZO VENCIDO",IF(AND(OR(N393="PENDENTE",N393="PARCIAL"),D393&lt;TODAY()-1),"🔴 EMBARQUE ATRASADO",IF(AND(N393="REALIZADO",M393="PENDENTE"),"🟡 EMBARCADO SEM FATURAR",IF(AND(P393&lt;&gt;"",S393="",OR(Q393="",R393="")),"🟡 PENDÊNCIA SEM RESPONSÁVEL/PRAZO",IF(AND(ISNUMBER(R393),R393=TODAY()),"🟡 VENCE HOJE",IF(AND(P393&lt;&gt;"",S393=""),"🟡 PENDÊNCIA ABERTA",IF(AND(N(J393)&gt;0,N(K393)&lt;J393),"🟡 FALTA EXECUTAR",IF(OR(M393="PENDENTE",M393="PARCIAL"),"🟡 FATURAMENTO PENDENTE","🟡 EMBARQUE PENDENTE")))))))))))</f>
        <v/>
      </c>
      <c r="D393" s="4" t="n">
        <v>46250</v>
      </c>
      <c r="E393" s="5" t="inlineStr">
        <is>
          <t>C</t>
        </is>
      </c>
      <c r="F393" s="5" t="inlineStr">
        <is>
          <t>ADIB</t>
        </is>
      </c>
      <c r="G393" s="5" t="inlineStr">
        <is>
          <t>GM</t>
        </is>
      </c>
      <c r="H393" s="5" t="inlineStr">
        <is>
          <t>CROSS RJ</t>
        </is>
      </c>
      <c r="I393" s="5" t="inlineStr">
        <is>
          <t>TON</t>
        </is>
      </c>
      <c r="J393" s="6" t="n">
        <v>12.636</v>
      </c>
      <c r="K393" s="6" t="n">
        <v>12.636</v>
      </c>
      <c r="L393" s="7">
        <f>IF(OR(D393="",N(J393)=0),"",MIN(1,N(K393)/J393))</f>
        <v/>
      </c>
      <c r="M393" s="5" t="inlineStr">
        <is>
          <t>PENDENTE</t>
        </is>
      </c>
      <c r="N393" s="5" t="inlineStr">
        <is>
          <t>PENDENTE</t>
        </is>
      </c>
      <c r="O393" s="5" t="inlineStr">
        <is>
          <t>OMEGA X</t>
        </is>
      </c>
      <c r="P393" s="5" t="inlineStr">
        <is>
          <t>FALTA FATURAR</t>
        </is>
      </c>
      <c r="Q393" s="5" t="n"/>
      <c r="R393" s="4" t="n"/>
      <c r="S393" s="4" t="n"/>
      <c r="T393" s="5" t="inlineStr">
        <is>
          <t>FALTA FATURAR</t>
        </is>
      </c>
      <c r="U393" s="8">
        <f>IF(AND(V393=1,D393&lt;&gt;""),IF(D393&gt;=corte,TODAY()-D393,""),"")</f>
        <v/>
      </c>
      <c r="V393" s="8">
        <f>IF(D393="",0,IF(OR(AND(P393&lt;&gt;"",S393=""),AND(N(J393)&gt;0,N(K393)&lt;J393),OR(M393="PENDENTE",M393="PARCIAL"),OR(N393="PENDENTE",N393="PARCIAL")),1,0))</f>
        <v/>
      </c>
      <c r="W393" s="8">
        <f>IF(AND(V393=1,D393&lt;&gt;""),IF(D393&gt;=corte,(B393="CRÍTICO")*1E9+(100000-D393)*10000+10000-ROW(),""),"")</f>
        <v/>
      </c>
      <c r="X393" s="8">
        <f>IF(AND(V393=1,D393=pas_data,E393=pas_turno),10000-ROW(),"")</f>
        <v/>
      </c>
    </row>
    <row r="394">
      <c r="A394" s="3">
        <f>IF(D394="","","TT-"&amp;TEXT(ROW()-1,"00000"))</f>
        <v/>
      </c>
      <c r="B394" s="3">
        <f>IF(D394="","",IF(V394=0,"CONCLUÍDO",IF(D394&lt;corte,"HISTÓRICO",IF(OR(AND(ISNUMBER(R394),R394&lt;TODAY()),AND(OR(N394="PENDENTE",N394="PARCIAL"),D394&lt;TODAY()-1)),"CRÍTICO",IF(OR(AND(P394&lt;&gt;"",S394=""),AND(N394="REALIZADO",M394="PENDENTE"),AND(ISNUMBER(R394),R394=TODAY())),"ATENÇÃO",IF(N(K394)=0,"PENDENTE","EM ANDAMENTO"))))))</f>
        <v/>
      </c>
      <c r="C394" s="3">
        <f>IF(D394="","",IF(V394=0,"🟢 OK",IF(D394&lt;corte,"⚪ HISTÓRICO (sem baixa)",IF(AND(ISNUMBER(R394),R394&lt;TODAY()),"🔴 PRAZO VENCIDO",IF(AND(OR(N394="PENDENTE",N394="PARCIAL"),D394&lt;TODAY()-1),"🔴 EMBARQUE ATRASADO",IF(AND(N394="REALIZADO",M394="PENDENTE"),"🟡 EMBARCADO SEM FATURAR",IF(AND(P394&lt;&gt;"",S394="",OR(Q394="",R394="")),"🟡 PENDÊNCIA SEM RESPONSÁVEL/PRAZO",IF(AND(ISNUMBER(R394),R394=TODAY()),"🟡 VENCE HOJE",IF(AND(P394&lt;&gt;"",S394=""),"🟡 PENDÊNCIA ABERTA",IF(AND(N(J394)&gt;0,N(K394)&lt;J394),"🟡 FALTA EXECUTAR",IF(OR(M394="PENDENTE",M394="PARCIAL"),"🟡 FATURAMENTO PENDENTE","🟡 EMBARQUE PENDENTE")))))))))))</f>
        <v/>
      </c>
      <c r="D394" s="4" t="n">
        <v>46250</v>
      </c>
      <c r="E394" s="5" t="inlineStr">
        <is>
          <t>C</t>
        </is>
      </c>
      <c r="F394" s="5" t="inlineStr">
        <is>
          <t>ADIB</t>
        </is>
      </c>
      <c r="G394" s="5" t="inlineStr">
        <is>
          <t>FM</t>
        </is>
      </c>
      <c r="H394" s="5" t="inlineStr">
        <is>
          <t>PANDURATA</t>
        </is>
      </c>
      <c r="I394" s="5" t="inlineStr">
        <is>
          <t>TON</t>
        </is>
      </c>
      <c r="J394" s="6" t="n">
        <v>24.304</v>
      </c>
      <c r="K394" s="6" t="n">
        <v>24.304</v>
      </c>
      <c r="L394" s="7">
        <f>IF(OR(D394="",N(J394)=0),"",MIN(1,N(K394)/J394))</f>
        <v/>
      </c>
      <c r="M394" s="5" t="inlineStr">
        <is>
          <t>FATURADO</t>
        </is>
      </c>
      <c r="N394" s="5" t="inlineStr">
        <is>
          <t>REALIZADO</t>
        </is>
      </c>
      <c r="O394" s="5" t="inlineStr">
        <is>
          <t>SPEEDYLOG</t>
        </is>
      </c>
      <c r="P394" s="5" t="n"/>
      <c r="Q394" s="5" t="n"/>
      <c r="R394" s="4" t="n"/>
      <c r="S394" s="4" t="n"/>
      <c r="T394" s="5" t="inlineStr">
        <is>
          <t>CARREGADO E LIBERADO</t>
        </is>
      </c>
      <c r="U394" s="8">
        <f>IF(AND(V394=1,D394&lt;&gt;""),IF(D394&gt;=corte,TODAY()-D394,""),"")</f>
        <v/>
      </c>
      <c r="V394" s="8">
        <f>IF(D394="",0,IF(OR(AND(P394&lt;&gt;"",S394=""),AND(N(J394)&gt;0,N(K394)&lt;J394),OR(M394="PENDENTE",M394="PARCIAL"),OR(N394="PENDENTE",N394="PARCIAL")),1,0))</f>
        <v/>
      </c>
      <c r="W394" s="8">
        <f>IF(AND(V394=1,D394&lt;&gt;""),IF(D394&gt;=corte,(B394="CRÍTICO")*1E9+(100000-D394)*10000+10000-ROW(),""),"")</f>
        <v/>
      </c>
      <c r="X394" s="8">
        <f>IF(AND(V394=1,D394=pas_data,E394=pas_turno),10000-ROW(),"")</f>
        <v/>
      </c>
    </row>
    <row r="395">
      <c r="A395" s="3">
        <f>IF(D395="","","TT-"&amp;TEXT(ROW()-1,"00000"))</f>
        <v/>
      </c>
      <c r="B395" s="3">
        <f>IF(D395="","",IF(V395=0,"CONCLUÍDO",IF(D395&lt;corte,"HISTÓRICO",IF(OR(AND(ISNUMBER(R395),R395&lt;TODAY()),AND(OR(N395="PENDENTE",N395="PARCIAL"),D395&lt;TODAY()-1)),"CRÍTICO",IF(OR(AND(P395&lt;&gt;"",S395=""),AND(N395="REALIZADO",M395="PENDENTE"),AND(ISNUMBER(R395),R395=TODAY())),"ATENÇÃO",IF(N(K395)=0,"PENDENTE","EM ANDAMENTO"))))))</f>
        <v/>
      </c>
      <c r="C395" s="3">
        <f>IF(D395="","",IF(V395=0,"🟢 OK",IF(D395&lt;corte,"⚪ HISTÓRICO (sem baixa)",IF(AND(ISNUMBER(R395),R395&lt;TODAY()),"🔴 PRAZO VENCIDO",IF(AND(OR(N395="PENDENTE",N395="PARCIAL"),D395&lt;TODAY()-1),"🔴 EMBARQUE ATRASADO",IF(AND(N395="REALIZADO",M395="PENDENTE"),"🟡 EMBARCADO SEM FATURAR",IF(AND(P395&lt;&gt;"",S395="",OR(Q395="",R395="")),"🟡 PENDÊNCIA SEM RESPONSÁVEL/PRAZO",IF(AND(ISNUMBER(R395),R395=TODAY()),"🟡 VENCE HOJE",IF(AND(P395&lt;&gt;"",S395=""),"🟡 PENDÊNCIA ABERTA",IF(AND(N(J395)&gt;0,N(K395)&lt;J395),"🟡 FALTA EXECUTAR",IF(OR(M395="PENDENTE",M395="PARCIAL"),"🟡 FATURAMENTO PENDENTE","🟡 EMBARQUE PENDENTE")))))))))))</f>
        <v/>
      </c>
      <c r="D395" s="4" t="n">
        <v>46250</v>
      </c>
      <c r="E395" s="5" t="inlineStr">
        <is>
          <t>D</t>
        </is>
      </c>
      <c r="F395" s="5" t="inlineStr">
        <is>
          <t>VINICIUS</t>
        </is>
      </c>
      <c r="G395" s="5" t="inlineStr">
        <is>
          <t>GM</t>
        </is>
      </c>
      <c r="H395" s="5" t="inlineStr">
        <is>
          <t>SMARTLOG AGENDADOS 18/08</t>
        </is>
      </c>
      <c r="I395" s="5" t="inlineStr">
        <is>
          <t>TON</t>
        </is>
      </c>
      <c r="J395" s="6" t="n">
        <v>9.694000000000001</v>
      </c>
      <c r="K395" s="6" t="n">
        <v>9.694000000000001</v>
      </c>
      <c r="L395" s="7">
        <f>IF(OR(D395="",N(J395)=0),"",MIN(1,N(K395)/J395))</f>
        <v/>
      </c>
      <c r="M395" s="5" t="inlineStr">
        <is>
          <t>PENDENTE</t>
        </is>
      </c>
      <c r="N395" s="5" t="inlineStr">
        <is>
          <t>PENDENTE</t>
        </is>
      </c>
      <c r="O395" s="5" t="inlineStr">
        <is>
          <t>SMARTLOG</t>
        </is>
      </c>
      <c r="P395" s="5" t="inlineStr">
        <is>
          <t>SEPARADO, AGUARDANDO FATURAMENTO</t>
        </is>
      </c>
      <c r="Q395" s="5" t="n"/>
      <c r="R395" s="4" t="n"/>
      <c r="S395" s="4" t="n"/>
      <c r="T395" s="5" t="inlineStr">
        <is>
          <t>SEPARADO, AGUARDANDO FATURAMENTO</t>
        </is>
      </c>
      <c r="U395" s="8">
        <f>IF(AND(V395=1,D395&lt;&gt;""),IF(D395&gt;=corte,TODAY()-D395,""),"")</f>
        <v/>
      </c>
      <c r="V395" s="8">
        <f>IF(D395="",0,IF(OR(AND(P395&lt;&gt;"",S395=""),AND(N(J395)&gt;0,N(K395)&lt;J395),OR(M395="PENDENTE",M395="PARCIAL"),OR(N395="PENDENTE",N395="PARCIAL")),1,0))</f>
        <v/>
      </c>
      <c r="W395" s="8">
        <f>IF(AND(V395=1,D395&lt;&gt;""),IF(D395&gt;=corte,(B395="CRÍTICO")*1E9+(100000-D395)*10000+10000-ROW(),""),"")</f>
        <v/>
      </c>
      <c r="X395" s="8">
        <f>IF(AND(V395=1,D395=pas_data,E395=pas_turno),10000-ROW(),"")</f>
        <v/>
      </c>
    </row>
    <row r="396">
      <c r="A396" s="3">
        <f>IF(D396="","","TT-"&amp;TEXT(ROW()-1,"00000"))</f>
        <v/>
      </c>
      <c r="B396" s="3">
        <f>IF(D396="","",IF(V396=0,"CONCLUÍDO",IF(D396&lt;corte,"HISTÓRICO",IF(OR(AND(ISNUMBER(R396),R396&lt;TODAY()),AND(OR(N396="PENDENTE",N396="PARCIAL"),D396&lt;TODAY()-1)),"CRÍTICO",IF(OR(AND(P396&lt;&gt;"",S396=""),AND(N396="REALIZADO",M396="PENDENTE"),AND(ISNUMBER(R396),R396=TODAY())),"ATENÇÃO",IF(N(K396)=0,"PENDENTE","EM ANDAMENTO"))))))</f>
        <v/>
      </c>
      <c r="C396" s="3">
        <f>IF(D396="","",IF(V396=0,"🟢 OK",IF(D396&lt;corte,"⚪ HISTÓRICO (sem baixa)",IF(AND(ISNUMBER(R396),R396&lt;TODAY()),"🔴 PRAZO VENCIDO",IF(AND(OR(N396="PENDENTE",N396="PARCIAL"),D396&lt;TODAY()-1),"🔴 EMBARQUE ATRASADO",IF(AND(N396="REALIZADO",M396="PENDENTE"),"🟡 EMBARCADO SEM FATURAR",IF(AND(P396&lt;&gt;"",S396="",OR(Q396="",R396="")),"🟡 PENDÊNCIA SEM RESPONSÁVEL/PRAZO",IF(AND(ISNUMBER(R396),R396=TODAY()),"🟡 VENCE HOJE",IF(AND(P396&lt;&gt;"",S396=""),"🟡 PENDÊNCIA ABERTA",IF(AND(N(J396)&gt;0,N(K396)&lt;J396),"🟡 FALTA EXECUTAR",IF(OR(M396="PENDENTE",M396="PARCIAL"),"🟡 FATURAMENTO PENDENTE","🟡 EMBARQUE PENDENTE")))))))))))</f>
        <v/>
      </c>
      <c r="D396" s="4" t="n">
        <v>46250</v>
      </c>
      <c r="E396" s="5" t="inlineStr">
        <is>
          <t>D</t>
        </is>
      </c>
      <c r="F396" s="5" t="inlineStr">
        <is>
          <t>VINICIUS</t>
        </is>
      </c>
      <c r="G396" s="5" t="inlineStr">
        <is>
          <t>FM</t>
        </is>
      </c>
      <c r="H396" s="5" t="inlineStr">
        <is>
          <t>PANDURATA / SORVETE JUNDIÁ / NESTLÉ</t>
        </is>
      </c>
      <c r="I396" s="5" t="inlineStr">
        <is>
          <t>TON</t>
        </is>
      </c>
      <c r="J396" s="6" t="n">
        <v>78.446</v>
      </c>
      <c r="K396" s="6" t="n">
        <v>78.446</v>
      </c>
      <c r="L396" s="7">
        <f>IF(OR(D396="",N(J396)=0),"",MIN(1,N(K396)/J396))</f>
        <v/>
      </c>
      <c r="M396" s="5" t="inlineStr">
        <is>
          <t>PARCIAL</t>
        </is>
      </c>
      <c r="N396" s="5" t="inlineStr">
        <is>
          <t>PARCIAL</t>
        </is>
      </c>
      <c r="O396" s="5" t="inlineStr">
        <is>
          <t>SPEEDYLOG</t>
        </is>
      </c>
      <c r="P396" s="5" t="n"/>
      <c r="Q396" s="5" t="n"/>
      <c r="R396" s="4" t="n"/>
      <c r="S396" s="4" t="n"/>
      <c r="T396" s="5" t="n"/>
      <c r="U396" s="8">
        <f>IF(AND(V396=1,D396&lt;&gt;""),IF(D396&gt;=corte,TODAY()-D396,""),"")</f>
        <v/>
      </c>
      <c r="V396" s="8">
        <f>IF(D396="",0,IF(OR(AND(P396&lt;&gt;"",S396=""),AND(N(J396)&gt;0,N(K396)&lt;J396),OR(M396="PENDENTE",M396="PARCIAL"),OR(N396="PENDENTE",N396="PARCIAL")),1,0))</f>
        <v/>
      </c>
      <c r="W396" s="8">
        <f>IF(AND(V396=1,D396&lt;&gt;""),IF(D396&gt;=corte,(B396="CRÍTICO")*1E9+(100000-D396)*10000+10000-ROW(),""),"")</f>
        <v/>
      </c>
      <c r="X396" s="8">
        <f>IF(AND(V396=1,D396=pas_data,E396=pas_turno),10000-ROW(),"")</f>
        <v/>
      </c>
    </row>
    <row r="397">
      <c r="A397" s="3">
        <f>IF(D397="","","TT-"&amp;TEXT(ROW()-1,"00000"))</f>
        <v/>
      </c>
      <c r="B397" s="3">
        <f>IF(D397="","",IF(V397=0,"CONCLUÍDO",IF(D397&lt;corte,"HISTÓRICO",IF(OR(AND(ISNUMBER(R397),R397&lt;TODAY()),AND(OR(N397="PENDENTE",N397="PARCIAL"),D397&lt;TODAY()-1)),"CRÍTICO",IF(OR(AND(P397&lt;&gt;"",S397=""),AND(N397="REALIZADO",M397="PENDENTE"),AND(ISNUMBER(R397),R397=TODAY())),"ATENÇÃO",IF(N(K397)=0,"PENDENTE","EM ANDAMENTO"))))))</f>
        <v/>
      </c>
      <c r="C397" s="3">
        <f>IF(D397="","",IF(V397=0,"🟢 OK",IF(D397&lt;corte,"⚪ HISTÓRICO (sem baixa)",IF(AND(ISNUMBER(R397),R397&lt;TODAY()),"🔴 PRAZO VENCIDO",IF(AND(OR(N397="PENDENTE",N397="PARCIAL"),D397&lt;TODAY()-1),"🔴 EMBARQUE ATRASADO",IF(AND(N397="REALIZADO",M397="PENDENTE"),"🟡 EMBARCADO SEM FATURAR",IF(AND(P397&lt;&gt;"",S397="",OR(Q397="",R397="")),"🟡 PENDÊNCIA SEM RESPONSÁVEL/PRAZO",IF(AND(ISNUMBER(R397),R397=TODAY()),"🟡 VENCE HOJE",IF(AND(P397&lt;&gt;"",S397=""),"🟡 PENDÊNCIA ABERTA",IF(AND(N(J397)&gt;0,N(K397)&lt;J397),"🟡 FALTA EXECUTAR",IF(OR(M397="PENDENTE",M397="PARCIAL"),"🟡 FATURAMENTO PENDENTE","🟡 EMBARQUE PENDENTE")))))))))))</f>
        <v/>
      </c>
      <c r="D397" s="4" t="n">
        <v>46250</v>
      </c>
      <c r="E397" s="5" t="inlineStr">
        <is>
          <t>D</t>
        </is>
      </c>
      <c r="F397" s="5" t="inlineStr">
        <is>
          <t>VINICIUS</t>
        </is>
      </c>
      <c r="G397" s="5" t="inlineStr">
        <is>
          <t>GM</t>
        </is>
      </c>
      <c r="H397" s="5" t="inlineStr">
        <is>
          <t>ROTA SUL</t>
        </is>
      </c>
      <c r="I397" s="5" t="inlineStr">
        <is>
          <t>TON</t>
        </is>
      </c>
      <c r="J397" s="6" t="n">
        <v>24.758</v>
      </c>
      <c r="K397" s="6" t="n">
        <v>13.375</v>
      </c>
      <c r="L397" s="7">
        <f>IF(OR(D397="",N(J397)=0),"",MIN(1,N(K397)/J397))</f>
        <v/>
      </c>
      <c r="M397" s="5" t="inlineStr">
        <is>
          <t>PENDENTE</t>
        </is>
      </c>
      <c r="N397" s="5" t="inlineStr">
        <is>
          <t>PENDENTE</t>
        </is>
      </c>
      <c r="O397" s="5" t="inlineStr">
        <is>
          <t>RENOVAÇÃO</t>
        </is>
      </c>
      <c r="P397" s="5" t="inlineStr">
        <is>
          <t>OT'S GERADAS - PENDENTE SEPARAÇÃO SC</t>
        </is>
      </c>
      <c r="Q397" s="5" t="n"/>
      <c r="R397" s="4" t="n"/>
      <c r="S397" s="4" t="n"/>
      <c r="T397" s="5" t="inlineStr">
        <is>
          <t>OT'S GERADAS - PENDENTE SEPARAÇÃO SC</t>
        </is>
      </c>
      <c r="U397" s="8">
        <f>IF(AND(V397=1,D397&lt;&gt;""),IF(D397&gt;=corte,TODAY()-D397,""),"")</f>
        <v/>
      </c>
      <c r="V397" s="8">
        <f>IF(D397="",0,IF(OR(AND(P397&lt;&gt;"",S397=""),AND(N(J397)&gt;0,N(K397)&lt;J397),OR(M397="PENDENTE",M397="PARCIAL"),OR(N397="PENDENTE",N397="PARCIAL")),1,0))</f>
        <v/>
      </c>
      <c r="W397" s="8">
        <f>IF(AND(V397=1,D397&lt;&gt;""),IF(D397&gt;=corte,(B397="CRÍTICO")*1E9+(100000-D397)*10000+10000-ROW(),""),"")</f>
        <v/>
      </c>
      <c r="X397" s="8">
        <f>IF(AND(V397=1,D397=pas_data,E397=pas_turno),10000-ROW(),"")</f>
        <v/>
      </c>
    </row>
    <row r="398">
      <c r="A398" s="3">
        <f>IF(D398="","","TT-"&amp;TEXT(ROW()-1,"00000"))</f>
        <v/>
      </c>
      <c r="B398" s="3">
        <f>IF(D398="","",IF(V398=0,"CONCLUÍDO",IF(D398&lt;corte,"HISTÓRICO",IF(OR(AND(ISNUMBER(R398),R398&lt;TODAY()),AND(OR(N398="PENDENTE",N398="PARCIAL"),D398&lt;TODAY()-1)),"CRÍTICO",IF(OR(AND(P398&lt;&gt;"",S398=""),AND(N398="REALIZADO",M398="PENDENTE"),AND(ISNUMBER(R398),R398=TODAY())),"ATENÇÃO",IF(N(K398)=0,"PENDENTE","EM ANDAMENTO"))))))</f>
        <v/>
      </c>
      <c r="C398" s="3">
        <f>IF(D398="","",IF(V398=0,"🟢 OK",IF(D398&lt;corte,"⚪ HISTÓRICO (sem baixa)",IF(AND(ISNUMBER(R398),R398&lt;TODAY()),"🔴 PRAZO VENCIDO",IF(AND(OR(N398="PENDENTE",N398="PARCIAL"),D398&lt;TODAY()-1),"🔴 EMBARQUE ATRASADO",IF(AND(N398="REALIZADO",M398="PENDENTE"),"🟡 EMBARCADO SEM FATURAR",IF(AND(P398&lt;&gt;"",S398="",OR(Q398="",R398="")),"🟡 PENDÊNCIA SEM RESPONSÁVEL/PRAZO",IF(AND(ISNUMBER(R398),R398=TODAY()),"🟡 VENCE HOJE",IF(AND(P398&lt;&gt;"",S398=""),"🟡 PENDÊNCIA ABERTA",IF(AND(N(J398)&gt;0,N(K398)&lt;J398),"🟡 FALTA EXECUTAR",IF(OR(M398="PENDENTE",M398="PARCIAL"),"🟡 FATURAMENTO PENDENTE","🟡 EMBARQUE PENDENTE")))))))))))</f>
        <v/>
      </c>
      <c r="D398" s="4" t="n">
        <v>46250</v>
      </c>
      <c r="E398" s="5" t="inlineStr">
        <is>
          <t>D</t>
        </is>
      </c>
      <c r="F398" s="5" t="inlineStr">
        <is>
          <t>VINICIUS</t>
        </is>
      </c>
      <c r="G398" s="5" t="inlineStr">
        <is>
          <t>ABASTECIMENTO</t>
        </is>
      </c>
      <c r="H398" s="5" t="inlineStr">
        <is>
          <t>PALETE / POSIÇÃO</t>
        </is>
      </c>
      <c r="I398" s="5" t="inlineStr">
        <is>
          <t>POSIÇÃO</t>
        </is>
      </c>
      <c r="J398" s="6" t="n">
        <v>137</v>
      </c>
      <c r="K398" s="6" t="n">
        <v>137</v>
      </c>
      <c r="L398" s="7">
        <f>IF(OR(D398="",N(J398)=0),"",MIN(1,N(K398)/J398))</f>
        <v/>
      </c>
      <c r="M398" s="5" t="n"/>
      <c r="N398" s="5" t="n"/>
      <c r="O398" s="5" t="n"/>
      <c r="P398" s="5" t="n"/>
      <c r="Q398" s="5" t="n"/>
      <c r="R398" s="4" t="n"/>
      <c r="S398" s="4" t="n"/>
      <c r="T398" s="5" t="n"/>
      <c r="U398" s="8">
        <f>IF(AND(V398=1,D398&lt;&gt;""),IF(D398&gt;=corte,TODAY()-D398,""),"")</f>
        <v/>
      </c>
      <c r="V398" s="8">
        <f>IF(D398="",0,IF(OR(AND(P398&lt;&gt;"",S398=""),AND(N(J398)&gt;0,N(K398)&lt;J398),OR(M398="PENDENTE",M398="PARCIAL"),OR(N398="PENDENTE",N398="PARCIAL")),1,0))</f>
        <v/>
      </c>
      <c r="W398" s="8">
        <f>IF(AND(V398=1,D398&lt;&gt;""),IF(D398&gt;=corte,(B398="CRÍTICO")*1E9+(100000-D398)*10000+10000-ROW(),""),"")</f>
        <v/>
      </c>
      <c r="X398" s="8">
        <f>IF(AND(V398=1,D398=pas_data,E398=pas_turno),10000-ROW(),"")</f>
        <v/>
      </c>
    </row>
    <row r="399">
      <c r="A399" s="3">
        <f>IF(D399="","","TT-"&amp;TEXT(ROW()-1,"00000"))</f>
        <v/>
      </c>
      <c r="B399" s="3">
        <f>IF(D399="","",IF(V399=0,"CONCLUÍDO",IF(D399&lt;corte,"HISTÓRICO",IF(OR(AND(ISNUMBER(R399),R399&lt;TODAY()),AND(OR(N399="PENDENTE",N399="PARCIAL"),D399&lt;TODAY()-1)),"CRÍTICO",IF(OR(AND(P399&lt;&gt;"",S399=""),AND(N399="REALIZADO",M399="PENDENTE"),AND(ISNUMBER(R399),R399=TODAY())),"ATENÇÃO",IF(N(K399)=0,"PENDENTE","EM ANDAMENTO"))))))</f>
        <v/>
      </c>
      <c r="C399" s="3">
        <f>IF(D399="","",IF(V399=0,"🟢 OK",IF(D399&lt;corte,"⚪ HISTÓRICO (sem baixa)",IF(AND(ISNUMBER(R399),R399&lt;TODAY()),"🔴 PRAZO VENCIDO",IF(AND(OR(N399="PENDENTE",N399="PARCIAL"),D399&lt;TODAY()-1),"🔴 EMBARQUE ATRASADO",IF(AND(N399="REALIZADO",M399="PENDENTE"),"🟡 EMBARCADO SEM FATURAR",IF(AND(P399&lt;&gt;"",S399="",OR(Q399="",R399="")),"🟡 PENDÊNCIA SEM RESPONSÁVEL/PRAZO",IF(AND(ISNUMBER(R399),R399=TODAY()),"🟡 VENCE HOJE",IF(AND(P399&lt;&gt;"",S399=""),"🟡 PENDÊNCIA ABERTA",IF(AND(N(J399)&gt;0,N(K399)&lt;J399),"🟡 FALTA EXECUTAR",IF(OR(M399="PENDENTE",M399="PARCIAL"),"🟡 FATURAMENTO PENDENTE","🟡 EMBARQUE PENDENTE")))))))))))</f>
        <v/>
      </c>
      <c r="D399" s="4" t="n">
        <v>46251</v>
      </c>
      <c r="E399" s="5" t="inlineStr">
        <is>
          <t>A</t>
        </is>
      </c>
      <c r="F399" s="5" t="inlineStr">
        <is>
          <t>TATIANE</t>
        </is>
      </c>
      <c r="G399" s="5" t="inlineStr">
        <is>
          <t>GM</t>
        </is>
      </c>
      <c r="H399" s="5" t="inlineStr">
        <is>
          <t>GM</t>
        </is>
      </c>
      <c r="I399" s="5" t="inlineStr">
        <is>
          <t>TON</t>
        </is>
      </c>
      <c r="J399" s="6" t="n">
        <v>8.596</v>
      </c>
      <c r="K399" s="6" t="n">
        <v>8.596</v>
      </c>
      <c r="L399" s="7">
        <f>IF(OR(D399="",N(J399)=0),"",MIN(1,N(K399)/J399))</f>
        <v/>
      </c>
      <c r="M399" s="5" t="inlineStr">
        <is>
          <t>FATURADO</t>
        </is>
      </c>
      <c r="N399" s="5" t="inlineStr">
        <is>
          <t>PARCIAL</t>
        </is>
      </c>
      <c r="O399" s="5" t="inlineStr">
        <is>
          <t>RENOVAÇÃO</t>
        </is>
      </c>
      <c r="P399" s="5" t="n"/>
      <c r="Q399" s="5" t="n"/>
      <c r="R399" s="4" t="n"/>
      <c r="S399" s="4" t="n"/>
      <c r="T399" s="5" t="n"/>
      <c r="U399" s="8">
        <f>IF(AND(V399=1,D399&lt;&gt;""),IF(D399&gt;=corte,TODAY()-D399,""),"")</f>
        <v/>
      </c>
      <c r="V399" s="8">
        <f>IF(D399="",0,IF(OR(AND(P399&lt;&gt;"",S399=""),AND(N(J399)&gt;0,N(K399)&lt;J399),OR(M399="PENDENTE",M399="PARCIAL"),OR(N399="PENDENTE",N399="PARCIAL")),1,0))</f>
        <v/>
      </c>
      <c r="W399" s="8">
        <f>IF(AND(V399=1,D399&lt;&gt;""),IF(D399&gt;=corte,(B399="CRÍTICO")*1E9+(100000-D399)*10000+10000-ROW(),""),"")</f>
        <v/>
      </c>
      <c r="X399" s="8">
        <f>IF(AND(V399=1,D399=pas_data,E399=pas_turno),10000-ROW(),"")</f>
        <v/>
      </c>
    </row>
    <row r="400">
      <c r="A400" s="3">
        <f>IF(D400="","","TT-"&amp;TEXT(ROW()-1,"00000"))</f>
        <v/>
      </c>
      <c r="B400" s="3">
        <f>IF(D400="","",IF(V400=0,"CONCLUÍDO",IF(D400&lt;corte,"HISTÓRICO",IF(OR(AND(ISNUMBER(R400),R400&lt;TODAY()),AND(OR(N400="PENDENTE",N400="PARCIAL"),D400&lt;TODAY()-1)),"CRÍTICO",IF(OR(AND(P400&lt;&gt;"",S400=""),AND(N400="REALIZADO",M400="PENDENTE"),AND(ISNUMBER(R400),R400=TODAY())),"ATENÇÃO",IF(N(K400)=0,"PENDENTE","EM ANDAMENTO"))))))</f>
        <v/>
      </c>
      <c r="C400" s="3">
        <f>IF(D400="","",IF(V400=0,"🟢 OK",IF(D400&lt;corte,"⚪ HISTÓRICO (sem baixa)",IF(AND(ISNUMBER(R400),R400&lt;TODAY()),"🔴 PRAZO VENCIDO",IF(AND(OR(N400="PENDENTE",N400="PARCIAL"),D400&lt;TODAY()-1),"🔴 EMBARQUE ATRASADO",IF(AND(N400="REALIZADO",M400="PENDENTE"),"🟡 EMBARCADO SEM FATURAR",IF(AND(P400&lt;&gt;"",S400="",OR(Q400="",R400="")),"🟡 PENDÊNCIA SEM RESPONSÁVEL/PRAZO",IF(AND(ISNUMBER(R400),R400=TODAY()),"🟡 VENCE HOJE",IF(AND(P400&lt;&gt;"",S400=""),"🟡 PENDÊNCIA ABERTA",IF(AND(N(J400)&gt;0,N(K400)&lt;J400),"🟡 FALTA EXECUTAR",IF(OR(M400="PENDENTE",M400="PARCIAL"),"🟡 FATURAMENTO PENDENTE","🟡 EMBARQUE PENDENTE")))))))))))</f>
        <v/>
      </c>
      <c r="D400" s="4" t="n">
        <v>46251</v>
      </c>
      <c r="E400" s="5" t="inlineStr">
        <is>
          <t>A</t>
        </is>
      </c>
      <c r="F400" s="5" t="inlineStr">
        <is>
          <t>TATIANE</t>
        </is>
      </c>
      <c r="G400" s="5" t="inlineStr">
        <is>
          <t>CACAU</t>
        </is>
      </c>
      <c r="H400" s="5" t="inlineStr">
        <is>
          <t>CACAU</t>
        </is>
      </c>
      <c r="I400" s="5" t="inlineStr">
        <is>
          <t>TON</t>
        </is>
      </c>
      <c r="J400" s="6" t="n">
        <v>5.627</v>
      </c>
      <c r="K400" s="6" t="n">
        <v>5.627</v>
      </c>
      <c r="L400" s="7">
        <f>IF(OR(D400="",N(J400)=0),"",MIN(1,N(K400)/J400))</f>
        <v/>
      </c>
      <c r="M400" s="5" t="inlineStr">
        <is>
          <t>FATURADO</t>
        </is>
      </c>
      <c r="N400" s="5" t="inlineStr">
        <is>
          <t>REALIZADO</t>
        </is>
      </c>
      <c r="O400" s="5" t="n"/>
      <c r="P400" s="5" t="n"/>
      <c r="Q400" s="5" t="n"/>
      <c r="R400" s="4" t="n"/>
      <c r="S400" s="4" t="n"/>
      <c r="T400" s="5" t="n"/>
      <c r="U400" s="8">
        <f>IF(AND(V400=1,D400&lt;&gt;""),IF(D400&gt;=corte,TODAY()-D400,""),"")</f>
        <v/>
      </c>
      <c r="V400" s="8">
        <f>IF(D400="",0,IF(OR(AND(P400&lt;&gt;"",S400=""),AND(N(J400)&gt;0,N(K400)&lt;J400),OR(M400="PENDENTE",M400="PARCIAL"),OR(N400="PENDENTE",N400="PARCIAL")),1,0))</f>
        <v/>
      </c>
      <c r="W400" s="8">
        <f>IF(AND(V400=1,D400&lt;&gt;""),IF(D400&gt;=corte,(B400="CRÍTICO")*1E9+(100000-D400)*10000+10000-ROW(),""),"")</f>
        <v/>
      </c>
      <c r="X400" s="8">
        <f>IF(AND(V400=1,D400=pas_data,E400=pas_turno),10000-ROW(),"")</f>
        <v/>
      </c>
    </row>
    <row r="401">
      <c r="A401" s="3">
        <f>IF(D401="","","TT-"&amp;TEXT(ROW()-1,"00000"))</f>
        <v/>
      </c>
      <c r="B401" s="3">
        <f>IF(D401="","",IF(V401=0,"CONCLUÍDO",IF(D401&lt;corte,"HISTÓRICO",IF(OR(AND(ISNUMBER(R401),R401&lt;TODAY()),AND(OR(N401="PENDENTE",N401="PARCIAL"),D401&lt;TODAY()-1)),"CRÍTICO",IF(OR(AND(P401&lt;&gt;"",S401=""),AND(N401="REALIZADO",M401="PENDENTE"),AND(ISNUMBER(R401),R401=TODAY())),"ATENÇÃO",IF(N(K401)=0,"PENDENTE","EM ANDAMENTO"))))))</f>
        <v/>
      </c>
      <c r="C401" s="3">
        <f>IF(D401="","",IF(V401=0,"🟢 OK",IF(D401&lt;corte,"⚪ HISTÓRICO (sem baixa)",IF(AND(ISNUMBER(R401),R401&lt;TODAY()),"🔴 PRAZO VENCIDO",IF(AND(OR(N401="PENDENTE",N401="PARCIAL"),D401&lt;TODAY()-1),"🔴 EMBARQUE ATRASADO",IF(AND(N401="REALIZADO",M401="PENDENTE"),"🟡 EMBARCADO SEM FATURAR",IF(AND(P401&lt;&gt;"",S401="",OR(Q401="",R401="")),"🟡 PENDÊNCIA SEM RESPONSÁVEL/PRAZO",IF(AND(ISNUMBER(R401),R401=TODAY()),"🟡 VENCE HOJE",IF(AND(P401&lt;&gt;"",S401=""),"🟡 PENDÊNCIA ABERTA",IF(AND(N(J401)&gt;0,N(K401)&lt;J401),"🟡 FALTA EXECUTAR",IF(OR(M401="PENDENTE",M401="PARCIAL"),"🟡 FATURAMENTO PENDENTE","🟡 EMBARQUE PENDENTE")))))))))))</f>
        <v/>
      </c>
      <c r="D401" s="4" t="n">
        <v>46251</v>
      </c>
      <c r="E401" s="5" t="inlineStr">
        <is>
          <t>A</t>
        </is>
      </c>
      <c r="F401" s="5" t="inlineStr">
        <is>
          <t>TATIANE</t>
        </is>
      </c>
      <c r="G401" s="5" t="inlineStr">
        <is>
          <t>CACAU</t>
        </is>
      </c>
      <c r="H401" s="5" t="inlineStr">
        <is>
          <t>CACAU</t>
        </is>
      </c>
      <c r="I401" s="5" t="inlineStr">
        <is>
          <t>TON</t>
        </is>
      </c>
      <c r="J401" s="6" t="n">
        <v>4</v>
      </c>
      <c r="K401" s="6" t="n">
        <v>4</v>
      </c>
      <c r="L401" s="7">
        <f>IF(OR(D401="",N(J401)=0),"",MIN(1,N(K401)/J401))</f>
        <v/>
      </c>
      <c r="M401" s="5" t="n"/>
      <c r="N401" s="5" t="n"/>
      <c r="O401" s="5" t="inlineStr">
        <is>
          <t>TIO CARLO</t>
        </is>
      </c>
      <c r="P401" s="5" t="n"/>
      <c r="Q401" s="5" t="n"/>
      <c r="R401" s="4" t="n"/>
      <c r="S401" s="4" t="n"/>
      <c r="T401" s="5" t="n"/>
      <c r="U401" s="8">
        <f>IF(AND(V401=1,D401&lt;&gt;""),IF(D401&gt;=corte,TODAY()-D401,""),"")</f>
        <v/>
      </c>
      <c r="V401" s="8">
        <f>IF(D401="",0,IF(OR(AND(P401&lt;&gt;"",S401=""),AND(N(J401)&gt;0,N(K401)&lt;J401),OR(M401="PENDENTE",M401="PARCIAL"),OR(N401="PENDENTE",N401="PARCIAL")),1,0))</f>
        <v/>
      </c>
      <c r="W401" s="8">
        <f>IF(AND(V401=1,D401&lt;&gt;""),IF(D401&gt;=corte,(B401="CRÍTICO")*1E9+(100000-D401)*10000+10000-ROW(),""),"")</f>
        <v/>
      </c>
      <c r="X401" s="8">
        <f>IF(AND(V401=1,D401=pas_data,E401=pas_turno),10000-ROW(),"")</f>
        <v/>
      </c>
    </row>
    <row r="402">
      <c r="A402" s="3">
        <f>IF(D402="","","TT-"&amp;TEXT(ROW()-1,"00000"))</f>
        <v/>
      </c>
      <c r="B402" s="3">
        <f>IF(D402="","",IF(V402=0,"CONCLUÍDO",IF(D402&lt;corte,"HISTÓRICO",IF(OR(AND(ISNUMBER(R402),R402&lt;TODAY()),AND(OR(N402="PENDENTE",N402="PARCIAL"),D402&lt;TODAY()-1)),"CRÍTICO",IF(OR(AND(P402&lt;&gt;"",S402=""),AND(N402="REALIZADO",M402="PENDENTE"),AND(ISNUMBER(R402),R402=TODAY())),"ATENÇÃO",IF(N(K402)=0,"PENDENTE","EM ANDAMENTO"))))))</f>
        <v/>
      </c>
      <c r="C402" s="3">
        <f>IF(D402="","",IF(V402=0,"🟢 OK",IF(D402&lt;corte,"⚪ HISTÓRICO (sem baixa)",IF(AND(ISNUMBER(R402),R402&lt;TODAY()),"🔴 PRAZO VENCIDO",IF(AND(OR(N402="PENDENTE",N402="PARCIAL"),D402&lt;TODAY()-1),"🔴 EMBARQUE ATRASADO",IF(AND(N402="REALIZADO",M402="PENDENTE"),"🟡 EMBARCADO SEM FATURAR",IF(AND(P402&lt;&gt;"",S402="",OR(Q402="",R402="")),"🟡 PENDÊNCIA SEM RESPONSÁVEL/PRAZO",IF(AND(ISNUMBER(R402),R402=TODAY()),"🟡 VENCE HOJE",IF(AND(P402&lt;&gt;"",S402=""),"🟡 PENDÊNCIA ABERTA",IF(AND(N(J402)&gt;0,N(K402)&lt;J402),"🟡 FALTA EXECUTAR",IF(OR(M402="PENDENTE",M402="PARCIAL"),"🟡 FATURAMENTO PENDENTE","🟡 EMBARQUE PENDENTE")))))))))))</f>
        <v/>
      </c>
      <c r="D402" s="4" t="n">
        <v>46251</v>
      </c>
      <c r="E402" s="5" t="inlineStr">
        <is>
          <t>A</t>
        </is>
      </c>
      <c r="F402" s="5" t="inlineStr">
        <is>
          <t>TATIANE</t>
        </is>
      </c>
      <c r="G402" s="5" t="inlineStr">
        <is>
          <t>GM</t>
        </is>
      </c>
      <c r="H402" s="5" t="inlineStr">
        <is>
          <t>SMART</t>
        </is>
      </c>
      <c r="I402" s="5" t="inlineStr">
        <is>
          <t>TON</t>
        </is>
      </c>
      <c r="J402" s="6" t="n">
        <v>16</v>
      </c>
      <c r="K402" s="6" t="n">
        <v>16</v>
      </c>
      <c r="L402" s="7">
        <f>IF(OR(D402="",N(J402)=0),"",MIN(1,N(K402)/J402))</f>
        <v/>
      </c>
      <c r="M402" s="5" t="inlineStr">
        <is>
          <t>PENDENTE</t>
        </is>
      </c>
      <c r="N402" s="5" t="inlineStr">
        <is>
          <t>PENDENTE</t>
        </is>
      </c>
      <c r="O402" s="5" t="inlineStr">
        <is>
          <t>SMARTLOG</t>
        </is>
      </c>
      <c r="P402" s="5" t="n"/>
      <c r="Q402" s="5" t="n"/>
      <c r="R402" s="4" t="n"/>
      <c r="S402" s="4" t="n"/>
      <c r="T402" s="5" t="n"/>
      <c r="U402" s="8">
        <f>IF(AND(V402=1,D402&lt;&gt;""),IF(D402&gt;=corte,TODAY()-D402,""),"")</f>
        <v/>
      </c>
      <c r="V402" s="8">
        <f>IF(D402="",0,IF(OR(AND(P402&lt;&gt;"",S402=""),AND(N(J402)&gt;0,N(K402)&lt;J402),OR(M402="PENDENTE",M402="PARCIAL"),OR(N402="PENDENTE",N402="PARCIAL")),1,0))</f>
        <v/>
      </c>
      <c r="W402" s="8">
        <f>IF(AND(V402=1,D402&lt;&gt;""),IF(D402&gt;=corte,(B402="CRÍTICO")*1E9+(100000-D402)*10000+10000-ROW(),""),"")</f>
        <v/>
      </c>
      <c r="X402" s="8">
        <f>IF(AND(V402=1,D402=pas_data,E402=pas_turno),10000-ROW(),"")</f>
        <v/>
      </c>
    </row>
    <row r="403">
      <c r="A403" s="3">
        <f>IF(D403="","","TT-"&amp;TEXT(ROW()-1,"00000"))</f>
        <v/>
      </c>
      <c r="B403" s="3">
        <f>IF(D403="","",IF(V403=0,"CONCLUÍDO",IF(D403&lt;corte,"HISTÓRICO",IF(OR(AND(ISNUMBER(R403),R403&lt;TODAY()),AND(OR(N403="PENDENTE",N403="PARCIAL"),D403&lt;TODAY()-1)),"CRÍTICO",IF(OR(AND(P403&lt;&gt;"",S403=""),AND(N403="REALIZADO",M403="PENDENTE"),AND(ISNUMBER(R403),R403=TODAY())),"ATENÇÃO",IF(N(K403)=0,"PENDENTE","EM ANDAMENTO"))))))</f>
        <v/>
      </c>
      <c r="C403" s="3">
        <f>IF(D403="","",IF(V403=0,"🟢 OK",IF(D403&lt;corte,"⚪ HISTÓRICO (sem baixa)",IF(AND(ISNUMBER(R403),R403&lt;TODAY()),"🔴 PRAZO VENCIDO",IF(AND(OR(N403="PENDENTE",N403="PARCIAL"),D403&lt;TODAY()-1),"🔴 EMBARQUE ATRASADO",IF(AND(N403="REALIZADO",M403="PENDENTE"),"🟡 EMBARCADO SEM FATURAR",IF(AND(P403&lt;&gt;"",S403="",OR(Q403="",R403="")),"🟡 PENDÊNCIA SEM RESPONSÁVEL/PRAZO",IF(AND(ISNUMBER(R403),R403=TODAY()),"🟡 VENCE HOJE",IF(AND(P403&lt;&gt;"",S403=""),"🟡 PENDÊNCIA ABERTA",IF(AND(N(J403)&gt;0,N(K403)&lt;J403),"🟡 FALTA EXECUTAR",IF(OR(M403="PENDENTE",M403="PARCIAL"),"🟡 FATURAMENTO PENDENTE","🟡 EMBARQUE PENDENTE")))))))))))</f>
        <v/>
      </c>
      <c r="D403" s="4" t="n">
        <v>46251</v>
      </c>
      <c r="E403" s="5" t="inlineStr">
        <is>
          <t>A</t>
        </is>
      </c>
      <c r="F403" s="5" t="inlineStr">
        <is>
          <t>TATIANE</t>
        </is>
      </c>
      <c r="G403" s="5" t="inlineStr">
        <is>
          <t>FOB</t>
        </is>
      </c>
      <c r="H403" s="5" t="inlineStr">
        <is>
          <t>FOB</t>
        </is>
      </c>
      <c r="I403" s="5" t="inlineStr">
        <is>
          <t>TON</t>
        </is>
      </c>
      <c r="J403" s="6" t="n">
        <v>8.529999999999999</v>
      </c>
      <c r="K403" s="6" t="n">
        <v>8.529999999999999</v>
      </c>
      <c r="L403" s="7">
        <f>IF(OR(D403="",N(J403)=0),"",MIN(1,N(K403)/J403))</f>
        <v/>
      </c>
      <c r="M403" s="5" t="inlineStr">
        <is>
          <t>FATURADO</t>
        </is>
      </c>
      <c r="N403" s="5" t="inlineStr">
        <is>
          <t>PENDENTE</t>
        </is>
      </c>
      <c r="O403" s="5" t="inlineStr">
        <is>
          <t>PRÓPRIO</t>
        </is>
      </c>
      <c r="P403" s="5" t="inlineStr">
        <is>
          <t>MOTORISTA NO PATIO</t>
        </is>
      </c>
      <c r="Q403" s="5" t="n"/>
      <c r="R403" s="4" t="n"/>
      <c r="S403" s="4" t="n"/>
      <c r="T403" s="5" t="inlineStr">
        <is>
          <t>MOTORISTA NO PATIO</t>
        </is>
      </c>
      <c r="U403" s="8">
        <f>IF(AND(V403=1,D403&lt;&gt;""),IF(D403&gt;=corte,TODAY()-D403,""),"")</f>
        <v/>
      </c>
      <c r="V403" s="8">
        <f>IF(D403="",0,IF(OR(AND(P403&lt;&gt;"",S403=""),AND(N(J403)&gt;0,N(K403)&lt;J403),OR(M403="PENDENTE",M403="PARCIAL"),OR(N403="PENDENTE",N403="PARCIAL")),1,0))</f>
        <v/>
      </c>
      <c r="W403" s="8">
        <f>IF(AND(V403=1,D403&lt;&gt;""),IF(D403&gt;=corte,(B403="CRÍTICO")*1E9+(100000-D403)*10000+10000-ROW(),""),"")</f>
        <v/>
      </c>
      <c r="X403" s="8">
        <f>IF(AND(V403=1,D403=pas_data,E403=pas_turno),10000-ROW(),"")</f>
        <v/>
      </c>
    </row>
    <row r="404">
      <c r="A404" s="3">
        <f>IF(D404="","","TT-"&amp;TEXT(ROW()-1,"00000"))</f>
        <v/>
      </c>
      <c r="B404" s="3">
        <f>IF(D404="","",IF(V404=0,"CONCLUÍDO",IF(D404&lt;corte,"HISTÓRICO",IF(OR(AND(ISNUMBER(R404),R404&lt;TODAY()),AND(OR(N404="PENDENTE",N404="PARCIAL"),D404&lt;TODAY()-1)),"CRÍTICO",IF(OR(AND(P404&lt;&gt;"",S404=""),AND(N404="REALIZADO",M404="PENDENTE"),AND(ISNUMBER(R404),R404=TODAY())),"ATENÇÃO",IF(N(K404)=0,"PENDENTE","EM ANDAMENTO"))))))</f>
        <v/>
      </c>
      <c r="C404" s="3">
        <f>IF(D404="","",IF(V404=0,"🟢 OK",IF(D404&lt;corte,"⚪ HISTÓRICO (sem baixa)",IF(AND(ISNUMBER(R404),R404&lt;TODAY()),"🔴 PRAZO VENCIDO",IF(AND(OR(N404="PENDENTE",N404="PARCIAL"),D404&lt;TODAY()-1),"🔴 EMBARQUE ATRASADO",IF(AND(N404="REALIZADO",M404="PENDENTE"),"🟡 EMBARCADO SEM FATURAR",IF(AND(P404&lt;&gt;"",S404="",OR(Q404="",R404="")),"🟡 PENDÊNCIA SEM RESPONSÁVEL/PRAZO",IF(AND(ISNUMBER(R404),R404=TODAY()),"🟡 VENCE HOJE",IF(AND(P404&lt;&gt;"",S404=""),"🟡 PENDÊNCIA ABERTA",IF(AND(N(J404)&gt;0,N(K404)&lt;J404),"🟡 FALTA EXECUTAR",IF(OR(M404="PENDENTE",M404="PARCIAL"),"🟡 FATURAMENTO PENDENTE","🟡 EMBARQUE PENDENTE")))))))))))</f>
        <v/>
      </c>
      <c r="D404" s="4" t="n">
        <v>46251</v>
      </c>
      <c r="E404" s="5" t="inlineStr">
        <is>
          <t>A</t>
        </is>
      </c>
      <c r="F404" s="5" t="inlineStr">
        <is>
          <t>TATIANE</t>
        </is>
      </c>
      <c r="G404" s="5" t="inlineStr">
        <is>
          <t>FOB</t>
        </is>
      </c>
      <c r="H404" s="5" t="inlineStr">
        <is>
          <t>FOB</t>
        </is>
      </c>
      <c r="I404" s="5" t="inlineStr">
        <is>
          <t>TON</t>
        </is>
      </c>
      <c r="J404" s="6" t="n">
        <v>0.73</v>
      </c>
      <c r="K404" s="6" t="n">
        <v>0.73</v>
      </c>
      <c r="L404" s="7">
        <f>IF(OR(D404="",N(J404)=0),"",MIN(1,N(K404)/J404))</f>
        <v/>
      </c>
      <c r="M404" s="5" t="inlineStr">
        <is>
          <t>FATURADO</t>
        </is>
      </c>
      <c r="N404" s="5" t="inlineStr">
        <is>
          <t>REALIZADO</t>
        </is>
      </c>
      <c r="O404" s="5" t="inlineStr">
        <is>
          <t>PRÓPRIO</t>
        </is>
      </c>
      <c r="P404" s="5" t="n"/>
      <c r="Q404" s="5" t="n"/>
      <c r="R404" s="4" t="n"/>
      <c r="S404" s="4" t="n"/>
      <c r="T404" s="5" t="n"/>
      <c r="U404" s="8">
        <f>IF(AND(V404=1,D404&lt;&gt;""),IF(D404&gt;=corte,TODAY()-D404,""),"")</f>
        <v/>
      </c>
      <c r="V404" s="8">
        <f>IF(D404="",0,IF(OR(AND(P404&lt;&gt;"",S404=""),AND(N(J404)&gt;0,N(K404)&lt;J404),OR(M404="PENDENTE",M404="PARCIAL"),OR(N404="PENDENTE",N404="PARCIAL")),1,0))</f>
        <v/>
      </c>
      <c r="W404" s="8">
        <f>IF(AND(V404=1,D404&lt;&gt;""),IF(D404&gt;=corte,(B404="CRÍTICO")*1E9+(100000-D404)*10000+10000-ROW(),""),"")</f>
        <v/>
      </c>
      <c r="X404" s="8">
        <f>IF(AND(V404=1,D404=pas_data,E404=pas_turno),10000-ROW(),"")</f>
        <v/>
      </c>
    </row>
    <row r="405">
      <c r="A405" s="3">
        <f>IF(D405="","","TT-"&amp;TEXT(ROW()-1,"00000"))</f>
        <v/>
      </c>
      <c r="B405" s="3">
        <f>IF(D405="","",IF(V405=0,"CONCLUÍDO",IF(D405&lt;corte,"HISTÓRICO",IF(OR(AND(ISNUMBER(R405),R405&lt;TODAY()),AND(OR(N405="PENDENTE",N405="PARCIAL"),D405&lt;TODAY()-1)),"CRÍTICO",IF(OR(AND(P405&lt;&gt;"",S405=""),AND(N405="REALIZADO",M405="PENDENTE"),AND(ISNUMBER(R405),R405=TODAY())),"ATENÇÃO",IF(N(K405)=0,"PENDENTE","EM ANDAMENTO"))))))</f>
        <v/>
      </c>
      <c r="C405" s="3">
        <f>IF(D405="","",IF(V405=0,"🟢 OK",IF(D405&lt;corte,"⚪ HISTÓRICO (sem baixa)",IF(AND(ISNUMBER(R405),R405&lt;TODAY()),"🔴 PRAZO VENCIDO",IF(AND(OR(N405="PENDENTE",N405="PARCIAL"),D405&lt;TODAY()-1),"🔴 EMBARQUE ATRASADO",IF(AND(N405="REALIZADO",M405="PENDENTE"),"🟡 EMBARCADO SEM FATURAR",IF(AND(P405&lt;&gt;"",S405="",OR(Q405="",R405="")),"🟡 PENDÊNCIA SEM RESPONSÁVEL/PRAZO",IF(AND(ISNUMBER(R405),R405=TODAY()),"🟡 VENCE HOJE",IF(AND(P405&lt;&gt;"",S405=""),"🟡 PENDÊNCIA ABERTA",IF(AND(N(J405)&gt;0,N(K405)&lt;J405),"🟡 FALTA EXECUTAR",IF(OR(M405="PENDENTE",M405="PARCIAL"),"🟡 FATURAMENTO PENDENTE","🟡 EMBARQUE PENDENTE")))))))))))</f>
        <v/>
      </c>
      <c r="D405" s="4" t="n">
        <v>46251</v>
      </c>
      <c r="E405" s="5" t="inlineStr">
        <is>
          <t>A</t>
        </is>
      </c>
      <c r="F405" s="5" t="inlineStr">
        <is>
          <t>TATIANE</t>
        </is>
      </c>
      <c r="G405" s="5" t="inlineStr">
        <is>
          <t>GM</t>
        </is>
      </c>
      <c r="H405" s="5" t="inlineStr">
        <is>
          <t>SP</t>
        </is>
      </c>
      <c r="I405" s="5" t="inlineStr">
        <is>
          <t>TON</t>
        </is>
      </c>
      <c r="J405" s="6" t="n">
        <v>5.38</v>
      </c>
      <c r="K405" s="6" t="n">
        <v>5.38</v>
      </c>
      <c r="L405" s="7">
        <f>IF(OR(D405="",N(J405)=0),"",MIN(1,N(K405)/J405))</f>
        <v/>
      </c>
      <c r="M405" s="5" t="inlineStr">
        <is>
          <t>PENDENTE</t>
        </is>
      </c>
      <c r="N405" s="5" t="inlineStr">
        <is>
          <t>PENDENTE</t>
        </is>
      </c>
      <c r="O405" s="5" t="inlineStr">
        <is>
          <t>SMARTLOG</t>
        </is>
      </c>
      <c r="P405" s="5" t="inlineStr">
        <is>
          <t>PENDENTE DE CONFERÊNCIA</t>
        </is>
      </c>
      <c r="Q405" s="5" t="n"/>
      <c r="R405" s="4" t="n"/>
      <c r="S405" s="4" t="n"/>
      <c r="T405" s="5" t="inlineStr">
        <is>
          <t>PENDENTE DE CONFERÊNCIA</t>
        </is>
      </c>
      <c r="U405" s="8">
        <f>IF(AND(V405=1,D405&lt;&gt;""),IF(D405&gt;=corte,TODAY()-D405,""),"")</f>
        <v/>
      </c>
      <c r="V405" s="8">
        <f>IF(D405="",0,IF(OR(AND(P405&lt;&gt;"",S405=""),AND(N(J405)&gt;0,N(K405)&lt;J405),OR(M405="PENDENTE",M405="PARCIAL"),OR(N405="PENDENTE",N405="PARCIAL")),1,0))</f>
        <v/>
      </c>
      <c r="W405" s="8">
        <f>IF(AND(V405=1,D405&lt;&gt;""),IF(D405&gt;=corte,(B405="CRÍTICO")*1E9+(100000-D405)*10000+10000-ROW(),""),"")</f>
        <v/>
      </c>
      <c r="X405" s="8">
        <f>IF(AND(V405=1,D405=pas_data,E405=pas_turno),10000-ROW(),"")</f>
        <v/>
      </c>
    </row>
    <row r="406">
      <c r="A406" s="3">
        <f>IF(D406="","","TT-"&amp;TEXT(ROW()-1,"00000"))</f>
        <v/>
      </c>
      <c r="B406" s="3">
        <f>IF(D406="","",IF(V406=0,"CONCLUÍDO",IF(D406&lt;corte,"HISTÓRICO",IF(OR(AND(ISNUMBER(R406),R406&lt;TODAY()),AND(OR(N406="PENDENTE",N406="PARCIAL"),D406&lt;TODAY()-1)),"CRÍTICO",IF(OR(AND(P406&lt;&gt;"",S406=""),AND(N406="REALIZADO",M406="PENDENTE"),AND(ISNUMBER(R406),R406=TODAY())),"ATENÇÃO",IF(N(K406)=0,"PENDENTE","EM ANDAMENTO"))))))</f>
        <v/>
      </c>
      <c r="C406" s="3">
        <f>IF(D406="","",IF(V406=0,"🟢 OK",IF(D406&lt;corte,"⚪ HISTÓRICO (sem baixa)",IF(AND(ISNUMBER(R406),R406&lt;TODAY()),"🔴 PRAZO VENCIDO",IF(AND(OR(N406="PENDENTE",N406="PARCIAL"),D406&lt;TODAY()-1),"🔴 EMBARQUE ATRASADO",IF(AND(N406="REALIZADO",M406="PENDENTE"),"🟡 EMBARCADO SEM FATURAR",IF(AND(P406&lt;&gt;"",S406="",OR(Q406="",R406="")),"🟡 PENDÊNCIA SEM RESPONSÁVEL/PRAZO",IF(AND(ISNUMBER(R406),R406=TODAY()),"🟡 VENCE HOJE",IF(AND(P406&lt;&gt;"",S406=""),"🟡 PENDÊNCIA ABERTA",IF(AND(N(J406)&gt;0,N(K406)&lt;J406),"🟡 FALTA EXECUTAR",IF(OR(M406="PENDENTE",M406="PARCIAL"),"🟡 FATURAMENTO PENDENTE","🟡 EMBARQUE PENDENTE")))))))))))</f>
        <v/>
      </c>
      <c r="D406" s="4" t="n">
        <v>46251</v>
      </c>
      <c r="E406" s="5" t="inlineStr">
        <is>
          <t>A</t>
        </is>
      </c>
      <c r="F406" s="5" t="inlineStr">
        <is>
          <t>TATIANE</t>
        </is>
      </c>
      <c r="G406" s="5" t="inlineStr">
        <is>
          <t>GRANEL</t>
        </is>
      </c>
      <c r="H406" s="5" t="inlineStr">
        <is>
          <t>GRANEL</t>
        </is>
      </c>
      <c r="I406" s="5" t="inlineStr">
        <is>
          <t>TON</t>
        </is>
      </c>
      <c r="J406" s="6" t="n">
        <v>9.26</v>
      </c>
      <c r="K406" s="6" t="n">
        <v>9.26</v>
      </c>
      <c r="L406" s="7">
        <f>IF(OR(D406="",N(J406)=0),"",MIN(1,N(K406)/J406))</f>
        <v/>
      </c>
      <c r="M406" s="5" t="inlineStr">
        <is>
          <t>PENDENTE</t>
        </is>
      </c>
      <c r="N406" s="5" t="inlineStr">
        <is>
          <t>PENDENTE</t>
        </is>
      </c>
      <c r="O406" s="5" t="inlineStr">
        <is>
          <t>JSL</t>
        </is>
      </c>
      <c r="P406" s="5" t="inlineStr">
        <is>
          <t>PENDENTE DE APONTAMENTO DE SALDO</t>
        </is>
      </c>
      <c r="Q406" s="5" t="n"/>
      <c r="R406" s="4" t="n"/>
      <c r="S406" s="4" t="n"/>
      <c r="T406" s="5" t="inlineStr">
        <is>
          <t>PENDENTE DE APONTAMENTO DE SALDO</t>
        </is>
      </c>
      <c r="U406" s="8">
        <f>IF(AND(V406=1,D406&lt;&gt;""),IF(D406&gt;=corte,TODAY()-D406,""),"")</f>
        <v/>
      </c>
      <c r="V406" s="8">
        <f>IF(D406="",0,IF(OR(AND(P406&lt;&gt;"",S406=""),AND(N(J406)&gt;0,N(K406)&lt;J406),OR(M406="PENDENTE",M406="PARCIAL"),OR(N406="PENDENTE",N406="PARCIAL")),1,0))</f>
        <v/>
      </c>
      <c r="W406" s="8">
        <f>IF(AND(V406=1,D406&lt;&gt;""),IF(D406&gt;=corte,(B406="CRÍTICO")*1E9+(100000-D406)*10000+10000-ROW(),""),"")</f>
        <v/>
      </c>
      <c r="X406" s="8">
        <f>IF(AND(V406=1,D406=pas_data,E406=pas_turno),10000-ROW(),"")</f>
        <v/>
      </c>
    </row>
    <row r="407">
      <c r="A407" s="3">
        <f>IF(D407="","","TT-"&amp;TEXT(ROW()-1,"00000"))</f>
        <v/>
      </c>
      <c r="B407" s="3">
        <f>IF(D407="","",IF(V407=0,"CONCLUÍDO",IF(D407&lt;corte,"HISTÓRICO",IF(OR(AND(ISNUMBER(R407),R407&lt;TODAY()),AND(OR(N407="PENDENTE",N407="PARCIAL"),D407&lt;TODAY()-1)),"CRÍTICO",IF(OR(AND(P407&lt;&gt;"",S407=""),AND(N407="REALIZADO",M407="PENDENTE"),AND(ISNUMBER(R407),R407=TODAY())),"ATENÇÃO",IF(N(K407)=0,"PENDENTE","EM ANDAMENTO"))))))</f>
        <v/>
      </c>
      <c r="C407" s="3">
        <f>IF(D407="","",IF(V407=0,"🟢 OK",IF(D407&lt;corte,"⚪ HISTÓRICO (sem baixa)",IF(AND(ISNUMBER(R407),R407&lt;TODAY()),"🔴 PRAZO VENCIDO",IF(AND(OR(N407="PENDENTE",N407="PARCIAL"),D407&lt;TODAY()-1),"🔴 EMBARQUE ATRASADO",IF(AND(N407="REALIZADO",M407="PENDENTE"),"🟡 EMBARCADO SEM FATURAR",IF(AND(P407&lt;&gt;"",S407="",OR(Q407="",R407="")),"🟡 PENDÊNCIA SEM RESPONSÁVEL/PRAZO",IF(AND(ISNUMBER(R407),R407=TODAY()),"🟡 VENCE HOJE",IF(AND(P407&lt;&gt;"",S407=""),"🟡 PENDÊNCIA ABERTA",IF(AND(N(J407)&gt;0,N(K407)&lt;J407),"🟡 FALTA EXECUTAR",IF(OR(M407="PENDENTE",M407="PARCIAL"),"🟡 FATURAMENTO PENDENTE","🟡 EMBARQUE PENDENTE")))))))))))</f>
        <v/>
      </c>
      <c r="D407" s="4" t="n">
        <v>46251</v>
      </c>
      <c r="E407" s="5" t="inlineStr">
        <is>
          <t>B</t>
        </is>
      </c>
      <c r="F407" s="5" t="inlineStr">
        <is>
          <t>THIAGO</t>
        </is>
      </c>
      <c r="G407" s="5" t="inlineStr">
        <is>
          <t>GM</t>
        </is>
      </c>
      <c r="H407" s="5" t="inlineStr">
        <is>
          <t>MG</t>
        </is>
      </c>
      <c r="I407" s="5" t="inlineStr">
        <is>
          <t>TON</t>
        </is>
      </c>
      <c r="J407" s="6" t="n">
        <v>32.005</v>
      </c>
      <c r="K407" s="6" t="n">
        <v>32.005</v>
      </c>
      <c r="L407" s="7">
        <f>IF(OR(D407="",N(J407)=0),"",MIN(1,N(K407)/J407))</f>
        <v/>
      </c>
      <c r="M407" s="5" t="n"/>
      <c r="N407" s="5" t="n"/>
      <c r="O407" s="5" t="n"/>
      <c r="P407" s="5" t="n"/>
      <c r="Q407" s="5" t="n"/>
      <c r="R407" s="4" t="n"/>
      <c r="S407" s="4" t="n"/>
      <c r="T407" s="5" t="n"/>
      <c r="U407" s="8">
        <f>IF(AND(V407=1,D407&lt;&gt;""),IF(D407&gt;=corte,TODAY()-D407,""),"")</f>
        <v/>
      </c>
      <c r="V407" s="8">
        <f>IF(D407="",0,IF(OR(AND(P407&lt;&gt;"",S407=""),AND(N(J407)&gt;0,N(K407)&lt;J407),OR(M407="PENDENTE",M407="PARCIAL"),OR(N407="PENDENTE",N407="PARCIAL")),1,0))</f>
        <v/>
      </c>
      <c r="W407" s="8">
        <f>IF(AND(V407=1,D407&lt;&gt;""),IF(D407&gt;=corte,(B407="CRÍTICO")*1E9+(100000-D407)*10000+10000-ROW(),""),"")</f>
        <v/>
      </c>
      <c r="X407" s="8">
        <f>IF(AND(V407=1,D407=pas_data,E407=pas_turno),10000-ROW(),"")</f>
        <v/>
      </c>
    </row>
    <row r="408">
      <c r="A408" s="3">
        <f>IF(D408="","","TT-"&amp;TEXT(ROW()-1,"00000"))</f>
        <v/>
      </c>
      <c r="B408" s="3">
        <f>IF(D408="","",IF(V408=0,"CONCLUÍDO",IF(D408&lt;corte,"HISTÓRICO",IF(OR(AND(ISNUMBER(R408),R408&lt;TODAY()),AND(OR(N408="PENDENTE",N408="PARCIAL"),D408&lt;TODAY()-1)),"CRÍTICO",IF(OR(AND(P408&lt;&gt;"",S408=""),AND(N408="REALIZADO",M408="PENDENTE"),AND(ISNUMBER(R408),R408=TODAY())),"ATENÇÃO",IF(N(K408)=0,"PENDENTE","EM ANDAMENTO"))))))</f>
        <v/>
      </c>
      <c r="C408" s="3">
        <f>IF(D408="","",IF(V408=0,"🟢 OK",IF(D408&lt;corte,"⚪ HISTÓRICO (sem baixa)",IF(AND(ISNUMBER(R408),R408&lt;TODAY()),"🔴 PRAZO VENCIDO",IF(AND(OR(N408="PENDENTE",N408="PARCIAL"),D408&lt;TODAY()-1),"🔴 EMBARQUE ATRASADO",IF(AND(N408="REALIZADO",M408="PENDENTE"),"🟡 EMBARCADO SEM FATURAR",IF(AND(P408&lt;&gt;"",S408="",OR(Q408="",R408="")),"🟡 PENDÊNCIA SEM RESPONSÁVEL/PRAZO",IF(AND(ISNUMBER(R408),R408=TODAY()),"🟡 VENCE HOJE",IF(AND(P408&lt;&gt;"",S408=""),"🟡 PENDÊNCIA ABERTA",IF(AND(N(J408)&gt;0,N(K408)&lt;J408),"🟡 FALTA EXECUTAR",IF(OR(M408="PENDENTE",M408="PARCIAL"),"🟡 FATURAMENTO PENDENTE","🟡 EMBARQUE PENDENTE")))))))))))</f>
        <v/>
      </c>
      <c r="D408" s="4" t="n">
        <v>46251</v>
      </c>
      <c r="E408" s="5" t="inlineStr">
        <is>
          <t>B</t>
        </is>
      </c>
      <c r="F408" s="5" t="inlineStr">
        <is>
          <t>THIAGO</t>
        </is>
      </c>
      <c r="G408" s="5" t="inlineStr">
        <is>
          <t>ABASTECIMENTO</t>
        </is>
      </c>
      <c r="H408" s="5" t="n"/>
      <c r="I408" s="5" t="inlineStr">
        <is>
          <t>PALETE</t>
        </is>
      </c>
      <c r="J408" s="6" t="n">
        <v>49</v>
      </c>
      <c r="K408" s="6" t="n">
        <v>49</v>
      </c>
      <c r="L408" s="7">
        <f>IF(OR(D408="",N(J408)=0),"",MIN(1,N(K408)/J408))</f>
        <v/>
      </c>
      <c r="M408" s="5" t="n"/>
      <c r="N408" s="5" t="n"/>
      <c r="O408" s="5" t="n"/>
      <c r="P408" s="5" t="n"/>
      <c r="Q408" s="5" t="n"/>
      <c r="R408" s="4" t="n"/>
      <c r="S408" s="4" t="n"/>
      <c r="T408" s="5" t="n"/>
      <c r="U408" s="8">
        <f>IF(AND(V408=1,D408&lt;&gt;""),IF(D408&gt;=corte,TODAY()-D408,""),"")</f>
        <v/>
      </c>
      <c r="V408" s="8">
        <f>IF(D408="",0,IF(OR(AND(P408&lt;&gt;"",S408=""),AND(N(J408)&gt;0,N(K408)&lt;J408),OR(M408="PENDENTE",M408="PARCIAL"),OR(N408="PENDENTE",N408="PARCIAL")),1,0))</f>
        <v/>
      </c>
      <c r="W408" s="8">
        <f>IF(AND(V408=1,D408&lt;&gt;""),IF(D408&gt;=corte,(B408="CRÍTICO")*1E9+(100000-D408)*10000+10000-ROW(),""),"")</f>
        <v/>
      </c>
      <c r="X408" s="8">
        <f>IF(AND(V408=1,D408=pas_data,E408=pas_turno),10000-ROW(),"")</f>
        <v/>
      </c>
    </row>
    <row r="409">
      <c r="A409" s="3">
        <f>IF(D409="","","TT-"&amp;TEXT(ROW()-1,"00000"))</f>
        <v/>
      </c>
      <c r="B409" s="3">
        <f>IF(D409="","",IF(V409=0,"CONCLUÍDO",IF(D409&lt;corte,"HISTÓRICO",IF(OR(AND(ISNUMBER(R409),R409&lt;TODAY()),AND(OR(N409="PENDENTE",N409="PARCIAL"),D409&lt;TODAY()-1)),"CRÍTICO",IF(OR(AND(P409&lt;&gt;"",S409=""),AND(N409="REALIZADO",M409="PENDENTE"),AND(ISNUMBER(R409),R409=TODAY())),"ATENÇÃO",IF(N(K409)=0,"PENDENTE","EM ANDAMENTO"))))))</f>
        <v/>
      </c>
      <c r="C409" s="3">
        <f>IF(D409="","",IF(V409=0,"🟢 OK",IF(D409&lt;corte,"⚪ HISTÓRICO (sem baixa)",IF(AND(ISNUMBER(R409),R409&lt;TODAY()),"🔴 PRAZO VENCIDO",IF(AND(OR(N409="PENDENTE",N409="PARCIAL"),D409&lt;TODAY()-1),"🔴 EMBARQUE ATRASADO",IF(AND(N409="REALIZADO",M409="PENDENTE"),"🟡 EMBARCADO SEM FATURAR",IF(AND(P409&lt;&gt;"",S409="",OR(Q409="",R409="")),"🟡 PENDÊNCIA SEM RESPONSÁVEL/PRAZO",IF(AND(ISNUMBER(R409),R409=TODAY()),"🟡 VENCE HOJE",IF(AND(P409&lt;&gt;"",S409=""),"🟡 PENDÊNCIA ABERTA",IF(AND(N(J409)&gt;0,N(K409)&lt;J409),"🟡 FALTA EXECUTAR",IF(OR(M409="PENDENTE",M409="PARCIAL"),"🟡 FATURAMENTO PENDENTE","🟡 EMBARQUE PENDENTE")))))))))))</f>
        <v/>
      </c>
      <c r="D409" s="4" t="n">
        <v>46251</v>
      </c>
      <c r="E409" s="5" t="inlineStr">
        <is>
          <t>B</t>
        </is>
      </c>
      <c r="F409" s="5" t="inlineStr">
        <is>
          <t>THIAGO</t>
        </is>
      </c>
      <c r="G409" s="5" t="inlineStr">
        <is>
          <t>GRANEL</t>
        </is>
      </c>
      <c r="H409" s="5" t="inlineStr">
        <is>
          <t>UNILEVER</t>
        </is>
      </c>
      <c r="I409" s="5" t="inlineStr">
        <is>
          <t>TON</t>
        </is>
      </c>
      <c r="J409" s="6" t="n">
        <v>9.26</v>
      </c>
      <c r="K409" s="6" t="n">
        <v>9.26</v>
      </c>
      <c r="L409" s="7">
        <f>IF(OR(D409="",N(J409)=0),"",MIN(1,N(K409)/J409))</f>
        <v/>
      </c>
      <c r="M409" s="5" t="n"/>
      <c r="N409" s="5" t="n"/>
      <c r="O409" s="5" t="n"/>
      <c r="P409" s="5" t="n"/>
      <c r="Q409" s="5" t="n"/>
      <c r="R409" s="4" t="n"/>
      <c r="S409" s="4" t="n"/>
      <c r="T409" s="5" t="n"/>
      <c r="U409" s="8">
        <f>IF(AND(V409=1,D409&lt;&gt;""),IF(D409&gt;=corte,TODAY()-D409,""),"")</f>
        <v/>
      </c>
      <c r="V409" s="8">
        <f>IF(D409="",0,IF(OR(AND(P409&lt;&gt;"",S409=""),AND(N(J409)&gt;0,N(K409)&lt;J409),OR(M409="PENDENTE",M409="PARCIAL"),OR(N409="PENDENTE",N409="PARCIAL")),1,0))</f>
        <v/>
      </c>
      <c r="W409" s="8">
        <f>IF(AND(V409=1,D409&lt;&gt;""),IF(D409&gt;=corte,(B409="CRÍTICO")*1E9+(100000-D409)*10000+10000-ROW(),""),"")</f>
        <v/>
      </c>
      <c r="X409" s="8">
        <f>IF(AND(V409=1,D409=pas_data,E409=pas_turno),10000-ROW(),"")</f>
        <v/>
      </c>
    </row>
    <row r="410">
      <c r="A410" s="3">
        <f>IF(D410="","","TT-"&amp;TEXT(ROW()-1,"00000"))</f>
        <v/>
      </c>
      <c r="B410" s="3">
        <f>IF(D410="","",IF(V410=0,"CONCLUÍDO",IF(D410&lt;corte,"HISTÓRICO",IF(OR(AND(ISNUMBER(R410),R410&lt;TODAY()),AND(OR(N410="PENDENTE",N410="PARCIAL"),D410&lt;TODAY()-1)),"CRÍTICO",IF(OR(AND(P410&lt;&gt;"",S410=""),AND(N410="REALIZADO",M410="PENDENTE"),AND(ISNUMBER(R410),R410=TODAY())),"ATENÇÃO",IF(N(K410)=0,"PENDENTE","EM ANDAMENTO"))))))</f>
        <v/>
      </c>
      <c r="C410" s="3">
        <f>IF(D410="","",IF(V410=0,"🟢 OK",IF(D410&lt;corte,"⚪ HISTÓRICO (sem baixa)",IF(AND(ISNUMBER(R410),R410&lt;TODAY()),"🔴 PRAZO VENCIDO",IF(AND(OR(N410="PENDENTE",N410="PARCIAL"),D410&lt;TODAY()-1),"🔴 EMBARQUE ATRASADO",IF(AND(N410="REALIZADO",M410="PENDENTE"),"🟡 EMBARCADO SEM FATURAR",IF(AND(P410&lt;&gt;"",S410="",OR(Q410="",R410="")),"🟡 PENDÊNCIA SEM RESPONSÁVEL/PRAZO",IF(AND(ISNUMBER(R410),R410=TODAY()),"🟡 VENCE HOJE",IF(AND(P410&lt;&gt;"",S410=""),"🟡 PENDÊNCIA ABERTA",IF(AND(N(J410)&gt;0,N(K410)&lt;J410),"🟡 FALTA EXECUTAR",IF(OR(M410="PENDENTE",M410="PARCIAL"),"🟡 FATURAMENTO PENDENTE","🟡 EMBARQUE PENDENTE")))))))))))</f>
        <v/>
      </c>
      <c r="D410" s="4" t="n">
        <v>46251</v>
      </c>
      <c r="E410" s="5" t="inlineStr">
        <is>
          <t>B</t>
        </is>
      </c>
      <c r="F410" s="5" t="inlineStr">
        <is>
          <t>THIAGO</t>
        </is>
      </c>
      <c r="G410" s="5" t="inlineStr">
        <is>
          <t>CACAU</t>
        </is>
      </c>
      <c r="H410" s="5" t="n"/>
      <c r="I410" s="5" t="inlineStr">
        <is>
          <t>TON</t>
        </is>
      </c>
      <c r="J410" s="6" t="n">
        <v>21.45</v>
      </c>
      <c r="K410" s="6" t="n">
        <v>21.45</v>
      </c>
      <c r="L410" s="7">
        <f>IF(OR(D410="",N(J410)=0),"",MIN(1,N(K410)/J410))</f>
        <v/>
      </c>
      <c r="M410" s="5" t="n"/>
      <c r="N410" s="5" t="n"/>
      <c r="O410" s="5" t="n"/>
      <c r="P410" s="5" t="n"/>
      <c r="Q410" s="5" t="n"/>
      <c r="R410" s="4" t="n"/>
      <c r="S410" s="4" t="n"/>
      <c r="T410" s="5" t="n"/>
      <c r="U410" s="8">
        <f>IF(AND(V410=1,D410&lt;&gt;""),IF(D410&gt;=corte,TODAY()-D410,""),"")</f>
        <v/>
      </c>
      <c r="V410" s="8">
        <f>IF(D410="",0,IF(OR(AND(P410&lt;&gt;"",S410=""),AND(N(J410)&gt;0,N(K410)&lt;J410),OR(M410="PENDENTE",M410="PARCIAL"),OR(N410="PENDENTE",N410="PARCIAL")),1,0))</f>
        <v/>
      </c>
      <c r="W410" s="8">
        <f>IF(AND(V410=1,D410&lt;&gt;""),IF(D410&gt;=corte,(B410="CRÍTICO")*1E9+(100000-D410)*10000+10000-ROW(),""),"")</f>
        <v/>
      </c>
      <c r="X410" s="8">
        <f>IF(AND(V410=1,D410=pas_data,E410=pas_turno),10000-ROW(),"")</f>
        <v/>
      </c>
    </row>
    <row r="411">
      <c r="A411" s="3">
        <f>IF(D411="","","TT-"&amp;TEXT(ROW()-1,"00000"))</f>
        <v/>
      </c>
      <c r="B411" s="3">
        <f>IF(D411="","",IF(V411=0,"CONCLUÍDO",IF(D411&lt;corte,"HISTÓRICO",IF(OR(AND(ISNUMBER(R411),R411&lt;TODAY()),AND(OR(N411="PENDENTE",N411="PARCIAL"),D411&lt;TODAY()-1)),"CRÍTICO",IF(OR(AND(P411&lt;&gt;"",S411=""),AND(N411="REALIZADO",M411="PENDENTE"),AND(ISNUMBER(R411),R411=TODAY())),"ATENÇÃO",IF(N(K411)=0,"PENDENTE","EM ANDAMENTO"))))))</f>
        <v/>
      </c>
      <c r="C411" s="3">
        <f>IF(D411="","",IF(V411=0,"🟢 OK",IF(D411&lt;corte,"⚪ HISTÓRICO (sem baixa)",IF(AND(ISNUMBER(R411),R411&lt;TODAY()),"🔴 PRAZO VENCIDO",IF(AND(OR(N411="PENDENTE",N411="PARCIAL"),D411&lt;TODAY()-1),"🔴 EMBARQUE ATRASADO",IF(AND(N411="REALIZADO",M411="PENDENTE"),"🟡 EMBARCADO SEM FATURAR",IF(AND(P411&lt;&gt;"",S411="",OR(Q411="",R411="")),"🟡 PENDÊNCIA SEM RESPONSÁVEL/PRAZO",IF(AND(ISNUMBER(R411),R411=TODAY()),"🟡 VENCE HOJE",IF(AND(P411&lt;&gt;"",S411=""),"🟡 PENDÊNCIA ABERTA",IF(AND(N(J411)&gt;0,N(K411)&lt;J411),"🟡 FALTA EXECUTAR",IF(OR(M411="PENDENTE",M411="PARCIAL"),"🟡 FATURAMENTO PENDENTE","🟡 EMBARQUE PENDENTE")))))))))))</f>
        <v/>
      </c>
      <c r="D411" s="4" t="n">
        <v>46251</v>
      </c>
      <c r="E411" s="5" t="inlineStr">
        <is>
          <t>B</t>
        </is>
      </c>
      <c r="F411" s="5" t="inlineStr">
        <is>
          <t>THIAGO</t>
        </is>
      </c>
      <c r="G411" s="5" t="inlineStr">
        <is>
          <t>FM</t>
        </is>
      </c>
      <c r="H411" s="5" t="inlineStr">
        <is>
          <t>PANDURATA</t>
        </is>
      </c>
      <c r="I411" s="5" t="inlineStr">
        <is>
          <t>TON</t>
        </is>
      </c>
      <c r="J411" s="6" t="n">
        <v>28.054</v>
      </c>
      <c r="K411" s="6" t="n">
        <v>28.054</v>
      </c>
      <c r="L411" s="7">
        <f>IF(OR(D411="",N(J411)=0),"",MIN(1,N(K411)/J411))</f>
        <v/>
      </c>
      <c r="M411" s="5" t="n"/>
      <c r="N411" s="5" t="n"/>
      <c r="O411" s="5" t="n"/>
      <c r="P411" s="5" t="n"/>
      <c r="Q411" s="5" t="n"/>
      <c r="R411" s="4" t="n"/>
      <c r="S411" s="4" t="n"/>
      <c r="T411" s="5" t="n"/>
      <c r="U411" s="8">
        <f>IF(AND(V411=1,D411&lt;&gt;""),IF(D411&gt;=corte,TODAY()-D411,""),"")</f>
        <v/>
      </c>
      <c r="V411" s="8">
        <f>IF(D411="",0,IF(OR(AND(P411&lt;&gt;"",S411=""),AND(N(J411)&gt;0,N(K411)&lt;J411),OR(M411="PENDENTE",M411="PARCIAL"),OR(N411="PENDENTE",N411="PARCIAL")),1,0))</f>
        <v/>
      </c>
      <c r="W411" s="8">
        <f>IF(AND(V411=1,D411&lt;&gt;""),IF(D411&gt;=corte,(B411="CRÍTICO")*1E9+(100000-D411)*10000+10000-ROW(),""),"")</f>
        <v/>
      </c>
      <c r="X411" s="8">
        <f>IF(AND(V411=1,D411=pas_data,E411=pas_turno),10000-ROW(),"")</f>
        <v/>
      </c>
    </row>
    <row r="412">
      <c r="A412" s="3">
        <f>IF(D412="","","TT-"&amp;TEXT(ROW()-1,"00000"))</f>
        <v/>
      </c>
      <c r="B412" s="3">
        <f>IF(D412="","",IF(V412=0,"CONCLUÍDO",IF(D412&lt;corte,"HISTÓRICO",IF(OR(AND(ISNUMBER(R412),R412&lt;TODAY()),AND(OR(N412="PENDENTE",N412="PARCIAL"),D412&lt;TODAY()-1)),"CRÍTICO",IF(OR(AND(P412&lt;&gt;"",S412=""),AND(N412="REALIZADO",M412="PENDENTE"),AND(ISNUMBER(R412),R412=TODAY())),"ATENÇÃO",IF(N(K412)=0,"PENDENTE","EM ANDAMENTO"))))))</f>
        <v/>
      </c>
      <c r="C412" s="3">
        <f>IF(D412="","",IF(V412=0,"🟢 OK",IF(D412&lt;corte,"⚪ HISTÓRICO (sem baixa)",IF(AND(ISNUMBER(R412),R412&lt;TODAY()),"🔴 PRAZO VENCIDO",IF(AND(OR(N412="PENDENTE",N412="PARCIAL"),D412&lt;TODAY()-1),"🔴 EMBARQUE ATRASADO",IF(AND(N412="REALIZADO",M412="PENDENTE"),"🟡 EMBARCADO SEM FATURAR",IF(AND(P412&lt;&gt;"",S412="",OR(Q412="",R412="")),"🟡 PENDÊNCIA SEM RESPONSÁVEL/PRAZO",IF(AND(ISNUMBER(R412),R412=TODAY()),"🟡 VENCE HOJE",IF(AND(P412&lt;&gt;"",S412=""),"🟡 PENDÊNCIA ABERTA",IF(AND(N(J412)&gt;0,N(K412)&lt;J412),"🟡 FALTA EXECUTAR",IF(OR(M412="PENDENTE",M412="PARCIAL"),"🟡 FATURAMENTO PENDENTE","🟡 EMBARQUE PENDENTE")))))))))))</f>
        <v/>
      </c>
      <c r="D412" s="4" t="n">
        <v>46251</v>
      </c>
      <c r="E412" s="5" t="inlineStr">
        <is>
          <t>B</t>
        </is>
      </c>
      <c r="F412" s="5" t="inlineStr">
        <is>
          <t>THIAGO</t>
        </is>
      </c>
      <c r="G412" s="5" t="inlineStr">
        <is>
          <t>FLOOR</t>
        </is>
      </c>
      <c r="H412" s="5" t="inlineStr">
        <is>
          <t>ARMAZENAMENTO</t>
        </is>
      </c>
      <c r="I412" s="5" t="inlineStr">
        <is>
          <t>PALETE</t>
        </is>
      </c>
      <c r="J412" s="6" t="n">
        <v>108</v>
      </c>
      <c r="K412" s="6" t="n">
        <v>108</v>
      </c>
      <c r="L412" s="7">
        <f>IF(OR(D412="",N(J412)=0),"",MIN(1,N(K412)/J412))</f>
        <v/>
      </c>
      <c r="M412" s="5" t="n"/>
      <c r="N412" s="5" t="n"/>
      <c r="O412" s="5" t="n"/>
      <c r="P412" s="5" t="n"/>
      <c r="Q412" s="5" t="n"/>
      <c r="R412" s="4" t="n"/>
      <c r="S412" s="4" t="n"/>
      <c r="T412" s="5" t="inlineStr">
        <is>
          <t>[MIGRAÇÃO: programação original: FLOOR / CACAU]</t>
        </is>
      </c>
      <c r="U412" s="8">
        <f>IF(AND(V412=1,D412&lt;&gt;""),IF(D412&gt;=corte,TODAY()-D412,""),"")</f>
        <v/>
      </c>
      <c r="V412" s="8">
        <f>IF(D412="",0,IF(OR(AND(P412&lt;&gt;"",S412=""),AND(N(J412)&gt;0,N(K412)&lt;J412),OR(M412="PENDENTE",M412="PARCIAL"),OR(N412="PENDENTE",N412="PARCIAL")),1,0))</f>
        <v/>
      </c>
      <c r="W412" s="8">
        <f>IF(AND(V412=1,D412&lt;&gt;""),IF(D412&gt;=corte,(B412="CRÍTICO")*1E9+(100000-D412)*10000+10000-ROW(),""),"")</f>
        <v/>
      </c>
      <c r="X412" s="8">
        <f>IF(AND(V412=1,D412=pas_data,E412=pas_turno),10000-ROW(),"")</f>
        <v/>
      </c>
    </row>
    <row r="413">
      <c r="A413" s="3">
        <f>IF(D413="","","TT-"&amp;TEXT(ROW()-1,"00000"))</f>
        <v/>
      </c>
      <c r="B413" s="3">
        <f>IF(D413="","",IF(V413=0,"CONCLUÍDO",IF(D413&lt;corte,"HISTÓRICO",IF(OR(AND(ISNUMBER(R413),R413&lt;TODAY()),AND(OR(N413="PENDENTE",N413="PARCIAL"),D413&lt;TODAY()-1)),"CRÍTICO",IF(OR(AND(P413&lt;&gt;"",S413=""),AND(N413="REALIZADO",M413="PENDENTE"),AND(ISNUMBER(R413),R413=TODAY())),"ATENÇÃO",IF(N(K413)=0,"PENDENTE","EM ANDAMENTO"))))))</f>
        <v/>
      </c>
      <c r="C413" s="3">
        <f>IF(D413="","",IF(V413=0,"🟢 OK",IF(D413&lt;corte,"⚪ HISTÓRICO (sem baixa)",IF(AND(ISNUMBER(R413),R413&lt;TODAY()),"🔴 PRAZO VENCIDO",IF(AND(OR(N413="PENDENTE",N413="PARCIAL"),D413&lt;TODAY()-1),"🔴 EMBARQUE ATRASADO",IF(AND(N413="REALIZADO",M413="PENDENTE"),"🟡 EMBARCADO SEM FATURAR",IF(AND(P413&lt;&gt;"",S413="",OR(Q413="",R413="")),"🟡 PENDÊNCIA SEM RESPONSÁVEL/PRAZO",IF(AND(ISNUMBER(R413),R413=TODAY()),"🟡 VENCE HOJE",IF(AND(P413&lt;&gt;"",S413=""),"🟡 PENDÊNCIA ABERTA",IF(AND(N(J413)&gt;0,N(K413)&lt;J413),"🟡 FALTA EXECUTAR",IF(OR(M413="PENDENTE",M413="PARCIAL"),"🟡 FATURAMENTO PENDENTE","🟡 EMBARQUE PENDENTE")))))))))))</f>
        <v/>
      </c>
      <c r="D413" s="4" t="n">
        <v>46252</v>
      </c>
      <c r="E413" s="5" t="inlineStr">
        <is>
          <t>A</t>
        </is>
      </c>
      <c r="F413" s="5" t="inlineStr">
        <is>
          <t>TATIANE</t>
        </is>
      </c>
      <c r="G413" s="5" t="inlineStr">
        <is>
          <t>GM</t>
        </is>
      </c>
      <c r="H413" s="5" t="inlineStr">
        <is>
          <t>SP</t>
        </is>
      </c>
      <c r="I413" s="5" t="inlineStr">
        <is>
          <t>TON</t>
        </is>
      </c>
      <c r="J413" s="6" t="n">
        <v>15.206</v>
      </c>
      <c r="K413" s="6" t="n"/>
      <c r="L413" s="7">
        <f>IF(OR(D413="",N(J413)=0),"",MIN(1,N(K413)/J413))</f>
        <v/>
      </c>
      <c r="M413" s="5" t="inlineStr">
        <is>
          <t>PENDENTE</t>
        </is>
      </c>
      <c r="N413" s="5" t="inlineStr">
        <is>
          <t>PENDENTE</t>
        </is>
      </c>
      <c r="O413" s="5" t="inlineStr">
        <is>
          <t>LOGGIO</t>
        </is>
      </c>
      <c r="P413" s="5" t="inlineStr">
        <is>
          <t>CROSS MONTADO- SEPARAR E FATURAR</t>
        </is>
      </c>
      <c r="Q413" s="5" t="n"/>
      <c r="R413" s="4" t="n"/>
      <c r="S413" s="4" t="n"/>
      <c r="T413" s="5" t="inlineStr">
        <is>
          <t>CROSS MONTADO- SEPARAR E FATURAR [MIGRAÇÃO: programação original: SP]</t>
        </is>
      </c>
      <c r="U413" s="8">
        <f>IF(AND(V413=1,D413&lt;&gt;""),IF(D413&gt;=corte,TODAY()-D413,""),"")</f>
        <v/>
      </c>
      <c r="V413" s="8">
        <f>IF(D413="",0,IF(OR(AND(P413&lt;&gt;"",S413=""),AND(N(J413)&gt;0,N(K413)&lt;J413),OR(M413="PENDENTE",M413="PARCIAL"),OR(N413="PENDENTE",N413="PARCIAL")),1,0))</f>
        <v/>
      </c>
      <c r="W413" s="8">
        <f>IF(AND(V413=1,D413&lt;&gt;""),IF(D413&gt;=corte,(B413="CRÍTICO")*1E9+(100000-D413)*10000+10000-ROW(),""),"")</f>
        <v/>
      </c>
      <c r="X413" s="8">
        <f>IF(AND(V413=1,D413=pas_data,E413=pas_turno),10000-ROW(),"")</f>
        <v/>
      </c>
    </row>
    <row r="414">
      <c r="A414" s="3">
        <f>IF(D414="","","TT-"&amp;TEXT(ROW()-1,"00000"))</f>
        <v/>
      </c>
      <c r="B414" s="3">
        <f>IF(D414="","",IF(V414=0,"CONCLUÍDO",IF(D414&lt;corte,"HISTÓRICO",IF(OR(AND(ISNUMBER(R414),R414&lt;TODAY()),AND(OR(N414="PENDENTE",N414="PARCIAL"),D414&lt;TODAY()-1)),"CRÍTICO",IF(OR(AND(P414&lt;&gt;"",S414=""),AND(N414="REALIZADO",M414="PENDENTE"),AND(ISNUMBER(R414),R414=TODAY())),"ATENÇÃO",IF(N(K414)=0,"PENDENTE","EM ANDAMENTO"))))))</f>
        <v/>
      </c>
      <c r="C414" s="3">
        <f>IF(D414="","",IF(V414=0,"🟢 OK",IF(D414&lt;corte,"⚪ HISTÓRICO (sem baixa)",IF(AND(ISNUMBER(R414),R414&lt;TODAY()),"🔴 PRAZO VENCIDO",IF(AND(OR(N414="PENDENTE",N414="PARCIAL"),D414&lt;TODAY()-1),"🔴 EMBARQUE ATRASADO",IF(AND(N414="REALIZADO",M414="PENDENTE"),"🟡 EMBARCADO SEM FATURAR",IF(AND(P414&lt;&gt;"",S414="",OR(Q414="",R414="")),"🟡 PENDÊNCIA SEM RESPONSÁVEL/PRAZO",IF(AND(ISNUMBER(R414),R414=TODAY()),"🟡 VENCE HOJE",IF(AND(P414&lt;&gt;"",S414=""),"🟡 PENDÊNCIA ABERTA",IF(AND(N(J414)&gt;0,N(K414)&lt;J414),"🟡 FALTA EXECUTAR",IF(OR(M414="PENDENTE",M414="PARCIAL"),"🟡 FATURAMENTO PENDENTE","🟡 EMBARQUE PENDENTE")))))))))))</f>
        <v/>
      </c>
      <c r="D414" s="4" t="n">
        <v>46252</v>
      </c>
      <c r="E414" s="5" t="inlineStr">
        <is>
          <t>A</t>
        </is>
      </c>
      <c r="F414" s="5" t="inlineStr">
        <is>
          <t>TATIANE</t>
        </is>
      </c>
      <c r="G414" s="5" t="inlineStr">
        <is>
          <t>CACAU</t>
        </is>
      </c>
      <c r="H414" s="5" t="inlineStr">
        <is>
          <t>CACAU</t>
        </is>
      </c>
      <c r="I414" s="5" t="inlineStr">
        <is>
          <t>TON</t>
        </is>
      </c>
      <c r="J414" s="6" t="n">
        <v>21.618</v>
      </c>
      <c r="K414" s="6" t="n">
        <v>1.5</v>
      </c>
      <c r="L414" s="7">
        <f>IF(OR(D414="",N(J414)=0),"",MIN(1,N(K414)/J414))</f>
        <v/>
      </c>
      <c r="M414" s="5" t="inlineStr">
        <is>
          <t>FATURADO</t>
        </is>
      </c>
      <c r="N414" s="5" t="inlineStr">
        <is>
          <t>PENDENTE</t>
        </is>
      </c>
      <c r="O414" s="5" t="n"/>
      <c r="P414" s="5" t="n"/>
      <c r="Q414" s="5" t="n"/>
      <c r="R414" s="4" t="n"/>
      <c r="S414" s="4" t="n"/>
      <c r="T414" s="5" t="n"/>
      <c r="U414" s="8">
        <f>IF(AND(V414=1,D414&lt;&gt;""),IF(D414&gt;=corte,TODAY()-D414,""),"")</f>
        <v/>
      </c>
      <c r="V414" s="8">
        <f>IF(D414="",0,IF(OR(AND(P414&lt;&gt;"",S414=""),AND(N(J414)&gt;0,N(K414)&lt;J414),OR(M414="PENDENTE",M414="PARCIAL"),OR(N414="PENDENTE",N414="PARCIAL")),1,0))</f>
        <v/>
      </c>
      <c r="W414" s="8">
        <f>IF(AND(V414=1,D414&lt;&gt;""),IF(D414&gt;=corte,(B414="CRÍTICO")*1E9+(100000-D414)*10000+10000-ROW(),""),"")</f>
        <v/>
      </c>
      <c r="X414" s="8">
        <f>IF(AND(V414=1,D414=pas_data,E414=pas_turno),10000-ROW(),"")</f>
        <v/>
      </c>
    </row>
    <row r="415">
      <c r="A415" s="3">
        <f>IF(D415="","","TT-"&amp;TEXT(ROW()-1,"00000"))</f>
        <v/>
      </c>
      <c r="B415" s="3">
        <f>IF(D415="","",IF(V415=0,"CONCLUÍDO",IF(D415&lt;corte,"HISTÓRICO",IF(OR(AND(ISNUMBER(R415),R415&lt;TODAY()),AND(OR(N415="PENDENTE",N415="PARCIAL"),D415&lt;TODAY()-1)),"CRÍTICO",IF(OR(AND(P415&lt;&gt;"",S415=""),AND(N415="REALIZADO",M415="PENDENTE"),AND(ISNUMBER(R415),R415=TODAY())),"ATENÇÃO",IF(N(K415)=0,"PENDENTE","EM ANDAMENTO"))))))</f>
        <v/>
      </c>
      <c r="C415" s="3">
        <f>IF(D415="","",IF(V415=0,"🟢 OK",IF(D415&lt;corte,"⚪ HISTÓRICO (sem baixa)",IF(AND(ISNUMBER(R415),R415&lt;TODAY()),"🔴 PRAZO VENCIDO",IF(AND(OR(N415="PENDENTE",N415="PARCIAL"),D415&lt;TODAY()-1),"🔴 EMBARQUE ATRASADO",IF(AND(N415="REALIZADO",M415="PENDENTE"),"🟡 EMBARCADO SEM FATURAR",IF(AND(P415&lt;&gt;"",S415="",OR(Q415="",R415="")),"🟡 PENDÊNCIA SEM RESPONSÁVEL/PRAZO",IF(AND(ISNUMBER(R415),R415=TODAY()),"🟡 VENCE HOJE",IF(AND(P415&lt;&gt;"",S415=""),"🟡 PENDÊNCIA ABERTA",IF(AND(N(J415)&gt;0,N(K415)&lt;J415),"🟡 FALTA EXECUTAR",IF(OR(M415="PENDENTE",M415="PARCIAL"),"🟡 FATURAMENTO PENDENTE","🟡 EMBARQUE PENDENTE")))))))))))</f>
        <v/>
      </c>
      <c r="D415" s="4" t="n">
        <v>46252</v>
      </c>
      <c r="E415" s="5" t="inlineStr">
        <is>
          <t>A</t>
        </is>
      </c>
      <c r="F415" s="5" t="inlineStr">
        <is>
          <t>TATIANE</t>
        </is>
      </c>
      <c r="G415" s="5" t="inlineStr">
        <is>
          <t>CACAU</t>
        </is>
      </c>
      <c r="H415" s="5" t="inlineStr">
        <is>
          <t>CACAU</t>
        </is>
      </c>
      <c r="I415" s="5" t="inlineStr">
        <is>
          <t>TON</t>
        </is>
      </c>
      <c r="J415" s="6" t="n">
        <v>4</v>
      </c>
      <c r="K415" s="6" t="n">
        <v>4</v>
      </c>
      <c r="L415" s="7">
        <f>IF(OR(D415="",N(J415)=0),"",MIN(1,N(K415)/J415))</f>
        <v/>
      </c>
      <c r="M415" s="5" t="n"/>
      <c r="N415" s="5" t="n"/>
      <c r="O415" s="5" t="n"/>
      <c r="P415" s="5" t="n"/>
      <c r="Q415" s="5" t="n"/>
      <c r="R415" s="4" t="n"/>
      <c r="S415" s="4" t="n"/>
      <c r="T415" s="5" t="n"/>
      <c r="U415" s="8">
        <f>IF(AND(V415=1,D415&lt;&gt;""),IF(D415&gt;=corte,TODAY()-D415,""),"")</f>
        <v/>
      </c>
      <c r="V415" s="8">
        <f>IF(D415="",0,IF(OR(AND(P415&lt;&gt;"",S415=""),AND(N(J415)&gt;0,N(K415)&lt;J415),OR(M415="PENDENTE",M415="PARCIAL"),OR(N415="PENDENTE",N415="PARCIAL")),1,0))</f>
        <v/>
      </c>
      <c r="W415" s="8">
        <f>IF(AND(V415=1,D415&lt;&gt;""),IF(D415&gt;=corte,(B415="CRÍTICO")*1E9+(100000-D415)*10000+10000-ROW(),""),"")</f>
        <v/>
      </c>
      <c r="X415" s="8">
        <f>IF(AND(V415=1,D415=pas_data,E415=pas_turno),10000-ROW(),"")</f>
        <v/>
      </c>
    </row>
    <row r="416">
      <c r="A416" s="3">
        <f>IF(D416="","","TT-"&amp;TEXT(ROW()-1,"00000"))</f>
        <v/>
      </c>
      <c r="B416" s="3">
        <f>IF(D416="","",IF(V416=0,"CONCLUÍDO",IF(D416&lt;corte,"HISTÓRICO",IF(OR(AND(ISNUMBER(R416),R416&lt;TODAY()),AND(OR(N416="PENDENTE",N416="PARCIAL"),D416&lt;TODAY()-1)),"CRÍTICO",IF(OR(AND(P416&lt;&gt;"",S416=""),AND(N416="REALIZADO",M416="PENDENTE"),AND(ISNUMBER(R416),R416=TODAY())),"ATENÇÃO",IF(N(K416)=0,"PENDENTE","EM ANDAMENTO"))))))</f>
        <v/>
      </c>
      <c r="C416" s="3">
        <f>IF(D416="","",IF(V416=0,"🟢 OK",IF(D416&lt;corte,"⚪ HISTÓRICO (sem baixa)",IF(AND(ISNUMBER(R416),R416&lt;TODAY()),"🔴 PRAZO VENCIDO",IF(AND(OR(N416="PENDENTE",N416="PARCIAL"),D416&lt;TODAY()-1),"🔴 EMBARQUE ATRASADO",IF(AND(N416="REALIZADO",M416="PENDENTE"),"🟡 EMBARCADO SEM FATURAR",IF(AND(P416&lt;&gt;"",S416="",OR(Q416="",R416="")),"🟡 PENDÊNCIA SEM RESPONSÁVEL/PRAZO",IF(AND(ISNUMBER(R416),R416=TODAY()),"🟡 VENCE HOJE",IF(AND(P416&lt;&gt;"",S416=""),"🟡 PENDÊNCIA ABERTA",IF(AND(N(J416)&gt;0,N(K416)&lt;J416),"🟡 FALTA EXECUTAR",IF(OR(M416="PENDENTE",M416="PARCIAL"),"🟡 FATURAMENTO PENDENTE","🟡 EMBARQUE PENDENTE")))))))))))</f>
        <v/>
      </c>
      <c r="D416" s="4" t="n">
        <v>46252</v>
      </c>
      <c r="E416" s="5" t="inlineStr">
        <is>
          <t>A</t>
        </is>
      </c>
      <c r="F416" s="5" t="inlineStr">
        <is>
          <t>TATIANE</t>
        </is>
      </c>
      <c r="G416" s="5" t="inlineStr">
        <is>
          <t>FOB</t>
        </is>
      </c>
      <c r="H416" s="5" t="inlineStr">
        <is>
          <t>FOB</t>
        </is>
      </c>
      <c r="I416" s="5" t="inlineStr">
        <is>
          <t>TON</t>
        </is>
      </c>
      <c r="J416" s="6" t="n">
        <v>13.542</v>
      </c>
      <c r="K416" s="6" t="n">
        <v>13.542</v>
      </c>
      <c r="L416" s="7">
        <f>IF(OR(D416="",N(J416)=0),"",MIN(1,N(K416)/J416))</f>
        <v/>
      </c>
      <c r="M416" s="5" t="inlineStr">
        <is>
          <t>FATURADO</t>
        </is>
      </c>
      <c r="N416" s="5" t="inlineStr">
        <is>
          <t>PENDENTE</t>
        </is>
      </c>
      <c r="O416" s="5" t="inlineStr">
        <is>
          <t>PRÓPRIO</t>
        </is>
      </c>
      <c r="P416" s="5" t="inlineStr">
        <is>
          <t>MOTORISTA NA DOCA</t>
        </is>
      </c>
      <c r="Q416" s="5" t="n"/>
      <c r="R416" s="4" t="n"/>
      <c r="S416" s="4" t="n"/>
      <c r="T416" s="5" t="inlineStr">
        <is>
          <t>MOTORISTA NA DOCA</t>
        </is>
      </c>
      <c r="U416" s="8">
        <f>IF(AND(V416=1,D416&lt;&gt;""),IF(D416&gt;=corte,TODAY()-D416,""),"")</f>
        <v/>
      </c>
      <c r="V416" s="8">
        <f>IF(D416="",0,IF(OR(AND(P416&lt;&gt;"",S416=""),AND(N(J416)&gt;0,N(K416)&lt;J416),OR(M416="PENDENTE",M416="PARCIAL"),OR(N416="PENDENTE",N416="PARCIAL")),1,0))</f>
        <v/>
      </c>
      <c r="W416" s="8">
        <f>IF(AND(V416=1,D416&lt;&gt;""),IF(D416&gt;=corte,(B416="CRÍTICO")*1E9+(100000-D416)*10000+10000-ROW(),""),"")</f>
        <v/>
      </c>
      <c r="X416" s="8">
        <f>IF(AND(V416=1,D416=pas_data,E416=pas_turno),10000-ROW(),"")</f>
        <v/>
      </c>
    </row>
    <row r="417">
      <c r="A417" s="3">
        <f>IF(D417="","","TT-"&amp;TEXT(ROW()-1,"00000"))</f>
        <v/>
      </c>
      <c r="B417" s="3">
        <f>IF(D417="","",IF(V417=0,"CONCLUÍDO",IF(D417&lt;corte,"HISTÓRICO",IF(OR(AND(ISNUMBER(R417),R417&lt;TODAY()),AND(OR(N417="PENDENTE",N417="PARCIAL"),D417&lt;TODAY()-1)),"CRÍTICO",IF(OR(AND(P417&lt;&gt;"",S417=""),AND(N417="REALIZADO",M417="PENDENTE"),AND(ISNUMBER(R417),R417=TODAY())),"ATENÇÃO",IF(N(K417)=0,"PENDENTE","EM ANDAMENTO"))))))</f>
        <v/>
      </c>
      <c r="C417" s="3">
        <f>IF(D417="","",IF(V417=0,"🟢 OK",IF(D417&lt;corte,"⚪ HISTÓRICO (sem baixa)",IF(AND(ISNUMBER(R417),R417&lt;TODAY()),"🔴 PRAZO VENCIDO",IF(AND(OR(N417="PENDENTE",N417="PARCIAL"),D417&lt;TODAY()-1),"🔴 EMBARQUE ATRASADO",IF(AND(N417="REALIZADO",M417="PENDENTE"),"🟡 EMBARCADO SEM FATURAR",IF(AND(P417&lt;&gt;"",S417="",OR(Q417="",R417="")),"🟡 PENDÊNCIA SEM RESPONSÁVEL/PRAZO",IF(AND(ISNUMBER(R417),R417=TODAY()),"🟡 VENCE HOJE",IF(AND(P417&lt;&gt;"",S417=""),"🟡 PENDÊNCIA ABERTA",IF(AND(N(J417)&gt;0,N(K417)&lt;J417),"🟡 FALTA EXECUTAR",IF(OR(M417="PENDENTE",M417="PARCIAL"),"🟡 FATURAMENTO PENDENTE","🟡 EMBARQUE PENDENTE")))))))))))</f>
        <v/>
      </c>
      <c r="D417" s="4" t="n">
        <v>46252</v>
      </c>
      <c r="E417" s="5" t="inlineStr">
        <is>
          <t>A</t>
        </is>
      </c>
      <c r="F417" s="5" t="inlineStr">
        <is>
          <t>TATIANE</t>
        </is>
      </c>
      <c r="G417" s="5" t="inlineStr">
        <is>
          <t>GM</t>
        </is>
      </c>
      <c r="H417" s="5" t="inlineStr">
        <is>
          <t>GM</t>
        </is>
      </c>
      <c r="I417" s="5" t="inlineStr">
        <is>
          <t>TON</t>
        </is>
      </c>
      <c r="J417" s="6" t="n">
        <v>29.216</v>
      </c>
      <c r="K417" s="6" t="n"/>
      <c r="L417" s="7">
        <f>IF(OR(D417="",N(J417)=0),"",MIN(1,N(K417)/J417))</f>
        <v/>
      </c>
      <c r="M417" s="5" t="n"/>
      <c r="N417" s="5" t="n"/>
      <c r="O417" s="5" t="n"/>
      <c r="P417" s="5" t="n"/>
      <c r="Q417" s="5" t="n"/>
      <c r="R417" s="4" t="n"/>
      <c r="S417" s="4" t="n"/>
      <c r="T417" s="5" t="n"/>
      <c r="U417" s="8">
        <f>IF(AND(V417=1,D417&lt;&gt;""),IF(D417&gt;=corte,TODAY()-D417,""),"")</f>
        <v/>
      </c>
      <c r="V417" s="8">
        <f>IF(D417="",0,IF(OR(AND(P417&lt;&gt;"",S417=""),AND(N(J417)&gt;0,N(K417)&lt;J417),OR(M417="PENDENTE",M417="PARCIAL"),OR(N417="PENDENTE",N417="PARCIAL")),1,0))</f>
        <v/>
      </c>
      <c r="W417" s="8">
        <f>IF(AND(V417=1,D417&lt;&gt;""),IF(D417&gt;=corte,(B417="CRÍTICO")*1E9+(100000-D417)*10000+10000-ROW(),""),"")</f>
        <v/>
      </c>
      <c r="X417" s="8">
        <f>IF(AND(V417=1,D417=pas_data,E417=pas_turno),10000-ROW(),"")</f>
        <v/>
      </c>
    </row>
    <row r="418">
      <c r="A418" s="3">
        <f>IF(D418="","","TT-"&amp;TEXT(ROW()-1,"00000"))</f>
        <v/>
      </c>
      <c r="B418" s="3">
        <f>IF(D418="","",IF(V418=0,"CONCLUÍDO",IF(D418&lt;corte,"HISTÓRICO",IF(OR(AND(ISNUMBER(R418),R418&lt;TODAY()),AND(OR(N418="PENDENTE",N418="PARCIAL"),D418&lt;TODAY()-1)),"CRÍTICO",IF(OR(AND(P418&lt;&gt;"",S418=""),AND(N418="REALIZADO",M418="PENDENTE"),AND(ISNUMBER(R418),R418=TODAY())),"ATENÇÃO",IF(N(K418)=0,"PENDENTE","EM ANDAMENTO"))))))</f>
        <v/>
      </c>
      <c r="C418" s="3">
        <f>IF(D418="","",IF(V418=0,"🟢 OK",IF(D418&lt;corte,"⚪ HISTÓRICO (sem baixa)",IF(AND(ISNUMBER(R418),R418&lt;TODAY()),"🔴 PRAZO VENCIDO",IF(AND(OR(N418="PENDENTE",N418="PARCIAL"),D418&lt;TODAY()-1),"🔴 EMBARQUE ATRASADO",IF(AND(N418="REALIZADO",M418="PENDENTE"),"🟡 EMBARCADO SEM FATURAR",IF(AND(P418&lt;&gt;"",S418="",OR(Q418="",R418="")),"🟡 PENDÊNCIA SEM RESPONSÁVEL/PRAZO",IF(AND(ISNUMBER(R418),R418=TODAY()),"🟡 VENCE HOJE",IF(AND(P418&lt;&gt;"",S418=""),"🟡 PENDÊNCIA ABERTA",IF(AND(N(J418)&gt;0,N(K418)&lt;J418),"🟡 FALTA EXECUTAR",IF(OR(M418="PENDENTE",M418="PARCIAL"),"🟡 FATURAMENTO PENDENTE","🟡 EMBARQUE PENDENTE")))))))))))</f>
        <v/>
      </c>
      <c r="D418" s="4" t="n">
        <v>46252</v>
      </c>
      <c r="E418" s="5" t="inlineStr">
        <is>
          <t>A</t>
        </is>
      </c>
      <c r="F418" s="5" t="inlineStr">
        <is>
          <t>TATIANE</t>
        </is>
      </c>
      <c r="G418" s="5" t="inlineStr">
        <is>
          <t>GM</t>
        </is>
      </c>
      <c r="H418" s="5" t="inlineStr">
        <is>
          <t>GM</t>
        </is>
      </c>
      <c r="I418" s="5" t="inlineStr">
        <is>
          <t>TON</t>
        </is>
      </c>
      <c r="J418" s="6" t="n">
        <v>13.601</v>
      </c>
      <c r="K418" s="6" t="n">
        <v>13.009</v>
      </c>
      <c r="L418" s="7">
        <f>IF(OR(D418="",N(J418)=0),"",MIN(1,N(K418)/J418))</f>
        <v/>
      </c>
      <c r="M418" s="5" t="inlineStr">
        <is>
          <t>FATURADO</t>
        </is>
      </c>
      <c r="N418" s="5" t="inlineStr">
        <is>
          <t>PENDENTE</t>
        </is>
      </c>
      <c r="O418" s="5" t="inlineStr">
        <is>
          <t>BORA</t>
        </is>
      </c>
      <c r="P418" s="5" t="n"/>
      <c r="Q418" s="5" t="n"/>
      <c r="R418" s="4" t="n"/>
      <c r="S418" s="4" t="n"/>
      <c r="T418" s="5" t="n"/>
      <c r="U418" s="8">
        <f>IF(AND(V418=1,D418&lt;&gt;""),IF(D418&gt;=corte,TODAY()-D418,""),"")</f>
        <v/>
      </c>
      <c r="V418" s="8">
        <f>IF(D418="",0,IF(OR(AND(P418&lt;&gt;"",S418=""),AND(N(J418)&gt;0,N(K418)&lt;J418),OR(M418="PENDENTE",M418="PARCIAL"),OR(N418="PENDENTE",N418="PARCIAL")),1,0))</f>
        <v/>
      </c>
      <c r="W418" s="8">
        <f>IF(AND(V418=1,D418&lt;&gt;""),IF(D418&gt;=corte,(B418="CRÍTICO")*1E9+(100000-D418)*10000+10000-ROW(),""),"")</f>
        <v/>
      </c>
      <c r="X418" s="8">
        <f>IF(AND(V418=1,D418=pas_data,E418=pas_turno),10000-ROW(),"")</f>
        <v/>
      </c>
    </row>
    <row r="419">
      <c r="A419" s="3">
        <f>IF(D419="","","TT-"&amp;TEXT(ROW()-1,"00000"))</f>
        <v/>
      </c>
      <c r="B419" s="3">
        <f>IF(D419="","",IF(V419=0,"CONCLUÍDO",IF(D419&lt;corte,"HISTÓRICO",IF(OR(AND(ISNUMBER(R419),R419&lt;TODAY()),AND(OR(N419="PENDENTE",N419="PARCIAL"),D419&lt;TODAY()-1)),"CRÍTICO",IF(OR(AND(P419&lt;&gt;"",S419=""),AND(N419="REALIZADO",M419="PENDENTE"),AND(ISNUMBER(R419),R419=TODAY())),"ATENÇÃO",IF(N(K419)=0,"PENDENTE","EM ANDAMENTO"))))))</f>
        <v/>
      </c>
      <c r="C419" s="3">
        <f>IF(D419="","",IF(V419=0,"🟢 OK",IF(D419&lt;corte,"⚪ HISTÓRICO (sem baixa)",IF(AND(ISNUMBER(R419),R419&lt;TODAY()),"🔴 PRAZO VENCIDO",IF(AND(OR(N419="PENDENTE",N419="PARCIAL"),D419&lt;TODAY()-1),"🔴 EMBARQUE ATRASADO",IF(AND(N419="REALIZADO",M419="PENDENTE"),"🟡 EMBARCADO SEM FATURAR",IF(AND(P419&lt;&gt;"",S419="",OR(Q419="",R419="")),"🟡 PENDÊNCIA SEM RESPONSÁVEL/PRAZO",IF(AND(ISNUMBER(R419),R419=TODAY()),"🟡 VENCE HOJE",IF(AND(P419&lt;&gt;"",S419=""),"🟡 PENDÊNCIA ABERTA",IF(AND(N(J419)&gt;0,N(K419)&lt;J419),"🟡 FALTA EXECUTAR",IF(OR(M419="PENDENTE",M419="PARCIAL"),"🟡 FATURAMENTO PENDENTE","🟡 EMBARQUE PENDENTE")))))))))))</f>
        <v/>
      </c>
      <c r="D419" s="4" t="n">
        <v>46252</v>
      </c>
      <c r="E419" s="5" t="inlineStr">
        <is>
          <t>A</t>
        </is>
      </c>
      <c r="F419" s="5" t="inlineStr">
        <is>
          <t>TATIANE</t>
        </is>
      </c>
      <c r="G419" s="5" t="inlineStr">
        <is>
          <t>FOB</t>
        </is>
      </c>
      <c r="H419" s="5" t="inlineStr">
        <is>
          <t>FOB</t>
        </is>
      </c>
      <c r="I419" s="5" t="inlineStr">
        <is>
          <t>TON</t>
        </is>
      </c>
      <c r="J419" s="6" t="n">
        <v>17.977</v>
      </c>
      <c r="K419" s="6" t="n">
        <v>17.978</v>
      </c>
      <c r="L419" s="7">
        <f>IF(OR(D419="",N(J419)=0),"",MIN(1,N(K419)/J419))</f>
        <v/>
      </c>
      <c r="M419" s="5" t="n"/>
      <c r="N419" s="5" t="n"/>
      <c r="O419" s="5" t="n"/>
      <c r="P419" s="5" t="n"/>
      <c r="Q419" s="5" t="n"/>
      <c r="R419" s="4" t="n"/>
      <c r="S419" s="4" t="n"/>
      <c r="T419" s="5" t="n"/>
      <c r="U419" s="8">
        <f>IF(AND(V419=1,D419&lt;&gt;""),IF(D419&gt;=corte,TODAY()-D419,""),"")</f>
        <v/>
      </c>
      <c r="V419" s="8">
        <f>IF(D419="",0,IF(OR(AND(P419&lt;&gt;"",S419=""),AND(N(J419)&gt;0,N(K419)&lt;J419),OR(M419="PENDENTE",M419="PARCIAL"),OR(N419="PENDENTE",N419="PARCIAL")),1,0))</f>
        <v/>
      </c>
      <c r="W419" s="8">
        <f>IF(AND(V419=1,D419&lt;&gt;""),IF(D419&gt;=corte,(B419="CRÍTICO")*1E9+(100000-D419)*10000+10000-ROW(),""),"")</f>
        <v/>
      </c>
      <c r="X419" s="8">
        <f>IF(AND(V419=1,D419=pas_data,E419=pas_turno),10000-ROW(),"")</f>
        <v/>
      </c>
    </row>
    <row r="420">
      <c r="A420" s="3">
        <f>IF(D420="","","TT-"&amp;TEXT(ROW()-1,"00000"))</f>
        <v/>
      </c>
      <c r="B420" s="3">
        <f>IF(D420="","",IF(V420=0,"CONCLUÍDO",IF(D420&lt;corte,"HISTÓRICO",IF(OR(AND(ISNUMBER(R420),R420&lt;TODAY()),AND(OR(N420="PENDENTE",N420="PARCIAL"),D420&lt;TODAY()-1)),"CRÍTICO",IF(OR(AND(P420&lt;&gt;"",S420=""),AND(N420="REALIZADO",M420="PENDENTE"),AND(ISNUMBER(R420),R420=TODAY())),"ATENÇÃO",IF(N(K420)=0,"PENDENTE","EM ANDAMENTO"))))))</f>
        <v/>
      </c>
      <c r="C420" s="3">
        <f>IF(D420="","",IF(V420=0,"🟢 OK",IF(D420&lt;corte,"⚪ HISTÓRICO (sem baixa)",IF(AND(ISNUMBER(R420),R420&lt;TODAY()),"🔴 PRAZO VENCIDO",IF(AND(OR(N420="PENDENTE",N420="PARCIAL"),D420&lt;TODAY()-1),"🔴 EMBARQUE ATRASADO",IF(AND(N420="REALIZADO",M420="PENDENTE"),"🟡 EMBARCADO SEM FATURAR",IF(AND(P420&lt;&gt;"",S420="",OR(Q420="",R420="")),"🟡 PENDÊNCIA SEM RESPONSÁVEL/PRAZO",IF(AND(ISNUMBER(R420),R420=TODAY()),"🟡 VENCE HOJE",IF(AND(P420&lt;&gt;"",S420=""),"🟡 PENDÊNCIA ABERTA",IF(AND(N(J420)&gt;0,N(K420)&lt;J420),"🟡 FALTA EXECUTAR",IF(OR(M420="PENDENTE",M420="PARCIAL"),"🟡 FATURAMENTO PENDENTE","🟡 EMBARQUE PENDENTE")))))))))))</f>
        <v/>
      </c>
      <c r="D420" s="4" t="n">
        <v>46252</v>
      </c>
      <c r="E420" s="5" t="inlineStr">
        <is>
          <t>A</t>
        </is>
      </c>
      <c r="F420" s="5" t="inlineStr">
        <is>
          <t>TATIANE</t>
        </is>
      </c>
      <c r="G420" s="5" t="inlineStr">
        <is>
          <t>GRANEL</t>
        </is>
      </c>
      <c r="H420" s="5" t="inlineStr">
        <is>
          <t>GRANEL</t>
        </is>
      </c>
      <c r="I420" s="5" t="inlineStr">
        <is>
          <t>TON</t>
        </is>
      </c>
      <c r="J420" s="6" t="n">
        <v>27.21</v>
      </c>
      <c r="K420" s="6" t="n">
        <v>27.21</v>
      </c>
      <c r="L420" s="7">
        <f>IF(OR(D420="",N(J420)=0),"",MIN(1,N(K420)/J420))</f>
        <v/>
      </c>
      <c r="M420" s="5" t="inlineStr">
        <is>
          <t>FATURADO</t>
        </is>
      </c>
      <c r="N420" s="5" t="inlineStr">
        <is>
          <t>REALIZADO</t>
        </is>
      </c>
      <c r="O420" s="5" t="inlineStr">
        <is>
          <t>JSL</t>
        </is>
      </c>
      <c r="P420" s="5" t="n"/>
      <c r="Q420" s="5" t="n"/>
      <c r="R420" s="4" t="n"/>
      <c r="S420" s="4" t="n"/>
      <c r="T420" s="5" t="n"/>
      <c r="U420" s="8">
        <f>IF(AND(V420=1,D420&lt;&gt;""),IF(D420&gt;=corte,TODAY()-D420,""),"")</f>
        <v/>
      </c>
      <c r="V420" s="8">
        <f>IF(D420="",0,IF(OR(AND(P420&lt;&gt;"",S420=""),AND(N(J420)&gt;0,N(K420)&lt;J420),OR(M420="PENDENTE",M420="PARCIAL"),OR(N420="PENDENTE",N420="PARCIAL")),1,0))</f>
        <v/>
      </c>
      <c r="W420" s="8">
        <f>IF(AND(V420=1,D420&lt;&gt;""),IF(D420&gt;=corte,(B420="CRÍTICO")*1E9+(100000-D420)*10000+10000-ROW(),""),"")</f>
        <v/>
      </c>
      <c r="X420" s="8">
        <f>IF(AND(V420=1,D420=pas_data,E420=pas_turno),10000-ROW(),"")</f>
        <v/>
      </c>
    </row>
    <row r="421">
      <c r="A421" s="3">
        <f>IF(D421="","","TT-"&amp;TEXT(ROW()-1,"00000"))</f>
        <v/>
      </c>
      <c r="B421" s="3">
        <f>IF(D421="","",IF(V421=0,"CONCLUÍDO",IF(D421&lt;corte,"HISTÓRICO",IF(OR(AND(ISNUMBER(R421),R421&lt;TODAY()),AND(OR(N421="PENDENTE",N421="PARCIAL"),D421&lt;TODAY()-1)),"CRÍTICO",IF(OR(AND(P421&lt;&gt;"",S421=""),AND(N421="REALIZADO",M421="PENDENTE"),AND(ISNUMBER(R421),R421=TODAY())),"ATENÇÃO",IF(N(K421)=0,"PENDENTE","EM ANDAMENTO"))))))</f>
        <v/>
      </c>
      <c r="C421" s="3">
        <f>IF(D421="","",IF(V421=0,"🟢 OK",IF(D421&lt;corte,"⚪ HISTÓRICO (sem baixa)",IF(AND(ISNUMBER(R421),R421&lt;TODAY()),"🔴 PRAZO VENCIDO",IF(AND(OR(N421="PENDENTE",N421="PARCIAL"),D421&lt;TODAY()-1),"🔴 EMBARQUE ATRASADO",IF(AND(N421="REALIZADO",M421="PENDENTE"),"🟡 EMBARCADO SEM FATURAR",IF(AND(P421&lt;&gt;"",S421="",OR(Q421="",R421="")),"🟡 PENDÊNCIA SEM RESPONSÁVEL/PRAZO",IF(AND(ISNUMBER(R421),R421=TODAY()),"🟡 VENCE HOJE",IF(AND(P421&lt;&gt;"",S421=""),"🟡 PENDÊNCIA ABERTA",IF(AND(N(J421)&gt;0,N(K421)&lt;J421),"🟡 FALTA EXECUTAR",IF(OR(M421="PENDENTE",M421="PARCIAL"),"🟡 FATURAMENTO PENDENTE","🟡 EMBARQUE PENDENTE")))))))))))</f>
        <v/>
      </c>
      <c r="D421" s="4" t="n">
        <v>46252</v>
      </c>
      <c r="E421" s="5" t="inlineStr">
        <is>
          <t>A</t>
        </is>
      </c>
      <c r="F421" s="5" t="inlineStr">
        <is>
          <t>TATIANE</t>
        </is>
      </c>
      <c r="G421" s="5" t="inlineStr">
        <is>
          <t>ABASTECIMENTO</t>
        </is>
      </c>
      <c r="H421" s="5" t="n"/>
      <c r="I421" s="5" t="inlineStr">
        <is>
          <t>PALETE</t>
        </is>
      </c>
      <c r="J421" s="6" t="n">
        <v>13</v>
      </c>
      <c r="K421" s="6" t="n">
        <v>13</v>
      </c>
      <c r="L421" s="7">
        <f>IF(OR(D421="",N(J421)=0),"",MIN(1,N(K421)/J421))</f>
        <v/>
      </c>
      <c r="M421" s="5" t="n"/>
      <c r="N421" s="5" t="n"/>
      <c r="O421" s="5" t="n"/>
      <c r="P421" s="5" t="n"/>
      <c r="Q421" s="5" t="n"/>
      <c r="R421" s="4" t="n"/>
      <c r="S421" s="4" t="n"/>
      <c r="T421" s="5" t="n"/>
      <c r="U421" s="8">
        <f>IF(AND(V421=1,D421&lt;&gt;""),IF(D421&gt;=corte,TODAY()-D421,""),"")</f>
        <v/>
      </c>
      <c r="V421" s="8">
        <f>IF(D421="",0,IF(OR(AND(P421&lt;&gt;"",S421=""),AND(N(J421)&gt;0,N(K421)&lt;J421),OR(M421="PENDENTE",M421="PARCIAL"),OR(N421="PENDENTE",N421="PARCIAL")),1,0))</f>
        <v/>
      </c>
      <c r="W421" s="8">
        <f>IF(AND(V421=1,D421&lt;&gt;""),IF(D421&gt;=corte,(B421="CRÍTICO")*1E9+(100000-D421)*10000+10000-ROW(),""),"")</f>
        <v/>
      </c>
      <c r="X421" s="8">
        <f>IF(AND(V421=1,D421=pas_data,E421=pas_turno),10000-ROW(),"")</f>
        <v/>
      </c>
    </row>
    <row r="422">
      <c r="A422" s="3">
        <f>IF(D422="","","TT-"&amp;TEXT(ROW()-1,"00000"))</f>
        <v/>
      </c>
      <c r="B422" s="3">
        <f>IF(D422="","",IF(V422=0,"CONCLUÍDO",IF(D422&lt;corte,"HISTÓRICO",IF(OR(AND(ISNUMBER(R422),R422&lt;TODAY()),AND(OR(N422="PENDENTE",N422="PARCIAL"),D422&lt;TODAY()-1)),"CRÍTICO",IF(OR(AND(P422&lt;&gt;"",S422=""),AND(N422="REALIZADO",M422="PENDENTE"),AND(ISNUMBER(R422),R422=TODAY())),"ATENÇÃO",IF(N(K422)=0,"PENDENTE","EM ANDAMENTO"))))))</f>
        <v/>
      </c>
      <c r="C422" s="3">
        <f>IF(D422="","",IF(V422=0,"🟢 OK",IF(D422&lt;corte,"⚪ HISTÓRICO (sem baixa)",IF(AND(ISNUMBER(R422),R422&lt;TODAY()),"🔴 PRAZO VENCIDO",IF(AND(OR(N422="PENDENTE",N422="PARCIAL"),D422&lt;TODAY()-1),"🔴 EMBARQUE ATRASADO",IF(AND(N422="REALIZADO",M422="PENDENTE"),"🟡 EMBARCADO SEM FATURAR",IF(AND(P422&lt;&gt;"",S422="",OR(Q422="",R422="")),"🟡 PENDÊNCIA SEM RESPONSÁVEL/PRAZO",IF(AND(ISNUMBER(R422),R422=TODAY()),"🟡 VENCE HOJE",IF(AND(P422&lt;&gt;"",S422=""),"🟡 PENDÊNCIA ABERTA",IF(AND(N(J422)&gt;0,N(K422)&lt;J422),"🟡 FALTA EXECUTAR",IF(OR(M422="PENDENTE",M422="PARCIAL"),"🟡 FATURAMENTO PENDENTE","🟡 EMBARQUE PENDENTE")))))))))))</f>
        <v/>
      </c>
      <c r="D422" s="4" t="n">
        <v>46252</v>
      </c>
      <c r="E422" s="5" t="inlineStr">
        <is>
          <t>A</t>
        </is>
      </c>
      <c r="F422" s="5" t="inlineStr">
        <is>
          <t>TATIANE</t>
        </is>
      </c>
      <c r="G422" s="5" t="inlineStr">
        <is>
          <t>FLOOR</t>
        </is>
      </c>
      <c r="H422" s="5" t="inlineStr">
        <is>
          <t>FLOOR/CACAU</t>
        </is>
      </c>
      <c r="I422" s="5" t="inlineStr">
        <is>
          <t>PALETE</t>
        </is>
      </c>
      <c r="J422" s="6" t="n">
        <v>120</v>
      </c>
      <c r="K422" s="6" t="n">
        <v>110</v>
      </c>
      <c r="L422" s="7">
        <f>IF(OR(D422="",N(J422)=0),"",MIN(1,N(K422)/J422))</f>
        <v/>
      </c>
      <c r="M422" s="5" t="n"/>
      <c r="N422" s="5" t="n"/>
      <c r="O422" s="5" t="n"/>
      <c r="P422" s="5" t="n"/>
      <c r="Q422" s="5" t="n"/>
      <c r="R422" s="4" t="n"/>
      <c r="S422" s="4" t="n"/>
      <c r="T422" s="5" t="inlineStr">
        <is>
          <t>[MIGRAÇÃO: programação original: FLOOR / CACAU]</t>
        </is>
      </c>
      <c r="U422" s="8">
        <f>IF(AND(V422=1,D422&lt;&gt;""),IF(D422&gt;=corte,TODAY()-D422,""),"")</f>
        <v/>
      </c>
      <c r="V422" s="8">
        <f>IF(D422="",0,IF(OR(AND(P422&lt;&gt;"",S422=""),AND(N(J422)&gt;0,N(K422)&lt;J422),OR(M422="PENDENTE",M422="PARCIAL"),OR(N422="PENDENTE",N422="PARCIAL")),1,0))</f>
        <v/>
      </c>
      <c r="W422" s="8">
        <f>IF(AND(V422=1,D422&lt;&gt;""),IF(D422&gt;=corte,(B422="CRÍTICO")*1E9+(100000-D422)*10000+10000-ROW(),""),"")</f>
        <v/>
      </c>
      <c r="X422" s="8">
        <f>IF(AND(V422=1,D422=pas_data,E422=pas_turno),10000-ROW(),"")</f>
        <v/>
      </c>
    </row>
    <row r="423">
      <c r="A423" s="3">
        <f>IF(D423="","","TT-"&amp;TEXT(ROW()-1,"00000"))</f>
        <v/>
      </c>
      <c r="B423" s="3">
        <f>IF(D423="","",IF(V423=0,"CONCLUÍDO",IF(D423&lt;corte,"HISTÓRICO",IF(OR(AND(ISNUMBER(R423),R423&lt;TODAY()),AND(OR(N423="PENDENTE",N423="PARCIAL"),D423&lt;TODAY()-1)),"CRÍTICO",IF(OR(AND(P423&lt;&gt;"",S423=""),AND(N423="REALIZADO",M423="PENDENTE"),AND(ISNUMBER(R423),R423=TODAY())),"ATENÇÃO",IF(N(K423)=0,"PENDENTE","EM ANDAMENTO"))))))</f>
        <v/>
      </c>
      <c r="C423" s="3">
        <f>IF(D423="","",IF(V423=0,"🟢 OK",IF(D423&lt;corte,"⚪ HISTÓRICO (sem baixa)",IF(AND(ISNUMBER(R423),R423&lt;TODAY()),"🔴 PRAZO VENCIDO",IF(AND(OR(N423="PENDENTE",N423="PARCIAL"),D423&lt;TODAY()-1),"🔴 EMBARQUE ATRASADO",IF(AND(N423="REALIZADO",M423="PENDENTE"),"🟡 EMBARCADO SEM FATURAR",IF(AND(P423&lt;&gt;"",S423="",OR(Q423="",R423="")),"🟡 PENDÊNCIA SEM RESPONSÁVEL/PRAZO",IF(AND(ISNUMBER(R423),R423=TODAY()),"🟡 VENCE HOJE",IF(AND(P423&lt;&gt;"",S423=""),"🟡 PENDÊNCIA ABERTA",IF(AND(N(J423)&gt;0,N(K423)&lt;J423),"🟡 FALTA EXECUTAR",IF(OR(M423="PENDENTE",M423="PARCIAL"),"🟡 FATURAMENTO PENDENTE","🟡 EMBARQUE PENDENTE")))))))))))</f>
        <v/>
      </c>
      <c r="D423" s="4" t="n">
        <v>46252</v>
      </c>
      <c r="E423" s="5" t="inlineStr">
        <is>
          <t>B</t>
        </is>
      </c>
      <c r="F423" s="5" t="inlineStr">
        <is>
          <t>THIAGO</t>
        </is>
      </c>
      <c r="G423" s="5" t="inlineStr">
        <is>
          <t>FM</t>
        </is>
      </c>
      <c r="H423" s="5" t="inlineStr">
        <is>
          <t>PANDURATA</t>
        </is>
      </c>
      <c r="I423" s="5" t="inlineStr">
        <is>
          <t>TON</t>
        </is>
      </c>
      <c r="J423" s="6" t="n">
        <v>28.054</v>
      </c>
      <c r="K423" s="6" t="n">
        <v>28.054</v>
      </c>
      <c r="L423" s="7">
        <f>IF(OR(D423="",N(J423)=0),"",MIN(1,N(K423)/J423))</f>
        <v/>
      </c>
      <c r="M423" s="5" t="n"/>
      <c r="N423" s="5" t="n"/>
      <c r="O423" s="5" t="n"/>
      <c r="P423" s="5" t="n"/>
      <c r="Q423" s="5" t="n"/>
      <c r="R423" s="4" t="n"/>
      <c r="S423" s="4" t="n"/>
      <c r="T423" s="5" t="n"/>
      <c r="U423" s="8">
        <f>IF(AND(V423=1,D423&lt;&gt;""),IF(D423&gt;=corte,TODAY()-D423,""),"")</f>
        <v/>
      </c>
      <c r="V423" s="8">
        <f>IF(D423="",0,IF(OR(AND(P423&lt;&gt;"",S423=""),AND(N(J423)&gt;0,N(K423)&lt;J423),OR(M423="PENDENTE",M423="PARCIAL"),OR(N423="PENDENTE",N423="PARCIAL")),1,0))</f>
        <v/>
      </c>
      <c r="W423" s="8">
        <f>IF(AND(V423=1,D423&lt;&gt;""),IF(D423&gt;=corte,(B423="CRÍTICO")*1E9+(100000-D423)*10000+10000-ROW(),""),"")</f>
        <v/>
      </c>
      <c r="X423" s="8">
        <f>IF(AND(V423=1,D423=pas_data,E423=pas_turno),10000-ROW(),"")</f>
        <v/>
      </c>
    </row>
    <row r="424">
      <c r="A424" s="3">
        <f>IF(D424="","","TT-"&amp;TEXT(ROW()-1,"00000"))</f>
        <v/>
      </c>
      <c r="B424" s="3">
        <f>IF(D424="","",IF(V424=0,"CONCLUÍDO",IF(D424&lt;corte,"HISTÓRICO",IF(OR(AND(ISNUMBER(R424),R424&lt;TODAY()),AND(OR(N424="PENDENTE",N424="PARCIAL"),D424&lt;TODAY()-1)),"CRÍTICO",IF(OR(AND(P424&lt;&gt;"",S424=""),AND(N424="REALIZADO",M424="PENDENTE"),AND(ISNUMBER(R424),R424=TODAY())),"ATENÇÃO",IF(N(K424)=0,"PENDENTE","EM ANDAMENTO"))))))</f>
        <v/>
      </c>
      <c r="C424" s="3">
        <f>IF(D424="","",IF(V424=0,"🟢 OK",IF(D424&lt;corte,"⚪ HISTÓRICO (sem baixa)",IF(AND(ISNUMBER(R424),R424&lt;TODAY()),"🔴 PRAZO VENCIDO",IF(AND(OR(N424="PENDENTE",N424="PARCIAL"),D424&lt;TODAY()-1),"🔴 EMBARQUE ATRASADO",IF(AND(N424="REALIZADO",M424="PENDENTE"),"🟡 EMBARCADO SEM FATURAR",IF(AND(P424&lt;&gt;"",S424="",OR(Q424="",R424="")),"🟡 PENDÊNCIA SEM RESPONSÁVEL/PRAZO",IF(AND(ISNUMBER(R424),R424=TODAY()),"🟡 VENCE HOJE",IF(AND(P424&lt;&gt;"",S424=""),"🟡 PENDÊNCIA ABERTA",IF(AND(N(J424)&gt;0,N(K424)&lt;J424),"🟡 FALTA EXECUTAR",IF(OR(M424="PENDENTE",M424="PARCIAL"),"🟡 FATURAMENTO PENDENTE","🟡 EMBARQUE PENDENTE")))))))))))</f>
        <v/>
      </c>
      <c r="D424" s="4" t="n">
        <v>46252</v>
      </c>
      <c r="E424" s="5" t="inlineStr">
        <is>
          <t>B</t>
        </is>
      </c>
      <c r="F424" s="5" t="inlineStr">
        <is>
          <t>THIAGO</t>
        </is>
      </c>
      <c r="G424" s="5" t="inlineStr">
        <is>
          <t>GM</t>
        </is>
      </c>
      <c r="H424" s="5" t="inlineStr">
        <is>
          <t>CO</t>
        </is>
      </c>
      <c r="I424" s="5" t="inlineStr">
        <is>
          <t>TON</t>
        </is>
      </c>
      <c r="J424" s="6" t="n">
        <v>44.48</v>
      </c>
      <c r="K424" s="6" t="n">
        <v>44.48</v>
      </c>
      <c r="L424" s="7">
        <f>IF(OR(D424="",N(J424)=0),"",MIN(1,N(K424)/J424))</f>
        <v/>
      </c>
      <c r="M424" s="5" t="n"/>
      <c r="N424" s="5" t="n"/>
      <c r="O424" s="5" t="n"/>
      <c r="P424" s="5" t="n"/>
      <c r="Q424" s="5" t="n"/>
      <c r="R424" s="4" t="n"/>
      <c r="S424" s="4" t="n"/>
      <c r="T424" s="5" t="n"/>
      <c r="U424" s="8">
        <f>IF(AND(V424=1,D424&lt;&gt;""),IF(D424&gt;=corte,TODAY()-D424,""),"")</f>
        <v/>
      </c>
      <c r="V424" s="8">
        <f>IF(D424="",0,IF(OR(AND(P424&lt;&gt;"",S424=""),AND(N(J424)&gt;0,N(K424)&lt;J424),OR(M424="PENDENTE",M424="PARCIAL"),OR(N424="PENDENTE",N424="PARCIAL")),1,0))</f>
        <v/>
      </c>
      <c r="W424" s="8">
        <f>IF(AND(V424=1,D424&lt;&gt;""),IF(D424&gt;=corte,(B424="CRÍTICO")*1E9+(100000-D424)*10000+10000-ROW(),""),"")</f>
        <v/>
      </c>
      <c r="X424" s="8">
        <f>IF(AND(V424=1,D424=pas_data,E424=pas_turno),10000-ROW(),"")</f>
        <v/>
      </c>
    </row>
    <row r="425">
      <c r="A425" s="3">
        <f>IF(D425="","","TT-"&amp;TEXT(ROW()-1,"00000"))</f>
        <v/>
      </c>
      <c r="B425" s="3">
        <f>IF(D425="","",IF(V425=0,"CONCLUÍDO",IF(D425&lt;corte,"HISTÓRICO",IF(OR(AND(ISNUMBER(R425),R425&lt;TODAY()),AND(OR(N425="PENDENTE",N425="PARCIAL"),D425&lt;TODAY()-1)),"CRÍTICO",IF(OR(AND(P425&lt;&gt;"",S425=""),AND(N425="REALIZADO",M425="PENDENTE"),AND(ISNUMBER(R425),R425=TODAY())),"ATENÇÃO",IF(N(K425)=0,"PENDENTE","EM ANDAMENTO"))))))</f>
        <v/>
      </c>
      <c r="C425" s="3">
        <f>IF(D425="","",IF(V425=0,"🟢 OK",IF(D425&lt;corte,"⚪ HISTÓRICO (sem baixa)",IF(AND(ISNUMBER(R425),R425&lt;TODAY()),"🔴 PRAZO VENCIDO",IF(AND(OR(N425="PENDENTE",N425="PARCIAL"),D425&lt;TODAY()-1),"🔴 EMBARQUE ATRASADO",IF(AND(N425="REALIZADO",M425="PENDENTE"),"🟡 EMBARCADO SEM FATURAR",IF(AND(P425&lt;&gt;"",S425="",OR(Q425="",R425="")),"🟡 PENDÊNCIA SEM RESPONSÁVEL/PRAZO",IF(AND(ISNUMBER(R425),R425=TODAY()),"🟡 VENCE HOJE",IF(AND(P425&lt;&gt;"",S425=""),"🟡 PENDÊNCIA ABERTA",IF(AND(N(J425)&gt;0,N(K425)&lt;J425),"🟡 FALTA EXECUTAR",IF(OR(M425="PENDENTE",M425="PARCIAL"),"🟡 FATURAMENTO PENDENTE","🟡 EMBARQUE PENDENTE")))))))))))</f>
        <v/>
      </c>
      <c r="D425" s="4" t="n">
        <v>46252</v>
      </c>
      <c r="E425" s="5" t="inlineStr">
        <is>
          <t>B</t>
        </is>
      </c>
      <c r="F425" s="5" t="inlineStr">
        <is>
          <t>THIAGO</t>
        </is>
      </c>
      <c r="G425" s="5" t="inlineStr">
        <is>
          <t>CACAU</t>
        </is>
      </c>
      <c r="H425" s="5" t="n"/>
      <c r="I425" s="5" t="inlineStr">
        <is>
          <t>TON</t>
        </is>
      </c>
      <c r="J425" s="6" t="n">
        <v>20.875</v>
      </c>
      <c r="K425" s="6" t="n">
        <v>20.875</v>
      </c>
      <c r="L425" s="7">
        <f>IF(OR(D425="",N(J425)=0),"",MIN(1,N(K425)/J425))</f>
        <v/>
      </c>
      <c r="M425" s="5" t="n"/>
      <c r="N425" s="5" t="n"/>
      <c r="O425" s="5" t="n"/>
      <c r="P425" s="5" t="n"/>
      <c r="Q425" s="5" t="n"/>
      <c r="R425" s="4" t="n"/>
      <c r="S425" s="4" t="n"/>
      <c r="T425" s="5" t="n"/>
      <c r="U425" s="8">
        <f>IF(AND(V425=1,D425&lt;&gt;""),IF(D425&gt;=corte,TODAY()-D425,""),"")</f>
        <v/>
      </c>
      <c r="V425" s="8">
        <f>IF(D425="",0,IF(OR(AND(P425&lt;&gt;"",S425=""),AND(N(J425)&gt;0,N(K425)&lt;J425),OR(M425="PENDENTE",M425="PARCIAL"),OR(N425="PENDENTE",N425="PARCIAL")),1,0))</f>
        <v/>
      </c>
      <c r="W425" s="8">
        <f>IF(AND(V425=1,D425&lt;&gt;""),IF(D425&gt;=corte,(B425="CRÍTICO")*1E9+(100000-D425)*10000+10000-ROW(),""),"")</f>
        <v/>
      </c>
      <c r="X425" s="8">
        <f>IF(AND(V425=1,D425=pas_data,E425=pas_turno),10000-ROW(),"")</f>
        <v/>
      </c>
    </row>
    <row r="426">
      <c r="A426" s="3">
        <f>IF(D426="","","TT-"&amp;TEXT(ROW()-1,"00000"))</f>
        <v/>
      </c>
      <c r="B426" s="3">
        <f>IF(D426="","",IF(V426=0,"CONCLUÍDO",IF(D426&lt;corte,"HISTÓRICO",IF(OR(AND(ISNUMBER(R426),R426&lt;TODAY()),AND(OR(N426="PENDENTE",N426="PARCIAL"),D426&lt;TODAY()-1)),"CRÍTICO",IF(OR(AND(P426&lt;&gt;"",S426=""),AND(N426="REALIZADO",M426="PENDENTE"),AND(ISNUMBER(R426),R426=TODAY())),"ATENÇÃO",IF(N(K426)=0,"PENDENTE","EM ANDAMENTO"))))))</f>
        <v/>
      </c>
      <c r="C426" s="3">
        <f>IF(D426="","",IF(V426=0,"🟢 OK",IF(D426&lt;corte,"⚪ HISTÓRICO (sem baixa)",IF(AND(ISNUMBER(R426),R426&lt;TODAY()),"🔴 PRAZO VENCIDO",IF(AND(OR(N426="PENDENTE",N426="PARCIAL"),D426&lt;TODAY()-1),"🔴 EMBARQUE ATRASADO",IF(AND(N426="REALIZADO",M426="PENDENTE"),"🟡 EMBARCADO SEM FATURAR",IF(AND(P426&lt;&gt;"",S426="",OR(Q426="",R426="")),"🟡 PENDÊNCIA SEM RESPONSÁVEL/PRAZO",IF(AND(ISNUMBER(R426),R426=TODAY()),"🟡 VENCE HOJE",IF(AND(P426&lt;&gt;"",S426=""),"🟡 PENDÊNCIA ABERTA",IF(AND(N(J426)&gt;0,N(K426)&lt;J426),"🟡 FALTA EXECUTAR",IF(OR(M426="PENDENTE",M426="PARCIAL"),"🟡 FATURAMENTO PENDENTE","🟡 EMBARQUE PENDENTE")))))))))))</f>
        <v/>
      </c>
      <c r="D426" s="4" t="n">
        <v>46252</v>
      </c>
      <c r="E426" s="5" t="inlineStr">
        <is>
          <t>B</t>
        </is>
      </c>
      <c r="F426" s="5" t="inlineStr">
        <is>
          <t>THIAGO</t>
        </is>
      </c>
      <c r="G426" s="5" t="inlineStr">
        <is>
          <t>FLOOR</t>
        </is>
      </c>
      <c r="H426" s="5" t="n"/>
      <c r="I426" s="5" t="inlineStr">
        <is>
          <t>PALETE</t>
        </is>
      </c>
      <c r="J426" s="6" t="n">
        <v>85</v>
      </c>
      <c r="K426" s="6" t="n">
        <v>85</v>
      </c>
      <c r="L426" s="7">
        <f>IF(OR(D426="",N(J426)=0),"",MIN(1,N(K426)/J426))</f>
        <v/>
      </c>
      <c r="M426" s="5" t="n"/>
      <c r="N426" s="5" t="n"/>
      <c r="O426" s="5" t="n"/>
      <c r="P426" s="5" t="n"/>
      <c r="Q426" s="5" t="n"/>
      <c r="R426" s="4" t="n"/>
      <c r="S426" s="4" t="n"/>
      <c r="T426" s="5" t="inlineStr">
        <is>
          <t>[MIGRAÇÃO: programação original: FLOOR / CACAU]</t>
        </is>
      </c>
      <c r="U426" s="8">
        <f>IF(AND(V426=1,D426&lt;&gt;""),IF(D426&gt;=corte,TODAY()-D426,""),"")</f>
        <v/>
      </c>
      <c r="V426" s="8">
        <f>IF(D426="",0,IF(OR(AND(P426&lt;&gt;"",S426=""),AND(N(J426)&gt;0,N(K426)&lt;J426),OR(M426="PENDENTE",M426="PARCIAL"),OR(N426="PENDENTE",N426="PARCIAL")),1,0))</f>
        <v/>
      </c>
      <c r="W426" s="8">
        <f>IF(AND(V426=1,D426&lt;&gt;""),IF(D426&gt;=corte,(B426="CRÍTICO")*1E9+(100000-D426)*10000+10000-ROW(),""),"")</f>
        <v/>
      </c>
      <c r="X426" s="8">
        <f>IF(AND(V426=1,D426=pas_data,E426=pas_turno),10000-ROW(),"")</f>
        <v/>
      </c>
    </row>
    <row r="427">
      <c r="A427" s="3">
        <f>IF(D427="","","TT-"&amp;TEXT(ROW()-1,"00000"))</f>
        <v/>
      </c>
      <c r="B427" s="3">
        <f>IF(D427="","",IF(V427=0,"CONCLUÍDO",IF(D427&lt;corte,"HISTÓRICO",IF(OR(AND(ISNUMBER(R427),R427&lt;TODAY()),AND(OR(N427="PENDENTE",N427="PARCIAL"),D427&lt;TODAY()-1)),"CRÍTICO",IF(OR(AND(P427&lt;&gt;"",S427=""),AND(N427="REALIZADO",M427="PENDENTE"),AND(ISNUMBER(R427),R427=TODAY())),"ATENÇÃO",IF(N(K427)=0,"PENDENTE","EM ANDAMENTO"))))))</f>
        <v/>
      </c>
      <c r="C427" s="3">
        <f>IF(D427="","",IF(V427=0,"🟢 OK",IF(D427&lt;corte,"⚪ HISTÓRICO (sem baixa)",IF(AND(ISNUMBER(R427),R427&lt;TODAY()),"🔴 PRAZO VENCIDO",IF(AND(OR(N427="PENDENTE",N427="PARCIAL"),D427&lt;TODAY()-1),"🔴 EMBARQUE ATRASADO",IF(AND(N427="REALIZADO",M427="PENDENTE"),"🟡 EMBARCADO SEM FATURAR",IF(AND(P427&lt;&gt;"",S427="",OR(Q427="",R427="")),"🟡 PENDÊNCIA SEM RESPONSÁVEL/PRAZO",IF(AND(ISNUMBER(R427),R427=TODAY()),"🟡 VENCE HOJE",IF(AND(P427&lt;&gt;"",S427=""),"🟡 PENDÊNCIA ABERTA",IF(AND(N(J427)&gt;0,N(K427)&lt;J427),"🟡 FALTA EXECUTAR",IF(OR(M427="PENDENTE",M427="PARCIAL"),"🟡 FATURAMENTO PENDENTE","🟡 EMBARQUE PENDENTE")))))))))))</f>
        <v/>
      </c>
      <c r="D427" s="4" t="n">
        <v>46253</v>
      </c>
      <c r="E427" s="5" t="inlineStr">
        <is>
          <t>C</t>
        </is>
      </c>
      <c r="F427" s="5" t="inlineStr">
        <is>
          <t>ADIB</t>
        </is>
      </c>
      <c r="G427" s="5" t="inlineStr">
        <is>
          <t>GM</t>
        </is>
      </c>
      <c r="H427" s="5" t="inlineStr">
        <is>
          <t>SUL PR</t>
        </is>
      </c>
      <c r="I427" s="5" t="inlineStr">
        <is>
          <t>TON</t>
        </is>
      </c>
      <c r="J427" s="6" t="n">
        <v>15.765</v>
      </c>
      <c r="K427" s="6" t="n">
        <v>15.765</v>
      </c>
      <c r="L427" s="7">
        <f>IF(OR(D427="",N(J427)=0),"",MIN(1,N(K427)/J427))</f>
        <v/>
      </c>
      <c r="M427" s="5" t="n"/>
      <c r="N427" s="5" t="inlineStr">
        <is>
          <t>PENDENTE</t>
        </is>
      </c>
      <c r="O427" s="5" t="inlineStr">
        <is>
          <t>RENOVAÇÃO</t>
        </is>
      </c>
      <c r="P427" s="5" t="n"/>
      <c r="Q427" s="5" t="n"/>
      <c r="R427" s="4" t="n"/>
      <c r="S427" s="4" t="n"/>
      <c r="T427" s="5" t="inlineStr">
        <is>
          <t>CROSS PR ( SEPARADO )</t>
        </is>
      </c>
      <c r="U427" s="8">
        <f>IF(AND(V427=1,D427&lt;&gt;""),IF(D427&gt;=corte,TODAY()-D427,""),"")</f>
        <v/>
      </c>
      <c r="V427" s="8">
        <f>IF(D427="",0,IF(OR(AND(P427&lt;&gt;"",S427=""),AND(N(J427)&gt;0,N(K427)&lt;J427),OR(M427="PENDENTE",M427="PARCIAL"),OR(N427="PENDENTE",N427="PARCIAL")),1,0))</f>
        <v/>
      </c>
      <c r="W427" s="8">
        <f>IF(AND(V427=1,D427&lt;&gt;""),IF(D427&gt;=corte,(B427="CRÍTICO")*1E9+(100000-D427)*10000+10000-ROW(),""),"")</f>
        <v/>
      </c>
      <c r="X427" s="8">
        <f>IF(AND(V427=1,D427=pas_data,E427=pas_turno),10000-ROW(),"")</f>
        <v/>
      </c>
    </row>
    <row r="428">
      <c r="A428" s="3">
        <f>IF(D428="","","TT-"&amp;TEXT(ROW()-1,"00000"))</f>
        <v/>
      </c>
      <c r="B428" s="3">
        <f>IF(D428="","",IF(V428=0,"CONCLUÍDO",IF(D428&lt;corte,"HISTÓRICO",IF(OR(AND(ISNUMBER(R428),R428&lt;TODAY()),AND(OR(N428="PENDENTE",N428="PARCIAL"),D428&lt;TODAY()-1)),"CRÍTICO",IF(OR(AND(P428&lt;&gt;"",S428=""),AND(N428="REALIZADO",M428="PENDENTE"),AND(ISNUMBER(R428),R428=TODAY())),"ATENÇÃO",IF(N(K428)=0,"PENDENTE","EM ANDAMENTO"))))))</f>
        <v/>
      </c>
      <c r="C428" s="3">
        <f>IF(D428="","",IF(V428=0,"🟢 OK",IF(D428&lt;corte,"⚪ HISTÓRICO (sem baixa)",IF(AND(ISNUMBER(R428),R428&lt;TODAY()),"🔴 PRAZO VENCIDO",IF(AND(OR(N428="PENDENTE",N428="PARCIAL"),D428&lt;TODAY()-1),"🔴 EMBARQUE ATRASADO",IF(AND(N428="REALIZADO",M428="PENDENTE"),"🟡 EMBARCADO SEM FATURAR",IF(AND(P428&lt;&gt;"",S428="",OR(Q428="",R428="")),"🟡 PENDÊNCIA SEM RESPONSÁVEL/PRAZO",IF(AND(ISNUMBER(R428),R428=TODAY()),"🟡 VENCE HOJE",IF(AND(P428&lt;&gt;"",S428=""),"🟡 PENDÊNCIA ABERTA",IF(AND(N(J428)&gt;0,N(K428)&lt;J428),"🟡 FALTA EXECUTAR",IF(OR(M428="PENDENTE",M428="PARCIAL"),"🟡 FATURAMENTO PENDENTE","🟡 EMBARQUE PENDENTE")))))))))))</f>
        <v/>
      </c>
      <c r="D428" s="4" t="n">
        <v>46253</v>
      </c>
      <c r="E428" s="5" t="inlineStr">
        <is>
          <t>C</t>
        </is>
      </c>
      <c r="F428" s="5" t="inlineStr">
        <is>
          <t>ADIB</t>
        </is>
      </c>
      <c r="G428" s="5" t="inlineStr">
        <is>
          <t>GM</t>
        </is>
      </c>
      <c r="H428" s="5" t="inlineStr">
        <is>
          <t>SUL SC</t>
        </is>
      </c>
      <c r="I428" s="5" t="inlineStr">
        <is>
          <t>TON</t>
        </is>
      </c>
      <c r="J428" s="6" t="n">
        <v>2.764</v>
      </c>
      <c r="K428" s="6" t="n">
        <v>2.764</v>
      </c>
      <c r="L428" s="7">
        <f>IF(OR(D428="",N(J428)=0),"",MIN(1,N(K428)/J428))</f>
        <v/>
      </c>
      <c r="M428" s="5" t="n"/>
      <c r="N428" s="5" t="inlineStr">
        <is>
          <t>PENDENTE</t>
        </is>
      </c>
      <c r="O428" s="5" t="inlineStr">
        <is>
          <t>RENOVAÇÃO</t>
        </is>
      </c>
      <c r="P428" s="5" t="n"/>
      <c r="Q428" s="5" t="n"/>
      <c r="R428" s="4" t="n"/>
      <c r="S428" s="4" t="n"/>
      <c r="T428" s="5" t="inlineStr">
        <is>
          <t>CROSS SC ( SEPARADO )</t>
        </is>
      </c>
      <c r="U428" s="8">
        <f>IF(AND(V428=1,D428&lt;&gt;""),IF(D428&gt;=corte,TODAY()-D428,""),"")</f>
        <v/>
      </c>
      <c r="V428" s="8">
        <f>IF(D428="",0,IF(OR(AND(P428&lt;&gt;"",S428=""),AND(N(J428)&gt;0,N(K428)&lt;J428),OR(M428="PENDENTE",M428="PARCIAL"),OR(N428="PENDENTE",N428="PARCIAL")),1,0))</f>
        <v/>
      </c>
      <c r="W428" s="8">
        <f>IF(AND(V428=1,D428&lt;&gt;""),IF(D428&gt;=corte,(B428="CRÍTICO")*1E9+(100000-D428)*10000+10000-ROW(),""),"")</f>
        <v/>
      </c>
      <c r="X428" s="8">
        <f>IF(AND(V428=1,D428=pas_data,E428=pas_turno),10000-ROW(),"")</f>
        <v/>
      </c>
    </row>
    <row r="429">
      <c r="A429" s="3">
        <f>IF(D429="","","TT-"&amp;TEXT(ROW()-1,"00000"))</f>
        <v/>
      </c>
      <c r="B429" s="3">
        <f>IF(D429="","",IF(V429=0,"CONCLUÍDO",IF(D429&lt;corte,"HISTÓRICO",IF(OR(AND(ISNUMBER(R429),R429&lt;TODAY()),AND(OR(N429="PENDENTE",N429="PARCIAL"),D429&lt;TODAY()-1)),"CRÍTICO",IF(OR(AND(P429&lt;&gt;"",S429=""),AND(N429="REALIZADO",M429="PENDENTE"),AND(ISNUMBER(R429),R429=TODAY())),"ATENÇÃO",IF(N(K429)=0,"PENDENTE","EM ANDAMENTO"))))))</f>
        <v/>
      </c>
      <c r="C429" s="3">
        <f>IF(D429="","",IF(V429=0,"🟢 OK",IF(D429&lt;corte,"⚪ HISTÓRICO (sem baixa)",IF(AND(ISNUMBER(R429),R429&lt;TODAY()),"🔴 PRAZO VENCIDO",IF(AND(OR(N429="PENDENTE",N429="PARCIAL"),D429&lt;TODAY()-1),"🔴 EMBARQUE ATRASADO",IF(AND(N429="REALIZADO",M429="PENDENTE"),"🟡 EMBARCADO SEM FATURAR",IF(AND(P429&lt;&gt;"",S429="",OR(Q429="",R429="")),"🟡 PENDÊNCIA SEM RESPONSÁVEL/PRAZO",IF(AND(ISNUMBER(R429),R429=TODAY()),"🟡 VENCE HOJE",IF(AND(P429&lt;&gt;"",S429=""),"🟡 PENDÊNCIA ABERTA",IF(AND(N(J429)&gt;0,N(K429)&lt;J429),"🟡 FALTA EXECUTAR",IF(OR(M429="PENDENTE",M429="PARCIAL"),"🟡 FATURAMENTO PENDENTE","🟡 EMBARQUE PENDENTE")))))))))))</f>
        <v/>
      </c>
      <c r="D429" s="4" t="n">
        <v>46253</v>
      </c>
      <c r="E429" s="5" t="inlineStr">
        <is>
          <t>C</t>
        </is>
      </c>
      <c r="F429" s="5" t="inlineStr">
        <is>
          <t>ADIB</t>
        </is>
      </c>
      <c r="G429" s="5" t="inlineStr">
        <is>
          <t>GM</t>
        </is>
      </c>
      <c r="H429" s="5" t="inlineStr">
        <is>
          <t>SMARTLOG DIRETAS AGING</t>
        </is>
      </c>
      <c r="I429" s="5" t="inlineStr">
        <is>
          <t>TON</t>
        </is>
      </c>
      <c r="J429" s="6" t="n">
        <v>1.633</v>
      </c>
      <c r="K429" s="6" t="n">
        <v>1.633</v>
      </c>
      <c r="L429" s="7">
        <f>IF(OR(D429="",N(J429)=0),"",MIN(1,N(K429)/J429))</f>
        <v/>
      </c>
      <c r="M429" s="5" t="inlineStr">
        <is>
          <t>FATURADO</t>
        </is>
      </c>
      <c r="N429" s="5" t="inlineStr">
        <is>
          <t>PENDENTE</t>
        </is>
      </c>
      <c r="O429" s="5" t="inlineStr">
        <is>
          <t>SMARTLOG</t>
        </is>
      </c>
      <c r="P429" s="5" t="n"/>
      <c r="Q429" s="5" t="n"/>
      <c r="R429" s="4" t="n"/>
      <c r="S429" s="4" t="n"/>
      <c r="T429" s="5" t="n"/>
      <c r="U429" s="8">
        <f>IF(AND(V429=1,D429&lt;&gt;""),IF(D429&gt;=corte,TODAY()-D429,""),"")</f>
        <v/>
      </c>
      <c r="V429" s="8">
        <f>IF(D429="",0,IF(OR(AND(P429&lt;&gt;"",S429=""),AND(N(J429)&gt;0,N(K429)&lt;J429),OR(M429="PENDENTE",M429="PARCIAL"),OR(N429="PENDENTE",N429="PARCIAL")),1,0))</f>
        <v/>
      </c>
      <c r="W429" s="8">
        <f>IF(AND(V429=1,D429&lt;&gt;""),IF(D429&gt;=corte,(B429="CRÍTICO")*1E9+(100000-D429)*10000+10000-ROW(),""),"")</f>
        <v/>
      </c>
      <c r="X429" s="8">
        <f>IF(AND(V429=1,D429=pas_data,E429=pas_turno),10000-ROW(),"")</f>
        <v/>
      </c>
    </row>
    <row r="430">
      <c r="A430" s="3">
        <f>IF(D430="","","TT-"&amp;TEXT(ROW()-1,"00000"))</f>
        <v/>
      </c>
      <c r="B430" s="3">
        <f>IF(D430="","",IF(V430=0,"CONCLUÍDO",IF(D430&lt;corte,"HISTÓRICO",IF(OR(AND(ISNUMBER(R430),R430&lt;TODAY()),AND(OR(N430="PENDENTE",N430="PARCIAL"),D430&lt;TODAY()-1)),"CRÍTICO",IF(OR(AND(P430&lt;&gt;"",S430=""),AND(N430="REALIZADO",M430="PENDENTE"),AND(ISNUMBER(R430),R430=TODAY())),"ATENÇÃO",IF(N(K430)=0,"PENDENTE","EM ANDAMENTO"))))))</f>
        <v/>
      </c>
      <c r="C430" s="3">
        <f>IF(D430="","",IF(V430=0,"🟢 OK",IF(D430&lt;corte,"⚪ HISTÓRICO (sem baixa)",IF(AND(ISNUMBER(R430),R430&lt;TODAY()),"🔴 PRAZO VENCIDO",IF(AND(OR(N430="PENDENTE",N430="PARCIAL"),D430&lt;TODAY()-1),"🔴 EMBARQUE ATRASADO",IF(AND(N430="REALIZADO",M430="PENDENTE"),"🟡 EMBARCADO SEM FATURAR",IF(AND(P430&lt;&gt;"",S430="",OR(Q430="",R430="")),"🟡 PENDÊNCIA SEM RESPONSÁVEL/PRAZO",IF(AND(ISNUMBER(R430),R430=TODAY()),"🟡 VENCE HOJE",IF(AND(P430&lt;&gt;"",S430=""),"🟡 PENDÊNCIA ABERTA",IF(AND(N(J430)&gt;0,N(K430)&lt;J430),"🟡 FALTA EXECUTAR",IF(OR(M430="PENDENTE",M430="PARCIAL"),"🟡 FATURAMENTO PENDENTE","🟡 EMBARQUE PENDENTE")))))))))))</f>
        <v/>
      </c>
      <c r="D430" s="4" t="n">
        <v>46253</v>
      </c>
      <c r="E430" s="5" t="inlineStr">
        <is>
          <t>C</t>
        </is>
      </c>
      <c r="F430" s="5" t="inlineStr">
        <is>
          <t>ADIB</t>
        </is>
      </c>
      <c r="G430" s="5" t="inlineStr">
        <is>
          <t>FOB</t>
        </is>
      </c>
      <c r="H430" s="5" t="inlineStr">
        <is>
          <t>BRUXELAS</t>
        </is>
      </c>
      <c r="I430" s="5" t="inlineStr">
        <is>
          <t>TON</t>
        </is>
      </c>
      <c r="J430" s="6" t="n">
        <v>0.525</v>
      </c>
      <c r="K430" s="6" t="n">
        <v>0.525</v>
      </c>
      <c r="L430" s="7">
        <f>IF(OR(D430="",N(J430)=0),"",MIN(1,N(K430)/J430))</f>
        <v/>
      </c>
      <c r="M430" s="5" t="inlineStr">
        <is>
          <t>FATURADO</t>
        </is>
      </c>
      <c r="N430" s="5" t="inlineStr">
        <is>
          <t>REALIZADO</t>
        </is>
      </c>
      <c r="O430" s="5" t="inlineStr">
        <is>
          <t>PRÓPRIO</t>
        </is>
      </c>
      <c r="P430" s="5" t="n"/>
      <c r="Q430" s="5" t="n"/>
      <c r="R430" s="4" t="n"/>
      <c r="S430" s="4" t="n"/>
      <c r="T430" s="5" t="inlineStr">
        <is>
          <t>SEPARADO CARREGADO E LIBERADO</t>
        </is>
      </c>
      <c r="U430" s="8">
        <f>IF(AND(V430=1,D430&lt;&gt;""),IF(D430&gt;=corte,TODAY()-D430,""),"")</f>
        <v/>
      </c>
      <c r="V430" s="8">
        <f>IF(D430="",0,IF(OR(AND(P430&lt;&gt;"",S430=""),AND(N(J430)&gt;0,N(K430)&lt;J430),OR(M430="PENDENTE",M430="PARCIAL"),OR(N430="PENDENTE",N430="PARCIAL")),1,0))</f>
        <v/>
      </c>
      <c r="W430" s="8">
        <f>IF(AND(V430=1,D430&lt;&gt;""),IF(D430&gt;=corte,(B430="CRÍTICO")*1E9+(100000-D430)*10000+10000-ROW(),""),"")</f>
        <v/>
      </c>
      <c r="X430" s="8">
        <f>IF(AND(V430=1,D430=pas_data,E430=pas_turno),10000-ROW(),"")</f>
        <v/>
      </c>
    </row>
    <row r="431">
      <c r="A431" s="3">
        <f>IF(D431="","","TT-"&amp;TEXT(ROW()-1,"00000"))</f>
        <v/>
      </c>
      <c r="B431" s="3">
        <f>IF(D431="","",IF(V431=0,"CONCLUÍDO",IF(D431&lt;corte,"HISTÓRICO",IF(OR(AND(ISNUMBER(R431),R431&lt;TODAY()),AND(OR(N431="PENDENTE",N431="PARCIAL"),D431&lt;TODAY()-1)),"CRÍTICO",IF(OR(AND(P431&lt;&gt;"",S431=""),AND(N431="REALIZADO",M431="PENDENTE"),AND(ISNUMBER(R431),R431=TODAY())),"ATENÇÃO",IF(N(K431)=0,"PENDENTE","EM ANDAMENTO"))))))</f>
        <v/>
      </c>
      <c r="C431" s="3">
        <f>IF(D431="","",IF(V431=0,"🟢 OK",IF(D431&lt;corte,"⚪ HISTÓRICO (sem baixa)",IF(AND(ISNUMBER(R431),R431&lt;TODAY()),"🔴 PRAZO VENCIDO",IF(AND(OR(N431="PENDENTE",N431="PARCIAL"),D431&lt;TODAY()-1),"🔴 EMBARQUE ATRASADO",IF(AND(N431="REALIZADO",M431="PENDENTE"),"🟡 EMBARCADO SEM FATURAR",IF(AND(P431&lt;&gt;"",S431="",OR(Q431="",R431="")),"🟡 PENDÊNCIA SEM RESPONSÁVEL/PRAZO",IF(AND(ISNUMBER(R431),R431=TODAY()),"🟡 VENCE HOJE",IF(AND(P431&lt;&gt;"",S431=""),"🟡 PENDÊNCIA ABERTA",IF(AND(N(J431)&gt;0,N(K431)&lt;J431),"🟡 FALTA EXECUTAR",IF(OR(M431="PENDENTE",M431="PARCIAL"),"🟡 FATURAMENTO PENDENTE","🟡 EMBARQUE PENDENTE")))))))))))</f>
        <v/>
      </c>
      <c r="D431" s="4" t="n">
        <v>46253</v>
      </c>
      <c r="E431" s="5" t="inlineStr">
        <is>
          <t>C</t>
        </is>
      </c>
      <c r="F431" s="5" t="inlineStr">
        <is>
          <t>ADIB</t>
        </is>
      </c>
      <c r="G431" s="5" t="inlineStr">
        <is>
          <t>FM</t>
        </is>
      </c>
      <c r="H431" s="5" t="inlineStr">
        <is>
          <t>SIENA</t>
        </is>
      </c>
      <c r="I431" s="5" t="inlineStr">
        <is>
          <t>TON</t>
        </is>
      </c>
      <c r="J431" s="6" t="n">
        <v>19.422</v>
      </c>
      <c r="K431" s="6" t="n">
        <v>19.422</v>
      </c>
      <c r="L431" s="7">
        <f>IF(OR(D431="",N(J431)=0),"",MIN(1,N(K431)/J431))</f>
        <v/>
      </c>
      <c r="M431" s="5" t="inlineStr">
        <is>
          <t>FATURADO</t>
        </is>
      </c>
      <c r="N431" s="5" t="inlineStr">
        <is>
          <t>REALIZADO</t>
        </is>
      </c>
      <c r="O431" s="5" t="inlineStr">
        <is>
          <t>SPEEDYLOG</t>
        </is>
      </c>
      <c r="P431" s="5" t="n"/>
      <c r="Q431" s="5" t="n"/>
      <c r="R431" s="4" t="n"/>
      <c r="S431" s="4" t="n"/>
      <c r="T431" s="5" t="inlineStr">
        <is>
          <t>SEPARADO CARREGADO E LIBERADO</t>
        </is>
      </c>
      <c r="U431" s="8">
        <f>IF(AND(V431=1,D431&lt;&gt;""),IF(D431&gt;=corte,TODAY()-D431,""),"")</f>
        <v/>
      </c>
      <c r="V431" s="8">
        <f>IF(D431="",0,IF(OR(AND(P431&lt;&gt;"",S431=""),AND(N(J431)&gt;0,N(K431)&lt;J431),OR(M431="PENDENTE",M431="PARCIAL"),OR(N431="PENDENTE",N431="PARCIAL")),1,0))</f>
        <v/>
      </c>
      <c r="W431" s="8">
        <f>IF(AND(V431=1,D431&lt;&gt;""),IF(D431&gt;=corte,(B431="CRÍTICO")*1E9+(100000-D431)*10000+10000-ROW(),""),"")</f>
        <v/>
      </c>
      <c r="X431" s="8">
        <f>IF(AND(V431=1,D431=pas_data,E431=pas_turno),10000-ROW(),"")</f>
        <v/>
      </c>
    </row>
    <row r="432">
      <c r="A432" s="3">
        <f>IF(D432="","","TT-"&amp;TEXT(ROW()-1,"00000"))</f>
        <v/>
      </c>
      <c r="B432" s="3">
        <f>IF(D432="","",IF(V432=0,"CONCLUÍDO",IF(D432&lt;corte,"HISTÓRICO",IF(OR(AND(ISNUMBER(R432),R432&lt;TODAY()),AND(OR(N432="PENDENTE",N432="PARCIAL"),D432&lt;TODAY()-1)),"CRÍTICO",IF(OR(AND(P432&lt;&gt;"",S432=""),AND(N432="REALIZADO",M432="PENDENTE"),AND(ISNUMBER(R432),R432=TODAY())),"ATENÇÃO",IF(N(K432)=0,"PENDENTE","EM ANDAMENTO"))))))</f>
        <v/>
      </c>
      <c r="C432" s="3">
        <f>IF(D432="","",IF(V432=0,"🟢 OK",IF(D432&lt;corte,"⚪ HISTÓRICO (sem baixa)",IF(AND(ISNUMBER(R432),R432&lt;TODAY()),"🔴 PRAZO VENCIDO",IF(AND(OR(N432="PENDENTE",N432="PARCIAL"),D432&lt;TODAY()-1),"🔴 EMBARQUE ATRASADO",IF(AND(N432="REALIZADO",M432="PENDENTE"),"🟡 EMBARCADO SEM FATURAR",IF(AND(P432&lt;&gt;"",S432="",OR(Q432="",R432="")),"🟡 PENDÊNCIA SEM RESPONSÁVEL/PRAZO",IF(AND(ISNUMBER(R432),R432=TODAY()),"🟡 VENCE HOJE",IF(AND(P432&lt;&gt;"",S432=""),"🟡 PENDÊNCIA ABERTA",IF(AND(N(J432)&gt;0,N(K432)&lt;J432),"🟡 FALTA EXECUTAR",IF(OR(M432="PENDENTE",M432="PARCIAL"),"🟡 FATURAMENTO PENDENTE","🟡 EMBARQUE PENDENTE")))))))))))</f>
        <v/>
      </c>
      <c r="D432" s="4" t="n">
        <v>46253</v>
      </c>
      <c r="E432" s="5" t="inlineStr">
        <is>
          <t>C</t>
        </is>
      </c>
      <c r="F432" s="5" t="inlineStr">
        <is>
          <t>ADIB</t>
        </is>
      </c>
      <c r="G432" s="5" t="inlineStr">
        <is>
          <t>FM</t>
        </is>
      </c>
      <c r="H432" s="5" t="inlineStr">
        <is>
          <t>PANDURATA</t>
        </is>
      </c>
      <c r="I432" s="5" t="inlineStr">
        <is>
          <t>TON</t>
        </is>
      </c>
      <c r="J432" s="6" t="n">
        <v>28.054</v>
      </c>
      <c r="K432" s="6" t="n">
        <v>28.054</v>
      </c>
      <c r="L432" s="7">
        <f>IF(OR(D432="",N(J432)=0),"",MIN(1,N(K432)/J432))</f>
        <v/>
      </c>
      <c r="M432" s="5" t="inlineStr">
        <is>
          <t>FATURADO</t>
        </is>
      </c>
      <c r="N432" s="5" t="inlineStr">
        <is>
          <t>REALIZADO</t>
        </is>
      </c>
      <c r="O432" s="5" t="inlineStr">
        <is>
          <t>SPEEDYLOG</t>
        </is>
      </c>
      <c r="P432" s="5" t="n"/>
      <c r="Q432" s="5" t="n"/>
      <c r="R432" s="4" t="n"/>
      <c r="S432" s="4" t="n"/>
      <c r="T432" s="5" t="n"/>
      <c r="U432" s="8">
        <f>IF(AND(V432=1,D432&lt;&gt;""),IF(D432&gt;=corte,TODAY()-D432,""),"")</f>
        <v/>
      </c>
      <c r="V432" s="8">
        <f>IF(D432="",0,IF(OR(AND(P432&lt;&gt;"",S432=""),AND(N(J432)&gt;0,N(K432)&lt;J432),OR(M432="PENDENTE",M432="PARCIAL"),OR(N432="PENDENTE",N432="PARCIAL")),1,0))</f>
        <v/>
      </c>
      <c r="W432" s="8">
        <f>IF(AND(V432=1,D432&lt;&gt;""),IF(D432&gt;=corte,(B432="CRÍTICO")*1E9+(100000-D432)*10000+10000-ROW(),""),"")</f>
        <v/>
      </c>
      <c r="X432" s="8">
        <f>IF(AND(V432=1,D432=pas_data,E432=pas_turno),10000-ROW(),"")</f>
        <v/>
      </c>
    </row>
    <row r="433">
      <c r="A433" s="3">
        <f>IF(D433="","","TT-"&amp;TEXT(ROW()-1,"00000"))</f>
        <v/>
      </c>
      <c r="B433" s="3">
        <f>IF(D433="","",IF(V433=0,"CONCLUÍDO",IF(D433&lt;corte,"HISTÓRICO",IF(OR(AND(ISNUMBER(R433),R433&lt;TODAY()),AND(OR(N433="PENDENTE",N433="PARCIAL"),D433&lt;TODAY()-1)),"CRÍTICO",IF(OR(AND(P433&lt;&gt;"",S433=""),AND(N433="REALIZADO",M433="PENDENTE"),AND(ISNUMBER(R433),R433=TODAY())),"ATENÇÃO",IF(N(K433)=0,"PENDENTE","EM ANDAMENTO"))))))</f>
        <v/>
      </c>
      <c r="C433" s="3">
        <f>IF(D433="","",IF(V433=0,"🟢 OK",IF(D433&lt;corte,"⚪ HISTÓRICO (sem baixa)",IF(AND(ISNUMBER(R433),R433&lt;TODAY()),"🔴 PRAZO VENCIDO",IF(AND(OR(N433="PENDENTE",N433="PARCIAL"),D433&lt;TODAY()-1),"🔴 EMBARQUE ATRASADO",IF(AND(N433="REALIZADO",M433="PENDENTE"),"🟡 EMBARCADO SEM FATURAR",IF(AND(P433&lt;&gt;"",S433="",OR(Q433="",R433="")),"🟡 PENDÊNCIA SEM RESPONSÁVEL/PRAZO",IF(AND(ISNUMBER(R433),R433=TODAY()),"🟡 VENCE HOJE",IF(AND(P433&lt;&gt;"",S433=""),"🟡 PENDÊNCIA ABERTA",IF(AND(N(J433)&gt;0,N(K433)&lt;J433),"🟡 FALTA EXECUTAR",IF(OR(M433="PENDENTE",M433="PARCIAL"),"🟡 FATURAMENTO PENDENTE","🟡 EMBARQUE PENDENTE")))))))))))</f>
        <v/>
      </c>
      <c r="D433" s="4" t="n">
        <v>46253</v>
      </c>
      <c r="E433" s="5" t="inlineStr">
        <is>
          <t>D</t>
        </is>
      </c>
      <c r="F433" s="5" t="inlineStr">
        <is>
          <t>VINICIUS</t>
        </is>
      </c>
      <c r="G433" s="5" t="inlineStr">
        <is>
          <t>GM</t>
        </is>
      </c>
      <c r="H433" s="5" t="inlineStr">
        <is>
          <t>CROSS LOGGIO</t>
        </is>
      </c>
      <c r="I433" s="5" t="inlineStr">
        <is>
          <t>TON</t>
        </is>
      </c>
      <c r="J433" s="6" t="n">
        <v>15.822</v>
      </c>
      <c r="K433" s="6" t="n">
        <v>15.822</v>
      </c>
      <c r="L433" s="7">
        <f>IF(OR(D433="",N(J433)=0),"",MIN(1,N(K433)/J433))</f>
        <v/>
      </c>
      <c r="M433" s="5" t="inlineStr">
        <is>
          <t>FATURADO</t>
        </is>
      </c>
      <c r="N433" s="5" t="inlineStr">
        <is>
          <t>PENDENTE</t>
        </is>
      </c>
      <c r="O433" s="5" t="inlineStr">
        <is>
          <t>LOGGIO</t>
        </is>
      </c>
      <c r="P433" s="5" t="n"/>
      <c r="Q433" s="5" t="n"/>
      <c r="R433" s="4" t="n"/>
      <c r="S433" s="4" t="n"/>
      <c r="T433" s="5" t="inlineStr">
        <is>
          <t>SEPARADO E FATURADO</t>
        </is>
      </c>
      <c r="U433" s="8">
        <f>IF(AND(V433=1,D433&lt;&gt;""),IF(D433&gt;=corte,TODAY()-D433,""),"")</f>
        <v/>
      </c>
      <c r="V433" s="8">
        <f>IF(D433="",0,IF(OR(AND(P433&lt;&gt;"",S433=""),AND(N(J433)&gt;0,N(K433)&lt;J433),OR(M433="PENDENTE",M433="PARCIAL"),OR(N433="PENDENTE",N433="PARCIAL")),1,0))</f>
        <v/>
      </c>
      <c r="W433" s="8">
        <f>IF(AND(V433=1,D433&lt;&gt;""),IF(D433&gt;=corte,(B433="CRÍTICO")*1E9+(100000-D433)*10000+10000-ROW(),""),"")</f>
        <v/>
      </c>
      <c r="X433" s="8">
        <f>IF(AND(V433=1,D433=pas_data,E433=pas_turno),10000-ROW(),"")</f>
        <v/>
      </c>
    </row>
    <row r="434">
      <c r="A434" s="3">
        <f>IF(D434="","","TT-"&amp;TEXT(ROW()-1,"00000"))</f>
        <v/>
      </c>
      <c r="B434" s="3">
        <f>IF(D434="","",IF(V434=0,"CONCLUÍDO",IF(D434&lt;corte,"HISTÓRICO",IF(OR(AND(ISNUMBER(R434),R434&lt;TODAY()),AND(OR(N434="PENDENTE",N434="PARCIAL"),D434&lt;TODAY()-1)),"CRÍTICO",IF(OR(AND(P434&lt;&gt;"",S434=""),AND(N434="REALIZADO",M434="PENDENTE"),AND(ISNUMBER(R434),R434=TODAY())),"ATENÇÃO",IF(N(K434)=0,"PENDENTE","EM ANDAMENTO"))))))</f>
        <v/>
      </c>
      <c r="C434" s="3">
        <f>IF(D434="","",IF(V434=0,"🟢 OK",IF(D434&lt;corte,"⚪ HISTÓRICO (sem baixa)",IF(AND(ISNUMBER(R434),R434&lt;TODAY()),"🔴 PRAZO VENCIDO",IF(AND(OR(N434="PENDENTE",N434="PARCIAL"),D434&lt;TODAY()-1),"🔴 EMBARQUE ATRASADO",IF(AND(N434="REALIZADO",M434="PENDENTE"),"🟡 EMBARCADO SEM FATURAR",IF(AND(P434&lt;&gt;"",S434="",OR(Q434="",R434="")),"🟡 PENDÊNCIA SEM RESPONSÁVEL/PRAZO",IF(AND(ISNUMBER(R434),R434=TODAY()),"🟡 VENCE HOJE",IF(AND(P434&lt;&gt;"",S434=""),"🟡 PENDÊNCIA ABERTA",IF(AND(N(J434)&gt;0,N(K434)&lt;J434),"🟡 FALTA EXECUTAR",IF(OR(M434="PENDENTE",M434="PARCIAL"),"🟡 FATURAMENTO PENDENTE","🟡 EMBARQUE PENDENTE")))))))))))</f>
        <v/>
      </c>
      <c r="D434" s="4" t="n">
        <v>46253</v>
      </c>
      <c r="E434" s="5" t="inlineStr">
        <is>
          <t>D</t>
        </is>
      </c>
      <c r="F434" s="5" t="inlineStr">
        <is>
          <t>VINICIUS</t>
        </is>
      </c>
      <c r="G434" s="5" t="inlineStr">
        <is>
          <t>GM</t>
        </is>
      </c>
      <c r="H434" s="5" t="inlineStr">
        <is>
          <t>SUL RS</t>
        </is>
      </c>
      <c r="I434" s="5" t="inlineStr">
        <is>
          <t>TON</t>
        </is>
      </c>
      <c r="J434" s="6" t="n">
        <v>20.881</v>
      </c>
      <c r="K434" s="6" t="n">
        <v>10.029</v>
      </c>
      <c r="L434" s="7">
        <f>IF(OR(D434="",N(J434)=0),"",MIN(1,N(K434)/J434))</f>
        <v/>
      </c>
      <c r="M434" s="5" t="inlineStr">
        <is>
          <t>PENDENTE</t>
        </is>
      </c>
      <c r="N434" s="5" t="inlineStr">
        <is>
          <t>PENDENTE</t>
        </is>
      </c>
      <c r="O434" s="5" t="inlineStr">
        <is>
          <t>RENOVAÇÃO</t>
        </is>
      </c>
      <c r="P434" s="5" t="n"/>
      <c r="Q434" s="5" t="n"/>
      <c r="R434" s="4" t="n"/>
      <c r="S434" s="4" t="n"/>
      <c r="T434" s="5" t="inlineStr">
        <is>
          <t>GERADO - SEPARADO PARCIAL</t>
        </is>
      </c>
      <c r="U434" s="8">
        <f>IF(AND(V434=1,D434&lt;&gt;""),IF(D434&gt;=corte,TODAY()-D434,""),"")</f>
        <v/>
      </c>
      <c r="V434" s="8">
        <f>IF(D434="",0,IF(OR(AND(P434&lt;&gt;"",S434=""),AND(N(J434)&gt;0,N(K434)&lt;J434),OR(M434="PENDENTE",M434="PARCIAL"),OR(N434="PENDENTE",N434="PARCIAL")),1,0))</f>
        <v/>
      </c>
      <c r="W434" s="8">
        <f>IF(AND(V434=1,D434&lt;&gt;""),IF(D434&gt;=corte,(B434="CRÍTICO")*1E9+(100000-D434)*10000+10000-ROW(),""),"")</f>
        <v/>
      </c>
      <c r="X434" s="8">
        <f>IF(AND(V434=1,D434=pas_data,E434=pas_turno),10000-ROW(),"")</f>
        <v/>
      </c>
    </row>
    <row r="435">
      <c r="A435" s="3">
        <f>IF(D435="","","TT-"&amp;TEXT(ROW()-1,"00000"))</f>
        <v/>
      </c>
      <c r="B435" s="3">
        <f>IF(D435="","",IF(V435=0,"CONCLUÍDO",IF(D435&lt;corte,"HISTÓRICO",IF(OR(AND(ISNUMBER(R435),R435&lt;TODAY()),AND(OR(N435="PENDENTE",N435="PARCIAL"),D435&lt;TODAY()-1)),"CRÍTICO",IF(OR(AND(P435&lt;&gt;"",S435=""),AND(N435="REALIZADO",M435="PENDENTE"),AND(ISNUMBER(R435),R435=TODAY())),"ATENÇÃO",IF(N(K435)=0,"PENDENTE","EM ANDAMENTO"))))))</f>
        <v/>
      </c>
      <c r="C435" s="3">
        <f>IF(D435="","",IF(V435=0,"🟢 OK",IF(D435&lt;corte,"⚪ HISTÓRICO (sem baixa)",IF(AND(ISNUMBER(R435),R435&lt;TODAY()),"🔴 PRAZO VENCIDO",IF(AND(OR(N435="PENDENTE",N435="PARCIAL"),D435&lt;TODAY()-1),"🔴 EMBARQUE ATRASADO",IF(AND(N435="REALIZADO",M435="PENDENTE"),"🟡 EMBARCADO SEM FATURAR",IF(AND(P435&lt;&gt;"",S435="",OR(Q435="",R435="")),"🟡 PENDÊNCIA SEM RESPONSÁVEL/PRAZO",IF(AND(ISNUMBER(R435),R435=TODAY()),"🟡 VENCE HOJE",IF(AND(P435&lt;&gt;"",S435=""),"🟡 PENDÊNCIA ABERTA",IF(AND(N(J435)&gt;0,N(K435)&lt;J435),"🟡 FALTA EXECUTAR",IF(OR(M435="PENDENTE",M435="PARCIAL"),"🟡 FATURAMENTO PENDENTE","🟡 EMBARQUE PENDENTE")))))))))))</f>
        <v/>
      </c>
      <c r="D435" s="4" t="n">
        <v>46253</v>
      </c>
      <c r="E435" s="5" t="inlineStr">
        <is>
          <t>D</t>
        </is>
      </c>
      <c r="F435" s="5" t="inlineStr">
        <is>
          <t>VINICIUS</t>
        </is>
      </c>
      <c r="G435" s="5" t="inlineStr">
        <is>
          <t>GM</t>
        </is>
      </c>
      <c r="H435" s="5" t="inlineStr">
        <is>
          <t>SMARTLOG AGENDADA</t>
        </is>
      </c>
      <c r="I435" s="5" t="inlineStr">
        <is>
          <t>TON</t>
        </is>
      </c>
      <c r="J435" s="6" t="n">
        <v>13.685</v>
      </c>
      <c r="K435" s="6" t="n">
        <v>13.685</v>
      </c>
      <c r="L435" s="7">
        <f>IF(OR(D435="",N(J435)=0),"",MIN(1,N(K435)/J435))</f>
        <v/>
      </c>
      <c r="M435" s="5" t="inlineStr">
        <is>
          <t>FATURADO</t>
        </is>
      </c>
      <c r="N435" s="5" t="inlineStr">
        <is>
          <t>REALIZADO</t>
        </is>
      </c>
      <c r="O435" s="5" t="inlineStr">
        <is>
          <t>SMARTLOG</t>
        </is>
      </c>
      <c r="P435" s="5" t="n"/>
      <c r="Q435" s="5" t="n"/>
      <c r="R435" s="4" t="n"/>
      <c r="S435" s="4" t="n"/>
      <c r="T435" s="5" t="inlineStr">
        <is>
          <t>CARREGADO E LIBERADO</t>
        </is>
      </c>
      <c r="U435" s="8">
        <f>IF(AND(V435=1,D435&lt;&gt;""),IF(D435&gt;=corte,TODAY()-D435,""),"")</f>
        <v/>
      </c>
      <c r="V435" s="8">
        <f>IF(D435="",0,IF(OR(AND(P435&lt;&gt;"",S435=""),AND(N(J435)&gt;0,N(K435)&lt;J435),OR(M435="PENDENTE",M435="PARCIAL"),OR(N435="PENDENTE",N435="PARCIAL")),1,0))</f>
        <v/>
      </c>
      <c r="W435" s="8">
        <f>IF(AND(V435=1,D435&lt;&gt;""),IF(D435&gt;=corte,(B435="CRÍTICO")*1E9+(100000-D435)*10000+10000-ROW(),""),"")</f>
        <v/>
      </c>
      <c r="X435" s="8">
        <f>IF(AND(V435=1,D435=pas_data,E435=pas_turno),10000-ROW(),"")</f>
        <v/>
      </c>
    </row>
    <row r="436">
      <c r="A436" s="3">
        <f>IF(D436="","","TT-"&amp;TEXT(ROW()-1,"00000"))</f>
        <v/>
      </c>
      <c r="B436" s="3">
        <f>IF(D436="","",IF(V436=0,"CONCLUÍDO",IF(D436&lt;corte,"HISTÓRICO",IF(OR(AND(ISNUMBER(R436),R436&lt;TODAY()),AND(OR(N436="PENDENTE",N436="PARCIAL"),D436&lt;TODAY()-1)),"CRÍTICO",IF(OR(AND(P436&lt;&gt;"",S436=""),AND(N436="REALIZADO",M436="PENDENTE"),AND(ISNUMBER(R436),R436=TODAY())),"ATENÇÃO",IF(N(K436)=0,"PENDENTE","EM ANDAMENTO"))))))</f>
        <v/>
      </c>
      <c r="C436" s="3">
        <f>IF(D436="","",IF(V436=0,"🟢 OK",IF(D436&lt;corte,"⚪ HISTÓRICO (sem baixa)",IF(AND(ISNUMBER(R436),R436&lt;TODAY()),"🔴 PRAZO VENCIDO",IF(AND(OR(N436="PENDENTE",N436="PARCIAL"),D436&lt;TODAY()-1),"🔴 EMBARQUE ATRASADO",IF(AND(N436="REALIZADO",M436="PENDENTE"),"🟡 EMBARCADO SEM FATURAR",IF(AND(P436&lt;&gt;"",S436="",OR(Q436="",R436="")),"🟡 PENDÊNCIA SEM RESPONSÁVEL/PRAZO",IF(AND(ISNUMBER(R436),R436=TODAY()),"🟡 VENCE HOJE",IF(AND(P436&lt;&gt;"",S436=""),"🟡 PENDÊNCIA ABERTA",IF(AND(N(J436)&gt;0,N(K436)&lt;J436),"🟡 FALTA EXECUTAR",IF(OR(M436="PENDENTE",M436="PARCIAL"),"🟡 FATURAMENTO PENDENTE","🟡 EMBARQUE PENDENTE")))))))))))</f>
        <v/>
      </c>
      <c r="D436" s="4" t="n">
        <v>46253</v>
      </c>
      <c r="E436" s="5" t="inlineStr">
        <is>
          <t>D</t>
        </is>
      </c>
      <c r="F436" s="5" t="inlineStr">
        <is>
          <t>VINICIUS</t>
        </is>
      </c>
      <c r="G436" s="5" t="inlineStr">
        <is>
          <t>FM</t>
        </is>
      </c>
      <c r="H436" s="5" t="inlineStr">
        <is>
          <t>PANDURATA / NESTLE</t>
        </is>
      </c>
      <c r="I436" s="5" t="inlineStr">
        <is>
          <t>TON</t>
        </is>
      </c>
      <c r="J436" s="6" t="n">
        <v>43.16</v>
      </c>
      <c r="K436" s="6" t="n">
        <v>43.16</v>
      </c>
      <c r="L436" s="7">
        <f>IF(OR(D436="",N(J436)=0),"",MIN(1,N(K436)/J436))</f>
        <v/>
      </c>
      <c r="M436" s="5" t="inlineStr">
        <is>
          <t>FATURADO</t>
        </is>
      </c>
      <c r="N436" s="5" t="inlineStr">
        <is>
          <t>PARCIAL</t>
        </is>
      </c>
      <c r="O436" s="5" t="inlineStr">
        <is>
          <t>SPEEDYLOG</t>
        </is>
      </c>
      <c r="P436" s="5" t="inlineStr">
        <is>
          <t>NESTLE CARREGADO E LIBERADO / PANDURATA AGUARDANDO COLETA</t>
        </is>
      </c>
      <c r="Q436" s="5" t="n"/>
      <c r="R436" s="4" t="n"/>
      <c r="S436" s="4" t="n"/>
      <c r="T436" s="5" t="inlineStr">
        <is>
          <t>NESTLE CARREGADO E LIBERADO / PANDURATA AGUARDANDO COLETA</t>
        </is>
      </c>
      <c r="U436" s="8">
        <f>IF(AND(V436=1,D436&lt;&gt;""),IF(D436&gt;=corte,TODAY()-D436,""),"")</f>
        <v/>
      </c>
      <c r="V436" s="8">
        <f>IF(D436="",0,IF(OR(AND(P436&lt;&gt;"",S436=""),AND(N(J436)&gt;0,N(K436)&lt;J436),OR(M436="PENDENTE",M436="PARCIAL"),OR(N436="PENDENTE",N436="PARCIAL")),1,0))</f>
        <v/>
      </c>
      <c r="W436" s="8">
        <f>IF(AND(V436=1,D436&lt;&gt;""),IF(D436&gt;=corte,(B436="CRÍTICO")*1E9+(100000-D436)*10000+10000-ROW(),""),"")</f>
        <v/>
      </c>
      <c r="X436" s="8">
        <f>IF(AND(V436=1,D436=pas_data,E436=pas_turno),10000-ROW(),"")</f>
        <v/>
      </c>
    </row>
    <row r="437">
      <c r="A437" s="3">
        <f>IF(D437="","","TT-"&amp;TEXT(ROW()-1,"00000"))</f>
        <v/>
      </c>
      <c r="B437" s="3">
        <f>IF(D437="","",IF(V437=0,"CONCLUÍDO",IF(D437&lt;corte,"HISTÓRICO",IF(OR(AND(ISNUMBER(R437),R437&lt;TODAY()),AND(OR(N437="PENDENTE",N437="PARCIAL"),D437&lt;TODAY()-1)),"CRÍTICO",IF(OR(AND(P437&lt;&gt;"",S437=""),AND(N437="REALIZADO",M437="PENDENTE"),AND(ISNUMBER(R437),R437=TODAY())),"ATENÇÃO",IF(N(K437)=0,"PENDENTE","EM ANDAMENTO"))))))</f>
        <v/>
      </c>
      <c r="C437" s="3">
        <f>IF(D437="","",IF(V437=0,"🟢 OK",IF(D437&lt;corte,"⚪ HISTÓRICO (sem baixa)",IF(AND(ISNUMBER(R437),R437&lt;TODAY()),"🔴 PRAZO VENCIDO",IF(AND(OR(N437="PENDENTE",N437="PARCIAL"),D437&lt;TODAY()-1),"🔴 EMBARQUE ATRASADO",IF(AND(N437="REALIZADO",M437="PENDENTE"),"🟡 EMBARCADO SEM FATURAR",IF(AND(P437&lt;&gt;"",S437="",OR(Q437="",R437="")),"🟡 PENDÊNCIA SEM RESPONSÁVEL/PRAZO",IF(AND(ISNUMBER(R437),R437=TODAY()),"🟡 VENCE HOJE",IF(AND(P437&lt;&gt;"",S437=""),"🟡 PENDÊNCIA ABERTA",IF(AND(N(J437)&gt;0,N(K437)&lt;J437),"🟡 FALTA EXECUTAR",IF(OR(M437="PENDENTE",M437="PARCIAL"),"🟡 FATURAMENTO PENDENTE","🟡 EMBARQUE PENDENTE")))))))))))</f>
        <v/>
      </c>
      <c r="D437" s="4" t="n">
        <v>46253</v>
      </c>
      <c r="E437" s="5" t="inlineStr">
        <is>
          <t>D</t>
        </is>
      </c>
      <c r="F437" s="5" t="inlineStr">
        <is>
          <t>VINICIUS</t>
        </is>
      </c>
      <c r="G437" s="5" t="inlineStr">
        <is>
          <t>TRANSFERÊNCIA</t>
        </is>
      </c>
      <c r="H437" s="5" t="inlineStr">
        <is>
          <t>CANAL DIRETO</t>
        </is>
      </c>
      <c r="I437" s="5" t="inlineStr">
        <is>
          <t>TON</t>
        </is>
      </c>
      <c r="J437" s="6" t="n">
        <v>16.01</v>
      </c>
      <c r="K437" s="6" t="n">
        <v>16.01</v>
      </c>
      <c r="L437" s="7">
        <f>IF(OR(D437="",N(J437)=0),"",MIN(1,N(K437)/J437))</f>
        <v/>
      </c>
      <c r="M437" s="5" t="inlineStr">
        <is>
          <t>FATURADO</t>
        </is>
      </c>
      <c r="N437" s="5" t="inlineStr">
        <is>
          <t>REALIZADO</t>
        </is>
      </c>
      <c r="O437" s="5" t="inlineStr">
        <is>
          <t>SMARTLOG</t>
        </is>
      </c>
      <c r="P437" s="5" t="n"/>
      <c r="Q437" s="5" t="n"/>
      <c r="R437" s="4" t="n"/>
      <c r="S437" s="4" t="n"/>
      <c r="T437" s="5" t="inlineStr">
        <is>
          <t>CARREGADO E LIBERADO [MIGRAÇÃO: programação original: TRANSFERENCIA]</t>
        </is>
      </c>
      <c r="U437" s="8">
        <f>IF(AND(V437=1,D437&lt;&gt;""),IF(D437&gt;=corte,TODAY()-D437,""),"")</f>
        <v/>
      </c>
      <c r="V437" s="8">
        <f>IF(D437="",0,IF(OR(AND(P437&lt;&gt;"",S437=""),AND(N(J437)&gt;0,N(K437)&lt;J437),OR(M437="PENDENTE",M437="PARCIAL"),OR(N437="PENDENTE",N437="PARCIAL")),1,0))</f>
        <v/>
      </c>
      <c r="W437" s="8">
        <f>IF(AND(V437=1,D437&lt;&gt;""),IF(D437&gt;=corte,(B437="CRÍTICO")*1E9+(100000-D437)*10000+10000-ROW(),""),"")</f>
        <v/>
      </c>
      <c r="X437" s="8">
        <f>IF(AND(V437=1,D437=pas_data,E437=pas_turno),10000-ROW(),"")</f>
        <v/>
      </c>
    </row>
    <row r="438">
      <c r="A438" s="3">
        <f>IF(D438="","","TT-"&amp;TEXT(ROW()-1,"00000"))</f>
        <v/>
      </c>
      <c r="B438" s="3">
        <f>IF(D438="","",IF(V438=0,"CONCLUÍDO",IF(D438&lt;corte,"HISTÓRICO",IF(OR(AND(ISNUMBER(R438),R438&lt;TODAY()),AND(OR(N438="PENDENTE",N438="PARCIAL"),D438&lt;TODAY()-1)),"CRÍTICO",IF(OR(AND(P438&lt;&gt;"",S438=""),AND(N438="REALIZADO",M438="PENDENTE"),AND(ISNUMBER(R438),R438=TODAY())),"ATENÇÃO",IF(N(K438)=0,"PENDENTE","EM ANDAMENTO"))))))</f>
        <v/>
      </c>
      <c r="C438" s="3">
        <f>IF(D438="","",IF(V438=0,"🟢 OK",IF(D438&lt;corte,"⚪ HISTÓRICO (sem baixa)",IF(AND(ISNUMBER(R438),R438&lt;TODAY()),"🔴 PRAZO VENCIDO",IF(AND(OR(N438="PENDENTE",N438="PARCIAL"),D438&lt;TODAY()-1),"🔴 EMBARQUE ATRASADO",IF(AND(N438="REALIZADO",M438="PENDENTE"),"🟡 EMBARCADO SEM FATURAR",IF(AND(P438&lt;&gt;"",S438="",OR(Q438="",R438="")),"🟡 PENDÊNCIA SEM RESPONSÁVEL/PRAZO",IF(AND(ISNUMBER(R438),R438=TODAY()),"🟡 VENCE HOJE",IF(AND(P438&lt;&gt;"",S438=""),"🟡 PENDÊNCIA ABERTA",IF(AND(N(J438)&gt;0,N(K438)&lt;J438),"🟡 FALTA EXECUTAR",IF(OR(M438="PENDENTE",M438="PARCIAL"),"🟡 FATURAMENTO PENDENTE","🟡 EMBARQUE PENDENTE")))))))))))</f>
        <v/>
      </c>
      <c r="D438" s="4" t="n">
        <v>46253</v>
      </c>
      <c r="E438" s="5" t="inlineStr">
        <is>
          <t>D</t>
        </is>
      </c>
      <c r="F438" s="5" t="inlineStr">
        <is>
          <t>VINICIUS</t>
        </is>
      </c>
      <c r="G438" s="5" t="inlineStr">
        <is>
          <t>ABASTECIMENTO</t>
        </is>
      </c>
      <c r="H438" s="5" t="inlineStr">
        <is>
          <t>PALETE / POSIÇÃO</t>
        </is>
      </c>
      <c r="I438" s="5" t="inlineStr">
        <is>
          <t>POSIÇÃO</t>
        </is>
      </c>
      <c r="J438" s="6" t="n">
        <v>162</v>
      </c>
      <c r="K438" s="6" t="n">
        <v>162</v>
      </c>
      <c r="L438" s="7">
        <f>IF(OR(D438="",N(J438)=0),"",MIN(1,N(K438)/J438))</f>
        <v/>
      </c>
      <c r="M438" s="5" t="n"/>
      <c r="N438" s="5" t="n"/>
      <c r="O438" s="5" t="n"/>
      <c r="P438" s="5" t="n"/>
      <c r="Q438" s="5" t="n"/>
      <c r="R438" s="4" t="n"/>
      <c r="S438" s="4" t="n"/>
      <c r="T438" s="5" t="n"/>
      <c r="U438" s="8">
        <f>IF(AND(V438=1,D438&lt;&gt;""),IF(D438&gt;=corte,TODAY()-D438,""),"")</f>
        <v/>
      </c>
      <c r="V438" s="8">
        <f>IF(D438="",0,IF(OR(AND(P438&lt;&gt;"",S438=""),AND(N(J438)&gt;0,N(K438)&lt;J438),OR(M438="PENDENTE",M438="PARCIAL"),OR(N438="PENDENTE",N438="PARCIAL")),1,0))</f>
        <v/>
      </c>
      <c r="W438" s="8">
        <f>IF(AND(V438=1,D438&lt;&gt;""),IF(D438&gt;=corte,(B438="CRÍTICO")*1E9+(100000-D438)*10000+10000-ROW(),""),"")</f>
        <v/>
      </c>
      <c r="X438" s="8">
        <f>IF(AND(V438=1,D438=pas_data,E438=pas_turno),10000-ROW(),"")</f>
        <v/>
      </c>
    </row>
    <row r="439">
      <c r="A439" s="3">
        <f>IF(D439="","","TT-"&amp;TEXT(ROW()-1,"00000"))</f>
        <v/>
      </c>
      <c r="B439" s="3">
        <f>IF(D439="","",IF(V439=0,"CONCLUÍDO",IF(D439&lt;corte,"HISTÓRICO",IF(OR(AND(ISNUMBER(R439),R439&lt;TODAY()),AND(OR(N439="PENDENTE",N439="PARCIAL"),D439&lt;TODAY()-1)),"CRÍTICO",IF(OR(AND(P439&lt;&gt;"",S439=""),AND(N439="REALIZADO",M439="PENDENTE"),AND(ISNUMBER(R439),R439=TODAY())),"ATENÇÃO",IF(N(K439)=0,"PENDENTE","EM ANDAMENTO"))))))</f>
        <v/>
      </c>
      <c r="C439" s="3">
        <f>IF(D439="","",IF(V439=0,"🟢 OK",IF(D439&lt;corte,"⚪ HISTÓRICO (sem baixa)",IF(AND(ISNUMBER(R439),R439&lt;TODAY()),"🔴 PRAZO VENCIDO",IF(AND(OR(N439="PENDENTE",N439="PARCIAL"),D439&lt;TODAY()-1),"🔴 EMBARQUE ATRASADO",IF(AND(N439="REALIZADO",M439="PENDENTE"),"🟡 EMBARCADO SEM FATURAR",IF(AND(P439&lt;&gt;"",S439="",OR(Q439="",R439="")),"🟡 PENDÊNCIA SEM RESPONSÁVEL/PRAZO",IF(AND(ISNUMBER(R439),R439=TODAY()),"🟡 VENCE HOJE",IF(AND(P439&lt;&gt;"",S439=""),"🟡 PENDÊNCIA ABERTA",IF(AND(N(J439)&gt;0,N(K439)&lt;J439),"🟡 FALTA EXECUTAR",IF(OR(M439="PENDENTE",M439="PARCIAL"),"🟡 FATURAMENTO PENDENTE","🟡 EMBARQUE PENDENTE")))))))))))</f>
        <v/>
      </c>
      <c r="D439" s="4" t="n">
        <v>46254</v>
      </c>
      <c r="E439" s="5" t="inlineStr">
        <is>
          <t>C</t>
        </is>
      </c>
      <c r="F439" s="5" t="inlineStr">
        <is>
          <t>ADIB</t>
        </is>
      </c>
      <c r="G439" s="5" t="inlineStr">
        <is>
          <t>GM</t>
        </is>
      </c>
      <c r="H439" s="5" t="inlineStr">
        <is>
          <t>SUL RS</t>
        </is>
      </c>
      <c r="I439" s="5" t="inlineStr">
        <is>
          <t>TON</t>
        </is>
      </c>
      <c r="J439" s="6" t="n">
        <v>10.852</v>
      </c>
      <c r="K439" s="6" t="n">
        <v>10.852</v>
      </c>
      <c r="L439" s="7">
        <f>IF(OR(D439="",N(J439)=0),"",MIN(1,N(K439)/J439))</f>
        <v/>
      </c>
      <c r="M439" s="5" t="inlineStr">
        <is>
          <t>FATURADO</t>
        </is>
      </c>
      <c r="N439" s="5" t="inlineStr">
        <is>
          <t>PENDENTE</t>
        </is>
      </c>
      <c r="O439" s="5" t="inlineStr">
        <is>
          <t>RENOVAÇÃO</t>
        </is>
      </c>
      <c r="P439" s="5" t="n"/>
      <c r="Q439" s="5" t="n"/>
      <c r="R439" s="4" t="n"/>
      <c r="S439" s="4" t="n"/>
      <c r="T439" s="5" t="inlineStr">
        <is>
          <t>SEPARADO E FATURADO</t>
        </is>
      </c>
      <c r="U439" s="8">
        <f>IF(AND(V439=1,D439&lt;&gt;""),IF(D439&gt;=corte,TODAY()-D439,""),"")</f>
        <v/>
      </c>
      <c r="V439" s="8">
        <f>IF(D439="",0,IF(OR(AND(P439&lt;&gt;"",S439=""),AND(N(J439)&gt;0,N(K439)&lt;J439),OR(M439="PENDENTE",M439="PARCIAL"),OR(N439="PENDENTE",N439="PARCIAL")),1,0))</f>
        <v/>
      </c>
      <c r="W439" s="8">
        <f>IF(AND(V439=1,D439&lt;&gt;""),IF(D439&gt;=corte,(B439="CRÍTICO")*1E9+(100000-D439)*10000+10000-ROW(),""),"")</f>
        <v/>
      </c>
      <c r="X439" s="8">
        <f>IF(AND(V439=1,D439=pas_data,E439=pas_turno),10000-ROW(),"")</f>
        <v/>
      </c>
    </row>
    <row r="440">
      <c r="A440" s="3">
        <f>IF(D440="","","TT-"&amp;TEXT(ROW()-1,"00000"))</f>
        <v/>
      </c>
      <c r="B440" s="3">
        <f>IF(D440="","",IF(V440=0,"CONCLUÍDO",IF(D440&lt;corte,"HISTÓRICO",IF(OR(AND(ISNUMBER(R440),R440&lt;TODAY()),AND(OR(N440="PENDENTE",N440="PARCIAL"),D440&lt;TODAY()-1)),"CRÍTICO",IF(OR(AND(P440&lt;&gt;"",S440=""),AND(N440="REALIZADO",M440="PENDENTE"),AND(ISNUMBER(R440),R440=TODAY())),"ATENÇÃO",IF(N(K440)=0,"PENDENTE","EM ANDAMENTO"))))))</f>
        <v/>
      </c>
      <c r="C440" s="3">
        <f>IF(D440="","",IF(V440=0,"🟢 OK",IF(D440&lt;corte,"⚪ HISTÓRICO (sem baixa)",IF(AND(ISNUMBER(R440),R440&lt;TODAY()),"🔴 PRAZO VENCIDO",IF(AND(OR(N440="PENDENTE",N440="PARCIAL"),D440&lt;TODAY()-1),"🔴 EMBARQUE ATRASADO",IF(AND(N440="REALIZADO",M440="PENDENTE"),"🟡 EMBARCADO SEM FATURAR",IF(AND(P440&lt;&gt;"",S440="",OR(Q440="",R440="")),"🟡 PENDÊNCIA SEM RESPONSÁVEL/PRAZO",IF(AND(ISNUMBER(R440),R440=TODAY()),"🟡 VENCE HOJE",IF(AND(P440&lt;&gt;"",S440=""),"🟡 PENDÊNCIA ABERTA",IF(AND(N(J440)&gt;0,N(K440)&lt;J440),"🟡 FALTA EXECUTAR",IF(OR(M440="PENDENTE",M440="PARCIAL"),"🟡 FATURAMENTO PENDENTE","🟡 EMBARQUE PENDENTE")))))))))))</f>
        <v/>
      </c>
      <c r="D440" s="4" t="n">
        <v>46254</v>
      </c>
      <c r="E440" s="5" t="inlineStr">
        <is>
          <t>C</t>
        </is>
      </c>
      <c r="F440" s="5" t="inlineStr">
        <is>
          <t>ADIB</t>
        </is>
      </c>
      <c r="G440" s="5" t="inlineStr">
        <is>
          <t>GM</t>
        </is>
      </c>
      <c r="H440" s="5" t="inlineStr">
        <is>
          <t>MARTINS DA COSTA</t>
        </is>
      </c>
      <c r="I440" s="5" t="inlineStr">
        <is>
          <t>TON</t>
        </is>
      </c>
      <c r="J440" s="6" t="n">
        <v>10.79</v>
      </c>
      <c r="K440" s="6" t="n">
        <v>10.79</v>
      </c>
      <c r="L440" s="7">
        <f>IF(OR(D440="",N(J440)=0),"",MIN(1,N(K440)/J440))</f>
        <v/>
      </c>
      <c r="M440" s="5" t="inlineStr">
        <is>
          <t>FATURADO</t>
        </is>
      </c>
      <c r="N440" s="5" t="inlineStr">
        <is>
          <t>REALIZADO</t>
        </is>
      </c>
      <c r="O440" s="5" t="inlineStr">
        <is>
          <t>SMARTLOG</t>
        </is>
      </c>
      <c r="P440" s="5" t="n"/>
      <c r="Q440" s="5" t="n"/>
      <c r="R440" s="4" t="n"/>
      <c r="S440" s="4" t="n"/>
      <c r="T440" s="5" t="inlineStr">
        <is>
          <t>CARREGADO E LIBERADO</t>
        </is>
      </c>
      <c r="U440" s="8">
        <f>IF(AND(V440=1,D440&lt;&gt;""),IF(D440&gt;=corte,TODAY()-D440,""),"")</f>
        <v/>
      </c>
      <c r="V440" s="8">
        <f>IF(D440="",0,IF(OR(AND(P440&lt;&gt;"",S440=""),AND(N(J440)&gt;0,N(K440)&lt;J440),OR(M440="PENDENTE",M440="PARCIAL"),OR(N440="PENDENTE",N440="PARCIAL")),1,0))</f>
        <v/>
      </c>
      <c r="W440" s="8">
        <f>IF(AND(V440=1,D440&lt;&gt;""),IF(D440&gt;=corte,(B440="CRÍTICO")*1E9+(100000-D440)*10000+10000-ROW(),""),"")</f>
        <v/>
      </c>
      <c r="X440" s="8">
        <f>IF(AND(V440=1,D440=pas_data,E440=pas_turno),10000-ROW(),"")</f>
        <v/>
      </c>
    </row>
    <row r="441">
      <c r="A441" s="3">
        <f>IF(D441="","","TT-"&amp;TEXT(ROW()-1,"00000"))</f>
        <v/>
      </c>
      <c r="B441" s="3">
        <f>IF(D441="","",IF(V441=0,"CONCLUÍDO",IF(D441&lt;corte,"HISTÓRICO",IF(OR(AND(ISNUMBER(R441),R441&lt;TODAY()),AND(OR(N441="PENDENTE",N441="PARCIAL"),D441&lt;TODAY()-1)),"CRÍTICO",IF(OR(AND(P441&lt;&gt;"",S441=""),AND(N441="REALIZADO",M441="PENDENTE"),AND(ISNUMBER(R441),R441=TODAY())),"ATENÇÃO",IF(N(K441)=0,"PENDENTE","EM ANDAMENTO"))))))</f>
        <v/>
      </c>
      <c r="C441" s="3">
        <f>IF(D441="","",IF(V441=0,"🟢 OK",IF(D441&lt;corte,"⚪ HISTÓRICO (sem baixa)",IF(AND(ISNUMBER(R441),R441&lt;TODAY()),"🔴 PRAZO VENCIDO",IF(AND(OR(N441="PENDENTE",N441="PARCIAL"),D441&lt;TODAY()-1),"🔴 EMBARQUE ATRASADO",IF(AND(N441="REALIZADO",M441="PENDENTE"),"🟡 EMBARCADO SEM FATURAR",IF(AND(P441&lt;&gt;"",S441="",OR(Q441="",R441="")),"🟡 PENDÊNCIA SEM RESPONSÁVEL/PRAZO",IF(AND(ISNUMBER(R441),R441=TODAY()),"🟡 VENCE HOJE",IF(AND(P441&lt;&gt;"",S441=""),"🟡 PENDÊNCIA ABERTA",IF(AND(N(J441)&gt;0,N(K441)&lt;J441),"🟡 FALTA EXECUTAR",IF(OR(M441="PENDENTE",M441="PARCIAL"),"🟡 FATURAMENTO PENDENTE","🟡 EMBARQUE PENDENTE")))))))))))</f>
        <v/>
      </c>
      <c r="D441" s="4" t="n">
        <v>46254</v>
      </c>
      <c r="E441" s="5" t="inlineStr">
        <is>
          <t>C</t>
        </is>
      </c>
      <c r="F441" s="5" t="inlineStr">
        <is>
          <t>ADIB</t>
        </is>
      </c>
      <c r="G441" s="5" t="inlineStr">
        <is>
          <t>TRANSFERÊNCIA</t>
        </is>
      </c>
      <c r="H441" s="5" t="inlineStr">
        <is>
          <t>CANAL DIRETO</t>
        </is>
      </c>
      <c r="I441" s="5" t="inlineStr">
        <is>
          <t>TON</t>
        </is>
      </c>
      <c r="J441" s="6" t="n">
        <v>17.194</v>
      </c>
      <c r="K441" s="6" t="n">
        <v>17.194</v>
      </c>
      <c r="L441" s="7">
        <f>IF(OR(D441="",N(J441)=0),"",MIN(1,N(K441)/J441))</f>
        <v/>
      </c>
      <c r="M441" s="5" t="inlineStr">
        <is>
          <t>PENDENTE</t>
        </is>
      </c>
      <c r="N441" s="5" t="inlineStr">
        <is>
          <t>PENDENTE</t>
        </is>
      </c>
      <c r="O441" s="5" t="inlineStr">
        <is>
          <t>SMARTLOG</t>
        </is>
      </c>
      <c r="P441" s="5" t="inlineStr">
        <is>
          <t>FALTA ALTERAR RETIRAR 1 CAIXA / REALIZAR TRANSF</t>
        </is>
      </c>
      <c r="Q441" s="5" t="n"/>
      <c r="R441" s="4" t="n"/>
      <c r="S441" s="4" t="n"/>
      <c r="T441" s="5" t="inlineStr">
        <is>
          <t>FALTA ALTERAR RETIRAR 1 CAIXA / REALIZAR TRANSF [MIGRAÇÃO: programação original: TRANSFERENCIA]</t>
        </is>
      </c>
      <c r="U441" s="8">
        <f>IF(AND(V441=1,D441&lt;&gt;""),IF(D441&gt;=corte,TODAY()-D441,""),"")</f>
        <v/>
      </c>
      <c r="V441" s="8">
        <f>IF(D441="",0,IF(OR(AND(P441&lt;&gt;"",S441=""),AND(N(J441)&gt;0,N(K441)&lt;J441),OR(M441="PENDENTE",M441="PARCIAL"),OR(N441="PENDENTE",N441="PARCIAL")),1,0))</f>
        <v/>
      </c>
      <c r="W441" s="8">
        <f>IF(AND(V441=1,D441&lt;&gt;""),IF(D441&gt;=corte,(B441="CRÍTICO")*1E9+(100000-D441)*10000+10000-ROW(),""),"")</f>
        <v/>
      </c>
      <c r="X441" s="8">
        <f>IF(AND(V441=1,D441=pas_data,E441=pas_turno),10000-ROW(),"")</f>
        <v/>
      </c>
    </row>
    <row r="442">
      <c r="A442" s="3">
        <f>IF(D442="","","TT-"&amp;TEXT(ROW()-1,"00000"))</f>
        <v/>
      </c>
      <c r="B442" s="3">
        <f>IF(D442="","",IF(V442=0,"CONCLUÍDO",IF(D442&lt;corte,"HISTÓRICO",IF(OR(AND(ISNUMBER(R442),R442&lt;TODAY()),AND(OR(N442="PENDENTE",N442="PARCIAL"),D442&lt;TODAY()-1)),"CRÍTICO",IF(OR(AND(P442&lt;&gt;"",S442=""),AND(N442="REALIZADO",M442="PENDENTE"),AND(ISNUMBER(R442),R442=TODAY())),"ATENÇÃO",IF(N(K442)=0,"PENDENTE","EM ANDAMENTO"))))))</f>
        <v/>
      </c>
      <c r="C442" s="3">
        <f>IF(D442="","",IF(V442=0,"🟢 OK",IF(D442&lt;corte,"⚪ HISTÓRICO (sem baixa)",IF(AND(ISNUMBER(R442),R442&lt;TODAY()),"🔴 PRAZO VENCIDO",IF(AND(OR(N442="PENDENTE",N442="PARCIAL"),D442&lt;TODAY()-1),"🔴 EMBARQUE ATRASADO",IF(AND(N442="REALIZADO",M442="PENDENTE"),"🟡 EMBARCADO SEM FATURAR",IF(AND(P442&lt;&gt;"",S442="",OR(Q442="",R442="")),"🟡 PENDÊNCIA SEM RESPONSÁVEL/PRAZO",IF(AND(ISNUMBER(R442),R442=TODAY()),"🟡 VENCE HOJE",IF(AND(P442&lt;&gt;"",S442=""),"🟡 PENDÊNCIA ABERTA",IF(AND(N(J442)&gt;0,N(K442)&lt;J442),"🟡 FALTA EXECUTAR",IF(OR(M442="PENDENTE",M442="PARCIAL"),"🟡 FATURAMENTO PENDENTE","🟡 EMBARQUE PENDENTE")))))))))))</f>
        <v/>
      </c>
      <c r="D442" s="4" t="n">
        <v>46254</v>
      </c>
      <c r="E442" s="5" t="inlineStr">
        <is>
          <t>C</t>
        </is>
      </c>
      <c r="F442" s="5" t="inlineStr">
        <is>
          <t>ADIB</t>
        </is>
      </c>
      <c r="G442" s="5" t="inlineStr">
        <is>
          <t>FM</t>
        </is>
      </c>
      <c r="H442" s="5" t="inlineStr">
        <is>
          <t>PANDURATA</t>
        </is>
      </c>
      <c r="I442" s="5" t="inlineStr">
        <is>
          <t>TON</t>
        </is>
      </c>
      <c r="J442" s="6" t="n">
        <v>12.948</v>
      </c>
      <c r="K442" s="6" t="n">
        <v>12.948</v>
      </c>
      <c r="L442" s="7">
        <f>IF(OR(D442="",N(J442)=0),"",MIN(1,N(K442)/J442))</f>
        <v/>
      </c>
      <c r="M442" s="5" t="inlineStr">
        <is>
          <t>FATURADO</t>
        </is>
      </c>
      <c r="N442" s="5" t="inlineStr">
        <is>
          <t>REALIZADO</t>
        </is>
      </c>
      <c r="O442" s="5" t="inlineStr">
        <is>
          <t>SPEEDYLOG</t>
        </is>
      </c>
      <c r="P442" s="5" t="n"/>
      <c r="Q442" s="5" t="n"/>
      <c r="R442" s="4" t="n"/>
      <c r="S442" s="4" t="n"/>
      <c r="T442" s="5" t="n"/>
      <c r="U442" s="8">
        <f>IF(AND(V442=1,D442&lt;&gt;""),IF(D442&gt;=corte,TODAY()-D442,""),"")</f>
        <v/>
      </c>
      <c r="V442" s="8">
        <f>IF(D442="",0,IF(OR(AND(P442&lt;&gt;"",S442=""),AND(N(J442)&gt;0,N(K442)&lt;J442),OR(M442="PENDENTE",M442="PARCIAL"),OR(N442="PENDENTE",N442="PARCIAL")),1,0))</f>
        <v/>
      </c>
      <c r="W442" s="8">
        <f>IF(AND(V442=1,D442&lt;&gt;""),IF(D442&gt;=corte,(B442="CRÍTICO")*1E9+(100000-D442)*10000+10000-ROW(),""),"")</f>
        <v/>
      </c>
      <c r="X442" s="8">
        <f>IF(AND(V442=1,D442=pas_data,E442=pas_turno),10000-ROW(),"")</f>
        <v/>
      </c>
    </row>
    <row r="443">
      <c r="A443" s="3">
        <f>IF(D443="","","TT-"&amp;TEXT(ROW()-1,"00000"))</f>
        <v/>
      </c>
      <c r="B443" s="3">
        <f>IF(D443="","",IF(V443=0,"CONCLUÍDO",IF(D443&lt;corte,"HISTÓRICO",IF(OR(AND(ISNUMBER(R443),R443&lt;TODAY()),AND(OR(N443="PENDENTE",N443="PARCIAL"),D443&lt;TODAY()-1)),"CRÍTICO",IF(OR(AND(P443&lt;&gt;"",S443=""),AND(N443="REALIZADO",M443="PENDENTE"),AND(ISNUMBER(R443),R443=TODAY())),"ATENÇÃO",IF(N(K443)=0,"PENDENTE","EM ANDAMENTO"))))))</f>
        <v/>
      </c>
      <c r="C443" s="3">
        <f>IF(D443="","",IF(V443=0,"🟢 OK",IF(D443&lt;corte,"⚪ HISTÓRICO (sem baixa)",IF(AND(ISNUMBER(R443),R443&lt;TODAY()),"🔴 PRAZO VENCIDO",IF(AND(OR(N443="PENDENTE",N443="PARCIAL"),D443&lt;TODAY()-1),"🔴 EMBARQUE ATRASADO",IF(AND(N443="REALIZADO",M443="PENDENTE"),"🟡 EMBARCADO SEM FATURAR",IF(AND(P443&lt;&gt;"",S443="",OR(Q443="",R443="")),"🟡 PENDÊNCIA SEM RESPONSÁVEL/PRAZO",IF(AND(ISNUMBER(R443),R443=TODAY()),"🟡 VENCE HOJE",IF(AND(P443&lt;&gt;"",S443=""),"🟡 PENDÊNCIA ABERTA",IF(AND(N(J443)&gt;0,N(K443)&lt;J443),"🟡 FALTA EXECUTAR",IF(OR(M443="PENDENTE",M443="PARCIAL"),"🟡 FATURAMENTO PENDENTE","🟡 EMBARQUE PENDENTE")))))))))))</f>
        <v/>
      </c>
      <c r="D443" s="4" t="n">
        <v>46254</v>
      </c>
      <c r="E443" s="5" t="inlineStr">
        <is>
          <t>C</t>
        </is>
      </c>
      <c r="F443" s="5" t="inlineStr">
        <is>
          <t>ADIB</t>
        </is>
      </c>
      <c r="G443" s="5" t="inlineStr">
        <is>
          <t>FOB</t>
        </is>
      </c>
      <c r="H443" s="5" t="inlineStr">
        <is>
          <t>COMERCIO ATACADISTA</t>
        </is>
      </c>
      <c r="I443" s="5" t="inlineStr">
        <is>
          <t>TON</t>
        </is>
      </c>
      <c r="J443" s="6" t="n">
        <v>8.933999999999999</v>
      </c>
      <c r="K443" s="6" t="n">
        <v>8.933999999999999</v>
      </c>
      <c r="L443" s="7">
        <f>IF(OR(D443="",N(J443)=0),"",MIN(1,N(K443)/J443))</f>
        <v/>
      </c>
      <c r="M443" s="5" t="inlineStr">
        <is>
          <t>FATURADO</t>
        </is>
      </c>
      <c r="N443" s="5" t="inlineStr">
        <is>
          <t>REALIZADO</t>
        </is>
      </c>
      <c r="O443" s="5" t="inlineStr">
        <is>
          <t>PRÓPRIO</t>
        </is>
      </c>
      <c r="P443" s="5" t="n"/>
      <c r="Q443" s="5" t="n"/>
      <c r="R443" s="4" t="n"/>
      <c r="S443" s="4" t="n"/>
      <c r="T443" s="5" t="inlineStr">
        <is>
          <t>SEPARADO CARREGADO E LIBERADO</t>
        </is>
      </c>
      <c r="U443" s="8">
        <f>IF(AND(V443=1,D443&lt;&gt;""),IF(D443&gt;=corte,TODAY()-D443,""),"")</f>
        <v/>
      </c>
      <c r="V443" s="8">
        <f>IF(D443="",0,IF(OR(AND(P443&lt;&gt;"",S443=""),AND(N(J443)&gt;0,N(K443)&lt;J443),OR(M443="PENDENTE",M443="PARCIAL"),OR(N443="PENDENTE",N443="PARCIAL")),1,0))</f>
        <v/>
      </c>
      <c r="W443" s="8">
        <f>IF(AND(V443=1,D443&lt;&gt;""),IF(D443&gt;=corte,(B443="CRÍTICO")*1E9+(100000-D443)*10000+10000-ROW(),""),"")</f>
        <v/>
      </c>
      <c r="X443" s="8">
        <f>IF(AND(V443=1,D443=pas_data,E443=pas_turno),10000-ROW(),"")</f>
        <v/>
      </c>
    </row>
    <row r="444">
      <c r="A444" s="3">
        <f>IF(D444="","","TT-"&amp;TEXT(ROW()-1,"00000"))</f>
        <v/>
      </c>
      <c r="B444" s="3">
        <f>IF(D444="","",IF(V444=0,"CONCLUÍDO",IF(D444&lt;corte,"HISTÓRICO",IF(OR(AND(ISNUMBER(R444),R444&lt;TODAY()),AND(OR(N444="PENDENTE",N444="PARCIAL"),D444&lt;TODAY()-1)),"CRÍTICO",IF(OR(AND(P444&lt;&gt;"",S444=""),AND(N444="REALIZADO",M444="PENDENTE"),AND(ISNUMBER(R444),R444=TODAY())),"ATENÇÃO",IF(N(K444)=0,"PENDENTE","EM ANDAMENTO"))))))</f>
        <v/>
      </c>
      <c r="C444" s="3">
        <f>IF(D444="","",IF(V444=0,"🟢 OK",IF(D444&lt;corte,"⚪ HISTÓRICO (sem baixa)",IF(AND(ISNUMBER(R444),R444&lt;TODAY()),"🔴 PRAZO VENCIDO",IF(AND(OR(N444="PENDENTE",N444="PARCIAL"),D444&lt;TODAY()-1),"🔴 EMBARQUE ATRASADO",IF(AND(N444="REALIZADO",M444="PENDENTE"),"🟡 EMBARCADO SEM FATURAR",IF(AND(P444&lt;&gt;"",S444="",OR(Q444="",R444="")),"🟡 PENDÊNCIA SEM RESPONSÁVEL/PRAZO",IF(AND(ISNUMBER(R444),R444=TODAY()),"🟡 VENCE HOJE",IF(AND(P444&lt;&gt;"",S444=""),"🟡 PENDÊNCIA ABERTA",IF(AND(N(J444)&gt;0,N(K444)&lt;J444),"🟡 FALTA EXECUTAR",IF(OR(M444="PENDENTE",M444="PARCIAL"),"🟡 FATURAMENTO PENDENTE","🟡 EMBARQUE PENDENTE")))))))))))</f>
        <v/>
      </c>
      <c r="D444" s="4" t="n">
        <v>46254</v>
      </c>
      <c r="E444" s="5" t="inlineStr">
        <is>
          <t>C</t>
        </is>
      </c>
      <c r="F444" s="5" t="inlineStr">
        <is>
          <t>ADIB</t>
        </is>
      </c>
      <c r="G444" s="5" t="inlineStr">
        <is>
          <t>CACAU</t>
        </is>
      </c>
      <c r="H444" s="5" t="inlineStr">
        <is>
          <t>CACAU BR15</t>
        </is>
      </c>
      <c r="I444" s="5" t="inlineStr">
        <is>
          <t>TON</t>
        </is>
      </c>
      <c r="J444" s="6" t="n">
        <v>15.9</v>
      </c>
      <c r="K444" s="6" t="n">
        <v>12.558</v>
      </c>
      <c r="L444" s="7">
        <f>IF(OR(D444="",N(J444)=0),"",MIN(1,N(K444)/J444))</f>
        <v/>
      </c>
      <c r="M444" s="5" t="inlineStr">
        <is>
          <t>PARCIAL</t>
        </is>
      </c>
      <c r="N444" s="5" t="inlineStr">
        <is>
          <t>PARCIAL</t>
        </is>
      </c>
      <c r="O444" s="5" t="inlineStr">
        <is>
          <t>SMARTLOG</t>
        </is>
      </c>
      <c r="P444" s="5" t="n"/>
      <c r="Q444" s="5" t="n"/>
      <c r="R444" s="4" t="n"/>
      <c r="S444" s="4" t="n"/>
      <c r="T444" s="5" t="n"/>
      <c r="U444" s="8">
        <f>IF(AND(V444=1,D444&lt;&gt;""),IF(D444&gt;=corte,TODAY()-D444,""),"")</f>
        <v/>
      </c>
      <c r="V444" s="8">
        <f>IF(D444="",0,IF(OR(AND(P444&lt;&gt;"",S444=""),AND(N(J444)&gt;0,N(K444)&lt;J444),OR(M444="PENDENTE",M444="PARCIAL"),OR(N444="PENDENTE",N444="PARCIAL")),1,0))</f>
        <v/>
      </c>
      <c r="W444" s="8">
        <f>IF(AND(V444=1,D444&lt;&gt;""),IF(D444&gt;=corte,(B444="CRÍTICO")*1E9+(100000-D444)*10000+10000-ROW(),""),"")</f>
        <v/>
      </c>
      <c r="X444" s="8">
        <f>IF(AND(V444=1,D444=pas_data,E444=pas_turno),10000-ROW(),"")</f>
        <v/>
      </c>
    </row>
    <row r="445">
      <c r="A445" s="3">
        <f>IF(D445="","","TT-"&amp;TEXT(ROW()-1,"00000"))</f>
        <v/>
      </c>
      <c r="B445" s="3">
        <f>IF(D445="","",IF(V445=0,"CONCLUÍDO",IF(D445&lt;corte,"HISTÓRICO",IF(OR(AND(ISNUMBER(R445),R445&lt;TODAY()),AND(OR(N445="PENDENTE",N445="PARCIAL"),D445&lt;TODAY()-1)),"CRÍTICO",IF(OR(AND(P445&lt;&gt;"",S445=""),AND(N445="REALIZADO",M445="PENDENTE"),AND(ISNUMBER(R445),R445=TODAY())),"ATENÇÃO",IF(N(K445)=0,"PENDENTE","EM ANDAMENTO"))))))</f>
        <v/>
      </c>
      <c r="C445" s="3">
        <f>IF(D445="","",IF(V445=0,"🟢 OK",IF(D445&lt;corte,"⚪ HISTÓRICO (sem baixa)",IF(AND(ISNUMBER(R445),R445&lt;TODAY()),"🔴 PRAZO VENCIDO",IF(AND(OR(N445="PENDENTE",N445="PARCIAL"),D445&lt;TODAY()-1),"🔴 EMBARQUE ATRASADO",IF(AND(N445="REALIZADO",M445="PENDENTE"),"🟡 EMBARCADO SEM FATURAR",IF(AND(P445&lt;&gt;"",S445="",OR(Q445="",R445="")),"🟡 PENDÊNCIA SEM RESPONSÁVEL/PRAZO",IF(AND(ISNUMBER(R445),R445=TODAY()),"🟡 VENCE HOJE",IF(AND(P445&lt;&gt;"",S445=""),"🟡 PENDÊNCIA ABERTA",IF(AND(N(J445)&gt;0,N(K445)&lt;J445),"🟡 FALTA EXECUTAR",IF(OR(M445="PENDENTE",M445="PARCIAL"),"🟡 FATURAMENTO PENDENTE","🟡 EMBARQUE PENDENTE")))))))))))</f>
        <v/>
      </c>
      <c r="D445" s="4" t="n">
        <v>46254</v>
      </c>
      <c r="E445" s="5" t="inlineStr">
        <is>
          <t>D</t>
        </is>
      </c>
      <c r="F445" s="5" t="inlineStr">
        <is>
          <t>VINICIUS</t>
        </is>
      </c>
      <c r="G445" s="5" t="inlineStr">
        <is>
          <t>GM</t>
        </is>
      </c>
      <c r="H445" s="5" t="inlineStr">
        <is>
          <t>AGENDADAS SMART</t>
        </is>
      </c>
      <c r="I445" s="5" t="inlineStr">
        <is>
          <t>TON</t>
        </is>
      </c>
      <c r="J445" s="6" t="n">
        <v>46.02</v>
      </c>
      <c r="K445" s="6" t="n">
        <v>37.777</v>
      </c>
      <c r="L445" s="7">
        <f>IF(OR(D445="",N(J445)=0),"",MIN(1,N(K445)/J445))</f>
        <v/>
      </c>
      <c r="M445" s="5" t="inlineStr">
        <is>
          <t>PARCIAL</t>
        </is>
      </c>
      <c r="N445" s="5" t="inlineStr">
        <is>
          <t>PENDENTE</t>
        </is>
      </c>
      <c r="O445" s="5" t="inlineStr">
        <is>
          <t>SMARTLOG</t>
        </is>
      </c>
      <c r="P445" s="5" t="n"/>
      <c r="Q445" s="5" t="n"/>
      <c r="R445" s="4" t="n"/>
      <c r="S445" s="4" t="n"/>
      <c r="T445" s="5" t="inlineStr">
        <is>
          <t>GERADO - SEPARADO E FATURADO PARCIAL</t>
        </is>
      </c>
      <c r="U445" s="8">
        <f>IF(AND(V445=1,D445&lt;&gt;""),IF(D445&gt;=corte,TODAY()-D445,""),"")</f>
        <v/>
      </c>
      <c r="V445" s="8">
        <f>IF(D445="",0,IF(OR(AND(P445&lt;&gt;"",S445=""),AND(N(J445)&gt;0,N(K445)&lt;J445),OR(M445="PENDENTE",M445="PARCIAL"),OR(N445="PENDENTE",N445="PARCIAL")),1,0))</f>
        <v/>
      </c>
      <c r="W445" s="8">
        <f>IF(AND(V445=1,D445&lt;&gt;""),IF(D445&gt;=corte,(B445="CRÍTICO")*1E9+(100000-D445)*10000+10000-ROW(),""),"")</f>
        <v/>
      </c>
      <c r="X445" s="8">
        <f>IF(AND(V445=1,D445=pas_data,E445=pas_turno),10000-ROW(),"")</f>
        <v/>
      </c>
    </row>
    <row r="446">
      <c r="A446" s="3">
        <f>IF(D446="","","TT-"&amp;TEXT(ROW()-1,"00000"))</f>
        <v/>
      </c>
      <c r="B446" s="3">
        <f>IF(D446="","",IF(V446=0,"CONCLUÍDO",IF(D446&lt;corte,"HISTÓRICO",IF(OR(AND(ISNUMBER(R446),R446&lt;TODAY()),AND(OR(N446="PENDENTE",N446="PARCIAL"),D446&lt;TODAY()-1)),"CRÍTICO",IF(OR(AND(P446&lt;&gt;"",S446=""),AND(N446="REALIZADO",M446="PENDENTE"),AND(ISNUMBER(R446),R446=TODAY())),"ATENÇÃO",IF(N(K446)=0,"PENDENTE","EM ANDAMENTO"))))))</f>
        <v/>
      </c>
      <c r="C446" s="3">
        <f>IF(D446="","",IF(V446=0,"🟢 OK",IF(D446&lt;corte,"⚪ HISTÓRICO (sem baixa)",IF(AND(ISNUMBER(R446),R446&lt;TODAY()),"🔴 PRAZO VENCIDO",IF(AND(OR(N446="PENDENTE",N446="PARCIAL"),D446&lt;TODAY()-1),"🔴 EMBARQUE ATRASADO",IF(AND(N446="REALIZADO",M446="PENDENTE"),"🟡 EMBARCADO SEM FATURAR",IF(AND(P446&lt;&gt;"",S446="",OR(Q446="",R446="")),"🟡 PENDÊNCIA SEM RESPONSÁVEL/PRAZO",IF(AND(ISNUMBER(R446),R446=TODAY()),"🟡 VENCE HOJE",IF(AND(P446&lt;&gt;"",S446=""),"🟡 PENDÊNCIA ABERTA",IF(AND(N(J446)&gt;0,N(K446)&lt;J446),"🟡 FALTA EXECUTAR",IF(OR(M446="PENDENTE",M446="PARCIAL"),"🟡 FATURAMENTO PENDENTE","🟡 EMBARQUE PENDENTE")))))))))))</f>
        <v/>
      </c>
      <c r="D446" s="4" t="n">
        <v>46254</v>
      </c>
      <c r="E446" s="5" t="inlineStr">
        <is>
          <t>D</t>
        </is>
      </c>
      <c r="F446" s="5" t="inlineStr">
        <is>
          <t>VINICIUS</t>
        </is>
      </c>
      <c r="G446" s="5" t="inlineStr">
        <is>
          <t>MOVIMENTAÇÃO</t>
        </is>
      </c>
      <c r="H446" s="5" t="inlineStr">
        <is>
          <t>QUALIDADE</t>
        </is>
      </c>
      <c r="I446" s="5" t="inlineStr">
        <is>
          <t>PALETE</t>
        </is>
      </c>
      <c r="J446" s="6" t="n">
        <v>44</v>
      </c>
      <c r="K446" s="6" t="n">
        <v>44</v>
      </c>
      <c r="L446" s="7">
        <f>IF(OR(D446="",N(J446)=0),"",MIN(1,N(K446)/J446))</f>
        <v/>
      </c>
      <c r="M446" s="5" t="n"/>
      <c r="N446" s="5" t="n"/>
      <c r="O446" s="5" t="n"/>
      <c r="P446" s="5" t="n"/>
      <c r="Q446" s="5" t="n"/>
      <c r="R446" s="4" t="n"/>
      <c r="S446" s="4" t="n"/>
      <c r="T446" s="5" t="inlineStr">
        <is>
          <t>CAIXAS RETIRADAS PARA QUALIDADE</t>
        </is>
      </c>
      <c r="U446" s="8">
        <f>IF(AND(V446=1,D446&lt;&gt;""),IF(D446&gt;=corte,TODAY()-D446,""),"")</f>
        <v/>
      </c>
      <c r="V446" s="8">
        <f>IF(D446="",0,IF(OR(AND(P446&lt;&gt;"",S446=""),AND(N(J446)&gt;0,N(K446)&lt;J446),OR(M446="PENDENTE",M446="PARCIAL"),OR(N446="PENDENTE",N446="PARCIAL")),1,0))</f>
        <v/>
      </c>
      <c r="W446" s="8">
        <f>IF(AND(V446=1,D446&lt;&gt;""),IF(D446&gt;=corte,(B446="CRÍTICO")*1E9+(100000-D446)*10000+10000-ROW(),""),"")</f>
        <v/>
      </c>
      <c r="X446" s="8">
        <f>IF(AND(V446=1,D446=pas_data,E446=pas_turno),10000-ROW(),"")</f>
        <v/>
      </c>
    </row>
    <row r="447">
      <c r="A447" s="3">
        <f>IF(D447="","","TT-"&amp;TEXT(ROW()-1,"00000"))</f>
        <v/>
      </c>
      <c r="B447" s="3">
        <f>IF(D447="","",IF(V447=0,"CONCLUÍDO",IF(D447&lt;corte,"HISTÓRICO",IF(OR(AND(ISNUMBER(R447),R447&lt;TODAY()),AND(OR(N447="PENDENTE",N447="PARCIAL"),D447&lt;TODAY()-1)),"CRÍTICO",IF(OR(AND(P447&lt;&gt;"",S447=""),AND(N447="REALIZADO",M447="PENDENTE"),AND(ISNUMBER(R447),R447=TODAY())),"ATENÇÃO",IF(N(K447)=0,"PENDENTE","EM ANDAMENTO"))))))</f>
        <v/>
      </c>
      <c r="C447" s="3">
        <f>IF(D447="","",IF(V447=0,"🟢 OK",IF(D447&lt;corte,"⚪ HISTÓRICO (sem baixa)",IF(AND(ISNUMBER(R447),R447&lt;TODAY()),"🔴 PRAZO VENCIDO",IF(AND(OR(N447="PENDENTE",N447="PARCIAL"),D447&lt;TODAY()-1),"🔴 EMBARQUE ATRASADO",IF(AND(N447="REALIZADO",M447="PENDENTE"),"🟡 EMBARCADO SEM FATURAR",IF(AND(P447&lt;&gt;"",S447="",OR(Q447="",R447="")),"🟡 PENDÊNCIA SEM RESPONSÁVEL/PRAZO",IF(AND(ISNUMBER(R447),R447=TODAY()),"🟡 VENCE HOJE",IF(AND(P447&lt;&gt;"",S447=""),"🟡 PENDÊNCIA ABERTA",IF(AND(N(J447)&gt;0,N(K447)&lt;J447),"🟡 FALTA EXECUTAR",IF(OR(M447="PENDENTE",M447="PARCIAL"),"🟡 FATURAMENTO PENDENTE","🟡 EMBARQUE PENDENTE")))))))))))</f>
        <v/>
      </c>
      <c r="D447" s="4" t="n">
        <v>46254</v>
      </c>
      <c r="E447" s="5" t="inlineStr">
        <is>
          <t>D</t>
        </is>
      </c>
      <c r="F447" s="5" t="inlineStr">
        <is>
          <t>VINICIUS</t>
        </is>
      </c>
      <c r="G447" s="5" t="inlineStr">
        <is>
          <t>FM</t>
        </is>
      </c>
      <c r="H447" s="5" t="inlineStr">
        <is>
          <t>PANDURATA</t>
        </is>
      </c>
      <c r="I447" s="5" t="inlineStr">
        <is>
          <t>TON</t>
        </is>
      </c>
      <c r="J447" s="6" t="n">
        <v>28.054</v>
      </c>
      <c r="K447" s="6" t="n">
        <v>28.054</v>
      </c>
      <c r="L447" s="7">
        <f>IF(OR(D447="",N(J447)=0),"",MIN(1,N(K447)/J447))</f>
        <v/>
      </c>
      <c r="M447" s="5" t="inlineStr">
        <is>
          <t>PENDENTE</t>
        </is>
      </c>
      <c r="N447" s="5" t="inlineStr">
        <is>
          <t>PENDENTE</t>
        </is>
      </c>
      <c r="O447" s="5" t="inlineStr">
        <is>
          <t>SPEEDYLOG</t>
        </is>
      </c>
      <c r="P447" s="5" t="n"/>
      <c r="Q447" s="5" t="n"/>
      <c r="R447" s="4" t="n"/>
      <c r="S447" s="4" t="n"/>
      <c r="T447" s="5" t="inlineStr">
        <is>
          <t>SEPARADO</t>
        </is>
      </c>
      <c r="U447" s="8">
        <f>IF(AND(V447=1,D447&lt;&gt;""),IF(D447&gt;=corte,TODAY()-D447,""),"")</f>
        <v/>
      </c>
      <c r="V447" s="8">
        <f>IF(D447="",0,IF(OR(AND(P447&lt;&gt;"",S447=""),AND(N(J447)&gt;0,N(K447)&lt;J447),OR(M447="PENDENTE",M447="PARCIAL"),OR(N447="PENDENTE",N447="PARCIAL")),1,0))</f>
        <v/>
      </c>
      <c r="W447" s="8">
        <f>IF(AND(V447=1,D447&lt;&gt;""),IF(D447&gt;=corte,(B447="CRÍTICO")*1E9+(100000-D447)*10000+10000-ROW(),""),"")</f>
        <v/>
      </c>
      <c r="X447" s="8">
        <f>IF(AND(V447=1,D447=pas_data,E447=pas_turno),10000-ROW(),"")</f>
        <v/>
      </c>
    </row>
    <row r="448">
      <c r="A448" s="3">
        <f>IF(D448="","","TT-"&amp;TEXT(ROW()-1,"00000"))</f>
        <v/>
      </c>
      <c r="B448" s="3">
        <f>IF(D448="","",IF(V448=0,"CONCLUÍDO",IF(D448&lt;corte,"HISTÓRICO",IF(OR(AND(ISNUMBER(R448),R448&lt;TODAY()),AND(OR(N448="PENDENTE",N448="PARCIAL"),D448&lt;TODAY()-1)),"CRÍTICO",IF(OR(AND(P448&lt;&gt;"",S448=""),AND(N448="REALIZADO",M448="PENDENTE"),AND(ISNUMBER(R448),R448=TODAY())),"ATENÇÃO",IF(N(K448)=0,"PENDENTE","EM ANDAMENTO"))))))</f>
        <v/>
      </c>
      <c r="C448" s="3">
        <f>IF(D448="","",IF(V448=0,"🟢 OK",IF(D448&lt;corte,"⚪ HISTÓRICO (sem baixa)",IF(AND(ISNUMBER(R448),R448&lt;TODAY()),"🔴 PRAZO VENCIDO",IF(AND(OR(N448="PENDENTE",N448="PARCIAL"),D448&lt;TODAY()-1),"🔴 EMBARQUE ATRASADO",IF(AND(N448="REALIZADO",M448="PENDENTE"),"🟡 EMBARCADO SEM FATURAR",IF(AND(P448&lt;&gt;"",S448="",OR(Q448="",R448="")),"🟡 PENDÊNCIA SEM RESPONSÁVEL/PRAZO",IF(AND(ISNUMBER(R448),R448=TODAY()),"🟡 VENCE HOJE",IF(AND(P448&lt;&gt;"",S448=""),"🟡 PENDÊNCIA ABERTA",IF(AND(N(J448)&gt;0,N(K448)&lt;J448),"🟡 FALTA EXECUTAR",IF(OR(M448="PENDENTE",M448="PARCIAL"),"🟡 FATURAMENTO PENDENTE","🟡 EMBARQUE PENDENTE")))))))))))</f>
        <v/>
      </c>
      <c r="D448" s="4" t="n">
        <v>46254</v>
      </c>
      <c r="E448" s="5" t="inlineStr">
        <is>
          <t>D</t>
        </is>
      </c>
      <c r="F448" s="5" t="inlineStr">
        <is>
          <t>VINICIUS</t>
        </is>
      </c>
      <c r="G448" s="5" t="inlineStr">
        <is>
          <t>FM</t>
        </is>
      </c>
      <c r="H448" s="5" t="inlineStr">
        <is>
          <t>MARILAN</t>
        </is>
      </c>
      <c r="I448" s="5" t="inlineStr">
        <is>
          <t>TON</t>
        </is>
      </c>
      <c r="J448" s="6" t="n">
        <v>21.58</v>
      </c>
      <c r="K448" s="6" t="n">
        <v>21.58</v>
      </c>
      <c r="L448" s="7">
        <f>IF(OR(D448="",N(J448)=0),"",MIN(1,N(K448)/J448))</f>
        <v/>
      </c>
      <c r="M448" s="5" t="inlineStr">
        <is>
          <t>FATURADO</t>
        </is>
      </c>
      <c r="N448" s="5" t="inlineStr">
        <is>
          <t>REALIZADO</t>
        </is>
      </c>
      <c r="O448" s="5" t="inlineStr">
        <is>
          <t>SPEEDYLOG</t>
        </is>
      </c>
      <c r="P448" s="5" t="n"/>
      <c r="Q448" s="5" t="n"/>
      <c r="R448" s="4" t="n"/>
      <c r="S448" s="4" t="n"/>
      <c r="T448" s="5" t="inlineStr">
        <is>
          <t>CARREGADO E LIBERADO</t>
        </is>
      </c>
      <c r="U448" s="8">
        <f>IF(AND(V448=1,D448&lt;&gt;""),IF(D448&gt;=corte,TODAY()-D448,""),"")</f>
        <v/>
      </c>
      <c r="V448" s="8">
        <f>IF(D448="",0,IF(OR(AND(P448&lt;&gt;"",S448=""),AND(N(J448)&gt;0,N(K448)&lt;J448),OR(M448="PENDENTE",M448="PARCIAL"),OR(N448="PENDENTE",N448="PARCIAL")),1,0))</f>
        <v/>
      </c>
      <c r="W448" s="8">
        <f>IF(AND(V448=1,D448&lt;&gt;""),IF(D448&gt;=corte,(B448="CRÍTICO")*1E9+(100000-D448)*10000+10000-ROW(),""),"")</f>
        <v/>
      </c>
      <c r="X448" s="8">
        <f>IF(AND(V448=1,D448=pas_data,E448=pas_turno),10000-ROW(),"")</f>
        <v/>
      </c>
    </row>
    <row r="449">
      <c r="A449" s="3">
        <f>IF(D449="","","TT-"&amp;TEXT(ROW()-1,"00000"))</f>
        <v/>
      </c>
      <c r="B449" s="3">
        <f>IF(D449="","",IF(V449=0,"CONCLUÍDO",IF(D449&lt;corte,"HISTÓRICO",IF(OR(AND(ISNUMBER(R449),R449&lt;TODAY()),AND(OR(N449="PENDENTE",N449="PARCIAL"),D449&lt;TODAY()-1)),"CRÍTICO",IF(OR(AND(P449&lt;&gt;"",S449=""),AND(N449="REALIZADO",M449="PENDENTE"),AND(ISNUMBER(R449),R449=TODAY())),"ATENÇÃO",IF(N(K449)=0,"PENDENTE","EM ANDAMENTO"))))))</f>
        <v/>
      </c>
      <c r="C449" s="3">
        <f>IF(D449="","",IF(V449=0,"🟢 OK",IF(D449&lt;corte,"⚪ HISTÓRICO (sem baixa)",IF(AND(ISNUMBER(R449),R449&lt;TODAY()),"🔴 PRAZO VENCIDO",IF(AND(OR(N449="PENDENTE",N449="PARCIAL"),D449&lt;TODAY()-1),"🔴 EMBARQUE ATRASADO",IF(AND(N449="REALIZADO",M449="PENDENTE"),"🟡 EMBARCADO SEM FATURAR",IF(AND(P449&lt;&gt;"",S449="",OR(Q449="",R449="")),"🟡 PENDÊNCIA SEM RESPONSÁVEL/PRAZO",IF(AND(ISNUMBER(R449),R449=TODAY()),"🟡 VENCE HOJE",IF(AND(P449&lt;&gt;"",S449=""),"🟡 PENDÊNCIA ABERTA",IF(AND(N(J449)&gt;0,N(K449)&lt;J449),"🟡 FALTA EXECUTAR",IF(OR(M449="PENDENTE",M449="PARCIAL"),"🟡 FATURAMENTO PENDENTE","🟡 EMBARQUE PENDENTE")))))))))))</f>
        <v/>
      </c>
      <c r="D449" s="4" t="n">
        <v>46254</v>
      </c>
      <c r="E449" s="5" t="inlineStr">
        <is>
          <t>D</t>
        </is>
      </c>
      <c r="F449" s="5" t="inlineStr">
        <is>
          <t>VINICIUS</t>
        </is>
      </c>
      <c r="G449" s="5" t="inlineStr">
        <is>
          <t>FOB</t>
        </is>
      </c>
      <c r="H449" s="5" t="inlineStr">
        <is>
          <t>LUZIA MEIRE</t>
        </is>
      </c>
      <c r="I449" s="5" t="inlineStr">
        <is>
          <t>TON</t>
        </is>
      </c>
      <c r="J449" s="6" t="n">
        <v>19.146</v>
      </c>
      <c r="K449" s="6" t="n">
        <v>19.146</v>
      </c>
      <c r="L449" s="7">
        <f>IF(OR(D449="",N(J449)=0),"",MIN(1,N(K449)/J449))</f>
        <v/>
      </c>
      <c r="M449" s="5" t="inlineStr">
        <is>
          <t>FATURADO</t>
        </is>
      </c>
      <c r="N449" s="5" t="inlineStr">
        <is>
          <t>PENDENTE</t>
        </is>
      </c>
      <c r="O449" s="5" t="inlineStr">
        <is>
          <t>FIRMEZA</t>
        </is>
      </c>
      <c r="P449" s="5" t="inlineStr">
        <is>
          <t>FATURADO - AGUARDANDO COLETA</t>
        </is>
      </c>
      <c r="Q449" s="5" t="n"/>
      <c r="R449" s="4" t="n"/>
      <c r="S449" s="4" t="n"/>
      <c r="T449" s="5" t="inlineStr">
        <is>
          <t>FATURADO - AGUARDANDO COLETA</t>
        </is>
      </c>
      <c r="U449" s="8">
        <f>IF(AND(V449=1,D449&lt;&gt;""),IF(D449&gt;=corte,TODAY()-D449,""),"")</f>
        <v/>
      </c>
      <c r="V449" s="8">
        <f>IF(D449="",0,IF(OR(AND(P449&lt;&gt;"",S449=""),AND(N(J449)&gt;0,N(K449)&lt;J449),OR(M449="PENDENTE",M449="PARCIAL"),OR(N449="PENDENTE",N449="PARCIAL")),1,0))</f>
        <v/>
      </c>
      <c r="W449" s="8">
        <f>IF(AND(V449=1,D449&lt;&gt;""),IF(D449&gt;=corte,(B449="CRÍTICO")*1E9+(100000-D449)*10000+10000-ROW(),""),"")</f>
        <v/>
      </c>
      <c r="X449" s="8">
        <f>IF(AND(V449=1,D449=pas_data,E449=pas_turno),10000-ROW(),"")</f>
        <v/>
      </c>
    </row>
    <row r="450">
      <c r="A450" s="3">
        <f>IF(D450="","","TT-"&amp;TEXT(ROW()-1,"00000"))</f>
        <v/>
      </c>
      <c r="B450" s="3">
        <f>IF(D450="","",IF(V450=0,"CONCLUÍDO",IF(D450&lt;corte,"HISTÓRICO",IF(OR(AND(ISNUMBER(R450),R450&lt;TODAY()),AND(OR(N450="PENDENTE",N450="PARCIAL"),D450&lt;TODAY()-1)),"CRÍTICO",IF(OR(AND(P450&lt;&gt;"",S450=""),AND(N450="REALIZADO",M450="PENDENTE"),AND(ISNUMBER(R450),R450=TODAY())),"ATENÇÃO",IF(N(K450)=0,"PENDENTE","EM ANDAMENTO"))))))</f>
        <v/>
      </c>
      <c r="C450" s="3">
        <f>IF(D450="","",IF(V450=0,"🟢 OK",IF(D450&lt;corte,"⚪ HISTÓRICO (sem baixa)",IF(AND(ISNUMBER(R450),R450&lt;TODAY()),"🔴 PRAZO VENCIDO",IF(AND(OR(N450="PENDENTE",N450="PARCIAL"),D450&lt;TODAY()-1),"🔴 EMBARQUE ATRASADO",IF(AND(N450="REALIZADO",M450="PENDENTE"),"🟡 EMBARCADO SEM FATURAR",IF(AND(P450&lt;&gt;"",S450="",OR(Q450="",R450="")),"🟡 PENDÊNCIA SEM RESPONSÁVEL/PRAZO",IF(AND(ISNUMBER(R450),R450=TODAY()),"🟡 VENCE HOJE",IF(AND(P450&lt;&gt;"",S450=""),"🟡 PENDÊNCIA ABERTA",IF(AND(N(J450)&gt;0,N(K450)&lt;J450),"🟡 FALTA EXECUTAR",IF(OR(M450="PENDENTE",M450="PARCIAL"),"🟡 FATURAMENTO PENDENTE","🟡 EMBARQUE PENDENTE")))))))))))</f>
        <v/>
      </c>
      <c r="D450" s="4" t="n">
        <v>46255</v>
      </c>
      <c r="E450" s="5" t="inlineStr">
        <is>
          <t>A</t>
        </is>
      </c>
      <c r="F450" s="5" t="inlineStr">
        <is>
          <t>TATIANE</t>
        </is>
      </c>
      <c r="G450" s="5" t="inlineStr">
        <is>
          <t>GM</t>
        </is>
      </c>
      <c r="H450" s="5" t="inlineStr">
        <is>
          <t>CROSS 12 SP DIRETA D2</t>
        </is>
      </c>
      <c r="I450" s="5" t="inlineStr">
        <is>
          <t>TON</t>
        </is>
      </c>
      <c r="J450" s="6" t="n">
        <v>16.9</v>
      </c>
      <c r="K450" s="6" t="n"/>
      <c r="L450" s="7">
        <f>IF(OR(D450="",N(J450)=0),"",MIN(1,N(K450)/J450))</f>
        <v/>
      </c>
      <c r="M450" s="5" t="inlineStr">
        <is>
          <t>PENDENTE</t>
        </is>
      </c>
      <c r="N450" s="5" t="inlineStr">
        <is>
          <t>PENDENTE</t>
        </is>
      </c>
      <c r="O450" s="5" t="inlineStr">
        <is>
          <t>D2</t>
        </is>
      </c>
      <c r="P450" s="5" t="inlineStr">
        <is>
          <t>ABASTECIDO - PENDENTE GERAR</t>
        </is>
      </c>
      <c r="Q450" s="5" t="n"/>
      <c r="R450" s="4" t="n"/>
      <c r="S450" s="4" t="n"/>
      <c r="T450" s="5" t="inlineStr">
        <is>
          <t>ABASTECIDO - PENDENTE GERAR</t>
        </is>
      </c>
      <c r="U450" s="8">
        <f>IF(AND(V450=1,D450&lt;&gt;""),IF(D450&gt;=corte,TODAY()-D450,""),"")</f>
        <v/>
      </c>
      <c r="V450" s="8">
        <f>IF(D450="",0,IF(OR(AND(P450&lt;&gt;"",S450=""),AND(N(J450)&gt;0,N(K450)&lt;J450),OR(M450="PENDENTE",M450="PARCIAL"),OR(N450="PENDENTE",N450="PARCIAL")),1,0))</f>
        <v/>
      </c>
      <c r="W450" s="8">
        <f>IF(AND(V450=1,D450&lt;&gt;""),IF(D450&gt;=corte,(B450="CRÍTICO")*1E9+(100000-D450)*10000+10000-ROW(),""),"")</f>
        <v/>
      </c>
      <c r="X450" s="8">
        <f>IF(AND(V450=1,D450=pas_data,E450=pas_turno),10000-ROW(),"")</f>
        <v/>
      </c>
    </row>
    <row r="451">
      <c r="A451" s="3">
        <f>IF(D451="","","TT-"&amp;TEXT(ROW()-1,"00000"))</f>
        <v/>
      </c>
      <c r="B451" s="3">
        <f>IF(D451="","",IF(V451=0,"CONCLUÍDO",IF(D451&lt;corte,"HISTÓRICO",IF(OR(AND(ISNUMBER(R451),R451&lt;TODAY()),AND(OR(N451="PENDENTE",N451="PARCIAL"),D451&lt;TODAY()-1)),"CRÍTICO",IF(OR(AND(P451&lt;&gt;"",S451=""),AND(N451="REALIZADO",M451="PENDENTE"),AND(ISNUMBER(R451),R451=TODAY())),"ATENÇÃO",IF(N(K451)=0,"PENDENTE","EM ANDAMENTO"))))))</f>
        <v/>
      </c>
      <c r="C451" s="3">
        <f>IF(D451="","",IF(V451=0,"🟢 OK",IF(D451&lt;corte,"⚪ HISTÓRICO (sem baixa)",IF(AND(ISNUMBER(R451),R451&lt;TODAY()),"🔴 PRAZO VENCIDO",IF(AND(OR(N451="PENDENTE",N451="PARCIAL"),D451&lt;TODAY()-1),"🔴 EMBARQUE ATRASADO",IF(AND(N451="REALIZADO",M451="PENDENTE"),"🟡 EMBARCADO SEM FATURAR",IF(AND(P451&lt;&gt;"",S451="",OR(Q451="",R451="")),"🟡 PENDÊNCIA SEM RESPONSÁVEL/PRAZO",IF(AND(ISNUMBER(R451),R451=TODAY()),"🟡 VENCE HOJE",IF(AND(P451&lt;&gt;"",S451=""),"🟡 PENDÊNCIA ABERTA",IF(AND(N(J451)&gt;0,N(K451)&lt;J451),"🟡 FALTA EXECUTAR",IF(OR(M451="PENDENTE",M451="PARCIAL"),"🟡 FATURAMENTO PENDENTE","🟡 EMBARQUE PENDENTE")))))))))))</f>
        <v/>
      </c>
      <c r="D451" s="4" t="n">
        <v>46255</v>
      </c>
      <c r="E451" s="5" t="inlineStr">
        <is>
          <t>A</t>
        </is>
      </c>
      <c r="F451" s="5" t="inlineStr">
        <is>
          <t>TATIANE</t>
        </is>
      </c>
      <c r="G451" s="5" t="inlineStr">
        <is>
          <t>GM</t>
        </is>
      </c>
      <c r="H451" s="5" t="inlineStr">
        <is>
          <t>SP</t>
        </is>
      </c>
      <c r="I451" s="5" t="inlineStr">
        <is>
          <t>TON</t>
        </is>
      </c>
      <c r="J451" s="6" t="n">
        <v>58.68</v>
      </c>
      <c r="K451" s="6" t="n">
        <v>58.68</v>
      </c>
      <c r="L451" s="7">
        <f>IF(OR(D451="",N(J451)=0),"",MIN(1,N(K451)/J451))</f>
        <v/>
      </c>
      <c r="M451" s="5" t="inlineStr">
        <is>
          <t>FATURADO</t>
        </is>
      </c>
      <c r="N451" s="5" t="inlineStr">
        <is>
          <t>REALIZADO</t>
        </is>
      </c>
      <c r="O451" s="5" t="inlineStr">
        <is>
          <t>SMARTLOG</t>
        </is>
      </c>
      <c r="P451" s="5" t="n"/>
      <c r="Q451" s="5" t="n"/>
      <c r="R451" s="4" t="n"/>
      <c r="S451" s="4" t="n"/>
      <c r="T451" s="5" t="n"/>
      <c r="U451" s="8">
        <f>IF(AND(V451=1,D451&lt;&gt;""),IF(D451&gt;=corte,TODAY()-D451,""),"")</f>
        <v/>
      </c>
      <c r="V451" s="8">
        <f>IF(D451="",0,IF(OR(AND(P451&lt;&gt;"",S451=""),AND(N(J451)&gt;0,N(K451)&lt;J451),OR(M451="PENDENTE",M451="PARCIAL"),OR(N451="PENDENTE",N451="PARCIAL")),1,0))</f>
        <v/>
      </c>
      <c r="W451" s="8">
        <f>IF(AND(V451=1,D451&lt;&gt;""),IF(D451&gt;=corte,(B451="CRÍTICO")*1E9+(100000-D451)*10000+10000-ROW(),""),"")</f>
        <v/>
      </c>
      <c r="X451" s="8">
        <f>IF(AND(V451=1,D451=pas_data,E451=pas_turno),10000-ROW(),"")</f>
        <v/>
      </c>
    </row>
    <row r="452">
      <c r="A452" s="3">
        <f>IF(D452="","","TT-"&amp;TEXT(ROW()-1,"00000"))</f>
        <v/>
      </c>
      <c r="B452" s="3">
        <f>IF(D452="","",IF(V452=0,"CONCLUÍDO",IF(D452&lt;corte,"HISTÓRICO",IF(OR(AND(ISNUMBER(R452),R452&lt;TODAY()),AND(OR(N452="PENDENTE",N452="PARCIAL"),D452&lt;TODAY()-1)),"CRÍTICO",IF(OR(AND(P452&lt;&gt;"",S452=""),AND(N452="REALIZADO",M452="PENDENTE"),AND(ISNUMBER(R452),R452=TODAY())),"ATENÇÃO",IF(N(K452)=0,"PENDENTE","EM ANDAMENTO"))))))</f>
        <v/>
      </c>
      <c r="C452" s="3">
        <f>IF(D452="","",IF(V452=0,"🟢 OK",IF(D452&lt;corte,"⚪ HISTÓRICO (sem baixa)",IF(AND(ISNUMBER(R452),R452&lt;TODAY()),"🔴 PRAZO VENCIDO",IF(AND(OR(N452="PENDENTE",N452="PARCIAL"),D452&lt;TODAY()-1),"🔴 EMBARQUE ATRASADO",IF(AND(N452="REALIZADO",M452="PENDENTE"),"🟡 EMBARCADO SEM FATURAR",IF(AND(P452&lt;&gt;"",S452="",OR(Q452="",R452="")),"🟡 PENDÊNCIA SEM RESPONSÁVEL/PRAZO",IF(AND(ISNUMBER(R452),R452=TODAY()),"🟡 VENCE HOJE",IF(AND(P452&lt;&gt;"",S452=""),"🟡 PENDÊNCIA ABERTA",IF(AND(N(J452)&gt;0,N(K452)&lt;J452),"🟡 FALTA EXECUTAR",IF(OR(M452="PENDENTE",M452="PARCIAL"),"🟡 FATURAMENTO PENDENTE","🟡 EMBARQUE PENDENTE")))))))))))</f>
        <v/>
      </c>
      <c r="D452" s="4" t="n">
        <v>46255</v>
      </c>
      <c r="E452" s="5" t="inlineStr">
        <is>
          <t>A</t>
        </is>
      </c>
      <c r="F452" s="5" t="inlineStr">
        <is>
          <t>TATIANE</t>
        </is>
      </c>
      <c r="G452" s="5" t="inlineStr">
        <is>
          <t>FOB</t>
        </is>
      </c>
      <c r="H452" s="5" t="inlineStr">
        <is>
          <t>OC ALIMENTOS</t>
        </is>
      </c>
      <c r="I452" s="5" t="inlineStr">
        <is>
          <t>TON</t>
        </is>
      </c>
      <c r="J452" s="6" t="n">
        <v>0.751</v>
      </c>
      <c r="K452" s="6" t="n"/>
      <c r="L452" s="7">
        <f>IF(OR(D452="",N(J452)=0),"",MIN(1,N(K452)/J452))</f>
        <v/>
      </c>
      <c r="M452" s="5" t="inlineStr">
        <is>
          <t>PENDENTE</t>
        </is>
      </c>
      <c r="N452" s="5" t="inlineStr">
        <is>
          <t>PENDENTE</t>
        </is>
      </c>
      <c r="O452" s="5" t="n"/>
      <c r="P452" s="5" t="inlineStr">
        <is>
          <t>GERAR DO ZERO</t>
        </is>
      </c>
      <c r="Q452" s="5" t="n"/>
      <c r="R452" s="4" t="n"/>
      <c r="S452" s="4" t="n"/>
      <c r="T452" s="5" t="inlineStr">
        <is>
          <t>GERAR DO ZERO</t>
        </is>
      </c>
      <c r="U452" s="8">
        <f>IF(AND(V452=1,D452&lt;&gt;""),IF(D452&gt;=corte,TODAY()-D452,""),"")</f>
        <v/>
      </c>
      <c r="V452" s="8">
        <f>IF(D452="",0,IF(OR(AND(P452&lt;&gt;"",S452=""),AND(N(J452)&gt;0,N(K452)&lt;J452),OR(M452="PENDENTE",M452="PARCIAL"),OR(N452="PENDENTE",N452="PARCIAL")),1,0))</f>
        <v/>
      </c>
      <c r="W452" s="8">
        <f>IF(AND(V452=1,D452&lt;&gt;""),IF(D452&gt;=corte,(B452="CRÍTICO")*1E9+(100000-D452)*10000+10000-ROW(),""),"")</f>
        <v/>
      </c>
      <c r="X452" s="8">
        <f>IF(AND(V452=1,D452=pas_data,E452=pas_turno),10000-ROW(),"")</f>
        <v/>
      </c>
    </row>
    <row r="453">
      <c r="A453" s="3">
        <f>IF(D453="","","TT-"&amp;TEXT(ROW()-1,"00000"))</f>
        <v/>
      </c>
      <c r="B453" s="3">
        <f>IF(D453="","",IF(V453=0,"CONCLUÍDO",IF(D453&lt;corte,"HISTÓRICO",IF(OR(AND(ISNUMBER(R453),R453&lt;TODAY()),AND(OR(N453="PENDENTE",N453="PARCIAL"),D453&lt;TODAY()-1)),"CRÍTICO",IF(OR(AND(P453&lt;&gt;"",S453=""),AND(N453="REALIZADO",M453="PENDENTE"),AND(ISNUMBER(R453),R453=TODAY())),"ATENÇÃO",IF(N(K453)=0,"PENDENTE","EM ANDAMENTO"))))))</f>
        <v/>
      </c>
      <c r="C453" s="3">
        <f>IF(D453="","",IF(V453=0,"🟢 OK",IF(D453&lt;corte,"⚪ HISTÓRICO (sem baixa)",IF(AND(ISNUMBER(R453),R453&lt;TODAY()),"🔴 PRAZO VENCIDO",IF(AND(OR(N453="PENDENTE",N453="PARCIAL"),D453&lt;TODAY()-1),"🔴 EMBARQUE ATRASADO",IF(AND(N453="REALIZADO",M453="PENDENTE"),"🟡 EMBARCADO SEM FATURAR",IF(AND(P453&lt;&gt;"",S453="",OR(Q453="",R453="")),"🟡 PENDÊNCIA SEM RESPONSÁVEL/PRAZO",IF(AND(ISNUMBER(R453),R453=TODAY()),"🟡 VENCE HOJE",IF(AND(P453&lt;&gt;"",S453=""),"🟡 PENDÊNCIA ABERTA",IF(AND(N(J453)&gt;0,N(K453)&lt;J453),"🟡 FALTA EXECUTAR",IF(OR(M453="PENDENTE",M453="PARCIAL"),"🟡 FATURAMENTO PENDENTE","🟡 EMBARQUE PENDENTE")))))))))))</f>
        <v/>
      </c>
      <c r="D453" s="4" t="n">
        <v>46255</v>
      </c>
      <c r="E453" s="5" t="inlineStr">
        <is>
          <t>A</t>
        </is>
      </c>
      <c r="F453" s="5" t="inlineStr">
        <is>
          <t>TATIANE</t>
        </is>
      </c>
      <c r="G453" s="5" t="inlineStr">
        <is>
          <t>FM</t>
        </is>
      </c>
      <c r="H453" s="5" t="inlineStr">
        <is>
          <t>PANDURATA</t>
        </is>
      </c>
      <c r="I453" s="5" t="inlineStr">
        <is>
          <t>TON</t>
        </is>
      </c>
      <c r="J453" s="6" t="n">
        <v>68.69</v>
      </c>
      <c r="K453" s="6" t="n">
        <v>68.69</v>
      </c>
      <c r="L453" s="7">
        <f>IF(OR(D453="",N(J453)=0),"",MIN(1,N(K453)/J453))</f>
        <v/>
      </c>
      <c r="M453" s="5" t="inlineStr">
        <is>
          <t>FATURADO</t>
        </is>
      </c>
      <c r="N453" s="5" t="inlineStr">
        <is>
          <t>REALIZADO</t>
        </is>
      </c>
      <c r="O453" s="5" t="inlineStr">
        <is>
          <t>SPEEDYLOG</t>
        </is>
      </c>
      <c r="P453" s="5" t="n"/>
      <c r="Q453" s="5" t="n"/>
      <c r="R453" s="4" t="n"/>
      <c r="S453" s="4" t="n"/>
      <c r="T453" s="5" t="n"/>
      <c r="U453" s="8">
        <f>IF(AND(V453=1,D453&lt;&gt;""),IF(D453&gt;=corte,TODAY()-D453,""),"")</f>
        <v/>
      </c>
      <c r="V453" s="8">
        <f>IF(D453="",0,IF(OR(AND(P453&lt;&gt;"",S453=""),AND(N(J453)&gt;0,N(K453)&lt;J453),OR(M453="PENDENTE",M453="PARCIAL"),OR(N453="PENDENTE",N453="PARCIAL")),1,0))</f>
        <v/>
      </c>
      <c r="W453" s="8">
        <f>IF(AND(V453=1,D453&lt;&gt;""),IF(D453&gt;=corte,(B453="CRÍTICO")*1E9+(100000-D453)*10000+10000-ROW(),""),"")</f>
        <v/>
      </c>
      <c r="X453" s="8">
        <f>IF(AND(V453=1,D453=pas_data,E453=pas_turno),10000-ROW(),"")</f>
        <v/>
      </c>
    </row>
    <row r="454">
      <c r="A454" s="3">
        <f>IF(D454="","","TT-"&amp;TEXT(ROW()-1,"00000"))</f>
        <v/>
      </c>
      <c r="B454" s="3">
        <f>IF(D454="","",IF(V454=0,"CONCLUÍDO",IF(D454&lt;corte,"HISTÓRICO",IF(OR(AND(ISNUMBER(R454),R454&lt;TODAY()),AND(OR(N454="PENDENTE",N454="PARCIAL"),D454&lt;TODAY()-1)),"CRÍTICO",IF(OR(AND(P454&lt;&gt;"",S454=""),AND(N454="REALIZADO",M454="PENDENTE"),AND(ISNUMBER(R454),R454=TODAY())),"ATENÇÃO",IF(N(K454)=0,"PENDENTE","EM ANDAMENTO"))))))</f>
        <v/>
      </c>
      <c r="C454" s="3">
        <f>IF(D454="","",IF(V454=0,"🟢 OK",IF(D454&lt;corte,"⚪ HISTÓRICO (sem baixa)",IF(AND(ISNUMBER(R454),R454&lt;TODAY()),"🔴 PRAZO VENCIDO",IF(AND(OR(N454="PENDENTE",N454="PARCIAL"),D454&lt;TODAY()-1),"🔴 EMBARQUE ATRASADO",IF(AND(N454="REALIZADO",M454="PENDENTE"),"🟡 EMBARCADO SEM FATURAR",IF(AND(P454&lt;&gt;"",S454="",OR(Q454="",R454="")),"🟡 PENDÊNCIA SEM RESPONSÁVEL/PRAZO",IF(AND(ISNUMBER(R454),R454=TODAY()),"🟡 VENCE HOJE",IF(AND(P454&lt;&gt;"",S454=""),"🟡 PENDÊNCIA ABERTA",IF(AND(N(J454)&gt;0,N(K454)&lt;J454),"🟡 FALTA EXECUTAR",IF(OR(M454="PENDENTE",M454="PARCIAL"),"🟡 FATURAMENTO PENDENTE","🟡 EMBARQUE PENDENTE")))))))))))</f>
        <v/>
      </c>
      <c r="D454" s="4" t="n">
        <v>46255</v>
      </c>
      <c r="E454" s="5" t="inlineStr">
        <is>
          <t>A</t>
        </is>
      </c>
      <c r="F454" s="5" t="inlineStr">
        <is>
          <t>TATIANE</t>
        </is>
      </c>
      <c r="G454" s="5" t="inlineStr">
        <is>
          <t>GM</t>
        </is>
      </c>
      <c r="H454" s="5" t="inlineStr">
        <is>
          <t>PADEIRÃO</t>
        </is>
      </c>
      <c r="I454" s="5" t="inlineStr">
        <is>
          <t>TON</t>
        </is>
      </c>
      <c r="J454" s="6" t="n">
        <v>23.1</v>
      </c>
      <c r="K454" s="6" t="n">
        <v>23.1</v>
      </c>
      <c r="L454" s="7">
        <f>IF(OR(D454="",N(J454)=0),"",MIN(1,N(K454)/J454))</f>
        <v/>
      </c>
      <c r="M454" s="5" t="inlineStr">
        <is>
          <t>PENDENTE</t>
        </is>
      </c>
      <c r="N454" s="5" t="inlineStr">
        <is>
          <t>PENDENTE</t>
        </is>
      </c>
      <c r="O454" s="5" t="inlineStr">
        <is>
          <t>SPEEDYLOG</t>
        </is>
      </c>
      <c r="P454" s="5" t="n"/>
      <c r="Q454" s="5" t="n"/>
      <c r="R454" s="4" t="n"/>
      <c r="S454" s="4" t="n"/>
      <c r="T454" s="5" t="inlineStr">
        <is>
          <t>SEPARADO NA RUA 13</t>
        </is>
      </c>
      <c r="U454" s="8">
        <f>IF(AND(V454=1,D454&lt;&gt;""),IF(D454&gt;=corte,TODAY()-D454,""),"")</f>
        <v/>
      </c>
      <c r="V454" s="8">
        <f>IF(D454="",0,IF(OR(AND(P454&lt;&gt;"",S454=""),AND(N(J454)&gt;0,N(K454)&lt;J454),OR(M454="PENDENTE",M454="PARCIAL"),OR(N454="PENDENTE",N454="PARCIAL")),1,0))</f>
        <v/>
      </c>
      <c r="W454" s="8">
        <f>IF(AND(V454=1,D454&lt;&gt;""),IF(D454&gt;=corte,(B454="CRÍTICO")*1E9+(100000-D454)*10000+10000-ROW(),""),"")</f>
        <v/>
      </c>
      <c r="X454" s="8">
        <f>IF(AND(V454=1,D454=pas_data,E454=pas_turno),10000-ROW(),"")</f>
        <v/>
      </c>
    </row>
    <row r="455">
      <c r="A455" s="3">
        <f>IF(D455="","","TT-"&amp;TEXT(ROW()-1,"00000"))</f>
        <v/>
      </c>
      <c r="B455" s="3">
        <f>IF(D455="","",IF(V455=0,"CONCLUÍDO",IF(D455&lt;corte,"HISTÓRICO",IF(OR(AND(ISNUMBER(R455),R455&lt;TODAY()),AND(OR(N455="PENDENTE",N455="PARCIAL"),D455&lt;TODAY()-1)),"CRÍTICO",IF(OR(AND(P455&lt;&gt;"",S455=""),AND(N455="REALIZADO",M455="PENDENTE"),AND(ISNUMBER(R455),R455=TODAY())),"ATENÇÃO",IF(N(K455)=0,"PENDENTE","EM ANDAMENTO"))))))</f>
        <v/>
      </c>
      <c r="C455" s="3">
        <f>IF(D455="","",IF(V455=0,"🟢 OK",IF(D455&lt;corte,"⚪ HISTÓRICO (sem baixa)",IF(AND(ISNUMBER(R455),R455&lt;TODAY()),"🔴 PRAZO VENCIDO",IF(AND(OR(N455="PENDENTE",N455="PARCIAL"),D455&lt;TODAY()-1),"🔴 EMBARQUE ATRASADO",IF(AND(N455="REALIZADO",M455="PENDENTE"),"🟡 EMBARCADO SEM FATURAR",IF(AND(P455&lt;&gt;"",S455="",OR(Q455="",R455="")),"🟡 PENDÊNCIA SEM RESPONSÁVEL/PRAZO",IF(AND(ISNUMBER(R455),R455=TODAY()),"🟡 VENCE HOJE",IF(AND(P455&lt;&gt;"",S455=""),"🟡 PENDÊNCIA ABERTA",IF(AND(N(J455)&gt;0,N(K455)&lt;J455),"🟡 FALTA EXECUTAR",IF(OR(M455="PENDENTE",M455="PARCIAL"),"🟡 FATURAMENTO PENDENTE","🟡 EMBARQUE PENDENTE")))))))))))</f>
        <v/>
      </c>
      <c r="D455" s="4" t="n">
        <v>46255</v>
      </c>
      <c r="E455" s="5" t="inlineStr">
        <is>
          <t>A</t>
        </is>
      </c>
      <c r="F455" s="5" t="inlineStr">
        <is>
          <t>TATIANE</t>
        </is>
      </c>
      <c r="G455" s="5" t="inlineStr">
        <is>
          <t>CACAU</t>
        </is>
      </c>
      <c r="H455" s="5" t="inlineStr">
        <is>
          <t>CACAU</t>
        </is>
      </c>
      <c r="I455" s="5" t="inlineStr">
        <is>
          <t>TON</t>
        </is>
      </c>
      <c r="J455" s="6" t="n">
        <v>30.557</v>
      </c>
      <c r="K455" s="6" t="n">
        <v>30.557</v>
      </c>
      <c r="L455" s="7">
        <f>IF(OR(D455="",N(J455)=0),"",MIN(1,N(K455)/J455))</f>
        <v/>
      </c>
      <c r="M455" s="5" t="inlineStr">
        <is>
          <t>PENDENTE</t>
        </is>
      </c>
      <c r="N455" s="5" t="inlineStr">
        <is>
          <t>PENDENTE</t>
        </is>
      </c>
      <c r="O455" s="5" t="n"/>
      <c r="P455" s="5" t="inlineStr">
        <is>
          <t>FATURAR</t>
        </is>
      </c>
      <c r="Q455" s="5" t="n"/>
      <c r="R455" s="4" t="n"/>
      <c r="S455" s="4" t="n"/>
      <c r="T455" s="5" t="inlineStr">
        <is>
          <t>FATURAR</t>
        </is>
      </c>
      <c r="U455" s="8">
        <f>IF(AND(V455=1,D455&lt;&gt;""),IF(D455&gt;=corte,TODAY()-D455,""),"")</f>
        <v/>
      </c>
      <c r="V455" s="8">
        <f>IF(D455="",0,IF(OR(AND(P455&lt;&gt;"",S455=""),AND(N(J455)&gt;0,N(K455)&lt;J455),OR(M455="PENDENTE",M455="PARCIAL"),OR(N455="PENDENTE",N455="PARCIAL")),1,0))</f>
        <v/>
      </c>
      <c r="W455" s="8">
        <f>IF(AND(V455=1,D455&lt;&gt;""),IF(D455&gt;=corte,(B455="CRÍTICO")*1E9+(100000-D455)*10000+10000-ROW(),""),"")</f>
        <v/>
      </c>
      <c r="X455" s="8">
        <f>IF(AND(V455=1,D455=pas_data,E455=pas_turno),10000-ROW(),"")</f>
        <v/>
      </c>
    </row>
    <row r="456">
      <c r="A456" s="3">
        <f>IF(D456="","","TT-"&amp;TEXT(ROW()-1,"00000"))</f>
        <v/>
      </c>
      <c r="B456" s="3">
        <f>IF(D456="","",IF(V456=0,"CONCLUÍDO",IF(D456&lt;corte,"HISTÓRICO",IF(OR(AND(ISNUMBER(R456),R456&lt;TODAY()),AND(OR(N456="PENDENTE",N456="PARCIAL"),D456&lt;TODAY()-1)),"CRÍTICO",IF(OR(AND(P456&lt;&gt;"",S456=""),AND(N456="REALIZADO",M456="PENDENTE"),AND(ISNUMBER(R456),R456=TODAY())),"ATENÇÃO",IF(N(K456)=0,"PENDENTE","EM ANDAMENTO"))))))</f>
        <v/>
      </c>
      <c r="C456" s="3">
        <f>IF(D456="","",IF(V456=0,"🟢 OK",IF(D456&lt;corte,"⚪ HISTÓRICO (sem baixa)",IF(AND(ISNUMBER(R456),R456&lt;TODAY()),"🔴 PRAZO VENCIDO",IF(AND(OR(N456="PENDENTE",N456="PARCIAL"),D456&lt;TODAY()-1),"🔴 EMBARQUE ATRASADO",IF(AND(N456="REALIZADO",M456="PENDENTE"),"🟡 EMBARCADO SEM FATURAR",IF(AND(P456&lt;&gt;"",S456="",OR(Q456="",R456="")),"🟡 PENDÊNCIA SEM RESPONSÁVEL/PRAZO",IF(AND(ISNUMBER(R456),R456=TODAY()),"🟡 VENCE HOJE",IF(AND(P456&lt;&gt;"",S456=""),"🟡 PENDÊNCIA ABERTA",IF(AND(N(J456)&gt;0,N(K456)&lt;J456),"🟡 FALTA EXECUTAR",IF(OR(M456="PENDENTE",M456="PARCIAL"),"🟡 FATURAMENTO PENDENTE","🟡 EMBARQUE PENDENTE")))))))))))</f>
        <v/>
      </c>
      <c r="D456" s="4" t="n">
        <v>46255</v>
      </c>
      <c r="E456" s="5" t="inlineStr">
        <is>
          <t>B</t>
        </is>
      </c>
      <c r="F456" s="5" t="inlineStr">
        <is>
          <t>THIAGO</t>
        </is>
      </c>
      <c r="G456" s="5" t="inlineStr">
        <is>
          <t>GM</t>
        </is>
      </c>
      <c r="H456" s="5" t="inlineStr">
        <is>
          <t>CO-ES-NO 1</t>
        </is>
      </c>
      <c r="I456" s="5" t="inlineStr">
        <is>
          <t>TON</t>
        </is>
      </c>
      <c r="J456" s="6" t="n">
        <v>18.2</v>
      </c>
      <c r="K456" s="6" t="n">
        <v>18.2</v>
      </c>
      <c r="L456" s="7">
        <f>IF(OR(D456="",N(J456)=0),"",MIN(1,N(K456)/J456))</f>
        <v/>
      </c>
      <c r="M456" s="5" t="n"/>
      <c r="N456" s="5" t="n"/>
      <c r="O456" s="5" t="n"/>
      <c r="P456" s="5" t="n"/>
      <c r="Q456" s="5" t="n"/>
      <c r="R456" s="4" t="n"/>
      <c r="S456" s="4" t="n"/>
      <c r="T456" s="5" t="n"/>
      <c r="U456" s="8">
        <f>IF(AND(V456=1,D456&lt;&gt;""),IF(D456&gt;=corte,TODAY()-D456,""),"")</f>
        <v/>
      </c>
      <c r="V456" s="8">
        <f>IF(D456="",0,IF(OR(AND(P456&lt;&gt;"",S456=""),AND(N(J456)&gt;0,N(K456)&lt;J456),OR(M456="PENDENTE",M456="PARCIAL"),OR(N456="PENDENTE",N456="PARCIAL")),1,0))</f>
        <v/>
      </c>
      <c r="W456" s="8">
        <f>IF(AND(V456=1,D456&lt;&gt;""),IF(D456&gt;=corte,(B456="CRÍTICO")*1E9+(100000-D456)*10000+10000-ROW(),""),"")</f>
        <v/>
      </c>
      <c r="X456" s="8">
        <f>IF(AND(V456=1,D456=pas_data,E456=pas_turno),10000-ROW(),"")</f>
        <v/>
      </c>
    </row>
    <row r="457">
      <c r="A457" s="3">
        <f>IF(D457="","","TT-"&amp;TEXT(ROW()-1,"00000"))</f>
        <v/>
      </c>
      <c r="B457" s="3">
        <f>IF(D457="","",IF(V457=0,"CONCLUÍDO",IF(D457&lt;corte,"HISTÓRICO",IF(OR(AND(ISNUMBER(R457),R457&lt;TODAY()),AND(OR(N457="PENDENTE",N457="PARCIAL"),D457&lt;TODAY()-1)),"CRÍTICO",IF(OR(AND(P457&lt;&gt;"",S457=""),AND(N457="REALIZADO",M457="PENDENTE"),AND(ISNUMBER(R457),R457=TODAY())),"ATENÇÃO",IF(N(K457)=0,"PENDENTE","EM ANDAMENTO"))))))</f>
        <v/>
      </c>
      <c r="C457" s="3">
        <f>IF(D457="","",IF(V457=0,"🟢 OK",IF(D457&lt;corte,"⚪ HISTÓRICO (sem baixa)",IF(AND(ISNUMBER(R457),R457&lt;TODAY()),"🔴 PRAZO VENCIDO",IF(AND(OR(N457="PENDENTE",N457="PARCIAL"),D457&lt;TODAY()-1),"🔴 EMBARQUE ATRASADO",IF(AND(N457="REALIZADO",M457="PENDENTE"),"🟡 EMBARCADO SEM FATURAR",IF(AND(P457&lt;&gt;"",S457="",OR(Q457="",R457="")),"🟡 PENDÊNCIA SEM RESPONSÁVEL/PRAZO",IF(AND(ISNUMBER(R457),R457=TODAY()),"🟡 VENCE HOJE",IF(AND(P457&lt;&gt;"",S457=""),"🟡 PENDÊNCIA ABERTA",IF(AND(N(J457)&gt;0,N(K457)&lt;J457),"🟡 FALTA EXECUTAR",IF(OR(M457="PENDENTE",M457="PARCIAL"),"🟡 FATURAMENTO PENDENTE","🟡 EMBARQUE PENDENTE")))))))))))</f>
        <v/>
      </c>
      <c r="D457" s="4" t="n">
        <v>46255</v>
      </c>
      <c r="E457" s="5" t="inlineStr">
        <is>
          <t>B</t>
        </is>
      </c>
      <c r="F457" s="5" t="inlineStr">
        <is>
          <t>THIAGO</t>
        </is>
      </c>
      <c r="G457" s="5" t="inlineStr">
        <is>
          <t>GM</t>
        </is>
      </c>
      <c r="H457" s="5" t="inlineStr">
        <is>
          <t>CO-ES-NO 2</t>
        </is>
      </c>
      <c r="I457" s="5" t="inlineStr">
        <is>
          <t>TON</t>
        </is>
      </c>
      <c r="J457" s="6" t="n">
        <v>16.64</v>
      </c>
      <c r="K457" s="6" t="n">
        <v>16.64</v>
      </c>
      <c r="L457" s="7">
        <f>IF(OR(D457="",N(J457)=0),"",MIN(1,N(K457)/J457))</f>
        <v/>
      </c>
      <c r="M457" s="5" t="n"/>
      <c r="N457" s="5" t="n"/>
      <c r="O457" s="5" t="n"/>
      <c r="P457" s="5" t="n"/>
      <c r="Q457" s="5" t="n"/>
      <c r="R457" s="4" t="n"/>
      <c r="S457" s="4" t="n"/>
      <c r="T457" s="5" t="n"/>
      <c r="U457" s="8">
        <f>IF(AND(V457=1,D457&lt;&gt;""),IF(D457&gt;=corte,TODAY()-D457,""),"")</f>
        <v/>
      </c>
      <c r="V457" s="8">
        <f>IF(D457="",0,IF(OR(AND(P457&lt;&gt;"",S457=""),AND(N(J457)&gt;0,N(K457)&lt;J457),OR(M457="PENDENTE",M457="PARCIAL"),OR(N457="PENDENTE",N457="PARCIAL")),1,0))</f>
        <v/>
      </c>
      <c r="W457" s="8">
        <f>IF(AND(V457=1,D457&lt;&gt;""),IF(D457&gt;=corte,(B457="CRÍTICO")*1E9+(100000-D457)*10000+10000-ROW(),""),"")</f>
        <v/>
      </c>
      <c r="X457" s="8">
        <f>IF(AND(V457=1,D457=pas_data,E457=pas_turno),10000-ROW(),"")</f>
        <v/>
      </c>
    </row>
    <row r="458">
      <c r="A458" s="3">
        <f>IF(D458="","","TT-"&amp;TEXT(ROW()-1,"00000"))</f>
        <v/>
      </c>
      <c r="B458" s="3">
        <f>IF(D458="","",IF(V458=0,"CONCLUÍDO",IF(D458&lt;corte,"HISTÓRICO",IF(OR(AND(ISNUMBER(R458),R458&lt;TODAY()),AND(OR(N458="PENDENTE",N458="PARCIAL"),D458&lt;TODAY()-1)),"CRÍTICO",IF(OR(AND(P458&lt;&gt;"",S458=""),AND(N458="REALIZADO",M458="PENDENTE"),AND(ISNUMBER(R458),R458=TODAY())),"ATENÇÃO",IF(N(K458)=0,"PENDENTE","EM ANDAMENTO"))))))</f>
        <v/>
      </c>
      <c r="C458" s="3">
        <f>IF(D458="","",IF(V458=0,"🟢 OK",IF(D458&lt;corte,"⚪ HISTÓRICO (sem baixa)",IF(AND(ISNUMBER(R458),R458&lt;TODAY()),"🔴 PRAZO VENCIDO",IF(AND(OR(N458="PENDENTE",N458="PARCIAL"),D458&lt;TODAY()-1),"🔴 EMBARQUE ATRASADO",IF(AND(N458="REALIZADO",M458="PENDENTE"),"🟡 EMBARCADO SEM FATURAR",IF(AND(P458&lt;&gt;"",S458="",OR(Q458="",R458="")),"🟡 PENDÊNCIA SEM RESPONSÁVEL/PRAZO",IF(AND(ISNUMBER(R458),R458=TODAY()),"🟡 VENCE HOJE",IF(AND(P458&lt;&gt;"",S458=""),"🟡 PENDÊNCIA ABERTA",IF(AND(N(J458)&gt;0,N(K458)&lt;J458),"🟡 FALTA EXECUTAR",IF(OR(M458="PENDENTE",M458="PARCIAL"),"🟡 FATURAMENTO PENDENTE","🟡 EMBARQUE PENDENTE")))))))))))</f>
        <v/>
      </c>
      <c r="D458" s="4" t="n">
        <v>46255</v>
      </c>
      <c r="E458" s="5" t="inlineStr">
        <is>
          <t>B</t>
        </is>
      </c>
      <c r="F458" s="5" t="inlineStr">
        <is>
          <t>THIAGO</t>
        </is>
      </c>
      <c r="G458" s="5" t="inlineStr">
        <is>
          <t>GM</t>
        </is>
      </c>
      <c r="H458" s="5" t="inlineStr">
        <is>
          <t>CO-ES-NO 3</t>
        </is>
      </c>
      <c r="I458" s="5" t="inlineStr">
        <is>
          <t>TON</t>
        </is>
      </c>
      <c r="J458" s="6" t="n">
        <v>15.4</v>
      </c>
      <c r="K458" s="6" t="n">
        <v>15.4</v>
      </c>
      <c r="L458" s="7">
        <f>IF(OR(D458="",N(J458)=0),"",MIN(1,N(K458)/J458))</f>
        <v/>
      </c>
      <c r="M458" s="5" t="n"/>
      <c r="N458" s="5" t="n"/>
      <c r="O458" s="5" t="n"/>
      <c r="P458" s="5" t="n"/>
      <c r="Q458" s="5" t="n"/>
      <c r="R458" s="4" t="n"/>
      <c r="S458" s="4" t="n"/>
      <c r="T458" s="5" t="n"/>
      <c r="U458" s="8">
        <f>IF(AND(V458=1,D458&lt;&gt;""),IF(D458&gt;=corte,TODAY()-D458,""),"")</f>
        <v/>
      </c>
      <c r="V458" s="8">
        <f>IF(D458="",0,IF(OR(AND(P458&lt;&gt;"",S458=""),AND(N(J458)&gt;0,N(K458)&lt;J458),OR(M458="PENDENTE",M458="PARCIAL"),OR(N458="PENDENTE",N458="PARCIAL")),1,0))</f>
        <v/>
      </c>
      <c r="W458" s="8">
        <f>IF(AND(V458=1,D458&lt;&gt;""),IF(D458&gt;=corte,(B458="CRÍTICO")*1E9+(100000-D458)*10000+10000-ROW(),""),"")</f>
        <v/>
      </c>
      <c r="X458" s="8">
        <f>IF(AND(V458=1,D458=pas_data,E458=pas_turno),10000-ROW(),"")</f>
        <v/>
      </c>
    </row>
    <row r="459">
      <c r="A459" s="3">
        <f>IF(D459="","","TT-"&amp;TEXT(ROW()-1,"00000"))</f>
        <v/>
      </c>
      <c r="B459" s="3">
        <f>IF(D459="","",IF(V459=0,"CONCLUÍDO",IF(D459&lt;corte,"HISTÓRICO",IF(OR(AND(ISNUMBER(R459),R459&lt;TODAY()),AND(OR(N459="PENDENTE",N459="PARCIAL"),D459&lt;TODAY()-1)),"CRÍTICO",IF(OR(AND(P459&lt;&gt;"",S459=""),AND(N459="REALIZADO",M459="PENDENTE"),AND(ISNUMBER(R459),R459=TODAY())),"ATENÇÃO",IF(N(K459)=0,"PENDENTE","EM ANDAMENTO"))))))</f>
        <v/>
      </c>
      <c r="C459" s="3">
        <f>IF(D459="","",IF(V459=0,"🟢 OK",IF(D459&lt;corte,"⚪ HISTÓRICO (sem baixa)",IF(AND(ISNUMBER(R459),R459&lt;TODAY()),"🔴 PRAZO VENCIDO",IF(AND(OR(N459="PENDENTE",N459="PARCIAL"),D459&lt;TODAY()-1),"🔴 EMBARQUE ATRASADO",IF(AND(N459="REALIZADO",M459="PENDENTE"),"🟡 EMBARCADO SEM FATURAR",IF(AND(P459&lt;&gt;"",S459="",OR(Q459="",R459="")),"🟡 PENDÊNCIA SEM RESPONSÁVEL/PRAZO",IF(AND(ISNUMBER(R459),R459=TODAY()),"🟡 VENCE HOJE",IF(AND(P459&lt;&gt;"",S459=""),"🟡 PENDÊNCIA ABERTA",IF(AND(N(J459)&gt;0,N(K459)&lt;J459),"🟡 FALTA EXECUTAR",IF(OR(M459="PENDENTE",M459="PARCIAL"),"🟡 FATURAMENTO PENDENTE","🟡 EMBARQUE PENDENTE")))))))))))</f>
        <v/>
      </c>
      <c r="D459" s="4" t="n">
        <v>46255</v>
      </c>
      <c r="E459" s="5" t="inlineStr">
        <is>
          <t>B</t>
        </is>
      </c>
      <c r="F459" s="5" t="inlineStr">
        <is>
          <t>THIAGO</t>
        </is>
      </c>
      <c r="G459" s="5" t="inlineStr">
        <is>
          <t>GM</t>
        </is>
      </c>
      <c r="H459" s="5" t="inlineStr">
        <is>
          <t>CO-ES-NO 4</t>
        </is>
      </c>
      <c r="I459" s="5" t="inlineStr">
        <is>
          <t>TON</t>
        </is>
      </c>
      <c r="J459" s="6" t="n">
        <v>13.4</v>
      </c>
      <c r="K459" s="6" t="n">
        <v>13.4</v>
      </c>
      <c r="L459" s="7">
        <f>IF(OR(D459="",N(J459)=0),"",MIN(1,N(K459)/J459))</f>
        <v/>
      </c>
      <c r="M459" s="5" t="n"/>
      <c r="N459" s="5" t="n"/>
      <c r="O459" s="5" t="n"/>
      <c r="P459" s="5" t="n"/>
      <c r="Q459" s="5" t="n"/>
      <c r="R459" s="4" t="n"/>
      <c r="S459" s="4" t="n"/>
      <c r="T459" s="5" t="n"/>
      <c r="U459" s="8">
        <f>IF(AND(V459=1,D459&lt;&gt;""),IF(D459&gt;=corte,TODAY()-D459,""),"")</f>
        <v/>
      </c>
      <c r="V459" s="8">
        <f>IF(D459="",0,IF(OR(AND(P459&lt;&gt;"",S459=""),AND(N(J459)&gt;0,N(K459)&lt;J459),OR(M459="PENDENTE",M459="PARCIAL"),OR(N459="PENDENTE",N459="PARCIAL")),1,0))</f>
        <v/>
      </c>
      <c r="W459" s="8">
        <f>IF(AND(V459=1,D459&lt;&gt;""),IF(D459&gt;=corte,(B459="CRÍTICO")*1E9+(100000-D459)*10000+10000-ROW(),""),"")</f>
        <v/>
      </c>
      <c r="X459" s="8">
        <f>IF(AND(V459=1,D459=pas_data,E459=pas_turno),10000-ROW(),"")</f>
        <v/>
      </c>
    </row>
    <row r="460">
      <c r="A460" s="3">
        <f>IF(D460="","","TT-"&amp;TEXT(ROW()-1,"00000"))</f>
        <v/>
      </c>
      <c r="B460" s="3">
        <f>IF(D460="","",IF(V460=0,"CONCLUÍDO",IF(D460&lt;corte,"HISTÓRICO",IF(OR(AND(ISNUMBER(R460),R460&lt;TODAY()),AND(OR(N460="PENDENTE",N460="PARCIAL"),D460&lt;TODAY()-1)),"CRÍTICO",IF(OR(AND(P460&lt;&gt;"",S460=""),AND(N460="REALIZADO",M460="PENDENTE"),AND(ISNUMBER(R460),R460=TODAY())),"ATENÇÃO",IF(N(K460)=0,"PENDENTE","EM ANDAMENTO"))))))</f>
        <v/>
      </c>
      <c r="C460" s="3">
        <f>IF(D460="","",IF(V460=0,"🟢 OK",IF(D460&lt;corte,"⚪ HISTÓRICO (sem baixa)",IF(AND(ISNUMBER(R460),R460&lt;TODAY()),"🔴 PRAZO VENCIDO",IF(AND(OR(N460="PENDENTE",N460="PARCIAL"),D460&lt;TODAY()-1),"🔴 EMBARQUE ATRASADO",IF(AND(N460="REALIZADO",M460="PENDENTE"),"🟡 EMBARCADO SEM FATURAR",IF(AND(P460&lt;&gt;"",S460="",OR(Q460="",R460="")),"🟡 PENDÊNCIA SEM RESPONSÁVEL/PRAZO",IF(AND(ISNUMBER(R460),R460=TODAY()),"🟡 VENCE HOJE",IF(AND(P460&lt;&gt;"",S460=""),"🟡 PENDÊNCIA ABERTA",IF(AND(N(J460)&gt;0,N(K460)&lt;J460),"🟡 FALTA EXECUTAR",IF(OR(M460="PENDENTE",M460="PARCIAL"),"🟡 FATURAMENTO PENDENTE","🟡 EMBARQUE PENDENTE")))))))))))</f>
        <v/>
      </c>
      <c r="D460" s="4" t="n">
        <v>46255</v>
      </c>
      <c r="E460" s="5" t="inlineStr">
        <is>
          <t>B</t>
        </is>
      </c>
      <c r="F460" s="5" t="inlineStr">
        <is>
          <t>THIAGO</t>
        </is>
      </c>
      <c r="G460" s="5" t="inlineStr">
        <is>
          <t>FOB</t>
        </is>
      </c>
      <c r="H460" s="5" t="inlineStr">
        <is>
          <t>SVP</t>
        </is>
      </c>
      <c r="I460" s="5" t="inlineStr">
        <is>
          <t>TON</t>
        </is>
      </c>
      <c r="J460" s="6" t="n">
        <v>7.899</v>
      </c>
      <c r="K460" s="6" t="n">
        <v>7.899</v>
      </c>
      <c r="L460" s="7">
        <f>IF(OR(D460="",N(J460)=0),"",MIN(1,N(K460)/J460))</f>
        <v/>
      </c>
      <c r="M460" s="5" t="n"/>
      <c r="N460" s="5" t="n"/>
      <c r="O460" s="5" t="n"/>
      <c r="P460" s="5" t="n"/>
      <c r="Q460" s="5" t="n"/>
      <c r="R460" s="4" t="n"/>
      <c r="S460" s="4" t="n"/>
      <c r="T460" s="5" t="n"/>
      <c r="U460" s="8">
        <f>IF(AND(V460=1,D460&lt;&gt;""),IF(D460&gt;=corte,TODAY()-D460,""),"")</f>
        <v/>
      </c>
      <c r="V460" s="8">
        <f>IF(D460="",0,IF(OR(AND(P460&lt;&gt;"",S460=""),AND(N(J460)&gt;0,N(K460)&lt;J460),OR(M460="PENDENTE",M460="PARCIAL"),OR(N460="PENDENTE",N460="PARCIAL")),1,0))</f>
        <v/>
      </c>
      <c r="W460" s="8">
        <f>IF(AND(V460=1,D460&lt;&gt;""),IF(D460&gt;=corte,(B460="CRÍTICO")*1E9+(100000-D460)*10000+10000-ROW(),""),"")</f>
        <v/>
      </c>
      <c r="X460" s="8">
        <f>IF(AND(V460=1,D460=pas_data,E460=pas_turno),10000-ROW(),"")</f>
        <v/>
      </c>
    </row>
    <row r="461">
      <c r="A461" s="3">
        <f>IF(D461="","","TT-"&amp;TEXT(ROW()-1,"00000"))</f>
        <v/>
      </c>
      <c r="B461" s="3">
        <f>IF(D461="","",IF(V461=0,"CONCLUÍDO",IF(D461&lt;corte,"HISTÓRICO",IF(OR(AND(ISNUMBER(R461),R461&lt;TODAY()),AND(OR(N461="PENDENTE",N461="PARCIAL"),D461&lt;TODAY()-1)),"CRÍTICO",IF(OR(AND(P461&lt;&gt;"",S461=""),AND(N461="REALIZADO",M461="PENDENTE"),AND(ISNUMBER(R461),R461=TODAY())),"ATENÇÃO",IF(N(K461)=0,"PENDENTE","EM ANDAMENTO"))))))</f>
        <v/>
      </c>
      <c r="C461" s="3">
        <f>IF(D461="","",IF(V461=0,"🟢 OK",IF(D461&lt;corte,"⚪ HISTÓRICO (sem baixa)",IF(AND(ISNUMBER(R461),R461&lt;TODAY()),"🔴 PRAZO VENCIDO",IF(AND(OR(N461="PENDENTE",N461="PARCIAL"),D461&lt;TODAY()-1),"🔴 EMBARQUE ATRASADO",IF(AND(N461="REALIZADO",M461="PENDENTE"),"🟡 EMBARCADO SEM FATURAR",IF(AND(P461&lt;&gt;"",S461="",OR(Q461="",R461="")),"🟡 PENDÊNCIA SEM RESPONSÁVEL/PRAZO",IF(AND(ISNUMBER(R461),R461=TODAY()),"🟡 VENCE HOJE",IF(AND(P461&lt;&gt;"",S461=""),"🟡 PENDÊNCIA ABERTA",IF(AND(N(J461)&gt;0,N(K461)&lt;J461),"🟡 FALTA EXECUTAR",IF(OR(M461="PENDENTE",M461="PARCIAL"),"🟡 FATURAMENTO PENDENTE","🟡 EMBARQUE PENDENTE")))))))))))</f>
        <v/>
      </c>
      <c r="D461" s="4" t="n">
        <v>46256</v>
      </c>
      <c r="E461" s="5" t="inlineStr">
        <is>
          <t>A</t>
        </is>
      </c>
      <c r="F461" s="5" t="inlineStr">
        <is>
          <t>TATIANE</t>
        </is>
      </c>
      <c r="G461" s="5" t="inlineStr">
        <is>
          <t>FOB</t>
        </is>
      </c>
      <c r="H461" s="5" t="inlineStr">
        <is>
          <t>SVP</t>
        </is>
      </c>
      <c r="I461" s="5" t="inlineStr">
        <is>
          <t>TON</t>
        </is>
      </c>
      <c r="J461" s="6" t="n">
        <v>21.954</v>
      </c>
      <c r="K461" s="6" t="n"/>
      <c r="L461" s="7">
        <f>IF(OR(D461="",N(J461)=0),"",MIN(1,N(K461)/J461))</f>
        <v/>
      </c>
      <c r="M461" s="5" t="inlineStr">
        <is>
          <t>PENDENTE</t>
        </is>
      </c>
      <c r="N461" s="5" t="inlineStr">
        <is>
          <t>PENDENTE</t>
        </is>
      </c>
      <c r="O461" s="5" t="inlineStr">
        <is>
          <t>PRÓPRIO</t>
        </is>
      </c>
      <c r="P461" s="5" t="inlineStr">
        <is>
          <t>GERADO - SEPARAR</t>
        </is>
      </c>
      <c r="Q461" s="5" t="n"/>
      <c r="R461" s="4" t="n"/>
      <c r="S461" s="4" t="n"/>
      <c r="T461" s="5" t="inlineStr">
        <is>
          <t>GERADO - SEPARAR</t>
        </is>
      </c>
      <c r="U461" s="8">
        <f>IF(AND(V461=1,D461&lt;&gt;""),IF(D461&gt;=corte,TODAY()-D461,""),"")</f>
        <v/>
      </c>
      <c r="V461" s="8">
        <f>IF(D461="",0,IF(OR(AND(P461&lt;&gt;"",S461=""),AND(N(J461)&gt;0,N(K461)&lt;J461),OR(M461="PENDENTE",M461="PARCIAL"),OR(N461="PENDENTE",N461="PARCIAL")),1,0))</f>
        <v/>
      </c>
      <c r="W461" s="8">
        <f>IF(AND(V461=1,D461&lt;&gt;""),IF(D461&gt;=corte,(B461="CRÍTICO")*1E9+(100000-D461)*10000+10000-ROW(),""),"")</f>
        <v/>
      </c>
      <c r="X461" s="8">
        <f>IF(AND(V461=1,D461=pas_data,E461=pas_turno),10000-ROW(),"")</f>
        <v/>
      </c>
    </row>
    <row r="462">
      <c r="A462" s="3">
        <f>IF(D462="","","TT-"&amp;TEXT(ROW()-1,"00000"))</f>
        <v/>
      </c>
      <c r="B462" s="3">
        <f>IF(D462="","",IF(V462=0,"CONCLUÍDO",IF(D462&lt;corte,"HISTÓRICO",IF(OR(AND(ISNUMBER(R462),R462&lt;TODAY()),AND(OR(N462="PENDENTE",N462="PARCIAL"),D462&lt;TODAY()-1)),"CRÍTICO",IF(OR(AND(P462&lt;&gt;"",S462=""),AND(N462="REALIZADO",M462="PENDENTE"),AND(ISNUMBER(R462),R462=TODAY())),"ATENÇÃO",IF(N(K462)=0,"PENDENTE","EM ANDAMENTO"))))))</f>
        <v/>
      </c>
      <c r="C462" s="3">
        <f>IF(D462="","",IF(V462=0,"🟢 OK",IF(D462&lt;corte,"⚪ HISTÓRICO (sem baixa)",IF(AND(ISNUMBER(R462),R462&lt;TODAY()),"🔴 PRAZO VENCIDO",IF(AND(OR(N462="PENDENTE",N462="PARCIAL"),D462&lt;TODAY()-1),"🔴 EMBARQUE ATRASADO",IF(AND(N462="REALIZADO",M462="PENDENTE"),"🟡 EMBARCADO SEM FATURAR",IF(AND(P462&lt;&gt;"",S462="",OR(Q462="",R462="")),"🟡 PENDÊNCIA SEM RESPONSÁVEL/PRAZO",IF(AND(ISNUMBER(R462),R462=TODAY()),"🟡 VENCE HOJE",IF(AND(P462&lt;&gt;"",S462=""),"🟡 PENDÊNCIA ABERTA",IF(AND(N(J462)&gt;0,N(K462)&lt;J462),"🟡 FALTA EXECUTAR",IF(OR(M462="PENDENTE",M462="PARCIAL"),"🟡 FATURAMENTO PENDENTE","🟡 EMBARQUE PENDENTE")))))))))))</f>
        <v/>
      </c>
      <c r="D462" s="4" t="n">
        <v>46256</v>
      </c>
      <c r="E462" s="5" t="inlineStr">
        <is>
          <t>A</t>
        </is>
      </c>
      <c r="F462" s="5" t="inlineStr">
        <is>
          <t>TATIANE</t>
        </is>
      </c>
      <c r="G462" s="5" t="inlineStr">
        <is>
          <t>FOB</t>
        </is>
      </c>
      <c r="H462" s="5" t="inlineStr">
        <is>
          <t>PRODUPAN / ATACADÃO</t>
        </is>
      </c>
      <c r="I462" s="5" t="inlineStr">
        <is>
          <t>TON</t>
        </is>
      </c>
      <c r="J462" s="6" t="n">
        <v>39.633</v>
      </c>
      <c r="K462" s="6" t="n">
        <v>39.633</v>
      </c>
      <c r="L462" s="7">
        <f>IF(OR(D462="",N(J462)=0),"",MIN(1,N(K462)/J462))</f>
        <v/>
      </c>
      <c r="M462" s="5" t="inlineStr">
        <is>
          <t>PARCIAL</t>
        </is>
      </c>
      <c r="N462" s="5" t="inlineStr">
        <is>
          <t>PARCIAL</t>
        </is>
      </c>
      <c r="O462" s="5" t="inlineStr">
        <is>
          <t>PRÓPRIO</t>
        </is>
      </c>
      <c r="P462" s="5" t="inlineStr">
        <is>
          <t>CARREGADO DOIS ATACADÃO E 1 PRODUPAN, FALTA 1 PRODUPAN PARA CARREGAR - MOTORISTA SIDENEI</t>
        </is>
      </c>
      <c r="Q462" s="5" t="n"/>
      <c r="R462" s="4" t="n"/>
      <c r="S462" s="4" t="n"/>
      <c r="T462" s="5" t="inlineStr">
        <is>
          <t>CARREGADO DOIS ATACADÃO E 1 PRODUPAN, FALTA 1 PRODUPAN PARA CARREGAR - MOTORISTA SIDENEI</t>
        </is>
      </c>
      <c r="U462" s="8">
        <f>IF(AND(V462=1,D462&lt;&gt;""),IF(D462&gt;=corte,TODAY()-D462,""),"")</f>
        <v/>
      </c>
      <c r="V462" s="8">
        <f>IF(D462="",0,IF(OR(AND(P462&lt;&gt;"",S462=""),AND(N(J462)&gt;0,N(K462)&lt;J462),OR(M462="PENDENTE",M462="PARCIAL"),OR(N462="PENDENTE",N462="PARCIAL")),1,0))</f>
        <v/>
      </c>
      <c r="W462" s="8">
        <f>IF(AND(V462=1,D462&lt;&gt;""),IF(D462&gt;=corte,(B462="CRÍTICO")*1E9+(100000-D462)*10000+10000-ROW(),""),"")</f>
        <v/>
      </c>
      <c r="X462" s="8">
        <f>IF(AND(V462=1,D462=pas_data,E462=pas_turno),10000-ROW(),"")</f>
        <v/>
      </c>
    </row>
    <row r="463">
      <c r="A463" s="3">
        <f>IF(D463="","","TT-"&amp;TEXT(ROW()-1,"00000"))</f>
        <v/>
      </c>
      <c r="B463" s="3">
        <f>IF(D463="","",IF(V463=0,"CONCLUÍDO",IF(D463&lt;corte,"HISTÓRICO",IF(OR(AND(ISNUMBER(R463),R463&lt;TODAY()),AND(OR(N463="PENDENTE",N463="PARCIAL"),D463&lt;TODAY()-1)),"CRÍTICO",IF(OR(AND(P463&lt;&gt;"",S463=""),AND(N463="REALIZADO",M463="PENDENTE"),AND(ISNUMBER(R463),R463=TODAY())),"ATENÇÃO",IF(N(K463)=0,"PENDENTE","EM ANDAMENTO"))))))</f>
        <v/>
      </c>
      <c r="C463" s="3">
        <f>IF(D463="","",IF(V463=0,"🟢 OK",IF(D463&lt;corte,"⚪ HISTÓRICO (sem baixa)",IF(AND(ISNUMBER(R463),R463&lt;TODAY()),"🔴 PRAZO VENCIDO",IF(AND(OR(N463="PENDENTE",N463="PARCIAL"),D463&lt;TODAY()-1),"🔴 EMBARQUE ATRASADO",IF(AND(N463="REALIZADO",M463="PENDENTE"),"🟡 EMBARCADO SEM FATURAR",IF(AND(P463&lt;&gt;"",S463="",OR(Q463="",R463="")),"🟡 PENDÊNCIA SEM RESPONSÁVEL/PRAZO",IF(AND(ISNUMBER(R463),R463=TODAY()),"🟡 VENCE HOJE",IF(AND(P463&lt;&gt;"",S463=""),"🟡 PENDÊNCIA ABERTA",IF(AND(N(J463)&gt;0,N(K463)&lt;J463),"🟡 FALTA EXECUTAR",IF(OR(M463="PENDENTE",M463="PARCIAL"),"🟡 FATURAMENTO PENDENTE","🟡 EMBARQUE PENDENTE")))))))))))</f>
        <v/>
      </c>
      <c r="D463" s="4" t="n">
        <v>46256</v>
      </c>
      <c r="E463" s="5" t="inlineStr">
        <is>
          <t>A</t>
        </is>
      </c>
      <c r="F463" s="5" t="inlineStr">
        <is>
          <t>TATIANE</t>
        </is>
      </c>
      <c r="G463" s="5" t="inlineStr">
        <is>
          <t>GM</t>
        </is>
      </c>
      <c r="H463" s="5" t="inlineStr">
        <is>
          <t>CROSS D2</t>
        </is>
      </c>
      <c r="I463" s="5" t="inlineStr">
        <is>
          <t>TON</t>
        </is>
      </c>
      <c r="J463" s="6" t="n">
        <v>12.364</v>
      </c>
      <c r="K463" s="6" t="n">
        <v>7.364</v>
      </c>
      <c r="L463" s="7">
        <f>IF(OR(D463="",N(J463)=0),"",MIN(1,N(K463)/J463))</f>
        <v/>
      </c>
      <c r="M463" s="5" t="inlineStr">
        <is>
          <t>FATURADO</t>
        </is>
      </c>
      <c r="N463" s="5" t="inlineStr">
        <is>
          <t>PENDENTE</t>
        </is>
      </c>
      <c r="O463" s="5" t="inlineStr">
        <is>
          <t>D2</t>
        </is>
      </c>
      <c r="P463" s="5" t="inlineStr">
        <is>
          <t>FALTA SEPARAR PICKING ID 15,14,18,17</t>
        </is>
      </c>
      <c r="Q463" s="5" t="n"/>
      <c r="R463" s="4" t="n"/>
      <c r="S463" s="4" t="n"/>
      <c r="T463" s="5" t="inlineStr">
        <is>
          <t>FALTA SEPARAR PICKING ID 15,14,18,17</t>
        </is>
      </c>
      <c r="U463" s="8">
        <f>IF(AND(V463=1,D463&lt;&gt;""),IF(D463&gt;=corte,TODAY()-D463,""),"")</f>
        <v/>
      </c>
      <c r="V463" s="8">
        <f>IF(D463="",0,IF(OR(AND(P463&lt;&gt;"",S463=""),AND(N(J463)&gt;0,N(K463)&lt;J463),OR(M463="PENDENTE",M463="PARCIAL"),OR(N463="PENDENTE",N463="PARCIAL")),1,0))</f>
        <v/>
      </c>
      <c r="W463" s="8">
        <f>IF(AND(V463=1,D463&lt;&gt;""),IF(D463&gt;=corte,(B463="CRÍTICO")*1E9+(100000-D463)*10000+10000-ROW(),""),"")</f>
        <v/>
      </c>
      <c r="X463" s="8">
        <f>IF(AND(V463=1,D463=pas_data,E463=pas_turno),10000-ROW(),"")</f>
        <v/>
      </c>
    </row>
    <row r="464">
      <c r="A464" s="3">
        <f>IF(D464="","","TT-"&amp;TEXT(ROW()-1,"00000"))</f>
        <v/>
      </c>
      <c r="B464" s="3">
        <f>IF(D464="","",IF(V464=0,"CONCLUÍDO",IF(D464&lt;corte,"HISTÓRICO",IF(OR(AND(ISNUMBER(R464),R464&lt;TODAY()),AND(OR(N464="PENDENTE",N464="PARCIAL"),D464&lt;TODAY()-1)),"CRÍTICO",IF(OR(AND(P464&lt;&gt;"",S464=""),AND(N464="REALIZADO",M464="PENDENTE"),AND(ISNUMBER(R464),R464=TODAY())),"ATENÇÃO",IF(N(K464)=0,"PENDENTE","EM ANDAMENTO"))))))</f>
        <v/>
      </c>
      <c r="C464" s="3">
        <f>IF(D464="","",IF(V464=0,"🟢 OK",IF(D464&lt;corte,"⚪ HISTÓRICO (sem baixa)",IF(AND(ISNUMBER(R464),R464&lt;TODAY()),"🔴 PRAZO VENCIDO",IF(AND(OR(N464="PENDENTE",N464="PARCIAL"),D464&lt;TODAY()-1),"🔴 EMBARQUE ATRASADO",IF(AND(N464="REALIZADO",M464="PENDENTE"),"🟡 EMBARCADO SEM FATURAR",IF(AND(P464&lt;&gt;"",S464="",OR(Q464="",R464="")),"🟡 PENDÊNCIA SEM RESPONSÁVEL/PRAZO",IF(AND(ISNUMBER(R464),R464=TODAY()),"🟡 VENCE HOJE",IF(AND(P464&lt;&gt;"",S464=""),"🟡 PENDÊNCIA ABERTA",IF(AND(N(J464)&gt;0,N(K464)&lt;J464),"🟡 FALTA EXECUTAR",IF(OR(M464="PENDENTE",M464="PARCIAL"),"🟡 FATURAMENTO PENDENTE","🟡 EMBARQUE PENDENTE")))))))))))</f>
        <v/>
      </c>
      <c r="D464" s="4" t="n">
        <v>46256</v>
      </c>
      <c r="E464" s="5" t="inlineStr">
        <is>
          <t>A</t>
        </is>
      </c>
      <c r="F464" s="5" t="inlineStr">
        <is>
          <t>TATIANE</t>
        </is>
      </c>
      <c r="G464" s="5" t="inlineStr">
        <is>
          <t>GM</t>
        </is>
      </c>
      <c r="H464" s="5" t="inlineStr">
        <is>
          <t>RJ 17/08</t>
        </is>
      </c>
      <c r="I464" s="5" t="inlineStr">
        <is>
          <t>TON</t>
        </is>
      </c>
      <c r="J464" s="6" t="n">
        <v>17.014</v>
      </c>
      <c r="K464" s="6" t="n"/>
      <c r="L464" s="7">
        <f>IF(OR(D464="",N(J464)=0),"",MIN(1,N(K464)/J464))</f>
        <v/>
      </c>
      <c r="M464" s="5" t="inlineStr">
        <is>
          <t>PENDENTE</t>
        </is>
      </c>
      <c r="N464" s="5" t="inlineStr">
        <is>
          <t>PENDENTE</t>
        </is>
      </c>
      <c r="O464" s="5" t="inlineStr">
        <is>
          <t>OMEGA X</t>
        </is>
      </c>
      <c r="P464" s="5" t="inlineStr">
        <is>
          <t>LOTES TRATADOS - GERAR DO ZERO</t>
        </is>
      </c>
      <c r="Q464" s="5" t="n"/>
      <c r="R464" s="4" t="n"/>
      <c r="S464" s="4" t="n"/>
      <c r="T464" s="5" t="inlineStr">
        <is>
          <t>LOTES TRATADOS - GERAR DO ZERO</t>
        </is>
      </c>
      <c r="U464" s="8">
        <f>IF(AND(V464=1,D464&lt;&gt;""),IF(D464&gt;=corte,TODAY()-D464,""),"")</f>
        <v/>
      </c>
      <c r="V464" s="8">
        <f>IF(D464="",0,IF(OR(AND(P464&lt;&gt;"",S464=""),AND(N(J464)&gt;0,N(K464)&lt;J464),OR(M464="PENDENTE",M464="PARCIAL"),OR(N464="PENDENTE",N464="PARCIAL")),1,0))</f>
        <v/>
      </c>
      <c r="W464" s="8">
        <f>IF(AND(V464=1,D464&lt;&gt;""),IF(D464&gt;=corte,(B464="CRÍTICO")*1E9+(100000-D464)*10000+10000-ROW(),""),"")</f>
        <v/>
      </c>
      <c r="X464" s="8">
        <f>IF(AND(V464=1,D464=pas_data,E464=pas_turno),10000-ROW(),"")</f>
        <v/>
      </c>
    </row>
    <row r="465">
      <c r="A465" s="3">
        <f>IF(D465="","","TT-"&amp;TEXT(ROW()-1,"00000"))</f>
        <v/>
      </c>
      <c r="B465" s="3">
        <f>IF(D465="","",IF(V465=0,"CONCLUÍDO",IF(D465&lt;corte,"HISTÓRICO",IF(OR(AND(ISNUMBER(R465),R465&lt;TODAY()),AND(OR(N465="PENDENTE",N465="PARCIAL"),D465&lt;TODAY()-1)),"CRÍTICO",IF(OR(AND(P465&lt;&gt;"",S465=""),AND(N465="REALIZADO",M465="PENDENTE"),AND(ISNUMBER(R465),R465=TODAY())),"ATENÇÃO",IF(N(K465)=0,"PENDENTE","EM ANDAMENTO"))))))</f>
        <v/>
      </c>
      <c r="C465" s="3">
        <f>IF(D465="","",IF(V465=0,"🟢 OK",IF(D465&lt;corte,"⚪ HISTÓRICO (sem baixa)",IF(AND(ISNUMBER(R465),R465&lt;TODAY()),"🔴 PRAZO VENCIDO",IF(AND(OR(N465="PENDENTE",N465="PARCIAL"),D465&lt;TODAY()-1),"🔴 EMBARQUE ATRASADO",IF(AND(N465="REALIZADO",M465="PENDENTE"),"🟡 EMBARCADO SEM FATURAR",IF(AND(P465&lt;&gt;"",S465="",OR(Q465="",R465="")),"🟡 PENDÊNCIA SEM RESPONSÁVEL/PRAZO",IF(AND(ISNUMBER(R465),R465=TODAY()),"🟡 VENCE HOJE",IF(AND(P465&lt;&gt;"",S465=""),"🟡 PENDÊNCIA ABERTA",IF(AND(N(J465)&gt;0,N(K465)&lt;J465),"🟡 FALTA EXECUTAR",IF(OR(M465="PENDENTE",M465="PARCIAL"),"🟡 FATURAMENTO PENDENTE","🟡 EMBARQUE PENDENTE")))))))))))</f>
        <v/>
      </c>
      <c r="D465" s="4" t="n">
        <v>46256</v>
      </c>
      <c r="E465" s="5" t="inlineStr">
        <is>
          <t>A</t>
        </is>
      </c>
      <c r="F465" s="5" t="inlineStr">
        <is>
          <t>TATIANE</t>
        </is>
      </c>
      <c r="G465" s="5" t="inlineStr">
        <is>
          <t>GM</t>
        </is>
      </c>
      <c r="H465" s="5" t="inlineStr">
        <is>
          <t>SP AGENDAS 24/08</t>
        </is>
      </c>
      <c r="I465" s="5" t="inlineStr">
        <is>
          <t>TON</t>
        </is>
      </c>
      <c r="J465" s="6" t="n">
        <v>19.431</v>
      </c>
      <c r="K465" s="6" t="n"/>
      <c r="L465" s="7">
        <f>IF(OR(D465="",N(J465)=0),"",MIN(1,N(K465)/J465))</f>
        <v/>
      </c>
      <c r="M465" s="5" t="inlineStr">
        <is>
          <t>PENDENTE</t>
        </is>
      </c>
      <c r="N465" s="5" t="inlineStr">
        <is>
          <t>PENDENTE</t>
        </is>
      </c>
      <c r="O465" s="5" t="inlineStr">
        <is>
          <t>SMARTLOG</t>
        </is>
      </c>
      <c r="P465" s="5" t="inlineStr">
        <is>
          <t>LOTES TRATADOS - GERAR DO ZERO</t>
        </is>
      </c>
      <c r="Q465" s="5" t="n"/>
      <c r="R465" s="4" t="n"/>
      <c r="S465" s="4" t="n"/>
      <c r="T465" s="5" t="inlineStr">
        <is>
          <t>LOTES TRATADOS - GERAR DO ZERO [MIGRAÇÃO: programação original: SP]</t>
        </is>
      </c>
      <c r="U465" s="8">
        <f>IF(AND(V465=1,D465&lt;&gt;""),IF(D465&gt;=corte,TODAY()-D465,""),"")</f>
        <v/>
      </c>
      <c r="V465" s="8">
        <f>IF(D465="",0,IF(OR(AND(P465&lt;&gt;"",S465=""),AND(N(J465)&gt;0,N(K465)&lt;J465),OR(M465="PENDENTE",M465="PARCIAL"),OR(N465="PENDENTE",N465="PARCIAL")),1,0))</f>
        <v/>
      </c>
      <c r="W465" s="8">
        <f>IF(AND(V465=1,D465&lt;&gt;""),IF(D465&gt;=corte,(B465="CRÍTICO")*1E9+(100000-D465)*10000+10000-ROW(),""),"")</f>
        <v/>
      </c>
      <c r="X465" s="8">
        <f>IF(AND(V465=1,D465=pas_data,E465=pas_turno),10000-ROW(),"")</f>
        <v/>
      </c>
    </row>
    <row r="466">
      <c r="A466" s="3">
        <f>IF(D466="","","TT-"&amp;TEXT(ROW()-1,"00000"))</f>
        <v/>
      </c>
      <c r="B466" s="3">
        <f>IF(D466="","",IF(V466=0,"CONCLUÍDO",IF(D466&lt;corte,"HISTÓRICO",IF(OR(AND(ISNUMBER(R466),R466&lt;TODAY()),AND(OR(N466="PENDENTE",N466="PARCIAL"),D466&lt;TODAY()-1)),"CRÍTICO",IF(OR(AND(P466&lt;&gt;"",S466=""),AND(N466="REALIZADO",M466="PENDENTE"),AND(ISNUMBER(R466),R466=TODAY())),"ATENÇÃO",IF(N(K466)=0,"PENDENTE","EM ANDAMENTO"))))))</f>
        <v/>
      </c>
      <c r="C466" s="3">
        <f>IF(D466="","",IF(V466=0,"🟢 OK",IF(D466&lt;corte,"⚪ HISTÓRICO (sem baixa)",IF(AND(ISNUMBER(R466),R466&lt;TODAY()),"🔴 PRAZO VENCIDO",IF(AND(OR(N466="PENDENTE",N466="PARCIAL"),D466&lt;TODAY()-1),"🔴 EMBARQUE ATRASADO",IF(AND(N466="REALIZADO",M466="PENDENTE"),"🟡 EMBARCADO SEM FATURAR",IF(AND(P466&lt;&gt;"",S466="",OR(Q466="",R466="")),"🟡 PENDÊNCIA SEM RESPONSÁVEL/PRAZO",IF(AND(ISNUMBER(R466),R466=TODAY()),"🟡 VENCE HOJE",IF(AND(P466&lt;&gt;"",S466=""),"🟡 PENDÊNCIA ABERTA",IF(AND(N(J466)&gt;0,N(K466)&lt;J466),"🟡 FALTA EXECUTAR",IF(OR(M466="PENDENTE",M466="PARCIAL"),"🟡 FATURAMENTO PENDENTE","🟡 EMBARQUE PENDENTE")))))))))))</f>
        <v/>
      </c>
      <c r="D466" s="4" t="n">
        <v>46256</v>
      </c>
      <c r="E466" s="5" t="inlineStr">
        <is>
          <t>A</t>
        </is>
      </c>
      <c r="F466" s="5" t="inlineStr">
        <is>
          <t>TATIANE</t>
        </is>
      </c>
      <c r="G466" s="5" t="inlineStr">
        <is>
          <t>GRANEL</t>
        </is>
      </c>
      <c r="H466" s="5" t="inlineStr">
        <is>
          <t>PANDURATA</t>
        </is>
      </c>
      <c r="I466" s="5" t="inlineStr">
        <is>
          <t>TON</t>
        </is>
      </c>
      <c r="J466" s="6" t="n">
        <v>26</v>
      </c>
      <c r="K466" s="6" t="n"/>
      <c r="L466" s="7">
        <f>IF(OR(D466="",N(J466)=0),"",MIN(1,N(K466)/J466))</f>
        <v/>
      </c>
      <c r="M466" s="5" t="inlineStr">
        <is>
          <t>PENDENTE</t>
        </is>
      </c>
      <c r="N466" s="5" t="inlineStr">
        <is>
          <t>PENDENTE</t>
        </is>
      </c>
      <c r="O466" s="5" t="n"/>
      <c r="P466" s="5" t="inlineStr">
        <is>
          <t>EM CARREGAMENTO</t>
        </is>
      </c>
      <c r="Q466" s="5" t="n"/>
      <c r="R466" s="4" t="n"/>
      <c r="S466" s="4" t="n"/>
      <c r="T466" s="5" t="inlineStr">
        <is>
          <t>EM CARREGAMENTO</t>
        </is>
      </c>
      <c r="U466" s="8">
        <f>IF(AND(V466=1,D466&lt;&gt;""),IF(D466&gt;=corte,TODAY()-D466,""),"")</f>
        <v/>
      </c>
      <c r="V466" s="8">
        <f>IF(D466="",0,IF(OR(AND(P466&lt;&gt;"",S466=""),AND(N(J466)&gt;0,N(K466)&lt;J466),OR(M466="PENDENTE",M466="PARCIAL"),OR(N466="PENDENTE",N466="PARCIAL")),1,0))</f>
        <v/>
      </c>
      <c r="W466" s="8">
        <f>IF(AND(V466=1,D466&lt;&gt;""),IF(D466&gt;=corte,(B466="CRÍTICO")*1E9+(100000-D466)*10000+10000-ROW(),""),"")</f>
        <v/>
      </c>
      <c r="X466" s="8">
        <f>IF(AND(V466=1,D466=pas_data,E466=pas_turno),10000-ROW(),"")</f>
        <v/>
      </c>
    </row>
    <row r="467">
      <c r="A467" s="3">
        <f>IF(D467="","","TT-"&amp;TEXT(ROW()-1,"00000"))</f>
        <v/>
      </c>
      <c r="B467" s="3">
        <f>IF(D467="","",IF(V467=0,"CONCLUÍDO",IF(D467&lt;corte,"HISTÓRICO",IF(OR(AND(ISNUMBER(R467),R467&lt;TODAY()),AND(OR(N467="PENDENTE",N467="PARCIAL"),D467&lt;TODAY()-1)),"CRÍTICO",IF(OR(AND(P467&lt;&gt;"",S467=""),AND(N467="REALIZADO",M467="PENDENTE"),AND(ISNUMBER(R467),R467=TODAY())),"ATENÇÃO",IF(N(K467)=0,"PENDENTE","EM ANDAMENTO"))))))</f>
        <v/>
      </c>
      <c r="C467" s="3">
        <f>IF(D467="","",IF(V467=0,"🟢 OK",IF(D467&lt;corte,"⚪ HISTÓRICO (sem baixa)",IF(AND(ISNUMBER(R467),R467&lt;TODAY()),"🔴 PRAZO VENCIDO",IF(AND(OR(N467="PENDENTE",N467="PARCIAL"),D467&lt;TODAY()-1),"🔴 EMBARQUE ATRASADO",IF(AND(N467="REALIZADO",M467="PENDENTE"),"🟡 EMBARCADO SEM FATURAR",IF(AND(P467&lt;&gt;"",S467="",OR(Q467="",R467="")),"🟡 PENDÊNCIA SEM RESPONSÁVEL/PRAZO",IF(AND(ISNUMBER(R467),R467=TODAY()),"🟡 VENCE HOJE",IF(AND(P467&lt;&gt;"",S467=""),"🟡 PENDÊNCIA ABERTA",IF(AND(N(J467)&gt;0,N(K467)&lt;J467),"🟡 FALTA EXECUTAR",IF(OR(M467="PENDENTE",M467="PARCIAL"),"🟡 FATURAMENTO PENDENTE","🟡 EMBARQUE PENDENTE")))))))))))</f>
        <v/>
      </c>
      <c r="D467" s="4" t="n">
        <v>46256</v>
      </c>
      <c r="E467" s="5" t="inlineStr">
        <is>
          <t>A</t>
        </is>
      </c>
      <c r="F467" s="5" t="inlineStr">
        <is>
          <t>TATIANE</t>
        </is>
      </c>
      <c r="G467" s="5" t="inlineStr">
        <is>
          <t>CACAU</t>
        </is>
      </c>
      <c r="H467" s="5" t="inlineStr">
        <is>
          <t>CACAU</t>
        </is>
      </c>
      <c r="I467" s="5" t="inlineStr">
        <is>
          <t>TON</t>
        </is>
      </c>
      <c r="J467" s="6" t="n">
        <v>7.1</v>
      </c>
      <c r="K467" s="6" t="n">
        <v>7.1</v>
      </c>
      <c r="L467" s="7">
        <f>IF(OR(D467="",N(J467)=0),"",MIN(1,N(K467)/J467))</f>
        <v/>
      </c>
      <c r="M467" s="5" t="inlineStr">
        <is>
          <t>FATURADO</t>
        </is>
      </c>
      <c r="N467" s="5" t="inlineStr">
        <is>
          <t>PENDENTE</t>
        </is>
      </c>
      <c r="O467" s="5" t="n"/>
      <c r="P467" s="5" t="n"/>
      <c r="Q467" s="5" t="n"/>
      <c r="R467" s="4" t="n"/>
      <c r="S467" s="4" t="n"/>
      <c r="T467" s="5" t="n"/>
      <c r="U467" s="8">
        <f>IF(AND(V467=1,D467&lt;&gt;""),IF(D467&gt;=corte,TODAY()-D467,""),"")</f>
        <v/>
      </c>
      <c r="V467" s="8">
        <f>IF(D467="",0,IF(OR(AND(P467&lt;&gt;"",S467=""),AND(N(J467)&gt;0,N(K467)&lt;J467),OR(M467="PENDENTE",M467="PARCIAL"),OR(N467="PENDENTE",N467="PARCIAL")),1,0))</f>
        <v/>
      </c>
      <c r="W467" s="8">
        <f>IF(AND(V467=1,D467&lt;&gt;""),IF(D467&gt;=corte,(B467="CRÍTICO")*1E9+(100000-D467)*10000+10000-ROW(),""),"")</f>
        <v/>
      </c>
      <c r="X467" s="8">
        <f>IF(AND(V467=1,D467=pas_data,E467=pas_turno),10000-ROW(),"")</f>
        <v/>
      </c>
    </row>
    <row r="468">
      <c r="A468" s="3">
        <f>IF(D468="","","TT-"&amp;TEXT(ROW()-1,"00000"))</f>
        <v/>
      </c>
      <c r="B468" s="3">
        <f>IF(D468="","",IF(V468=0,"CONCLUÍDO",IF(D468&lt;corte,"HISTÓRICO",IF(OR(AND(ISNUMBER(R468),R468&lt;TODAY()),AND(OR(N468="PENDENTE",N468="PARCIAL"),D468&lt;TODAY()-1)),"CRÍTICO",IF(OR(AND(P468&lt;&gt;"",S468=""),AND(N468="REALIZADO",M468="PENDENTE"),AND(ISNUMBER(R468),R468=TODAY())),"ATENÇÃO",IF(N(K468)=0,"PENDENTE","EM ANDAMENTO"))))))</f>
        <v/>
      </c>
      <c r="C468" s="3">
        <f>IF(D468="","",IF(V468=0,"🟢 OK",IF(D468&lt;corte,"⚪ HISTÓRICO (sem baixa)",IF(AND(ISNUMBER(R468),R468&lt;TODAY()),"🔴 PRAZO VENCIDO",IF(AND(OR(N468="PENDENTE",N468="PARCIAL"),D468&lt;TODAY()-1),"🔴 EMBARQUE ATRASADO",IF(AND(N468="REALIZADO",M468="PENDENTE"),"🟡 EMBARCADO SEM FATURAR",IF(AND(P468&lt;&gt;"",S468="",OR(Q468="",R468="")),"🟡 PENDÊNCIA SEM RESPONSÁVEL/PRAZO",IF(AND(ISNUMBER(R468),R468=TODAY()),"🟡 VENCE HOJE",IF(AND(P468&lt;&gt;"",S468=""),"🟡 PENDÊNCIA ABERTA",IF(AND(N(J468)&gt;0,N(K468)&lt;J468),"🟡 FALTA EXECUTAR",IF(OR(M468="PENDENTE",M468="PARCIAL"),"🟡 FATURAMENTO PENDENTE","🟡 EMBARQUE PENDENTE")))))))))))</f>
        <v/>
      </c>
      <c r="D468" s="4" t="n">
        <v>46256</v>
      </c>
      <c r="E468" s="5" t="inlineStr">
        <is>
          <t>A</t>
        </is>
      </c>
      <c r="F468" s="5" t="inlineStr">
        <is>
          <t>TATIANE</t>
        </is>
      </c>
      <c r="G468" s="5" t="inlineStr">
        <is>
          <t>RECEBIMENTO</t>
        </is>
      </c>
      <c r="H468" s="5" t="inlineStr">
        <is>
          <t>RETORNO DA OMX</t>
        </is>
      </c>
      <c r="I468" s="5" t="inlineStr">
        <is>
          <t>TON</t>
        </is>
      </c>
      <c r="J468" s="6" t="n">
        <v>11.989</v>
      </c>
      <c r="K468" s="6" t="n">
        <v>11.989</v>
      </c>
      <c r="L468" s="7">
        <f>IF(OR(D468="",N(J468)=0),"",MIN(1,N(K468)/J468))</f>
        <v/>
      </c>
      <c r="M468" s="5" t="n"/>
      <c r="N468" s="5" t="n"/>
      <c r="O468" s="5" t="inlineStr">
        <is>
          <t>OMEGA X</t>
        </is>
      </c>
      <c r="P468" s="5" t="n"/>
      <c r="Q468" s="5" t="n"/>
      <c r="R468" s="4" t="n"/>
      <c r="S468" s="4" t="n"/>
      <c r="T468" s="5" t="inlineStr">
        <is>
          <t>RECEBIDO - ENTRADA PARCIAL- ITENS SEM SALDO</t>
        </is>
      </c>
      <c r="U468" s="8">
        <f>IF(AND(V468=1,D468&lt;&gt;""),IF(D468&gt;=corte,TODAY()-D468,""),"")</f>
        <v/>
      </c>
      <c r="V468" s="8">
        <f>IF(D468="",0,IF(OR(AND(P468&lt;&gt;"",S468=""),AND(N(J468)&gt;0,N(K468)&lt;J468),OR(M468="PENDENTE",M468="PARCIAL"),OR(N468="PENDENTE",N468="PARCIAL")),1,0))</f>
        <v/>
      </c>
      <c r="W468" s="8">
        <f>IF(AND(V468=1,D468&lt;&gt;""),IF(D468&gt;=corte,(B468="CRÍTICO")*1E9+(100000-D468)*10000+10000-ROW(),""),"")</f>
        <v/>
      </c>
      <c r="X468" s="8">
        <f>IF(AND(V468=1,D468=pas_data,E468=pas_turno),10000-ROW(),"")</f>
        <v/>
      </c>
    </row>
    <row r="469">
      <c r="A469" s="3">
        <f>IF(D469="","","TT-"&amp;TEXT(ROW()-1,"00000"))</f>
        <v/>
      </c>
      <c r="B469" s="3">
        <f>IF(D469="","",IF(V469=0,"CONCLUÍDO",IF(D469&lt;corte,"HISTÓRICO",IF(OR(AND(ISNUMBER(R469),R469&lt;TODAY()),AND(OR(N469="PENDENTE",N469="PARCIAL"),D469&lt;TODAY()-1)),"CRÍTICO",IF(OR(AND(P469&lt;&gt;"",S469=""),AND(N469="REALIZADO",M469="PENDENTE"),AND(ISNUMBER(R469),R469=TODAY())),"ATENÇÃO",IF(N(K469)=0,"PENDENTE","EM ANDAMENTO"))))))</f>
        <v/>
      </c>
      <c r="C469" s="3">
        <f>IF(D469="","",IF(V469=0,"🟢 OK",IF(D469&lt;corte,"⚪ HISTÓRICO (sem baixa)",IF(AND(ISNUMBER(R469),R469&lt;TODAY()),"🔴 PRAZO VENCIDO",IF(AND(OR(N469="PENDENTE",N469="PARCIAL"),D469&lt;TODAY()-1),"🔴 EMBARQUE ATRASADO",IF(AND(N469="REALIZADO",M469="PENDENTE"),"🟡 EMBARCADO SEM FATURAR",IF(AND(P469&lt;&gt;"",S469="",OR(Q469="",R469="")),"🟡 PENDÊNCIA SEM RESPONSÁVEL/PRAZO",IF(AND(ISNUMBER(R469),R469=TODAY()),"🟡 VENCE HOJE",IF(AND(P469&lt;&gt;"",S469=""),"🟡 PENDÊNCIA ABERTA",IF(AND(N(J469)&gt;0,N(K469)&lt;J469),"🟡 FALTA EXECUTAR",IF(OR(M469="PENDENTE",M469="PARCIAL"),"🟡 FATURAMENTO PENDENTE","🟡 EMBARQUE PENDENTE")))))))))))</f>
        <v/>
      </c>
      <c r="D469" s="4" t="n">
        <v>46256</v>
      </c>
      <c r="E469" s="5" t="inlineStr">
        <is>
          <t>B</t>
        </is>
      </c>
      <c r="F469" s="5" t="inlineStr">
        <is>
          <t>THIAGO</t>
        </is>
      </c>
      <c r="G469" s="5" t="inlineStr">
        <is>
          <t>GM</t>
        </is>
      </c>
      <c r="H469" s="5" t="inlineStr">
        <is>
          <t>FESTINHA</t>
        </is>
      </c>
      <c r="I469" s="5" t="inlineStr">
        <is>
          <t>TON</t>
        </is>
      </c>
      <c r="J469" s="6" t="n">
        <v>4.411</v>
      </c>
      <c r="K469" s="6" t="n">
        <v>4.411</v>
      </c>
      <c r="L469" s="7">
        <f>IF(OR(D469="",N(J469)=0),"",MIN(1,N(K469)/J469))</f>
        <v/>
      </c>
      <c r="M469" s="5" t="n"/>
      <c r="N469" s="5" t="n"/>
      <c r="O469" s="5" t="n"/>
      <c r="P469" s="5" t="n"/>
      <c r="Q469" s="5" t="n"/>
      <c r="R469" s="4" t="n"/>
      <c r="S469" s="4" t="n"/>
      <c r="T469" s="5" t="n"/>
      <c r="U469" s="8">
        <f>IF(AND(V469=1,D469&lt;&gt;""),IF(D469&gt;=corte,TODAY()-D469,""),"")</f>
        <v/>
      </c>
      <c r="V469" s="8">
        <f>IF(D469="",0,IF(OR(AND(P469&lt;&gt;"",S469=""),AND(N(J469)&gt;0,N(K469)&lt;J469),OR(M469="PENDENTE",M469="PARCIAL"),OR(N469="PENDENTE",N469="PARCIAL")),1,0))</f>
        <v/>
      </c>
      <c r="W469" s="8">
        <f>IF(AND(V469=1,D469&lt;&gt;""),IF(D469&gt;=corte,(B469="CRÍTICO")*1E9+(100000-D469)*10000+10000-ROW(),""),"")</f>
        <v/>
      </c>
      <c r="X469" s="8">
        <f>IF(AND(V469=1,D469=pas_data,E469=pas_turno),10000-ROW(),"")</f>
        <v/>
      </c>
    </row>
    <row r="470">
      <c r="A470" s="3">
        <f>IF(D470="","","TT-"&amp;TEXT(ROW()-1,"00000"))</f>
        <v/>
      </c>
      <c r="B470" s="3">
        <f>IF(D470="","",IF(V470=0,"CONCLUÍDO",IF(D470&lt;corte,"HISTÓRICO",IF(OR(AND(ISNUMBER(R470),R470&lt;TODAY()),AND(OR(N470="PENDENTE",N470="PARCIAL"),D470&lt;TODAY()-1)),"CRÍTICO",IF(OR(AND(P470&lt;&gt;"",S470=""),AND(N470="REALIZADO",M470="PENDENTE"),AND(ISNUMBER(R470),R470=TODAY())),"ATENÇÃO",IF(N(K470)=0,"PENDENTE","EM ANDAMENTO"))))))</f>
        <v/>
      </c>
      <c r="C470" s="3">
        <f>IF(D470="","",IF(V470=0,"🟢 OK",IF(D470&lt;corte,"⚪ HISTÓRICO (sem baixa)",IF(AND(ISNUMBER(R470),R470&lt;TODAY()),"🔴 PRAZO VENCIDO",IF(AND(OR(N470="PENDENTE",N470="PARCIAL"),D470&lt;TODAY()-1),"🔴 EMBARQUE ATRASADO",IF(AND(N470="REALIZADO",M470="PENDENTE"),"🟡 EMBARCADO SEM FATURAR",IF(AND(P470&lt;&gt;"",S470="",OR(Q470="",R470="")),"🟡 PENDÊNCIA SEM RESPONSÁVEL/PRAZO",IF(AND(ISNUMBER(R470),R470=TODAY()),"🟡 VENCE HOJE",IF(AND(P470&lt;&gt;"",S470=""),"🟡 PENDÊNCIA ABERTA",IF(AND(N(J470)&gt;0,N(K470)&lt;J470),"🟡 FALTA EXECUTAR",IF(OR(M470="PENDENTE",M470="PARCIAL"),"🟡 FATURAMENTO PENDENTE","🟡 EMBARQUE PENDENTE")))))))))))</f>
        <v/>
      </c>
      <c r="D470" s="4" t="n">
        <v>46256</v>
      </c>
      <c r="E470" s="5" t="inlineStr">
        <is>
          <t>B</t>
        </is>
      </c>
      <c r="F470" s="5" t="inlineStr">
        <is>
          <t>THIAGO</t>
        </is>
      </c>
      <c r="G470" s="5" t="inlineStr">
        <is>
          <t>ABASTECIMENTO</t>
        </is>
      </c>
      <c r="H470" s="5" t="n"/>
      <c r="I470" s="5" t="inlineStr">
        <is>
          <t>PALETE</t>
        </is>
      </c>
      <c r="J470" s="6" t="n">
        <v>40</v>
      </c>
      <c r="K470" s="6" t="n">
        <v>40</v>
      </c>
      <c r="L470" s="7">
        <f>IF(OR(D470="",N(J470)=0),"",MIN(1,N(K470)/J470))</f>
        <v/>
      </c>
      <c r="M470" s="5" t="n"/>
      <c r="N470" s="5" t="n"/>
      <c r="O470" s="5" t="n"/>
      <c r="P470" s="5" t="n"/>
      <c r="Q470" s="5" t="n"/>
      <c r="R470" s="4" t="n"/>
      <c r="S470" s="4" t="n"/>
      <c r="T470" s="5" t="n"/>
      <c r="U470" s="8">
        <f>IF(AND(V470=1,D470&lt;&gt;""),IF(D470&gt;=corte,TODAY()-D470,""),"")</f>
        <v/>
      </c>
      <c r="V470" s="8">
        <f>IF(D470="",0,IF(OR(AND(P470&lt;&gt;"",S470=""),AND(N(J470)&gt;0,N(K470)&lt;J470),OR(M470="PENDENTE",M470="PARCIAL"),OR(N470="PENDENTE",N470="PARCIAL")),1,0))</f>
        <v/>
      </c>
      <c r="W470" s="8">
        <f>IF(AND(V470=1,D470&lt;&gt;""),IF(D470&gt;=corte,(B470="CRÍTICO")*1E9+(100000-D470)*10000+10000-ROW(),""),"")</f>
        <v/>
      </c>
      <c r="X470" s="8">
        <f>IF(AND(V470=1,D470=pas_data,E470=pas_turno),10000-ROW(),"")</f>
        <v/>
      </c>
    </row>
    <row r="471">
      <c r="A471" s="3">
        <f>IF(D471="","","TT-"&amp;TEXT(ROW()-1,"00000"))</f>
        <v/>
      </c>
      <c r="B471" s="3">
        <f>IF(D471="","",IF(V471=0,"CONCLUÍDO",IF(D471&lt;corte,"HISTÓRICO",IF(OR(AND(ISNUMBER(R471),R471&lt;TODAY()),AND(OR(N471="PENDENTE",N471="PARCIAL"),D471&lt;TODAY()-1)),"CRÍTICO",IF(OR(AND(P471&lt;&gt;"",S471=""),AND(N471="REALIZADO",M471="PENDENTE"),AND(ISNUMBER(R471),R471=TODAY())),"ATENÇÃO",IF(N(K471)=0,"PENDENTE","EM ANDAMENTO"))))))</f>
        <v/>
      </c>
      <c r="C471" s="3">
        <f>IF(D471="","",IF(V471=0,"🟢 OK",IF(D471&lt;corte,"⚪ HISTÓRICO (sem baixa)",IF(AND(ISNUMBER(R471),R471&lt;TODAY()),"🔴 PRAZO VENCIDO",IF(AND(OR(N471="PENDENTE",N471="PARCIAL"),D471&lt;TODAY()-1),"🔴 EMBARQUE ATRASADO",IF(AND(N471="REALIZADO",M471="PENDENTE"),"🟡 EMBARCADO SEM FATURAR",IF(AND(P471&lt;&gt;"",S471="",OR(Q471="",R471="")),"🟡 PENDÊNCIA SEM RESPONSÁVEL/PRAZO",IF(AND(ISNUMBER(R471),R471=TODAY()),"🟡 VENCE HOJE",IF(AND(P471&lt;&gt;"",S471=""),"🟡 PENDÊNCIA ABERTA",IF(AND(N(J471)&gt;0,N(K471)&lt;J471),"🟡 FALTA EXECUTAR",IF(OR(M471="PENDENTE",M471="PARCIAL"),"🟡 FATURAMENTO PENDENTE","🟡 EMBARQUE PENDENTE")))))))))))</f>
        <v/>
      </c>
      <c r="D471" s="4" t="n">
        <v>46256</v>
      </c>
      <c r="E471" s="5" t="inlineStr">
        <is>
          <t>B</t>
        </is>
      </c>
      <c r="F471" s="5" t="inlineStr">
        <is>
          <t>THIAGO</t>
        </is>
      </c>
      <c r="G471" s="5" t="inlineStr">
        <is>
          <t>GM</t>
        </is>
      </c>
      <c r="H471" s="5" t="inlineStr">
        <is>
          <t>SMT</t>
        </is>
      </c>
      <c r="I471" s="5" t="inlineStr">
        <is>
          <t>TON</t>
        </is>
      </c>
      <c r="J471" s="6" t="n">
        <v>5.779</v>
      </c>
      <c r="K471" s="6" t="n">
        <v>5.779</v>
      </c>
      <c r="L471" s="7">
        <f>IF(OR(D471="",N(J471)=0),"",MIN(1,N(K471)/J471))</f>
        <v/>
      </c>
      <c r="M471" s="5" t="n"/>
      <c r="N471" s="5" t="n"/>
      <c r="O471" s="5" t="n"/>
      <c r="P471" s="5" t="n"/>
      <c r="Q471" s="5" t="n"/>
      <c r="R471" s="4" t="n"/>
      <c r="S471" s="4" t="n"/>
      <c r="T471" s="5" t="n"/>
      <c r="U471" s="8">
        <f>IF(AND(V471=1,D471&lt;&gt;""),IF(D471&gt;=corte,TODAY()-D471,""),"")</f>
        <v/>
      </c>
      <c r="V471" s="8">
        <f>IF(D471="",0,IF(OR(AND(P471&lt;&gt;"",S471=""),AND(N(J471)&gt;0,N(K471)&lt;J471),OR(M471="PENDENTE",M471="PARCIAL"),OR(N471="PENDENTE",N471="PARCIAL")),1,0))</f>
        <v/>
      </c>
      <c r="W471" s="8">
        <f>IF(AND(V471=1,D471&lt;&gt;""),IF(D471&gt;=corte,(B471="CRÍTICO")*1E9+(100000-D471)*10000+10000-ROW(),""),"")</f>
        <v/>
      </c>
      <c r="X471" s="8">
        <f>IF(AND(V471=1,D471=pas_data,E471=pas_turno),10000-ROW(),"")</f>
        <v/>
      </c>
    </row>
    <row r="472">
      <c r="A472" s="3">
        <f>IF(D472="","","TT-"&amp;TEXT(ROW()-1,"00000"))</f>
        <v/>
      </c>
      <c r="B472" s="3">
        <f>IF(D472="","",IF(V472=0,"CONCLUÍDO",IF(D472&lt;corte,"HISTÓRICO",IF(OR(AND(ISNUMBER(R472),R472&lt;TODAY()),AND(OR(N472="PENDENTE",N472="PARCIAL"),D472&lt;TODAY()-1)),"CRÍTICO",IF(OR(AND(P472&lt;&gt;"",S472=""),AND(N472="REALIZADO",M472="PENDENTE"),AND(ISNUMBER(R472),R472=TODAY())),"ATENÇÃO",IF(N(K472)=0,"PENDENTE","EM ANDAMENTO"))))))</f>
        <v/>
      </c>
      <c r="C472" s="3">
        <f>IF(D472="","",IF(V472=0,"🟢 OK",IF(D472&lt;corte,"⚪ HISTÓRICO (sem baixa)",IF(AND(ISNUMBER(R472),R472&lt;TODAY()),"🔴 PRAZO VENCIDO",IF(AND(OR(N472="PENDENTE",N472="PARCIAL"),D472&lt;TODAY()-1),"🔴 EMBARQUE ATRASADO",IF(AND(N472="REALIZADO",M472="PENDENTE"),"🟡 EMBARCADO SEM FATURAR",IF(AND(P472&lt;&gt;"",S472="",OR(Q472="",R472="")),"🟡 PENDÊNCIA SEM RESPONSÁVEL/PRAZO",IF(AND(ISNUMBER(R472),R472=TODAY()),"🟡 VENCE HOJE",IF(AND(P472&lt;&gt;"",S472=""),"🟡 PENDÊNCIA ABERTA",IF(AND(N(J472)&gt;0,N(K472)&lt;J472),"🟡 FALTA EXECUTAR",IF(OR(M472="PENDENTE",M472="PARCIAL"),"🟡 FATURAMENTO PENDENTE","🟡 EMBARQUE PENDENTE")))))))))))</f>
        <v/>
      </c>
      <c r="D472" s="4" t="n">
        <v>46256</v>
      </c>
      <c r="E472" s="5" t="inlineStr">
        <is>
          <t>B</t>
        </is>
      </c>
      <c r="F472" s="5" t="inlineStr">
        <is>
          <t>THIAGO</t>
        </is>
      </c>
      <c r="G472" s="5" t="inlineStr">
        <is>
          <t>FOB</t>
        </is>
      </c>
      <c r="H472" s="5" t="inlineStr">
        <is>
          <t>SVP</t>
        </is>
      </c>
      <c r="I472" s="5" t="inlineStr">
        <is>
          <t>TON</t>
        </is>
      </c>
      <c r="J472" s="6" t="n">
        <v>22.738</v>
      </c>
      <c r="K472" s="6" t="n">
        <v>22.738</v>
      </c>
      <c r="L472" s="7">
        <f>IF(OR(D472="",N(J472)=0),"",MIN(1,N(K472)/J472))</f>
        <v/>
      </c>
      <c r="M472" s="5" t="n"/>
      <c r="N472" s="5" t="n"/>
      <c r="O472" s="5" t="n"/>
      <c r="P472" s="5" t="n"/>
      <c r="Q472" s="5" t="n"/>
      <c r="R472" s="4" t="n"/>
      <c r="S472" s="4" t="n"/>
      <c r="T472" s="5" t="n"/>
      <c r="U472" s="8">
        <f>IF(AND(V472=1,D472&lt;&gt;""),IF(D472&gt;=corte,TODAY()-D472,""),"")</f>
        <v/>
      </c>
      <c r="V472" s="8">
        <f>IF(D472="",0,IF(OR(AND(P472&lt;&gt;"",S472=""),AND(N(J472)&gt;0,N(K472)&lt;J472),OR(M472="PENDENTE",M472="PARCIAL"),OR(N472="PENDENTE",N472="PARCIAL")),1,0))</f>
        <v/>
      </c>
      <c r="W472" s="8">
        <f>IF(AND(V472=1,D472&lt;&gt;""),IF(D472&gt;=corte,(B472="CRÍTICO")*1E9+(100000-D472)*10000+10000-ROW(),""),"")</f>
        <v/>
      </c>
      <c r="X472" s="8">
        <f>IF(AND(V472=1,D472=pas_data,E472=pas_turno),10000-ROW(),"")</f>
        <v/>
      </c>
    </row>
    <row r="473">
      <c r="A473" s="3">
        <f>IF(D473="","","TT-"&amp;TEXT(ROW()-1,"00000"))</f>
        <v/>
      </c>
      <c r="B473" s="3">
        <f>IF(D473="","",IF(V473=0,"CONCLUÍDO",IF(D473&lt;corte,"HISTÓRICO",IF(OR(AND(ISNUMBER(R473),R473&lt;TODAY()),AND(OR(N473="PENDENTE",N473="PARCIAL"),D473&lt;TODAY()-1)),"CRÍTICO",IF(OR(AND(P473&lt;&gt;"",S473=""),AND(N473="REALIZADO",M473="PENDENTE"),AND(ISNUMBER(R473),R473=TODAY())),"ATENÇÃO",IF(N(K473)=0,"PENDENTE","EM ANDAMENTO"))))))</f>
        <v/>
      </c>
      <c r="C473" s="3">
        <f>IF(D473="","",IF(V473=0,"🟢 OK",IF(D473&lt;corte,"⚪ HISTÓRICO (sem baixa)",IF(AND(ISNUMBER(R473),R473&lt;TODAY()),"🔴 PRAZO VENCIDO",IF(AND(OR(N473="PENDENTE",N473="PARCIAL"),D473&lt;TODAY()-1),"🔴 EMBARQUE ATRASADO",IF(AND(N473="REALIZADO",M473="PENDENTE"),"🟡 EMBARCADO SEM FATURAR",IF(AND(P473&lt;&gt;"",S473="",OR(Q473="",R473="")),"🟡 PENDÊNCIA SEM RESPONSÁVEL/PRAZO",IF(AND(ISNUMBER(R473),R473=TODAY()),"🟡 VENCE HOJE",IF(AND(P473&lt;&gt;"",S473=""),"🟡 PENDÊNCIA ABERTA",IF(AND(N(J473)&gt;0,N(K473)&lt;J473),"🟡 FALTA EXECUTAR",IF(OR(M473="PENDENTE",M473="PARCIAL"),"🟡 FATURAMENTO PENDENTE","🟡 EMBARQUE PENDENTE")))))))))))</f>
        <v/>
      </c>
      <c r="D473" s="4" t="n">
        <v>46256</v>
      </c>
      <c r="E473" s="5" t="inlineStr">
        <is>
          <t>B</t>
        </is>
      </c>
      <c r="F473" s="5" t="inlineStr">
        <is>
          <t>THIAGO</t>
        </is>
      </c>
      <c r="G473" s="5" t="inlineStr">
        <is>
          <t>FOB</t>
        </is>
      </c>
      <c r="H473" s="5" t="inlineStr">
        <is>
          <t>SVP</t>
        </is>
      </c>
      <c r="I473" s="5" t="inlineStr">
        <is>
          <t>TON</t>
        </is>
      </c>
      <c r="J473" s="6" t="n">
        <v>21.954</v>
      </c>
      <c r="K473" s="6" t="n">
        <v>21.954</v>
      </c>
      <c r="L473" s="7">
        <f>IF(OR(D473="",N(J473)=0),"",MIN(1,N(K473)/J473))</f>
        <v/>
      </c>
      <c r="M473" s="5" t="n"/>
      <c r="N473" s="5" t="n"/>
      <c r="O473" s="5" t="n"/>
      <c r="P473" s="5" t="n"/>
      <c r="Q473" s="5" t="n"/>
      <c r="R473" s="4" t="n"/>
      <c r="S473" s="4" t="n"/>
      <c r="T473" s="5" t="n"/>
      <c r="U473" s="8">
        <f>IF(AND(V473=1,D473&lt;&gt;""),IF(D473&gt;=corte,TODAY()-D473,""),"")</f>
        <v/>
      </c>
      <c r="V473" s="8">
        <f>IF(D473="",0,IF(OR(AND(P473&lt;&gt;"",S473=""),AND(N(J473)&gt;0,N(K473)&lt;J473),OR(M473="PENDENTE",M473="PARCIAL"),OR(N473="PENDENTE",N473="PARCIAL")),1,0))</f>
        <v/>
      </c>
      <c r="W473" s="8">
        <f>IF(AND(V473=1,D473&lt;&gt;""),IF(D473&gt;=corte,(B473="CRÍTICO")*1E9+(100000-D473)*10000+10000-ROW(),""),"")</f>
        <v/>
      </c>
      <c r="X473" s="8">
        <f>IF(AND(V473=1,D473=pas_data,E473=pas_turno),10000-ROW(),"")</f>
        <v/>
      </c>
    </row>
    <row r="474">
      <c r="A474" s="3">
        <f>IF(D474="","","TT-"&amp;TEXT(ROW()-1,"00000"))</f>
        <v/>
      </c>
      <c r="B474" s="3">
        <f>IF(D474="","",IF(V474=0,"CONCLUÍDO",IF(D474&lt;corte,"HISTÓRICO",IF(OR(AND(ISNUMBER(R474),R474&lt;TODAY()),AND(OR(N474="PENDENTE",N474="PARCIAL"),D474&lt;TODAY()-1)),"CRÍTICO",IF(OR(AND(P474&lt;&gt;"",S474=""),AND(N474="REALIZADO",M474="PENDENTE"),AND(ISNUMBER(R474),R474=TODAY())),"ATENÇÃO",IF(N(K474)=0,"PENDENTE","EM ANDAMENTO"))))))</f>
        <v/>
      </c>
      <c r="C474" s="3">
        <f>IF(D474="","",IF(V474=0,"🟢 OK",IF(D474&lt;corte,"⚪ HISTÓRICO (sem baixa)",IF(AND(ISNUMBER(R474),R474&lt;TODAY()),"🔴 PRAZO VENCIDO",IF(AND(OR(N474="PENDENTE",N474="PARCIAL"),D474&lt;TODAY()-1),"🔴 EMBARQUE ATRASADO",IF(AND(N474="REALIZADO",M474="PENDENTE"),"🟡 EMBARCADO SEM FATURAR",IF(AND(P474&lt;&gt;"",S474="",OR(Q474="",R474="")),"🟡 PENDÊNCIA SEM RESPONSÁVEL/PRAZO",IF(AND(ISNUMBER(R474),R474=TODAY()),"🟡 VENCE HOJE",IF(AND(P474&lt;&gt;"",S474=""),"🟡 PENDÊNCIA ABERTA",IF(AND(N(J474)&gt;0,N(K474)&lt;J474),"🟡 FALTA EXECUTAR",IF(OR(M474="PENDENTE",M474="PARCIAL"),"🟡 FATURAMENTO PENDENTE","🟡 EMBARQUE PENDENTE")))))))))))</f>
        <v/>
      </c>
      <c r="D474" s="4" t="n">
        <v>46256</v>
      </c>
      <c r="E474" s="5" t="inlineStr">
        <is>
          <t>B</t>
        </is>
      </c>
      <c r="F474" s="5" t="inlineStr">
        <is>
          <t>THIAGO</t>
        </is>
      </c>
      <c r="G474" s="5" t="inlineStr">
        <is>
          <t>CACAU</t>
        </is>
      </c>
      <c r="H474" s="5" t="n"/>
      <c r="I474" s="5" t="inlineStr">
        <is>
          <t>TON</t>
        </is>
      </c>
      <c r="J474" s="6" t="n">
        <v>14</v>
      </c>
      <c r="K474" s="6" t="n">
        <v>0</v>
      </c>
      <c r="L474" s="7">
        <f>IF(OR(D474="",N(J474)=0),"",MIN(1,N(K474)/J474))</f>
        <v/>
      </c>
      <c r="M474" s="5" t="n"/>
      <c r="N474" s="5" t="n"/>
      <c r="O474" s="5" t="n"/>
      <c r="P474" s="5" t="n"/>
      <c r="Q474" s="5" t="n"/>
      <c r="R474" s="4" t="n"/>
      <c r="S474" s="4" t="n"/>
      <c r="T474" s="5" t="n"/>
      <c r="U474" s="8">
        <f>IF(AND(V474=1,D474&lt;&gt;""),IF(D474&gt;=corte,TODAY()-D474,""),"")</f>
        <v/>
      </c>
      <c r="V474" s="8">
        <f>IF(D474="",0,IF(OR(AND(P474&lt;&gt;"",S474=""),AND(N(J474)&gt;0,N(K474)&lt;J474),OR(M474="PENDENTE",M474="PARCIAL"),OR(N474="PENDENTE",N474="PARCIAL")),1,0))</f>
        <v/>
      </c>
      <c r="W474" s="8">
        <f>IF(AND(V474=1,D474&lt;&gt;""),IF(D474&gt;=corte,(B474="CRÍTICO")*1E9+(100000-D474)*10000+10000-ROW(),""),"")</f>
        <v/>
      </c>
      <c r="X474" s="8">
        <f>IF(AND(V474=1,D474=pas_data,E474=pas_turno),10000-ROW(),"")</f>
        <v/>
      </c>
    </row>
    <row r="475">
      <c r="A475" s="3">
        <f>IF(D475="","","TT-"&amp;TEXT(ROW()-1,"00000"))</f>
        <v/>
      </c>
      <c r="B475" s="3">
        <f>IF(D475="","",IF(V475=0,"CONCLUÍDO",IF(D475&lt;corte,"HISTÓRICO",IF(OR(AND(ISNUMBER(R475),R475&lt;TODAY()),AND(OR(N475="PENDENTE",N475="PARCIAL"),D475&lt;TODAY()-1)),"CRÍTICO",IF(OR(AND(P475&lt;&gt;"",S475=""),AND(N475="REALIZADO",M475="PENDENTE"),AND(ISNUMBER(R475),R475=TODAY())),"ATENÇÃO",IF(N(K475)=0,"PENDENTE","EM ANDAMENTO"))))))</f>
        <v/>
      </c>
      <c r="C475" s="3">
        <f>IF(D475="","",IF(V475=0,"🟢 OK",IF(D475&lt;corte,"⚪ HISTÓRICO (sem baixa)",IF(AND(ISNUMBER(R475),R475&lt;TODAY()),"🔴 PRAZO VENCIDO",IF(AND(OR(N475="PENDENTE",N475="PARCIAL"),D475&lt;TODAY()-1),"🔴 EMBARQUE ATRASADO",IF(AND(N475="REALIZADO",M475="PENDENTE"),"🟡 EMBARCADO SEM FATURAR",IF(AND(P475&lt;&gt;"",S475="",OR(Q475="",R475="")),"🟡 PENDÊNCIA SEM RESPONSÁVEL/PRAZO",IF(AND(ISNUMBER(R475),R475=TODAY()),"🟡 VENCE HOJE",IF(AND(P475&lt;&gt;"",S475=""),"🟡 PENDÊNCIA ABERTA",IF(AND(N(J475)&gt;0,N(K475)&lt;J475),"🟡 FALTA EXECUTAR",IF(OR(M475="PENDENTE",M475="PARCIAL"),"🟡 FATURAMENTO PENDENTE","🟡 EMBARQUE PENDENTE")))))))))))</f>
        <v/>
      </c>
      <c r="D475" s="4" t="n">
        <v>46256</v>
      </c>
      <c r="E475" s="5" t="inlineStr">
        <is>
          <t>B</t>
        </is>
      </c>
      <c r="F475" s="5" t="inlineStr">
        <is>
          <t>THIAGO</t>
        </is>
      </c>
      <c r="G475" s="5" t="inlineStr">
        <is>
          <t>GRANEL</t>
        </is>
      </c>
      <c r="H475" s="5" t="inlineStr">
        <is>
          <t>PANDURATA</t>
        </is>
      </c>
      <c r="I475" s="5" t="inlineStr">
        <is>
          <t>TON</t>
        </is>
      </c>
      <c r="J475" s="6" t="n">
        <v>25.96</v>
      </c>
      <c r="K475" s="6" t="n">
        <v>25.96</v>
      </c>
      <c r="L475" s="7">
        <f>IF(OR(D475="",N(J475)=0),"",MIN(1,N(K475)/J475))</f>
        <v/>
      </c>
      <c r="M475" s="5" t="n"/>
      <c r="N475" s="5" t="n"/>
      <c r="O475" s="5" t="n"/>
      <c r="P475" s="5" t="n"/>
      <c r="Q475" s="5" t="n"/>
      <c r="R475" s="4" t="n"/>
      <c r="S475" s="4" t="n"/>
      <c r="T475" s="5" t="n"/>
      <c r="U475" s="8">
        <f>IF(AND(V475=1,D475&lt;&gt;""),IF(D475&gt;=corte,TODAY()-D475,""),"")</f>
        <v/>
      </c>
      <c r="V475" s="8">
        <f>IF(D475="",0,IF(OR(AND(P475&lt;&gt;"",S475=""),AND(N(J475)&gt;0,N(K475)&lt;J475),OR(M475="PENDENTE",M475="PARCIAL"),OR(N475="PENDENTE",N475="PARCIAL")),1,0))</f>
        <v/>
      </c>
      <c r="W475" s="8">
        <f>IF(AND(V475=1,D475&lt;&gt;""),IF(D475&gt;=corte,(B475="CRÍTICO")*1E9+(100000-D475)*10000+10000-ROW(),""),"")</f>
        <v/>
      </c>
      <c r="X475" s="8">
        <f>IF(AND(V475=1,D475=pas_data,E475=pas_turno),10000-ROW(),"")</f>
        <v/>
      </c>
    </row>
    <row r="476">
      <c r="A476" s="3">
        <f>IF(D476="","","TT-"&amp;TEXT(ROW()-1,"00000"))</f>
        <v/>
      </c>
      <c r="B476" s="3">
        <f>IF(D476="","",IF(V476=0,"CONCLUÍDO",IF(D476&lt;corte,"HISTÓRICO",IF(OR(AND(ISNUMBER(R476),R476&lt;TODAY()),AND(OR(N476="PENDENTE",N476="PARCIAL"),D476&lt;TODAY()-1)),"CRÍTICO",IF(OR(AND(P476&lt;&gt;"",S476=""),AND(N476="REALIZADO",M476="PENDENTE"),AND(ISNUMBER(R476),R476=TODAY())),"ATENÇÃO",IF(N(K476)=0,"PENDENTE","EM ANDAMENTO"))))))</f>
        <v/>
      </c>
      <c r="C476" s="3">
        <f>IF(D476="","",IF(V476=0,"🟢 OK",IF(D476&lt;corte,"⚪ HISTÓRICO (sem baixa)",IF(AND(ISNUMBER(R476),R476&lt;TODAY()),"🔴 PRAZO VENCIDO",IF(AND(OR(N476="PENDENTE",N476="PARCIAL"),D476&lt;TODAY()-1),"🔴 EMBARQUE ATRASADO",IF(AND(N476="REALIZADO",M476="PENDENTE"),"🟡 EMBARCADO SEM FATURAR",IF(AND(P476&lt;&gt;"",S476="",OR(Q476="",R476="")),"🟡 PENDÊNCIA SEM RESPONSÁVEL/PRAZO",IF(AND(ISNUMBER(R476),R476=TODAY()),"🟡 VENCE HOJE",IF(AND(P476&lt;&gt;"",S476=""),"🟡 PENDÊNCIA ABERTA",IF(AND(N(J476)&gt;0,N(K476)&lt;J476),"🟡 FALTA EXECUTAR",IF(OR(M476="PENDENTE",M476="PARCIAL"),"🟡 FATURAMENTO PENDENTE","🟡 EMBARQUE PENDENTE")))))))))))</f>
        <v/>
      </c>
      <c r="D476" s="4" t="n">
        <v>46256</v>
      </c>
      <c r="E476" s="5" t="inlineStr">
        <is>
          <t>B</t>
        </is>
      </c>
      <c r="F476" s="5" t="inlineStr">
        <is>
          <t>THIAGO</t>
        </is>
      </c>
      <c r="G476" s="5" t="inlineStr">
        <is>
          <t>GM</t>
        </is>
      </c>
      <c r="H476" s="5" t="inlineStr">
        <is>
          <t>CROSS RJ</t>
        </is>
      </c>
      <c r="I476" s="5" t="inlineStr">
        <is>
          <t>TON</t>
        </is>
      </c>
      <c r="J476" s="6" t="n">
        <v>17.014</v>
      </c>
      <c r="K476" s="6" t="n">
        <v>8.776</v>
      </c>
      <c r="L476" s="7">
        <f>IF(OR(D476="",N(J476)=0),"",MIN(1,N(K476)/J476))</f>
        <v/>
      </c>
      <c r="M476" s="5" t="n"/>
      <c r="N476" s="5" t="n"/>
      <c r="O476" s="5" t="n"/>
      <c r="P476" s="5" t="n"/>
      <c r="Q476" s="5" t="n"/>
      <c r="R476" s="4" t="n"/>
      <c r="S476" s="4" t="n"/>
      <c r="T476" s="5" t="n"/>
      <c r="U476" s="8">
        <f>IF(AND(V476=1,D476&lt;&gt;""),IF(D476&gt;=corte,TODAY()-D476,""),"")</f>
        <v/>
      </c>
      <c r="V476" s="8">
        <f>IF(D476="",0,IF(OR(AND(P476&lt;&gt;"",S476=""),AND(N(J476)&gt;0,N(K476)&lt;J476),OR(M476="PENDENTE",M476="PARCIAL"),OR(N476="PENDENTE",N476="PARCIAL")),1,0))</f>
        <v/>
      </c>
      <c r="W476" s="8">
        <f>IF(AND(V476=1,D476&lt;&gt;""),IF(D476&gt;=corte,(B476="CRÍTICO")*1E9+(100000-D476)*10000+10000-ROW(),""),"")</f>
        <v/>
      </c>
      <c r="X476" s="8">
        <f>IF(AND(V476=1,D476=pas_data,E476=pas_turno),10000-ROW(),"")</f>
        <v/>
      </c>
    </row>
    <row r="477">
      <c r="A477" s="3">
        <f>IF(D477="","","TT-"&amp;TEXT(ROW()-1,"00000"))</f>
        <v/>
      </c>
      <c r="B477" s="3">
        <f>IF(D477="","",IF(V477=0,"CONCLUÍDO",IF(D477&lt;corte,"HISTÓRICO",IF(OR(AND(ISNUMBER(R477),R477&lt;TODAY()),AND(OR(N477="PENDENTE",N477="PARCIAL"),D477&lt;TODAY()-1)),"CRÍTICO",IF(OR(AND(P477&lt;&gt;"",S477=""),AND(N477="REALIZADO",M477="PENDENTE"),AND(ISNUMBER(R477),R477=TODAY())),"ATENÇÃO",IF(N(K477)=0,"PENDENTE","EM ANDAMENTO"))))))</f>
        <v/>
      </c>
      <c r="C477" s="3">
        <f>IF(D477="","",IF(V477=0,"🟢 OK",IF(D477&lt;corte,"⚪ HISTÓRICO (sem baixa)",IF(AND(ISNUMBER(R477),R477&lt;TODAY()),"🔴 PRAZO VENCIDO",IF(AND(OR(N477="PENDENTE",N477="PARCIAL"),D477&lt;TODAY()-1),"🔴 EMBARQUE ATRASADO",IF(AND(N477="REALIZADO",M477="PENDENTE"),"🟡 EMBARCADO SEM FATURAR",IF(AND(P477&lt;&gt;"",S477="",OR(Q477="",R477="")),"🟡 PENDÊNCIA SEM RESPONSÁVEL/PRAZO",IF(AND(ISNUMBER(R477),R477=TODAY()),"🟡 VENCE HOJE",IF(AND(P477&lt;&gt;"",S477=""),"🟡 PENDÊNCIA ABERTA",IF(AND(N(J477)&gt;0,N(K477)&lt;J477),"🟡 FALTA EXECUTAR",IF(OR(M477="PENDENTE",M477="PARCIAL"),"🟡 FATURAMENTO PENDENTE","🟡 EMBARQUE PENDENTE")))))))))))</f>
        <v/>
      </c>
      <c r="D477" s="4" t="n">
        <v>46256</v>
      </c>
      <c r="E477" s="5" t="inlineStr">
        <is>
          <t>B</t>
        </is>
      </c>
      <c r="F477" s="5" t="inlineStr">
        <is>
          <t>THIAGO</t>
        </is>
      </c>
      <c r="G477" s="5" t="inlineStr">
        <is>
          <t>FLOOR</t>
        </is>
      </c>
      <c r="H477" s="5" t="n"/>
      <c r="I477" s="5" t="inlineStr">
        <is>
          <t>PALETE</t>
        </is>
      </c>
      <c r="J477" s="6" t="n">
        <v>119</v>
      </c>
      <c r="K477" s="6" t="n">
        <v>119</v>
      </c>
      <c r="L477" s="7">
        <f>IF(OR(D477="",N(J477)=0),"",MIN(1,N(K477)/J477))</f>
        <v/>
      </c>
      <c r="M477" s="5" t="n"/>
      <c r="N477" s="5" t="n"/>
      <c r="O477" s="5" t="n"/>
      <c r="P477" s="5" t="n"/>
      <c r="Q477" s="5" t="n"/>
      <c r="R477" s="4" t="n"/>
      <c r="S477" s="4" t="n"/>
      <c r="T477" s="5" t="inlineStr">
        <is>
          <t>[MIGRAÇÃO: programação original: FLOOR / CACAU]</t>
        </is>
      </c>
      <c r="U477" s="8">
        <f>IF(AND(V477=1,D477&lt;&gt;""),IF(D477&gt;=corte,TODAY()-D477,""),"")</f>
        <v/>
      </c>
      <c r="V477" s="8">
        <f>IF(D477="",0,IF(OR(AND(P477&lt;&gt;"",S477=""),AND(N(J477)&gt;0,N(K477)&lt;J477),OR(M477="PENDENTE",M477="PARCIAL"),OR(N477="PENDENTE",N477="PARCIAL")),1,0))</f>
        <v/>
      </c>
      <c r="W477" s="8">
        <f>IF(AND(V477=1,D477&lt;&gt;""),IF(D477&gt;=corte,(B477="CRÍTICO")*1E9+(100000-D477)*10000+10000-ROW(),""),"")</f>
        <v/>
      </c>
      <c r="X477" s="8">
        <f>IF(AND(V477=1,D477=pas_data,E477=pas_turno),10000-ROW(),"")</f>
        <v/>
      </c>
    </row>
    <row r="478">
      <c r="A478" s="3">
        <f>IF(D478="","","TT-"&amp;TEXT(ROW()-1,"00000"))</f>
        <v/>
      </c>
      <c r="B478" s="3">
        <f>IF(D478="","",IF(V478=0,"CONCLUÍDO",IF(D478&lt;corte,"HISTÓRICO",IF(OR(AND(ISNUMBER(R478),R478&lt;TODAY()),AND(OR(N478="PENDENTE",N478="PARCIAL"),D478&lt;TODAY()-1)),"CRÍTICO",IF(OR(AND(P478&lt;&gt;"",S478=""),AND(N478="REALIZADO",M478="PENDENTE"),AND(ISNUMBER(R478),R478=TODAY())),"ATENÇÃO",IF(N(K478)=0,"PENDENTE","EM ANDAMENTO"))))))</f>
        <v/>
      </c>
      <c r="C478" s="3">
        <f>IF(D478="","",IF(V478=0,"🟢 OK",IF(D478&lt;corte,"⚪ HISTÓRICO (sem baixa)",IF(AND(ISNUMBER(R478),R478&lt;TODAY()),"🔴 PRAZO VENCIDO",IF(AND(OR(N478="PENDENTE",N478="PARCIAL"),D478&lt;TODAY()-1),"🔴 EMBARQUE ATRASADO",IF(AND(N478="REALIZADO",M478="PENDENTE"),"🟡 EMBARCADO SEM FATURAR",IF(AND(P478&lt;&gt;"",S478="",OR(Q478="",R478="")),"🟡 PENDÊNCIA SEM RESPONSÁVEL/PRAZO",IF(AND(ISNUMBER(R478),R478=TODAY()),"🟡 VENCE HOJE",IF(AND(P478&lt;&gt;"",S478=""),"🟡 PENDÊNCIA ABERTA",IF(AND(N(J478)&gt;0,N(K478)&lt;J478),"🟡 FALTA EXECUTAR",IF(OR(M478="PENDENTE",M478="PARCIAL"),"🟡 FATURAMENTO PENDENTE","🟡 EMBARQUE PENDENTE")))))))))))</f>
        <v/>
      </c>
      <c r="D478" s="4" t="n">
        <v>46257</v>
      </c>
      <c r="E478" s="5" t="inlineStr">
        <is>
          <t>C</t>
        </is>
      </c>
      <c r="F478" s="5" t="inlineStr">
        <is>
          <t>ADIB</t>
        </is>
      </c>
      <c r="G478" s="5" t="inlineStr">
        <is>
          <t>CROSS DOCKING</t>
        </is>
      </c>
      <c r="H478" s="5" t="inlineStr">
        <is>
          <t>CROSS RJ</t>
        </is>
      </c>
      <c r="I478" s="5" t="inlineStr">
        <is>
          <t>TON</t>
        </is>
      </c>
      <c r="J478" s="6" t="n">
        <v>8.238</v>
      </c>
      <c r="K478" s="6" t="n">
        <v>8.238</v>
      </c>
      <c r="L478" s="7">
        <f>IF(OR(D478="",N(J478)=0),"",MIN(1,N(K478)/J478))</f>
        <v/>
      </c>
      <c r="M478" s="5" t="inlineStr">
        <is>
          <t>FATURADO</t>
        </is>
      </c>
      <c r="N478" s="5" t="inlineStr">
        <is>
          <t>PENDENTE</t>
        </is>
      </c>
      <c r="O478" s="5" t="n"/>
      <c r="P478" s="5" t="inlineStr">
        <is>
          <t>AGUARDANDO CARRO</t>
        </is>
      </c>
      <c r="Q478" s="5" t="n"/>
      <c r="R478" s="4" t="n"/>
      <c r="S478" s="4" t="n"/>
      <c r="T478" s="5" t="inlineStr">
        <is>
          <t>AGUARDANDO CARRO [MIGRAÇÃO: programação original: CROSS RJ]</t>
        </is>
      </c>
      <c r="U478" s="8">
        <f>IF(AND(V478=1,D478&lt;&gt;""),IF(D478&gt;=corte,TODAY()-D478,""),"")</f>
        <v/>
      </c>
      <c r="V478" s="8">
        <f>IF(D478="",0,IF(OR(AND(P478&lt;&gt;"",S478=""),AND(N(J478)&gt;0,N(K478)&lt;J478),OR(M478="PENDENTE",M478="PARCIAL"),OR(N478="PENDENTE",N478="PARCIAL")),1,0))</f>
        <v/>
      </c>
      <c r="W478" s="8">
        <f>IF(AND(V478=1,D478&lt;&gt;""),IF(D478&gt;=corte,(B478="CRÍTICO")*1E9+(100000-D478)*10000+10000-ROW(),""),"")</f>
        <v/>
      </c>
      <c r="X478" s="8">
        <f>IF(AND(V478=1,D478=pas_data,E478=pas_turno),10000-ROW(),"")</f>
        <v/>
      </c>
    </row>
    <row r="479">
      <c r="A479" s="3">
        <f>IF(D479="","","TT-"&amp;TEXT(ROW()-1,"00000"))</f>
        <v/>
      </c>
      <c r="B479" s="3">
        <f>IF(D479="","",IF(V479=0,"CONCLUÍDO",IF(D479&lt;corte,"HISTÓRICO",IF(OR(AND(ISNUMBER(R479),R479&lt;TODAY()),AND(OR(N479="PENDENTE",N479="PARCIAL"),D479&lt;TODAY()-1)),"CRÍTICO",IF(OR(AND(P479&lt;&gt;"",S479=""),AND(N479="REALIZADO",M479="PENDENTE"),AND(ISNUMBER(R479),R479=TODAY())),"ATENÇÃO",IF(N(K479)=0,"PENDENTE","EM ANDAMENTO"))))))</f>
        <v/>
      </c>
      <c r="C479" s="3">
        <f>IF(D479="","",IF(V479=0,"🟢 OK",IF(D479&lt;corte,"⚪ HISTÓRICO (sem baixa)",IF(AND(ISNUMBER(R479),R479&lt;TODAY()),"🔴 PRAZO VENCIDO",IF(AND(OR(N479="PENDENTE",N479="PARCIAL"),D479&lt;TODAY()-1),"🔴 EMBARQUE ATRASADO",IF(AND(N479="REALIZADO",M479="PENDENTE"),"🟡 EMBARCADO SEM FATURAR",IF(AND(P479&lt;&gt;"",S479="",OR(Q479="",R479="")),"🟡 PENDÊNCIA SEM RESPONSÁVEL/PRAZO",IF(AND(ISNUMBER(R479),R479=TODAY()),"🟡 VENCE HOJE",IF(AND(P479&lt;&gt;"",S479=""),"🟡 PENDÊNCIA ABERTA",IF(AND(N(J479)&gt;0,N(K479)&lt;J479),"🟡 FALTA EXECUTAR",IF(OR(M479="PENDENTE",M479="PARCIAL"),"🟡 FATURAMENTO PENDENTE","🟡 EMBARQUE PENDENTE")))))))))))</f>
        <v/>
      </c>
      <c r="D479" s="4" t="n">
        <v>46257</v>
      </c>
      <c r="E479" s="5" t="inlineStr">
        <is>
          <t>C</t>
        </is>
      </c>
      <c r="F479" s="5" t="inlineStr">
        <is>
          <t>ADIB</t>
        </is>
      </c>
      <c r="G479" s="5" t="inlineStr">
        <is>
          <t>FOB</t>
        </is>
      </c>
      <c r="H479" s="5" t="inlineStr">
        <is>
          <t>CASA DA PANIFICAÇÃO</t>
        </is>
      </c>
      <c r="I479" s="5" t="inlineStr">
        <is>
          <t>TON</t>
        </is>
      </c>
      <c r="J479" s="6" t="n">
        <v>8.284000000000001</v>
      </c>
      <c r="K479" s="6" t="n">
        <v>8.284000000000001</v>
      </c>
      <c r="L479" s="7">
        <f>IF(OR(D479="",N(J479)=0),"",MIN(1,N(K479)/J479))</f>
        <v/>
      </c>
      <c r="M479" s="5" t="inlineStr">
        <is>
          <t>FATURADO</t>
        </is>
      </c>
      <c r="N479" s="5" t="inlineStr">
        <is>
          <t>PENDENTE</t>
        </is>
      </c>
      <c r="O479" s="5" t="n"/>
      <c r="P479" s="5" t="inlineStr">
        <is>
          <t>AGUARDANDO CARRO</t>
        </is>
      </c>
      <c r="Q479" s="5" t="n"/>
      <c r="R479" s="4" t="n"/>
      <c r="S479" s="4" t="n"/>
      <c r="T479" s="5" t="inlineStr">
        <is>
          <t>AGUARDANDO CARRO</t>
        </is>
      </c>
      <c r="U479" s="8">
        <f>IF(AND(V479=1,D479&lt;&gt;""),IF(D479&gt;=corte,TODAY()-D479,""),"")</f>
        <v/>
      </c>
      <c r="V479" s="8">
        <f>IF(D479="",0,IF(OR(AND(P479&lt;&gt;"",S479=""),AND(N(J479)&gt;0,N(K479)&lt;J479),OR(M479="PENDENTE",M479="PARCIAL"),OR(N479="PENDENTE",N479="PARCIAL")),1,0))</f>
        <v/>
      </c>
      <c r="W479" s="8">
        <f>IF(AND(V479=1,D479&lt;&gt;""),IF(D479&gt;=corte,(B479="CRÍTICO")*1E9+(100000-D479)*10000+10000-ROW(),""),"")</f>
        <v/>
      </c>
      <c r="X479" s="8">
        <f>IF(AND(V479=1,D479=pas_data,E479=pas_turno),10000-ROW(),"")</f>
        <v/>
      </c>
    </row>
    <row r="480">
      <c r="A480" s="3">
        <f>IF(D480="","","TT-"&amp;TEXT(ROW()-1,"00000"))</f>
        <v/>
      </c>
      <c r="B480" s="3">
        <f>IF(D480="","",IF(V480=0,"CONCLUÍDO",IF(D480&lt;corte,"HISTÓRICO",IF(OR(AND(ISNUMBER(R480),R480&lt;TODAY()),AND(OR(N480="PENDENTE",N480="PARCIAL"),D480&lt;TODAY()-1)),"CRÍTICO",IF(OR(AND(P480&lt;&gt;"",S480=""),AND(N480="REALIZADO",M480="PENDENTE"),AND(ISNUMBER(R480),R480=TODAY())),"ATENÇÃO",IF(N(K480)=0,"PENDENTE","EM ANDAMENTO"))))))</f>
        <v/>
      </c>
      <c r="C480" s="3">
        <f>IF(D480="","",IF(V480=0,"🟢 OK",IF(D480&lt;corte,"⚪ HISTÓRICO (sem baixa)",IF(AND(ISNUMBER(R480),R480&lt;TODAY()),"🔴 PRAZO VENCIDO",IF(AND(OR(N480="PENDENTE",N480="PARCIAL"),D480&lt;TODAY()-1),"🔴 EMBARQUE ATRASADO",IF(AND(N480="REALIZADO",M480="PENDENTE"),"🟡 EMBARCADO SEM FATURAR",IF(AND(P480&lt;&gt;"",S480="",OR(Q480="",R480="")),"🟡 PENDÊNCIA SEM RESPONSÁVEL/PRAZO",IF(AND(ISNUMBER(R480),R480=TODAY()),"🟡 VENCE HOJE",IF(AND(P480&lt;&gt;"",S480=""),"🟡 PENDÊNCIA ABERTA",IF(AND(N(J480)&gt;0,N(K480)&lt;J480),"🟡 FALTA EXECUTAR",IF(OR(M480="PENDENTE",M480="PARCIAL"),"🟡 FATURAMENTO PENDENTE","🟡 EMBARQUE PENDENTE")))))))))))</f>
        <v/>
      </c>
      <c r="D480" s="4" t="n">
        <v>46257</v>
      </c>
      <c r="E480" s="5" t="inlineStr">
        <is>
          <t>C</t>
        </is>
      </c>
      <c r="F480" s="5" t="inlineStr">
        <is>
          <t>ADIB</t>
        </is>
      </c>
      <c r="G480" s="5" t="inlineStr">
        <is>
          <t>GRANEL</t>
        </is>
      </c>
      <c r="H480" s="5" t="inlineStr">
        <is>
          <t>TOP CAU</t>
        </is>
      </c>
      <c r="I480" s="5" t="inlineStr">
        <is>
          <t>TON</t>
        </is>
      </c>
      <c r="J480" s="6" t="n">
        <v>25.81</v>
      </c>
      <c r="K480" s="6" t="n">
        <v>25.81</v>
      </c>
      <c r="L480" s="7">
        <f>IF(OR(D480="",N(J480)=0),"",MIN(1,N(K480)/J480))</f>
        <v/>
      </c>
      <c r="M480" s="5" t="inlineStr">
        <is>
          <t>FATURADO</t>
        </is>
      </c>
      <c r="N480" s="5" t="inlineStr">
        <is>
          <t>REALIZADO</t>
        </is>
      </c>
      <c r="O480" s="5" t="n"/>
      <c r="P480" s="5" t="n"/>
      <c r="Q480" s="5" t="n"/>
      <c r="R480" s="4" t="n"/>
      <c r="S480" s="4" t="n"/>
      <c r="T480" s="5" t="inlineStr">
        <is>
          <t>FATURADO E LIBERADO</t>
        </is>
      </c>
      <c r="U480" s="8">
        <f>IF(AND(V480=1,D480&lt;&gt;""),IF(D480&gt;=corte,TODAY()-D480,""),"")</f>
        <v/>
      </c>
      <c r="V480" s="8">
        <f>IF(D480="",0,IF(OR(AND(P480&lt;&gt;"",S480=""),AND(N(J480)&gt;0,N(K480)&lt;J480),OR(M480="PENDENTE",M480="PARCIAL"),OR(N480="PENDENTE",N480="PARCIAL")),1,0))</f>
        <v/>
      </c>
      <c r="W480" s="8">
        <f>IF(AND(V480=1,D480&lt;&gt;""),IF(D480&gt;=corte,(B480="CRÍTICO")*1E9+(100000-D480)*10000+10000-ROW(),""),"")</f>
        <v/>
      </c>
      <c r="X480" s="8">
        <f>IF(AND(V480=1,D480=pas_data,E480=pas_turno),10000-ROW(),"")</f>
        <v/>
      </c>
    </row>
    <row r="481">
      <c r="A481" s="3">
        <f>IF(D481="","","TT-"&amp;TEXT(ROW()-1,"00000"))</f>
        <v/>
      </c>
      <c r="B481" s="3">
        <f>IF(D481="","",IF(V481=0,"CONCLUÍDO",IF(D481&lt;corte,"HISTÓRICO",IF(OR(AND(ISNUMBER(R481),R481&lt;TODAY()),AND(OR(N481="PENDENTE",N481="PARCIAL"),D481&lt;TODAY()-1)),"CRÍTICO",IF(OR(AND(P481&lt;&gt;"",S481=""),AND(N481="REALIZADO",M481="PENDENTE"),AND(ISNUMBER(R481),R481=TODAY())),"ATENÇÃO",IF(N(K481)=0,"PENDENTE","EM ANDAMENTO"))))))</f>
        <v/>
      </c>
      <c r="C481" s="3">
        <f>IF(D481="","",IF(V481=0,"🟢 OK",IF(D481&lt;corte,"⚪ HISTÓRICO (sem baixa)",IF(AND(ISNUMBER(R481),R481&lt;TODAY()),"🔴 PRAZO VENCIDO",IF(AND(OR(N481="PENDENTE",N481="PARCIAL"),D481&lt;TODAY()-1),"🔴 EMBARQUE ATRASADO",IF(AND(N481="REALIZADO",M481="PENDENTE"),"🟡 EMBARCADO SEM FATURAR",IF(AND(P481&lt;&gt;"",S481="",OR(Q481="",R481="")),"🟡 PENDÊNCIA SEM RESPONSÁVEL/PRAZO",IF(AND(ISNUMBER(R481),R481=TODAY()),"🟡 VENCE HOJE",IF(AND(P481&lt;&gt;"",S481=""),"🟡 PENDÊNCIA ABERTA",IF(AND(N(J481)&gt;0,N(K481)&lt;J481),"🟡 FALTA EXECUTAR",IF(OR(M481="PENDENTE",M481="PARCIAL"),"🟡 FATURAMENTO PENDENTE","🟡 EMBARQUE PENDENTE")))))))))))</f>
        <v/>
      </c>
      <c r="D481" s="4" t="n">
        <v>46257</v>
      </c>
      <c r="E481" s="5" t="inlineStr">
        <is>
          <t>C</t>
        </is>
      </c>
      <c r="F481" s="5" t="inlineStr">
        <is>
          <t>ADIB</t>
        </is>
      </c>
      <c r="G481" s="5" t="inlineStr">
        <is>
          <t>RECEBIMENTO</t>
        </is>
      </c>
      <c r="H481" s="5" t="inlineStr">
        <is>
          <t>CACAU</t>
        </is>
      </c>
      <c r="I481" s="5" t="inlineStr">
        <is>
          <t>PALETE</t>
        </is>
      </c>
      <c r="J481" s="6" t="n">
        <v>26</v>
      </c>
      <c r="K481" s="6" t="n">
        <v>26</v>
      </c>
      <c r="L481" s="7">
        <f>IF(OR(D481="",N(J481)=0),"",MIN(1,N(K481)/J481))</f>
        <v/>
      </c>
      <c r="M481" s="5" t="n"/>
      <c r="N481" s="5" t="n"/>
      <c r="O481" s="5" t="n"/>
      <c r="P481" s="5" t="n"/>
      <c r="Q481" s="5" t="n"/>
      <c r="R481" s="4" t="n"/>
      <c r="S481" s="4" t="n"/>
      <c r="T481" s="5" t="inlineStr">
        <is>
          <t>RECEBIMENTO CACAU ( LUNARDI ) RECEBIDO E ARMAZENADO [MIGRAÇÃO: programação original: RECEBIMENTO CACAU]</t>
        </is>
      </c>
      <c r="U481" s="8">
        <f>IF(AND(V481=1,D481&lt;&gt;""),IF(D481&gt;=corte,TODAY()-D481,""),"")</f>
        <v/>
      </c>
      <c r="V481" s="8">
        <f>IF(D481="",0,IF(OR(AND(P481&lt;&gt;"",S481=""),AND(N(J481)&gt;0,N(K481)&lt;J481),OR(M481="PENDENTE",M481="PARCIAL"),OR(N481="PENDENTE",N481="PARCIAL")),1,0))</f>
        <v/>
      </c>
      <c r="W481" s="8">
        <f>IF(AND(V481=1,D481&lt;&gt;""),IF(D481&gt;=corte,(B481="CRÍTICO")*1E9+(100000-D481)*10000+10000-ROW(),""),"")</f>
        <v/>
      </c>
      <c r="X481" s="8">
        <f>IF(AND(V481=1,D481=pas_data,E481=pas_turno),10000-ROW(),"")</f>
        <v/>
      </c>
    </row>
    <row r="482">
      <c r="A482" s="3">
        <f>IF(D482="","","TT-"&amp;TEXT(ROW()-1,"00000"))</f>
        <v/>
      </c>
      <c r="B482" s="3">
        <f>IF(D482="","",IF(V482=0,"CONCLUÍDO",IF(D482&lt;corte,"HISTÓRICO",IF(OR(AND(ISNUMBER(R482),R482&lt;TODAY()),AND(OR(N482="PENDENTE",N482="PARCIAL"),D482&lt;TODAY()-1)),"CRÍTICO",IF(OR(AND(P482&lt;&gt;"",S482=""),AND(N482="REALIZADO",M482="PENDENTE"),AND(ISNUMBER(R482),R482=TODAY())),"ATENÇÃO",IF(N(K482)=0,"PENDENTE","EM ANDAMENTO"))))))</f>
        <v/>
      </c>
      <c r="C482" s="3">
        <f>IF(D482="","",IF(V482=0,"🟢 OK",IF(D482&lt;corte,"⚪ HISTÓRICO (sem baixa)",IF(AND(ISNUMBER(R482),R482&lt;TODAY()),"🔴 PRAZO VENCIDO",IF(AND(OR(N482="PENDENTE",N482="PARCIAL"),D482&lt;TODAY()-1),"🔴 EMBARQUE ATRASADO",IF(AND(N482="REALIZADO",M482="PENDENTE"),"🟡 EMBARCADO SEM FATURAR",IF(AND(P482&lt;&gt;"",S482="",OR(Q482="",R482="")),"🟡 PENDÊNCIA SEM RESPONSÁVEL/PRAZO",IF(AND(ISNUMBER(R482),R482=TODAY()),"🟡 VENCE HOJE",IF(AND(P482&lt;&gt;"",S482=""),"🟡 PENDÊNCIA ABERTA",IF(AND(N(J482)&gt;0,N(K482)&lt;J482),"🟡 FALTA EXECUTAR",IF(OR(M482="PENDENTE",M482="PARCIAL"),"🟡 FATURAMENTO PENDENTE","🟡 EMBARQUE PENDENTE")))))))))))</f>
        <v/>
      </c>
      <c r="D482" s="4" t="n">
        <v>46257</v>
      </c>
      <c r="E482" s="5" t="inlineStr">
        <is>
          <t>C</t>
        </is>
      </c>
      <c r="F482" s="5" t="inlineStr">
        <is>
          <t>ADIB</t>
        </is>
      </c>
      <c r="G482" s="5" t="inlineStr">
        <is>
          <t>FOB</t>
        </is>
      </c>
      <c r="H482" s="5" t="inlineStr">
        <is>
          <t>MERCADO DO SABOR</t>
        </is>
      </c>
      <c r="I482" s="5" t="inlineStr">
        <is>
          <t>TON</t>
        </is>
      </c>
      <c r="J482" s="6" t="n">
        <v>10.51</v>
      </c>
      <c r="K482" s="6" t="n">
        <v>10.51</v>
      </c>
      <c r="L482" s="7">
        <f>IF(OR(D482="",N(J482)=0),"",MIN(1,N(K482)/J482))</f>
        <v/>
      </c>
      <c r="M482" s="5" t="inlineStr">
        <is>
          <t>PENDENTE</t>
        </is>
      </c>
      <c r="N482" s="5" t="inlineStr">
        <is>
          <t>PENDENTE</t>
        </is>
      </c>
      <c r="O482" s="5" t="n"/>
      <c r="P482" s="5" t="n"/>
      <c r="Q482" s="5" t="n"/>
      <c r="R482" s="4" t="n"/>
      <c r="S482" s="4" t="n"/>
      <c r="T482" s="5" t="inlineStr">
        <is>
          <t>FOB PROGRAMAÇÃO DIA 24/08</t>
        </is>
      </c>
      <c r="U482" s="8">
        <f>IF(AND(V482=1,D482&lt;&gt;""),IF(D482&gt;=corte,TODAY()-D482,""),"")</f>
        <v/>
      </c>
      <c r="V482" s="8">
        <f>IF(D482="",0,IF(OR(AND(P482&lt;&gt;"",S482=""),AND(N(J482)&gt;0,N(K482)&lt;J482),OR(M482="PENDENTE",M482="PARCIAL"),OR(N482="PENDENTE",N482="PARCIAL")),1,0))</f>
        <v/>
      </c>
      <c r="W482" s="8">
        <f>IF(AND(V482=1,D482&lt;&gt;""),IF(D482&gt;=corte,(B482="CRÍTICO")*1E9+(100000-D482)*10000+10000-ROW(),""),"")</f>
        <v/>
      </c>
      <c r="X482" s="8">
        <f>IF(AND(V482=1,D482=pas_data,E482=pas_turno),10000-ROW(),"")</f>
        <v/>
      </c>
    </row>
    <row r="483">
      <c r="A483" s="3">
        <f>IF(D483="","","TT-"&amp;TEXT(ROW()-1,"00000"))</f>
        <v/>
      </c>
      <c r="B483" s="3">
        <f>IF(D483="","",IF(V483=0,"CONCLUÍDO",IF(D483&lt;corte,"HISTÓRICO",IF(OR(AND(ISNUMBER(R483),R483&lt;TODAY()),AND(OR(N483="PENDENTE",N483="PARCIAL"),D483&lt;TODAY()-1)),"CRÍTICO",IF(OR(AND(P483&lt;&gt;"",S483=""),AND(N483="REALIZADO",M483="PENDENTE"),AND(ISNUMBER(R483),R483=TODAY())),"ATENÇÃO",IF(N(K483)=0,"PENDENTE","EM ANDAMENTO"))))))</f>
        <v/>
      </c>
      <c r="C483" s="3">
        <f>IF(D483="","",IF(V483=0,"🟢 OK",IF(D483&lt;corte,"⚪ HISTÓRICO (sem baixa)",IF(AND(ISNUMBER(R483),R483&lt;TODAY()),"🔴 PRAZO VENCIDO",IF(AND(OR(N483="PENDENTE",N483="PARCIAL"),D483&lt;TODAY()-1),"🔴 EMBARQUE ATRASADO",IF(AND(N483="REALIZADO",M483="PENDENTE"),"🟡 EMBARCADO SEM FATURAR",IF(AND(P483&lt;&gt;"",S483="",OR(Q483="",R483="")),"🟡 PENDÊNCIA SEM RESPONSÁVEL/PRAZO",IF(AND(ISNUMBER(R483),R483=TODAY()),"🟡 VENCE HOJE",IF(AND(P483&lt;&gt;"",S483=""),"🟡 PENDÊNCIA ABERTA",IF(AND(N(J483)&gt;0,N(K483)&lt;J483),"🟡 FALTA EXECUTAR",IF(OR(M483="PENDENTE",M483="PARCIAL"),"🟡 FATURAMENTO PENDENTE","🟡 EMBARQUE PENDENTE")))))))))))</f>
        <v/>
      </c>
      <c r="D483" s="4" t="n">
        <v>46257</v>
      </c>
      <c r="E483" s="5" t="inlineStr">
        <is>
          <t>C</t>
        </is>
      </c>
      <c r="F483" s="5" t="inlineStr">
        <is>
          <t>ADIB</t>
        </is>
      </c>
      <c r="G483" s="5" t="inlineStr">
        <is>
          <t>FOB</t>
        </is>
      </c>
      <c r="H483" s="5" t="inlineStr">
        <is>
          <t>PRASO PLATAFORMA</t>
        </is>
      </c>
      <c r="I483" s="5" t="inlineStr">
        <is>
          <t>TON</t>
        </is>
      </c>
      <c r="J483" s="6" t="n">
        <v>8.41</v>
      </c>
      <c r="K483" s="6" t="n">
        <v>8.41</v>
      </c>
      <c r="L483" s="7">
        <f>IF(OR(D483="",N(J483)=0),"",MIN(1,N(K483)/J483))</f>
        <v/>
      </c>
      <c r="M483" s="5" t="inlineStr">
        <is>
          <t>PENDENTE</t>
        </is>
      </c>
      <c r="N483" s="5" t="inlineStr">
        <is>
          <t>PENDENTE</t>
        </is>
      </c>
      <c r="O483" s="5" t="n"/>
      <c r="P483" s="5" t="n"/>
      <c r="Q483" s="5" t="n"/>
      <c r="R483" s="4" t="n"/>
      <c r="S483" s="4" t="n"/>
      <c r="T483" s="5" t="inlineStr">
        <is>
          <t>FOB PROGRAMAÇÃO DIA 24/08</t>
        </is>
      </c>
      <c r="U483" s="8">
        <f>IF(AND(V483=1,D483&lt;&gt;""),IF(D483&gt;=corte,TODAY()-D483,""),"")</f>
        <v/>
      </c>
      <c r="V483" s="8">
        <f>IF(D483="",0,IF(OR(AND(P483&lt;&gt;"",S483=""),AND(N(J483)&gt;0,N(K483)&lt;J483),OR(M483="PENDENTE",M483="PARCIAL"),OR(N483="PENDENTE",N483="PARCIAL")),1,0))</f>
        <v/>
      </c>
      <c r="W483" s="8">
        <f>IF(AND(V483=1,D483&lt;&gt;""),IF(D483&gt;=corte,(B483="CRÍTICO")*1E9+(100000-D483)*10000+10000-ROW(),""),"")</f>
        <v/>
      </c>
      <c r="X483" s="8">
        <f>IF(AND(V483=1,D483=pas_data,E483=pas_turno),10000-ROW(),"")</f>
        <v/>
      </c>
    </row>
    <row r="484">
      <c r="A484" s="3">
        <f>IF(D484="","","TT-"&amp;TEXT(ROW()-1,"00000"))</f>
        <v/>
      </c>
      <c r="B484" s="3">
        <f>IF(D484="","",IF(V484=0,"CONCLUÍDO",IF(D484&lt;corte,"HISTÓRICO",IF(OR(AND(ISNUMBER(R484),R484&lt;TODAY()),AND(OR(N484="PENDENTE",N484="PARCIAL"),D484&lt;TODAY()-1)),"CRÍTICO",IF(OR(AND(P484&lt;&gt;"",S484=""),AND(N484="REALIZADO",M484="PENDENTE"),AND(ISNUMBER(R484),R484=TODAY())),"ATENÇÃO",IF(N(K484)=0,"PENDENTE","EM ANDAMENTO"))))))</f>
        <v/>
      </c>
      <c r="C484" s="3">
        <f>IF(D484="","",IF(V484=0,"🟢 OK",IF(D484&lt;corte,"⚪ HISTÓRICO (sem baixa)",IF(AND(ISNUMBER(R484),R484&lt;TODAY()),"🔴 PRAZO VENCIDO",IF(AND(OR(N484="PENDENTE",N484="PARCIAL"),D484&lt;TODAY()-1),"🔴 EMBARQUE ATRASADO",IF(AND(N484="REALIZADO",M484="PENDENTE"),"🟡 EMBARCADO SEM FATURAR",IF(AND(P484&lt;&gt;"",S484="",OR(Q484="",R484="")),"🟡 PENDÊNCIA SEM RESPONSÁVEL/PRAZO",IF(AND(ISNUMBER(R484),R484=TODAY()),"🟡 VENCE HOJE",IF(AND(P484&lt;&gt;"",S484=""),"🟡 PENDÊNCIA ABERTA",IF(AND(N(J484)&gt;0,N(K484)&lt;J484),"🟡 FALTA EXECUTAR",IF(OR(M484="PENDENTE",M484="PARCIAL"),"🟡 FATURAMENTO PENDENTE","🟡 EMBARQUE PENDENTE")))))))))))</f>
        <v/>
      </c>
      <c r="D484" s="4" t="n">
        <v>46257</v>
      </c>
      <c r="E484" s="5" t="inlineStr">
        <is>
          <t>D</t>
        </is>
      </c>
      <c r="F484" s="5" t="inlineStr">
        <is>
          <t>VINICIUS</t>
        </is>
      </c>
      <c r="G484" s="5" t="inlineStr">
        <is>
          <t>GM</t>
        </is>
      </c>
      <c r="H484" s="5" t="inlineStr">
        <is>
          <t>SMT001DI</t>
        </is>
      </c>
      <c r="I484" s="5" t="inlineStr">
        <is>
          <t>TON</t>
        </is>
      </c>
      <c r="J484" s="6" t="n">
        <v>2.108</v>
      </c>
      <c r="K484" s="6" t="n">
        <v>2.108</v>
      </c>
      <c r="L484" s="7">
        <f>IF(OR(D484="",N(J484)=0),"",MIN(1,N(K484)/J484))</f>
        <v/>
      </c>
      <c r="M484" s="5" t="inlineStr">
        <is>
          <t>PENDENTE</t>
        </is>
      </c>
      <c r="N484" s="5" t="inlineStr">
        <is>
          <t>PENDENTE</t>
        </is>
      </c>
      <c r="O484" s="5" t="n"/>
      <c r="P484" s="5" t="n"/>
      <c r="Q484" s="5" t="n"/>
      <c r="R484" s="4" t="n"/>
      <c r="S484" s="4" t="n"/>
      <c r="T484" s="5" t="inlineStr">
        <is>
          <t>SMARTLOG DIRETAS 24/08</t>
        </is>
      </c>
      <c r="U484" s="8">
        <f>IF(AND(V484=1,D484&lt;&gt;""),IF(D484&gt;=corte,TODAY()-D484,""),"")</f>
        <v/>
      </c>
      <c r="V484" s="8">
        <f>IF(D484="",0,IF(OR(AND(P484&lt;&gt;"",S484=""),AND(N(J484)&gt;0,N(K484)&lt;J484),OR(M484="PENDENTE",M484="PARCIAL"),OR(N484="PENDENTE",N484="PARCIAL")),1,0))</f>
        <v/>
      </c>
      <c r="W484" s="8">
        <f>IF(AND(V484=1,D484&lt;&gt;""),IF(D484&gt;=corte,(B484="CRÍTICO")*1E9+(100000-D484)*10000+10000-ROW(),""),"")</f>
        <v/>
      </c>
      <c r="X484" s="8">
        <f>IF(AND(V484=1,D484=pas_data,E484=pas_turno),10000-ROW(),"")</f>
        <v/>
      </c>
    </row>
    <row r="485">
      <c r="A485" s="3">
        <f>IF(D485="","","TT-"&amp;TEXT(ROW()-1,"00000"))</f>
        <v/>
      </c>
      <c r="B485" s="3">
        <f>IF(D485="","",IF(V485=0,"CONCLUÍDO",IF(D485&lt;corte,"HISTÓRICO",IF(OR(AND(ISNUMBER(R485),R485&lt;TODAY()),AND(OR(N485="PENDENTE",N485="PARCIAL"),D485&lt;TODAY()-1)),"CRÍTICO",IF(OR(AND(P485&lt;&gt;"",S485=""),AND(N485="REALIZADO",M485="PENDENTE"),AND(ISNUMBER(R485),R485=TODAY())),"ATENÇÃO",IF(N(K485)=0,"PENDENTE","EM ANDAMENTO"))))))</f>
        <v/>
      </c>
      <c r="C485" s="3">
        <f>IF(D485="","",IF(V485=0,"🟢 OK",IF(D485&lt;corte,"⚪ HISTÓRICO (sem baixa)",IF(AND(ISNUMBER(R485),R485&lt;TODAY()),"🔴 PRAZO VENCIDO",IF(AND(OR(N485="PENDENTE",N485="PARCIAL"),D485&lt;TODAY()-1),"🔴 EMBARQUE ATRASADO",IF(AND(N485="REALIZADO",M485="PENDENTE"),"🟡 EMBARCADO SEM FATURAR",IF(AND(P485&lt;&gt;"",S485="",OR(Q485="",R485="")),"🟡 PENDÊNCIA SEM RESPONSÁVEL/PRAZO",IF(AND(ISNUMBER(R485),R485=TODAY()),"🟡 VENCE HOJE",IF(AND(P485&lt;&gt;"",S485=""),"🟡 PENDÊNCIA ABERTA",IF(AND(N(J485)&gt;0,N(K485)&lt;J485),"🟡 FALTA EXECUTAR",IF(OR(M485="PENDENTE",M485="PARCIAL"),"🟡 FATURAMENTO PENDENTE","🟡 EMBARQUE PENDENTE")))))))))))</f>
        <v/>
      </c>
      <c r="D485" s="4" t="n">
        <v>46257</v>
      </c>
      <c r="E485" s="5" t="inlineStr">
        <is>
          <t>C</t>
        </is>
      </c>
      <c r="F485" s="5" t="inlineStr">
        <is>
          <t>ADIB</t>
        </is>
      </c>
      <c r="G485" s="5" t="inlineStr">
        <is>
          <t>GM</t>
        </is>
      </c>
      <c r="H485" s="5" t="inlineStr">
        <is>
          <t>SMT002DI</t>
        </is>
      </c>
      <c r="I485" s="5" t="inlineStr">
        <is>
          <t>TON</t>
        </is>
      </c>
      <c r="J485" s="6" t="n">
        <v>4.84</v>
      </c>
      <c r="K485" s="6" t="n">
        <v>4.84</v>
      </c>
      <c r="L485" s="7">
        <f>IF(OR(D485="",N(J485)=0),"",MIN(1,N(K485)/J485))</f>
        <v/>
      </c>
      <c r="M485" s="5" t="inlineStr">
        <is>
          <t>FATURADO</t>
        </is>
      </c>
      <c r="N485" s="5" t="inlineStr">
        <is>
          <t>PENDENTE</t>
        </is>
      </c>
      <c r="O485" s="5" t="n"/>
      <c r="P485" s="5" t="n"/>
      <c r="Q485" s="5" t="n"/>
      <c r="R485" s="4" t="n"/>
      <c r="S485" s="4" t="n"/>
      <c r="T485" s="5" t="inlineStr">
        <is>
          <t>SMARTLOG DIRETAS 24/08</t>
        </is>
      </c>
      <c r="U485" s="8">
        <f>IF(AND(V485=1,D485&lt;&gt;""),IF(D485&gt;=corte,TODAY()-D485,""),"")</f>
        <v/>
      </c>
      <c r="V485" s="8">
        <f>IF(D485="",0,IF(OR(AND(P485&lt;&gt;"",S485=""),AND(N(J485)&gt;0,N(K485)&lt;J485),OR(M485="PENDENTE",M485="PARCIAL"),OR(N485="PENDENTE",N485="PARCIAL")),1,0))</f>
        <v/>
      </c>
      <c r="W485" s="8">
        <f>IF(AND(V485=1,D485&lt;&gt;""),IF(D485&gt;=corte,(B485="CRÍTICO")*1E9+(100000-D485)*10000+10000-ROW(),""),"")</f>
        <v/>
      </c>
      <c r="X485" s="8">
        <f>IF(AND(V485=1,D485=pas_data,E485=pas_turno),10000-ROW(),"")</f>
        <v/>
      </c>
    </row>
    <row r="486">
      <c r="A486" s="3">
        <f>IF(D486="","","TT-"&amp;TEXT(ROW()-1,"00000"))</f>
        <v/>
      </c>
      <c r="B486" s="3">
        <f>IF(D486="","",IF(V486=0,"CONCLUÍDO",IF(D486&lt;corte,"HISTÓRICO",IF(OR(AND(ISNUMBER(R486),R486&lt;TODAY()),AND(OR(N486="PENDENTE",N486="PARCIAL"),D486&lt;TODAY()-1)),"CRÍTICO",IF(OR(AND(P486&lt;&gt;"",S486=""),AND(N486="REALIZADO",M486="PENDENTE"),AND(ISNUMBER(R486),R486=TODAY())),"ATENÇÃO",IF(N(K486)=0,"PENDENTE","EM ANDAMENTO"))))))</f>
        <v/>
      </c>
      <c r="C486" s="3">
        <f>IF(D486="","",IF(V486=0,"🟢 OK",IF(D486&lt;corte,"⚪ HISTÓRICO (sem baixa)",IF(AND(ISNUMBER(R486),R486&lt;TODAY()),"🔴 PRAZO VENCIDO",IF(AND(OR(N486="PENDENTE",N486="PARCIAL"),D486&lt;TODAY()-1),"🔴 EMBARQUE ATRASADO",IF(AND(N486="REALIZADO",M486="PENDENTE"),"🟡 EMBARCADO SEM FATURAR",IF(AND(P486&lt;&gt;"",S486="",OR(Q486="",R486="")),"🟡 PENDÊNCIA SEM RESPONSÁVEL/PRAZO",IF(AND(ISNUMBER(R486),R486=TODAY()),"🟡 VENCE HOJE",IF(AND(P486&lt;&gt;"",S486=""),"🟡 PENDÊNCIA ABERTA",IF(AND(N(J486)&gt;0,N(K486)&lt;J486),"🟡 FALTA EXECUTAR",IF(OR(M486="PENDENTE",M486="PARCIAL"),"🟡 FATURAMENTO PENDENTE","🟡 EMBARQUE PENDENTE")))))))))))</f>
        <v/>
      </c>
      <c r="D486" s="4" t="n">
        <v>46257</v>
      </c>
      <c r="E486" s="5" t="inlineStr">
        <is>
          <t>C</t>
        </is>
      </c>
      <c r="F486" s="5" t="inlineStr">
        <is>
          <t>ADIB</t>
        </is>
      </c>
      <c r="G486" s="5" t="inlineStr">
        <is>
          <t>GM</t>
        </is>
      </c>
      <c r="H486" s="5" t="inlineStr">
        <is>
          <t>SMT003DI</t>
        </is>
      </c>
      <c r="I486" s="5" t="inlineStr">
        <is>
          <t>TON</t>
        </is>
      </c>
      <c r="J486" s="6" t="n">
        <v>1.684</v>
      </c>
      <c r="K486" s="6" t="n">
        <v>1.684</v>
      </c>
      <c r="L486" s="7">
        <f>IF(OR(D486="",N(J486)=0),"",MIN(1,N(K486)/J486))</f>
        <v/>
      </c>
      <c r="M486" s="5" t="inlineStr">
        <is>
          <t>FATURADO</t>
        </is>
      </c>
      <c r="N486" s="5" t="inlineStr">
        <is>
          <t>PENDENTE</t>
        </is>
      </c>
      <c r="O486" s="5" t="n"/>
      <c r="P486" s="5" t="n"/>
      <c r="Q486" s="5" t="n"/>
      <c r="R486" s="4" t="n"/>
      <c r="S486" s="4" t="n"/>
      <c r="T486" s="5" t="inlineStr">
        <is>
          <t>SMARTLOG DIRETAS 24/08</t>
        </is>
      </c>
      <c r="U486" s="8">
        <f>IF(AND(V486=1,D486&lt;&gt;""),IF(D486&gt;=corte,TODAY()-D486,""),"")</f>
        <v/>
      </c>
      <c r="V486" s="8">
        <f>IF(D486="",0,IF(OR(AND(P486&lt;&gt;"",S486=""),AND(N(J486)&gt;0,N(K486)&lt;J486),OR(M486="PENDENTE",M486="PARCIAL"),OR(N486="PENDENTE",N486="PARCIAL")),1,0))</f>
        <v/>
      </c>
      <c r="W486" s="8">
        <f>IF(AND(V486=1,D486&lt;&gt;""),IF(D486&gt;=corte,(B486="CRÍTICO")*1E9+(100000-D486)*10000+10000-ROW(),""),"")</f>
        <v/>
      </c>
      <c r="X486" s="8">
        <f>IF(AND(V486=1,D486=pas_data,E486=pas_turno),10000-ROW(),"")</f>
        <v/>
      </c>
    </row>
    <row r="487">
      <c r="A487" s="3">
        <f>IF(D487="","","TT-"&amp;TEXT(ROW()-1,"00000"))</f>
        <v/>
      </c>
      <c r="B487" s="3">
        <f>IF(D487="","",IF(V487=0,"CONCLUÍDO",IF(D487&lt;corte,"HISTÓRICO",IF(OR(AND(ISNUMBER(R487),R487&lt;TODAY()),AND(OR(N487="PENDENTE",N487="PARCIAL"),D487&lt;TODAY()-1)),"CRÍTICO",IF(OR(AND(P487&lt;&gt;"",S487=""),AND(N487="REALIZADO",M487="PENDENTE"),AND(ISNUMBER(R487),R487=TODAY())),"ATENÇÃO",IF(N(K487)=0,"PENDENTE","EM ANDAMENTO"))))))</f>
        <v/>
      </c>
      <c r="C487" s="3">
        <f>IF(D487="","",IF(V487=0,"🟢 OK",IF(D487&lt;corte,"⚪ HISTÓRICO (sem baixa)",IF(AND(ISNUMBER(R487),R487&lt;TODAY()),"🔴 PRAZO VENCIDO",IF(AND(OR(N487="PENDENTE",N487="PARCIAL"),D487&lt;TODAY()-1),"🔴 EMBARQUE ATRASADO",IF(AND(N487="REALIZADO",M487="PENDENTE"),"🟡 EMBARCADO SEM FATURAR",IF(AND(P487&lt;&gt;"",S487="",OR(Q487="",R487="")),"🟡 PENDÊNCIA SEM RESPONSÁVEL/PRAZO",IF(AND(ISNUMBER(R487),R487=TODAY()),"🟡 VENCE HOJE",IF(AND(P487&lt;&gt;"",S487=""),"🟡 PENDÊNCIA ABERTA",IF(AND(N(J487)&gt;0,N(K487)&lt;J487),"🟡 FALTA EXECUTAR",IF(OR(M487="PENDENTE",M487="PARCIAL"),"🟡 FATURAMENTO PENDENTE","🟡 EMBARQUE PENDENTE")))))))))))</f>
        <v/>
      </c>
      <c r="D487" s="4" t="n">
        <v>46257</v>
      </c>
      <c r="E487" s="5" t="inlineStr">
        <is>
          <t>C</t>
        </is>
      </c>
      <c r="F487" s="5" t="inlineStr">
        <is>
          <t>ADIB</t>
        </is>
      </c>
      <c r="G487" s="5" t="inlineStr">
        <is>
          <t>GM</t>
        </is>
      </c>
      <c r="H487" s="5" t="inlineStr">
        <is>
          <t>SMT004DI</t>
        </is>
      </c>
      <c r="I487" s="5" t="inlineStr">
        <is>
          <t>TON</t>
        </is>
      </c>
      <c r="J487" s="6" t="n">
        <v>1.187</v>
      </c>
      <c r="K487" s="6" t="n">
        <v>1.187</v>
      </c>
      <c r="L487" s="7">
        <f>IF(OR(D487="",N(J487)=0),"",MIN(1,N(K487)/J487))</f>
        <v/>
      </c>
      <c r="M487" s="5" t="inlineStr">
        <is>
          <t>FATURADO</t>
        </is>
      </c>
      <c r="N487" s="5" t="inlineStr">
        <is>
          <t>PENDENTE</t>
        </is>
      </c>
      <c r="O487" s="5" t="n"/>
      <c r="P487" s="5" t="n"/>
      <c r="Q487" s="5" t="n"/>
      <c r="R487" s="4" t="n"/>
      <c r="S487" s="4" t="n"/>
      <c r="T487" s="5" t="inlineStr">
        <is>
          <t>SMARTLOG DIRETAS 24/08</t>
        </is>
      </c>
      <c r="U487" s="8">
        <f>IF(AND(V487=1,D487&lt;&gt;""),IF(D487&gt;=corte,TODAY()-D487,""),"")</f>
        <v/>
      </c>
      <c r="V487" s="8">
        <f>IF(D487="",0,IF(OR(AND(P487&lt;&gt;"",S487=""),AND(N(J487)&gt;0,N(K487)&lt;J487),OR(M487="PENDENTE",M487="PARCIAL"),OR(N487="PENDENTE",N487="PARCIAL")),1,0))</f>
        <v/>
      </c>
      <c r="W487" s="8">
        <f>IF(AND(V487=1,D487&lt;&gt;""),IF(D487&gt;=corte,(B487="CRÍTICO")*1E9+(100000-D487)*10000+10000-ROW(),""),"")</f>
        <v/>
      </c>
      <c r="X487" s="8">
        <f>IF(AND(V487=1,D487=pas_data,E487=pas_turno),10000-ROW(),"")</f>
        <v/>
      </c>
    </row>
    <row r="488">
      <c r="A488" s="3">
        <f>IF(D488="","","TT-"&amp;TEXT(ROW()-1,"00000"))</f>
        <v/>
      </c>
      <c r="B488" s="3">
        <f>IF(D488="","",IF(V488=0,"CONCLUÍDO",IF(D488&lt;corte,"HISTÓRICO",IF(OR(AND(ISNUMBER(R488),R488&lt;TODAY()),AND(OR(N488="PENDENTE",N488="PARCIAL"),D488&lt;TODAY()-1)),"CRÍTICO",IF(OR(AND(P488&lt;&gt;"",S488=""),AND(N488="REALIZADO",M488="PENDENTE"),AND(ISNUMBER(R488),R488=TODAY())),"ATENÇÃO",IF(N(K488)=0,"PENDENTE","EM ANDAMENTO"))))))</f>
        <v/>
      </c>
      <c r="C488" s="3">
        <f>IF(D488="","",IF(V488=0,"🟢 OK",IF(D488&lt;corte,"⚪ HISTÓRICO (sem baixa)",IF(AND(ISNUMBER(R488),R488&lt;TODAY()),"🔴 PRAZO VENCIDO",IF(AND(OR(N488="PENDENTE",N488="PARCIAL"),D488&lt;TODAY()-1),"🔴 EMBARQUE ATRASADO",IF(AND(N488="REALIZADO",M488="PENDENTE"),"🟡 EMBARCADO SEM FATURAR",IF(AND(P488&lt;&gt;"",S488="",OR(Q488="",R488="")),"🟡 PENDÊNCIA SEM RESPONSÁVEL/PRAZO",IF(AND(ISNUMBER(R488),R488=TODAY()),"🟡 VENCE HOJE",IF(AND(P488&lt;&gt;"",S488=""),"🟡 PENDÊNCIA ABERTA",IF(AND(N(J488)&gt;0,N(K488)&lt;J488),"🟡 FALTA EXECUTAR",IF(OR(M488="PENDENTE",M488="PARCIAL"),"🟡 FATURAMENTO PENDENTE","🟡 EMBARQUE PENDENTE")))))))))))</f>
        <v/>
      </c>
      <c r="D488" s="4" t="n">
        <v>46257</v>
      </c>
      <c r="E488" s="5" t="inlineStr">
        <is>
          <t>C</t>
        </is>
      </c>
      <c r="F488" s="5" t="inlineStr">
        <is>
          <t>ADIB</t>
        </is>
      </c>
      <c r="G488" s="5" t="inlineStr">
        <is>
          <t>GM</t>
        </is>
      </c>
      <c r="H488" s="5" t="inlineStr">
        <is>
          <t>SMT005DI</t>
        </is>
      </c>
      <c r="I488" s="5" t="inlineStr">
        <is>
          <t>TON</t>
        </is>
      </c>
      <c r="J488" s="6" t="n">
        <v>0.9409999999999999</v>
      </c>
      <c r="K488" s="6" t="n">
        <v>0.9409999999999999</v>
      </c>
      <c r="L488" s="7">
        <f>IF(OR(D488="",N(J488)=0),"",MIN(1,N(K488)/J488))</f>
        <v/>
      </c>
      <c r="M488" s="5" t="inlineStr">
        <is>
          <t>FATURADO</t>
        </is>
      </c>
      <c r="N488" s="5" t="inlineStr">
        <is>
          <t>PENDENTE</t>
        </is>
      </c>
      <c r="O488" s="5" t="n"/>
      <c r="P488" s="5" t="n"/>
      <c r="Q488" s="5" t="n"/>
      <c r="R488" s="4" t="n"/>
      <c r="S488" s="4" t="n"/>
      <c r="T488" s="5" t="inlineStr">
        <is>
          <t>SMARTLOG DIRETAS 24/08</t>
        </is>
      </c>
      <c r="U488" s="8">
        <f>IF(AND(V488=1,D488&lt;&gt;""),IF(D488&gt;=corte,TODAY()-D488,""),"")</f>
        <v/>
      </c>
      <c r="V488" s="8">
        <f>IF(D488="",0,IF(OR(AND(P488&lt;&gt;"",S488=""),AND(N(J488)&gt;0,N(K488)&lt;J488),OR(M488="PENDENTE",M488="PARCIAL"),OR(N488="PENDENTE",N488="PARCIAL")),1,0))</f>
        <v/>
      </c>
      <c r="W488" s="8">
        <f>IF(AND(V488=1,D488&lt;&gt;""),IF(D488&gt;=corte,(B488="CRÍTICO")*1E9+(100000-D488)*10000+10000-ROW(),""),"")</f>
        <v/>
      </c>
      <c r="X488" s="8">
        <f>IF(AND(V488=1,D488=pas_data,E488=pas_turno),10000-ROW(),"")</f>
        <v/>
      </c>
    </row>
    <row r="489">
      <c r="A489" s="3">
        <f>IF(D489="","","TT-"&amp;TEXT(ROW()-1,"00000"))</f>
        <v/>
      </c>
      <c r="B489" s="3">
        <f>IF(D489="","",IF(V489=0,"CONCLUÍDO",IF(D489&lt;corte,"HISTÓRICO",IF(OR(AND(ISNUMBER(R489),R489&lt;TODAY()),AND(OR(N489="PENDENTE",N489="PARCIAL"),D489&lt;TODAY()-1)),"CRÍTICO",IF(OR(AND(P489&lt;&gt;"",S489=""),AND(N489="REALIZADO",M489="PENDENTE"),AND(ISNUMBER(R489),R489=TODAY())),"ATENÇÃO",IF(N(K489)=0,"PENDENTE","EM ANDAMENTO"))))))</f>
        <v/>
      </c>
      <c r="C489" s="3">
        <f>IF(D489="","",IF(V489=0,"🟢 OK",IF(D489&lt;corte,"⚪ HISTÓRICO (sem baixa)",IF(AND(ISNUMBER(R489),R489&lt;TODAY()),"🔴 PRAZO VENCIDO",IF(AND(OR(N489="PENDENTE",N489="PARCIAL"),D489&lt;TODAY()-1),"🔴 EMBARQUE ATRASADO",IF(AND(N489="REALIZADO",M489="PENDENTE"),"🟡 EMBARCADO SEM FATURAR",IF(AND(P489&lt;&gt;"",S489="",OR(Q489="",R489="")),"🟡 PENDÊNCIA SEM RESPONSÁVEL/PRAZO",IF(AND(ISNUMBER(R489),R489=TODAY()),"🟡 VENCE HOJE",IF(AND(P489&lt;&gt;"",S489=""),"🟡 PENDÊNCIA ABERTA",IF(AND(N(J489)&gt;0,N(K489)&lt;J489),"🟡 FALTA EXECUTAR",IF(OR(M489="PENDENTE",M489="PARCIAL"),"🟡 FATURAMENTO PENDENTE","🟡 EMBARQUE PENDENTE")))))))))))</f>
        <v/>
      </c>
      <c r="D489" s="4" t="n">
        <v>46257</v>
      </c>
      <c r="E489" s="5" t="inlineStr">
        <is>
          <t>D</t>
        </is>
      </c>
      <c r="F489" s="5" t="inlineStr">
        <is>
          <t>VINICIUS</t>
        </is>
      </c>
      <c r="G489" s="5" t="inlineStr">
        <is>
          <t>GM</t>
        </is>
      </c>
      <c r="H489" s="5" t="inlineStr">
        <is>
          <t>CROSS SUL</t>
        </is>
      </c>
      <c r="I489" s="5" t="inlineStr">
        <is>
          <t>TON</t>
        </is>
      </c>
      <c r="J489" s="6" t="n">
        <v>21.888</v>
      </c>
      <c r="K489" s="6" t="n">
        <v>20.545</v>
      </c>
      <c r="L489" s="7">
        <f>IF(OR(D489="",N(J489)=0),"",MIN(1,N(K489)/J489))</f>
        <v/>
      </c>
      <c r="M489" s="5" t="inlineStr">
        <is>
          <t>PARCIAL</t>
        </is>
      </c>
      <c r="N489" s="5" t="inlineStr">
        <is>
          <t>PARCIAL</t>
        </is>
      </c>
      <c r="O489" s="5" t="n"/>
      <c r="P489" s="5" t="inlineStr">
        <is>
          <t>PENDENTE FINALIZAR SEPARAÇÃO 2 PAL RS</t>
        </is>
      </c>
      <c r="Q489" s="5" t="n"/>
      <c r="R489" s="4" t="n"/>
      <c r="S489" s="4" t="n"/>
      <c r="T489" s="5" t="inlineStr">
        <is>
          <t>PENDENTE FINALIZAR SEPARAÇÃO 2 PAL RS</t>
        </is>
      </c>
      <c r="U489" s="8">
        <f>IF(AND(V489=1,D489&lt;&gt;""),IF(D489&gt;=corte,TODAY()-D489,""),"")</f>
        <v/>
      </c>
      <c r="V489" s="8">
        <f>IF(D489="",0,IF(OR(AND(P489&lt;&gt;"",S489=""),AND(N(J489)&gt;0,N(K489)&lt;J489),OR(M489="PENDENTE",M489="PARCIAL"),OR(N489="PENDENTE",N489="PARCIAL")),1,0))</f>
        <v/>
      </c>
      <c r="W489" s="8">
        <f>IF(AND(V489=1,D489&lt;&gt;""),IF(D489&gt;=corte,(B489="CRÍTICO")*1E9+(100000-D489)*10000+10000-ROW(),""),"")</f>
        <v/>
      </c>
      <c r="X489" s="8">
        <f>IF(AND(V489=1,D489=pas_data,E489=pas_turno),10000-ROW(),"")</f>
        <v/>
      </c>
    </row>
    <row r="490">
      <c r="A490" s="3">
        <f>IF(D490="","","TT-"&amp;TEXT(ROW()-1,"00000"))</f>
        <v/>
      </c>
      <c r="B490" s="3">
        <f>IF(D490="","",IF(V490=0,"CONCLUÍDO",IF(D490&lt;corte,"HISTÓRICO",IF(OR(AND(ISNUMBER(R490),R490&lt;TODAY()),AND(OR(N490="PENDENTE",N490="PARCIAL"),D490&lt;TODAY()-1)),"CRÍTICO",IF(OR(AND(P490&lt;&gt;"",S490=""),AND(N490="REALIZADO",M490="PENDENTE"),AND(ISNUMBER(R490),R490=TODAY())),"ATENÇÃO",IF(N(K490)=0,"PENDENTE","EM ANDAMENTO"))))))</f>
        <v/>
      </c>
      <c r="C490" s="3">
        <f>IF(D490="","",IF(V490=0,"🟢 OK",IF(D490&lt;corte,"⚪ HISTÓRICO (sem baixa)",IF(AND(ISNUMBER(R490),R490&lt;TODAY()),"🔴 PRAZO VENCIDO",IF(AND(OR(N490="PENDENTE",N490="PARCIAL"),D490&lt;TODAY()-1),"🔴 EMBARQUE ATRASADO",IF(AND(N490="REALIZADO",M490="PENDENTE"),"🟡 EMBARCADO SEM FATURAR",IF(AND(P490&lt;&gt;"",S490="",OR(Q490="",R490="")),"🟡 PENDÊNCIA SEM RESPONSÁVEL/PRAZO",IF(AND(ISNUMBER(R490),R490=TODAY()),"🟡 VENCE HOJE",IF(AND(P490&lt;&gt;"",S490=""),"🟡 PENDÊNCIA ABERTA",IF(AND(N(J490)&gt;0,N(K490)&lt;J490),"🟡 FALTA EXECUTAR",IF(OR(M490="PENDENTE",M490="PARCIAL"),"🟡 FATURAMENTO PENDENTE","🟡 EMBARQUE PENDENTE")))))))))))</f>
        <v/>
      </c>
      <c r="D490" s="4" t="n">
        <v>46257</v>
      </c>
      <c r="E490" s="5" t="inlineStr">
        <is>
          <t>D</t>
        </is>
      </c>
      <c r="F490" s="5" t="inlineStr">
        <is>
          <t>VINICIUS</t>
        </is>
      </c>
      <c r="G490" s="5" t="inlineStr">
        <is>
          <t>FOB</t>
        </is>
      </c>
      <c r="H490" s="5" t="inlineStr">
        <is>
          <t>JG ESPAÇO DO CHEF LTDA</t>
        </is>
      </c>
      <c r="I490" s="5" t="inlineStr">
        <is>
          <t>TON</t>
        </is>
      </c>
      <c r="J490" s="6" t="n">
        <v>9.013</v>
      </c>
      <c r="K490" s="6" t="n">
        <v>9.013</v>
      </c>
      <c r="L490" s="7">
        <f>IF(OR(D490="",N(J490)=0),"",MIN(1,N(K490)/J490))</f>
        <v/>
      </c>
      <c r="M490" s="5" t="inlineStr">
        <is>
          <t>FATURADO</t>
        </is>
      </c>
      <c r="N490" s="5" t="inlineStr">
        <is>
          <t>REALIZADO</t>
        </is>
      </c>
      <c r="O490" s="5" t="n"/>
      <c r="P490" s="5" t="n"/>
      <c r="Q490" s="5" t="n"/>
      <c r="R490" s="4" t="n"/>
      <c r="S490" s="4" t="n"/>
      <c r="T490" s="5" t="inlineStr">
        <is>
          <t>EMBARCADO E LIBERADO [MIGRAÇÃO: número '9.012.686' interpretado como 9012,686; número '9.012.686' interpretado como 9012,686; número '9.012.686' interpretado como 9012,686]</t>
        </is>
      </c>
      <c r="U490" s="8">
        <f>IF(AND(V490=1,D490&lt;&gt;""),IF(D490&gt;=corte,TODAY()-D490,""),"")</f>
        <v/>
      </c>
      <c r="V490" s="8">
        <f>IF(D490="",0,IF(OR(AND(P490&lt;&gt;"",S490=""),AND(N(J490)&gt;0,N(K490)&lt;J490),OR(M490="PENDENTE",M490="PARCIAL"),OR(N490="PENDENTE",N490="PARCIAL")),1,0))</f>
        <v/>
      </c>
      <c r="W490" s="8">
        <f>IF(AND(V490=1,D490&lt;&gt;""),IF(D490&gt;=corte,(B490="CRÍTICO")*1E9+(100000-D490)*10000+10000-ROW(),""),"")</f>
        <v/>
      </c>
      <c r="X490" s="8">
        <f>IF(AND(V490=1,D490=pas_data,E490=pas_turno),10000-ROW(),"")</f>
        <v/>
      </c>
    </row>
    <row r="491">
      <c r="A491" s="3">
        <f>IF(D491="","","TT-"&amp;TEXT(ROW()-1,"00000"))</f>
        <v/>
      </c>
      <c r="B491" s="3">
        <f>IF(D491="","",IF(V491=0,"CONCLUÍDO",IF(D491&lt;corte,"HISTÓRICO",IF(OR(AND(ISNUMBER(R491),R491&lt;TODAY()),AND(OR(N491="PENDENTE",N491="PARCIAL"),D491&lt;TODAY()-1)),"CRÍTICO",IF(OR(AND(P491&lt;&gt;"",S491=""),AND(N491="REALIZADO",M491="PENDENTE"),AND(ISNUMBER(R491),R491=TODAY())),"ATENÇÃO",IF(N(K491)=0,"PENDENTE","EM ANDAMENTO"))))))</f>
        <v/>
      </c>
      <c r="C491" s="3">
        <f>IF(D491="","",IF(V491=0,"🟢 OK",IF(D491&lt;corte,"⚪ HISTÓRICO (sem baixa)",IF(AND(ISNUMBER(R491),R491&lt;TODAY()),"🔴 PRAZO VENCIDO",IF(AND(OR(N491="PENDENTE",N491="PARCIAL"),D491&lt;TODAY()-1),"🔴 EMBARQUE ATRASADO",IF(AND(N491="REALIZADO",M491="PENDENTE"),"🟡 EMBARCADO SEM FATURAR",IF(AND(P491&lt;&gt;"",S491="",OR(Q491="",R491="")),"🟡 PENDÊNCIA SEM RESPONSÁVEL/PRAZO",IF(AND(ISNUMBER(R491),R491=TODAY()),"🟡 VENCE HOJE",IF(AND(P491&lt;&gt;"",S491=""),"🟡 PENDÊNCIA ABERTA",IF(AND(N(J491)&gt;0,N(K491)&lt;J491),"🟡 FALTA EXECUTAR",IF(OR(M491="PENDENTE",M491="PARCIAL"),"🟡 FATURAMENTO PENDENTE","🟡 EMBARQUE PENDENTE")))))))))))</f>
        <v/>
      </c>
      <c r="D491" s="4" t="n">
        <v>46257</v>
      </c>
      <c r="E491" s="5" t="inlineStr">
        <is>
          <t>D</t>
        </is>
      </c>
      <c r="F491" s="5" t="inlineStr">
        <is>
          <t>VINICIUS</t>
        </is>
      </c>
      <c r="G491" s="5" t="inlineStr">
        <is>
          <t>FLOOR</t>
        </is>
      </c>
      <c r="H491" s="5" t="inlineStr">
        <is>
          <t>MOVIMENTAÇÃO</t>
        </is>
      </c>
      <c r="I491" s="5" t="inlineStr">
        <is>
          <t>PALETE</t>
        </is>
      </c>
      <c r="J491" s="6" t="n">
        <v>71</v>
      </c>
      <c r="K491" s="6" t="n">
        <v>71</v>
      </c>
      <c r="L491" s="7">
        <f>IF(OR(D491="",N(J491)=0),"",MIN(1,N(K491)/J491))</f>
        <v/>
      </c>
      <c r="M491" s="5" t="n"/>
      <c r="N491" s="5" t="n"/>
      <c r="O491" s="5" t="n"/>
      <c r="P491" s="5" t="n"/>
      <c r="Q491" s="5" t="n"/>
      <c r="R491" s="4" t="n"/>
      <c r="S491" s="4" t="n"/>
      <c r="T491" s="5" t="inlineStr">
        <is>
          <t>REALIZADO TOTAL</t>
        </is>
      </c>
      <c r="U491" s="8">
        <f>IF(AND(V491=1,D491&lt;&gt;""),IF(D491&gt;=corte,TODAY()-D491,""),"")</f>
        <v/>
      </c>
      <c r="V491" s="8">
        <f>IF(D491="",0,IF(OR(AND(P491&lt;&gt;"",S491=""),AND(N(J491)&gt;0,N(K491)&lt;J491),OR(M491="PENDENTE",M491="PARCIAL"),OR(N491="PENDENTE",N491="PARCIAL")),1,0))</f>
        <v/>
      </c>
      <c r="W491" s="8">
        <f>IF(AND(V491=1,D491&lt;&gt;""),IF(D491&gt;=corte,(B491="CRÍTICO")*1E9+(100000-D491)*10000+10000-ROW(),""),"")</f>
        <v/>
      </c>
      <c r="X491" s="8">
        <f>IF(AND(V491=1,D491=pas_data,E491=pas_turno),10000-ROW(),"")</f>
        <v/>
      </c>
    </row>
    <row r="492">
      <c r="A492" s="3">
        <f>IF(D492="","","TT-"&amp;TEXT(ROW()-1,"00000"))</f>
        <v/>
      </c>
      <c r="B492" s="3">
        <f>IF(D492="","",IF(V492=0,"CONCLUÍDO",IF(D492&lt;corte,"HISTÓRICO",IF(OR(AND(ISNUMBER(R492),R492&lt;TODAY()),AND(OR(N492="PENDENTE",N492="PARCIAL"),D492&lt;TODAY()-1)),"CRÍTICO",IF(OR(AND(P492&lt;&gt;"",S492=""),AND(N492="REALIZADO",M492="PENDENTE"),AND(ISNUMBER(R492),R492=TODAY())),"ATENÇÃO",IF(N(K492)=0,"PENDENTE","EM ANDAMENTO"))))))</f>
        <v/>
      </c>
      <c r="C492" s="3">
        <f>IF(D492="","",IF(V492=0,"🟢 OK",IF(D492&lt;corte,"⚪ HISTÓRICO (sem baixa)",IF(AND(ISNUMBER(R492),R492&lt;TODAY()),"🔴 PRAZO VENCIDO",IF(AND(OR(N492="PENDENTE",N492="PARCIAL"),D492&lt;TODAY()-1),"🔴 EMBARQUE ATRASADO",IF(AND(N492="REALIZADO",M492="PENDENTE"),"🟡 EMBARCADO SEM FATURAR",IF(AND(P492&lt;&gt;"",S492="",OR(Q492="",R492="")),"🟡 PENDÊNCIA SEM RESPONSÁVEL/PRAZO",IF(AND(ISNUMBER(R492),R492=TODAY()),"🟡 VENCE HOJE",IF(AND(P492&lt;&gt;"",S492=""),"🟡 PENDÊNCIA ABERTA",IF(AND(N(J492)&gt;0,N(K492)&lt;J492),"🟡 FALTA EXECUTAR",IF(OR(M492="PENDENTE",M492="PARCIAL"),"🟡 FATURAMENTO PENDENTE","🟡 EMBARQUE PENDENTE")))))))))))</f>
        <v/>
      </c>
      <c r="D492" s="4" t="n">
        <v>46258</v>
      </c>
      <c r="E492" s="5" t="inlineStr">
        <is>
          <t>C</t>
        </is>
      </c>
      <c r="F492" s="5" t="inlineStr">
        <is>
          <t>ADIB</t>
        </is>
      </c>
      <c r="G492" s="5" t="inlineStr">
        <is>
          <t>GM</t>
        </is>
      </c>
      <c r="H492" s="5" t="inlineStr">
        <is>
          <t>CROSS SUL</t>
        </is>
      </c>
      <c r="I492" s="5" t="inlineStr">
        <is>
          <t>TON</t>
        </is>
      </c>
      <c r="J492" s="6" t="n">
        <v>21.888</v>
      </c>
      <c r="K492" s="6" t="n">
        <v>21.888</v>
      </c>
      <c r="L492" s="7">
        <f>IF(OR(D492="",N(J492)=0),"",MIN(1,N(K492)/J492))</f>
        <v/>
      </c>
      <c r="M492" s="5" t="inlineStr">
        <is>
          <t>FATURADO</t>
        </is>
      </c>
      <c r="N492" s="5" t="inlineStr">
        <is>
          <t>PENDENTE</t>
        </is>
      </c>
      <c r="O492" s="5" t="n"/>
      <c r="P492" s="5" t="inlineStr">
        <is>
          <t>AGUARDANDO CARRO</t>
        </is>
      </c>
      <c r="Q492" s="5" t="n"/>
      <c r="R492" s="4" t="n"/>
      <c r="S492" s="4" t="n"/>
      <c r="T492" s="5" t="inlineStr">
        <is>
          <t>AGUARDANDO CARRO</t>
        </is>
      </c>
      <c r="U492" s="8">
        <f>IF(AND(V492=1,D492&lt;&gt;""),IF(D492&gt;=corte,TODAY()-D492,""),"")</f>
        <v/>
      </c>
      <c r="V492" s="8">
        <f>IF(D492="",0,IF(OR(AND(P492&lt;&gt;"",S492=""),AND(N(J492)&gt;0,N(K492)&lt;J492),OR(M492="PENDENTE",M492="PARCIAL"),OR(N492="PENDENTE",N492="PARCIAL")),1,0))</f>
        <v/>
      </c>
      <c r="W492" s="8">
        <f>IF(AND(V492=1,D492&lt;&gt;""),IF(D492&gt;=corte,(B492="CRÍTICO")*1E9+(100000-D492)*10000+10000-ROW(),""),"")</f>
        <v/>
      </c>
      <c r="X492" s="8">
        <f>IF(AND(V492=1,D492=pas_data,E492=pas_turno),10000-ROW(),"")</f>
        <v/>
      </c>
    </row>
    <row r="493">
      <c r="A493" s="3">
        <f>IF(D493="","","TT-"&amp;TEXT(ROW()-1,"00000"))</f>
        <v/>
      </c>
      <c r="B493" s="3">
        <f>IF(D493="","",IF(V493=0,"CONCLUÍDO",IF(D493&lt;corte,"HISTÓRICO",IF(OR(AND(ISNUMBER(R493),R493&lt;TODAY()),AND(OR(N493="PENDENTE",N493="PARCIAL"),D493&lt;TODAY()-1)),"CRÍTICO",IF(OR(AND(P493&lt;&gt;"",S493=""),AND(N493="REALIZADO",M493="PENDENTE"),AND(ISNUMBER(R493),R493=TODAY())),"ATENÇÃO",IF(N(K493)=0,"PENDENTE","EM ANDAMENTO"))))))</f>
        <v/>
      </c>
      <c r="C493" s="3">
        <f>IF(D493="","",IF(V493=0,"🟢 OK",IF(D493&lt;corte,"⚪ HISTÓRICO (sem baixa)",IF(AND(ISNUMBER(R493),R493&lt;TODAY()),"🔴 PRAZO VENCIDO",IF(AND(OR(N493="PENDENTE",N493="PARCIAL"),D493&lt;TODAY()-1),"🔴 EMBARQUE ATRASADO",IF(AND(N493="REALIZADO",M493="PENDENTE"),"🟡 EMBARCADO SEM FATURAR",IF(AND(P493&lt;&gt;"",S493="",OR(Q493="",R493="")),"🟡 PENDÊNCIA SEM RESPONSÁVEL/PRAZO",IF(AND(ISNUMBER(R493),R493=TODAY()),"🟡 VENCE HOJE",IF(AND(P493&lt;&gt;"",S493=""),"🟡 PENDÊNCIA ABERTA",IF(AND(N(J493)&gt;0,N(K493)&lt;J493),"🟡 FALTA EXECUTAR",IF(OR(M493="PENDENTE",M493="PARCIAL"),"🟡 FATURAMENTO PENDENTE","🟡 EMBARQUE PENDENTE")))))))))))</f>
        <v/>
      </c>
      <c r="D493" s="4" t="n">
        <v>46258</v>
      </c>
      <c r="E493" s="5" t="inlineStr">
        <is>
          <t>C</t>
        </is>
      </c>
      <c r="F493" s="5" t="inlineStr">
        <is>
          <t>ADIB</t>
        </is>
      </c>
      <c r="G493" s="5" t="inlineStr">
        <is>
          <t>GM</t>
        </is>
      </c>
      <c r="H493" s="5" t="inlineStr">
        <is>
          <t>CHOCOLATES GAROTO</t>
        </is>
      </c>
      <c r="I493" s="5" t="inlineStr">
        <is>
          <t>TON</t>
        </is>
      </c>
      <c r="J493" s="6" t="n">
        <v>60</v>
      </c>
      <c r="K493" s="6" t="n">
        <v>60</v>
      </c>
      <c r="L493" s="7">
        <f>IF(OR(D493="",N(J493)=0),"",MIN(1,N(K493)/J493))</f>
        <v/>
      </c>
      <c r="M493" s="5" t="inlineStr">
        <is>
          <t>FATURADO</t>
        </is>
      </c>
      <c r="N493" s="5" t="inlineStr">
        <is>
          <t>REALIZADO</t>
        </is>
      </c>
      <c r="O493" s="5" t="n"/>
      <c r="P493" s="5" t="n"/>
      <c r="Q493" s="5" t="n"/>
      <c r="R493" s="4" t="n"/>
      <c r="S493" s="4" t="n"/>
      <c r="T493" s="5" t="inlineStr">
        <is>
          <t>CARREGADO E LIBERADO</t>
        </is>
      </c>
      <c r="U493" s="8">
        <f>IF(AND(V493=1,D493&lt;&gt;""),IF(D493&gt;=corte,TODAY()-D493,""),"")</f>
        <v/>
      </c>
      <c r="V493" s="8">
        <f>IF(D493="",0,IF(OR(AND(P493&lt;&gt;"",S493=""),AND(N(J493)&gt;0,N(K493)&lt;J493),OR(M493="PENDENTE",M493="PARCIAL"),OR(N493="PENDENTE",N493="PARCIAL")),1,0))</f>
        <v/>
      </c>
      <c r="W493" s="8">
        <f>IF(AND(V493=1,D493&lt;&gt;""),IF(D493&gt;=corte,(B493="CRÍTICO")*1E9+(100000-D493)*10000+10000-ROW(),""),"")</f>
        <v/>
      </c>
      <c r="X493" s="8">
        <f>IF(AND(V493=1,D493=pas_data,E493=pas_turno),10000-ROW(),"")</f>
        <v/>
      </c>
    </row>
    <row r="494">
      <c r="A494" s="3">
        <f>IF(D494="","","TT-"&amp;TEXT(ROW()-1,"00000"))</f>
        <v/>
      </c>
      <c r="B494" s="3">
        <f>IF(D494="","",IF(V494=0,"CONCLUÍDO",IF(D494&lt;corte,"HISTÓRICO",IF(OR(AND(ISNUMBER(R494),R494&lt;TODAY()),AND(OR(N494="PENDENTE",N494="PARCIAL"),D494&lt;TODAY()-1)),"CRÍTICO",IF(OR(AND(P494&lt;&gt;"",S494=""),AND(N494="REALIZADO",M494="PENDENTE"),AND(ISNUMBER(R494),R494=TODAY())),"ATENÇÃO",IF(N(K494)=0,"PENDENTE","EM ANDAMENTO"))))))</f>
        <v/>
      </c>
      <c r="C494" s="3">
        <f>IF(D494="","",IF(V494=0,"🟢 OK",IF(D494&lt;corte,"⚪ HISTÓRICO (sem baixa)",IF(AND(ISNUMBER(R494),R494&lt;TODAY()),"🔴 PRAZO VENCIDO",IF(AND(OR(N494="PENDENTE",N494="PARCIAL"),D494&lt;TODAY()-1),"🔴 EMBARQUE ATRASADO",IF(AND(N494="REALIZADO",M494="PENDENTE"),"🟡 EMBARCADO SEM FATURAR",IF(AND(P494&lt;&gt;"",S494="",OR(Q494="",R494="")),"🟡 PENDÊNCIA SEM RESPONSÁVEL/PRAZO",IF(AND(ISNUMBER(R494),R494=TODAY()),"🟡 VENCE HOJE",IF(AND(P494&lt;&gt;"",S494=""),"🟡 PENDÊNCIA ABERTA",IF(AND(N(J494)&gt;0,N(K494)&lt;J494),"🟡 FALTA EXECUTAR",IF(OR(M494="PENDENTE",M494="PARCIAL"),"🟡 FATURAMENTO PENDENTE","🟡 EMBARQUE PENDENTE")))))))))))</f>
        <v/>
      </c>
      <c r="D494" s="4" t="n">
        <v>46258</v>
      </c>
      <c r="E494" s="5" t="inlineStr">
        <is>
          <t>C</t>
        </is>
      </c>
      <c r="F494" s="5" t="inlineStr">
        <is>
          <t>ADIB</t>
        </is>
      </c>
      <c r="G494" s="5" t="inlineStr">
        <is>
          <t>GM</t>
        </is>
      </c>
      <c r="H494" s="5" t="inlineStr">
        <is>
          <t>STA DISTRIB</t>
        </is>
      </c>
      <c r="I494" s="5" t="inlineStr">
        <is>
          <t>TON</t>
        </is>
      </c>
      <c r="J494" s="6" t="n">
        <v>21.954</v>
      </c>
      <c r="K494" s="6" t="n">
        <v>21.954</v>
      </c>
      <c r="L494" s="7">
        <f>IF(OR(D494="",N(J494)=0),"",MIN(1,N(K494)/J494))</f>
        <v/>
      </c>
      <c r="M494" s="5" t="inlineStr">
        <is>
          <t>FATURADO</t>
        </is>
      </c>
      <c r="N494" s="5" t="inlineStr">
        <is>
          <t>PENDENTE</t>
        </is>
      </c>
      <c r="O494" s="5" t="n"/>
      <c r="P494" s="5" t="n"/>
      <c r="Q494" s="5" t="n"/>
      <c r="R494" s="4" t="n"/>
      <c r="S494" s="4" t="n"/>
      <c r="T494" s="5" t="inlineStr">
        <is>
          <t>SEPARADO E FATURADO</t>
        </is>
      </c>
      <c r="U494" s="8">
        <f>IF(AND(V494=1,D494&lt;&gt;""),IF(D494&gt;=corte,TODAY()-D494,""),"")</f>
        <v/>
      </c>
      <c r="V494" s="8">
        <f>IF(D494="",0,IF(OR(AND(P494&lt;&gt;"",S494=""),AND(N(J494)&gt;0,N(K494)&lt;J494),OR(M494="PENDENTE",M494="PARCIAL"),OR(N494="PENDENTE",N494="PARCIAL")),1,0))</f>
        <v/>
      </c>
      <c r="W494" s="8">
        <f>IF(AND(V494=1,D494&lt;&gt;""),IF(D494&gt;=corte,(B494="CRÍTICO")*1E9+(100000-D494)*10000+10000-ROW(),""),"")</f>
        <v/>
      </c>
      <c r="X494" s="8">
        <f>IF(AND(V494=1,D494=pas_data,E494=pas_turno),10000-ROW(),"")</f>
        <v/>
      </c>
    </row>
    <row r="495">
      <c r="A495" s="3">
        <f>IF(D495="","","TT-"&amp;TEXT(ROW()-1,"00000"))</f>
        <v/>
      </c>
      <c r="B495" s="3">
        <f>IF(D495="","",IF(V495=0,"CONCLUÍDO",IF(D495&lt;corte,"HISTÓRICO",IF(OR(AND(ISNUMBER(R495),R495&lt;TODAY()),AND(OR(N495="PENDENTE",N495="PARCIAL"),D495&lt;TODAY()-1)),"CRÍTICO",IF(OR(AND(P495&lt;&gt;"",S495=""),AND(N495="REALIZADO",M495="PENDENTE"),AND(ISNUMBER(R495),R495=TODAY())),"ATENÇÃO",IF(N(K495)=0,"PENDENTE","EM ANDAMENTO"))))))</f>
        <v/>
      </c>
      <c r="C495" s="3">
        <f>IF(D495="","",IF(V495=0,"🟢 OK",IF(D495&lt;corte,"⚪ HISTÓRICO (sem baixa)",IF(AND(ISNUMBER(R495),R495&lt;TODAY()),"🔴 PRAZO VENCIDO",IF(AND(OR(N495="PENDENTE",N495="PARCIAL"),D495&lt;TODAY()-1),"🔴 EMBARQUE ATRASADO",IF(AND(N495="REALIZADO",M495="PENDENTE"),"🟡 EMBARCADO SEM FATURAR",IF(AND(P495&lt;&gt;"",S495="",OR(Q495="",R495="")),"🟡 PENDÊNCIA SEM RESPONSÁVEL/PRAZO",IF(AND(ISNUMBER(R495),R495=TODAY()),"🟡 VENCE HOJE",IF(AND(P495&lt;&gt;"",S495=""),"🟡 PENDÊNCIA ABERTA",IF(AND(N(J495)&gt;0,N(K495)&lt;J495),"🟡 FALTA EXECUTAR",IF(OR(M495="PENDENTE",M495="PARCIAL"),"🟡 FATURAMENTO PENDENTE","🟡 EMBARQUE PENDENTE")))))))))))</f>
        <v/>
      </c>
      <c r="D495" s="4" t="n">
        <v>46258</v>
      </c>
      <c r="E495" s="5" t="inlineStr">
        <is>
          <t>C</t>
        </is>
      </c>
      <c r="F495" s="5" t="inlineStr">
        <is>
          <t>ADIB</t>
        </is>
      </c>
      <c r="G495" s="5" t="inlineStr">
        <is>
          <t>CACAU</t>
        </is>
      </c>
      <c r="H495" s="5" t="inlineStr">
        <is>
          <t>CACAU BR15</t>
        </is>
      </c>
      <c r="I495" s="5" t="inlineStr">
        <is>
          <t>TON</t>
        </is>
      </c>
      <c r="J495" s="6" t="n">
        <v>4.211</v>
      </c>
      <c r="K495" s="6" t="n">
        <v>4.211</v>
      </c>
      <c r="L495" s="7">
        <f>IF(OR(D495="",N(J495)=0),"",MIN(1,N(K495)/J495))</f>
        <v/>
      </c>
      <c r="M495" s="5" t="inlineStr">
        <is>
          <t>FATURADO</t>
        </is>
      </c>
      <c r="N495" s="5" t="inlineStr">
        <is>
          <t>PARCIAL</t>
        </is>
      </c>
      <c r="O495" s="5" t="n"/>
      <c r="P495" s="5" t="n"/>
      <c r="Q495" s="5" t="n"/>
      <c r="R495" s="4" t="n"/>
      <c r="S495" s="4" t="n"/>
      <c r="T495" s="5" t="inlineStr">
        <is>
          <t>CARREGAMENTOS EM ANDAMENTO</t>
        </is>
      </c>
      <c r="U495" s="8">
        <f>IF(AND(V495=1,D495&lt;&gt;""),IF(D495&gt;=corte,TODAY()-D495,""),"")</f>
        <v/>
      </c>
      <c r="V495" s="8">
        <f>IF(D495="",0,IF(OR(AND(P495&lt;&gt;"",S495=""),AND(N(J495)&gt;0,N(K495)&lt;J495),OR(M495="PENDENTE",M495="PARCIAL"),OR(N495="PENDENTE",N495="PARCIAL")),1,0))</f>
        <v/>
      </c>
      <c r="W495" s="8">
        <f>IF(AND(V495=1,D495&lt;&gt;""),IF(D495&gt;=corte,(B495="CRÍTICO")*1E9+(100000-D495)*10000+10000-ROW(),""),"")</f>
        <v/>
      </c>
      <c r="X495" s="8">
        <f>IF(AND(V495=1,D495=pas_data,E495=pas_turno),10000-ROW(),"")</f>
        <v/>
      </c>
    </row>
    <row r="496">
      <c r="A496" s="3">
        <f>IF(D496="","","TT-"&amp;TEXT(ROW()-1,"00000"))</f>
        <v/>
      </c>
      <c r="B496" s="3">
        <f>IF(D496="","",IF(V496=0,"CONCLUÍDO",IF(D496&lt;corte,"HISTÓRICO",IF(OR(AND(ISNUMBER(R496),R496&lt;TODAY()),AND(OR(N496="PENDENTE",N496="PARCIAL"),D496&lt;TODAY()-1)),"CRÍTICO",IF(OR(AND(P496&lt;&gt;"",S496=""),AND(N496="REALIZADO",M496="PENDENTE"),AND(ISNUMBER(R496),R496=TODAY())),"ATENÇÃO",IF(N(K496)=0,"PENDENTE","EM ANDAMENTO"))))))</f>
        <v/>
      </c>
      <c r="C496" s="3">
        <f>IF(D496="","",IF(V496=0,"🟢 OK",IF(D496&lt;corte,"⚪ HISTÓRICO (sem baixa)",IF(AND(ISNUMBER(R496),R496&lt;TODAY()),"🔴 PRAZO VENCIDO",IF(AND(OR(N496="PENDENTE",N496="PARCIAL"),D496&lt;TODAY()-1),"🔴 EMBARQUE ATRASADO",IF(AND(N496="REALIZADO",M496="PENDENTE"),"🟡 EMBARCADO SEM FATURAR",IF(AND(P496&lt;&gt;"",S496="",OR(Q496="",R496="")),"🟡 PENDÊNCIA SEM RESPONSÁVEL/PRAZO",IF(AND(ISNUMBER(R496),R496=TODAY()),"🟡 VENCE HOJE",IF(AND(P496&lt;&gt;"",S496=""),"🟡 PENDÊNCIA ABERTA",IF(AND(N(J496)&gt;0,N(K496)&lt;J496),"🟡 FALTA EXECUTAR",IF(OR(M496="PENDENTE",M496="PARCIAL"),"🟡 FATURAMENTO PENDENTE","🟡 EMBARQUE PENDENTE")))))))))))</f>
        <v/>
      </c>
      <c r="D496" s="4" t="n">
        <v>46258</v>
      </c>
      <c r="E496" s="5" t="inlineStr">
        <is>
          <t>C</t>
        </is>
      </c>
      <c r="F496" s="5" t="inlineStr">
        <is>
          <t>ADIB</t>
        </is>
      </c>
      <c r="G496" s="5" t="inlineStr">
        <is>
          <t>GM</t>
        </is>
      </c>
      <c r="H496" s="5" t="inlineStr">
        <is>
          <t>SMARTLOG AGENDADAS</t>
        </is>
      </c>
      <c r="I496" s="5" t="inlineStr">
        <is>
          <t>TON</t>
        </is>
      </c>
      <c r="J496" s="6" t="n">
        <v>14.4</v>
      </c>
      <c r="K496" s="6" t="n">
        <v>14.4</v>
      </c>
      <c r="L496" s="7">
        <f>IF(OR(D496="",N(J496)=0),"",MIN(1,N(K496)/J496))</f>
        <v/>
      </c>
      <c r="M496" s="5" t="inlineStr">
        <is>
          <t>PENDENTE</t>
        </is>
      </c>
      <c r="N496" s="5" t="inlineStr">
        <is>
          <t>PENDENTE</t>
        </is>
      </c>
      <c r="O496" s="5" t="n"/>
      <c r="P496" s="5" t="n"/>
      <c r="Q496" s="5" t="n"/>
      <c r="R496" s="4" t="n"/>
      <c r="S496" s="4" t="n"/>
      <c r="T496" s="5" t="inlineStr">
        <is>
          <t>NEW FESTA - AGENDADAS SMARTLOG</t>
        </is>
      </c>
      <c r="U496" s="8">
        <f>IF(AND(V496=1,D496&lt;&gt;""),IF(D496&gt;=corte,TODAY()-D496,""),"")</f>
        <v/>
      </c>
      <c r="V496" s="8">
        <f>IF(D496="",0,IF(OR(AND(P496&lt;&gt;"",S496=""),AND(N(J496)&gt;0,N(K496)&lt;J496),OR(M496="PENDENTE",M496="PARCIAL"),OR(N496="PENDENTE",N496="PARCIAL")),1,0))</f>
        <v/>
      </c>
      <c r="W496" s="8">
        <f>IF(AND(V496=1,D496&lt;&gt;""),IF(D496&gt;=corte,(B496="CRÍTICO")*1E9+(100000-D496)*10000+10000-ROW(),""),"")</f>
        <v/>
      </c>
      <c r="X496" s="8">
        <f>IF(AND(V496=1,D496=pas_data,E496=pas_turno),10000-ROW(),"")</f>
        <v/>
      </c>
    </row>
    <row r="497">
      <c r="A497" s="3">
        <f>IF(D497="","","TT-"&amp;TEXT(ROW()-1,"00000"))</f>
        <v/>
      </c>
      <c r="B497" s="3">
        <f>IF(D497="","",IF(V497=0,"CONCLUÍDO",IF(D497&lt;corte,"HISTÓRICO",IF(OR(AND(ISNUMBER(R497),R497&lt;TODAY()),AND(OR(N497="PENDENTE",N497="PARCIAL"),D497&lt;TODAY()-1)),"CRÍTICO",IF(OR(AND(P497&lt;&gt;"",S497=""),AND(N497="REALIZADO",M497="PENDENTE"),AND(ISNUMBER(R497),R497=TODAY())),"ATENÇÃO",IF(N(K497)=0,"PENDENTE","EM ANDAMENTO"))))))</f>
        <v/>
      </c>
      <c r="C497" s="3">
        <f>IF(D497="","",IF(V497=0,"🟢 OK",IF(D497&lt;corte,"⚪ HISTÓRICO (sem baixa)",IF(AND(ISNUMBER(R497),R497&lt;TODAY()),"🔴 PRAZO VENCIDO",IF(AND(OR(N497="PENDENTE",N497="PARCIAL"),D497&lt;TODAY()-1),"🔴 EMBARQUE ATRASADO",IF(AND(N497="REALIZADO",M497="PENDENTE"),"🟡 EMBARCADO SEM FATURAR",IF(AND(P497&lt;&gt;"",S497="",OR(Q497="",R497="")),"🟡 PENDÊNCIA SEM RESPONSÁVEL/PRAZO",IF(AND(ISNUMBER(R497),R497=TODAY()),"🟡 VENCE HOJE",IF(AND(P497&lt;&gt;"",S497=""),"🟡 PENDÊNCIA ABERTA",IF(AND(N(J497)&gt;0,N(K497)&lt;J497),"🟡 FALTA EXECUTAR",IF(OR(M497="PENDENTE",M497="PARCIAL"),"🟡 FATURAMENTO PENDENTE","🟡 EMBARQUE PENDENTE")))))))))))</f>
        <v/>
      </c>
      <c r="D497" s="4" t="n">
        <v>46258</v>
      </c>
      <c r="E497" s="5" t="inlineStr">
        <is>
          <t>C</t>
        </is>
      </c>
      <c r="F497" s="5" t="inlineStr">
        <is>
          <t>ADIB</t>
        </is>
      </c>
      <c r="G497" s="5" t="inlineStr">
        <is>
          <t>GM</t>
        </is>
      </c>
      <c r="H497" s="5" t="inlineStr">
        <is>
          <t>SMARTLOG AGENDADAS</t>
        </is>
      </c>
      <c r="I497" s="5" t="inlineStr">
        <is>
          <t>TON</t>
        </is>
      </c>
      <c r="J497" s="6" t="n">
        <v>8.632</v>
      </c>
      <c r="K497" s="6" t="n">
        <v>8.632</v>
      </c>
      <c r="L497" s="7">
        <f>IF(OR(D497="",N(J497)=0),"",MIN(1,N(K497)/J497))</f>
        <v/>
      </c>
      <c r="M497" s="5" t="inlineStr">
        <is>
          <t>PENDENTE</t>
        </is>
      </c>
      <c r="N497" s="5" t="inlineStr">
        <is>
          <t>PENDENTE</t>
        </is>
      </c>
      <c r="O497" s="5" t="n"/>
      <c r="P497" s="5" t="n"/>
      <c r="Q497" s="5" t="n"/>
      <c r="R497" s="4" t="n"/>
      <c r="S497" s="4" t="n"/>
      <c r="T497" s="5" t="inlineStr">
        <is>
          <t>CPQ BRASIL - AGENDADAS SMARTLOG</t>
        </is>
      </c>
      <c r="U497" s="8">
        <f>IF(AND(V497=1,D497&lt;&gt;""),IF(D497&gt;=corte,TODAY()-D497,""),"")</f>
        <v/>
      </c>
      <c r="V497" s="8">
        <f>IF(D497="",0,IF(OR(AND(P497&lt;&gt;"",S497=""),AND(N(J497)&gt;0,N(K497)&lt;J497),OR(M497="PENDENTE",M497="PARCIAL"),OR(N497="PENDENTE",N497="PARCIAL")),1,0))</f>
        <v/>
      </c>
      <c r="W497" s="8">
        <f>IF(AND(V497=1,D497&lt;&gt;""),IF(D497&gt;=corte,(B497="CRÍTICO")*1E9+(100000-D497)*10000+10000-ROW(),""),"")</f>
        <v/>
      </c>
      <c r="X497" s="8">
        <f>IF(AND(V497=1,D497=pas_data,E497=pas_turno),10000-ROW(),"")</f>
        <v/>
      </c>
    </row>
    <row r="498">
      <c r="A498" s="3">
        <f>IF(D498="","","TT-"&amp;TEXT(ROW()-1,"00000"))</f>
        <v/>
      </c>
      <c r="B498" s="3">
        <f>IF(D498="","",IF(V498=0,"CONCLUÍDO",IF(D498&lt;corte,"HISTÓRICO",IF(OR(AND(ISNUMBER(R498),R498&lt;TODAY()),AND(OR(N498="PENDENTE",N498="PARCIAL"),D498&lt;TODAY()-1)),"CRÍTICO",IF(OR(AND(P498&lt;&gt;"",S498=""),AND(N498="REALIZADO",M498="PENDENTE"),AND(ISNUMBER(R498),R498=TODAY())),"ATENÇÃO",IF(N(K498)=0,"PENDENTE","EM ANDAMENTO"))))))</f>
        <v/>
      </c>
      <c r="C498" s="3">
        <f>IF(D498="","",IF(V498=0,"🟢 OK",IF(D498&lt;corte,"⚪ HISTÓRICO (sem baixa)",IF(AND(ISNUMBER(R498),R498&lt;TODAY()),"🔴 PRAZO VENCIDO",IF(AND(OR(N498="PENDENTE",N498="PARCIAL"),D498&lt;TODAY()-1),"🔴 EMBARQUE ATRASADO",IF(AND(N498="REALIZADO",M498="PENDENTE"),"🟡 EMBARCADO SEM FATURAR",IF(AND(P498&lt;&gt;"",S498="",OR(Q498="",R498="")),"🟡 PENDÊNCIA SEM RESPONSÁVEL/PRAZO",IF(AND(ISNUMBER(R498),R498=TODAY()),"🟡 VENCE HOJE",IF(AND(P498&lt;&gt;"",S498=""),"🟡 PENDÊNCIA ABERTA",IF(AND(N(J498)&gt;0,N(K498)&lt;J498),"🟡 FALTA EXECUTAR",IF(OR(M498="PENDENTE",M498="PARCIAL"),"🟡 FATURAMENTO PENDENTE","🟡 EMBARQUE PENDENTE")))))))))))</f>
        <v/>
      </c>
      <c r="D498" s="4" t="n">
        <v>46258</v>
      </c>
      <c r="E498" s="5" t="inlineStr">
        <is>
          <t>C</t>
        </is>
      </c>
      <c r="F498" s="5" t="inlineStr">
        <is>
          <t>ADIB</t>
        </is>
      </c>
      <c r="G498" s="5" t="inlineStr">
        <is>
          <t>FOB</t>
        </is>
      </c>
      <c r="H498" s="5" t="inlineStr">
        <is>
          <t>COM LUZIA MEIRE</t>
        </is>
      </c>
      <c r="I498" s="5" t="inlineStr">
        <is>
          <t>TON</t>
        </is>
      </c>
      <c r="J498" s="6" t="n">
        <v>10.212</v>
      </c>
      <c r="K498" s="6" t="n">
        <v>10.212</v>
      </c>
      <c r="L498" s="7">
        <f>IF(OR(D498="",N(J498)=0),"",MIN(1,N(K498)/J498))</f>
        <v/>
      </c>
      <c r="M498" s="5" t="inlineStr">
        <is>
          <t>PENDENTE</t>
        </is>
      </c>
      <c r="N498" s="5" t="inlineStr">
        <is>
          <t>PENDENTE</t>
        </is>
      </c>
      <c r="O498" s="5" t="n"/>
      <c r="P498" s="5" t="n"/>
      <c r="Q498" s="5" t="n"/>
      <c r="R498" s="4" t="n"/>
      <c r="S498" s="4" t="n"/>
      <c r="T498" s="5" t="inlineStr">
        <is>
          <t>PROGRAMAÇÃO DIA 31/08</t>
        </is>
      </c>
      <c r="U498" s="8">
        <f>IF(AND(V498=1,D498&lt;&gt;""),IF(D498&gt;=corte,TODAY()-D498,""),"")</f>
        <v/>
      </c>
      <c r="V498" s="8">
        <f>IF(D498="",0,IF(OR(AND(P498&lt;&gt;"",S498=""),AND(N(J498)&gt;0,N(K498)&lt;J498),OR(M498="PENDENTE",M498="PARCIAL"),OR(N498="PENDENTE",N498="PARCIAL")),1,0))</f>
        <v/>
      </c>
      <c r="W498" s="8">
        <f>IF(AND(V498=1,D498&lt;&gt;""),IF(D498&gt;=corte,(B498="CRÍTICO")*1E9+(100000-D498)*10000+10000-ROW(),""),"")</f>
        <v/>
      </c>
      <c r="X498" s="8">
        <f>IF(AND(V498=1,D498=pas_data,E498=pas_turno),10000-ROW(),"")</f>
        <v/>
      </c>
    </row>
    <row r="499">
      <c r="A499" s="3">
        <f>IF(D499="","","TT-"&amp;TEXT(ROW()-1,"00000"))</f>
        <v/>
      </c>
      <c r="B499" s="3">
        <f>IF(D499="","",IF(V499=0,"CONCLUÍDO",IF(D499&lt;corte,"HISTÓRICO",IF(OR(AND(ISNUMBER(R499),R499&lt;TODAY()),AND(OR(N499="PENDENTE",N499="PARCIAL"),D499&lt;TODAY()-1)),"CRÍTICO",IF(OR(AND(P499&lt;&gt;"",S499=""),AND(N499="REALIZADO",M499="PENDENTE"),AND(ISNUMBER(R499),R499=TODAY())),"ATENÇÃO",IF(N(K499)=0,"PENDENTE","EM ANDAMENTO"))))))</f>
        <v/>
      </c>
      <c r="C499" s="3">
        <f>IF(D499="","",IF(V499=0,"🟢 OK",IF(D499&lt;corte,"⚪ HISTÓRICO (sem baixa)",IF(AND(ISNUMBER(R499),R499&lt;TODAY()),"🔴 PRAZO VENCIDO",IF(AND(OR(N499="PENDENTE",N499="PARCIAL"),D499&lt;TODAY()-1),"🔴 EMBARQUE ATRASADO",IF(AND(N499="REALIZADO",M499="PENDENTE"),"🟡 EMBARCADO SEM FATURAR",IF(AND(P499&lt;&gt;"",S499="",OR(Q499="",R499="")),"🟡 PENDÊNCIA SEM RESPONSÁVEL/PRAZO",IF(AND(ISNUMBER(R499),R499=TODAY()),"🟡 VENCE HOJE",IF(AND(P499&lt;&gt;"",S499=""),"🟡 PENDÊNCIA ABERTA",IF(AND(N(J499)&gt;0,N(K499)&lt;J499),"🟡 FALTA EXECUTAR",IF(OR(M499="PENDENTE",M499="PARCIAL"),"🟡 FATURAMENTO PENDENTE","🟡 EMBARQUE PENDENTE")))))))))))</f>
        <v/>
      </c>
      <c r="D499" s="4" t="n">
        <v>46258</v>
      </c>
      <c r="E499" s="5" t="inlineStr">
        <is>
          <t>C</t>
        </is>
      </c>
      <c r="F499" s="5" t="inlineStr">
        <is>
          <t>ADIB</t>
        </is>
      </c>
      <c r="G499" s="5" t="inlineStr">
        <is>
          <t>GM</t>
        </is>
      </c>
      <c r="H499" s="5" t="inlineStr">
        <is>
          <t>SMT001DI DIRETAS 26/08</t>
        </is>
      </c>
      <c r="I499" s="5" t="inlineStr">
        <is>
          <t>TON</t>
        </is>
      </c>
      <c r="J499" s="6" t="n">
        <v>3.372</v>
      </c>
      <c r="K499" s="6" t="n">
        <v>3.372</v>
      </c>
      <c r="L499" s="7">
        <f>IF(OR(D499="",N(J499)=0),"",MIN(1,N(K499)/J499))</f>
        <v/>
      </c>
      <c r="M499" s="5" t="inlineStr">
        <is>
          <t>FATURADO</t>
        </is>
      </c>
      <c r="N499" s="5" t="inlineStr">
        <is>
          <t>PENDENTE</t>
        </is>
      </c>
      <c r="O499" s="5" t="n"/>
      <c r="P499" s="5" t="n"/>
      <c r="Q499" s="5" t="n"/>
      <c r="R499" s="4" t="n"/>
      <c r="S499" s="4" t="n"/>
      <c r="T499" s="5" t="inlineStr">
        <is>
          <t>SEPARADO E FATURADO</t>
        </is>
      </c>
      <c r="U499" s="8">
        <f>IF(AND(V499=1,D499&lt;&gt;""),IF(D499&gt;=corte,TODAY()-D499,""),"")</f>
        <v/>
      </c>
      <c r="V499" s="8">
        <f>IF(D499="",0,IF(OR(AND(P499&lt;&gt;"",S499=""),AND(N(J499)&gt;0,N(K499)&lt;J499),OR(M499="PENDENTE",M499="PARCIAL"),OR(N499="PENDENTE",N499="PARCIAL")),1,0))</f>
        <v/>
      </c>
      <c r="W499" s="8">
        <f>IF(AND(V499=1,D499&lt;&gt;""),IF(D499&gt;=corte,(B499="CRÍTICO")*1E9+(100000-D499)*10000+10000-ROW(),""),"")</f>
        <v/>
      </c>
      <c r="X499" s="8">
        <f>IF(AND(V499=1,D499=pas_data,E499=pas_turno),10000-ROW(),"")</f>
        <v/>
      </c>
    </row>
    <row r="500">
      <c r="A500" s="3">
        <f>IF(D500="","","TT-"&amp;TEXT(ROW()-1,"00000"))</f>
        <v/>
      </c>
      <c r="B500" s="3">
        <f>IF(D500="","",IF(V500=0,"CONCLUÍDO",IF(D500&lt;corte,"HISTÓRICO",IF(OR(AND(ISNUMBER(R500),R500&lt;TODAY()),AND(OR(N500="PENDENTE",N500="PARCIAL"),D500&lt;TODAY()-1)),"CRÍTICO",IF(OR(AND(P500&lt;&gt;"",S500=""),AND(N500="REALIZADO",M500="PENDENTE"),AND(ISNUMBER(R500),R500=TODAY())),"ATENÇÃO",IF(N(K500)=0,"PENDENTE","EM ANDAMENTO"))))))</f>
        <v/>
      </c>
      <c r="C500" s="3">
        <f>IF(D500="","",IF(V500=0,"🟢 OK",IF(D500&lt;corte,"⚪ HISTÓRICO (sem baixa)",IF(AND(ISNUMBER(R500),R500&lt;TODAY()),"🔴 PRAZO VENCIDO",IF(AND(OR(N500="PENDENTE",N500="PARCIAL"),D500&lt;TODAY()-1),"🔴 EMBARQUE ATRASADO",IF(AND(N500="REALIZADO",M500="PENDENTE"),"🟡 EMBARCADO SEM FATURAR",IF(AND(P500&lt;&gt;"",S500="",OR(Q500="",R500="")),"🟡 PENDÊNCIA SEM RESPONSÁVEL/PRAZO",IF(AND(ISNUMBER(R500),R500=TODAY()),"🟡 VENCE HOJE",IF(AND(P500&lt;&gt;"",S500=""),"🟡 PENDÊNCIA ABERTA",IF(AND(N(J500)&gt;0,N(K500)&lt;J500),"🟡 FALTA EXECUTAR",IF(OR(M500="PENDENTE",M500="PARCIAL"),"🟡 FATURAMENTO PENDENTE","🟡 EMBARQUE PENDENTE")))))))))))</f>
        <v/>
      </c>
      <c r="D500" s="4" t="n">
        <v>46258</v>
      </c>
      <c r="E500" s="5" t="inlineStr">
        <is>
          <t>C</t>
        </is>
      </c>
      <c r="F500" s="5" t="inlineStr">
        <is>
          <t>ADIB</t>
        </is>
      </c>
      <c r="G500" s="5" t="inlineStr">
        <is>
          <t>GM</t>
        </is>
      </c>
      <c r="H500" s="5" t="inlineStr">
        <is>
          <t>SMT002DI DIRETAS 26/08</t>
        </is>
      </c>
      <c r="I500" s="5" t="inlineStr">
        <is>
          <t>TON</t>
        </is>
      </c>
      <c r="J500" s="6" t="n">
        <v>1.389</v>
      </c>
      <c r="K500" s="6" t="n">
        <v>1.389</v>
      </c>
      <c r="L500" s="7">
        <f>IF(OR(D500="",N(J500)=0),"",MIN(1,N(K500)/J500))</f>
        <v/>
      </c>
      <c r="M500" s="5" t="inlineStr">
        <is>
          <t>FATURADO</t>
        </is>
      </c>
      <c r="N500" s="5" t="inlineStr">
        <is>
          <t>PENDENTE</t>
        </is>
      </c>
      <c r="O500" s="5" t="n"/>
      <c r="P500" s="5" t="n"/>
      <c r="Q500" s="5" t="n"/>
      <c r="R500" s="4" t="n"/>
      <c r="S500" s="4" t="n"/>
      <c r="T500" s="5" t="inlineStr">
        <is>
          <t>SEPARADO E FATURADO</t>
        </is>
      </c>
      <c r="U500" s="8">
        <f>IF(AND(V500=1,D500&lt;&gt;""),IF(D500&gt;=corte,TODAY()-D500,""),"")</f>
        <v/>
      </c>
      <c r="V500" s="8">
        <f>IF(D500="",0,IF(OR(AND(P500&lt;&gt;"",S500=""),AND(N(J500)&gt;0,N(K500)&lt;J500),OR(M500="PENDENTE",M500="PARCIAL"),OR(N500="PENDENTE",N500="PARCIAL")),1,0))</f>
        <v/>
      </c>
      <c r="W500" s="8">
        <f>IF(AND(V500=1,D500&lt;&gt;""),IF(D500&gt;=corte,(B500="CRÍTICO")*1E9+(100000-D500)*10000+10000-ROW(),""),"")</f>
        <v/>
      </c>
      <c r="X500" s="8">
        <f>IF(AND(V500=1,D500=pas_data,E500=pas_turno),10000-ROW(),"")</f>
        <v/>
      </c>
    </row>
    <row r="501">
      <c r="A501" s="3">
        <f>IF(D501="","","TT-"&amp;TEXT(ROW()-1,"00000"))</f>
        <v/>
      </c>
      <c r="B501" s="3">
        <f>IF(D501="","",IF(V501=0,"CONCLUÍDO",IF(D501&lt;corte,"HISTÓRICO",IF(OR(AND(ISNUMBER(R501),R501&lt;TODAY()),AND(OR(N501="PENDENTE",N501="PARCIAL"),D501&lt;TODAY()-1)),"CRÍTICO",IF(OR(AND(P501&lt;&gt;"",S501=""),AND(N501="REALIZADO",M501="PENDENTE"),AND(ISNUMBER(R501),R501=TODAY())),"ATENÇÃO",IF(N(K501)=0,"PENDENTE","EM ANDAMENTO"))))))</f>
        <v/>
      </c>
      <c r="C501" s="3">
        <f>IF(D501="","",IF(V501=0,"🟢 OK",IF(D501&lt;corte,"⚪ HISTÓRICO (sem baixa)",IF(AND(ISNUMBER(R501),R501&lt;TODAY()),"🔴 PRAZO VENCIDO",IF(AND(OR(N501="PENDENTE",N501="PARCIAL"),D501&lt;TODAY()-1),"🔴 EMBARQUE ATRASADO",IF(AND(N501="REALIZADO",M501="PENDENTE"),"🟡 EMBARCADO SEM FATURAR",IF(AND(P501&lt;&gt;"",S501="",OR(Q501="",R501="")),"🟡 PENDÊNCIA SEM RESPONSÁVEL/PRAZO",IF(AND(ISNUMBER(R501),R501=TODAY()),"🟡 VENCE HOJE",IF(AND(P501&lt;&gt;"",S501=""),"🟡 PENDÊNCIA ABERTA",IF(AND(N(J501)&gt;0,N(K501)&lt;J501),"🟡 FALTA EXECUTAR",IF(OR(M501="PENDENTE",M501="PARCIAL"),"🟡 FATURAMENTO PENDENTE","🟡 EMBARQUE PENDENTE")))))))))))</f>
        <v/>
      </c>
      <c r="D501" s="4" t="n">
        <v>46258</v>
      </c>
      <c r="E501" s="5" t="inlineStr">
        <is>
          <t>C</t>
        </is>
      </c>
      <c r="F501" s="5" t="inlineStr">
        <is>
          <t>ADIB</t>
        </is>
      </c>
      <c r="G501" s="5" t="inlineStr">
        <is>
          <t>GM</t>
        </is>
      </c>
      <c r="H501" s="5" t="inlineStr">
        <is>
          <t>SMT003DI DIRETAS 26/08</t>
        </is>
      </c>
      <c r="I501" s="5" t="inlineStr">
        <is>
          <t>TON</t>
        </is>
      </c>
      <c r="J501" s="6" t="n">
        <v>0.666</v>
      </c>
      <c r="K501" s="6" t="n">
        <v>0.666</v>
      </c>
      <c r="L501" s="7">
        <f>IF(OR(D501="",N(J501)=0),"",MIN(1,N(K501)/J501))</f>
        <v/>
      </c>
      <c r="M501" s="5" t="inlineStr">
        <is>
          <t>FATURADO</t>
        </is>
      </c>
      <c r="N501" s="5" t="inlineStr">
        <is>
          <t>PENDENTE</t>
        </is>
      </c>
      <c r="O501" s="5" t="n"/>
      <c r="P501" s="5" t="n"/>
      <c r="Q501" s="5" t="n"/>
      <c r="R501" s="4" t="n"/>
      <c r="S501" s="4" t="n"/>
      <c r="T501" s="5" t="inlineStr">
        <is>
          <t>SEPARADO E FATURADO</t>
        </is>
      </c>
      <c r="U501" s="8">
        <f>IF(AND(V501=1,D501&lt;&gt;""),IF(D501&gt;=corte,TODAY()-D501,""),"")</f>
        <v/>
      </c>
      <c r="V501" s="8">
        <f>IF(D501="",0,IF(OR(AND(P501&lt;&gt;"",S501=""),AND(N(J501)&gt;0,N(K501)&lt;J501),OR(M501="PENDENTE",M501="PARCIAL"),OR(N501="PENDENTE",N501="PARCIAL")),1,0))</f>
        <v/>
      </c>
      <c r="W501" s="8">
        <f>IF(AND(V501=1,D501&lt;&gt;""),IF(D501&gt;=corte,(B501="CRÍTICO")*1E9+(100000-D501)*10000+10000-ROW(),""),"")</f>
        <v/>
      </c>
      <c r="X501" s="8">
        <f>IF(AND(V501=1,D501=pas_data,E501=pas_turno),10000-ROW(),"")</f>
        <v/>
      </c>
    </row>
    <row r="502">
      <c r="A502" s="3">
        <f>IF(D502="","","TT-"&amp;TEXT(ROW()-1,"00000"))</f>
        <v/>
      </c>
      <c r="B502" s="3">
        <f>IF(D502="","",IF(V502=0,"CONCLUÍDO",IF(D502&lt;corte,"HISTÓRICO",IF(OR(AND(ISNUMBER(R502),R502&lt;TODAY()),AND(OR(N502="PENDENTE",N502="PARCIAL"),D502&lt;TODAY()-1)),"CRÍTICO",IF(OR(AND(P502&lt;&gt;"",S502=""),AND(N502="REALIZADO",M502="PENDENTE"),AND(ISNUMBER(R502),R502=TODAY())),"ATENÇÃO",IF(N(K502)=0,"PENDENTE","EM ANDAMENTO"))))))</f>
        <v/>
      </c>
      <c r="C502" s="3">
        <f>IF(D502="","",IF(V502=0,"🟢 OK",IF(D502&lt;corte,"⚪ HISTÓRICO (sem baixa)",IF(AND(ISNUMBER(R502),R502&lt;TODAY()),"🔴 PRAZO VENCIDO",IF(AND(OR(N502="PENDENTE",N502="PARCIAL"),D502&lt;TODAY()-1),"🔴 EMBARQUE ATRASADO",IF(AND(N502="REALIZADO",M502="PENDENTE"),"🟡 EMBARCADO SEM FATURAR",IF(AND(P502&lt;&gt;"",S502="",OR(Q502="",R502="")),"🟡 PENDÊNCIA SEM RESPONSÁVEL/PRAZO",IF(AND(ISNUMBER(R502),R502=TODAY()),"🟡 VENCE HOJE",IF(AND(P502&lt;&gt;"",S502=""),"🟡 PENDÊNCIA ABERTA",IF(AND(N(J502)&gt;0,N(K502)&lt;J502),"🟡 FALTA EXECUTAR",IF(OR(M502="PENDENTE",M502="PARCIAL"),"🟡 FATURAMENTO PENDENTE","🟡 EMBARQUE PENDENTE")))))))))))</f>
        <v/>
      </c>
      <c r="D502" s="4" t="n">
        <v>46258</v>
      </c>
      <c r="E502" s="5" t="inlineStr">
        <is>
          <t>C</t>
        </is>
      </c>
      <c r="F502" s="5" t="inlineStr">
        <is>
          <t>ADIB</t>
        </is>
      </c>
      <c r="G502" s="5" t="inlineStr">
        <is>
          <t>GM</t>
        </is>
      </c>
      <c r="H502" s="5" t="inlineStr">
        <is>
          <t>SMT004DI DIRETAS 26/08</t>
        </is>
      </c>
      <c r="I502" s="5" t="inlineStr">
        <is>
          <t>TON</t>
        </is>
      </c>
      <c r="J502" s="6" t="n">
        <v>0.289</v>
      </c>
      <c r="K502" s="6" t="n">
        <v>0.289</v>
      </c>
      <c r="L502" s="7">
        <f>IF(OR(D502="",N(J502)=0),"",MIN(1,N(K502)/J502))</f>
        <v/>
      </c>
      <c r="M502" s="5" t="inlineStr">
        <is>
          <t>FATURADO</t>
        </is>
      </c>
      <c r="N502" s="5" t="inlineStr">
        <is>
          <t>PENDENTE</t>
        </is>
      </c>
      <c r="O502" s="5" t="n"/>
      <c r="P502" s="5" t="n"/>
      <c r="Q502" s="5" t="n"/>
      <c r="R502" s="4" t="n"/>
      <c r="S502" s="4" t="n"/>
      <c r="T502" s="5" t="inlineStr">
        <is>
          <t>SEPARADO E FATURADO</t>
        </is>
      </c>
      <c r="U502" s="8">
        <f>IF(AND(V502=1,D502&lt;&gt;""),IF(D502&gt;=corte,TODAY()-D502,""),"")</f>
        <v/>
      </c>
      <c r="V502" s="8">
        <f>IF(D502="",0,IF(OR(AND(P502&lt;&gt;"",S502=""),AND(N(J502)&gt;0,N(K502)&lt;J502),OR(M502="PENDENTE",M502="PARCIAL"),OR(N502="PENDENTE",N502="PARCIAL")),1,0))</f>
        <v/>
      </c>
      <c r="W502" s="8">
        <f>IF(AND(V502=1,D502&lt;&gt;""),IF(D502&gt;=corte,(B502="CRÍTICO")*1E9+(100000-D502)*10000+10000-ROW(),""),"")</f>
        <v/>
      </c>
      <c r="X502" s="8">
        <f>IF(AND(V502=1,D502=pas_data,E502=pas_turno),10000-ROW(),"")</f>
        <v/>
      </c>
    </row>
    <row r="503">
      <c r="A503" s="3">
        <f>IF(D503="","","TT-"&amp;TEXT(ROW()-1,"00000"))</f>
        <v/>
      </c>
      <c r="B503" s="3">
        <f>IF(D503="","",IF(V503=0,"CONCLUÍDO",IF(D503&lt;corte,"HISTÓRICO",IF(OR(AND(ISNUMBER(R503),R503&lt;TODAY()),AND(OR(N503="PENDENTE",N503="PARCIAL"),D503&lt;TODAY()-1)),"CRÍTICO",IF(OR(AND(P503&lt;&gt;"",S503=""),AND(N503="REALIZADO",M503="PENDENTE"),AND(ISNUMBER(R503),R503=TODAY())),"ATENÇÃO",IF(N(K503)=0,"PENDENTE","EM ANDAMENTO"))))))</f>
        <v/>
      </c>
      <c r="C503" s="3">
        <f>IF(D503="","",IF(V503=0,"🟢 OK",IF(D503&lt;corte,"⚪ HISTÓRICO (sem baixa)",IF(AND(ISNUMBER(R503),R503&lt;TODAY()),"🔴 PRAZO VENCIDO",IF(AND(OR(N503="PENDENTE",N503="PARCIAL"),D503&lt;TODAY()-1),"🔴 EMBARQUE ATRASADO",IF(AND(N503="REALIZADO",M503="PENDENTE"),"🟡 EMBARCADO SEM FATURAR",IF(AND(P503&lt;&gt;"",S503="",OR(Q503="",R503="")),"🟡 PENDÊNCIA SEM RESPONSÁVEL/PRAZO",IF(AND(ISNUMBER(R503),R503=TODAY()),"🟡 VENCE HOJE",IF(AND(P503&lt;&gt;"",S503=""),"🟡 PENDÊNCIA ABERTA",IF(AND(N(J503)&gt;0,N(K503)&lt;J503),"🟡 FALTA EXECUTAR",IF(OR(M503="PENDENTE",M503="PARCIAL"),"🟡 FATURAMENTO PENDENTE","🟡 EMBARQUE PENDENTE")))))))))))</f>
        <v/>
      </c>
      <c r="D503" s="4" t="n">
        <v>46258</v>
      </c>
      <c r="E503" s="5" t="inlineStr">
        <is>
          <t>C</t>
        </is>
      </c>
      <c r="F503" s="5" t="inlineStr">
        <is>
          <t>ADIB</t>
        </is>
      </c>
      <c r="G503" s="5" t="inlineStr">
        <is>
          <t>FOB</t>
        </is>
      </c>
      <c r="H503" s="5" t="inlineStr">
        <is>
          <t>PRASO PLATAFORMA</t>
        </is>
      </c>
      <c r="I503" s="5" t="inlineStr">
        <is>
          <t>TON</t>
        </is>
      </c>
      <c r="J503" s="6" t="n">
        <v>5.92</v>
      </c>
      <c r="K503" s="6" t="n">
        <v>5.92</v>
      </c>
      <c r="L503" s="7">
        <f>IF(OR(D503="",N(J503)=0),"",MIN(1,N(K503)/J503))</f>
        <v/>
      </c>
      <c r="M503" s="5" t="inlineStr">
        <is>
          <t>PENDENTE</t>
        </is>
      </c>
      <c r="N503" s="5" t="inlineStr">
        <is>
          <t>PENDENTE</t>
        </is>
      </c>
      <c r="O503" s="5" t="n"/>
      <c r="P503" s="5" t="n"/>
      <c r="Q503" s="5" t="n"/>
      <c r="R503" s="4" t="n"/>
      <c r="S503" s="4" t="n"/>
      <c r="T503" s="5" t="inlineStr">
        <is>
          <t>SEPARADO E FATURADO</t>
        </is>
      </c>
      <c r="U503" s="8">
        <f>IF(AND(V503=1,D503&lt;&gt;""),IF(D503&gt;=corte,TODAY()-D503,""),"")</f>
        <v/>
      </c>
      <c r="V503" s="8">
        <f>IF(D503="",0,IF(OR(AND(P503&lt;&gt;"",S503=""),AND(N(J503)&gt;0,N(K503)&lt;J503),OR(M503="PENDENTE",M503="PARCIAL"),OR(N503="PENDENTE",N503="PARCIAL")),1,0))</f>
        <v/>
      </c>
      <c r="W503" s="8">
        <f>IF(AND(V503=1,D503&lt;&gt;""),IF(D503&gt;=corte,(B503="CRÍTICO")*1E9+(100000-D503)*10000+10000-ROW(),""),"")</f>
        <v/>
      </c>
      <c r="X503" s="8">
        <f>IF(AND(V503=1,D503=pas_data,E503=pas_turno),10000-ROW(),"")</f>
        <v/>
      </c>
    </row>
    <row r="504">
      <c r="A504" s="3">
        <f>IF(D504="","","TT-"&amp;TEXT(ROW()-1,"00000"))</f>
        <v/>
      </c>
      <c r="B504" s="3">
        <f>IF(D504="","",IF(V504=0,"CONCLUÍDO",IF(D504&lt;corte,"HISTÓRICO",IF(OR(AND(ISNUMBER(R504),R504&lt;TODAY()),AND(OR(N504="PENDENTE",N504="PARCIAL"),D504&lt;TODAY()-1)),"CRÍTICO",IF(OR(AND(P504&lt;&gt;"",S504=""),AND(N504="REALIZADO",M504="PENDENTE"),AND(ISNUMBER(R504),R504=TODAY())),"ATENÇÃO",IF(N(K504)=0,"PENDENTE","EM ANDAMENTO"))))))</f>
        <v/>
      </c>
      <c r="C504" s="3">
        <f>IF(D504="","",IF(V504=0,"🟢 OK",IF(D504&lt;corte,"⚪ HISTÓRICO (sem baixa)",IF(AND(ISNUMBER(R504),R504&lt;TODAY()),"🔴 PRAZO VENCIDO",IF(AND(OR(N504="PENDENTE",N504="PARCIAL"),D504&lt;TODAY()-1),"🔴 EMBARQUE ATRASADO",IF(AND(N504="REALIZADO",M504="PENDENTE"),"🟡 EMBARCADO SEM FATURAR",IF(AND(P504&lt;&gt;"",S504="",OR(Q504="",R504="")),"🟡 PENDÊNCIA SEM RESPONSÁVEL/PRAZO",IF(AND(ISNUMBER(R504),R504=TODAY()),"🟡 VENCE HOJE",IF(AND(P504&lt;&gt;"",S504=""),"🟡 PENDÊNCIA ABERTA",IF(AND(N(J504)&gt;0,N(K504)&lt;J504),"🟡 FALTA EXECUTAR",IF(OR(M504="PENDENTE",M504="PARCIAL"),"🟡 FATURAMENTO PENDENTE","🟡 EMBARQUE PENDENTE")))))))))))</f>
        <v/>
      </c>
      <c r="D504" s="4" t="n">
        <v>46258</v>
      </c>
      <c r="E504" s="5" t="inlineStr">
        <is>
          <t>C</t>
        </is>
      </c>
      <c r="F504" s="5" t="inlineStr">
        <is>
          <t>ADIB</t>
        </is>
      </c>
      <c r="G504" s="5" t="inlineStr">
        <is>
          <t>CACAU</t>
        </is>
      </c>
      <c r="H504" s="5" t="inlineStr">
        <is>
          <t>CACAU BR15</t>
        </is>
      </c>
      <c r="I504" s="5" t="inlineStr">
        <is>
          <t>TON</t>
        </is>
      </c>
      <c r="J504" s="6" t="n">
        <v>14</v>
      </c>
      <c r="K504" s="6" t="n">
        <v>14</v>
      </c>
      <c r="L504" s="7">
        <f>IF(OR(D504="",N(J504)=0),"",MIN(1,N(K504)/J504))</f>
        <v/>
      </c>
      <c r="M504" s="5" t="inlineStr">
        <is>
          <t>FATURADO</t>
        </is>
      </c>
      <c r="N504" s="5" t="inlineStr">
        <is>
          <t>REALIZADO</t>
        </is>
      </c>
      <c r="O504" s="5" t="n"/>
      <c r="P504" s="5" t="n"/>
      <c r="Q504" s="5" t="n"/>
      <c r="R504" s="4" t="n"/>
      <c r="S504" s="4" t="n"/>
      <c r="T504" s="5" t="inlineStr">
        <is>
          <t>SEPARADO CARREGADO E LIBERADO</t>
        </is>
      </c>
      <c r="U504" s="8">
        <f>IF(AND(V504=1,D504&lt;&gt;""),IF(D504&gt;=corte,TODAY()-D504,""),"")</f>
        <v/>
      </c>
      <c r="V504" s="8">
        <f>IF(D504="",0,IF(OR(AND(P504&lt;&gt;"",S504=""),AND(N(J504)&gt;0,N(K504)&lt;J504),OR(M504="PENDENTE",M504="PARCIAL"),OR(N504="PENDENTE",N504="PARCIAL")),1,0))</f>
        <v/>
      </c>
      <c r="W504" s="8">
        <f>IF(AND(V504=1,D504&lt;&gt;""),IF(D504&gt;=corte,(B504="CRÍTICO")*1E9+(100000-D504)*10000+10000-ROW(),""),"")</f>
        <v/>
      </c>
      <c r="X504" s="8">
        <f>IF(AND(V504=1,D504=pas_data,E504=pas_turno),10000-ROW(),"")</f>
        <v/>
      </c>
    </row>
    <row r="505">
      <c r="A505" s="3">
        <f>IF(D505="","","TT-"&amp;TEXT(ROW()-1,"00000"))</f>
        <v/>
      </c>
      <c r="B505" s="3">
        <f>IF(D505="","",IF(V505=0,"CONCLUÍDO",IF(D505&lt;corte,"HISTÓRICO",IF(OR(AND(ISNUMBER(R505),R505&lt;TODAY()),AND(OR(N505="PENDENTE",N505="PARCIAL"),D505&lt;TODAY()-1)),"CRÍTICO",IF(OR(AND(P505&lt;&gt;"",S505=""),AND(N505="REALIZADO",M505="PENDENTE"),AND(ISNUMBER(R505),R505=TODAY())),"ATENÇÃO",IF(N(K505)=0,"PENDENTE","EM ANDAMENTO"))))))</f>
        <v/>
      </c>
      <c r="C505" s="3">
        <f>IF(D505="","",IF(V505=0,"🟢 OK",IF(D505&lt;corte,"⚪ HISTÓRICO (sem baixa)",IF(AND(ISNUMBER(R505),R505&lt;TODAY()),"🔴 PRAZO VENCIDO",IF(AND(OR(N505="PENDENTE",N505="PARCIAL"),D505&lt;TODAY()-1),"🔴 EMBARQUE ATRASADO",IF(AND(N505="REALIZADO",M505="PENDENTE"),"🟡 EMBARCADO SEM FATURAR",IF(AND(P505&lt;&gt;"",S505="",OR(Q505="",R505="")),"🟡 PENDÊNCIA SEM RESPONSÁVEL/PRAZO",IF(AND(ISNUMBER(R505),R505=TODAY()),"🟡 VENCE HOJE",IF(AND(P505&lt;&gt;"",S505=""),"🟡 PENDÊNCIA ABERTA",IF(AND(N(J505)&gt;0,N(K505)&lt;J505),"🟡 FALTA EXECUTAR",IF(OR(M505="PENDENTE",M505="PARCIAL"),"🟡 FATURAMENTO PENDENTE","🟡 EMBARQUE PENDENTE")))))))))))</f>
        <v/>
      </c>
      <c r="D505" s="4" t="n">
        <v>46258</v>
      </c>
      <c r="E505" s="5" t="inlineStr">
        <is>
          <t>C</t>
        </is>
      </c>
      <c r="F505" s="5" t="inlineStr">
        <is>
          <t>ADIB</t>
        </is>
      </c>
      <c r="G505" s="5" t="inlineStr">
        <is>
          <t>FOB</t>
        </is>
      </c>
      <c r="H505" s="5" t="inlineStr">
        <is>
          <t>GELATERIA 4 ESTAÇÕES</t>
        </is>
      </c>
      <c r="I505" s="5" t="inlineStr">
        <is>
          <t>TON</t>
        </is>
      </c>
      <c r="J505" s="6" t="n">
        <v>4.385</v>
      </c>
      <c r="K505" s="6" t="n">
        <v>4.385</v>
      </c>
      <c r="L505" s="7">
        <f>IF(OR(D505="",N(J505)=0),"",MIN(1,N(K505)/J505))</f>
        <v/>
      </c>
      <c r="M505" s="5" t="inlineStr">
        <is>
          <t>FATURADO</t>
        </is>
      </c>
      <c r="N505" s="5" t="inlineStr">
        <is>
          <t>REALIZADO</t>
        </is>
      </c>
      <c r="O505" s="5" t="n"/>
      <c r="P505" s="5" t="inlineStr">
        <is>
          <t>CARRO NA DOCA FALTA CARREGAR</t>
        </is>
      </c>
      <c r="Q505" s="5" t="n"/>
      <c r="R505" s="4" t="n"/>
      <c r="S505" s="4" t="n"/>
      <c r="T505" s="5" t="inlineStr">
        <is>
          <t>CARRO NA DOCA FALTA CARREGAR</t>
        </is>
      </c>
      <c r="U505" s="8">
        <f>IF(AND(V505=1,D505&lt;&gt;""),IF(D505&gt;=corte,TODAY()-D505,""),"")</f>
        <v/>
      </c>
      <c r="V505" s="8">
        <f>IF(D505="",0,IF(OR(AND(P505&lt;&gt;"",S505=""),AND(N(J505)&gt;0,N(K505)&lt;J505),OR(M505="PENDENTE",M505="PARCIAL"),OR(N505="PENDENTE",N505="PARCIAL")),1,0))</f>
        <v/>
      </c>
      <c r="W505" s="8">
        <f>IF(AND(V505=1,D505&lt;&gt;""),IF(D505&gt;=corte,(B505="CRÍTICO")*1E9+(100000-D505)*10000+10000-ROW(),""),"")</f>
        <v/>
      </c>
      <c r="X505" s="8">
        <f>IF(AND(V505=1,D505=pas_data,E505=pas_turno),10000-ROW(),"")</f>
        <v/>
      </c>
    </row>
    <row r="506">
      <c r="A506" s="3">
        <f>IF(D506="","","TT-"&amp;TEXT(ROW()-1,"00000"))</f>
        <v/>
      </c>
      <c r="B506" s="3">
        <f>IF(D506="","",IF(V506=0,"CONCLUÍDO",IF(D506&lt;corte,"HISTÓRICO",IF(OR(AND(ISNUMBER(R506),R506&lt;TODAY()),AND(OR(N506="PENDENTE",N506="PARCIAL"),D506&lt;TODAY()-1)),"CRÍTICO",IF(OR(AND(P506&lt;&gt;"",S506=""),AND(N506="REALIZADO",M506="PENDENTE"),AND(ISNUMBER(R506),R506=TODAY())),"ATENÇÃO",IF(N(K506)=0,"PENDENTE","EM ANDAMENTO"))))))</f>
        <v/>
      </c>
      <c r="C506" s="3">
        <f>IF(D506="","",IF(V506=0,"🟢 OK",IF(D506&lt;corte,"⚪ HISTÓRICO (sem baixa)",IF(AND(ISNUMBER(R506),R506&lt;TODAY()),"🔴 PRAZO VENCIDO",IF(AND(OR(N506="PENDENTE",N506="PARCIAL"),D506&lt;TODAY()-1),"🔴 EMBARQUE ATRASADO",IF(AND(N506="REALIZADO",M506="PENDENTE"),"🟡 EMBARCADO SEM FATURAR",IF(AND(P506&lt;&gt;"",S506="",OR(Q506="",R506="")),"🟡 PENDÊNCIA SEM RESPONSÁVEL/PRAZO",IF(AND(ISNUMBER(R506),R506=TODAY()),"🟡 VENCE HOJE",IF(AND(P506&lt;&gt;"",S506=""),"🟡 PENDÊNCIA ABERTA",IF(AND(N(J506)&gt;0,N(K506)&lt;J506),"🟡 FALTA EXECUTAR",IF(OR(M506="PENDENTE",M506="PARCIAL"),"🟡 FATURAMENTO PENDENTE","🟡 EMBARQUE PENDENTE")))))))))))</f>
        <v/>
      </c>
      <c r="D506" s="4" t="n">
        <v>46258</v>
      </c>
      <c r="E506" s="5" t="inlineStr">
        <is>
          <t>C</t>
        </is>
      </c>
      <c r="F506" s="5" t="inlineStr">
        <is>
          <t>ADIB</t>
        </is>
      </c>
      <c r="G506" s="5" t="inlineStr">
        <is>
          <t>GRANEL</t>
        </is>
      </c>
      <c r="H506" s="5" t="inlineStr">
        <is>
          <t>PANDURATA</t>
        </is>
      </c>
      <c r="I506" s="5" t="inlineStr">
        <is>
          <t>TON</t>
        </is>
      </c>
      <c r="J506" s="6" t="n">
        <v>22.05</v>
      </c>
      <c r="K506" s="6" t="n">
        <v>22.05</v>
      </c>
      <c r="L506" s="7">
        <f>IF(OR(D506="",N(J506)=0),"",MIN(1,N(K506)/J506))</f>
        <v/>
      </c>
      <c r="M506" s="5" t="inlineStr">
        <is>
          <t>FATURADO</t>
        </is>
      </c>
      <c r="N506" s="5" t="inlineStr">
        <is>
          <t>REALIZADO</t>
        </is>
      </c>
      <c r="O506" s="5" t="n"/>
      <c r="P506" s="5" t="inlineStr">
        <is>
          <t>FATURADO FALTA LIBERAR</t>
        </is>
      </c>
      <c r="Q506" s="5" t="n"/>
      <c r="R506" s="4" t="n"/>
      <c r="S506" s="4" t="n"/>
      <c r="T506" s="5" t="inlineStr">
        <is>
          <t>FATURADO FALTA LIBERAR</t>
        </is>
      </c>
      <c r="U506" s="8">
        <f>IF(AND(V506=1,D506&lt;&gt;""),IF(D506&gt;=corte,TODAY()-D506,""),"")</f>
        <v/>
      </c>
      <c r="V506" s="8">
        <f>IF(D506="",0,IF(OR(AND(P506&lt;&gt;"",S506=""),AND(N(J506)&gt;0,N(K506)&lt;J506),OR(M506="PENDENTE",M506="PARCIAL"),OR(N506="PENDENTE",N506="PARCIAL")),1,0))</f>
        <v/>
      </c>
      <c r="W506" s="8">
        <f>IF(AND(V506=1,D506&lt;&gt;""),IF(D506&gt;=corte,(B506="CRÍTICO")*1E9+(100000-D506)*10000+10000-ROW(),""),"")</f>
        <v/>
      </c>
      <c r="X506" s="8">
        <f>IF(AND(V506=1,D506=pas_data,E506=pas_turno),10000-ROW(),"")</f>
        <v/>
      </c>
    </row>
    <row r="507">
      <c r="A507" s="3">
        <f>IF(D507="","","TT-"&amp;TEXT(ROW()-1,"00000"))</f>
        <v/>
      </c>
      <c r="B507" s="3">
        <f>IF(D507="","",IF(V507=0,"CONCLUÍDO",IF(D507&lt;corte,"HISTÓRICO",IF(OR(AND(ISNUMBER(R507),R507&lt;TODAY()),AND(OR(N507="PENDENTE",N507="PARCIAL"),D507&lt;TODAY()-1)),"CRÍTICO",IF(OR(AND(P507&lt;&gt;"",S507=""),AND(N507="REALIZADO",M507="PENDENTE"),AND(ISNUMBER(R507),R507=TODAY())),"ATENÇÃO",IF(N(K507)=0,"PENDENTE","EM ANDAMENTO"))))))</f>
        <v/>
      </c>
      <c r="C507" s="3">
        <f>IF(D507="","",IF(V507=0,"🟢 OK",IF(D507&lt;corte,"⚪ HISTÓRICO (sem baixa)",IF(AND(ISNUMBER(R507),R507&lt;TODAY()),"🔴 PRAZO VENCIDO",IF(AND(OR(N507="PENDENTE",N507="PARCIAL"),D507&lt;TODAY()-1),"🔴 EMBARQUE ATRASADO",IF(AND(N507="REALIZADO",M507="PENDENTE"),"🟡 EMBARCADO SEM FATURAR",IF(AND(P507&lt;&gt;"",S507="",OR(Q507="",R507="")),"🟡 PENDÊNCIA SEM RESPONSÁVEL/PRAZO",IF(AND(ISNUMBER(R507),R507=TODAY()),"🟡 VENCE HOJE",IF(AND(P507&lt;&gt;"",S507=""),"🟡 PENDÊNCIA ABERTA",IF(AND(N(J507)&gt;0,N(K507)&lt;J507),"🟡 FALTA EXECUTAR",IF(OR(M507="PENDENTE",M507="PARCIAL"),"🟡 FATURAMENTO PENDENTE","🟡 EMBARQUE PENDENTE")))))))))))</f>
        <v/>
      </c>
      <c r="D507" s="4" t="n">
        <v>46258</v>
      </c>
      <c r="E507" s="5" t="inlineStr">
        <is>
          <t>D</t>
        </is>
      </c>
      <c r="F507" s="5" t="inlineStr">
        <is>
          <t>VINICIUS</t>
        </is>
      </c>
      <c r="G507" s="5" t="inlineStr">
        <is>
          <t>FM</t>
        </is>
      </c>
      <c r="H507" s="5" t="inlineStr">
        <is>
          <t>I.B.A.E</t>
        </is>
      </c>
      <c r="I507" s="5" t="inlineStr">
        <is>
          <t>TON</t>
        </is>
      </c>
      <c r="J507" s="6" t="n">
        <v>26.09</v>
      </c>
      <c r="K507" s="6" t="n">
        <v>26.09</v>
      </c>
      <c r="L507" s="7">
        <f>IF(OR(D507="",N(J507)=0),"",MIN(1,N(K507)/J507))</f>
        <v/>
      </c>
      <c r="M507" s="5" t="inlineStr">
        <is>
          <t>FATURADO</t>
        </is>
      </c>
      <c r="N507" s="5" t="inlineStr">
        <is>
          <t>REALIZADO</t>
        </is>
      </c>
      <c r="O507" s="5" t="n"/>
      <c r="P507" s="5" t="n"/>
      <c r="Q507" s="5" t="n"/>
      <c r="R507" s="4" t="n"/>
      <c r="S507" s="4" t="n"/>
      <c r="T507" s="5" t="inlineStr">
        <is>
          <t>CARREGADO E LIBERADO</t>
        </is>
      </c>
      <c r="U507" s="8">
        <f>IF(AND(V507=1,D507&lt;&gt;""),IF(D507&gt;=corte,TODAY()-D507,""),"")</f>
        <v/>
      </c>
      <c r="V507" s="8">
        <f>IF(D507="",0,IF(OR(AND(P507&lt;&gt;"",S507=""),AND(N(J507)&gt;0,N(K507)&lt;J507),OR(M507="PENDENTE",M507="PARCIAL"),OR(N507="PENDENTE",N507="PARCIAL")),1,0))</f>
        <v/>
      </c>
      <c r="W507" s="8">
        <f>IF(AND(V507=1,D507&lt;&gt;""),IF(D507&gt;=corte,(B507="CRÍTICO")*1E9+(100000-D507)*10000+10000-ROW(),""),"")</f>
        <v/>
      </c>
      <c r="X507" s="8">
        <f>IF(AND(V507=1,D507=pas_data,E507=pas_turno),10000-ROW(),"")</f>
        <v/>
      </c>
    </row>
    <row r="508">
      <c r="A508" s="3">
        <f>IF(D508="","","TT-"&amp;TEXT(ROW()-1,"00000"))</f>
        <v/>
      </c>
      <c r="B508" s="3">
        <f>IF(D508="","",IF(V508=0,"CONCLUÍDO",IF(D508&lt;corte,"HISTÓRICO",IF(OR(AND(ISNUMBER(R508),R508&lt;TODAY()),AND(OR(N508="PENDENTE",N508="PARCIAL"),D508&lt;TODAY()-1)),"CRÍTICO",IF(OR(AND(P508&lt;&gt;"",S508=""),AND(N508="REALIZADO",M508="PENDENTE"),AND(ISNUMBER(R508),R508=TODAY())),"ATENÇÃO",IF(N(K508)=0,"PENDENTE","EM ANDAMENTO"))))))</f>
        <v/>
      </c>
      <c r="C508" s="3">
        <f>IF(D508="","",IF(V508=0,"🟢 OK",IF(D508&lt;corte,"⚪ HISTÓRICO (sem baixa)",IF(AND(ISNUMBER(R508),R508&lt;TODAY()),"🔴 PRAZO VENCIDO",IF(AND(OR(N508="PENDENTE",N508="PARCIAL"),D508&lt;TODAY()-1),"🔴 EMBARQUE ATRASADO",IF(AND(N508="REALIZADO",M508="PENDENTE"),"🟡 EMBARCADO SEM FATURAR",IF(AND(P508&lt;&gt;"",S508="",OR(Q508="",R508="")),"🟡 PENDÊNCIA SEM RESPONSÁVEL/PRAZO",IF(AND(ISNUMBER(R508),R508=TODAY()),"🟡 VENCE HOJE",IF(AND(P508&lt;&gt;"",S508=""),"🟡 PENDÊNCIA ABERTA",IF(AND(N(J508)&gt;0,N(K508)&lt;J508),"🟡 FALTA EXECUTAR",IF(OR(M508="PENDENTE",M508="PARCIAL"),"🟡 FATURAMENTO PENDENTE","🟡 EMBARQUE PENDENTE")))))))))))</f>
        <v/>
      </c>
      <c r="D508" s="4" t="n">
        <v>46258</v>
      </c>
      <c r="E508" s="5" t="inlineStr">
        <is>
          <t>D</t>
        </is>
      </c>
      <c r="F508" s="5" t="inlineStr">
        <is>
          <t>VINICIUS</t>
        </is>
      </c>
      <c r="G508" s="5" t="inlineStr">
        <is>
          <t>FM</t>
        </is>
      </c>
      <c r="H508" s="5" t="inlineStr">
        <is>
          <t>NESTLE</t>
        </is>
      </c>
      <c r="I508" s="5" t="inlineStr">
        <is>
          <t>TON</t>
        </is>
      </c>
      <c r="J508" s="6" t="n">
        <v>15.078</v>
      </c>
      <c r="K508" s="6" t="n">
        <v>15.078</v>
      </c>
      <c r="L508" s="7">
        <f>IF(OR(D508="",N(J508)=0),"",MIN(1,N(K508)/J508))</f>
        <v/>
      </c>
      <c r="M508" s="5" t="inlineStr">
        <is>
          <t>FATURADO</t>
        </is>
      </c>
      <c r="N508" s="5" t="inlineStr">
        <is>
          <t>PENDENTE</t>
        </is>
      </c>
      <c r="O508" s="5" t="n"/>
      <c r="P508" s="5" t="inlineStr">
        <is>
          <t>FATURADO - AGUARDANDO COLETA - CARRO EM DOCA</t>
        </is>
      </c>
      <c r="Q508" s="5" t="n"/>
      <c r="R508" s="4" t="n"/>
      <c r="S508" s="4" t="n"/>
      <c r="T508" s="5" t="inlineStr">
        <is>
          <t>FATURADO - AGUARDANDO COLETA - CARRO EM DOCA</t>
        </is>
      </c>
      <c r="U508" s="8">
        <f>IF(AND(V508=1,D508&lt;&gt;""),IF(D508&gt;=corte,TODAY()-D508,""),"")</f>
        <v/>
      </c>
      <c r="V508" s="8">
        <f>IF(D508="",0,IF(OR(AND(P508&lt;&gt;"",S508=""),AND(N(J508)&gt;0,N(K508)&lt;J508),OR(M508="PENDENTE",M508="PARCIAL"),OR(N508="PENDENTE",N508="PARCIAL")),1,0))</f>
        <v/>
      </c>
      <c r="W508" s="8">
        <f>IF(AND(V508=1,D508&lt;&gt;""),IF(D508&gt;=corte,(B508="CRÍTICO")*1E9+(100000-D508)*10000+10000-ROW(),""),"")</f>
        <v/>
      </c>
      <c r="X508" s="8">
        <f>IF(AND(V508=1,D508=pas_data,E508=pas_turno),10000-ROW(),"")</f>
        <v/>
      </c>
    </row>
    <row r="509">
      <c r="A509" s="3">
        <f>IF(D509="","","TT-"&amp;TEXT(ROW()-1,"00000"))</f>
        <v/>
      </c>
      <c r="B509" s="3">
        <f>IF(D509="","",IF(V509=0,"CONCLUÍDO",IF(D509&lt;corte,"HISTÓRICO",IF(OR(AND(ISNUMBER(R509),R509&lt;TODAY()),AND(OR(N509="PENDENTE",N509="PARCIAL"),D509&lt;TODAY()-1)),"CRÍTICO",IF(OR(AND(P509&lt;&gt;"",S509=""),AND(N509="REALIZADO",M509="PENDENTE"),AND(ISNUMBER(R509),R509=TODAY())),"ATENÇÃO",IF(N(K509)=0,"PENDENTE","EM ANDAMENTO"))))))</f>
        <v/>
      </c>
      <c r="C509" s="3">
        <f>IF(D509="","",IF(V509=0,"🟢 OK",IF(D509&lt;corte,"⚪ HISTÓRICO (sem baixa)",IF(AND(ISNUMBER(R509),R509&lt;TODAY()),"🔴 PRAZO VENCIDO",IF(AND(OR(N509="PENDENTE",N509="PARCIAL"),D509&lt;TODAY()-1),"🔴 EMBARQUE ATRASADO",IF(AND(N509="REALIZADO",M509="PENDENTE"),"🟡 EMBARCADO SEM FATURAR",IF(AND(P509&lt;&gt;"",S509="",OR(Q509="",R509="")),"🟡 PENDÊNCIA SEM RESPONSÁVEL/PRAZO",IF(AND(ISNUMBER(R509),R509=TODAY()),"🟡 VENCE HOJE",IF(AND(P509&lt;&gt;"",S509=""),"🟡 PENDÊNCIA ABERTA",IF(AND(N(J509)&gt;0,N(K509)&lt;J509),"🟡 FALTA EXECUTAR",IF(OR(M509="PENDENTE",M509="PARCIAL"),"🟡 FATURAMENTO PENDENTE","🟡 EMBARQUE PENDENTE")))))))))))</f>
        <v/>
      </c>
      <c r="D509" s="4" t="n">
        <v>46258</v>
      </c>
      <c r="E509" s="5" t="inlineStr">
        <is>
          <t>D</t>
        </is>
      </c>
      <c r="F509" s="5" t="inlineStr">
        <is>
          <t>VINICIUS</t>
        </is>
      </c>
      <c r="G509" s="5" t="inlineStr">
        <is>
          <t>FOB</t>
        </is>
      </c>
      <c r="H509" s="5" t="inlineStr">
        <is>
          <t>COM AZEVEDO</t>
        </is>
      </c>
      <c r="I509" s="5" t="inlineStr">
        <is>
          <t>TON</t>
        </is>
      </c>
      <c r="J509" s="6" t="n">
        <v>16.57</v>
      </c>
      <c r="K509" s="6" t="n">
        <v>16.57</v>
      </c>
      <c r="L509" s="7">
        <f>IF(OR(D509="",N(J509)=0),"",MIN(1,N(K509)/J509))</f>
        <v/>
      </c>
      <c r="M509" s="5" t="inlineStr">
        <is>
          <t>PENDENTE</t>
        </is>
      </c>
      <c r="N509" s="5" t="inlineStr">
        <is>
          <t>PENDENTE</t>
        </is>
      </c>
      <c r="O509" s="5" t="n"/>
      <c r="P509" s="5" t="inlineStr">
        <is>
          <t>PENDENTE FATURAMENTO - CARRO EM DOCA</t>
        </is>
      </c>
      <c r="Q509" s="5" t="n"/>
      <c r="R509" s="4" t="n"/>
      <c r="S509" s="4" t="n"/>
      <c r="T509" s="5" t="inlineStr">
        <is>
          <t>PENDENTE FATURAMENTO - CARRO EM DOCA</t>
        </is>
      </c>
      <c r="U509" s="8">
        <f>IF(AND(V509=1,D509&lt;&gt;""),IF(D509&gt;=corte,TODAY()-D509,""),"")</f>
        <v/>
      </c>
      <c r="V509" s="8">
        <f>IF(D509="",0,IF(OR(AND(P509&lt;&gt;"",S509=""),AND(N(J509)&gt;0,N(K509)&lt;J509),OR(M509="PENDENTE",M509="PARCIAL"),OR(N509="PENDENTE",N509="PARCIAL")),1,0))</f>
        <v/>
      </c>
      <c r="W509" s="8">
        <f>IF(AND(V509=1,D509&lt;&gt;""),IF(D509&gt;=corte,(B509="CRÍTICO")*1E9+(100000-D509)*10000+10000-ROW(),""),"")</f>
        <v/>
      </c>
      <c r="X509" s="8">
        <f>IF(AND(V509=1,D509=pas_data,E509=pas_turno),10000-ROW(),"")</f>
        <v/>
      </c>
    </row>
    <row r="510">
      <c r="A510" s="3">
        <f>IF(D510="","","TT-"&amp;TEXT(ROW()-1,"00000"))</f>
        <v/>
      </c>
      <c r="B510" s="3">
        <f>IF(D510="","",IF(V510=0,"CONCLUÍDO",IF(D510&lt;corte,"HISTÓRICO",IF(OR(AND(ISNUMBER(R510),R510&lt;TODAY()),AND(OR(N510="PENDENTE",N510="PARCIAL"),D510&lt;TODAY()-1)),"CRÍTICO",IF(OR(AND(P510&lt;&gt;"",S510=""),AND(N510="REALIZADO",M510="PENDENTE"),AND(ISNUMBER(R510),R510=TODAY())),"ATENÇÃO",IF(N(K510)=0,"PENDENTE","EM ANDAMENTO"))))))</f>
        <v/>
      </c>
      <c r="C510" s="3">
        <f>IF(D510="","",IF(V510=0,"🟢 OK",IF(D510&lt;corte,"⚪ HISTÓRICO (sem baixa)",IF(AND(ISNUMBER(R510),R510&lt;TODAY()),"🔴 PRAZO VENCIDO",IF(AND(OR(N510="PENDENTE",N510="PARCIAL"),D510&lt;TODAY()-1),"🔴 EMBARQUE ATRASADO",IF(AND(N510="REALIZADO",M510="PENDENTE"),"🟡 EMBARCADO SEM FATURAR",IF(AND(P510&lt;&gt;"",S510="",OR(Q510="",R510="")),"🟡 PENDÊNCIA SEM RESPONSÁVEL/PRAZO",IF(AND(ISNUMBER(R510),R510=TODAY()),"🟡 VENCE HOJE",IF(AND(P510&lt;&gt;"",S510=""),"🟡 PENDÊNCIA ABERTA",IF(AND(N(J510)&gt;0,N(K510)&lt;J510),"🟡 FALTA EXECUTAR",IF(OR(M510="PENDENTE",M510="PARCIAL"),"🟡 FATURAMENTO PENDENTE","🟡 EMBARQUE PENDENTE")))))))))))</f>
        <v/>
      </c>
      <c r="D510" s="4" t="n">
        <v>46258</v>
      </c>
      <c r="E510" s="5" t="inlineStr">
        <is>
          <t>D</t>
        </is>
      </c>
      <c r="F510" s="5" t="inlineStr">
        <is>
          <t>VINICIUS</t>
        </is>
      </c>
      <c r="G510" s="5" t="inlineStr">
        <is>
          <t>FOB</t>
        </is>
      </c>
      <c r="H510" s="5" t="inlineStr">
        <is>
          <t>CHOK DOCE</t>
        </is>
      </c>
      <c r="I510" s="5" t="inlineStr">
        <is>
          <t>TON</t>
        </is>
      </c>
      <c r="J510" s="6" t="n">
        <v>14.822</v>
      </c>
      <c r="K510" s="6" t="n">
        <v>14.822</v>
      </c>
      <c r="L510" s="7">
        <f>IF(OR(D510="",N(J510)=0),"",MIN(1,N(K510)/J510))</f>
        <v/>
      </c>
      <c r="M510" s="5" t="inlineStr">
        <is>
          <t>FATURADO</t>
        </is>
      </c>
      <c r="N510" s="5" t="inlineStr">
        <is>
          <t>PENDENTE</t>
        </is>
      </c>
      <c r="O510" s="5" t="n"/>
      <c r="P510" s="5" t="inlineStr">
        <is>
          <t>FATURADO - AGUARDANDO COLETA - CARRO AGUARDANDO</t>
        </is>
      </c>
      <c r="Q510" s="5" t="n"/>
      <c r="R510" s="4" t="n"/>
      <c r="S510" s="4" t="n"/>
      <c r="T510" s="5" t="inlineStr">
        <is>
          <t>FATURADO - AGUARDANDO COLETA - CARRO AGUARDANDO</t>
        </is>
      </c>
      <c r="U510" s="8">
        <f>IF(AND(V510=1,D510&lt;&gt;""),IF(D510&gt;=corte,TODAY()-D510,""),"")</f>
        <v/>
      </c>
      <c r="V510" s="8">
        <f>IF(D510="",0,IF(OR(AND(P510&lt;&gt;"",S510=""),AND(N(J510)&gt;0,N(K510)&lt;J510),OR(M510="PENDENTE",M510="PARCIAL"),OR(N510="PENDENTE",N510="PARCIAL")),1,0))</f>
        <v/>
      </c>
      <c r="W510" s="8">
        <f>IF(AND(V510=1,D510&lt;&gt;""),IF(D510&gt;=corte,(B510="CRÍTICO")*1E9+(100000-D510)*10000+10000-ROW(),""),"")</f>
        <v/>
      </c>
      <c r="X510" s="8">
        <f>IF(AND(V510=1,D510=pas_data,E510=pas_turno),10000-ROW(),"")</f>
        <v/>
      </c>
    </row>
    <row r="511">
      <c r="A511" s="3">
        <f>IF(D511="","","TT-"&amp;TEXT(ROW()-1,"00000"))</f>
        <v/>
      </c>
      <c r="B511" s="3">
        <f>IF(D511="","",IF(V511=0,"CONCLUÍDO",IF(D511&lt;corte,"HISTÓRICO",IF(OR(AND(ISNUMBER(R511),R511&lt;TODAY()),AND(OR(N511="PENDENTE",N511="PARCIAL"),D511&lt;TODAY()-1)),"CRÍTICO",IF(OR(AND(P511&lt;&gt;"",S511=""),AND(N511="REALIZADO",M511="PENDENTE"),AND(ISNUMBER(R511),R511=TODAY())),"ATENÇÃO",IF(N(K511)=0,"PENDENTE","EM ANDAMENTO"))))))</f>
        <v/>
      </c>
      <c r="C511" s="3">
        <f>IF(D511="","",IF(V511=0,"🟢 OK",IF(D511&lt;corte,"⚪ HISTÓRICO (sem baixa)",IF(AND(ISNUMBER(R511),R511&lt;TODAY()),"🔴 PRAZO VENCIDO",IF(AND(OR(N511="PENDENTE",N511="PARCIAL"),D511&lt;TODAY()-1),"🔴 EMBARQUE ATRASADO",IF(AND(N511="REALIZADO",M511="PENDENTE"),"🟡 EMBARCADO SEM FATURAR",IF(AND(P511&lt;&gt;"",S511="",OR(Q511="",R511="")),"🟡 PENDÊNCIA SEM RESPONSÁVEL/PRAZO",IF(AND(ISNUMBER(R511),R511=TODAY()),"🟡 VENCE HOJE",IF(AND(P511&lt;&gt;"",S511=""),"🟡 PENDÊNCIA ABERTA",IF(AND(N(J511)&gt;0,N(K511)&lt;J511),"🟡 FALTA EXECUTAR",IF(OR(M511="PENDENTE",M511="PARCIAL"),"🟡 FATURAMENTO PENDENTE","🟡 EMBARQUE PENDENTE")))))))))))</f>
        <v/>
      </c>
      <c r="D511" s="4" t="n">
        <v>46258</v>
      </c>
      <c r="E511" s="5" t="inlineStr">
        <is>
          <t>D</t>
        </is>
      </c>
      <c r="F511" s="5" t="inlineStr">
        <is>
          <t>VINICIUS</t>
        </is>
      </c>
      <c r="G511" s="5" t="inlineStr">
        <is>
          <t>FLOOR</t>
        </is>
      </c>
      <c r="H511" s="5" t="inlineStr">
        <is>
          <t>MOVIMENTAÇÃO</t>
        </is>
      </c>
      <c r="I511" s="5" t="inlineStr">
        <is>
          <t>PALETE</t>
        </is>
      </c>
      <c r="J511" s="6" t="n">
        <v>87</v>
      </c>
      <c r="K511" s="6" t="n">
        <v>87</v>
      </c>
      <c r="L511" s="7">
        <f>IF(OR(D511="",N(J511)=0),"",MIN(1,N(K511)/J511))</f>
        <v/>
      </c>
      <c r="M511" s="5" t="n"/>
      <c r="N511" s="5" t="n"/>
      <c r="O511" s="5" t="n"/>
      <c r="P511" s="5" t="n"/>
      <c r="Q511" s="5" t="n"/>
      <c r="R511" s="4" t="n"/>
      <c r="S511" s="4" t="n"/>
      <c r="T511" s="5" t="n"/>
      <c r="U511" s="8">
        <f>IF(AND(V511=1,D511&lt;&gt;""),IF(D511&gt;=corte,TODAY()-D511,""),"")</f>
        <v/>
      </c>
      <c r="V511" s="8">
        <f>IF(D511="",0,IF(OR(AND(P511&lt;&gt;"",S511=""),AND(N(J511)&gt;0,N(K511)&lt;J511),OR(M511="PENDENTE",M511="PARCIAL"),OR(N511="PENDENTE",N511="PARCIAL")),1,0))</f>
        <v/>
      </c>
      <c r="W511" s="8">
        <f>IF(AND(V511=1,D511&lt;&gt;""),IF(D511&gt;=corte,(B511="CRÍTICO")*1E9+(100000-D511)*10000+10000-ROW(),""),"")</f>
        <v/>
      </c>
      <c r="X511" s="8">
        <f>IF(AND(V511=1,D511=pas_data,E511=pas_turno),10000-ROW(),"")</f>
        <v/>
      </c>
    </row>
    <row r="512">
      <c r="A512" s="3">
        <f>IF(D512="","","TT-"&amp;TEXT(ROW()-1,"00000"))</f>
        <v/>
      </c>
      <c r="B512" s="3">
        <f>IF(D512="","",IF(V512=0,"CONCLUÍDO",IF(D512&lt;corte,"HISTÓRICO",IF(OR(AND(ISNUMBER(R512),R512&lt;TODAY()),AND(OR(N512="PENDENTE",N512="PARCIAL"),D512&lt;TODAY()-1)),"CRÍTICO",IF(OR(AND(P512&lt;&gt;"",S512=""),AND(N512="REALIZADO",M512="PENDENTE"),AND(ISNUMBER(R512),R512=TODAY())),"ATENÇÃO",IF(N(K512)=0,"PENDENTE","EM ANDAMENTO"))))))</f>
        <v/>
      </c>
      <c r="C512" s="3">
        <f>IF(D512="","",IF(V512=0,"🟢 OK",IF(D512&lt;corte,"⚪ HISTÓRICO (sem baixa)",IF(AND(ISNUMBER(R512),R512&lt;TODAY()),"🔴 PRAZO VENCIDO",IF(AND(OR(N512="PENDENTE",N512="PARCIAL"),D512&lt;TODAY()-1),"🔴 EMBARQUE ATRASADO",IF(AND(N512="REALIZADO",M512="PENDENTE"),"🟡 EMBARCADO SEM FATURAR",IF(AND(P512&lt;&gt;"",S512="",OR(Q512="",R512="")),"🟡 PENDÊNCIA SEM RESPONSÁVEL/PRAZO",IF(AND(ISNUMBER(R512),R512=TODAY()),"🟡 VENCE HOJE",IF(AND(P512&lt;&gt;"",S512=""),"🟡 PENDÊNCIA ABERTA",IF(AND(N(J512)&gt;0,N(K512)&lt;J512),"🟡 FALTA EXECUTAR",IF(OR(M512="PENDENTE",M512="PARCIAL"),"🟡 FATURAMENTO PENDENTE","🟡 EMBARQUE PENDENTE")))))))))))</f>
        <v/>
      </c>
      <c r="D512" s="4" t="n">
        <v>46259</v>
      </c>
      <c r="E512" s="5" t="inlineStr">
        <is>
          <t>A</t>
        </is>
      </c>
      <c r="F512" s="5" t="inlineStr">
        <is>
          <t>TATIANE</t>
        </is>
      </c>
      <c r="G512" s="5" t="inlineStr">
        <is>
          <t>FOB</t>
        </is>
      </c>
      <c r="H512" s="5" t="inlineStr">
        <is>
          <t>SVP</t>
        </is>
      </c>
      <c r="I512" s="5" t="inlineStr">
        <is>
          <t>TON</t>
        </is>
      </c>
      <c r="J512" s="6" t="n">
        <v>13.769</v>
      </c>
      <c r="K512" s="6" t="n">
        <v>13.769</v>
      </c>
      <c r="L512" s="7">
        <f>IF(OR(D512="",N(J512)=0),"",MIN(1,N(K512)/J512))</f>
        <v/>
      </c>
      <c r="M512" s="5" t="inlineStr">
        <is>
          <t>FATURADO</t>
        </is>
      </c>
      <c r="N512" s="5" t="inlineStr">
        <is>
          <t>REALIZADO</t>
        </is>
      </c>
      <c r="O512" s="5" t="inlineStr">
        <is>
          <t>PRÓPRIO</t>
        </is>
      </c>
      <c r="P512" s="5" t="n"/>
      <c r="Q512" s="5" t="n"/>
      <c r="R512" s="4" t="n"/>
      <c r="S512" s="4" t="n"/>
      <c r="T512" s="5" t="n"/>
      <c r="U512" s="8">
        <f>IF(AND(V512=1,D512&lt;&gt;""),IF(D512&gt;=corte,TODAY()-D512,""),"")</f>
        <v/>
      </c>
      <c r="V512" s="8">
        <f>IF(D512="",0,IF(OR(AND(P512&lt;&gt;"",S512=""),AND(N(J512)&gt;0,N(K512)&lt;J512),OR(M512="PENDENTE",M512="PARCIAL"),OR(N512="PENDENTE",N512="PARCIAL")),1,0))</f>
        <v/>
      </c>
      <c r="W512" s="8">
        <f>IF(AND(V512=1,D512&lt;&gt;""),IF(D512&gt;=corte,(B512="CRÍTICO")*1E9+(100000-D512)*10000+10000-ROW(),""),"")</f>
        <v/>
      </c>
      <c r="X512" s="8">
        <f>IF(AND(V512=1,D512=pas_data,E512=pas_turno),10000-ROW(),"")</f>
        <v/>
      </c>
    </row>
    <row r="513">
      <c r="A513" s="3">
        <f>IF(D513="","","TT-"&amp;TEXT(ROW()-1,"00000"))</f>
        <v/>
      </c>
      <c r="B513" s="3">
        <f>IF(D513="","",IF(V513=0,"CONCLUÍDO",IF(D513&lt;corte,"HISTÓRICO",IF(OR(AND(ISNUMBER(R513),R513&lt;TODAY()),AND(OR(N513="PENDENTE",N513="PARCIAL"),D513&lt;TODAY()-1)),"CRÍTICO",IF(OR(AND(P513&lt;&gt;"",S513=""),AND(N513="REALIZADO",M513="PENDENTE"),AND(ISNUMBER(R513),R513=TODAY())),"ATENÇÃO",IF(N(K513)=0,"PENDENTE","EM ANDAMENTO"))))))</f>
        <v/>
      </c>
      <c r="C513" s="3">
        <f>IF(D513="","",IF(V513=0,"🟢 OK",IF(D513&lt;corte,"⚪ HISTÓRICO (sem baixa)",IF(AND(ISNUMBER(R513),R513&lt;TODAY()),"🔴 PRAZO VENCIDO",IF(AND(OR(N513="PENDENTE",N513="PARCIAL"),D513&lt;TODAY()-1),"🔴 EMBARQUE ATRASADO",IF(AND(N513="REALIZADO",M513="PENDENTE"),"🟡 EMBARCADO SEM FATURAR",IF(AND(P513&lt;&gt;"",S513="",OR(Q513="",R513="")),"🟡 PENDÊNCIA SEM RESPONSÁVEL/PRAZO",IF(AND(ISNUMBER(R513),R513=TODAY()),"🟡 VENCE HOJE",IF(AND(P513&lt;&gt;"",S513=""),"🟡 PENDÊNCIA ABERTA",IF(AND(N(J513)&gt;0,N(K513)&lt;J513),"🟡 FALTA EXECUTAR",IF(OR(M513="PENDENTE",M513="PARCIAL"),"🟡 FATURAMENTO PENDENTE","🟡 EMBARQUE PENDENTE")))))))))))</f>
        <v/>
      </c>
      <c r="D513" s="4" t="n">
        <v>46259</v>
      </c>
      <c r="E513" s="5" t="inlineStr">
        <is>
          <t>A</t>
        </is>
      </c>
      <c r="F513" s="5" t="inlineStr">
        <is>
          <t>TATIANE</t>
        </is>
      </c>
      <c r="G513" s="5" t="inlineStr">
        <is>
          <t>FOB</t>
        </is>
      </c>
      <c r="H513" s="5" t="inlineStr">
        <is>
          <t>LUZIA MEIRE</t>
        </is>
      </c>
      <c r="I513" s="5" t="inlineStr">
        <is>
          <t>TON</t>
        </is>
      </c>
      <c r="J513" s="6" t="n">
        <v>19.543</v>
      </c>
      <c r="K513" s="6" t="n">
        <v>19.543</v>
      </c>
      <c r="L513" s="7">
        <f>IF(OR(D513="",N(J513)=0),"",MIN(1,N(K513)/J513))</f>
        <v/>
      </c>
      <c r="M513" s="5" t="inlineStr">
        <is>
          <t>FATURADO</t>
        </is>
      </c>
      <c r="N513" s="5" t="inlineStr">
        <is>
          <t>REALIZADO</t>
        </is>
      </c>
      <c r="O513" s="5" t="inlineStr">
        <is>
          <t>PRÓPRIO</t>
        </is>
      </c>
      <c r="P513" s="5" t="n"/>
      <c r="Q513" s="5" t="n"/>
      <c r="R513" s="4" t="n"/>
      <c r="S513" s="4" t="n"/>
      <c r="T513" s="5" t="n"/>
      <c r="U513" s="8">
        <f>IF(AND(V513=1,D513&lt;&gt;""),IF(D513&gt;=corte,TODAY()-D513,""),"")</f>
        <v/>
      </c>
      <c r="V513" s="8">
        <f>IF(D513="",0,IF(OR(AND(P513&lt;&gt;"",S513=""),AND(N(J513)&gt;0,N(K513)&lt;J513),OR(M513="PENDENTE",M513="PARCIAL"),OR(N513="PENDENTE",N513="PARCIAL")),1,0))</f>
        <v/>
      </c>
      <c r="W513" s="8">
        <f>IF(AND(V513=1,D513&lt;&gt;""),IF(D513&gt;=corte,(B513="CRÍTICO")*1E9+(100000-D513)*10000+10000-ROW(),""),"")</f>
        <v/>
      </c>
      <c r="X513" s="8">
        <f>IF(AND(V513=1,D513=pas_data,E513=pas_turno),10000-ROW(),"")</f>
        <v/>
      </c>
    </row>
    <row r="514">
      <c r="A514" s="3">
        <f>IF(D514="","","TT-"&amp;TEXT(ROW()-1,"00000"))</f>
        <v/>
      </c>
      <c r="B514" s="3">
        <f>IF(D514="","",IF(V514=0,"CONCLUÍDO",IF(D514&lt;corte,"HISTÓRICO",IF(OR(AND(ISNUMBER(R514),R514&lt;TODAY()),AND(OR(N514="PENDENTE",N514="PARCIAL"),D514&lt;TODAY()-1)),"CRÍTICO",IF(OR(AND(P514&lt;&gt;"",S514=""),AND(N514="REALIZADO",M514="PENDENTE"),AND(ISNUMBER(R514),R514=TODAY())),"ATENÇÃO",IF(N(K514)=0,"PENDENTE","EM ANDAMENTO"))))))</f>
        <v/>
      </c>
      <c r="C514" s="3">
        <f>IF(D514="","",IF(V514=0,"🟢 OK",IF(D514&lt;corte,"⚪ HISTÓRICO (sem baixa)",IF(AND(ISNUMBER(R514),R514&lt;TODAY()),"🔴 PRAZO VENCIDO",IF(AND(OR(N514="PENDENTE",N514="PARCIAL"),D514&lt;TODAY()-1),"🔴 EMBARQUE ATRASADO",IF(AND(N514="REALIZADO",M514="PENDENTE"),"🟡 EMBARCADO SEM FATURAR",IF(AND(P514&lt;&gt;"",S514="",OR(Q514="",R514="")),"🟡 PENDÊNCIA SEM RESPONSÁVEL/PRAZO",IF(AND(ISNUMBER(R514),R514=TODAY()),"🟡 VENCE HOJE",IF(AND(P514&lt;&gt;"",S514=""),"🟡 PENDÊNCIA ABERTA",IF(AND(N(J514)&gt;0,N(K514)&lt;J514),"🟡 FALTA EXECUTAR",IF(OR(M514="PENDENTE",M514="PARCIAL"),"🟡 FATURAMENTO PENDENTE","🟡 EMBARQUE PENDENTE")))))))))))</f>
        <v/>
      </c>
      <c r="D514" s="4" t="n">
        <v>46259</v>
      </c>
      <c r="E514" s="5" t="inlineStr">
        <is>
          <t>A</t>
        </is>
      </c>
      <c r="F514" s="5" t="inlineStr">
        <is>
          <t>TATIANE</t>
        </is>
      </c>
      <c r="G514" s="5" t="inlineStr">
        <is>
          <t>FOB</t>
        </is>
      </c>
      <c r="H514" s="5" t="inlineStr">
        <is>
          <t>RFC</t>
        </is>
      </c>
      <c r="I514" s="5" t="inlineStr">
        <is>
          <t>TON</t>
        </is>
      </c>
      <c r="J514" s="6" t="n">
        <v>17.87</v>
      </c>
      <c r="K514" s="6" t="n"/>
      <c r="L514" s="7">
        <f>IF(OR(D514="",N(J514)=0),"",MIN(1,N(K514)/J514))</f>
        <v/>
      </c>
      <c r="M514" s="5" t="inlineStr">
        <is>
          <t>PENDENTE</t>
        </is>
      </c>
      <c r="N514" s="5" t="inlineStr">
        <is>
          <t>PENDENTE</t>
        </is>
      </c>
      <c r="O514" s="5" t="inlineStr">
        <is>
          <t>PRÓPRIO</t>
        </is>
      </c>
      <c r="P514" s="5" t="inlineStr">
        <is>
          <t>GERADO FALTA SEPARAR</t>
        </is>
      </c>
      <c r="Q514" s="5" t="n"/>
      <c r="R514" s="4" t="n"/>
      <c r="S514" s="4" t="n"/>
      <c r="T514" s="5" t="inlineStr">
        <is>
          <t>GERADO FALTA SEPARAR</t>
        </is>
      </c>
      <c r="U514" s="8">
        <f>IF(AND(V514=1,D514&lt;&gt;""),IF(D514&gt;=corte,TODAY()-D514,""),"")</f>
        <v/>
      </c>
      <c r="V514" s="8">
        <f>IF(D514="",0,IF(OR(AND(P514&lt;&gt;"",S514=""),AND(N(J514)&gt;0,N(K514)&lt;J514),OR(M514="PENDENTE",M514="PARCIAL"),OR(N514="PENDENTE",N514="PARCIAL")),1,0))</f>
        <v/>
      </c>
      <c r="W514" s="8">
        <f>IF(AND(V514=1,D514&lt;&gt;""),IF(D514&gt;=corte,(B514="CRÍTICO")*1E9+(100000-D514)*10000+10000-ROW(),""),"")</f>
        <v/>
      </c>
      <c r="X514" s="8">
        <f>IF(AND(V514=1,D514=pas_data,E514=pas_turno),10000-ROW(),"")</f>
        <v/>
      </c>
    </row>
    <row r="515">
      <c r="A515" s="3">
        <f>IF(D515="","","TT-"&amp;TEXT(ROW()-1,"00000"))</f>
        <v/>
      </c>
      <c r="B515" s="3">
        <f>IF(D515="","",IF(V515=0,"CONCLUÍDO",IF(D515&lt;corte,"HISTÓRICO",IF(OR(AND(ISNUMBER(R515),R515&lt;TODAY()),AND(OR(N515="PENDENTE",N515="PARCIAL"),D515&lt;TODAY()-1)),"CRÍTICO",IF(OR(AND(P515&lt;&gt;"",S515=""),AND(N515="REALIZADO",M515="PENDENTE"),AND(ISNUMBER(R515),R515=TODAY())),"ATENÇÃO",IF(N(K515)=0,"PENDENTE","EM ANDAMENTO"))))))</f>
        <v/>
      </c>
      <c r="C515" s="3">
        <f>IF(D515="","",IF(V515=0,"🟢 OK",IF(D515&lt;corte,"⚪ HISTÓRICO (sem baixa)",IF(AND(ISNUMBER(R515),R515&lt;TODAY()),"🔴 PRAZO VENCIDO",IF(AND(OR(N515="PENDENTE",N515="PARCIAL"),D515&lt;TODAY()-1),"🔴 EMBARQUE ATRASADO",IF(AND(N515="REALIZADO",M515="PENDENTE"),"🟡 EMBARCADO SEM FATURAR",IF(AND(P515&lt;&gt;"",S515="",OR(Q515="",R515="")),"🟡 PENDÊNCIA SEM RESPONSÁVEL/PRAZO",IF(AND(ISNUMBER(R515),R515=TODAY()),"🟡 VENCE HOJE",IF(AND(P515&lt;&gt;"",S515=""),"🟡 PENDÊNCIA ABERTA",IF(AND(N(J515)&gt;0,N(K515)&lt;J515),"🟡 FALTA EXECUTAR",IF(OR(M515="PENDENTE",M515="PARCIAL"),"🟡 FATURAMENTO PENDENTE","🟡 EMBARQUE PENDENTE")))))))))))</f>
        <v/>
      </c>
      <c r="D515" s="4" t="n">
        <v>46259</v>
      </c>
      <c r="E515" s="5" t="inlineStr">
        <is>
          <t>A</t>
        </is>
      </c>
      <c r="F515" s="5" t="inlineStr">
        <is>
          <t>TATIANE</t>
        </is>
      </c>
      <c r="G515" s="5" t="inlineStr">
        <is>
          <t>FOB</t>
        </is>
      </c>
      <c r="H515" s="5" t="inlineStr">
        <is>
          <t>SPADOTTO</t>
        </is>
      </c>
      <c r="I515" s="5" t="inlineStr">
        <is>
          <t>TON</t>
        </is>
      </c>
      <c r="J515" s="6" t="n">
        <v>10.39</v>
      </c>
      <c r="K515" s="6" t="n">
        <v>10.39</v>
      </c>
      <c r="L515" s="7">
        <f>IF(OR(D515="",N(J515)=0),"",MIN(1,N(K515)/J515))</f>
        <v/>
      </c>
      <c r="M515" s="5" t="inlineStr">
        <is>
          <t>FATURADO</t>
        </is>
      </c>
      <c r="N515" s="5" t="inlineStr">
        <is>
          <t>REALIZADO</t>
        </is>
      </c>
      <c r="O515" s="5" t="inlineStr">
        <is>
          <t>PRÓPRIO</t>
        </is>
      </c>
      <c r="P515" s="5" t="n"/>
      <c r="Q515" s="5" t="n"/>
      <c r="R515" s="4" t="n"/>
      <c r="S515" s="4" t="n"/>
      <c r="T515" s="5" t="n"/>
      <c r="U515" s="8">
        <f>IF(AND(V515=1,D515&lt;&gt;""),IF(D515&gt;=corte,TODAY()-D515,""),"")</f>
        <v/>
      </c>
      <c r="V515" s="8">
        <f>IF(D515="",0,IF(OR(AND(P515&lt;&gt;"",S515=""),AND(N(J515)&gt;0,N(K515)&lt;J515),OR(M515="PENDENTE",M515="PARCIAL"),OR(N515="PENDENTE",N515="PARCIAL")),1,0))</f>
        <v/>
      </c>
      <c r="W515" s="8">
        <f>IF(AND(V515=1,D515&lt;&gt;""),IF(D515&gt;=corte,(B515="CRÍTICO")*1E9+(100000-D515)*10000+10000-ROW(),""),"")</f>
        <v/>
      </c>
      <c r="X515" s="8">
        <f>IF(AND(V515=1,D515=pas_data,E515=pas_turno),10000-ROW(),"")</f>
        <v/>
      </c>
    </row>
    <row r="516">
      <c r="A516" s="3">
        <f>IF(D516="","","TT-"&amp;TEXT(ROW()-1,"00000"))</f>
        <v/>
      </c>
      <c r="B516" s="3">
        <f>IF(D516="","",IF(V516=0,"CONCLUÍDO",IF(D516&lt;corte,"HISTÓRICO",IF(OR(AND(ISNUMBER(R516),R516&lt;TODAY()),AND(OR(N516="PENDENTE",N516="PARCIAL"),D516&lt;TODAY()-1)),"CRÍTICO",IF(OR(AND(P516&lt;&gt;"",S516=""),AND(N516="REALIZADO",M516="PENDENTE"),AND(ISNUMBER(R516),R516=TODAY())),"ATENÇÃO",IF(N(K516)=0,"PENDENTE","EM ANDAMENTO"))))))</f>
        <v/>
      </c>
      <c r="C516" s="3">
        <f>IF(D516="","",IF(V516=0,"🟢 OK",IF(D516&lt;corte,"⚪ HISTÓRICO (sem baixa)",IF(AND(ISNUMBER(R516),R516&lt;TODAY()),"🔴 PRAZO VENCIDO",IF(AND(OR(N516="PENDENTE",N516="PARCIAL"),D516&lt;TODAY()-1),"🔴 EMBARQUE ATRASADO",IF(AND(N516="REALIZADO",M516="PENDENTE"),"🟡 EMBARCADO SEM FATURAR",IF(AND(P516&lt;&gt;"",S516="",OR(Q516="",R516="")),"🟡 PENDÊNCIA SEM RESPONSÁVEL/PRAZO",IF(AND(ISNUMBER(R516),R516=TODAY()),"🟡 VENCE HOJE",IF(AND(P516&lt;&gt;"",S516=""),"🟡 PENDÊNCIA ABERTA",IF(AND(N(J516)&gt;0,N(K516)&lt;J516),"🟡 FALTA EXECUTAR",IF(OR(M516="PENDENTE",M516="PARCIAL"),"🟡 FATURAMENTO PENDENTE","🟡 EMBARQUE PENDENTE")))))))))))</f>
        <v/>
      </c>
      <c r="D516" s="4" t="n">
        <v>46259</v>
      </c>
      <c r="E516" s="5" t="inlineStr">
        <is>
          <t>A</t>
        </is>
      </c>
      <c r="F516" s="5" t="inlineStr">
        <is>
          <t>TATIANE</t>
        </is>
      </c>
      <c r="G516" s="5" t="inlineStr">
        <is>
          <t>FOB</t>
        </is>
      </c>
      <c r="H516" s="5" t="inlineStr">
        <is>
          <t>MASSIPAN/ORTERPAN</t>
        </is>
      </c>
      <c r="I516" s="5" t="inlineStr">
        <is>
          <t>TON</t>
        </is>
      </c>
      <c r="J516" s="6" t="n">
        <v>10.977</v>
      </c>
      <c r="K516" s="6" t="n"/>
      <c r="L516" s="7">
        <f>IF(OR(D516="",N(J516)=0),"",MIN(1,N(K516)/J516))</f>
        <v/>
      </c>
      <c r="M516" s="5" t="inlineStr">
        <is>
          <t>PENDENTE</t>
        </is>
      </c>
      <c r="N516" s="5" t="inlineStr">
        <is>
          <t>PENDENTE</t>
        </is>
      </c>
      <c r="O516" s="5" t="inlineStr">
        <is>
          <t>PRÓPRIO</t>
        </is>
      </c>
      <c r="P516" s="5" t="inlineStr">
        <is>
          <t>GERADO FALTA SEPARAR</t>
        </is>
      </c>
      <c r="Q516" s="5" t="n"/>
      <c r="R516" s="4" t="n"/>
      <c r="S516" s="4" t="n"/>
      <c r="T516" s="5" t="inlineStr">
        <is>
          <t>GERADO FALTA SEPARAR</t>
        </is>
      </c>
      <c r="U516" s="8">
        <f>IF(AND(V516=1,D516&lt;&gt;""),IF(D516&gt;=corte,TODAY()-D516,""),"")</f>
        <v/>
      </c>
      <c r="V516" s="8">
        <f>IF(D516="",0,IF(OR(AND(P516&lt;&gt;"",S516=""),AND(N(J516)&gt;0,N(K516)&lt;J516),OR(M516="PENDENTE",M516="PARCIAL"),OR(N516="PENDENTE",N516="PARCIAL")),1,0))</f>
        <v/>
      </c>
      <c r="W516" s="8">
        <f>IF(AND(V516=1,D516&lt;&gt;""),IF(D516&gt;=corte,(B516="CRÍTICO")*1E9+(100000-D516)*10000+10000-ROW(),""),"")</f>
        <v/>
      </c>
      <c r="X516" s="8">
        <f>IF(AND(V516=1,D516=pas_data,E516=pas_turno),10000-ROW(),"")</f>
        <v/>
      </c>
    </row>
    <row r="517">
      <c r="A517" s="3">
        <f>IF(D517="","","TT-"&amp;TEXT(ROW()-1,"00000"))</f>
        <v/>
      </c>
      <c r="B517" s="3">
        <f>IF(D517="","",IF(V517=0,"CONCLUÍDO",IF(D517&lt;corte,"HISTÓRICO",IF(OR(AND(ISNUMBER(R517),R517&lt;TODAY()),AND(OR(N517="PENDENTE",N517="PARCIAL"),D517&lt;TODAY()-1)),"CRÍTICO",IF(OR(AND(P517&lt;&gt;"",S517=""),AND(N517="REALIZADO",M517="PENDENTE"),AND(ISNUMBER(R517),R517=TODAY())),"ATENÇÃO",IF(N(K517)=0,"PENDENTE","EM ANDAMENTO"))))))</f>
        <v/>
      </c>
      <c r="C517" s="3">
        <f>IF(D517="","",IF(V517=0,"🟢 OK",IF(D517&lt;corte,"⚪ HISTÓRICO (sem baixa)",IF(AND(ISNUMBER(R517),R517&lt;TODAY()),"🔴 PRAZO VENCIDO",IF(AND(OR(N517="PENDENTE",N517="PARCIAL"),D517&lt;TODAY()-1),"🔴 EMBARQUE ATRASADO",IF(AND(N517="REALIZADO",M517="PENDENTE"),"🟡 EMBARCADO SEM FATURAR",IF(AND(P517&lt;&gt;"",S517="",OR(Q517="",R517="")),"🟡 PENDÊNCIA SEM RESPONSÁVEL/PRAZO",IF(AND(ISNUMBER(R517),R517=TODAY()),"🟡 VENCE HOJE",IF(AND(P517&lt;&gt;"",S517=""),"🟡 PENDÊNCIA ABERTA",IF(AND(N(J517)&gt;0,N(K517)&lt;J517),"🟡 FALTA EXECUTAR",IF(OR(M517="PENDENTE",M517="PARCIAL"),"🟡 FATURAMENTO PENDENTE","🟡 EMBARQUE PENDENTE")))))))))))</f>
        <v/>
      </c>
      <c r="D517" s="4" t="n">
        <v>46259</v>
      </c>
      <c r="E517" s="5" t="inlineStr">
        <is>
          <t>A</t>
        </is>
      </c>
      <c r="F517" s="5" t="inlineStr">
        <is>
          <t>TATIANE</t>
        </is>
      </c>
      <c r="G517" s="5" t="inlineStr">
        <is>
          <t>FOB</t>
        </is>
      </c>
      <c r="H517" s="5" t="inlineStr">
        <is>
          <t>OC ALIMENTOS</t>
        </is>
      </c>
      <c r="I517" s="5" t="inlineStr">
        <is>
          <t>TON</t>
        </is>
      </c>
      <c r="J517" s="6" t="n">
        <v>0.751</v>
      </c>
      <c r="K517" s="6" t="n"/>
      <c r="L517" s="7">
        <f>IF(OR(D517="",N(J517)=0),"",MIN(1,N(K517)/J517))</f>
        <v/>
      </c>
      <c r="M517" s="5" t="inlineStr">
        <is>
          <t>PENDENTE</t>
        </is>
      </c>
      <c r="N517" s="5" t="inlineStr">
        <is>
          <t>PENDENTE</t>
        </is>
      </c>
      <c r="O517" s="5" t="inlineStr">
        <is>
          <t>PRÓPRIO</t>
        </is>
      </c>
      <c r="P517" s="5" t="inlineStr">
        <is>
          <t>GERADO FALTA SEPARAR</t>
        </is>
      </c>
      <c r="Q517" s="5" t="n"/>
      <c r="R517" s="4" t="n"/>
      <c r="S517" s="4" t="n"/>
      <c r="T517" s="5" t="inlineStr">
        <is>
          <t>GERADO FALTA SEPARAR</t>
        </is>
      </c>
      <c r="U517" s="8">
        <f>IF(AND(V517=1,D517&lt;&gt;""),IF(D517&gt;=corte,TODAY()-D517,""),"")</f>
        <v/>
      </c>
      <c r="V517" s="8">
        <f>IF(D517="",0,IF(OR(AND(P517&lt;&gt;"",S517=""),AND(N(J517)&gt;0,N(K517)&lt;J517),OR(M517="PENDENTE",M517="PARCIAL"),OR(N517="PENDENTE",N517="PARCIAL")),1,0))</f>
        <v/>
      </c>
      <c r="W517" s="8">
        <f>IF(AND(V517=1,D517&lt;&gt;""),IF(D517&gt;=corte,(B517="CRÍTICO")*1E9+(100000-D517)*10000+10000-ROW(),""),"")</f>
        <v/>
      </c>
      <c r="X517" s="8">
        <f>IF(AND(V517=1,D517=pas_data,E517=pas_turno),10000-ROW(),"")</f>
        <v/>
      </c>
    </row>
    <row r="518">
      <c r="A518" s="3">
        <f>IF(D518="","","TT-"&amp;TEXT(ROW()-1,"00000"))</f>
        <v/>
      </c>
      <c r="B518" s="3">
        <f>IF(D518="","",IF(V518=0,"CONCLUÍDO",IF(D518&lt;corte,"HISTÓRICO",IF(OR(AND(ISNUMBER(R518),R518&lt;TODAY()),AND(OR(N518="PENDENTE",N518="PARCIAL"),D518&lt;TODAY()-1)),"CRÍTICO",IF(OR(AND(P518&lt;&gt;"",S518=""),AND(N518="REALIZADO",M518="PENDENTE"),AND(ISNUMBER(R518),R518=TODAY())),"ATENÇÃO",IF(N(K518)=0,"PENDENTE","EM ANDAMENTO"))))))</f>
        <v/>
      </c>
      <c r="C518" s="3">
        <f>IF(D518="","",IF(V518=0,"🟢 OK",IF(D518&lt;corte,"⚪ HISTÓRICO (sem baixa)",IF(AND(ISNUMBER(R518),R518&lt;TODAY()),"🔴 PRAZO VENCIDO",IF(AND(OR(N518="PENDENTE",N518="PARCIAL"),D518&lt;TODAY()-1),"🔴 EMBARQUE ATRASADO",IF(AND(N518="REALIZADO",M518="PENDENTE"),"🟡 EMBARCADO SEM FATURAR",IF(AND(P518&lt;&gt;"",S518="",OR(Q518="",R518="")),"🟡 PENDÊNCIA SEM RESPONSÁVEL/PRAZO",IF(AND(ISNUMBER(R518),R518=TODAY()),"🟡 VENCE HOJE",IF(AND(P518&lt;&gt;"",S518=""),"🟡 PENDÊNCIA ABERTA",IF(AND(N(J518)&gt;0,N(K518)&lt;J518),"🟡 FALTA EXECUTAR",IF(OR(M518="PENDENTE",M518="PARCIAL"),"🟡 FATURAMENTO PENDENTE","🟡 EMBARQUE PENDENTE")))))))))))</f>
        <v/>
      </c>
      <c r="D518" s="4" t="n">
        <v>46259</v>
      </c>
      <c r="E518" s="5" t="inlineStr">
        <is>
          <t>A</t>
        </is>
      </c>
      <c r="F518" s="5" t="inlineStr">
        <is>
          <t>TATIANE</t>
        </is>
      </c>
      <c r="G518" s="5" t="inlineStr">
        <is>
          <t>FOB</t>
        </is>
      </c>
      <c r="H518" s="5" t="inlineStr">
        <is>
          <t>TOC MIX</t>
        </is>
      </c>
      <c r="I518" s="5" t="inlineStr">
        <is>
          <t>TON</t>
        </is>
      </c>
      <c r="J518" s="6" t="n">
        <v>26.775</v>
      </c>
      <c r="K518" s="6" t="n"/>
      <c r="L518" s="7">
        <f>IF(OR(D518="",N(J518)=0),"",MIN(1,N(K518)/J518))</f>
        <v/>
      </c>
      <c r="M518" s="5" t="inlineStr">
        <is>
          <t>PENDENTE</t>
        </is>
      </c>
      <c r="N518" s="5" t="inlineStr">
        <is>
          <t>PENDENTE</t>
        </is>
      </c>
      <c r="O518" s="5" t="inlineStr">
        <is>
          <t>PRÓPRIO</t>
        </is>
      </c>
      <c r="P518" s="5" t="inlineStr">
        <is>
          <t>GERADO FALTA SEPARAR</t>
        </is>
      </c>
      <c r="Q518" s="5" t="n"/>
      <c r="R518" s="4" t="n"/>
      <c r="S518" s="4" t="n"/>
      <c r="T518" s="5" t="inlineStr">
        <is>
          <t>GERADO FALTA SEPARAR</t>
        </is>
      </c>
      <c r="U518" s="8">
        <f>IF(AND(V518=1,D518&lt;&gt;""),IF(D518&gt;=corte,TODAY()-D518,""),"")</f>
        <v/>
      </c>
      <c r="V518" s="8">
        <f>IF(D518="",0,IF(OR(AND(P518&lt;&gt;"",S518=""),AND(N(J518)&gt;0,N(K518)&lt;J518),OR(M518="PENDENTE",M518="PARCIAL"),OR(N518="PENDENTE",N518="PARCIAL")),1,0))</f>
        <v/>
      </c>
      <c r="W518" s="8">
        <f>IF(AND(V518=1,D518&lt;&gt;""),IF(D518&gt;=corte,(B518="CRÍTICO")*1E9+(100000-D518)*10000+10000-ROW(),""),"")</f>
        <v/>
      </c>
      <c r="X518" s="8">
        <f>IF(AND(V518=1,D518=pas_data,E518=pas_turno),10000-ROW(),"")</f>
        <v/>
      </c>
    </row>
    <row r="519">
      <c r="A519" s="3">
        <f>IF(D519="","","TT-"&amp;TEXT(ROW()-1,"00000"))</f>
        <v/>
      </c>
      <c r="B519" s="3">
        <f>IF(D519="","",IF(V519=0,"CONCLUÍDO",IF(D519&lt;corte,"HISTÓRICO",IF(OR(AND(ISNUMBER(R519),R519&lt;TODAY()),AND(OR(N519="PENDENTE",N519="PARCIAL"),D519&lt;TODAY()-1)),"CRÍTICO",IF(OR(AND(P519&lt;&gt;"",S519=""),AND(N519="REALIZADO",M519="PENDENTE"),AND(ISNUMBER(R519),R519=TODAY())),"ATENÇÃO",IF(N(K519)=0,"PENDENTE","EM ANDAMENTO"))))))</f>
        <v/>
      </c>
      <c r="C519" s="3">
        <f>IF(D519="","",IF(V519=0,"🟢 OK",IF(D519&lt;corte,"⚪ HISTÓRICO (sem baixa)",IF(AND(ISNUMBER(R519),R519&lt;TODAY()),"🔴 PRAZO VENCIDO",IF(AND(OR(N519="PENDENTE",N519="PARCIAL"),D519&lt;TODAY()-1),"🔴 EMBARQUE ATRASADO",IF(AND(N519="REALIZADO",M519="PENDENTE"),"🟡 EMBARCADO SEM FATURAR",IF(AND(P519&lt;&gt;"",S519="",OR(Q519="",R519="")),"🟡 PENDÊNCIA SEM RESPONSÁVEL/PRAZO",IF(AND(ISNUMBER(R519),R519=TODAY()),"🟡 VENCE HOJE",IF(AND(P519&lt;&gt;"",S519=""),"🟡 PENDÊNCIA ABERTA",IF(AND(N(J519)&gt;0,N(K519)&lt;J519),"🟡 FALTA EXECUTAR",IF(OR(M519="PENDENTE",M519="PARCIAL"),"🟡 FATURAMENTO PENDENTE","🟡 EMBARQUE PENDENTE")))))))))))</f>
        <v/>
      </c>
      <c r="D519" s="4" t="n">
        <v>46259</v>
      </c>
      <c r="E519" s="5" t="inlineStr">
        <is>
          <t>A</t>
        </is>
      </c>
      <c r="F519" s="5" t="inlineStr">
        <is>
          <t>TATIANE</t>
        </is>
      </c>
      <c r="G519" s="5" t="inlineStr">
        <is>
          <t>GM</t>
        </is>
      </c>
      <c r="H519" s="5" t="inlineStr">
        <is>
          <t>MINAS</t>
        </is>
      </c>
      <c r="I519" s="5" t="inlineStr">
        <is>
          <t>TON</t>
        </is>
      </c>
      <c r="J519" s="6" t="n">
        <v>22.456</v>
      </c>
      <c r="K519" s="6" t="n">
        <v>3.5</v>
      </c>
      <c r="L519" s="7">
        <f>IF(OR(D519="",N(J519)=0),"",MIN(1,N(K519)/J519))</f>
        <v/>
      </c>
      <c r="M519" s="5" t="n"/>
      <c r="N519" s="5" t="n"/>
      <c r="O519" s="5" t="n"/>
      <c r="P519" s="5" t="n"/>
      <c r="Q519" s="5" t="n"/>
      <c r="R519" s="4" t="n"/>
      <c r="S519" s="4" t="n"/>
      <c r="T519" s="5" t="n"/>
      <c r="U519" s="8">
        <f>IF(AND(V519=1,D519&lt;&gt;""),IF(D519&gt;=corte,TODAY()-D519,""),"")</f>
        <v/>
      </c>
      <c r="V519" s="8">
        <f>IF(D519="",0,IF(OR(AND(P519&lt;&gt;"",S519=""),AND(N(J519)&gt;0,N(K519)&lt;J519),OR(M519="PENDENTE",M519="PARCIAL"),OR(N519="PENDENTE",N519="PARCIAL")),1,0))</f>
        <v/>
      </c>
      <c r="W519" s="8">
        <f>IF(AND(V519=1,D519&lt;&gt;""),IF(D519&gt;=corte,(B519="CRÍTICO")*1E9+(100000-D519)*10000+10000-ROW(),""),"")</f>
        <v/>
      </c>
      <c r="X519" s="8">
        <f>IF(AND(V519=1,D519=pas_data,E519=pas_turno),10000-ROW(),"")</f>
        <v/>
      </c>
    </row>
    <row r="520">
      <c r="A520" s="3">
        <f>IF(D520="","","TT-"&amp;TEXT(ROW()-1,"00000"))</f>
        <v/>
      </c>
      <c r="B520" s="3">
        <f>IF(D520="","",IF(V520=0,"CONCLUÍDO",IF(D520&lt;corte,"HISTÓRICO",IF(OR(AND(ISNUMBER(R520),R520&lt;TODAY()),AND(OR(N520="PENDENTE",N520="PARCIAL"),D520&lt;TODAY()-1)),"CRÍTICO",IF(OR(AND(P520&lt;&gt;"",S520=""),AND(N520="REALIZADO",M520="PENDENTE"),AND(ISNUMBER(R520),R520=TODAY())),"ATENÇÃO",IF(N(K520)=0,"PENDENTE","EM ANDAMENTO"))))))</f>
        <v/>
      </c>
      <c r="C520" s="3">
        <f>IF(D520="","",IF(V520=0,"🟢 OK",IF(D520&lt;corte,"⚪ HISTÓRICO (sem baixa)",IF(AND(ISNUMBER(R520),R520&lt;TODAY()),"🔴 PRAZO VENCIDO",IF(AND(OR(N520="PENDENTE",N520="PARCIAL"),D520&lt;TODAY()-1),"🔴 EMBARQUE ATRASADO",IF(AND(N520="REALIZADO",M520="PENDENTE"),"🟡 EMBARCADO SEM FATURAR",IF(AND(P520&lt;&gt;"",S520="",OR(Q520="",R520="")),"🟡 PENDÊNCIA SEM RESPONSÁVEL/PRAZO",IF(AND(ISNUMBER(R520),R520=TODAY()),"🟡 VENCE HOJE",IF(AND(P520&lt;&gt;"",S520=""),"🟡 PENDÊNCIA ABERTA",IF(AND(N(J520)&gt;0,N(K520)&lt;J520),"🟡 FALTA EXECUTAR",IF(OR(M520="PENDENTE",M520="PARCIAL"),"🟡 FATURAMENTO PENDENTE","🟡 EMBARQUE PENDENTE")))))))))))</f>
        <v/>
      </c>
      <c r="D520" s="4" t="n">
        <v>46259</v>
      </c>
      <c r="E520" s="5" t="inlineStr">
        <is>
          <t>A</t>
        </is>
      </c>
      <c r="F520" s="5" t="inlineStr">
        <is>
          <t>TATIANE</t>
        </is>
      </c>
      <c r="G520" s="5" t="inlineStr">
        <is>
          <t>FM</t>
        </is>
      </c>
      <c r="H520" s="5" t="inlineStr">
        <is>
          <t>FRONERI</t>
        </is>
      </c>
      <c r="I520" s="5" t="inlineStr">
        <is>
          <t>TON</t>
        </is>
      </c>
      <c r="J520" s="6" t="n">
        <v>13.056</v>
      </c>
      <c r="K520" s="6" t="n">
        <v>13.056</v>
      </c>
      <c r="L520" s="7">
        <f>IF(OR(D520="",N(J520)=0),"",MIN(1,N(K520)/J520))</f>
        <v/>
      </c>
      <c r="M520" s="5" t="inlineStr">
        <is>
          <t>FATURADO</t>
        </is>
      </c>
      <c r="N520" s="5" t="inlineStr">
        <is>
          <t>REALIZADO</t>
        </is>
      </c>
      <c r="O520" s="5" t="inlineStr">
        <is>
          <t>SPEEDYLOG</t>
        </is>
      </c>
      <c r="P520" s="5" t="n"/>
      <c r="Q520" s="5" t="n"/>
      <c r="R520" s="4" t="n"/>
      <c r="S520" s="4" t="n"/>
      <c r="T520" s="5" t="n"/>
      <c r="U520" s="8">
        <f>IF(AND(V520=1,D520&lt;&gt;""),IF(D520&gt;=corte,TODAY()-D520,""),"")</f>
        <v/>
      </c>
      <c r="V520" s="8">
        <f>IF(D520="",0,IF(OR(AND(P520&lt;&gt;"",S520=""),AND(N(J520)&gt;0,N(K520)&lt;J520),OR(M520="PENDENTE",M520="PARCIAL"),OR(N520="PENDENTE",N520="PARCIAL")),1,0))</f>
        <v/>
      </c>
      <c r="W520" s="8">
        <f>IF(AND(V520=1,D520&lt;&gt;""),IF(D520&gt;=corte,(B520="CRÍTICO")*1E9+(100000-D520)*10000+10000-ROW(),""),"")</f>
        <v/>
      </c>
      <c r="X520" s="8">
        <f>IF(AND(V520=1,D520=pas_data,E520=pas_turno),10000-ROW(),"")</f>
        <v/>
      </c>
    </row>
    <row r="521">
      <c r="A521" s="3">
        <f>IF(D521="","","TT-"&amp;TEXT(ROW()-1,"00000"))</f>
        <v/>
      </c>
      <c r="B521" s="3">
        <f>IF(D521="","",IF(V521=0,"CONCLUÍDO",IF(D521&lt;corte,"HISTÓRICO",IF(OR(AND(ISNUMBER(R521),R521&lt;TODAY()),AND(OR(N521="PENDENTE",N521="PARCIAL"),D521&lt;TODAY()-1)),"CRÍTICO",IF(OR(AND(P521&lt;&gt;"",S521=""),AND(N521="REALIZADO",M521="PENDENTE"),AND(ISNUMBER(R521),R521=TODAY())),"ATENÇÃO",IF(N(K521)=0,"PENDENTE","EM ANDAMENTO"))))))</f>
        <v/>
      </c>
      <c r="C521" s="3">
        <f>IF(D521="","",IF(V521=0,"🟢 OK",IF(D521&lt;corte,"⚪ HISTÓRICO (sem baixa)",IF(AND(ISNUMBER(R521),R521&lt;TODAY()),"🔴 PRAZO VENCIDO",IF(AND(OR(N521="PENDENTE",N521="PARCIAL"),D521&lt;TODAY()-1),"🔴 EMBARQUE ATRASADO",IF(AND(N521="REALIZADO",M521="PENDENTE"),"🟡 EMBARCADO SEM FATURAR",IF(AND(P521&lt;&gt;"",S521="",OR(Q521="",R521="")),"🟡 PENDÊNCIA SEM RESPONSÁVEL/PRAZO",IF(AND(ISNUMBER(R521),R521=TODAY()),"🟡 VENCE HOJE",IF(AND(P521&lt;&gt;"",S521=""),"🟡 PENDÊNCIA ABERTA",IF(AND(N(J521)&gt;0,N(K521)&lt;J521),"🟡 FALTA EXECUTAR",IF(OR(M521="PENDENTE",M521="PARCIAL"),"🟡 FATURAMENTO PENDENTE","🟡 EMBARQUE PENDENTE")))))))))))</f>
        <v/>
      </c>
      <c r="D521" s="4" t="n">
        <v>46259</v>
      </c>
      <c r="E521" s="5" t="inlineStr">
        <is>
          <t>A</t>
        </is>
      </c>
      <c r="F521" s="5" t="inlineStr">
        <is>
          <t>TATIANE</t>
        </is>
      </c>
      <c r="G521" s="5" t="inlineStr">
        <is>
          <t>GM</t>
        </is>
      </c>
      <c r="H521" s="5" t="inlineStr">
        <is>
          <t>OESA</t>
        </is>
      </c>
      <c r="I521" s="5" t="inlineStr">
        <is>
          <t>TON</t>
        </is>
      </c>
      <c r="J521" s="6" t="n">
        <v>10.08</v>
      </c>
      <c r="K521" s="6" t="n">
        <v>10.08</v>
      </c>
      <c r="L521" s="7">
        <f>IF(OR(D521="",N(J521)=0),"",MIN(1,N(K521)/J521))</f>
        <v/>
      </c>
      <c r="M521" s="5" t="inlineStr">
        <is>
          <t>FATURADO</t>
        </is>
      </c>
      <c r="N521" s="5" t="inlineStr">
        <is>
          <t>PENDENTE</t>
        </is>
      </c>
      <c r="O521" s="5" t="inlineStr">
        <is>
          <t>RENOVAÇÃO</t>
        </is>
      </c>
      <c r="P521" s="5" t="inlineStr">
        <is>
          <t>MOTORISTA NO PATIO</t>
        </is>
      </c>
      <c r="Q521" s="5" t="n"/>
      <c r="R521" s="4" t="n"/>
      <c r="S521" s="4" t="n"/>
      <c r="T521" s="5" t="inlineStr">
        <is>
          <t>MOTORISTA NO PATIO</t>
        </is>
      </c>
      <c r="U521" s="8">
        <f>IF(AND(V521=1,D521&lt;&gt;""),IF(D521&gt;=corte,TODAY()-D521,""),"")</f>
        <v/>
      </c>
      <c r="V521" s="8">
        <f>IF(D521="",0,IF(OR(AND(P521&lt;&gt;"",S521=""),AND(N(J521)&gt;0,N(K521)&lt;J521),OR(M521="PENDENTE",M521="PARCIAL"),OR(N521="PENDENTE",N521="PARCIAL")),1,0))</f>
        <v/>
      </c>
      <c r="W521" s="8">
        <f>IF(AND(V521=1,D521&lt;&gt;""),IF(D521&gt;=corte,(B521="CRÍTICO")*1E9+(100000-D521)*10000+10000-ROW(),""),"")</f>
        <v/>
      </c>
      <c r="X521" s="8">
        <f>IF(AND(V521=1,D521=pas_data,E521=pas_turno),10000-ROW(),"")</f>
        <v/>
      </c>
    </row>
    <row r="522">
      <c r="A522" s="3">
        <f>IF(D522="","","TT-"&amp;TEXT(ROW()-1,"00000"))</f>
        <v/>
      </c>
      <c r="B522" s="3">
        <f>IF(D522="","",IF(V522=0,"CONCLUÍDO",IF(D522&lt;corte,"HISTÓRICO",IF(OR(AND(ISNUMBER(R522),R522&lt;TODAY()),AND(OR(N522="PENDENTE",N522="PARCIAL"),D522&lt;TODAY()-1)),"CRÍTICO",IF(OR(AND(P522&lt;&gt;"",S522=""),AND(N522="REALIZADO",M522="PENDENTE"),AND(ISNUMBER(R522),R522=TODAY())),"ATENÇÃO",IF(N(K522)=0,"PENDENTE","EM ANDAMENTO"))))))</f>
        <v/>
      </c>
      <c r="C522" s="3">
        <f>IF(D522="","",IF(V522=0,"🟢 OK",IF(D522&lt;corte,"⚪ HISTÓRICO (sem baixa)",IF(AND(ISNUMBER(R522),R522&lt;TODAY()),"🔴 PRAZO VENCIDO",IF(AND(OR(N522="PENDENTE",N522="PARCIAL"),D522&lt;TODAY()-1),"🔴 EMBARQUE ATRASADO",IF(AND(N522="REALIZADO",M522="PENDENTE"),"🟡 EMBARCADO SEM FATURAR",IF(AND(P522&lt;&gt;"",S522="",OR(Q522="",R522="")),"🟡 PENDÊNCIA SEM RESPONSÁVEL/PRAZO",IF(AND(ISNUMBER(R522),R522=TODAY()),"🟡 VENCE HOJE",IF(AND(P522&lt;&gt;"",S522=""),"🟡 PENDÊNCIA ABERTA",IF(AND(N(J522)&gt;0,N(K522)&lt;J522),"🟡 FALTA EXECUTAR",IF(OR(M522="PENDENTE",M522="PARCIAL"),"🟡 FATURAMENTO PENDENTE","🟡 EMBARQUE PENDENTE")))))))))))</f>
        <v/>
      </c>
      <c r="D522" s="4" t="n">
        <v>46259</v>
      </c>
      <c r="E522" s="5" t="inlineStr">
        <is>
          <t>A</t>
        </is>
      </c>
      <c r="F522" s="5" t="inlineStr">
        <is>
          <t>TATIANE</t>
        </is>
      </c>
      <c r="G522" s="5" t="inlineStr">
        <is>
          <t>GM</t>
        </is>
      </c>
      <c r="H522" s="5" t="inlineStr">
        <is>
          <t>VIEL VIEL</t>
        </is>
      </c>
      <c r="I522" s="5" t="inlineStr">
        <is>
          <t>TON</t>
        </is>
      </c>
      <c r="J522" s="6" t="n">
        <v>10.992</v>
      </c>
      <c r="K522" s="6" t="n">
        <v>10.992</v>
      </c>
      <c r="L522" s="7">
        <f>IF(OR(D522="",N(J522)=0),"",MIN(1,N(K522)/J522))</f>
        <v/>
      </c>
      <c r="M522" s="5" t="inlineStr">
        <is>
          <t>FATURADO</t>
        </is>
      </c>
      <c r="N522" s="5" t="inlineStr">
        <is>
          <t>PENDENTE</t>
        </is>
      </c>
      <c r="O522" s="5" t="inlineStr">
        <is>
          <t>SMARTLOG</t>
        </is>
      </c>
      <c r="P522" s="5" t="n"/>
      <c r="Q522" s="5" t="n"/>
      <c r="R522" s="4" t="n"/>
      <c r="S522" s="4" t="n"/>
      <c r="T522" s="5" t="inlineStr">
        <is>
          <t>[MIGRAÇÃO: programação original: SP]</t>
        </is>
      </c>
      <c r="U522" s="8">
        <f>IF(AND(V522=1,D522&lt;&gt;""),IF(D522&gt;=corte,TODAY()-D522,""),"")</f>
        <v/>
      </c>
      <c r="V522" s="8">
        <f>IF(D522="",0,IF(OR(AND(P522&lt;&gt;"",S522=""),AND(N(J522)&gt;0,N(K522)&lt;J522),OR(M522="PENDENTE",M522="PARCIAL"),OR(N522="PENDENTE",N522="PARCIAL")),1,0))</f>
        <v/>
      </c>
      <c r="W522" s="8">
        <f>IF(AND(V522=1,D522&lt;&gt;""),IF(D522&gt;=corte,(B522="CRÍTICO")*1E9+(100000-D522)*10000+10000-ROW(),""),"")</f>
        <v/>
      </c>
      <c r="X522" s="8">
        <f>IF(AND(V522=1,D522=pas_data,E522=pas_turno),10000-ROW(),"")</f>
        <v/>
      </c>
    </row>
    <row r="523">
      <c r="A523" s="3">
        <f>IF(D523="","","TT-"&amp;TEXT(ROW()-1,"00000"))</f>
        <v/>
      </c>
      <c r="B523" s="3">
        <f>IF(D523="","",IF(V523=0,"CONCLUÍDO",IF(D523&lt;corte,"HISTÓRICO",IF(OR(AND(ISNUMBER(R523),R523&lt;TODAY()),AND(OR(N523="PENDENTE",N523="PARCIAL"),D523&lt;TODAY()-1)),"CRÍTICO",IF(OR(AND(P523&lt;&gt;"",S523=""),AND(N523="REALIZADO",M523="PENDENTE"),AND(ISNUMBER(R523),R523=TODAY())),"ATENÇÃO",IF(N(K523)=0,"PENDENTE","EM ANDAMENTO"))))))</f>
        <v/>
      </c>
      <c r="C523" s="3">
        <f>IF(D523="","",IF(V523=0,"🟢 OK",IF(D523&lt;corte,"⚪ HISTÓRICO (sem baixa)",IF(AND(ISNUMBER(R523),R523&lt;TODAY()),"🔴 PRAZO VENCIDO",IF(AND(OR(N523="PENDENTE",N523="PARCIAL"),D523&lt;TODAY()-1),"🔴 EMBARQUE ATRASADO",IF(AND(N523="REALIZADO",M523="PENDENTE"),"🟡 EMBARCADO SEM FATURAR",IF(AND(P523&lt;&gt;"",S523="",OR(Q523="",R523="")),"🟡 PENDÊNCIA SEM RESPONSÁVEL/PRAZO",IF(AND(ISNUMBER(R523),R523=TODAY()),"🟡 VENCE HOJE",IF(AND(P523&lt;&gt;"",S523=""),"🟡 PENDÊNCIA ABERTA",IF(AND(N(J523)&gt;0,N(K523)&lt;J523),"🟡 FALTA EXECUTAR",IF(OR(M523="PENDENTE",M523="PARCIAL"),"🟡 FATURAMENTO PENDENTE","🟡 EMBARQUE PENDENTE")))))))))))</f>
        <v/>
      </c>
      <c r="D523" s="4" t="n">
        <v>46259</v>
      </c>
      <c r="E523" s="5" t="inlineStr">
        <is>
          <t>A</t>
        </is>
      </c>
      <c r="F523" s="5" t="inlineStr">
        <is>
          <t>TATIANE</t>
        </is>
      </c>
      <c r="G523" s="5" t="inlineStr">
        <is>
          <t>GM</t>
        </is>
      </c>
      <c r="H523" s="5" t="inlineStr">
        <is>
          <t>LUZIA MEIRE</t>
        </is>
      </c>
      <c r="I523" s="5" t="inlineStr">
        <is>
          <t>TON</t>
        </is>
      </c>
      <c r="J523" s="6" t="n">
        <v>3.941</v>
      </c>
      <c r="K523" s="6" t="n">
        <v>3.941</v>
      </c>
      <c r="L523" s="7">
        <f>IF(OR(D523="",N(J523)=0),"",MIN(1,N(K523)/J523))</f>
        <v/>
      </c>
      <c r="M523" s="5" t="inlineStr">
        <is>
          <t>FATURADO</t>
        </is>
      </c>
      <c r="N523" s="5" t="inlineStr">
        <is>
          <t>REALIZADO</t>
        </is>
      </c>
      <c r="O523" s="5" t="inlineStr">
        <is>
          <t>SMARTLOG</t>
        </is>
      </c>
      <c r="P523" s="5" t="n"/>
      <c r="Q523" s="5" t="n"/>
      <c r="R523" s="4" t="n"/>
      <c r="S523" s="4" t="n"/>
      <c r="T523" s="5" t="inlineStr">
        <is>
          <t>[MIGRAÇÃO: programação original: SP]</t>
        </is>
      </c>
      <c r="U523" s="8">
        <f>IF(AND(V523=1,D523&lt;&gt;""),IF(D523&gt;=corte,TODAY()-D523,""),"")</f>
        <v/>
      </c>
      <c r="V523" s="8">
        <f>IF(D523="",0,IF(OR(AND(P523&lt;&gt;"",S523=""),AND(N(J523)&gt;0,N(K523)&lt;J523),OR(M523="PENDENTE",M523="PARCIAL"),OR(N523="PENDENTE",N523="PARCIAL")),1,0))</f>
        <v/>
      </c>
      <c r="W523" s="8">
        <f>IF(AND(V523=1,D523&lt;&gt;""),IF(D523&gt;=corte,(B523="CRÍTICO")*1E9+(100000-D523)*10000+10000-ROW(),""),"")</f>
        <v/>
      </c>
      <c r="X523" s="8">
        <f>IF(AND(V523=1,D523=pas_data,E523=pas_turno),10000-ROW(),"")</f>
        <v/>
      </c>
    </row>
    <row r="524">
      <c r="A524" s="3">
        <f>IF(D524="","","TT-"&amp;TEXT(ROW()-1,"00000"))</f>
        <v/>
      </c>
      <c r="B524" s="3">
        <f>IF(D524="","",IF(V524=0,"CONCLUÍDO",IF(D524&lt;corte,"HISTÓRICO",IF(OR(AND(ISNUMBER(R524),R524&lt;TODAY()),AND(OR(N524="PENDENTE",N524="PARCIAL"),D524&lt;TODAY()-1)),"CRÍTICO",IF(OR(AND(P524&lt;&gt;"",S524=""),AND(N524="REALIZADO",M524="PENDENTE"),AND(ISNUMBER(R524),R524=TODAY())),"ATENÇÃO",IF(N(K524)=0,"PENDENTE","EM ANDAMENTO"))))))</f>
        <v/>
      </c>
      <c r="C524" s="3">
        <f>IF(D524="","",IF(V524=0,"🟢 OK",IF(D524&lt;corte,"⚪ HISTÓRICO (sem baixa)",IF(AND(ISNUMBER(R524),R524&lt;TODAY()),"🔴 PRAZO VENCIDO",IF(AND(OR(N524="PENDENTE",N524="PARCIAL"),D524&lt;TODAY()-1),"🔴 EMBARQUE ATRASADO",IF(AND(N524="REALIZADO",M524="PENDENTE"),"🟡 EMBARCADO SEM FATURAR",IF(AND(P524&lt;&gt;"",S524="",OR(Q524="",R524="")),"🟡 PENDÊNCIA SEM RESPONSÁVEL/PRAZO",IF(AND(ISNUMBER(R524),R524=TODAY()),"🟡 VENCE HOJE",IF(AND(P524&lt;&gt;"",S524=""),"🟡 PENDÊNCIA ABERTA",IF(AND(N(J524)&gt;0,N(K524)&lt;J524),"🟡 FALTA EXECUTAR",IF(OR(M524="PENDENTE",M524="PARCIAL"),"🟡 FATURAMENTO PENDENTE","🟡 EMBARQUE PENDENTE")))))))))))</f>
        <v/>
      </c>
      <c r="D524" s="4" t="n">
        <v>46259</v>
      </c>
      <c r="E524" s="5" t="inlineStr">
        <is>
          <t>A</t>
        </is>
      </c>
      <c r="F524" s="5" t="inlineStr">
        <is>
          <t>TATIANE</t>
        </is>
      </c>
      <c r="G524" s="5" t="inlineStr">
        <is>
          <t>CACAU</t>
        </is>
      </c>
      <c r="H524" s="5" t="inlineStr">
        <is>
          <t>SEPARAÇÃO</t>
        </is>
      </c>
      <c r="I524" s="5" t="inlineStr">
        <is>
          <t>TON</t>
        </is>
      </c>
      <c r="J524" s="6" t="n">
        <v>15.406</v>
      </c>
      <c r="K524" s="6" t="n">
        <v>15.406</v>
      </c>
      <c r="L524" s="7">
        <f>IF(OR(D524="",N(J524)=0),"",MIN(1,N(K524)/J524))</f>
        <v/>
      </c>
      <c r="M524" s="5" t="inlineStr">
        <is>
          <t>PARCIAL</t>
        </is>
      </c>
      <c r="N524" s="5" t="inlineStr">
        <is>
          <t>PENDENTE</t>
        </is>
      </c>
      <c r="O524" s="5" t="inlineStr">
        <is>
          <t>SMARTLOG</t>
        </is>
      </c>
      <c r="P524" s="5" t="n"/>
      <c r="Q524" s="5" t="n"/>
      <c r="R524" s="4" t="n"/>
      <c r="S524" s="4" t="n"/>
      <c r="T524" s="5" t="n"/>
      <c r="U524" s="8">
        <f>IF(AND(V524=1,D524&lt;&gt;""),IF(D524&gt;=corte,TODAY()-D524,""),"")</f>
        <v/>
      </c>
      <c r="V524" s="8">
        <f>IF(D524="",0,IF(OR(AND(P524&lt;&gt;"",S524=""),AND(N(J524)&gt;0,N(K524)&lt;J524),OR(M524="PENDENTE",M524="PARCIAL"),OR(N524="PENDENTE",N524="PARCIAL")),1,0))</f>
        <v/>
      </c>
      <c r="W524" s="8">
        <f>IF(AND(V524=1,D524&lt;&gt;""),IF(D524&gt;=corte,(B524="CRÍTICO")*1E9+(100000-D524)*10000+10000-ROW(),""),"")</f>
        <v/>
      </c>
      <c r="X524" s="8">
        <f>IF(AND(V524=1,D524=pas_data,E524=pas_turno),10000-ROW(),"")</f>
        <v/>
      </c>
    </row>
    <row r="525">
      <c r="A525" s="3">
        <f>IF(D525="","","TT-"&amp;TEXT(ROW()-1,"00000"))</f>
        <v/>
      </c>
      <c r="B525" s="3">
        <f>IF(D525="","",IF(V525=0,"CONCLUÍDO",IF(D525&lt;corte,"HISTÓRICO",IF(OR(AND(ISNUMBER(R525),R525&lt;TODAY()),AND(OR(N525="PENDENTE",N525="PARCIAL"),D525&lt;TODAY()-1)),"CRÍTICO",IF(OR(AND(P525&lt;&gt;"",S525=""),AND(N525="REALIZADO",M525="PENDENTE"),AND(ISNUMBER(R525),R525=TODAY())),"ATENÇÃO",IF(N(K525)=0,"PENDENTE","EM ANDAMENTO"))))))</f>
        <v/>
      </c>
      <c r="C525" s="3">
        <f>IF(D525="","",IF(V525=0,"🟢 OK",IF(D525&lt;corte,"⚪ HISTÓRICO (sem baixa)",IF(AND(ISNUMBER(R525),R525&lt;TODAY()),"🔴 PRAZO VENCIDO",IF(AND(OR(N525="PENDENTE",N525="PARCIAL"),D525&lt;TODAY()-1),"🔴 EMBARQUE ATRASADO",IF(AND(N525="REALIZADO",M525="PENDENTE"),"🟡 EMBARCADO SEM FATURAR",IF(AND(P525&lt;&gt;"",S525="",OR(Q525="",R525="")),"🟡 PENDÊNCIA SEM RESPONSÁVEL/PRAZO",IF(AND(ISNUMBER(R525),R525=TODAY()),"🟡 VENCE HOJE",IF(AND(P525&lt;&gt;"",S525=""),"🟡 PENDÊNCIA ABERTA",IF(AND(N(J525)&gt;0,N(K525)&lt;J525),"🟡 FALTA EXECUTAR",IF(OR(M525="PENDENTE",M525="PARCIAL"),"🟡 FATURAMENTO PENDENTE","🟡 EMBARQUE PENDENTE")))))))))))</f>
        <v/>
      </c>
      <c r="D525" s="4" t="n">
        <v>46259</v>
      </c>
      <c r="E525" s="5" t="inlineStr">
        <is>
          <t>A</t>
        </is>
      </c>
      <c r="F525" s="5" t="inlineStr">
        <is>
          <t>TATIANE</t>
        </is>
      </c>
      <c r="G525" s="5" t="inlineStr">
        <is>
          <t>GM</t>
        </is>
      </c>
      <c r="H525" s="5" t="inlineStr">
        <is>
          <t>COMERCIAL AZEVEDO</t>
        </is>
      </c>
      <c r="I525" s="5" t="inlineStr">
        <is>
          <t>TON</t>
        </is>
      </c>
      <c r="J525" s="6" t="n">
        <v>15.799</v>
      </c>
      <c r="K525" s="6" t="n">
        <v>15.799</v>
      </c>
      <c r="L525" s="7">
        <f>IF(OR(D525="",N(J525)=0),"",MIN(1,N(K525)/J525))</f>
        <v/>
      </c>
      <c r="M525" s="5" t="inlineStr">
        <is>
          <t>FATURADO</t>
        </is>
      </c>
      <c r="N525" s="5" t="inlineStr">
        <is>
          <t>REALIZADO</t>
        </is>
      </c>
      <c r="O525" s="5" t="inlineStr">
        <is>
          <t>PRÓPRIO</t>
        </is>
      </c>
      <c r="P525" s="5" t="n"/>
      <c r="Q525" s="5" t="n"/>
      <c r="R525" s="4" t="n"/>
      <c r="S525" s="4" t="n"/>
      <c r="T525" s="5" t="n"/>
      <c r="U525" s="8">
        <f>IF(AND(V525=1,D525&lt;&gt;""),IF(D525&gt;=corte,TODAY()-D525,""),"")</f>
        <v/>
      </c>
      <c r="V525" s="8">
        <f>IF(D525="",0,IF(OR(AND(P525&lt;&gt;"",S525=""),AND(N(J525)&gt;0,N(K525)&lt;J525),OR(M525="PENDENTE",M525="PARCIAL"),OR(N525="PENDENTE",N525="PARCIAL")),1,0))</f>
        <v/>
      </c>
      <c r="W525" s="8">
        <f>IF(AND(V525=1,D525&lt;&gt;""),IF(D525&gt;=corte,(B525="CRÍTICO")*1E9+(100000-D525)*10000+10000-ROW(),""),"")</f>
        <v/>
      </c>
      <c r="X525" s="8">
        <f>IF(AND(V525=1,D525=pas_data,E525=pas_turno),10000-ROW(),"")</f>
        <v/>
      </c>
    </row>
    <row r="526">
      <c r="A526" s="3">
        <f>IF(D526="","","TT-"&amp;TEXT(ROW()-1,"00000"))</f>
        <v/>
      </c>
      <c r="B526" s="3">
        <f>IF(D526="","",IF(V526=0,"CONCLUÍDO",IF(D526&lt;corte,"HISTÓRICO",IF(OR(AND(ISNUMBER(R526),R526&lt;TODAY()),AND(OR(N526="PENDENTE",N526="PARCIAL"),D526&lt;TODAY()-1)),"CRÍTICO",IF(OR(AND(P526&lt;&gt;"",S526=""),AND(N526="REALIZADO",M526="PENDENTE"),AND(ISNUMBER(R526),R526=TODAY())),"ATENÇÃO",IF(N(K526)=0,"PENDENTE","EM ANDAMENTO"))))))</f>
        <v/>
      </c>
      <c r="C526" s="3">
        <f>IF(D526="","",IF(V526=0,"🟢 OK",IF(D526&lt;corte,"⚪ HISTÓRICO (sem baixa)",IF(AND(ISNUMBER(R526),R526&lt;TODAY()),"🔴 PRAZO VENCIDO",IF(AND(OR(N526="PENDENTE",N526="PARCIAL"),D526&lt;TODAY()-1),"🔴 EMBARQUE ATRASADO",IF(AND(N526="REALIZADO",M526="PENDENTE"),"🟡 EMBARCADO SEM FATURAR",IF(AND(P526&lt;&gt;"",S526="",OR(Q526="",R526="")),"🟡 PENDÊNCIA SEM RESPONSÁVEL/PRAZO",IF(AND(ISNUMBER(R526),R526=TODAY()),"🟡 VENCE HOJE",IF(AND(P526&lt;&gt;"",S526=""),"🟡 PENDÊNCIA ABERTA",IF(AND(N(J526)&gt;0,N(K526)&lt;J526),"🟡 FALTA EXECUTAR",IF(OR(M526="PENDENTE",M526="PARCIAL"),"🟡 FATURAMENTO PENDENTE","🟡 EMBARQUE PENDENTE")))))))))))</f>
        <v/>
      </c>
      <c r="D526" s="4" t="n">
        <v>46259</v>
      </c>
      <c r="E526" s="5" t="inlineStr">
        <is>
          <t>A</t>
        </is>
      </c>
      <c r="F526" s="5" t="inlineStr">
        <is>
          <t>TATIANE</t>
        </is>
      </c>
      <c r="G526" s="5" t="inlineStr">
        <is>
          <t>FM</t>
        </is>
      </c>
      <c r="H526" s="5" t="inlineStr">
        <is>
          <t>NESTLÉ</t>
        </is>
      </c>
      <c r="I526" s="5" t="inlineStr">
        <is>
          <t>TON</t>
        </is>
      </c>
      <c r="J526" s="6" t="n">
        <v>10.79</v>
      </c>
      <c r="K526" s="6" t="n">
        <v>10.79</v>
      </c>
      <c r="L526" s="7">
        <f>IF(OR(D526="",N(J526)=0),"",MIN(1,N(K526)/J526))</f>
        <v/>
      </c>
      <c r="M526" s="5" t="inlineStr">
        <is>
          <t>PENDENTE</t>
        </is>
      </c>
      <c r="N526" s="5" t="inlineStr">
        <is>
          <t>PENDENTE</t>
        </is>
      </c>
      <c r="O526" s="5" t="inlineStr">
        <is>
          <t>SPEEDYLOG</t>
        </is>
      </c>
      <c r="P526" s="5" t="inlineStr">
        <is>
          <t>MOTORISTA NO PATIO</t>
        </is>
      </c>
      <c r="Q526" s="5" t="n"/>
      <c r="R526" s="4" t="n"/>
      <c r="S526" s="4" t="n"/>
      <c r="T526" s="5" t="inlineStr">
        <is>
          <t>MOTORISTA NO PATIO</t>
        </is>
      </c>
      <c r="U526" s="8">
        <f>IF(AND(V526=1,D526&lt;&gt;""),IF(D526&gt;=corte,TODAY()-D526,""),"")</f>
        <v/>
      </c>
      <c r="V526" s="8">
        <f>IF(D526="",0,IF(OR(AND(P526&lt;&gt;"",S526=""),AND(N(J526)&gt;0,N(K526)&lt;J526),OR(M526="PENDENTE",M526="PARCIAL"),OR(N526="PENDENTE",N526="PARCIAL")),1,0))</f>
        <v/>
      </c>
      <c r="W526" s="8">
        <f>IF(AND(V526=1,D526&lt;&gt;""),IF(D526&gt;=corte,(B526="CRÍTICO")*1E9+(100000-D526)*10000+10000-ROW(),""),"")</f>
        <v/>
      </c>
      <c r="X526" s="8">
        <f>IF(AND(V526=1,D526=pas_data,E526=pas_turno),10000-ROW(),"")</f>
        <v/>
      </c>
    </row>
    <row r="527">
      <c r="A527" s="3">
        <f>IF(D527="","","TT-"&amp;TEXT(ROW()-1,"00000"))</f>
        <v/>
      </c>
      <c r="B527" s="3">
        <f>IF(D527="","",IF(V527=0,"CONCLUÍDO",IF(D527&lt;corte,"HISTÓRICO",IF(OR(AND(ISNUMBER(R527),R527&lt;TODAY()),AND(OR(N527="PENDENTE",N527="PARCIAL"),D527&lt;TODAY()-1)),"CRÍTICO",IF(OR(AND(P527&lt;&gt;"",S527=""),AND(N527="REALIZADO",M527="PENDENTE"),AND(ISNUMBER(R527),R527=TODAY())),"ATENÇÃO",IF(N(K527)=0,"PENDENTE","EM ANDAMENTO"))))))</f>
        <v/>
      </c>
      <c r="C527" s="3">
        <f>IF(D527="","",IF(V527=0,"🟢 OK",IF(D527&lt;corte,"⚪ HISTÓRICO (sem baixa)",IF(AND(ISNUMBER(R527),R527&lt;TODAY()),"🔴 PRAZO VENCIDO",IF(AND(OR(N527="PENDENTE",N527="PARCIAL"),D527&lt;TODAY()-1),"🔴 EMBARQUE ATRASADO",IF(AND(N527="REALIZADO",M527="PENDENTE"),"🟡 EMBARCADO SEM FATURAR",IF(AND(P527&lt;&gt;"",S527="",OR(Q527="",R527="")),"🟡 PENDÊNCIA SEM RESPONSÁVEL/PRAZO",IF(AND(ISNUMBER(R527),R527=TODAY()),"🟡 VENCE HOJE",IF(AND(P527&lt;&gt;"",S527=""),"🟡 PENDÊNCIA ABERTA",IF(AND(N(J527)&gt;0,N(K527)&lt;J527),"🟡 FALTA EXECUTAR",IF(OR(M527="PENDENTE",M527="PARCIAL"),"🟡 FATURAMENTO PENDENTE","🟡 EMBARQUE PENDENTE")))))))))))</f>
        <v/>
      </c>
      <c r="D527" s="4" t="n">
        <v>46259</v>
      </c>
      <c r="E527" s="5" t="inlineStr">
        <is>
          <t>A</t>
        </is>
      </c>
      <c r="F527" s="5" t="inlineStr">
        <is>
          <t>TATIANE</t>
        </is>
      </c>
      <c r="G527" s="5" t="inlineStr">
        <is>
          <t>GRANEL</t>
        </is>
      </c>
      <c r="H527" s="5" t="inlineStr">
        <is>
          <t>MAGNUM E TOC CAU</t>
        </is>
      </c>
      <c r="I527" s="5" t="inlineStr">
        <is>
          <t>TON</t>
        </is>
      </c>
      <c r="J527" s="6" t="n">
        <v>40</v>
      </c>
      <c r="K527" s="6" t="n"/>
      <c r="L527" s="7">
        <f>IF(OR(D527="",N(J527)=0),"",MIN(1,N(K527)/J527))</f>
        <v/>
      </c>
      <c r="M527" s="5" t="n"/>
      <c r="N527" s="5" t="n"/>
      <c r="O527" s="5" t="n"/>
      <c r="P527" s="5" t="n"/>
      <c r="Q527" s="5" t="n"/>
      <c r="R527" s="4" t="n"/>
      <c r="S527" s="4" t="n"/>
      <c r="T527" s="5" t="inlineStr">
        <is>
          <t>FALHA NAS PENEIRAS</t>
        </is>
      </c>
      <c r="U527" s="8">
        <f>IF(AND(V527=1,D527&lt;&gt;""),IF(D527&gt;=corte,TODAY()-D527,""),"")</f>
        <v/>
      </c>
      <c r="V527" s="8">
        <f>IF(D527="",0,IF(OR(AND(P527&lt;&gt;"",S527=""),AND(N(J527)&gt;0,N(K527)&lt;J527),OR(M527="PENDENTE",M527="PARCIAL"),OR(N527="PENDENTE",N527="PARCIAL")),1,0))</f>
        <v/>
      </c>
      <c r="W527" s="8">
        <f>IF(AND(V527=1,D527&lt;&gt;""),IF(D527&gt;=corte,(B527="CRÍTICO")*1E9+(100000-D527)*10000+10000-ROW(),""),"")</f>
        <v/>
      </c>
      <c r="X527" s="8">
        <f>IF(AND(V527=1,D527=pas_data,E527=pas_turno),10000-ROW(),"")</f>
        <v/>
      </c>
    </row>
    <row r="528">
      <c r="A528" s="3">
        <f>IF(D528="","","TT-"&amp;TEXT(ROW()-1,"00000"))</f>
        <v/>
      </c>
      <c r="B528" s="3">
        <f>IF(D528="","",IF(V528=0,"CONCLUÍDO",IF(D528&lt;corte,"HISTÓRICO",IF(OR(AND(ISNUMBER(R528),R528&lt;TODAY()),AND(OR(N528="PENDENTE",N528="PARCIAL"),D528&lt;TODAY()-1)),"CRÍTICO",IF(OR(AND(P528&lt;&gt;"",S528=""),AND(N528="REALIZADO",M528="PENDENTE"),AND(ISNUMBER(R528),R528=TODAY())),"ATENÇÃO",IF(N(K528)=0,"PENDENTE","EM ANDAMENTO"))))))</f>
        <v/>
      </c>
      <c r="C528" s="3">
        <f>IF(D528="","",IF(V528=0,"🟢 OK",IF(D528&lt;corte,"⚪ HISTÓRICO (sem baixa)",IF(AND(ISNUMBER(R528),R528&lt;TODAY()),"🔴 PRAZO VENCIDO",IF(AND(OR(N528="PENDENTE",N528="PARCIAL"),D528&lt;TODAY()-1),"🔴 EMBARQUE ATRASADO",IF(AND(N528="REALIZADO",M528="PENDENTE"),"🟡 EMBARCADO SEM FATURAR",IF(AND(P528&lt;&gt;"",S528="",OR(Q528="",R528="")),"🟡 PENDÊNCIA SEM RESPONSÁVEL/PRAZO",IF(AND(ISNUMBER(R528),R528=TODAY()),"🟡 VENCE HOJE",IF(AND(P528&lt;&gt;"",S528=""),"🟡 PENDÊNCIA ABERTA",IF(AND(N(J528)&gt;0,N(K528)&lt;J528),"🟡 FALTA EXECUTAR",IF(OR(M528="PENDENTE",M528="PARCIAL"),"🟡 FATURAMENTO PENDENTE","🟡 EMBARQUE PENDENTE")))))))))))</f>
        <v/>
      </c>
      <c r="D528" s="4" t="n">
        <v>46259</v>
      </c>
      <c r="E528" s="5" t="inlineStr">
        <is>
          <t>B</t>
        </is>
      </c>
      <c r="F528" s="5" t="inlineStr">
        <is>
          <t>THIAGO</t>
        </is>
      </c>
      <c r="G528" s="5" t="inlineStr">
        <is>
          <t>FOB</t>
        </is>
      </c>
      <c r="H528" s="5" t="inlineStr">
        <is>
          <t>TOCMIX</t>
        </is>
      </c>
      <c r="I528" s="5" t="inlineStr">
        <is>
          <t>TON</t>
        </is>
      </c>
      <c r="J528" s="6" t="n">
        <v>26.775</v>
      </c>
      <c r="K528" s="6" t="n">
        <v>26.775</v>
      </c>
      <c r="L528" s="7">
        <f>IF(OR(D528="",N(J528)=0),"",MIN(1,N(K528)/J528))</f>
        <v/>
      </c>
      <c r="M528" s="5" t="n"/>
      <c r="N528" s="5" t="n"/>
      <c r="O528" s="5" t="n"/>
      <c r="P528" s="5" t="n"/>
      <c r="Q528" s="5" t="n"/>
      <c r="R528" s="4" t="n"/>
      <c r="S528" s="4" t="n"/>
      <c r="T528" s="5" t="n"/>
      <c r="U528" s="8">
        <f>IF(AND(V528=1,D528&lt;&gt;""),IF(D528&gt;=corte,TODAY()-D528,""),"")</f>
        <v/>
      </c>
      <c r="V528" s="8">
        <f>IF(D528="",0,IF(OR(AND(P528&lt;&gt;"",S528=""),AND(N(J528)&gt;0,N(K528)&lt;J528),OR(M528="PENDENTE",M528="PARCIAL"),OR(N528="PENDENTE",N528="PARCIAL")),1,0))</f>
        <v/>
      </c>
      <c r="W528" s="8">
        <f>IF(AND(V528=1,D528&lt;&gt;""),IF(D528&gt;=corte,(B528="CRÍTICO")*1E9+(100000-D528)*10000+10000-ROW(),""),"")</f>
        <v/>
      </c>
      <c r="X528" s="8">
        <f>IF(AND(V528=1,D528=pas_data,E528=pas_turno),10000-ROW(),"")</f>
        <v/>
      </c>
    </row>
    <row r="529">
      <c r="A529" s="3">
        <f>IF(D529="","","TT-"&amp;TEXT(ROW()-1,"00000"))</f>
        <v/>
      </c>
      <c r="B529" s="3">
        <f>IF(D529="","",IF(V529=0,"CONCLUÍDO",IF(D529&lt;corte,"HISTÓRICO",IF(OR(AND(ISNUMBER(R529),R529&lt;TODAY()),AND(OR(N529="PENDENTE",N529="PARCIAL"),D529&lt;TODAY()-1)),"CRÍTICO",IF(OR(AND(P529&lt;&gt;"",S529=""),AND(N529="REALIZADO",M529="PENDENTE"),AND(ISNUMBER(R529),R529=TODAY())),"ATENÇÃO",IF(N(K529)=0,"PENDENTE","EM ANDAMENTO"))))))</f>
        <v/>
      </c>
      <c r="C529" s="3">
        <f>IF(D529="","",IF(V529=0,"🟢 OK",IF(D529&lt;corte,"⚪ HISTÓRICO (sem baixa)",IF(AND(ISNUMBER(R529),R529&lt;TODAY()),"🔴 PRAZO VENCIDO",IF(AND(OR(N529="PENDENTE",N529="PARCIAL"),D529&lt;TODAY()-1),"🔴 EMBARQUE ATRASADO",IF(AND(N529="REALIZADO",M529="PENDENTE"),"🟡 EMBARCADO SEM FATURAR",IF(AND(P529&lt;&gt;"",S529="",OR(Q529="",R529="")),"🟡 PENDÊNCIA SEM RESPONSÁVEL/PRAZO",IF(AND(ISNUMBER(R529),R529=TODAY()),"🟡 VENCE HOJE",IF(AND(P529&lt;&gt;"",S529=""),"🟡 PENDÊNCIA ABERTA",IF(AND(N(J529)&gt;0,N(K529)&lt;J529),"🟡 FALTA EXECUTAR",IF(OR(M529="PENDENTE",M529="PARCIAL"),"🟡 FATURAMENTO PENDENTE","🟡 EMBARQUE PENDENTE")))))))))))</f>
        <v/>
      </c>
      <c r="D529" s="4" t="n">
        <v>46259</v>
      </c>
      <c r="E529" s="5" t="inlineStr">
        <is>
          <t>B</t>
        </is>
      </c>
      <c r="F529" s="5" t="inlineStr">
        <is>
          <t>THIAGO</t>
        </is>
      </c>
      <c r="G529" s="5" t="n"/>
      <c r="H529" s="5" t="inlineStr">
        <is>
          <t>MAIS PAN</t>
        </is>
      </c>
      <c r="I529" s="5" t="inlineStr">
        <is>
          <t>TON</t>
        </is>
      </c>
      <c r="J529" s="6" t="n">
        <v>3</v>
      </c>
      <c r="K529" s="6" t="n">
        <v>3</v>
      </c>
      <c r="L529" s="7">
        <f>IF(OR(D529="",N(J529)=0),"",MIN(1,N(K529)/J529))</f>
        <v/>
      </c>
      <c r="M529" s="5" t="n"/>
      <c r="N529" s="5" t="n"/>
      <c r="O529" s="5" t="n"/>
      <c r="P529" s="5" t="n"/>
      <c r="Q529" s="5" t="n"/>
      <c r="R529" s="4" t="n"/>
      <c r="S529" s="4" t="n"/>
      <c r="T529" s="5" t="n"/>
      <c r="U529" s="8">
        <f>IF(AND(V529=1,D529&lt;&gt;""),IF(D529&gt;=corte,TODAY()-D529,""),"")</f>
        <v/>
      </c>
      <c r="V529" s="8">
        <f>IF(D529="",0,IF(OR(AND(P529&lt;&gt;"",S529=""),AND(N(J529)&gt;0,N(K529)&lt;J529),OR(M529="PENDENTE",M529="PARCIAL"),OR(N529="PENDENTE",N529="PARCIAL")),1,0))</f>
        <v/>
      </c>
      <c r="W529" s="8">
        <f>IF(AND(V529=1,D529&lt;&gt;""),IF(D529&gt;=corte,(B529="CRÍTICO")*1E9+(100000-D529)*10000+10000-ROW(),""),"")</f>
        <v/>
      </c>
      <c r="X529" s="8">
        <f>IF(AND(V529=1,D529=pas_data,E529=pas_turno),10000-ROW(),"")</f>
        <v/>
      </c>
    </row>
    <row r="530">
      <c r="A530" s="3">
        <f>IF(D530="","","TT-"&amp;TEXT(ROW()-1,"00000"))</f>
        <v/>
      </c>
      <c r="B530" s="3">
        <f>IF(D530="","",IF(V530=0,"CONCLUÍDO",IF(D530&lt;corte,"HISTÓRICO",IF(OR(AND(ISNUMBER(R530),R530&lt;TODAY()),AND(OR(N530="PENDENTE",N530="PARCIAL"),D530&lt;TODAY()-1)),"CRÍTICO",IF(OR(AND(P530&lt;&gt;"",S530=""),AND(N530="REALIZADO",M530="PENDENTE"),AND(ISNUMBER(R530),R530=TODAY())),"ATENÇÃO",IF(N(K530)=0,"PENDENTE","EM ANDAMENTO"))))))</f>
        <v/>
      </c>
      <c r="C530" s="3">
        <f>IF(D530="","",IF(V530=0,"🟢 OK",IF(D530&lt;corte,"⚪ HISTÓRICO (sem baixa)",IF(AND(ISNUMBER(R530),R530&lt;TODAY()),"🔴 PRAZO VENCIDO",IF(AND(OR(N530="PENDENTE",N530="PARCIAL"),D530&lt;TODAY()-1),"🔴 EMBARQUE ATRASADO",IF(AND(N530="REALIZADO",M530="PENDENTE"),"🟡 EMBARCADO SEM FATURAR",IF(AND(P530&lt;&gt;"",S530="",OR(Q530="",R530="")),"🟡 PENDÊNCIA SEM RESPONSÁVEL/PRAZO",IF(AND(ISNUMBER(R530),R530=TODAY()),"🟡 VENCE HOJE",IF(AND(P530&lt;&gt;"",S530=""),"🟡 PENDÊNCIA ABERTA",IF(AND(N(J530)&gt;0,N(K530)&lt;J530),"🟡 FALTA EXECUTAR",IF(OR(M530="PENDENTE",M530="PARCIAL"),"🟡 FATURAMENTO PENDENTE","🟡 EMBARQUE PENDENTE")))))))))))</f>
        <v/>
      </c>
      <c r="D530" s="4" t="n">
        <v>46259</v>
      </c>
      <c r="E530" s="5" t="inlineStr">
        <is>
          <t>B</t>
        </is>
      </c>
      <c r="F530" s="5" t="inlineStr">
        <is>
          <t>THIAGO</t>
        </is>
      </c>
      <c r="G530" s="5" t="n"/>
      <c r="H530" s="5" t="inlineStr">
        <is>
          <t>OSTERPAN</t>
        </is>
      </c>
      <c r="I530" s="5" t="inlineStr">
        <is>
          <t>TON</t>
        </is>
      </c>
      <c r="J530" s="6" t="n">
        <v>7.71</v>
      </c>
      <c r="K530" s="6" t="n">
        <v>7.71</v>
      </c>
      <c r="L530" s="7">
        <f>IF(OR(D530="",N(J530)=0),"",MIN(1,N(K530)/J530))</f>
        <v/>
      </c>
      <c r="M530" s="5" t="n"/>
      <c r="N530" s="5" t="n"/>
      <c r="O530" s="5" t="n"/>
      <c r="P530" s="5" t="n"/>
      <c r="Q530" s="5" t="n"/>
      <c r="R530" s="4" t="n"/>
      <c r="S530" s="4" t="n"/>
      <c r="T530" s="5" t="n"/>
      <c r="U530" s="8">
        <f>IF(AND(V530=1,D530&lt;&gt;""),IF(D530&gt;=corte,TODAY()-D530,""),"")</f>
        <v/>
      </c>
      <c r="V530" s="8">
        <f>IF(D530="",0,IF(OR(AND(P530&lt;&gt;"",S530=""),AND(N(J530)&gt;0,N(K530)&lt;J530),OR(M530="PENDENTE",M530="PARCIAL"),OR(N530="PENDENTE",N530="PARCIAL")),1,0))</f>
        <v/>
      </c>
      <c r="W530" s="8">
        <f>IF(AND(V530=1,D530&lt;&gt;""),IF(D530&gt;=corte,(B530="CRÍTICO")*1E9+(100000-D530)*10000+10000-ROW(),""),"")</f>
        <v/>
      </c>
      <c r="X530" s="8">
        <f>IF(AND(V530=1,D530=pas_data,E530=pas_turno),10000-ROW(),"")</f>
        <v/>
      </c>
    </row>
    <row r="531">
      <c r="A531" s="3">
        <f>IF(D531="","","TT-"&amp;TEXT(ROW()-1,"00000"))</f>
        <v/>
      </c>
      <c r="B531" s="3">
        <f>IF(D531="","",IF(V531=0,"CONCLUÍDO",IF(D531&lt;corte,"HISTÓRICO",IF(OR(AND(ISNUMBER(R531),R531&lt;TODAY()),AND(OR(N531="PENDENTE",N531="PARCIAL"),D531&lt;TODAY()-1)),"CRÍTICO",IF(OR(AND(P531&lt;&gt;"",S531=""),AND(N531="REALIZADO",M531="PENDENTE"),AND(ISNUMBER(R531),R531=TODAY())),"ATENÇÃO",IF(N(K531)=0,"PENDENTE","EM ANDAMENTO"))))))</f>
        <v/>
      </c>
      <c r="C531" s="3">
        <f>IF(D531="","",IF(V531=0,"🟢 OK",IF(D531&lt;corte,"⚪ HISTÓRICO (sem baixa)",IF(AND(ISNUMBER(R531),R531&lt;TODAY()),"🔴 PRAZO VENCIDO",IF(AND(OR(N531="PENDENTE",N531="PARCIAL"),D531&lt;TODAY()-1),"🔴 EMBARQUE ATRASADO",IF(AND(N531="REALIZADO",M531="PENDENTE"),"🟡 EMBARCADO SEM FATURAR",IF(AND(P531&lt;&gt;"",S531="",OR(Q531="",R531="")),"🟡 PENDÊNCIA SEM RESPONSÁVEL/PRAZO",IF(AND(ISNUMBER(R531),R531=TODAY()),"🟡 VENCE HOJE",IF(AND(P531&lt;&gt;"",S531=""),"🟡 PENDÊNCIA ABERTA",IF(AND(N(J531)&gt;0,N(K531)&lt;J531),"🟡 FALTA EXECUTAR",IF(OR(M531="PENDENTE",M531="PARCIAL"),"🟡 FATURAMENTO PENDENTE","🟡 EMBARQUE PENDENTE")))))))))))</f>
        <v/>
      </c>
      <c r="D531" s="4" t="n">
        <v>46259</v>
      </c>
      <c r="E531" s="5" t="inlineStr">
        <is>
          <t>B</t>
        </is>
      </c>
      <c r="F531" s="5" t="inlineStr">
        <is>
          <t>THIAGO</t>
        </is>
      </c>
      <c r="G531" s="5" t="n"/>
      <c r="H531" s="5" t="inlineStr">
        <is>
          <t>RFC</t>
        </is>
      </c>
      <c r="I531" s="5" t="inlineStr">
        <is>
          <t>TON</t>
        </is>
      </c>
      <c r="J531" s="6" t="n">
        <v>18.956</v>
      </c>
      <c r="K531" s="6" t="n">
        <v>18.956</v>
      </c>
      <c r="L531" s="7">
        <f>IF(OR(D531="",N(J531)=0),"",MIN(1,N(K531)/J531))</f>
        <v/>
      </c>
      <c r="M531" s="5" t="n"/>
      <c r="N531" s="5" t="n"/>
      <c r="O531" s="5" t="n"/>
      <c r="P531" s="5" t="n"/>
      <c r="Q531" s="5" t="n"/>
      <c r="R531" s="4" t="n"/>
      <c r="S531" s="4" t="n"/>
      <c r="T531" s="5" t="n"/>
      <c r="U531" s="8">
        <f>IF(AND(V531=1,D531&lt;&gt;""),IF(D531&gt;=corte,TODAY()-D531,""),"")</f>
        <v/>
      </c>
      <c r="V531" s="8">
        <f>IF(D531="",0,IF(OR(AND(P531&lt;&gt;"",S531=""),AND(N(J531)&gt;0,N(K531)&lt;J531),OR(M531="PENDENTE",M531="PARCIAL"),OR(N531="PENDENTE",N531="PARCIAL")),1,0))</f>
        <v/>
      </c>
      <c r="W531" s="8">
        <f>IF(AND(V531=1,D531&lt;&gt;""),IF(D531&gt;=corte,(B531="CRÍTICO")*1E9+(100000-D531)*10000+10000-ROW(),""),"")</f>
        <v/>
      </c>
      <c r="X531" s="8">
        <f>IF(AND(V531=1,D531=pas_data,E531=pas_turno),10000-ROW(),"")</f>
        <v/>
      </c>
    </row>
    <row r="532">
      <c r="A532" s="3">
        <f>IF(D532="","","TT-"&amp;TEXT(ROW()-1,"00000"))</f>
        <v/>
      </c>
      <c r="B532" s="3">
        <f>IF(D532="","",IF(V532=0,"CONCLUÍDO",IF(D532&lt;corte,"HISTÓRICO",IF(OR(AND(ISNUMBER(R532),R532&lt;TODAY()),AND(OR(N532="PENDENTE",N532="PARCIAL"),D532&lt;TODAY()-1)),"CRÍTICO",IF(OR(AND(P532&lt;&gt;"",S532=""),AND(N532="REALIZADO",M532="PENDENTE"),AND(ISNUMBER(R532),R532=TODAY())),"ATENÇÃO",IF(N(K532)=0,"PENDENTE","EM ANDAMENTO"))))))</f>
        <v/>
      </c>
      <c r="C532" s="3">
        <f>IF(D532="","",IF(V532=0,"🟢 OK",IF(D532&lt;corte,"⚪ HISTÓRICO (sem baixa)",IF(AND(ISNUMBER(R532),R532&lt;TODAY()),"🔴 PRAZO VENCIDO",IF(AND(OR(N532="PENDENTE",N532="PARCIAL"),D532&lt;TODAY()-1),"🔴 EMBARQUE ATRASADO",IF(AND(N532="REALIZADO",M532="PENDENTE"),"🟡 EMBARCADO SEM FATURAR",IF(AND(P532&lt;&gt;"",S532="",OR(Q532="",R532="")),"🟡 PENDÊNCIA SEM RESPONSÁVEL/PRAZO",IF(AND(ISNUMBER(R532),R532=TODAY()),"🟡 VENCE HOJE",IF(AND(P532&lt;&gt;"",S532=""),"🟡 PENDÊNCIA ABERTA",IF(AND(N(J532)&gt;0,N(K532)&lt;J532),"🟡 FALTA EXECUTAR",IF(OR(M532="PENDENTE",M532="PARCIAL"),"🟡 FATURAMENTO PENDENTE","🟡 EMBARQUE PENDENTE")))))))))))</f>
        <v/>
      </c>
      <c r="D532" s="4" t="n">
        <v>46259</v>
      </c>
      <c r="E532" s="5" t="inlineStr">
        <is>
          <t>B</t>
        </is>
      </c>
      <c r="F532" s="5" t="inlineStr">
        <is>
          <t>THIAGO</t>
        </is>
      </c>
      <c r="G532" s="5" t="n"/>
      <c r="H532" s="5" t="inlineStr">
        <is>
          <t>RFC</t>
        </is>
      </c>
      <c r="I532" s="5" t="inlineStr">
        <is>
          <t>TON</t>
        </is>
      </c>
      <c r="J532" s="6" t="n">
        <v>22.01</v>
      </c>
      <c r="K532" s="6" t="n">
        <v>22.01</v>
      </c>
      <c r="L532" s="7">
        <f>IF(OR(D532="",N(J532)=0),"",MIN(1,N(K532)/J532))</f>
        <v/>
      </c>
      <c r="M532" s="5" t="n"/>
      <c r="N532" s="5" t="n"/>
      <c r="O532" s="5" t="n"/>
      <c r="P532" s="5" t="n"/>
      <c r="Q532" s="5" t="n"/>
      <c r="R532" s="4" t="n"/>
      <c r="S532" s="4" t="n"/>
      <c r="T532" s="5" t="n"/>
      <c r="U532" s="8">
        <f>IF(AND(V532=1,D532&lt;&gt;""),IF(D532&gt;=corte,TODAY()-D532,""),"")</f>
        <v/>
      </c>
      <c r="V532" s="8">
        <f>IF(D532="",0,IF(OR(AND(P532&lt;&gt;"",S532=""),AND(N(J532)&gt;0,N(K532)&lt;J532),OR(M532="PENDENTE",M532="PARCIAL"),OR(N532="PENDENTE",N532="PARCIAL")),1,0))</f>
        <v/>
      </c>
      <c r="W532" s="8">
        <f>IF(AND(V532=1,D532&lt;&gt;""),IF(D532&gt;=corte,(B532="CRÍTICO")*1E9+(100000-D532)*10000+10000-ROW(),""),"")</f>
        <v/>
      </c>
      <c r="X532" s="8">
        <f>IF(AND(V532=1,D532=pas_data,E532=pas_turno),10000-ROW(),"")</f>
        <v/>
      </c>
    </row>
    <row r="533">
      <c r="A533" s="3">
        <f>IF(D533="","","TT-"&amp;TEXT(ROW()-1,"00000"))</f>
        <v/>
      </c>
      <c r="B533" s="3">
        <f>IF(D533="","",IF(V533=0,"CONCLUÍDO",IF(D533&lt;corte,"HISTÓRICO",IF(OR(AND(ISNUMBER(R533),R533&lt;TODAY()),AND(OR(N533="PENDENTE",N533="PARCIAL"),D533&lt;TODAY()-1)),"CRÍTICO",IF(OR(AND(P533&lt;&gt;"",S533=""),AND(N533="REALIZADO",M533="PENDENTE"),AND(ISNUMBER(R533),R533=TODAY())),"ATENÇÃO",IF(N(K533)=0,"PENDENTE","EM ANDAMENTO"))))))</f>
        <v/>
      </c>
      <c r="C533" s="3">
        <f>IF(D533="","",IF(V533=0,"🟢 OK",IF(D533&lt;corte,"⚪ HISTÓRICO (sem baixa)",IF(AND(ISNUMBER(R533),R533&lt;TODAY()),"🔴 PRAZO VENCIDO",IF(AND(OR(N533="PENDENTE",N533="PARCIAL"),D533&lt;TODAY()-1),"🔴 EMBARQUE ATRASADO",IF(AND(N533="REALIZADO",M533="PENDENTE"),"🟡 EMBARCADO SEM FATURAR",IF(AND(P533&lt;&gt;"",S533="",OR(Q533="",R533="")),"🟡 PENDÊNCIA SEM RESPONSÁVEL/PRAZO",IF(AND(ISNUMBER(R533),R533=TODAY()),"🟡 VENCE HOJE",IF(AND(P533&lt;&gt;"",S533=""),"🟡 PENDÊNCIA ABERTA",IF(AND(N(J533)&gt;0,N(K533)&lt;J533),"🟡 FALTA EXECUTAR",IF(OR(M533="PENDENTE",M533="PARCIAL"),"🟡 FATURAMENTO PENDENTE","🟡 EMBARQUE PENDENTE")))))))))))</f>
        <v/>
      </c>
      <c r="D533" s="4" t="n">
        <v>46259</v>
      </c>
      <c r="E533" s="5" t="inlineStr">
        <is>
          <t>B</t>
        </is>
      </c>
      <c r="F533" s="5" t="inlineStr">
        <is>
          <t>THIAGO</t>
        </is>
      </c>
      <c r="G533" s="5" t="n"/>
      <c r="H533" s="5" t="inlineStr">
        <is>
          <t>MG / NORDESTE</t>
        </is>
      </c>
      <c r="I533" s="5" t="inlineStr">
        <is>
          <t>TON</t>
        </is>
      </c>
      <c r="J533" s="6" t="n">
        <v>17.11</v>
      </c>
      <c r="K533" s="6" t="n">
        <v>17.11</v>
      </c>
      <c r="L533" s="7">
        <f>IF(OR(D533="",N(J533)=0),"",MIN(1,N(K533)/J533))</f>
        <v/>
      </c>
      <c r="M533" s="5" t="n"/>
      <c r="N533" s="5" t="n"/>
      <c r="O533" s="5" t="n"/>
      <c r="P533" s="5" t="n"/>
      <c r="Q533" s="5" t="n"/>
      <c r="R533" s="4" t="n"/>
      <c r="S533" s="4" t="n"/>
      <c r="T533" s="5" t="n"/>
      <c r="U533" s="8">
        <f>IF(AND(V533=1,D533&lt;&gt;""),IF(D533&gt;=corte,TODAY()-D533,""),"")</f>
        <v/>
      </c>
      <c r="V533" s="8">
        <f>IF(D533="",0,IF(OR(AND(P533&lt;&gt;"",S533=""),AND(N(J533)&gt;0,N(K533)&lt;J533),OR(M533="PENDENTE",M533="PARCIAL"),OR(N533="PENDENTE",N533="PARCIAL")),1,0))</f>
        <v/>
      </c>
      <c r="W533" s="8">
        <f>IF(AND(V533=1,D533&lt;&gt;""),IF(D533&gt;=corte,(B533="CRÍTICO")*1E9+(100000-D533)*10000+10000-ROW(),""),"")</f>
        <v/>
      </c>
      <c r="X533" s="8">
        <f>IF(AND(V533=1,D533=pas_data,E533=pas_turno),10000-ROW(),"")</f>
        <v/>
      </c>
    </row>
    <row r="534">
      <c r="A534" s="3">
        <f>IF(D534="","","TT-"&amp;TEXT(ROW()-1,"00000"))</f>
        <v/>
      </c>
      <c r="B534" s="3">
        <f>IF(D534="","",IF(V534=0,"CONCLUÍDO",IF(D534&lt;corte,"HISTÓRICO",IF(OR(AND(ISNUMBER(R534),R534&lt;TODAY()),AND(OR(N534="PENDENTE",N534="PARCIAL"),D534&lt;TODAY()-1)),"CRÍTICO",IF(OR(AND(P534&lt;&gt;"",S534=""),AND(N534="REALIZADO",M534="PENDENTE"),AND(ISNUMBER(R534),R534=TODAY())),"ATENÇÃO",IF(N(K534)=0,"PENDENTE","EM ANDAMENTO"))))))</f>
        <v/>
      </c>
      <c r="C534" s="3">
        <f>IF(D534="","",IF(V534=0,"🟢 OK",IF(D534&lt;corte,"⚪ HISTÓRICO (sem baixa)",IF(AND(ISNUMBER(R534),R534&lt;TODAY()),"🔴 PRAZO VENCIDO",IF(AND(OR(N534="PENDENTE",N534="PARCIAL"),D534&lt;TODAY()-1),"🔴 EMBARQUE ATRASADO",IF(AND(N534="REALIZADO",M534="PENDENTE"),"🟡 EMBARCADO SEM FATURAR",IF(AND(P534&lt;&gt;"",S534="",OR(Q534="",R534="")),"🟡 PENDÊNCIA SEM RESPONSÁVEL/PRAZO",IF(AND(ISNUMBER(R534),R534=TODAY()),"🟡 VENCE HOJE",IF(AND(P534&lt;&gt;"",S534=""),"🟡 PENDÊNCIA ABERTA",IF(AND(N(J534)&gt;0,N(K534)&lt;J534),"🟡 FALTA EXECUTAR",IF(OR(M534="PENDENTE",M534="PARCIAL"),"🟡 FATURAMENTO PENDENTE","🟡 EMBARQUE PENDENTE")))))))))))</f>
        <v/>
      </c>
      <c r="D534" s="4" t="n">
        <v>46259</v>
      </c>
      <c r="E534" s="5" t="inlineStr">
        <is>
          <t>B</t>
        </is>
      </c>
      <c r="F534" s="5" t="inlineStr">
        <is>
          <t>THIAGO</t>
        </is>
      </c>
      <c r="G534" s="5" t="n"/>
      <c r="H534" s="5" t="inlineStr">
        <is>
          <t>SMT</t>
        </is>
      </c>
      <c r="I534" s="5" t="inlineStr">
        <is>
          <t>TON</t>
        </is>
      </c>
      <c r="J534" s="6" t="n">
        <v>18.155</v>
      </c>
      <c r="K534" s="6" t="n">
        <v>18.155</v>
      </c>
      <c r="L534" s="7">
        <f>IF(OR(D534="",N(J534)=0),"",MIN(1,N(K534)/J534))</f>
        <v/>
      </c>
      <c r="M534" s="5" t="n"/>
      <c r="N534" s="5" t="n"/>
      <c r="O534" s="5" t="n"/>
      <c r="P534" s="5" t="n"/>
      <c r="Q534" s="5" t="n"/>
      <c r="R534" s="4" t="n"/>
      <c r="S534" s="4" t="n"/>
      <c r="T534" s="5" t="n"/>
      <c r="U534" s="8">
        <f>IF(AND(V534=1,D534&lt;&gt;""),IF(D534&gt;=corte,TODAY()-D534,""),"")</f>
        <v/>
      </c>
      <c r="V534" s="8">
        <f>IF(D534="",0,IF(OR(AND(P534&lt;&gt;"",S534=""),AND(N(J534)&gt;0,N(K534)&lt;J534),OR(M534="PENDENTE",M534="PARCIAL"),OR(N534="PENDENTE",N534="PARCIAL")),1,0))</f>
        <v/>
      </c>
      <c r="W534" s="8">
        <f>IF(AND(V534=1,D534&lt;&gt;""),IF(D534&gt;=corte,(B534="CRÍTICO")*1E9+(100000-D534)*10000+10000-ROW(),""),"")</f>
        <v/>
      </c>
      <c r="X534" s="8">
        <f>IF(AND(V534=1,D534=pas_data,E534=pas_turno),10000-ROW(),"")</f>
        <v/>
      </c>
    </row>
    <row r="535">
      <c r="A535" s="3">
        <f>IF(D535="","","TT-"&amp;TEXT(ROW()-1,"00000"))</f>
        <v/>
      </c>
      <c r="B535" s="3">
        <f>IF(D535="","",IF(V535=0,"CONCLUÍDO",IF(D535&lt;corte,"HISTÓRICO",IF(OR(AND(ISNUMBER(R535),R535&lt;TODAY()),AND(OR(N535="PENDENTE",N535="PARCIAL"),D535&lt;TODAY()-1)),"CRÍTICO",IF(OR(AND(P535&lt;&gt;"",S535=""),AND(N535="REALIZADO",M535="PENDENTE"),AND(ISNUMBER(R535),R535=TODAY())),"ATENÇÃO",IF(N(K535)=0,"PENDENTE","EM ANDAMENTO"))))))</f>
        <v/>
      </c>
      <c r="C535" s="3">
        <f>IF(D535="","",IF(V535=0,"🟢 OK",IF(D535&lt;corte,"⚪ HISTÓRICO (sem baixa)",IF(AND(ISNUMBER(R535),R535&lt;TODAY()),"🔴 PRAZO VENCIDO",IF(AND(OR(N535="PENDENTE",N535="PARCIAL"),D535&lt;TODAY()-1),"🔴 EMBARQUE ATRASADO",IF(AND(N535="REALIZADO",M535="PENDENTE"),"🟡 EMBARCADO SEM FATURAR",IF(AND(P535&lt;&gt;"",S535="",OR(Q535="",R535="")),"🟡 PENDÊNCIA SEM RESPONSÁVEL/PRAZO",IF(AND(ISNUMBER(R535),R535=TODAY()),"🟡 VENCE HOJE",IF(AND(P535&lt;&gt;"",S535=""),"🟡 PENDÊNCIA ABERTA",IF(AND(N(J535)&gt;0,N(K535)&lt;J535),"🟡 FALTA EXECUTAR",IF(OR(M535="PENDENTE",M535="PARCIAL"),"🟡 FATURAMENTO PENDENTE","🟡 EMBARQUE PENDENTE")))))))))))</f>
        <v/>
      </c>
      <c r="D535" s="4" t="n">
        <v>46259</v>
      </c>
      <c r="E535" s="5" t="inlineStr">
        <is>
          <t>B</t>
        </is>
      </c>
      <c r="F535" s="5" t="inlineStr">
        <is>
          <t>THIAGO</t>
        </is>
      </c>
      <c r="G535" s="5" t="n"/>
      <c r="H535" s="5" t="inlineStr">
        <is>
          <t>GRANEL</t>
        </is>
      </c>
      <c r="I535" s="5" t="inlineStr">
        <is>
          <t>TON</t>
        </is>
      </c>
      <c r="J535" s="6" t="n">
        <v>27.38</v>
      </c>
      <c r="K535" s="6" t="n">
        <v>27.38</v>
      </c>
      <c r="L535" s="7">
        <f>IF(OR(D535="",N(J535)=0),"",MIN(1,N(K535)/J535))</f>
        <v/>
      </c>
      <c r="M535" s="5" t="n"/>
      <c r="N535" s="5" t="n"/>
      <c r="O535" s="5" t="n"/>
      <c r="P535" s="5" t="n"/>
      <c r="Q535" s="5" t="n"/>
      <c r="R535" s="4" t="n"/>
      <c r="S535" s="4" t="n"/>
      <c r="T535" s="5" t="n"/>
      <c r="U535" s="8">
        <f>IF(AND(V535=1,D535&lt;&gt;""),IF(D535&gt;=corte,TODAY()-D535,""),"")</f>
        <v/>
      </c>
      <c r="V535" s="8">
        <f>IF(D535="",0,IF(OR(AND(P535&lt;&gt;"",S535=""),AND(N(J535)&gt;0,N(K535)&lt;J535),OR(M535="PENDENTE",M535="PARCIAL"),OR(N535="PENDENTE",N535="PARCIAL")),1,0))</f>
        <v/>
      </c>
      <c r="W535" s="8">
        <f>IF(AND(V535=1,D535&lt;&gt;""),IF(D535&gt;=corte,(B535="CRÍTICO")*1E9+(100000-D535)*10000+10000-ROW(),""),"")</f>
        <v/>
      </c>
      <c r="X535" s="8">
        <f>IF(AND(V535=1,D535=pas_data,E535=pas_turno),10000-ROW(),"")</f>
        <v/>
      </c>
    </row>
    <row r="536">
      <c r="A536" s="3">
        <f>IF(D536="","","TT-"&amp;TEXT(ROW()-1,"00000"))</f>
        <v/>
      </c>
      <c r="B536" s="3">
        <f>IF(D536="","",IF(V536=0,"CONCLUÍDO",IF(D536&lt;corte,"HISTÓRICO",IF(OR(AND(ISNUMBER(R536),R536&lt;TODAY()),AND(OR(N536="PENDENTE",N536="PARCIAL"),D536&lt;TODAY()-1)),"CRÍTICO",IF(OR(AND(P536&lt;&gt;"",S536=""),AND(N536="REALIZADO",M536="PENDENTE"),AND(ISNUMBER(R536),R536=TODAY())),"ATENÇÃO",IF(N(K536)=0,"PENDENTE","EM ANDAMENTO"))))))</f>
        <v/>
      </c>
      <c r="C536" s="3">
        <f>IF(D536="","",IF(V536=0,"🟢 OK",IF(D536&lt;corte,"⚪ HISTÓRICO (sem baixa)",IF(AND(ISNUMBER(R536),R536&lt;TODAY()),"🔴 PRAZO VENCIDO",IF(AND(OR(N536="PENDENTE",N536="PARCIAL"),D536&lt;TODAY()-1),"🔴 EMBARQUE ATRASADO",IF(AND(N536="REALIZADO",M536="PENDENTE"),"🟡 EMBARCADO SEM FATURAR",IF(AND(P536&lt;&gt;"",S536="",OR(Q536="",R536="")),"🟡 PENDÊNCIA SEM RESPONSÁVEL/PRAZO",IF(AND(ISNUMBER(R536),R536=TODAY()),"🟡 VENCE HOJE",IF(AND(P536&lt;&gt;"",S536=""),"🟡 PENDÊNCIA ABERTA",IF(AND(N(J536)&gt;0,N(K536)&lt;J536),"🟡 FALTA EXECUTAR",IF(OR(M536="PENDENTE",M536="PARCIAL"),"🟡 FATURAMENTO PENDENTE","🟡 EMBARQUE PENDENTE")))))))))))</f>
        <v/>
      </c>
      <c r="D536" s="4" t="n">
        <v>46259</v>
      </c>
      <c r="E536" s="5" t="inlineStr">
        <is>
          <t>B</t>
        </is>
      </c>
      <c r="F536" s="5" t="inlineStr">
        <is>
          <t>THIAGO</t>
        </is>
      </c>
      <c r="G536" s="5" t="n"/>
      <c r="H536" s="5" t="inlineStr">
        <is>
          <t>FLOOR/ RETORNO OMEGA</t>
        </is>
      </c>
      <c r="I536" s="5" t="inlineStr">
        <is>
          <t>PALETE</t>
        </is>
      </c>
      <c r="J536" s="6" t="n">
        <v>185</v>
      </c>
      <c r="K536" s="6" t="n">
        <v>185</v>
      </c>
      <c r="L536" s="7">
        <f>IF(OR(D536="",N(J536)=0),"",MIN(1,N(K536)/J536))</f>
        <v/>
      </c>
      <c r="M536" s="5" t="n"/>
      <c r="N536" s="5" t="n"/>
      <c r="O536" s="5" t="n"/>
      <c r="P536" s="5" t="n"/>
      <c r="Q536" s="5" t="n"/>
      <c r="R536" s="4" t="n"/>
      <c r="S536" s="4" t="n"/>
      <c r="T536" s="5" t="n"/>
      <c r="U536" s="8">
        <f>IF(AND(V536=1,D536&lt;&gt;""),IF(D536&gt;=corte,TODAY()-D536,""),"")</f>
        <v/>
      </c>
      <c r="V536" s="8">
        <f>IF(D536="",0,IF(OR(AND(P536&lt;&gt;"",S536=""),AND(N(J536)&gt;0,N(K536)&lt;J536),OR(M536="PENDENTE",M536="PARCIAL"),OR(N536="PENDENTE",N536="PARCIAL")),1,0))</f>
        <v/>
      </c>
      <c r="W536" s="8">
        <f>IF(AND(V536=1,D536&lt;&gt;""),IF(D536&gt;=corte,(B536="CRÍTICO")*1E9+(100000-D536)*10000+10000-ROW(),""),"")</f>
        <v/>
      </c>
      <c r="X536" s="8">
        <f>IF(AND(V536=1,D536=pas_data,E536=pas_turno),10000-ROW(),"")</f>
        <v/>
      </c>
    </row>
    <row r="537">
      <c r="A537" s="3">
        <f>IF(D537="","","TT-"&amp;TEXT(ROW()-1,"00000"))</f>
        <v/>
      </c>
      <c r="B537" s="3">
        <f>IF(D537="","",IF(V537=0,"CONCLUÍDO",IF(D537&lt;corte,"HISTÓRICO",IF(OR(AND(ISNUMBER(R537),R537&lt;TODAY()),AND(OR(N537="PENDENTE",N537="PARCIAL"),D537&lt;TODAY()-1)),"CRÍTICO",IF(OR(AND(P537&lt;&gt;"",S537=""),AND(N537="REALIZADO",M537="PENDENTE"),AND(ISNUMBER(R537),R537=TODAY())),"ATENÇÃO",IF(N(K537)=0,"PENDENTE","EM ANDAMENTO"))))))</f>
        <v/>
      </c>
      <c r="C537" s="3">
        <f>IF(D537="","",IF(V537=0,"🟢 OK",IF(D537&lt;corte,"⚪ HISTÓRICO (sem baixa)",IF(AND(ISNUMBER(R537),R537&lt;TODAY()),"🔴 PRAZO VENCIDO",IF(AND(OR(N537="PENDENTE",N537="PARCIAL"),D537&lt;TODAY()-1),"🔴 EMBARQUE ATRASADO",IF(AND(N537="REALIZADO",M537="PENDENTE"),"🟡 EMBARCADO SEM FATURAR",IF(AND(P537&lt;&gt;"",S537="",OR(Q537="",R537="")),"🟡 PENDÊNCIA SEM RESPONSÁVEL/PRAZO",IF(AND(ISNUMBER(R537),R537=TODAY()),"🟡 VENCE HOJE",IF(AND(P537&lt;&gt;"",S537=""),"🟡 PENDÊNCIA ABERTA",IF(AND(N(J537)&gt;0,N(K537)&lt;J537),"🟡 FALTA EXECUTAR",IF(OR(M537="PENDENTE",M537="PARCIAL"),"🟡 FATURAMENTO PENDENTE","🟡 EMBARQUE PENDENTE")))))))))))</f>
        <v/>
      </c>
      <c r="D537" s="4" t="n">
        <v>46260</v>
      </c>
      <c r="E537" s="5" t="inlineStr">
        <is>
          <t>A</t>
        </is>
      </c>
      <c r="F537" s="5" t="inlineStr">
        <is>
          <t>TATIANE</t>
        </is>
      </c>
      <c r="G537" s="5" t="inlineStr">
        <is>
          <t>FM</t>
        </is>
      </c>
      <c r="H537" s="5" t="inlineStr">
        <is>
          <t>PANDURATA</t>
        </is>
      </c>
      <c r="I537" s="5" t="inlineStr">
        <is>
          <t>TON</t>
        </is>
      </c>
      <c r="J537" s="6" t="n">
        <v>28.054</v>
      </c>
      <c r="K537" s="6" t="n">
        <v>28.054</v>
      </c>
      <c r="L537" s="7">
        <f>IF(OR(D537="",N(J537)=0),"",MIN(1,N(K537)/J537))</f>
        <v/>
      </c>
      <c r="M537" s="5" t="n"/>
      <c r="N537" s="5" t="n"/>
      <c r="O537" s="5" t="inlineStr">
        <is>
          <t>SMARTLOG</t>
        </is>
      </c>
      <c r="P537" s="5" t="n"/>
      <c r="Q537" s="5" t="n"/>
      <c r="R537" s="4" t="n"/>
      <c r="S537" s="4" t="n"/>
      <c r="T537" s="5" t="n"/>
      <c r="U537" s="8">
        <f>IF(AND(V537=1,D537&lt;&gt;""),IF(D537&gt;=corte,TODAY()-D537,""),"")</f>
        <v/>
      </c>
      <c r="V537" s="8">
        <f>IF(D537="",0,IF(OR(AND(P537&lt;&gt;"",S537=""),AND(N(J537)&gt;0,N(K537)&lt;J537),OR(M537="PENDENTE",M537="PARCIAL"),OR(N537="PENDENTE",N537="PARCIAL")),1,0))</f>
        <v/>
      </c>
      <c r="W537" s="8">
        <f>IF(AND(V537=1,D537&lt;&gt;""),IF(D537&gt;=corte,(B537="CRÍTICO")*1E9+(100000-D537)*10000+10000-ROW(),""),"")</f>
        <v/>
      </c>
      <c r="X537" s="8">
        <f>IF(AND(V537=1,D537=pas_data,E537=pas_turno),10000-ROW(),"")</f>
        <v/>
      </c>
    </row>
    <row r="538">
      <c r="A538" s="3">
        <f>IF(D538="","","TT-"&amp;TEXT(ROW()-1,"00000"))</f>
        <v/>
      </c>
      <c r="B538" s="3">
        <f>IF(D538="","",IF(V538=0,"CONCLUÍDO",IF(D538&lt;corte,"HISTÓRICO",IF(OR(AND(ISNUMBER(R538),R538&lt;TODAY()),AND(OR(N538="PENDENTE",N538="PARCIAL"),D538&lt;TODAY()-1)),"CRÍTICO",IF(OR(AND(P538&lt;&gt;"",S538=""),AND(N538="REALIZADO",M538="PENDENTE"),AND(ISNUMBER(R538),R538=TODAY())),"ATENÇÃO",IF(N(K538)=0,"PENDENTE","EM ANDAMENTO"))))))</f>
        <v/>
      </c>
      <c r="C538" s="3">
        <f>IF(D538="","",IF(V538=0,"🟢 OK",IF(D538&lt;corte,"⚪ HISTÓRICO (sem baixa)",IF(AND(ISNUMBER(R538),R538&lt;TODAY()),"🔴 PRAZO VENCIDO",IF(AND(OR(N538="PENDENTE",N538="PARCIAL"),D538&lt;TODAY()-1),"🔴 EMBARQUE ATRASADO",IF(AND(N538="REALIZADO",M538="PENDENTE"),"🟡 EMBARCADO SEM FATURAR",IF(AND(P538&lt;&gt;"",S538="",OR(Q538="",R538="")),"🟡 PENDÊNCIA SEM RESPONSÁVEL/PRAZO",IF(AND(ISNUMBER(R538),R538=TODAY()),"🟡 VENCE HOJE",IF(AND(P538&lt;&gt;"",S538=""),"🟡 PENDÊNCIA ABERTA",IF(AND(N(J538)&gt;0,N(K538)&lt;J538),"🟡 FALTA EXECUTAR",IF(OR(M538="PENDENTE",M538="PARCIAL"),"🟡 FATURAMENTO PENDENTE","🟡 EMBARQUE PENDENTE")))))))))))</f>
        <v/>
      </c>
      <c r="D538" s="4" t="n">
        <v>46260</v>
      </c>
      <c r="E538" s="5" t="inlineStr">
        <is>
          <t>A</t>
        </is>
      </c>
      <c r="F538" s="5" t="inlineStr">
        <is>
          <t>TATIANE</t>
        </is>
      </c>
      <c r="G538" s="5" t="inlineStr">
        <is>
          <t>FM</t>
        </is>
      </c>
      <c r="H538" s="5" t="inlineStr">
        <is>
          <t>PANDURATA</t>
        </is>
      </c>
      <c r="I538" s="5" t="inlineStr">
        <is>
          <t>TON</t>
        </is>
      </c>
      <c r="J538" s="6" t="n">
        <v>28.054</v>
      </c>
      <c r="K538" s="6" t="n">
        <v>28.054</v>
      </c>
      <c r="L538" s="7">
        <f>IF(OR(D538="",N(J538)=0),"",MIN(1,N(K538)/J538))</f>
        <v/>
      </c>
      <c r="M538" s="5" t="n"/>
      <c r="N538" s="5" t="n"/>
      <c r="O538" s="5" t="inlineStr">
        <is>
          <t>SMARTLOG</t>
        </is>
      </c>
      <c r="P538" s="5" t="n"/>
      <c r="Q538" s="5" t="n"/>
      <c r="R538" s="4" t="n"/>
      <c r="S538" s="4" t="n"/>
      <c r="T538" s="5" t="n"/>
      <c r="U538" s="8">
        <f>IF(AND(V538=1,D538&lt;&gt;""),IF(D538&gt;=corte,TODAY()-D538,""),"")</f>
        <v/>
      </c>
      <c r="V538" s="8">
        <f>IF(D538="",0,IF(OR(AND(P538&lt;&gt;"",S538=""),AND(N(J538)&gt;0,N(K538)&lt;J538),OR(M538="PENDENTE",M538="PARCIAL"),OR(N538="PENDENTE",N538="PARCIAL")),1,0))</f>
        <v/>
      </c>
      <c r="W538" s="8">
        <f>IF(AND(V538=1,D538&lt;&gt;""),IF(D538&gt;=corte,(B538="CRÍTICO")*1E9+(100000-D538)*10000+10000-ROW(),""),"")</f>
        <v/>
      </c>
      <c r="X538" s="8">
        <f>IF(AND(V538=1,D538=pas_data,E538=pas_turno),10000-ROW(),"")</f>
        <v/>
      </c>
    </row>
    <row r="539">
      <c r="A539" s="3">
        <f>IF(D539="","","TT-"&amp;TEXT(ROW()-1,"00000"))</f>
        <v/>
      </c>
      <c r="B539" s="3">
        <f>IF(D539="","",IF(V539=0,"CONCLUÍDO",IF(D539&lt;corte,"HISTÓRICO",IF(OR(AND(ISNUMBER(R539),R539&lt;TODAY()),AND(OR(N539="PENDENTE",N539="PARCIAL"),D539&lt;TODAY()-1)),"CRÍTICO",IF(OR(AND(P539&lt;&gt;"",S539=""),AND(N539="REALIZADO",M539="PENDENTE"),AND(ISNUMBER(R539),R539=TODAY())),"ATENÇÃO",IF(N(K539)=0,"PENDENTE","EM ANDAMENTO"))))))</f>
        <v/>
      </c>
      <c r="C539" s="3">
        <f>IF(D539="","",IF(V539=0,"🟢 OK",IF(D539&lt;corte,"⚪ HISTÓRICO (sem baixa)",IF(AND(ISNUMBER(R539),R539&lt;TODAY()),"🔴 PRAZO VENCIDO",IF(AND(OR(N539="PENDENTE",N539="PARCIAL"),D539&lt;TODAY()-1),"🔴 EMBARQUE ATRASADO",IF(AND(N539="REALIZADO",M539="PENDENTE"),"🟡 EMBARCADO SEM FATURAR",IF(AND(P539&lt;&gt;"",S539="",OR(Q539="",R539="")),"🟡 PENDÊNCIA SEM RESPONSÁVEL/PRAZO",IF(AND(ISNUMBER(R539),R539=TODAY()),"🟡 VENCE HOJE",IF(AND(P539&lt;&gt;"",S539=""),"🟡 PENDÊNCIA ABERTA",IF(AND(N(J539)&gt;0,N(K539)&lt;J539),"🟡 FALTA EXECUTAR",IF(OR(M539="PENDENTE",M539="PARCIAL"),"🟡 FATURAMENTO PENDENTE","🟡 EMBARQUE PENDENTE")))))))))))</f>
        <v/>
      </c>
      <c r="D539" s="4" t="n">
        <v>46260</v>
      </c>
      <c r="E539" s="5" t="inlineStr">
        <is>
          <t>A</t>
        </is>
      </c>
      <c r="F539" s="5" t="inlineStr">
        <is>
          <t>TATIANE</t>
        </is>
      </c>
      <c r="G539" s="5" t="inlineStr">
        <is>
          <t>FM</t>
        </is>
      </c>
      <c r="H539" s="5" t="inlineStr">
        <is>
          <t>PANDURATA</t>
        </is>
      </c>
      <c r="I539" s="5" t="inlineStr">
        <is>
          <t>TON</t>
        </is>
      </c>
      <c r="J539" s="6" t="n">
        <v>30.206</v>
      </c>
      <c r="K539" s="6" t="n">
        <v>30.206</v>
      </c>
      <c r="L539" s="7">
        <f>IF(OR(D539="",N(J539)=0),"",MIN(1,N(K539)/J539))</f>
        <v/>
      </c>
      <c r="M539" s="5" t="n"/>
      <c r="N539" s="5" t="n"/>
      <c r="O539" s="5" t="inlineStr">
        <is>
          <t>SPEEDYLOG</t>
        </is>
      </c>
      <c r="P539" s="5" t="n"/>
      <c r="Q539" s="5" t="n"/>
      <c r="R539" s="4" t="n"/>
      <c r="S539" s="4" t="n"/>
      <c r="T539" s="5" t="n"/>
      <c r="U539" s="8">
        <f>IF(AND(V539=1,D539&lt;&gt;""),IF(D539&gt;=corte,TODAY()-D539,""),"")</f>
        <v/>
      </c>
      <c r="V539" s="8">
        <f>IF(D539="",0,IF(OR(AND(P539&lt;&gt;"",S539=""),AND(N(J539)&gt;0,N(K539)&lt;J539),OR(M539="PENDENTE",M539="PARCIAL"),OR(N539="PENDENTE",N539="PARCIAL")),1,0))</f>
        <v/>
      </c>
      <c r="W539" s="8">
        <f>IF(AND(V539=1,D539&lt;&gt;""),IF(D539&gt;=corte,(B539="CRÍTICO")*1E9+(100000-D539)*10000+10000-ROW(),""),"")</f>
        <v/>
      </c>
      <c r="X539" s="8">
        <f>IF(AND(V539=1,D539=pas_data,E539=pas_turno),10000-ROW(),"")</f>
        <v/>
      </c>
    </row>
    <row r="540">
      <c r="A540" s="3">
        <f>IF(D540="","","TT-"&amp;TEXT(ROW()-1,"00000"))</f>
        <v/>
      </c>
      <c r="B540" s="3">
        <f>IF(D540="","",IF(V540=0,"CONCLUÍDO",IF(D540&lt;corte,"HISTÓRICO",IF(OR(AND(ISNUMBER(R540),R540&lt;TODAY()),AND(OR(N540="PENDENTE",N540="PARCIAL"),D540&lt;TODAY()-1)),"CRÍTICO",IF(OR(AND(P540&lt;&gt;"",S540=""),AND(N540="REALIZADO",M540="PENDENTE"),AND(ISNUMBER(R540),R540=TODAY())),"ATENÇÃO",IF(N(K540)=0,"PENDENTE","EM ANDAMENTO"))))))</f>
        <v/>
      </c>
      <c r="C540" s="3">
        <f>IF(D540="","",IF(V540=0,"🟢 OK",IF(D540&lt;corte,"⚪ HISTÓRICO (sem baixa)",IF(AND(ISNUMBER(R540),R540&lt;TODAY()),"🔴 PRAZO VENCIDO",IF(AND(OR(N540="PENDENTE",N540="PARCIAL"),D540&lt;TODAY()-1),"🔴 EMBARQUE ATRASADO",IF(AND(N540="REALIZADO",M540="PENDENTE"),"🟡 EMBARCADO SEM FATURAR",IF(AND(P540&lt;&gt;"",S540="",OR(Q540="",R540="")),"🟡 PENDÊNCIA SEM RESPONSÁVEL/PRAZO",IF(AND(ISNUMBER(R540),R540=TODAY()),"🟡 VENCE HOJE",IF(AND(P540&lt;&gt;"",S540=""),"🟡 PENDÊNCIA ABERTA",IF(AND(N(J540)&gt;0,N(K540)&lt;J540),"🟡 FALTA EXECUTAR",IF(OR(M540="PENDENTE",M540="PARCIAL"),"🟡 FATURAMENTO PENDENTE","🟡 EMBARQUE PENDENTE")))))))))))</f>
        <v/>
      </c>
      <c r="D540" s="4" t="n">
        <v>46260</v>
      </c>
      <c r="E540" s="5" t="inlineStr">
        <is>
          <t>A</t>
        </is>
      </c>
      <c r="F540" s="5" t="inlineStr">
        <is>
          <t>TATIANE</t>
        </is>
      </c>
      <c r="G540" s="5" t="inlineStr">
        <is>
          <t>GM</t>
        </is>
      </c>
      <c r="H540" s="5" t="inlineStr">
        <is>
          <t>AGENDAS</t>
        </is>
      </c>
      <c r="I540" s="5" t="inlineStr">
        <is>
          <t>TON</t>
        </is>
      </c>
      <c r="J540" s="6" t="n"/>
      <c r="K540" s="6" t="n"/>
      <c r="L540" s="7">
        <f>IF(OR(D540="",N(J540)=0),"",MIN(1,N(K540)/J540))</f>
        <v/>
      </c>
      <c r="M540" s="5" t="n"/>
      <c r="N540" s="5" t="n"/>
      <c r="O540" s="5" t="n"/>
      <c r="P540" s="5" t="n"/>
      <c r="Q540" s="5" t="n"/>
      <c r="R540" s="4" t="n"/>
      <c r="S540" s="4" t="n"/>
      <c r="T540" s="5" t="inlineStr">
        <is>
          <t>[MIGRAÇÃO: programação original: SP]</t>
        </is>
      </c>
      <c r="U540" s="8">
        <f>IF(AND(V540=1,D540&lt;&gt;""),IF(D540&gt;=corte,TODAY()-D540,""),"")</f>
        <v/>
      </c>
      <c r="V540" s="8">
        <f>IF(D540="",0,IF(OR(AND(P540&lt;&gt;"",S540=""),AND(N(J540)&gt;0,N(K540)&lt;J540),OR(M540="PENDENTE",M540="PARCIAL"),OR(N540="PENDENTE",N540="PARCIAL")),1,0))</f>
        <v/>
      </c>
      <c r="W540" s="8">
        <f>IF(AND(V540=1,D540&lt;&gt;""),IF(D540&gt;=corte,(B540="CRÍTICO")*1E9+(100000-D540)*10000+10000-ROW(),""),"")</f>
        <v/>
      </c>
      <c r="X540" s="8">
        <f>IF(AND(V540=1,D540=pas_data,E540=pas_turno),10000-ROW(),"")</f>
        <v/>
      </c>
    </row>
    <row r="541">
      <c r="A541" s="3">
        <f>IF(D541="","","TT-"&amp;TEXT(ROW()-1,"00000"))</f>
        <v/>
      </c>
      <c r="B541" s="3">
        <f>IF(D541="","",IF(V541=0,"CONCLUÍDO",IF(D541&lt;corte,"HISTÓRICO",IF(OR(AND(ISNUMBER(R541),R541&lt;TODAY()),AND(OR(N541="PENDENTE",N541="PARCIAL"),D541&lt;TODAY()-1)),"CRÍTICO",IF(OR(AND(P541&lt;&gt;"",S541=""),AND(N541="REALIZADO",M541="PENDENTE"),AND(ISNUMBER(R541),R541=TODAY())),"ATENÇÃO",IF(N(K541)=0,"PENDENTE","EM ANDAMENTO"))))))</f>
        <v/>
      </c>
      <c r="C541" s="3">
        <f>IF(D541="","",IF(V541=0,"🟢 OK",IF(D541&lt;corte,"⚪ HISTÓRICO (sem baixa)",IF(AND(ISNUMBER(R541),R541&lt;TODAY()),"🔴 PRAZO VENCIDO",IF(AND(OR(N541="PENDENTE",N541="PARCIAL"),D541&lt;TODAY()-1),"🔴 EMBARQUE ATRASADO",IF(AND(N541="REALIZADO",M541="PENDENTE"),"🟡 EMBARCADO SEM FATURAR",IF(AND(P541&lt;&gt;"",S541="",OR(Q541="",R541="")),"🟡 PENDÊNCIA SEM RESPONSÁVEL/PRAZO",IF(AND(ISNUMBER(R541),R541=TODAY()),"🟡 VENCE HOJE",IF(AND(P541&lt;&gt;"",S541=""),"🟡 PENDÊNCIA ABERTA",IF(AND(N(J541)&gt;0,N(K541)&lt;J541),"🟡 FALTA EXECUTAR",IF(OR(M541="PENDENTE",M541="PARCIAL"),"🟡 FATURAMENTO PENDENTE","🟡 EMBARQUE PENDENTE")))))))))))</f>
        <v/>
      </c>
      <c r="D541" s="4" t="n">
        <v>46260</v>
      </c>
      <c r="E541" s="5" t="inlineStr">
        <is>
          <t>A</t>
        </is>
      </c>
      <c r="F541" s="5" t="inlineStr">
        <is>
          <t>TATIANE</t>
        </is>
      </c>
      <c r="G541" s="5" t="inlineStr">
        <is>
          <t>GM</t>
        </is>
      </c>
      <c r="H541" s="5" t="inlineStr">
        <is>
          <t>CANAL DIRETO</t>
        </is>
      </c>
      <c r="I541" s="5" t="inlineStr">
        <is>
          <t>TON</t>
        </is>
      </c>
      <c r="J541" s="6" t="n">
        <v>0.5600000000000001</v>
      </c>
      <c r="K541" s="6" t="n">
        <v>0.5600000000000001</v>
      </c>
      <c r="L541" s="7">
        <f>IF(OR(D541="",N(J541)=0),"",MIN(1,N(K541)/J541))</f>
        <v/>
      </c>
      <c r="M541" s="5" t="n"/>
      <c r="N541" s="5" t="n"/>
      <c r="O541" s="5" t="n"/>
      <c r="P541" s="5" t="n"/>
      <c r="Q541" s="5" t="n"/>
      <c r="R541" s="4" t="n"/>
      <c r="S541" s="4" t="n"/>
      <c r="T541" s="5" t="inlineStr">
        <is>
          <t>[MIGRAÇÃO: programação original: SP]</t>
        </is>
      </c>
      <c r="U541" s="8">
        <f>IF(AND(V541=1,D541&lt;&gt;""),IF(D541&gt;=corte,TODAY()-D541,""),"")</f>
        <v/>
      </c>
      <c r="V541" s="8">
        <f>IF(D541="",0,IF(OR(AND(P541&lt;&gt;"",S541=""),AND(N(J541)&gt;0,N(K541)&lt;J541),OR(M541="PENDENTE",M541="PARCIAL"),OR(N541="PENDENTE",N541="PARCIAL")),1,0))</f>
        <v/>
      </c>
      <c r="W541" s="8">
        <f>IF(AND(V541=1,D541&lt;&gt;""),IF(D541&gt;=corte,(B541="CRÍTICO")*1E9+(100000-D541)*10000+10000-ROW(),""),"")</f>
        <v/>
      </c>
      <c r="X541" s="8">
        <f>IF(AND(V541=1,D541=pas_data,E541=pas_turno),10000-ROW(),"")</f>
        <v/>
      </c>
    </row>
    <row r="542">
      <c r="A542" s="3">
        <f>IF(D542="","","TT-"&amp;TEXT(ROW()-1,"00000"))</f>
        <v/>
      </c>
      <c r="B542" s="3">
        <f>IF(D542="","",IF(V542=0,"CONCLUÍDO",IF(D542&lt;corte,"HISTÓRICO",IF(OR(AND(ISNUMBER(R542),R542&lt;TODAY()),AND(OR(N542="PENDENTE",N542="PARCIAL"),D542&lt;TODAY()-1)),"CRÍTICO",IF(OR(AND(P542&lt;&gt;"",S542=""),AND(N542="REALIZADO",M542="PENDENTE"),AND(ISNUMBER(R542),R542=TODAY())),"ATENÇÃO",IF(N(K542)=0,"PENDENTE","EM ANDAMENTO"))))))</f>
        <v/>
      </c>
      <c r="C542" s="3">
        <f>IF(D542="","",IF(V542=0,"🟢 OK",IF(D542&lt;corte,"⚪ HISTÓRICO (sem baixa)",IF(AND(ISNUMBER(R542),R542&lt;TODAY()),"🔴 PRAZO VENCIDO",IF(AND(OR(N542="PENDENTE",N542="PARCIAL"),D542&lt;TODAY()-1),"🔴 EMBARQUE ATRASADO",IF(AND(N542="REALIZADO",M542="PENDENTE"),"🟡 EMBARCADO SEM FATURAR",IF(AND(P542&lt;&gt;"",S542="",OR(Q542="",R542="")),"🟡 PENDÊNCIA SEM RESPONSÁVEL/PRAZO",IF(AND(ISNUMBER(R542),R542=TODAY()),"🟡 VENCE HOJE",IF(AND(P542&lt;&gt;"",S542=""),"🟡 PENDÊNCIA ABERTA",IF(AND(N(J542)&gt;0,N(K542)&lt;J542),"🟡 FALTA EXECUTAR",IF(OR(M542="PENDENTE",M542="PARCIAL"),"🟡 FATURAMENTO PENDENTE","🟡 EMBARQUE PENDENTE")))))))))))</f>
        <v/>
      </c>
      <c r="D542" s="4" t="n">
        <v>46260</v>
      </c>
      <c r="E542" s="5" t="inlineStr">
        <is>
          <t>A</t>
        </is>
      </c>
      <c r="F542" s="5" t="inlineStr">
        <is>
          <t>TATIANE</t>
        </is>
      </c>
      <c r="G542" s="5" t="inlineStr">
        <is>
          <t>GRANEL</t>
        </is>
      </c>
      <c r="H542" s="5" t="inlineStr">
        <is>
          <t>MAGNUM</t>
        </is>
      </c>
      <c r="I542" s="5" t="inlineStr">
        <is>
          <t>TON</t>
        </is>
      </c>
      <c r="J542" s="6" t="n">
        <v>10.78</v>
      </c>
      <c r="K542" s="6" t="n">
        <v>10.78</v>
      </c>
      <c r="L542" s="7">
        <f>IF(OR(D542="",N(J542)=0),"",MIN(1,N(K542)/J542))</f>
        <v/>
      </c>
      <c r="M542" s="5" t="n"/>
      <c r="N542" s="5" t="n"/>
      <c r="O542" s="5" t="n"/>
      <c r="P542" s="5" t="n"/>
      <c r="Q542" s="5" t="n"/>
      <c r="R542" s="4" t="n"/>
      <c r="S542" s="4" t="n"/>
      <c r="T542" s="5" t="n"/>
      <c r="U542" s="8">
        <f>IF(AND(V542=1,D542&lt;&gt;""),IF(D542&gt;=corte,TODAY()-D542,""),"")</f>
        <v/>
      </c>
      <c r="V542" s="8">
        <f>IF(D542="",0,IF(OR(AND(P542&lt;&gt;"",S542=""),AND(N(J542)&gt;0,N(K542)&lt;J542),OR(M542="PENDENTE",M542="PARCIAL"),OR(N542="PENDENTE",N542="PARCIAL")),1,0))</f>
        <v/>
      </c>
      <c r="W542" s="8">
        <f>IF(AND(V542=1,D542&lt;&gt;""),IF(D542&gt;=corte,(B542="CRÍTICO")*1E9+(100000-D542)*10000+10000-ROW(),""),"")</f>
        <v/>
      </c>
      <c r="X542" s="8">
        <f>IF(AND(V542=1,D542=pas_data,E542=pas_turno),10000-ROW(),"")</f>
        <v/>
      </c>
    </row>
    <row r="543">
      <c r="A543" s="3">
        <f>IF(D543="","","TT-"&amp;TEXT(ROW()-1,"00000"))</f>
        <v/>
      </c>
      <c r="B543" s="3">
        <f>IF(D543="","",IF(V543=0,"CONCLUÍDO",IF(D543&lt;corte,"HISTÓRICO",IF(OR(AND(ISNUMBER(R543),R543&lt;TODAY()),AND(OR(N543="PENDENTE",N543="PARCIAL"),D543&lt;TODAY()-1)),"CRÍTICO",IF(OR(AND(P543&lt;&gt;"",S543=""),AND(N543="REALIZADO",M543="PENDENTE"),AND(ISNUMBER(R543),R543=TODAY())),"ATENÇÃO",IF(N(K543)=0,"PENDENTE","EM ANDAMENTO"))))))</f>
        <v/>
      </c>
      <c r="C543" s="3">
        <f>IF(D543="","",IF(V543=0,"🟢 OK",IF(D543&lt;corte,"⚪ HISTÓRICO (sem baixa)",IF(AND(ISNUMBER(R543),R543&lt;TODAY()),"🔴 PRAZO VENCIDO",IF(AND(OR(N543="PENDENTE",N543="PARCIAL"),D543&lt;TODAY()-1),"🔴 EMBARQUE ATRASADO",IF(AND(N543="REALIZADO",M543="PENDENTE"),"🟡 EMBARCADO SEM FATURAR",IF(AND(P543&lt;&gt;"",S543="",OR(Q543="",R543="")),"🟡 PENDÊNCIA SEM RESPONSÁVEL/PRAZO",IF(AND(ISNUMBER(R543),R543=TODAY()),"🟡 VENCE HOJE",IF(AND(P543&lt;&gt;"",S543=""),"🟡 PENDÊNCIA ABERTA",IF(AND(N(J543)&gt;0,N(K543)&lt;J543),"🟡 FALTA EXECUTAR",IF(OR(M543="PENDENTE",M543="PARCIAL"),"🟡 FATURAMENTO PENDENTE","🟡 EMBARQUE PENDENTE")))))))))))</f>
        <v/>
      </c>
      <c r="D543" s="4" t="n">
        <v>46260</v>
      </c>
      <c r="E543" s="5" t="inlineStr">
        <is>
          <t>B</t>
        </is>
      </c>
      <c r="F543" s="5" t="inlineStr">
        <is>
          <t>THIAGO</t>
        </is>
      </c>
      <c r="G543" s="5" t="n"/>
      <c r="H543" s="5" t="inlineStr">
        <is>
          <t>SMARTLOG AGENDADAS</t>
        </is>
      </c>
      <c r="I543" s="5" t="inlineStr">
        <is>
          <t>TON</t>
        </is>
      </c>
      <c r="J543" s="6" t="n">
        <v>37.784</v>
      </c>
      <c r="K543" s="6" t="n">
        <v>14.737</v>
      </c>
      <c r="L543" s="7">
        <f>IF(OR(D543="",N(J543)=0),"",MIN(1,N(K543)/J543))</f>
        <v/>
      </c>
      <c r="M543" s="5" t="n"/>
      <c r="N543" s="5" t="n"/>
      <c r="O543" s="5" t="n"/>
      <c r="P543" s="5" t="n"/>
      <c r="Q543" s="5" t="n"/>
      <c r="R543" s="4" t="n"/>
      <c r="S543" s="4" t="n"/>
      <c r="T543" s="5" t="n"/>
      <c r="U543" s="8">
        <f>IF(AND(V543=1,D543&lt;&gt;""),IF(D543&gt;=corte,TODAY()-D543,""),"")</f>
        <v/>
      </c>
      <c r="V543" s="8">
        <f>IF(D543="",0,IF(OR(AND(P543&lt;&gt;"",S543=""),AND(N(J543)&gt;0,N(K543)&lt;J543),OR(M543="PENDENTE",M543="PARCIAL"),OR(N543="PENDENTE",N543="PARCIAL")),1,0))</f>
        <v/>
      </c>
      <c r="W543" s="8">
        <f>IF(AND(V543=1,D543&lt;&gt;""),IF(D543&gt;=corte,(B543="CRÍTICO")*1E9+(100000-D543)*10000+10000-ROW(),""),"")</f>
        <v/>
      </c>
      <c r="X543" s="8">
        <f>IF(AND(V543=1,D543=pas_data,E543=pas_turno),10000-ROW(),"")</f>
        <v/>
      </c>
    </row>
    <row r="544">
      <c r="A544" s="3">
        <f>IF(D544="","","TT-"&amp;TEXT(ROW()-1,"00000"))</f>
        <v/>
      </c>
      <c r="B544" s="3">
        <f>IF(D544="","",IF(V544=0,"CONCLUÍDO",IF(D544&lt;corte,"HISTÓRICO",IF(OR(AND(ISNUMBER(R544),R544&lt;TODAY()),AND(OR(N544="PENDENTE",N544="PARCIAL"),D544&lt;TODAY()-1)),"CRÍTICO",IF(OR(AND(P544&lt;&gt;"",S544=""),AND(N544="REALIZADO",M544="PENDENTE"),AND(ISNUMBER(R544),R544=TODAY())),"ATENÇÃO",IF(N(K544)=0,"PENDENTE","EM ANDAMENTO"))))))</f>
        <v/>
      </c>
      <c r="C544" s="3">
        <f>IF(D544="","",IF(V544=0,"🟢 OK",IF(D544&lt;corte,"⚪ HISTÓRICO (sem baixa)",IF(AND(ISNUMBER(R544),R544&lt;TODAY()),"🔴 PRAZO VENCIDO",IF(AND(OR(N544="PENDENTE",N544="PARCIAL"),D544&lt;TODAY()-1),"🔴 EMBARQUE ATRASADO",IF(AND(N544="REALIZADO",M544="PENDENTE"),"🟡 EMBARCADO SEM FATURAR",IF(AND(P544&lt;&gt;"",S544="",OR(Q544="",R544="")),"🟡 PENDÊNCIA SEM RESPONSÁVEL/PRAZO",IF(AND(ISNUMBER(R544),R544=TODAY()),"🟡 VENCE HOJE",IF(AND(P544&lt;&gt;"",S544=""),"🟡 PENDÊNCIA ABERTA",IF(AND(N(J544)&gt;0,N(K544)&lt;J544),"🟡 FALTA EXECUTAR",IF(OR(M544="PENDENTE",M544="PARCIAL"),"🟡 FATURAMENTO PENDENTE","🟡 EMBARQUE PENDENTE")))))))))))</f>
        <v/>
      </c>
      <c r="D544" s="4" t="n">
        <v>46260</v>
      </c>
      <c r="E544" s="5" t="inlineStr">
        <is>
          <t>B</t>
        </is>
      </c>
      <c r="F544" s="5" t="inlineStr">
        <is>
          <t>THIAGO</t>
        </is>
      </c>
      <c r="G544" s="5" t="n"/>
      <c r="H544" s="5" t="inlineStr">
        <is>
          <t>SIENA</t>
        </is>
      </c>
      <c r="I544" s="5" t="inlineStr">
        <is>
          <t>TON</t>
        </is>
      </c>
      <c r="J544" s="6" t="n">
        <v>12.95</v>
      </c>
      <c r="K544" s="6" t="n">
        <v>12.95</v>
      </c>
      <c r="L544" s="7">
        <f>IF(OR(D544="",N(J544)=0),"",MIN(1,N(K544)/J544))</f>
        <v/>
      </c>
      <c r="M544" s="5" t="n"/>
      <c r="N544" s="5" t="n"/>
      <c r="O544" s="5" t="n"/>
      <c r="P544" s="5" t="n"/>
      <c r="Q544" s="5" t="n"/>
      <c r="R544" s="4" t="n"/>
      <c r="S544" s="4" t="n"/>
      <c r="T544" s="5" t="n"/>
      <c r="U544" s="8">
        <f>IF(AND(V544=1,D544&lt;&gt;""),IF(D544&gt;=corte,TODAY()-D544,""),"")</f>
        <v/>
      </c>
      <c r="V544" s="8">
        <f>IF(D544="",0,IF(OR(AND(P544&lt;&gt;"",S544=""),AND(N(J544)&gt;0,N(K544)&lt;J544),OR(M544="PENDENTE",M544="PARCIAL"),OR(N544="PENDENTE",N544="PARCIAL")),1,0))</f>
        <v/>
      </c>
      <c r="W544" s="8">
        <f>IF(AND(V544=1,D544&lt;&gt;""),IF(D544&gt;=corte,(B544="CRÍTICO")*1E9+(100000-D544)*10000+10000-ROW(),""),"")</f>
        <v/>
      </c>
      <c r="X544" s="8">
        <f>IF(AND(V544=1,D544=pas_data,E544=pas_turno),10000-ROW(),"")</f>
        <v/>
      </c>
    </row>
    <row r="545">
      <c r="A545" s="3">
        <f>IF(D545="","","TT-"&amp;TEXT(ROW()-1,"00000"))</f>
        <v/>
      </c>
      <c r="B545" s="3">
        <f>IF(D545="","",IF(V545=0,"CONCLUÍDO",IF(D545&lt;corte,"HISTÓRICO",IF(OR(AND(ISNUMBER(R545),R545&lt;TODAY()),AND(OR(N545="PENDENTE",N545="PARCIAL"),D545&lt;TODAY()-1)),"CRÍTICO",IF(OR(AND(P545&lt;&gt;"",S545=""),AND(N545="REALIZADO",M545="PENDENTE"),AND(ISNUMBER(R545),R545=TODAY())),"ATENÇÃO",IF(N(K545)=0,"PENDENTE","EM ANDAMENTO"))))))</f>
        <v/>
      </c>
      <c r="C545" s="3">
        <f>IF(D545="","",IF(V545=0,"🟢 OK",IF(D545&lt;corte,"⚪ HISTÓRICO (sem baixa)",IF(AND(ISNUMBER(R545),R545&lt;TODAY()),"🔴 PRAZO VENCIDO",IF(AND(OR(N545="PENDENTE",N545="PARCIAL"),D545&lt;TODAY()-1),"🔴 EMBARQUE ATRASADO",IF(AND(N545="REALIZADO",M545="PENDENTE"),"🟡 EMBARCADO SEM FATURAR",IF(AND(P545&lt;&gt;"",S545="",OR(Q545="",R545="")),"🟡 PENDÊNCIA SEM RESPONSÁVEL/PRAZO",IF(AND(ISNUMBER(R545),R545=TODAY()),"🟡 VENCE HOJE",IF(AND(P545&lt;&gt;"",S545=""),"🟡 PENDÊNCIA ABERTA",IF(AND(N(J545)&gt;0,N(K545)&lt;J545),"🟡 FALTA EXECUTAR",IF(OR(M545="PENDENTE",M545="PARCIAL"),"🟡 FATURAMENTO PENDENTE","🟡 EMBARQUE PENDENTE")))))))))))</f>
        <v/>
      </c>
      <c r="D545" s="4" t="n">
        <v>46260</v>
      </c>
      <c r="E545" s="5" t="inlineStr">
        <is>
          <t>B</t>
        </is>
      </c>
      <c r="F545" s="5" t="inlineStr">
        <is>
          <t>THIAGO</t>
        </is>
      </c>
      <c r="G545" s="5" t="n"/>
      <c r="H545" s="5" t="inlineStr">
        <is>
          <t>PANDURATA</t>
        </is>
      </c>
      <c r="I545" s="5" t="inlineStr">
        <is>
          <t>TON</t>
        </is>
      </c>
      <c r="J545" s="6" t="n">
        <v>23.562</v>
      </c>
      <c r="K545" s="6" t="n">
        <v>23.562</v>
      </c>
      <c r="L545" s="7">
        <f>IF(OR(D545="",N(J545)=0),"",MIN(1,N(K545)/J545))</f>
        <v/>
      </c>
      <c r="M545" s="5" t="n"/>
      <c r="N545" s="5" t="n"/>
      <c r="O545" s="5" t="n"/>
      <c r="P545" s="5" t="n"/>
      <c r="Q545" s="5" t="n"/>
      <c r="R545" s="4" t="n"/>
      <c r="S545" s="4" t="n"/>
      <c r="T545" s="5" t="n"/>
      <c r="U545" s="8">
        <f>IF(AND(V545=1,D545&lt;&gt;""),IF(D545&gt;=corte,TODAY()-D545,""),"")</f>
        <v/>
      </c>
      <c r="V545" s="8">
        <f>IF(D545="",0,IF(OR(AND(P545&lt;&gt;"",S545=""),AND(N(J545)&gt;0,N(K545)&lt;J545),OR(M545="PENDENTE",M545="PARCIAL"),OR(N545="PENDENTE",N545="PARCIAL")),1,0))</f>
        <v/>
      </c>
      <c r="W545" s="8">
        <f>IF(AND(V545=1,D545&lt;&gt;""),IF(D545&gt;=corte,(B545="CRÍTICO")*1E9+(100000-D545)*10000+10000-ROW(),""),"")</f>
        <v/>
      </c>
      <c r="X545" s="8">
        <f>IF(AND(V545=1,D545=pas_data,E545=pas_turno),10000-ROW(),"")</f>
        <v/>
      </c>
    </row>
    <row r="546">
      <c r="A546" s="3">
        <f>IF(D546="","","TT-"&amp;TEXT(ROW()-1,"00000"))</f>
        <v/>
      </c>
      <c r="B546" s="3">
        <f>IF(D546="","",IF(V546=0,"CONCLUÍDO",IF(D546&lt;corte,"HISTÓRICO",IF(OR(AND(ISNUMBER(R546),R546&lt;TODAY()),AND(OR(N546="PENDENTE",N546="PARCIAL"),D546&lt;TODAY()-1)),"CRÍTICO",IF(OR(AND(P546&lt;&gt;"",S546=""),AND(N546="REALIZADO",M546="PENDENTE"),AND(ISNUMBER(R546),R546=TODAY())),"ATENÇÃO",IF(N(K546)=0,"PENDENTE","EM ANDAMENTO"))))))</f>
        <v/>
      </c>
      <c r="C546" s="3">
        <f>IF(D546="","",IF(V546=0,"🟢 OK",IF(D546&lt;corte,"⚪ HISTÓRICO (sem baixa)",IF(AND(ISNUMBER(R546),R546&lt;TODAY()),"🔴 PRAZO VENCIDO",IF(AND(OR(N546="PENDENTE",N546="PARCIAL"),D546&lt;TODAY()-1),"🔴 EMBARQUE ATRASADO",IF(AND(N546="REALIZADO",M546="PENDENTE"),"🟡 EMBARCADO SEM FATURAR",IF(AND(P546&lt;&gt;"",S546="",OR(Q546="",R546="")),"🟡 PENDÊNCIA SEM RESPONSÁVEL/PRAZO",IF(AND(ISNUMBER(R546),R546=TODAY()),"🟡 VENCE HOJE",IF(AND(P546&lt;&gt;"",S546=""),"🟡 PENDÊNCIA ABERTA",IF(AND(N(J546)&gt;0,N(K546)&lt;J546),"🟡 FALTA EXECUTAR",IF(OR(M546="PENDENTE",M546="PARCIAL"),"🟡 FATURAMENTO PENDENTE","🟡 EMBARQUE PENDENTE")))))))))))</f>
        <v/>
      </c>
      <c r="D546" s="4" t="n">
        <v>46260</v>
      </c>
      <c r="E546" s="5" t="inlineStr">
        <is>
          <t>B</t>
        </is>
      </c>
      <c r="F546" s="5" t="inlineStr">
        <is>
          <t>THIAGO</t>
        </is>
      </c>
      <c r="G546" s="5" t="n"/>
      <c r="H546" s="5" t="inlineStr">
        <is>
          <t>RFC</t>
        </is>
      </c>
      <c r="I546" s="5" t="inlineStr">
        <is>
          <t>TON</t>
        </is>
      </c>
      <c r="J546" s="6" t="n">
        <v>18.468</v>
      </c>
      <c r="K546" s="6" t="n">
        <v>18.468</v>
      </c>
      <c r="L546" s="7">
        <f>IF(OR(D546="",N(J546)=0),"",MIN(1,N(K546)/J546))</f>
        <v/>
      </c>
      <c r="M546" s="5" t="n"/>
      <c r="N546" s="5" t="n"/>
      <c r="O546" s="5" t="n"/>
      <c r="P546" s="5" t="n"/>
      <c r="Q546" s="5" t="n"/>
      <c r="R546" s="4" t="n"/>
      <c r="S546" s="4" t="n"/>
      <c r="T546" s="5" t="n"/>
      <c r="U546" s="8">
        <f>IF(AND(V546=1,D546&lt;&gt;""),IF(D546&gt;=corte,TODAY()-D546,""),"")</f>
        <v/>
      </c>
      <c r="V546" s="8">
        <f>IF(D546="",0,IF(OR(AND(P546&lt;&gt;"",S546=""),AND(N(J546)&gt;0,N(K546)&lt;J546),OR(M546="PENDENTE",M546="PARCIAL"),OR(N546="PENDENTE",N546="PARCIAL")),1,0))</f>
        <v/>
      </c>
      <c r="W546" s="8">
        <f>IF(AND(V546=1,D546&lt;&gt;""),IF(D546&gt;=corte,(B546="CRÍTICO")*1E9+(100000-D546)*10000+10000-ROW(),""),"")</f>
        <v/>
      </c>
      <c r="X546" s="8">
        <f>IF(AND(V546=1,D546=pas_data,E546=pas_turno),10000-ROW(),"")</f>
        <v/>
      </c>
    </row>
    <row r="547">
      <c r="A547" s="3">
        <f>IF(D547="","","TT-"&amp;TEXT(ROW()-1,"00000"))</f>
        <v/>
      </c>
      <c r="B547" s="3">
        <f>IF(D547="","",IF(V547=0,"CONCLUÍDO",IF(D547&lt;corte,"HISTÓRICO",IF(OR(AND(ISNUMBER(R547),R547&lt;TODAY()),AND(OR(N547="PENDENTE",N547="PARCIAL"),D547&lt;TODAY()-1)),"CRÍTICO",IF(OR(AND(P547&lt;&gt;"",S547=""),AND(N547="REALIZADO",M547="PENDENTE"),AND(ISNUMBER(R547),R547=TODAY())),"ATENÇÃO",IF(N(K547)=0,"PENDENTE","EM ANDAMENTO"))))))</f>
        <v/>
      </c>
      <c r="C547" s="3">
        <f>IF(D547="","",IF(V547=0,"🟢 OK",IF(D547&lt;corte,"⚪ HISTÓRICO (sem baixa)",IF(AND(ISNUMBER(R547),R547&lt;TODAY()),"🔴 PRAZO VENCIDO",IF(AND(OR(N547="PENDENTE",N547="PARCIAL"),D547&lt;TODAY()-1),"🔴 EMBARQUE ATRASADO",IF(AND(N547="REALIZADO",M547="PENDENTE"),"🟡 EMBARCADO SEM FATURAR",IF(AND(P547&lt;&gt;"",S547="",OR(Q547="",R547="")),"🟡 PENDÊNCIA SEM RESPONSÁVEL/PRAZO",IF(AND(ISNUMBER(R547),R547=TODAY()),"🟡 VENCE HOJE",IF(AND(P547&lt;&gt;"",S547=""),"🟡 PENDÊNCIA ABERTA",IF(AND(N(J547)&gt;0,N(K547)&lt;J547),"🟡 FALTA EXECUTAR",IF(OR(M547="PENDENTE",M547="PARCIAL"),"🟡 FATURAMENTO PENDENTE","🟡 EMBARQUE PENDENTE")))))))))))</f>
        <v/>
      </c>
      <c r="D547" s="4" t="n">
        <v>46260</v>
      </c>
      <c r="E547" s="5" t="inlineStr">
        <is>
          <t>B</t>
        </is>
      </c>
      <c r="F547" s="5" t="inlineStr">
        <is>
          <t>THIAGO</t>
        </is>
      </c>
      <c r="G547" s="5" t="n"/>
      <c r="H547" s="5" t="inlineStr">
        <is>
          <t>RIBBERFOODS</t>
        </is>
      </c>
      <c r="I547" s="5" t="inlineStr">
        <is>
          <t>TON</t>
        </is>
      </c>
      <c r="J547" s="6" t="n">
        <v>5.081</v>
      </c>
      <c r="K547" s="6" t="n">
        <v>5.081</v>
      </c>
      <c r="L547" s="7">
        <f>IF(OR(D547="",N(J547)=0),"",MIN(1,N(K547)/J547))</f>
        <v/>
      </c>
      <c r="M547" s="5" t="n"/>
      <c r="N547" s="5" t="n"/>
      <c r="O547" s="5" t="n"/>
      <c r="P547" s="5" t="n"/>
      <c r="Q547" s="5" t="n"/>
      <c r="R547" s="4" t="n"/>
      <c r="S547" s="4" t="n"/>
      <c r="T547" s="5" t="n"/>
      <c r="U547" s="8">
        <f>IF(AND(V547=1,D547&lt;&gt;""),IF(D547&gt;=corte,TODAY()-D547,""),"")</f>
        <v/>
      </c>
      <c r="V547" s="8">
        <f>IF(D547="",0,IF(OR(AND(P547&lt;&gt;"",S547=""),AND(N(J547)&gt;0,N(K547)&lt;J547),OR(M547="PENDENTE",M547="PARCIAL"),OR(N547="PENDENTE",N547="PARCIAL")),1,0))</f>
        <v/>
      </c>
      <c r="W547" s="8">
        <f>IF(AND(V547=1,D547&lt;&gt;""),IF(D547&gt;=corte,(B547="CRÍTICO")*1E9+(100000-D547)*10000+10000-ROW(),""),"")</f>
        <v/>
      </c>
      <c r="X547" s="8">
        <f>IF(AND(V547=1,D547=pas_data,E547=pas_turno),10000-ROW(),"")</f>
        <v/>
      </c>
    </row>
    <row r="548">
      <c r="A548" s="3">
        <f>IF(D548="","","TT-"&amp;TEXT(ROW()-1,"00000"))</f>
        <v/>
      </c>
      <c r="B548" s="3">
        <f>IF(D548="","",IF(V548=0,"CONCLUÍDO",IF(D548&lt;corte,"HISTÓRICO",IF(OR(AND(ISNUMBER(R548),R548&lt;TODAY()),AND(OR(N548="PENDENTE",N548="PARCIAL"),D548&lt;TODAY()-1)),"CRÍTICO",IF(OR(AND(P548&lt;&gt;"",S548=""),AND(N548="REALIZADO",M548="PENDENTE"),AND(ISNUMBER(R548),R548=TODAY())),"ATENÇÃO",IF(N(K548)=0,"PENDENTE","EM ANDAMENTO"))))))</f>
        <v/>
      </c>
      <c r="C548" s="3">
        <f>IF(D548="","",IF(V548=0,"🟢 OK",IF(D548&lt;corte,"⚪ HISTÓRICO (sem baixa)",IF(AND(ISNUMBER(R548),R548&lt;TODAY()),"🔴 PRAZO VENCIDO",IF(AND(OR(N548="PENDENTE",N548="PARCIAL"),D548&lt;TODAY()-1),"🔴 EMBARQUE ATRASADO",IF(AND(N548="REALIZADO",M548="PENDENTE"),"🟡 EMBARCADO SEM FATURAR",IF(AND(P548&lt;&gt;"",S548="",OR(Q548="",R548="")),"🟡 PENDÊNCIA SEM RESPONSÁVEL/PRAZO",IF(AND(ISNUMBER(R548),R548=TODAY()),"🟡 VENCE HOJE",IF(AND(P548&lt;&gt;"",S548=""),"🟡 PENDÊNCIA ABERTA",IF(AND(N(J548)&gt;0,N(K548)&lt;J548),"🟡 FALTA EXECUTAR",IF(OR(M548="PENDENTE",M548="PARCIAL"),"🟡 FATURAMENTO PENDENTE","🟡 EMBARQUE PENDENTE")))))))))))</f>
        <v/>
      </c>
      <c r="D548" s="4" t="n">
        <v>46260</v>
      </c>
      <c r="E548" s="5" t="inlineStr">
        <is>
          <t>B</t>
        </is>
      </c>
      <c r="F548" s="5" t="inlineStr">
        <is>
          <t>THIAGO</t>
        </is>
      </c>
      <c r="G548" s="5" t="n"/>
      <c r="H548" s="5" t="inlineStr">
        <is>
          <t>LOJA DOCE</t>
        </is>
      </c>
      <c r="I548" s="5" t="inlineStr">
        <is>
          <t>TON</t>
        </is>
      </c>
      <c r="J548" s="6" t="n">
        <v>14.733</v>
      </c>
      <c r="K548" s="6" t="n">
        <v>14.733</v>
      </c>
      <c r="L548" s="7">
        <f>IF(OR(D548="",N(J548)=0),"",MIN(1,N(K548)/J548))</f>
        <v/>
      </c>
      <c r="M548" s="5" t="n"/>
      <c r="N548" s="5" t="n"/>
      <c r="O548" s="5" t="n"/>
      <c r="P548" s="5" t="n"/>
      <c r="Q548" s="5" t="n"/>
      <c r="R548" s="4" t="n"/>
      <c r="S548" s="4" t="n"/>
      <c r="T548" s="5" t="n"/>
      <c r="U548" s="8">
        <f>IF(AND(V548=1,D548&lt;&gt;""),IF(D548&gt;=corte,TODAY()-D548,""),"")</f>
        <v/>
      </c>
      <c r="V548" s="8">
        <f>IF(D548="",0,IF(OR(AND(P548&lt;&gt;"",S548=""),AND(N(J548)&gt;0,N(K548)&lt;J548),OR(M548="PENDENTE",M548="PARCIAL"),OR(N548="PENDENTE",N548="PARCIAL")),1,0))</f>
        <v/>
      </c>
      <c r="W548" s="8">
        <f>IF(AND(V548=1,D548&lt;&gt;""),IF(D548&gt;=corte,(B548="CRÍTICO")*1E9+(100000-D548)*10000+10000-ROW(),""),"")</f>
        <v/>
      </c>
      <c r="X548" s="8">
        <f>IF(AND(V548=1,D548=pas_data,E548=pas_turno),10000-ROW(),"")</f>
        <v/>
      </c>
    </row>
    <row r="549">
      <c r="A549" s="3">
        <f>IF(D549="","","TT-"&amp;TEXT(ROW()-1,"00000"))</f>
        <v/>
      </c>
      <c r="B549" s="3">
        <f>IF(D549="","",IF(V549=0,"CONCLUÍDO",IF(D549&lt;corte,"HISTÓRICO",IF(OR(AND(ISNUMBER(R549),R549&lt;TODAY()),AND(OR(N549="PENDENTE",N549="PARCIAL"),D549&lt;TODAY()-1)),"CRÍTICO",IF(OR(AND(P549&lt;&gt;"",S549=""),AND(N549="REALIZADO",M549="PENDENTE"),AND(ISNUMBER(R549),R549=TODAY())),"ATENÇÃO",IF(N(K549)=0,"PENDENTE","EM ANDAMENTO"))))))</f>
        <v/>
      </c>
      <c r="C549" s="3">
        <f>IF(D549="","",IF(V549=0,"🟢 OK",IF(D549&lt;corte,"⚪ HISTÓRICO (sem baixa)",IF(AND(ISNUMBER(R549),R549&lt;TODAY()),"🔴 PRAZO VENCIDO",IF(AND(OR(N549="PENDENTE",N549="PARCIAL"),D549&lt;TODAY()-1),"🔴 EMBARQUE ATRASADO",IF(AND(N549="REALIZADO",M549="PENDENTE"),"🟡 EMBARCADO SEM FATURAR",IF(AND(P549&lt;&gt;"",S549="",OR(Q549="",R549="")),"🟡 PENDÊNCIA SEM RESPONSÁVEL/PRAZO",IF(AND(ISNUMBER(R549),R549=TODAY()),"🟡 VENCE HOJE",IF(AND(P549&lt;&gt;"",S549=""),"🟡 PENDÊNCIA ABERTA",IF(AND(N(J549)&gt;0,N(K549)&lt;J549),"🟡 FALTA EXECUTAR",IF(OR(M549="PENDENTE",M549="PARCIAL"),"🟡 FATURAMENTO PENDENTE","🟡 EMBARQUE PENDENTE")))))))))))</f>
        <v/>
      </c>
      <c r="D549" s="4" t="n">
        <v>46260</v>
      </c>
      <c r="E549" s="5" t="inlineStr">
        <is>
          <t>B</t>
        </is>
      </c>
      <c r="F549" s="5" t="inlineStr">
        <is>
          <t>THIAGO</t>
        </is>
      </c>
      <c r="G549" s="5" t="n"/>
      <c r="H549" s="5" t="inlineStr">
        <is>
          <t>PERFETTO</t>
        </is>
      </c>
      <c r="I549" s="5" t="inlineStr">
        <is>
          <t>TON</t>
        </is>
      </c>
      <c r="J549" s="6" t="n">
        <v>16.501</v>
      </c>
      <c r="K549" s="6" t="n">
        <v>16.501</v>
      </c>
      <c r="L549" s="7">
        <f>IF(OR(D549="",N(J549)=0),"",MIN(1,N(K549)/J549))</f>
        <v/>
      </c>
      <c r="M549" s="5" t="n"/>
      <c r="N549" s="5" t="n"/>
      <c r="O549" s="5" t="n"/>
      <c r="P549" s="5" t="n"/>
      <c r="Q549" s="5" t="n"/>
      <c r="R549" s="4" t="n"/>
      <c r="S549" s="4" t="n"/>
      <c r="T549" s="5" t="n"/>
      <c r="U549" s="8">
        <f>IF(AND(V549=1,D549&lt;&gt;""),IF(D549&gt;=corte,TODAY()-D549,""),"")</f>
        <v/>
      </c>
      <c r="V549" s="8">
        <f>IF(D549="",0,IF(OR(AND(P549&lt;&gt;"",S549=""),AND(N(J549)&gt;0,N(K549)&lt;J549),OR(M549="PENDENTE",M549="PARCIAL"),OR(N549="PENDENTE",N549="PARCIAL")),1,0))</f>
        <v/>
      </c>
      <c r="W549" s="8">
        <f>IF(AND(V549=1,D549&lt;&gt;""),IF(D549&gt;=corte,(B549="CRÍTICO")*1E9+(100000-D549)*10000+10000-ROW(),""),"")</f>
        <v/>
      </c>
      <c r="X549" s="8">
        <f>IF(AND(V549=1,D549=pas_data,E549=pas_turno),10000-ROW(),"")</f>
        <v/>
      </c>
    </row>
    <row r="550">
      <c r="A550" s="3">
        <f>IF(D550="","","TT-"&amp;TEXT(ROW()-1,"00000"))</f>
        <v/>
      </c>
      <c r="B550" s="3">
        <f>IF(D550="","",IF(V550=0,"CONCLUÍDO",IF(D550&lt;corte,"HISTÓRICO",IF(OR(AND(ISNUMBER(R550),R550&lt;TODAY()),AND(OR(N550="PENDENTE",N550="PARCIAL"),D550&lt;TODAY()-1)),"CRÍTICO",IF(OR(AND(P550&lt;&gt;"",S550=""),AND(N550="REALIZADO",M550="PENDENTE"),AND(ISNUMBER(R550),R550=TODAY())),"ATENÇÃO",IF(N(K550)=0,"PENDENTE","EM ANDAMENTO"))))))</f>
        <v/>
      </c>
      <c r="C550" s="3">
        <f>IF(D550="","",IF(V550=0,"🟢 OK",IF(D550&lt;corte,"⚪ HISTÓRICO (sem baixa)",IF(AND(ISNUMBER(R550),R550&lt;TODAY()),"🔴 PRAZO VENCIDO",IF(AND(OR(N550="PENDENTE",N550="PARCIAL"),D550&lt;TODAY()-1),"🔴 EMBARQUE ATRASADO",IF(AND(N550="REALIZADO",M550="PENDENTE"),"🟡 EMBARCADO SEM FATURAR",IF(AND(P550&lt;&gt;"",S550="",OR(Q550="",R550="")),"🟡 PENDÊNCIA SEM RESPONSÁVEL/PRAZO",IF(AND(ISNUMBER(R550),R550=TODAY()),"🟡 VENCE HOJE",IF(AND(P550&lt;&gt;"",S550=""),"🟡 PENDÊNCIA ABERTA",IF(AND(N(J550)&gt;0,N(K550)&lt;J550),"🟡 FALTA EXECUTAR",IF(OR(M550="PENDENTE",M550="PARCIAL"),"🟡 FATURAMENTO PENDENTE","🟡 EMBARQUE PENDENTE")))))))))))</f>
        <v/>
      </c>
      <c r="D550" s="4" t="n">
        <v>46260</v>
      </c>
      <c r="E550" s="5" t="inlineStr">
        <is>
          <t>B</t>
        </is>
      </c>
      <c r="F550" s="5" t="inlineStr">
        <is>
          <t>THIAGO</t>
        </is>
      </c>
      <c r="G550" s="5" t="n"/>
      <c r="H550" s="5" t="inlineStr">
        <is>
          <t>PANDURATA</t>
        </is>
      </c>
      <c r="I550" s="5" t="n"/>
      <c r="J550" s="6" t="n"/>
      <c r="K550" s="6" t="n"/>
      <c r="L550" s="7">
        <f>IF(OR(D550="",N(J550)=0),"",MIN(1,N(K550)/J550))</f>
        <v/>
      </c>
      <c r="M550" s="5" t="n"/>
      <c r="N550" s="5" t="n"/>
      <c r="O550" s="5" t="n"/>
      <c r="P550" s="5" t="n"/>
      <c r="Q550" s="5" t="n"/>
      <c r="R550" s="4" t="n"/>
      <c r="S550" s="4" t="n"/>
      <c r="T550" s="5" t="n"/>
      <c r="U550" s="8">
        <f>IF(AND(V550=1,D550&lt;&gt;""),IF(D550&gt;=corte,TODAY()-D550,""),"")</f>
        <v/>
      </c>
      <c r="V550" s="8">
        <f>IF(D550="",0,IF(OR(AND(P550&lt;&gt;"",S550=""),AND(N(J550)&gt;0,N(K550)&lt;J550),OR(M550="PENDENTE",M550="PARCIAL"),OR(N550="PENDENTE",N550="PARCIAL")),1,0))</f>
        <v/>
      </c>
      <c r="W550" s="8">
        <f>IF(AND(V550=1,D550&lt;&gt;""),IF(D550&gt;=corte,(B550="CRÍTICO")*1E9+(100000-D550)*10000+10000-ROW(),""),"")</f>
        <v/>
      </c>
      <c r="X550" s="8">
        <f>IF(AND(V550=1,D550=pas_data,E550=pas_turno),10000-ROW(),"")</f>
        <v/>
      </c>
    </row>
    <row r="551">
      <c r="A551" s="3">
        <f>IF(D551="","","TT-"&amp;TEXT(ROW()-1,"00000"))</f>
        <v/>
      </c>
      <c r="B551" s="3">
        <f>IF(D551="","",IF(V551=0,"CONCLUÍDO",IF(D551&lt;corte,"HISTÓRICO",IF(OR(AND(ISNUMBER(R551),R551&lt;TODAY()),AND(OR(N551="PENDENTE",N551="PARCIAL"),D551&lt;TODAY()-1)),"CRÍTICO",IF(OR(AND(P551&lt;&gt;"",S551=""),AND(N551="REALIZADO",M551="PENDENTE"),AND(ISNUMBER(R551),R551=TODAY())),"ATENÇÃO",IF(N(K551)=0,"PENDENTE","EM ANDAMENTO"))))))</f>
        <v/>
      </c>
      <c r="C551" s="3">
        <f>IF(D551="","",IF(V551=0,"🟢 OK",IF(D551&lt;corte,"⚪ HISTÓRICO (sem baixa)",IF(AND(ISNUMBER(R551),R551&lt;TODAY()),"🔴 PRAZO VENCIDO",IF(AND(OR(N551="PENDENTE",N551="PARCIAL"),D551&lt;TODAY()-1),"🔴 EMBARQUE ATRASADO",IF(AND(N551="REALIZADO",M551="PENDENTE"),"🟡 EMBARCADO SEM FATURAR",IF(AND(P551&lt;&gt;"",S551="",OR(Q551="",R551="")),"🟡 PENDÊNCIA SEM RESPONSÁVEL/PRAZO",IF(AND(ISNUMBER(R551),R551=TODAY()),"🟡 VENCE HOJE",IF(AND(P551&lt;&gt;"",S551=""),"🟡 PENDÊNCIA ABERTA",IF(AND(N(J551)&gt;0,N(K551)&lt;J551),"🟡 FALTA EXECUTAR",IF(OR(M551="PENDENTE",M551="PARCIAL"),"🟡 FATURAMENTO PENDENTE","🟡 EMBARQUE PENDENTE")))))))))))</f>
        <v/>
      </c>
      <c r="D551" s="4" t="n">
        <v>46260</v>
      </c>
      <c r="E551" s="5" t="inlineStr">
        <is>
          <t>B</t>
        </is>
      </c>
      <c r="F551" s="5" t="inlineStr">
        <is>
          <t>THIAGO</t>
        </is>
      </c>
      <c r="G551" s="5" t="n"/>
      <c r="H551" s="5" t="inlineStr">
        <is>
          <t>FLOOR</t>
        </is>
      </c>
      <c r="I551" s="5" t="inlineStr">
        <is>
          <t>PALETE</t>
        </is>
      </c>
      <c r="J551" s="6" t="n">
        <v>155</v>
      </c>
      <c r="K551" s="6" t="n">
        <v>155</v>
      </c>
      <c r="L551" s="7">
        <f>IF(OR(D551="",N(J551)=0),"",MIN(1,N(K551)/J551))</f>
        <v/>
      </c>
      <c r="M551" s="5" t="n"/>
      <c r="N551" s="5" t="n"/>
      <c r="O551" s="5" t="n"/>
      <c r="P551" s="5" t="n"/>
      <c r="Q551" s="5" t="n"/>
      <c r="R551" s="4" t="n"/>
      <c r="S551" s="4" t="n"/>
      <c r="T551" s="5" t="n"/>
      <c r="U551" s="8">
        <f>IF(AND(V551=1,D551&lt;&gt;""),IF(D551&gt;=corte,TODAY()-D551,""),"")</f>
        <v/>
      </c>
      <c r="V551" s="8">
        <f>IF(D551="",0,IF(OR(AND(P551&lt;&gt;"",S551=""),AND(N(J551)&gt;0,N(K551)&lt;J551),OR(M551="PENDENTE",M551="PARCIAL"),OR(N551="PENDENTE",N551="PARCIAL")),1,0))</f>
        <v/>
      </c>
      <c r="W551" s="8">
        <f>IF(AND(V551=1,D551&lt;&gt;""),IF(D551&gt;=corte,(B551="CRÍTICO")*1E9+(100000-D551)*10000+10000-ROW(),""),"")</f>
        <v/>
      </c>
      <c r="X551" s="8">
        <f>IF(AND(V551=1,D551=pas_data,E551=pas_turno),10000-ROW(),"")</f>
        <v/>
      </c>
    </row>
    <row r="552">
      <c r="A552" s="3">
        <f>IF(D552="","","TT-"&amp;TEXT(ROW()-1,"00000"))</f>
        <v/>
      </c>
      <c r="B552" s="3">
        <f>IF(D552="","",IF(V552=0,"CONCLUÍDO",IF(D552&lt;corte,"HISTÓRICO",IF(OR(AND(ISNUMBER(R552),R552&lt;TODAY()),AND(OR(N552="PENDENTE",N552="PARCIAL"),D552&lt;TODAY()-1)),"CRÍTICO",IF(OR(AND(P552&lt;&gt;"",S552=""),AND(N552="REALIZADO",M552="PENDENTE"),AND(ISNUMBER(R552),R552=TODAY())),"ATENÇÃO",IF(N(K552)=0,"PENDENTE","EM ANDAMENTO"))))))</f>
        <v/>
      </c>
      <c r="C552" s="3">
        <f>IF(D552="","",IF(V552=0,"🟢 OK",IF(D552&lt;corte,"⚪ HISTÓRICO (sem baixa)",IF(AND(ISNUMBER(R552),R552&lt;TODAY()),"🔴 PRAZO VENCIDO",IF(AND(OR(N552="PENDENTE",N552="PARCIAL"),D552&lt;TODAY()-1),"🔴 EMBARQUE ATRASADO",IF(AND(N552="REALIZADO",M552="PENDENTE"),"🟡 EMBARCADO SEM FATURAR",IF(AND(P552&lt;&gt;"",S552="",OR(Q552="",R552="")),"🟡 PENDÊNCIA SEM RESPONSÁVEL/PRAZO",IF(AND(ISNUMBER(R552),R552=TODAY()),"🟡 VENCE HOJE",IF(AND(P552&lt;&gt;"",S552=""),"🟡 PENDÊNCIA ABERTA",IF(AND(N(J552)&gt;0,N(K552)&lt;J552),"🟡 FALTA EXECUTAR",IF(OR(M552="PENDENTE",M552="PARCIAL"),"🟡 FATURAMENTO PENDENTE","🟡 EMBARQUE PENDENTE")))))))))))</f>
        <v/>
      </c>
      <c r="D552" s="4" t="n">
        <v>46261</v>
      </c>
      <c r="E552" s="5" t="inlineStr">
        <is>
          <t>C</t>
        </is>
      </c>
      <c r="F552" s="5" t="inlineStr">
        <is>
          <t>ADIB</t>
        </is>
      </c>
      <c r="G552" s="5" t="inlineStr">
        <is>
          <t>FM</t>
        </is>
      </c>
      <c r="H552" s="5" t="inlineStr">
        <is>
          <t>NESTLÉ</t>
        </is>
      </c>
      <c r="I552" s="5" t="inlineStr">
        <is>
          <t>TON</t>
        </is>
      </c>
      <c r="J552" s="6" t="n">
        <v>10.79</v>
      </c>
      <c r="K552" s="6" t="n">
        <v>10.79</v>
      </c>
      <c r="L552" s="7">
        <f>IF(OR(D552="",N(J552)=0),"",MIN(1,N(K552)/J552))</f>
        <v/>
      </c>
      <c r="M552" s="5" t="inlineStr">
        <is>
          <t>FATURADO</t>
        </is>
      </c>
      <c r="N552" s="5" t="inlineStr">
        <is>
          <t>REALIZADO</t>
        </is>
      </c>
      <c r="O552" s="5" t="inlineStr">
        <is>
          <t>SPEEDYLOG</t>
        </is>
      </c>
      <c r="P552" s="5" t="n"/>
      <c r="Q552" s="5" t="n"/>
      <c r="R552" s="4" t="n"/>
      <c r="S552" s="4" t="n"/>
      <c r="T552" s="5" t="inlineStr">
        <is>
          <t>CARGA SEPARADA FATURADA CARREGADA E LIBERADA</t>
        </is>
      </c>
      <c r="U552" s="8">
        <f>IF(AND(V552=1,D552&lt;&gt;""),IF(D552&gt;=corte,TODAY()-D552,""),"")</f>
        <v/>
      </c>
      <c r="V552" s="8">
        <f>IF(D552="",0,IF(OR(AND(P552&lt;&gt;"",S552=""),AND(N(J552)&gt;0,N(K552)&lt;J552),OR(M552="PENDENTE",M552="PARCIAL"),OR(N552="PENDENTE",N552="PARCIAL")),1,0))</f>
        <v/>
      </c>
      <c r="W552" s="8">
        <f>IF(AND(V552=1,D552&lt;&gt;""),IF(D552&gt;=corte,(B552="CRÍTICO")*1E9+(100000-D552)*10000+10000-ROW(),""),"")</f>
        <v/>
      </c>
      <c r="X552" s="8">
        <f>IF(AND(V552=1,D552=pas_data,E552=pas_turno),10000-ROW(),"")</f>
        <v/>
      </c>
    </row>
    <row r="553">
      <c r="A553" s="3">
        <f>IF(D553="","","TT-"&amp;TEXT(ROW()-1,"00000"))</f>
        <v/>
      </c>
      <c r="B553" s="3">
        <f>IF(D553="","",IF(V553=0,"CONCLUÍDO",IF(D553&lt;corte,"HISTÓRICO",IF(OR(AND(ISNUMBER(R553),R553&lt;TODAY()),AND(OR(N553="PENDENTE",N553="PARCIAL"),D553&lt;TODAY()-1)),"CRÍTICO",IF(OR(AND(P553&lt;&gt;"",S553=""),AND(N553="REALIZADO",M553="PENDENTE"),AND(ISNUMBER(R553),R553=TODAY())),"ATENÇÃO",IF(N(K553)=0,"PENDENTE","EM ANDAMENTO"))))))</f>
        <v/>
      </c>
      <c r="C553" s="3">
        <f>IF(D553="","",IF(V553=0,"🟢 OK",IF(D553&lt;corte,"⚪ HISTÓRICO (sem baixa)",IF(AND(ISNUMBER(R553),R553&lt;TODAY()),"🔴 PRAZO VENCIDO",IF(AND(OR(N553="PENDENTE",N553="PARCIAL"),D553&lt;TODAY()-1),"🔴 EMBARQUE ATRASADO",IF(AND(N553="REALIZADO",M553="PENDENTE"),"🟡 EMBARCADO SEM FATURAR",IF(AND(P553&lt;&gt;"",S553="",OR(Q553="",R553="")),"🟡 PENDÊNCIA SEM RESPONSÁVEL/PRAZO",IF(AND(ISNUMBER(R553),R553=TODAY()),"🟡 VENCE HOJE",IF(AND(P553&lt;&gt;"",S553=""),"🟡 PENDÊNCIA ABERTA",IF(AND(N(J553)&gt;0,N(K553)&lt;J553),"🟡 FALTA EXECUTAR",IF(OR(M553="PENDENTE",M553="PARCIAL"),"🟡 FATURAMENTO PENDENTE","🟡 EMBARQUE PENDENTE")))))))))))</f>
        <v/>
      </c>
      <c r="D553" s="4" t="n">
        <v>46261</v>
      </c>
      <c r="E553" s="5" t="inlineStr">
        <is>
          <t>C</t>
        </is>
      </c>
      <c r="F553" s="5" t="inlineStr">
        <is>
          <t>ADIB</t>
        </is>
      </c>
      <c r="G553" s="5" t="inlineStr">
        <is>
          <t>FM</t>
        </is>
      </c>
      <c r="H553" s="5" t="inlineStr">
        <is>
          <t>M DIAS</t>
        </is>
      </c>
      <c r="I553" s="5" t="inlineStr">
        <is>
          <t>TON</t>
        </is>
      </c>
      <c r="J553" s="6" t="n">
        <v>8.632</v>
      </c>
      <c r="K553" s="6" t="n">
        <v>8.632</v>
      </c>
      <c r="L553" s="7">
        <f>IF(OR(D553="",N(J553)=0),"",MIN(1,N(K553)/J553))</f>
        <v/>
      </c>
      <c r="M553" s="5" t="inlineStr">
        <is>
          <t>FATURADO</t>
        </is>
      </c>
      <c r="N553" s="5" t="inlineStr">
        <is>
          <t>REALIZADO</t>
        </is>
      </c>
      <c r="O553" s="5" t="inlineStr">
        <is>
          <t>SPEEDYLOG</t>
        </is>
      </c>
      <c r="P553" s="5" t="n"/>
      <c r="Q553" s="5" t="n"/>
      <c r="R553" s="4" t="n"/>
      <c r="S553" s="4" t="n"/>
      <c r="T553" s="5" t="inlineStr">
        <is>
          <t>CARGA SEPARADA FATURADA CARREGADA E LIBERADA</t>
        </is>
      </c>
      <c r="U553" s="8">
        <f>IF(AND(V553=1,D553&lt;&gt;""),IF(D553&gt;=corte,TODAY()-D553,""),"")</f>
        <v/>
      </c>
      <c r="V553" s="8">
        <f>IF(D553="",0,IF(OR(AND(P553&lt;&gt;"",S553=""),AND(N(J553)&gt;0,N(K553)&lt;J553),OR(M553="PENDENTE",M553="PARCIAL"),OR(N553="PENDENTE",N553="PARCIAL")),1,0))</f>
        <v/>
      </c>
      <c r="W553" s="8">
        <f>IF(AND(V553=1,D553&lt;&gt;""),IF(D553&gt;=corte,(B553="CRÍTICO")*1E9+(100000-D553)*10000+10000-ROW(),""),"")</f>
        <v/>
      </c>
      <c r="X553" s="8">
        <f>IF(AND(V553=1,D553=pas_data,E553=pas_turno),10000-ROW(),"")</f>
        <v/>
      </c>
    </row>
    <row r="554">
      <c r="A554" s="3">
        <f>IF(D554="","","TT-"&amp;TEXT(ROW()-1,"00000"))</f>
        <v/>
      </c>
      <c r="B554" s="3">
        <f>IF(D554="","",IF(V554=0,"CONCLUÍDO",IF(D554&lt;corte,"HISTÓRICO",IF(OR(AND(ISNUMBER(R554),R554&lt;TODAY()),AND(OR(N554="PENDENTE",N554="PARCIAL"),D554&lt;TODAY()-1)),"CRÍTICO",IF(OR(AND(P554&lt;&gt;"",S554=""),AND(N554="REALIZADO",M554="PENDENTE"),AND(ISNUMBER(R554),R554=TODAY())),"ATENÇÃO",IF(N(K554)=0,"PENDENTE","EM ANDAMENTO"))))))</f>
        <v/>
      </c>
      <c r="C554" s="3">
        <f>IF(D554="","",IF(V554=0,"🟢 OK",IF(D554&lt;corte,"⚪ HISTÓRICO (sem baixa)",IF(AND(ISNUMBER(R554),R554&lt;TODAY()),"🔴 PRAZO VENCIDO",IF(AND(OR(N554="PENDENTE",N554="PARCIAL"),D554&lt;TODAY()-1),"🔴 EMBARQUE ATRASADO",IF(AND(N554="REALIZADO",M554="PENDENTE"),"🟡 EMBARCADO SEM FATURAR",IF(AND(P554&lt;&gt;"",S554="",OR(Q554="",R554="")),"🟡 PENDÊNCIA SEM RESPONSÁVEL/PRAZO",IF(AND(ISNUMBER(R554),R554=TODAY()),"🟡 VENCE HOJE",IF(AND(P554&lt;&gt;"",S554=""),"🟡 PENDÊNCIA ABERTA",IF(AND(N(J554)&gt;0,N(K554)&lt;J554),"🟡 FALTA EXECUTAR",IF(OR(M554="PENDENTE",M554="PARCIAL"),"🟡 FATURAMENTO PENDENTE","🟡 EMBARQUE PENDENTE")))))))))))</f>
        <v/>
      </c>
      <c r="D554" s="4" t="n">
        <v>46261</v>
      </c>
      <c r="E554" s="5" t="inlineStr">
        <is>
          <t>C</t>
        </is>
      </c>
      <c r="F554" s="5" t="inlineStr">
        <is>
          <t>ADIB</t>
        </is>
      </c>
      <c r="G554" s="5" t="inlineStr">
        <is>
          <t>FM</t>
        </is>
      </c>
      <c r="H554" s="5" t="inlineStr">
        <is>
          <t>SIENA</t>
        </is>
      </c>
      <c r="I554" s="5" t="inlineStr">
        <is>
          <t>TON</t>
        </is>
      </c>
      <c r="J554" s="6" t="n">
        <v>19.422</v>
      </c>
      <c r="K554" s="6" t="n">
        <v>19.422</v>
      </c>
      <c r="L554" s="7">
        <f>IF(OR(D554="",N(J554)=0),"",MIN(1,N(K554)/J554))</f>
        <v/>
      </c>
      <c r="M554" s="5" t="inlineStr">
        <is>
          <t>FATURADO</t>
        </is>
      </c>
      <c r="N554" s="5" t="inlineStr">
        <is>
          <t>REALIZADO</t>
        </is>
      </c>
      <c r="O554" s="5" t="inlineStr">
        <is>
          <t>SPEEDYLOG</t>
        </is>
      </c>
      <c r="P554" s="5" t="n"/>
      <c r="Q554" s="5" t="n"/>
      <c r="R554" s="4" t="n"/>
      <c r="S554" s="4" t="n"/>
      <c r="T554" s="5" t="inlineStr">
        <is>
          <t>CARGA SEPARADA FATURADA CARREGADA E LIBERADA</t>
        </is>
      </c>
      <c r="U554" s="8">
        <f>IF(AND(V554=1,D554&lt;&gt;""),IF(D554&gt;=corte,TODAY()-D554,""),"")</f>
        <v/>
      </c>
      <c r="V554" s="8">
        <f>IF(D554="",0,IF(OR(AND(P554&lt;&gt;"",S554=""),AND(N(J554)&gt;0,N(K554)&lt;J554),OR(M554="PENDENTE",M554="PARCIAL"),OR(N554="PENDENTE",N554="PARCIAL")),1,0))</f>
        <v/>
      </c>
      <c r="W554" s="8">
        <f>IF(AND(V554=1,D554&lt;&gt;""),IF(D554&gt;=corte,(B554="CRÍTICO")*1E9+(100000-D554)*10000+10000-ROW(),""),"")</f>
        <v/>
      </c>
      <c r="X554" s="8">
        <f>IF(AND(V554=1,D554=pas_data,E554=pas_turno),10000-ROW(),"")</f>
        <v/>
      </c>
    </row>
    <row r="555">
      <c r="A555" s="3">
        <f>IF(D555="","","TT-"&amp;TEXT(ROW()-1,"00000"))</f>
        <v/>
      </c>
      <c r="B555" s="3">
        <f>IF(D555="","",IF(V555=0,"CONCLUÍDO",IF(D555&lt;corte,"HISTÓRICO",IF(OR(AND(ISNUMBER(R555),R555&lt;TODAY()),AND(OR(N555="PENDENTE",N555="PARCIAL"),D555&lt;TODAY()-1)),"CRÍTICO",IF(OR(AND(P555&lt;&gt;"",S555=""),AND(N555="REALIZADO",M555="PENDENTE"),AND(ISNUMBER(R555),R555=TODAY())),"ATENÇÃO",IF(N(K555)=0,"PENDENTE","EM ANDAMENTO"))))))</f>
        <v/>
      </c>
      <c r="C555" s="3">
        <f>IF(D555="","",IF(V555=0,"🟢 OK",IF(D555&lt;corte,"⚪ HISTÓRICO (sem baixa)",IF(AND(ISNUMBER(R555),R555&lt;TODAY()),"🔴 PRAZO VENCIDO",IF(AND(OR(N555="PENDENTE",N555="PARCIAL"),D555&lt;TODAY()-1),"🔴 EMBARQUE ATRASADO",IF(AND(N555="REALIZADO",M555="PENDENTE"),"🟡 EMBARCADO SEM FATURAR",IF(AND(P555&lt;&gt;"",S555="",OR(Q555="",R555="")),"🟡 PENDÊNCIA SEM RESPONSÁVEL/PRAZO",IF(AND(ISNUMBER(R555),R555=TODAY()),"🟡 VENCE HOJE",IF(AND(P555&lt;&gt;"",S555=""),"🟡 PENDÊNCIA ABERTA",IF(AND(N(J555)&gt;0,N(K555)&lt;J555),"🟡 FALTA EXECUTAR",IF(OR(M555="PENDENTE",M555="PARCIAL"),"🟡 FATURAMENTO PENDENTE","🟡 EMBARQUE PENDENTE")))))))))))</f>
        <v/>
      </c>
      <c r="D555" s="4" t="n">
        <v>46261</v>
      </c>
      <c r="E555" s="5" t="inlineStr">
        <is>
          <t>C</t>
        </is>
      </c>
      <c r="F555" s="5" t="inlineStr">
        <is>
          <t>ADIB</t>
        </is>
      </c>
      <c r="G555" s="5" t="inlineStr">
        <is>
          <t>GM</t>
        </is>
      </c>
      <c r="H555" s="5" t="inlineStr">
        <is>
          <t>CASA DA PANIFICAÇÃO</t>
        </is>
      </c>
      <c r="I555" s="5" t="inlineStr">
        <is>
          <t>TON</t>
        </is>
      </c>
      <c r="J555" s="6" t="n">
        <v>10.298</v>
      </c>
      <c r="K555" s="6" t="n">
        <v>10.298</v>
      </c>
      <c r="L555" s="7">
        <f>IF(OR(D555="",N(J555)=0),"",MIN(1,N(K555)/J555))</f>
        <v/>
      </c>
      <c r="M555" s="5" t="inlineStr">
        <is>
          <t>FATURADO</t>
        </is>
      </c>
      <c r="N555" s="5" t="inlineStr">
        <is>
          <t>REALIZADO</t>
        </is>
      </c>
      <c r="O555" s="5" t="inlineStr">
        <is>
          <t>PRÓPRIO</t>
        </is>
      </c>
      <c r="P555" s="5" t="n"/>
      <c r="Q555" s="5" t="n"/>
      <c r="R555" s="4" t="n"/>
      <c r="S555" s="4" t="n"/>
      <c r="T555" s="5" t="inlineStr">
        <is>
          <t>CARGA SEPARADA FATURADA CARREGADA E LIBERADA</t>
        </is>
      </c>
      <c r="U555" s="8">
        <f>IF(AND(V555=1,D555&lt;&gt;""),IF(D555&gt;=corte,TODAY()-D555,""),"")</f>
        <v/>
      </c>
      <c r="V555" s="8">
        <f>IF(D555="",0,IF(OR(AND(P555&lt;&gt;"",S555=""),AND(N(J555)&gt;0,N(K555)&lt;J555),OR(M555="PENDENTE",M555="PARCIAL"),OR(N555="PENDENTE",N555="PARCIAL")),1,0))</f>
        <v/>
      </c>
      <c r="W555" s="8">
        <f>IF(AND(V555=1,D555&lt;&gt;""),IF(D555&gt;=corte,(B555="CRÍTICO")*1E9+(100000-D555)*10000+10000-ROW(),""),"")</f>
        <v/>
      </c>
      <c r="X555" s="8">
        <f>IF(AND(V555=1,D555=pas_data,E555=pas_turno),10000-ROW(),"")</f>
        <v/>
      </c>
    </row>
    <row r="556">
      <c r="A556" s="3">
        <f>IF(D556="","","TT-"&amp;TEXT(ROW()-1,"00000"))</f>
        <v/>
      </c>
      <c r="B556" s="3">
        <f>IF(D556="","",IF(V556=0,"CONCLUÍDO",IF(D556&lt;corte,"HISTÓRICO",IF(OR(AND(ISNUMBER(R556),R556&lt;TODAY()),AND(OR(N556="PENDENTE",N556="PARCIAL"),D556&lt;TODAY()-1)),"CRÍTICO",IF(OR(AND(P556&lt;&gt;"",S556=""),AND(N556="REALIZADO",M556="PENDENTE"),AND(ISNUMBER(R556),R556=TODAY())),"ATENÇÃO",IF(N(K556)=0,"PENDENTE","EM ANDAMENTO"))))))</f>
        <v/>
      </c>
      <c r="C556" s="3">
        <f>IF(D556="","",IF(V556=0,"🟢 OK",IF(D556&lt;corte,"⚪ HISTÓRICO (sem baixa)",IF(AND(ISNUMBER(R556),R556&lt;TODAY()),"🔴 PRAZO VENCIDO",IF(AND(OR(N556="PENDENTE",N556="PARCIAL"),D556&lt;TODAY()-1),"🔴 EMBARQUE ATRASADO",IF(AND(N556="REALIZADO",M556="PENDENTE"),"🟡 EMBARCADO SEM FATURAR",IF(AND(P556&lt;&gt;"",S556="",OR(Q556="",R556="")),"🟡 PENDÊNCIA SEM RESPONSÁVEL/PRAZO",IF(AND(ISNUMBER(R556),R556=TODAY()),"🟡 VENCE HOJE",IF(AND(P556&lt;&gt;"",S556=""),"🟡 PENDÊNCIA ABERTA",IF(AND(N(J556)&gt;0,N(K556)&lt;J556),"🟡 FALTA EXECUTAR",IF(OR(M556="PENDENTE",M556="PARCIAL"),"🟡 FATURAMENTO PENDENTE","🟡 EMBARQUE PENDENTE")))))))))))</f>
        <v/>
      </c>
      <c r="D556" s="4" t="n">
        <v>46261</v>
      </c>
      <c r="E556" s="5" t="inlineStr">
        <is>
          <t>C</t>
        </is>
      </c>
      <c r="F556" s="5" t="inlineStr">
        <is>
          <t>ADIB</t>
        </is>
      </c>
      <c r="G556" s="5" t="inlineStr">
        <is>
          <t>GRANEL</t>
        </is>
      </c>
      <c r="H556" s="5" t="inlineStr">
        <is>
          <t>PANDURATA</t>
        </is>
      </c>
      <c r="I556" s="5" t="inlineStr">
        <is>
          <t>TON</t>
        </is>
      </c>
      <c r="J556" s="6" t="n">
        <v>26.84</v>
      </c>
      <c r="K556" s="6" t="n">
        <v>26.84</v>
      </c>
      <c r="L556" s="7">
        <f>IF(OR(D556="",N(J556)=0),"",MIN(1,N(K556)/J556))</f>
        <v/>
      </c>
      <c r="M556" s="5" t="inlineStr">
        <is>
          <t>FATURADO</t>
        </is>
      </c>
      <c r="N556" s="5" t="inlineStr">
        <is>
          <t>REALIZADO</t>
        </is>
      </c>
      <c r="O556" s="5" t="inlineStr">
        <is>
          <t>JSL</t>
        </is>
      </c>
      <c r="P556" s="5" t="n"/>
      <c r="Q556" s="5" t="n"/>
      <c r="R556" s="4" t="n"/>
      <c r="S556" s="4" t="n"/>
      <c r="T556" s="5" t="inlineStr">
        <is>
          <t>CARREGADO FATURADO E LIBERADO</t>
        </is>
      </c>
      <c r="U556" s="8">
        <f>IF(AND(V556=1,D556&lt;&gt;""),IF(D556&gt;=corte,TODAY()-D556,""),"")</f>
        <v/>
      </c>
      <c r="V556" s="8">
        <f>IF(D556="",0,IF(OR(AND(P556&lt;&gt;"",S556=""),AND(N(J556)&gt;0,N(K556)&lt;J556),OR(M556="PENDENTE",M556="PARCIAL"),OR(N556="PENDENTE",N556="PARCIAL")),1,0))</f>
        <v/>
      </c>
      <c r="W556" s="8">
        <f>IF(AND(V556=1,D556&lt;&gt;""),IF(D556&gt;=corte,(B556="CRÍTICO")*1E9+(100000-D556)*10000+10000-ROW(),""),"")</f>
        <v/>
      </c>
      <c r="X556" s="8">
        <f>IF(AND(V556=1,D556=pas_data,E556=pas_turno),10000-ROW(),"")</f>
        <v/>
      </c>
    </row>
    <row r="557">
      <c r="A557" s="3">
        <f>IF(D557="","","TT-"&amp;TEXT(ROW()-1,"00000"))</f>
        <v/>
      </c>
      <c r="B557" s="3">
        <f>IF(D557="","",IF(V557=0,"CONCLUÍDO",IF(D557&lt;corte,"HISTÓRICO",IF(OR(AND(ISNUMBER(R557),R557&lt;TODAY()),AND(OR(N557="PENDENTE",N557="PARCIAL"),D557&lt;TODAY()-1)),"CRÍTICO",IF(OR(AND(P557&lt;&gt;"",S557=""),AND(N557="REALIZADO",M557="PENDENTE"),AND(ISNUMBER(R557),R557=TODAY())),"ATENÇÃO",IF(N(K557)=0,"PENDENTE","EM ANDAMENTO"))))))</f>
        <v/>
      </c>
      <c r="C557" s="3">
        <f>IF(D557="","",IF(V557=0,"🟢 OK",IF(D557&lt;corte,"⚪ HISTÓRICO (sem baixa)",IF(AND(ISNUMBER(R557),R557&lt;TODAY()),"🔴 PRAZO VENCIDO",IF(AND(OR(N557="PENDENTE",N557="PARCIAL"),D557&lt;TODAY()-1),"🔴 EMBARQUE ATRASADO",IF(AND(N557="REALIZADO",M557="PENDENTE"),"🟡 EMBARCADO SEM FATURAR",IF(AND(P557&lt;&gt;"",S557="",OR(Q557="",R557="")),"🟡 PENDÊNCIA SEM RESPONSÁVEL/PRAZO",IF(AND(ISNUMBER(R557),R557=TODAY()),"🟡 VENCE HOJE",IF(AND(P557&lt;&gt;"",S557=""),"🟡 PENDÊNCIA ABERTA",IF(AND(N(J557)&gt;0,N(K557)&lt;J557),"🟡 FALTA EXECUTAR",IF(OR(M557="PENDENTE",M557="PARCIAL"),"🟡 FATURAMENTO PENDENTE","🟡 EMBARQUE PENDENTE")))))))))))</f>
        <v/>
      </c>
      <c r="D557" s="4" t="n">
        <v>46261</v>
      </c>
      <c r="E557" s="5" t="inlineStr">
        <is>
          <t>C</t>
        </is>
      </c>
      <c r="F557" s="5" t="inlineStr">
        <is>
          <t>ADIB</t>
        </is>
      </c>
      <c r="G557" s="5" t="inlineStr">
        <is>
          <t>GM</t>
        </is>
      </c>
      <c r="H557" s="5" t="inlineStr">
        <is>
          <t>CROSS LOGGIO</t>
        </is>
      </c>
      <c r="I557" s="5" t="inlineStr">
        <is>
          <t>TON</t>
        </is>
      </c>
      <c r="J557" s="6" t="n">
        <v>11.491</v>
      </c>
      <c r="K557" s="6" t="n">
        <v>11.941</v>
      </c>
      <c r="L557" s="7">
        <f>IF(OR(D557="",N(J557)=0),"",MIN(1,N(K557)/J557))</f>
        <v/>
      </c>
      <c r="M557" s="5" t="inlineStr">
        <is>
          <t>PENDENTE</t>
        </is>
      </c>
      <c r="N557" s="5" t="inlineStr">
        <is>
          <t>PENDENTE</t>
        </is>
      </c>
      <c r="O557" s="5" t="inlineStr">
        <is>
          <t>LOGGIO</t>
        </is>
      </c>
      <c r="P557" s="5" t="inlineStr">
        <is>
          <t>FINALIZAR SEPARAÇÃO</t>
        </is>
      </c>
      <c r="Q557" s="5" t="n"/>
      <c r="R557" s="4" t="n"/>
      <c r="S557" s="4" t="n"/>
      <c r="T557" s="5" t="inlineStr">
        <is>
          <t>FINALIZAR SEPARAÇÃO</t>
        </is>
      </c>
      <c r="U557" s="8">
        <f>IF(AND(V557=1,D557&lt;&gt;""),IF(D557&gt;=corte,TODAY()-D557,""),"")</f>
        <v/>
      </c>
      <c r="V557" s="8">
        <f>IF(D557="",0,IF(OR(AND(P557&lt;&gt;"",S557=""),AND(N(J557)&gt;0,N(K557)&lt;J557),OR(M557="PENDENTE",M557="PARCIAL"),OR(N557="PENDENTE",N557="PARCIAL")),1,0))</f>
        <v/>
      </c>
      <c r="W557" s="8">
        <f>IF(AND(V557=1,D557&lt;&gt;""),IF(D557&gt;=corte,(B557="CRÍTICO")*1E9+(100000-D557)*10000+10000-ROW(),""),"")</f>
        <v/>
      </c>
      <c r="X557" s="8">
        <f>IF(AND(V557=1,D557=pas_data,E557=pas_turno),10000-ROW(),"")</f>
        <v/>
      </c>
    </row>
    <row r="558">
      <c r="A558" s="3">
        <f>IF(D558="","","TT-"&amp;TEXT(ROW()-1,"00000"))</f>
        <v/>
      </c>
      <c r="B558" s="3">
        <f>IF(D558="","",IF(V558=0,"CONCLUÍDO",IF(D558&lt;corte,"HISTÓRICO",IF(OR(AND(ISNUMBER(R558),R558&lt;TODAY()),AND(OR(N558="PENDENTE",N558="PARCIAL"),D558&lt;TODAY()-1)),"CRÍTICO",IF(OR(AND(P558&lt;&gt;"",S558=""),AND(N558="REALIZADO",M558="PENDENTE"),AND(ISNUMBER(R558),R558=TODAY())),"ATENÇÃO",IF(N(K558)=0,"PENDENTE","EM ANDAMENTO"))))))</f>
        <v/>
      </c>
      <c r="C558" s="3">
        <f>IF(D558="","",IF(V558=0,"🟢 OK",IF(D558&lt;corte,"⚪ HISTÓRICO (sem baixa)",IF(AND(ISNUMBER(R558),R558&lt;TODAY()),"🔴 PRAZO VENCIDO",IF(AND(OR(N558="PENDENTE",N558="PARCIAL"),D558&lt;TODAY()-1),"🔴 EMBARQUE ATRASADO",IF(AND(N558="REALIZADO",M558="PENDENTE"),"🟡 EMBARCADO SEM FATURAR",IF(AND(P558&lt;&gt;"",S558="",OR(Q558="",R558="")),"🟡 PENDÊNCIA SEM RESPONSÁVEL/PRAZO",IF(AND(ISNUMBER(R558),R558=TODAY()),"🟡 VENCE HOJE",IF(AND(P558&lt;&gt;"",S558=""),"🟡 PENDÊNCIA ABERTA",IF(AND(N(J558)&gt;0,N(K558)&lt;J558),"🟡 FALTA EXECUTAR",IF(OR(M558="PENDENTE",M558="PARCIAL"),"🟡 FATURAMENTO PENDENTE","🟡 EMBARQUE PENDENTE")))))))))))</f>
        <v/>
      </c>
      <c r="D558" s="4" t="n">
        <v>46261</v>
      </c>
      <c r="E558" s="5" t="inlineStr">
        <is>
          <t>C</t>
        </is>
      </c>
      <c r="F558" s="5" t="inlineStr">
        <is>
          <t>ADIB</t>
        </is>
      </c>
      <c r="G558" s="5" t="inlineStr">
        <is>
          <t>FOB</t>
        </is>
      </c>
      <c r="H558" s="5" t="inlineStr">
        <is>
          <t>ESPECIARYA IND</t>
        </is>
      </c>
      <c r="I558" s="5" t="inlineStr">
        <is>
          <t>TON</t>
        </is>
      </c>
      <c r="J558" s="6" t="n">
        <v>3.352</v>
      </c>
      <c r="K558" s="6" t="n">
        <v>3.352</v>
      </c>
      <c r="L558" s="7">
        <f>IF(OR(D558="",N(J558)=0),"",MIN(1,N(K558)/J558))</f>
        <v/>
      </c>
      <c r="M558" s="5" t="inlineStr">
        <is>
          <t>FATURADO</t>
        </is>
      </c>
      <c r="N558" s="5" t="inlineStr">
        <is>
          <t>REALIZADO</t>
        </is>
      </c>
      <c r="O558" s="5" t="inlineStr">
        <is>
          <t>PRÓPRIO</t>
        </is>
      </c>
      <c r="P558" s="5" t="n"/>
      <c r="Q558" s="5" t="n"/>
      <c r="R558" s="4" t="n"/>
      <c r="S558" s="4" t="n"/>
      <c r="T558" s="5" t="inlineStr">
        <is>
          <t>SEPARADO</t>
        </is>
      </c>
      <c r="U558" s="8">
        <f>IF(AND(V558=1,D558&lt;&gt;""),IF(D558&gt;=corte,TODAY()-D558,""),"")</f>
        <v/>
      </c>
      <c r="V558" s="8">
        <f>IF(D558="",0,IF(OR(AND(P558&lt;&gt;"",S558=""),AND(N(J558)&gt;0,N(K558)&lt;J558),OR(M558="PENDENTE",M558="PARCIAL"),OR(N558="PENDENTE",N558="PARCIAL")),1,0))</f>
        <v/>
      </c>
      <c r="W558" s="8">
        <f>IF(AND(V558=1,D558&lt;&gt;""),IF(D558&gt;=corte,(B558="CRÍTICO")*1E9+(100000-D558)*10000+10000-ROW(),""),"")</f>
        <v/>
      </c>
      <c r="X558" s="8">
        <f>IF(AND(V558=1,D558=pas_data,E558=pas_turno),10000-ROW(),"")</f>
        <v/>
      </c>
    </row>
    <row r="559">
      <c r="A559" s="3">
        <f>IF(D559="","","TT-"&amp;TEXT(ROW()-1,"00000"))</f>
        <v/>
      </c>
      <c r="B559" s="3">
        <f>IF(D559="","",IF(V559=0,"CONCLUÍDO",IF(D559&lt;corte,"HISTÓRICO",IF(OR(AND(ISNUMBER(R559),R559&lt;TODAY()),AND(OR(N559="PENDENTE",N559="PARCIAL"),D559&lt;TODAY()-1)),"CRÍTICO",IF(OR(AND(P559&lt;&gt;"",S559=""),AND(N559="REALIZADO",M559="PENDENTE"),AND(ISNUMBER(R559),R559=TODAY())),"ATENÇÃO",IF(N(K559)=0,"PENDENTE","EM ANDAMENTO"))))))</f>
        <v/>
      </c>
      <c r="C559" s="3">
        <f>IF(D559="","",IF(V559=0,"🟢 OK",IF(D559&lt;corte,"⚪ HISTÓRICO (sem baixa)",IF(AND(ISNUMBER(R559),R559&lt;TODAY()),"🔴 PRAZO VENCIDO",IF(AND(OR(N559="PENDENTE",N559="PARCIAL"),D559&lt;TODAY()-1),"🔴 EMBARQUE ATRASADO",IF(AND(N559="REALIZADO",M559="PENDENTE"),"🟡 EMBARCADO SEM FATURAR",IF(AND(P559&lt;&gt;"",S559="",OR(Q559="",R559="")),"🟡 PENDÊNCIA SEM RESPONSÁVEL/PRAZO",IF(AND(ISNUMBER(R559),R559=TODAY()),"🟡 VENCE HOJE",IF(AND(P559&lt;&gt;"",S559=""),"🟡 PENDÊNCIA ABERTA",IF(AND(N(J559)&gt;0,N(K559)&lt;J559),"🟡 FALTA EXECUTAR",IF(OR(M559="PENDENTE",M559="PARCIAL"),"🟡 FATURAMENTO PENDENTE","🟡 EMBARQUE PENDENTE")))))))))))</f>
        <v/>
      </c>
      <c r="D559" s="4" t="n">
        <v>46261</v>
      </c>
      <c r="E559" s="5" t="inlineStr">
        <is>
          <t>C</t>
        </is>
      </c>
      <c r="F559" s="5" t="inlineStr">
        <is>
          <t>ADIB</t>
        </is>
      </c>
      <c r="G559" s="5" t="inlineStr">
        <is>
          <t>FOB</t>
        </is>
      </c>
      <c r="H559" s="5" t="inlineStr">
        <is>
          <t>CHOCOLATES ORION</t>
        </is>
      </c>
      <c r="I559" s="5" t="inlineStr">
        <is>
          <t>TON</t>
        </is>
      </c>
      <c r="J559" s="6" t="n">
        <v>0.963</v>
      </c>
      <c r="K559" s="6" t="n">
        <v>0.963</v>
      </c>
      <c r="L559" s="7">
        <f>IF(OR(D559="",N(J559)=0),"",MIN(1,N(K559)/J559))</f>
        <v/>
      </c>
      <c r="M559" s="5" t="inlineStr">
        <is>
          <t>FATURADO</t>
        </is>
      </c>
      <c r="N559" s="5" t="inlineStr">
        <is>
          <t>REALIZADO</t>
        </is>
      </c>
      <c r="O559" s="5" t="inlineStr">
        <is>
          <t>PRÓPRIO</t>
        </is>
      </c>
      <c r="P559" s="5" t="n"/>
      <c r="Q559" s="5" t="n"/>
      <c r="R559" s="4" t="n"/>
      <c r="S559" s="4" t="n"/>
      <c r="T559" s="5" t="inlineStr">
        <is>
          <t>CARREGADO E LIBERADO</t>
        </is>
      </c>
      <c r="U559" s="8">
        <f>IF(AND(V559=1,D559&lt;&gt;""),IF(D559&gt;=corte,TODAY()-D559,""),"")</f>
        <v/>
      </c>
      <c r="V559" s="8">
        <f>IF(D559="",0,IF(OR(AND(P559&lt;&gt;"",S559=""),AND(N(J559)&gt;0,N(K559)&lt;J559),OR(M559="PENDENTE",M559="PARCIAL"),OR(N559="PENDENTE",N559="PARCIAL")),1,0))</f>
        <v/>
      </c>
      <c r="W559" s="8">
        <f>IF(AND(V559=1,D559&lt;&gt;""),IF(D559&gt;=corte,(B559="CRÍTICO")*1E9+(100000-D559)*10000+10000-ROW(),""),"")</f>
        <v/>
      </c>
      <c r="X559" s="8">
        <f>IF(AND(V559=1,D559=pas_data,E559=pas_turno),10000-ROW(),"")</f>
        <v/>
      </c>
    </row>
    <row r="560">
      <c r="A560" s="3">
        <f>IF(D560="","","TT-"&amp;TEXT(ROW()-1,"00000"))</f>
        <v/>
      </c>
      <c r="B560" s="3">
        <f>IF(D560="","",IF(V560=0,"CONCLUÍDO",IF(D560&lt;corte,"HISTÓRICO",IF(OR(AND(ISNUMBER(R560),R560&lt;TODAY()),AND(OR(N560="PENDENTE",N560="PARCIAL"),D560&lt;TODAY()-1)),"CRÍTICO",IF(OR(AND(P560&lt;&gt;"",S560=""),AND(N560="REALIZADO",M560="PENDENTE"),AND(ISNUMBER(R560),R560=TODAY())),"ATENÇÃO",IF(N(K560)=0,"PENDENTE","EM ANDAMENTO"))))))</f>
        <v/>
      </c>
      <c r="C560" s="3">
        <f>IF(D560="","",IF(V560=0,"🟢 OK",IF(D560&lt;corte,"⚪ HISTÓRICO (sem baixa)",IF(AND(ISNUMBER(R560),R560&lt;TODAY()),"🔴 PRAZO VENCIDO",IF(AND(OR(N560="PENDENTE",N560="PARCIAL"),D560&lt;TODAY()-1),"🔴 EMBARQUE ATRASADO",IF(AND(N560="REALIZADO",M560="PENDENTE"),"🟡 EMBARCADO SEM FATURAR",IF(AND(P560&lt;&gt;"",S560="",OR(Q560="",R560="")),"🟡 PENDÊNCIA SEM RESPONSÁVEL/PRAZO",IF(AND(ISNUMBER(R560),R560=TODAY()),"🟡 VENCE HOJE",IF(AND(P560&lt;&gt;"",S560=""),"🟡 PENDÊNCIA ABERTA",IF(AND(N(J560)&gt;0,N(K560)&lt;J560),"🟡 FALTA EXECUTAR",IF(OR(M560="PENDENTE",M560="PARCIAL"),"🟡 FATURAMENTO PENDENTE","🟡 EMBARQUE PENDENTE")))))))))))</f>
        <v/>
      </c>
      <c r="D560" s="4" t="n">
        <v>46261</v>
      </c>
      <c r="E560" s="5" t="inlineStr">
        <is>
          <t>C</t>
        </is>
      </c>
      <c r="F560" s="5" t="inlineStr">
        <is>
          <t>ADIB</t>
        </is>
      </c>
      <c r="G560" s="5" t="inlineStr">
        <is>
          <t>GM</t>
        </is>
      </c>
      <c r="H560" s="5" t="inlineStr">
        <is>
          <t>SMARTLOG</t>
        </is>
      </c>
      <c r="I560" s="5" t="inlineStr">
        <is>
          <t>TON</t>
        </is>
      </c>
      <c r="J560" s="6" t="n">
        <v>23.047</v>
      </c>
      <c r="K560" s="6" t="n">
        <v>23.047</v>
      </c>
      <c r="L560" s="7">
        <f>IF(OR(D560="",N(J560)=0),"",MIN(1,N(K560)/J560))</f>
        <v/>
      </c>
      <c r="M560" s="5" t="n"/>
      <c r="N560" s="5" t="n"/>
      <c r="O560" s="5" t="n"/>
      <c r="P560" s="5" t="n"/>
      <c r="Q560" s="5" t="n"/>
      <c r="R560" s="4" t="n"/>
      <c r="S560" s="4" t="n"/>
      <c r="T560" s="5" t="n"/>
      <c r="U560" s="8">
        <f>IF(AND(V560=1,D560&lt;&gt;""),IF(D560&gt;=corte,TODAY()-D560,""),"")</f>
        <v/>
      </c>
      <c r="V560" s="8">
        <f>IF(D560="",0,IF(OR(AND(P560&lt;&gt;"",S560=""),AND(N(J560)&gt;0,N(K560)&lt;J560),OR(M560="PENDENTE",M560="PARCIAL"),OR(N560="PENDENTE",N560="PARCIAL")),1,0))</f>
        <v/>
      </c>
      <c r="W560" s="8">
        <f>IF(AND(V560=1,D560&lt;&gt;""),IF(D560&gt;=corte,(B560="CRÍTICO")*1E9+(100000-D560)*10000+10000-ROW(),""),"")</f>
        <v/>
      </c>
      <c r="X560" s="8">
        <f>IF(AND(V560=1,D560=pas_data,E560=pas_turno),10000-ROW(),"")</f>
        <v/>
      </c>
    </row>
    <row r="561">
      <c r="A561" s="3">
        <f>IF(D561="","","TT-"&amp;TEXT(ROW()-1,"00000"))</f>
        <v/>
      </c>
      <c r="B561" s="3">
        <f>IF(D561="","",IF(V561=0,"CONCLUÍDO",IF(D561&lt;corte,"HISTÓRICO",IF(OR(AND(ISNUMBER(R561),R561&lt;TODAY()),AND(OR(N561="PENDENTE",N561="PARCIAL"),D561&lt;TODAY()-1)),"CRÍTICO",IF(OR(AND(P561&lt;&gt;"",S561=""),AND(N561="REALIZADO",M561="PENDENTE"),AND(ISNUMBER(R561),R561=TODAY())),"ATENÇÃO",IF(N(K561)=0,"PENDENTE","EM ANDAMENTO"))))))</f>
        <v/>
      </c>
      <c r="C561" s="3">
        <f>IF(D561="","",IF(V561=0,"🟢 OK",IF(D561&lt;corte,"⚪ HISTÓRICO (sem baixa)",IF(AND(ISNUMBER(R561),R561&lt;TODAY()),"🔴 PRAZO VENCIDO",IF(AND(OR(N561="PENDENTE",N561="PARCIAL"),D561&lt;TODAY()-1),"🔴 EMBARQUE ATRASADO",IF(AND(N561="REALIZADO",M561="PENDENTE"),"🟡 EMBARCADO SEM FATURAR",IF(AND(P561&lt;&gt;"",S561="",OR(Q561="",R561="")),"🟡 PENDÊNCIA SEM RESPONSÁVEL/PRAZO",IF(AND(ISNUMBER(R561),R561=TODAY()),"🟡 VENCE HOJE",IF(AND(P561&lt;&gt;"",S561=""),"🟡 PENDÊNCIA ABERTA",IF(AND(N(J561)&gt;0,N(K561)&lt;J561),"🟡 FALTA EXECUTAR",IF(OR(M561="PENDENTE",M561="PARCIAL"),"🟡 FATURAMENTO PENDENTE","🟡 EMBARQUE PENDENTE")))))))))))</f>
        <v/>
      </c>
      <c r="D561" s="4" t="n">
        <v>46261</v>
      </c>
      <c r="E561" s="5" t="inlineStr">
        <is>
          <t>C</t>
        </is>
      </c>
      <c r="F561" s="5" t="inlineStr">
        <is>
          <t>ADIB</t>
        </is>
      </c>
      <c r="G561" s="5" t="inlineStr">
        <is>
          <t>CACAU</t>
        </is>
      </c>
      <c r="H561" s="5" t="inlineStr">
        <is>
          <t>CACAU</t>
        </is>
      </c>
      <c r="I561" s="5" t="inlineStr">
        <is>
          <t>TON</t>
        </is>
      </c>
      <c r="J561" s="6" t="n">
        <v>9</v>
      </c>
      <c r="K561" s="6" t="n">
        <v>9</v>
      </c>
      <c r="L561" s="7">
        <f>IF(OR(D561="",N(J561)=0),"",MIN(1,N(K561)/J561))</f>
        <v/>
      </c>
      <c r="M561" s="5" t="n"/>
      <c r="N561" s="5" t="n"/>
      <c r="O561" s="5" t="inlineStr">
        <is>
          <t>PRÓPRIO</t>
        </is>
      </c>
      <c r="P561" s="5" t="n"/>
      <c r="Q561" s="5" t="n"/>
      <c r="R561" s="4" t="n"/>
      <c r="S561" s="4" t="n"/>
      <c r="T561" s="5" t="n"/>
      <c r="U561" s="8">
        <f>IF(AND(V561=1,D561&lt;&gt;""),IF(D561&gt;=corte,TODAY()-D561,""),"")</f>
        <v/>
      </c>
      <c r="V561" s="8">
        <f>IF(D561="",0,IF(OR(AND(P561&lt;&gt;"",S561=""),AND(N(J561)&gt;0,N(K561)&lt;J561),OR(M561="PENDENTE",M561="PARCIAL"),OR(N561="PENDENTE",N561="PARCIAL")),1,0))</f>
        <v/>
      </c>
      <c r="W561" s="8">
        <f>IF(AND(V561=1,D561&lt;&gt;""),IF(D561&gt;=corte,(B561="CRÍTICO")*1E9+(100000-D561)*10000+10000-ROW(),""),"")</f>
        <v/>
      </c>
      <c r="X561" s="8">
        <f>IF(AND(V561=1,D561=pas_data,E561=pas_turno),10000-ROW(),"")</f>
        <v/>
      </c>
    </row>
    <row r="562">
      <c r="A562" s="3">
        <f>IF(D562="","","TT-"&amp;TEXT(ROW()-1,"00000"))</f>
        <v/>
      </c>
      <c r="B562" s="3">
        <f>IF(D562="","",IF(V562=0,"CONCLUÍDO",IF(D562&lt;corte,"HISTÓRICO",IF(OR(AND(ISNUMBER(R562),R562&lt;TODAY()),AND(OR(N562="PENDENTE",N562="PARCIAL"),D562&lt;TODAY()-1)),"CRÍTICO",IF(OR(AND(P562&lt;&gt;"",S562=""),AND(N562="REALIZADO",M562="PENDENTE"),AND(ISNUMBER(R562),R562=TODAY())),"ATENÇÃO",IF(N(K562)=0,"PENDENTE","EM ANDAMENTO"))))))</f>
        <v/>
      </c>
      <c r="C562" s="3">
        <f>IF(D562="","",IF(V562=0,"🟢 OK",IF(D562&lt;corte,"⚪ HISTÓRICO (sem baixa)",IF(AND(ISNUMBER(R562),R562&lt;TODAY()),"🔴 PRAZO VENCIDO",IF(AND(OR(N562="PENDENTE",N562="PARCIAL"),D562&lt;TODAY()-1),"🔴 EMBARQUE ATRASADO",IF(AND(N562="REALIZADO",M562="PENDENTE"),"🟡 EMBARCADO SEM FATURAR",IF(AND(P562&lt;&gt;"",S562="",OR(Q562="",R562="")),"🟡 PENDÊNCIA SEM RESPONSÁVEL/PRAZO",IF(AND(ISNUMBER(R562),R562=TODAY()),"🟡 VENCE HOJE",IF(AND(P562&lt;&gt;"",S562=""),"🟡 PENDÊNCIA ABERTA",IF(AND(N(J562)&gt;0,N(K562)&lt;J562),"🟡 FALTA EXECUTAR",IF(OR(M562="PENDENTE",M562="PARCIAL"),"🟡 FATURAMENTO PENDENTE","🟡 EMBARQUE PENDENTE")))))))))))</f>
        <v/>
      </c>
      <c r="D562" s="4" t="n">
        <v>46261</v>
      </c>
      <c r="E562" s="5" t="inlineStr">
        <is>
          <t>C</t>
        </is>
      </c>
      <c r="F562" s="5" t="inlineStr">
        <is>
          <t>ADIB</t>
        </is>
      </c>
      <c r="G562" s="5" t="inlineStr">
        <is>
          <t>GM</t>
        </is>
      </c>
      <c r="H562" s="5" t="inlineStr">
        <is>
          <t>RIBERFOOFS</t>
        </is>
      </c>
      <c r="I562" s="5" t="inlineStr">
        <is>
          <t>TON</t>
        </is>
      </c>
      <c r="J562" s="6" t="n">
        <v>2.907</v>
      </c>
      <c r="K562" s="6" t="n">
        <v>2.907</v>
      </c>
      <c r="L562" s="7">
        <f>IF(OR(D562="",N(J562)=0),"",MIN(1,N(K562)/J562))</f>
        <v/>
      </c>
      <c r="M562" s="5" t="n"/>
      <c r="N562" s="5" t="n"/>
      <c r="O562" s="5" t="n"/>
      <c r="P562" s="5" t="n"/>
      <c r="Q562" s="5" t="n"/>
      <c r="R562" s="4" t="n"/>
      <c r="S562" s="4" t="n"/>
      <c r="T562" s="5" t="n"/>
      <c r="U562" s="8">
        <f>IF(AND(V562=1,D562&lt;&gt;""),IF(D562&gt;=corte,TODAY()-D562,""),"")</f>
        <v/>
      </c>
      <c r="V562" s="8">
        <f>IF(D562="",0,IF(OR(AND(P562&lt;&gt;"",S562=""),AND(N(J562)&gt;0,N(K562)&lt;J562),OR(M562="PENDENTE",M562="PARCIAL"),OR(N562="PENDENTE",N562="PARCIAL")),1,0))</f>
        <v/>
      </c>
      <c r="W562" s="8">
        <f>IF(AND(V562=1,D562&lt;&gt;""),IF(D562&gt;=corte,(B562="CRÍTICO")*1E9+(100000-D562)*10000+10000-ROW(),""),"")</f>
        <v/>
      </c>
      <c r="X562" s="8">
        <f>IF(AND(V562=1,D562=pas_data,E562=pas_turno),10000-ROW(),"")</f>
        <v/>
      </c>
    </row>
    <row r="563">
      <c r="A563" s="3">
        <f>IF(D563="","","TT-"&amp;TEXT(ROW()-1,"00000"))</f>
        <v/>
      </c>
      <c r="B563" s="3">
        <f>IF(D563="","",IF(V563=0,"CONCLUÍDO",IF(D563&lt;corte,"HISTÓRICO",IF(OR(AND(ISNUMBER(R563),R563&lt;TODAY()),AND(OR(N563="PENDENTE",N563="PARCIAL"),D563&lt;TODAY()-1)),"CRÍTICO",IF(OR(AND(P563&lt;&gt;"",S563=""),AND(N563="REALIZADO",M563="PENDENTE"),AND(ISNUMBER(R563),R563=TODAY())),"ATENÇÃO",IF(N(K563)=0,"PENDENTE","EM ANDAMENTO"))))))</f>
        <v/>
      </c>
      <c r="C563" s="3">
        <f>IF(D563="","",IF(V563=0,"🟢 OK",IF(D563&lt;corte,"⚪ HISTÓRICO (sem baixa)",IF(AND(ISNUMBER(R563),R563&lt;TODAY()),"🔴 PRAZO VENCIDO",IF(AND(OR(N563="PENDENTE",N563="PARCIAL"),D563&lt;TODAY()-1),"🔴 EMBARQUE ATRASADO",IF(AND(N563="REALIZADO",M563="PENDENTE"),"🟡 EMBARCADO SEM FATURAR",IF(AND(P563&lt;&gt;"",S563="",OR(Q563="",R563="")),"🟡 PENDÊNCIA SEM RESPONSÁVEL/PRAZO",IF(AND(ISNUMBER(R563),R563=TODAY()),"🟡 VENCE HOJE",IF(AND(P563&lt;&gt;"",S563=""),"🟡 PENDÊNCIA ABERTA",IF(AND(N(J563)&gt;0,N(K563)&lt;J563),"🟡 FALTA EXECUTAR",IF(OR(M563="PENDENTE",M563="PARCIAL"),"🟡 FATURAMENTO PENDENTE","🟡 EMBARQUE PENDENTE")))))))))))</f>
        <v/>
      </c>
      <c r="D563" s="4" t="n">
        <v>46261</v>
      </c>
      <c r="E563" s="5" t="inlineStr">
        <is>
          <t>C</t>
        </is>
      </c>
      <c r="F563" s="5" t="inlineStr">
        <is>
          <t>ADIB</t>
        </is>
      </c>
      <c r="G563" s="5" t="inlineStr">
        <is>
          <t>GM</t>
        </is>
      </c>
      <c r="H563" s="5" t="inlineStr">
        <is>
          <t>DISTRIB IMPORTADORA</t>
        </is>
      </c>
      <c r="I563" s="5" t="inlineStr">
        <is>
          <t>TON</t>
        </is>
      </c>
      <c r="J563" s="6" t="n">
        <v>11.844</v>
      </c>
      <c r="K563" s="6" t="n"/>
      <c r="L563" s="7">
        <f>IF(OR(D563="",N(J563)=0),"",MIN(1,N(K563)/J563))</f>
        <v/>
      </c>
      <c r="M563" s="5" t="n"/>
      <c r="N563" s="5" t="n"/>
      <c r="O563" s="5" t="n"/>
      <c r="P563" s="5" t="n"/>
      <c r="Q563" s="5" t="n"/>
      <c r="R563" s="4" t="n"/>
      <c r="S563" s="4" t="n"/>
      <c r="T563" s="5" t="n"/>
      <c r="U563" s="8">
        <f>IF(AND(V563=1,D563&lt;&gt;""),IF(D563&gt;=corte,TODAY()-D563,""),"")</f>
        <v/>
      </c>
      <c r="V563" s="8">
        <f>IF(D563="",0,IF(OR(AND(P563&lt;&gt;"",S563=""),AND(N(J563)&gt;0,N(K563)&lt;J563),OR(M563="PENDENTE",M563="PARCIAL"),OR(N563="PENDENTE",N563="PARCIAL")),1,0))</f>
        <v/>
      </c>
      <c r="W563" s="8">
        <f>IF(AND(V563=1,D563&lt;&gt;""),IF(D563&gt;=corte,(B563="CRÍTICO")*1E9+(100000-D563)*10000+10000-ROW(),""),"")</f>
        <v/>
      </c>
      <c r="X563" s="8">
        <f>IF(AND(V563=1,D563=pas_data,E563=pas_turno),10000-ROW(),"")</f>
        <v/>
      </c>
    </row>
    <row r="564">
      <c r="A564" s="3">
        <f>IF(D564="","","TT-"&amp;TEXT(ROW()-1,"00000"))</f>
        <v/>
      </c>
      <c r="B564" s="3">
        <f>IF(D564="","",IF(V564=0,"CONCLUÍDO",IF(D564&lt;corte,"HISTÓRICO",IF(OR(AND(ISNUMBER(R564),R564&lt;TODAY()),AND(OR(N564="PENDENTE",N564="PARCIAL"),D564&lt;TODAY()-1)),"CRÍTICO",IF(OR(AND(P564&lt;&gt;"",S564=""),AND(N564="REALIZADO",M564="PENDENTE"),AND(ISNUMBER(R564),R564=TODAY())),"ATENÇÃO",IF(N(K564)=0,"PENDENTE","EM ANDAMENTO"))))))</f>
        <v/>
      </c>
      <c r="C564" s="3">
        <f>IF(D564="","",IF(V564=0,"🟢 OK",IF(D564&lt;corte,"⚪ HISTÓRICO (sem baixa)",IF(AND(ISNUMBER(R564),R564&lt;TODAY()),"🔴 PRAZO VENCIDO",IF(AND(OR(N564="PENDENTE",N564="PARCIAL"),D564&lt;TODAY()-1),"🔴 EMBARQUE ATRASADO",IF(AND(N564="REALIZADO",M564="PENDENTE"),"🟡 EMBARCADO SEM FATURAR",IF(AND(P564&lt;&gt;"",S564="",OR(Q564="",R564="")),"🟡 PENDÊNCIA SEM RESPONSÁVEL/PRAZO",IF(AND(ISNUMBER(R564),R564=TODAY()),"🟡 VENCE HOJE",IF(AND(P564&lt;&gt;"",S564=""),"🟡 PENDÊNCIA ABERTA",IF(AND(N(J564)&gt;0,N(K564)&lt;J564),"🟡 FALTA EXECUTAR",IF(OR(M564="PENDENTE",M564="PARCIAL"),"🟡 FATURAMENTO PENDENTE","🟡 EMBARQUE PENDENTE")))))))))))</f>
        <v/>
      </c>
      <c r="D564" s="4" t="n">
        <v>46261</v>
      </c>
      <c r="E564" s="5" t="inlineStr">
        <is>
          <t>C</t>
        </is>
      </c>
      <c r="F564" s="5" t="inlineStr">
        <is>
          <t>ADIB</t>
        </is>
      </c>
      <c r="G564" s="5" t="inlineStr">
        <is>
          <t>FOB</t>
        </is>
      </c>
      <c r="H564" s="5" t="inlineStr">
        <is>
          <t>RFC</t>
        </is>
      </c>
      <c r="I564" s="5" t="inlineStr">
        <is>
          <t>TON</t>
        </is>
      </c>
      <c r="J564" s="6" t="n">
        <v>17.87</v>
      </c>
      <c r="K564" s="6" t="n"/>
      <c r="L564" s="7">
        <f>IF(OR(D564="",N(J564)=0),"",MIN(1,N(K564)/J564))</f>
        <v/>
      </c>
      <c r="M564" s="5" t="n"/>
      <c r="N564" s="5" t="n"/>
      <c r="O564" s="5" t="n"/>
      <c r="P564" s="5" t="n"/>
      <c r="Q564" s="5" t="n"/>
      <c r="R564" s="4" t="n"/>
      <c r="S564" s="4" t="n"/>
      <c r="T564" s="5" t="n"/>
      <c r="U564" s="8">
        <f>IF(AND(V564=1,D564&lt;&gt;""),IF(D564&gt;=corte,TODAY()-D564,""),"")</f>
        <v/>
      </c>
      <c r="V564" s="8">
        <f>IF(D564="",0,IF(OR(AND(P564&lt;&gt;"",S564=""),AND(N(J564)&gt;0,N(K564)&lt;J564),OR(M564="PENDENTE",M564="PARCIAL"),OR(N564="PENDENTE",N564="PARCIAL")),1,0))</f>
        <v/>
      </c>
      <c r="W564" s="8">
        <f>IF(AND(V564=1,D564&lt;&gt;""),IF(D564&gt;=corte,(B564="CRÍTICO")*1E9+(100000-D564)*10000+10000-ROW(),""),"")</f>
        <v/>
      </c>
      <c r="X564" s="8">
        <f>IF(AND(V564=1,D564=pas_data,E564=pas_turno),10000-ROW(),"")</f>
        <v/>
      </c>
    </row>
    <row r="565">
      <c r="A565" s="3">
        <f>IF(D565="","","TT-"&amp;TEXT(ROW()-1,"00000"))</f>
        <v/>
      </c>
      <c r="B565" s="3">
        <f>IF(D565="","",IF(V565=0,"CONCLUÍDO",IF(D565&lt;corte,"HISTÓRICO",IF(OR(AND(ISNUMBER(R565),R565&lt;TODAY()),AND(OR(N565="PENDENTE",N565="PARCIAL"),D565&lt;TODAY()-1)),"CRÍTICO",IF(OR(AND(P565&lt;&gt;"",S565=""),AND(N565="REALIZADO",M565="PENDENTE"),AND(ISNUMBER(R565),R565=TODAY())),"ATENÇÃO",IF(N(K565)=0,"PENDENTE","EM ANDAMENTO"))))))</f>
        <v/>
      </c>
      <c r="C565" s="3">
        <f>IF(D565="","",IF(V565=0,"🟢 OK",IF(D565&lt;corte,"⚪ HISTÓRICO (sem baixa)",IF(AND(ISNUMBER(R565),R565&lt;TODAY()),"🔴 PRAZO VENCIDO",IF(AND(OR(N565="PENDENTE",N565="PARCIAL"),D565&lt;TODAY()-1),"🔴 EMBARQUE ATRASADO",IF(AND(N565="REALIZADO",M565="PENDENTE"),"🟡 EMBARCADO SEM FATURAR",IF(AND(P565&lt;&gt;"",S565="",OR(Q565="",R565="")),"🟡 PENDÊNCIA SEM RESPONSÁVEL/PRAZO",IF(AND(ISNUMBER(R565),R565=TODAY()),"🟡 VENCE HOJE",IF(AND(P565&lt;&gt;"",S565=""),"🟡 PENDÊNCIA ABERTA",IF(AND(N(J565)&gt;0,N(K565)&lt;J565),"🟡 FALTA EXECUTAR",IF(OR(M565="PENDENTE",M565="PARCIAL"),"🟡 FATURAMENTO PENDENTE","🟡 EMBARQUE PENDENTE")))))))))))</f>
        <v/>
      </c>
      <c r="D565" s="4" t="n">
        <v>46261</v>
      </c>
      <c r="E565" s="5" t="inlineStr">
        <is>
          <t>D</t>
        </is>
      </c>
      <c r="F565" s="5" t="inlineStr">
        <is>
          <t>VINICIUS</t>
        </is>
      </c>
      <c r="G565" s="5" t="inlineStr">
        <is>
          <t>BR15</t>
        </is>
      </c>
      <c r="H565" s="5" t="inlineStr">
        <is>
          <t>ALIMENTOS S.A</t>
        </is>
      </c>
      <c r="I565" s="5" t="inlineStr">
        <is>
          <t>TON</t>
        </is>
      </c>
      <c r="J565" s="6" t="n">
        <v>2.602</v>
      </c>
      <c r="K565" s="6" t="n">
        <v>2.602</v>
      </c>
      <c r="L565" s="7">
        <f>IF(OR(D565="",N(J565)=0),"",MIN(1,N(K565)/J565))</f>
        <v/>
      </c>
      <c r="M565" s="5" t="inlineStr">
        <is>
          <t>FATURADO</t>
        </is>
      </c>
      <c r="N565" s="5" t="inlineStr">
        <is>
          <t>REALIZADO</t>
        </is>
      </c>
      <c r="O565" s="5" t="n"/>
      <c r="P565" s="5" t="n"/>
      <c r="Q565" s="5" t="n"/>
      <c r="R565" s="4" t="n"/>
      <c r="S565" s="4" t="n"/>
      <c r="T565" s="5" t="inlineStr">
        <is>
          <t>CARREGADO E LIBERADO</t>
        </is>
      </c>
      <c r="U565" s="8">
        <f>IF(AND(V565=1,D565&lt;&gt;""),IF(D565&gt;=corte,TODAY()-D565,""),"")</f>
        <v/>
      </c>
      <c r="V565" s="8">
        <f>IF(D565="",0,IF(OR(AND(P565&lt;&gt;"",S565=""),AND(N(J565)&gt;0,N(K565)&lt;J565),OR(M565="PENDENTE",M565="PARCIAL"),OR(N565="PENDENTE",N565="PARCIAL")),1,0))</f>
        <v/>
      </c>
      <c r="W565" s="8">
        <f>IF(AND(V565=1,D565&lt;&gt;""),IF(D565&gt;=corte,(B565="CRÍTICO")*1E9+(100000-D565)*10000+10000-ROW(),""),"")</f>
        <v/>
      </c>
      <c r="X565" s="8">
        <f>IF(AND(V565=1,D565=pas_data,E565=pas_turno),10000-ROW(),"")</f>
        <v/>
      </c>
    </row>
    <row r="566">
      <c r="A566" s="3">
        <f>IF(D566="","","TT-"&amp;TEXT(ROW()-1,"00000"))</f>
        <v/>
      </c>
      <c r="B566" s="3">
        <f>IF(D566="","",IF(V566=0,"CONCLUÍDO",IF(D566&lt;corte,"HISTÓRICO",IF(OR(AND(ISNUMBER(R566),R566&lt;TODAY()),AND(OR(N566="PENDENTE",N566="PARCIAL"),D566&lt;TODAY()-1)),"CRÍTICO",IF(OR(AND(P566&lt;&gt;"",S566=""),AND(N566="REALIZADO",M566="PENDENTE"),AND(ISNUMBER(R566),R566=TODAY())),"ATENÇÃO",IF(N(K566)=0,"PENDENTE","EM ANDAMENTO"))))))</f>
        <v/>
      </c>
      <c r="C566" s="3">
        <f>IF(D566="","",IF(V566=0,"🟢 OK",IF(D566&lt;corte,"⚪ HISTÓRICO (sem baixa)",IF(AND(ISNUMBER(R566),R566&lt;TODAY()),"🔴 PRAZO VENCIDO",IF(AND(OR(N566="PENDENTE",N566="PARCIAL"),D566&lt;TODAY()-1),"🔴 EMBARQUE ATRASADO",IF(AND(N566="REALIZADO",M566="PENDENTE"),"🟡 EMBARCADO SEM FATURAR",IF(AND(P566&lt;&gt;"",S566="",OR(Q566="",R566="")),"🟡 PENDÊNCIA SEM RESPONSÁVEL/PRAZO",IF(AND(ISNUMBER(R566),R566=TODAY()),"🟡 VENCE HOJE",IF(AND(P566&lt;&gt;"",S566=""),"🟡 PENDÊNCIA ABERTA",IF(AND(N(J566)&gt;0,N(K566)&lt;J566),"🟡 FALTA EXECUTAR",IF(OR(M566="PENDENTE",M566="PARCIAL"),"🟡 FATURAMENTO PENDENTE","🟡 EMBARQUE PENDENTE")))))))))))</f>
        <v/>
      </c>
      <c r="D566" s="4" t="n">
        <v>46261</v>
      </c>
      <c r="E566" s="5" t="inlineStr">
        <is>
          <t>D</t>
        </is>
      </c>
      <c r="F566" s="5" t="inlineStr">
        <is>
          <t>VINICIUS</t>
        </is>
      </c>
      <c r="G566" s="5" t="inlineStr">
        <is>
          <t>FLOOR</t>
        </is>
      </c>
      <c r="H566" s="5" t="inlineStr">
        <is>
          <t>MOVIMENTAÇÃO</t>
        </is>
      </c>
      <c r="I566" s="5" t="inlineStr">
        <is>
          <t>PALETE</t>
        </is>
      </c>
      <c r="J566" s="6" t="n">
        <v>117</v>
      </c>
      <c r="K566" s="6" t="n">
        <v>117</v>
      </c>
      <c r="L566" s="7">
        <f>IF(OR(D566="",N(J566)=0),"",MIN(1,N(K566)/J566))</f>
        <v/>
      </c>
      <c r="M566" s="5" t="n"/>
      <c r="N566" s="5" t="n"/>
      <c r="O566" s="5" t="n"/>
      <c r="P566" s="5" t="n"/>
      <c r="Q566" s="5" t="n"/>
      <c r="R566" s="4" t="n"/>
      <c r="S566" s="4" t="n"/>
      <c r="T566" s="5" t="inlineStr">
        <is>
          <t>DEMANDA ZERADA</t>
        </is>
      </c>
      <c r="U566" s="8">
        <f>IF(AND(V566=1,D566&lt;&gt;""),IF(D566&gt;=corte,TODAY()-D566,""),"")</f>
        <v/>
      </c>
      <c r="V566" s="8">
        <f>IF(D566="",0,IF(OR(AND(P566&lt;&gt;"",S566=""),AND(N(J566)&gt;0,N(K566)&lt;J566),OR(M566="PENDENTE",M566="PARCIAL"),OR(N566="PENDENTE",N566="PARCIAL")),1,0))</f>
        <v/>
      </c>
      <c r="W566" s="8">
        <f>IF(AND(V566=1,D566&lt;&gt;""),IF(D566&gt;=corte,(B566="CRÍTICO")*1E9+(100000-D566)*10000+10000-ROW(),""),"")</f>
        <v/>
      </c>
      <c r="X566" s="8">
        <f>IF(AND(V566=1,D566=pas_data,E566=pas_turno),10000-ROW(),"")</f>
        <v/>
      </c>
    </row>
    <row r="567">
      <c r="A567" s="3">
        <f>IF(D567="","","TT-"&amp;TEXT(ROW()-1,"00000"))</f>
        <v/>
      </c>
      <c r="B567" s="3">
        <f>IF(D567="","",IF(V567=0,"CONCLUÍDO",IF(D567&lt;corte,"HISTÓRICO",IF(OR(AND(ISNUMBER(R567),R567&lt;TODAY()),AND(OR(N567="PENDENTE",N567="PARCIAL"),D567&lt;TODAY()-1)),"CRÍTICO",IF(OR(AND(P567&lt;&gt;"",S567=""),AND(N567="REALIZADO",M567="PENDENTE"),AND(ISNUMBER(R567),R567=TODAY())),"ATENÇÃO",IF(N(K567)=0,"PENDENTE","EM ANDAMENTO"))))))</f>
        <v/>
      </c>
      <c r="C567" s="3">
        <f>IF(D567="","",IF(V567=0,"🟢 OK",IF(D567&lt;corte,"⚪ HISTÓRICO (sem baixa)",IF(AND(ISNUMBER(R567),R567&lt;TODAY()),"🔴 PRAZO VENCIDO",IF(AND(OR(N567="PENDENTE",N567="PARCIAL"),D567&lt;TODAY()-1),"🔴 EMBARQUE ATRASADO",IF(AND(N567="REALIZADO",M567="PENDENTE"),"🟡 EMBARCADO SEM FATURAR",IF(AND(P567&lt;&gt;"",S567="",OR(Q567="",R567="")),"🟡 PENDÊNCIA SEM RESPONSÁVEL/PRAZO",IF(AND(ISNUMBER(R567),R567=TODAY()),"🟡 VENCE HOJE",IF(AND(P567&lt;&gt;"",S567=""),"🟡 PENDÊNCIA ABERTA",IF(AND(N(J567)&gt;0,N(K567)&lt;J567),"🟡 FALTA EXECUTAR",IF(OR(M567="PENDENTE",M567="PARCIAL"),"🟡 FATURAMENTO PENDENTE","🟡 EMBARQUE PENDENTE")))))))))))</f>
        <v/>
      </c>
      <c r="D567" s="4" t="n">
        <v>46261</v>
      </c>
      <c r="E567" s="5" t="inlineStr">
        <is>
          <t>D</t>
        </is>
      </c>
      <c r="F567" s="5" t="inlineStr">
        <is>
          <t>VINICIUS</t>
        </is>
      </c>
      <c r="G567" s="5" t="inlineStr">
        <is>
          <t>FOB</t>
        </is>
      </c>
      <c r="H567" s="5" t="inlineStr">
        <is>
          <t>DISTRIBUIDORA E IMPORTADORA</t>
        </is>
      </c>
      <c r="I567" s="5" t="inlineStr">
        <is>
          <t>TON</t>
        </is>
      </c>
      <c r="J567" s="6" t="n">
        <v>11.634</v>
      </c>
      <c r="K567" s="6" t="n">
        <v>11.634</v>
      </c>
      <c r="L567" s="7">
        <f>IF(OR(D567="",N(J567)=0),"",MIN(1,N(K567)/J567))</f>
        <v/>
      </c>
      <c r="M567" s="5" t="inlineStr">
        <is>
          <t>FATURADO</t>
        </is>
      </c>
      <c r="N567" s="5" t="inlineStr">
        <is>
          <t>REALIZADO</t>
        </is>
      </c>
      <c r="O567" s="5" t="n"/>
      <c r="P567" s="5" t="n"/>
      <c r="Q567" s="5" t="n"/>
      <c r="R567" s="4" t="n"/>
      <c r="S567" s="4" t="n"/>
      <c r="T567" s="5" t="inlineStr">
        <is>
          <t>CARREGADO E LIBERADO</t>
        </is>
      </c>
      <c r="U567" s="8">
        <f>IF(AND(V567=1,D567&lt;&gt;""),IF(D567&gt;=corte,TODAY()-D567,""),"")</f>
        <v/>
      </c>
      <c r="V567" s="8">
        <f>IF(D567="",0,IF(OR(AND(P567&lt;&gt;"",S567=""),AND(N(J567)&gt;0,N(K567)&lt;J567),OR(M567="PENDENTE",M567="PARCIAL"),OR(N567="PENDENTE",N567="PARCIAL")),1,0))</f>
        <v/>
      </c>
      <c r="W567" s="8">
        <f>IF(AND(V567=1,D567&lt;&gt;""),IF(D567&gt;=corte,(B567="CRÍTICO")*1E9+(100000-D567)*10000+10000-ROW(),""),"")</f>
        <v/>
      </c>
      <c r="X567" s="8">
        <f>IF(AND(V567=1,D567=pas_data,E567=pas_turno),10000-ROW(),"")</f>
        <v/>
      </c>
    </row>
    <row r="568">
      <c r="A568" s="3">
        <f>IF(D568="","","TT-"&amp;TEXT(ROW()-1,"00000"))</f>
        <v/>
      </c>
      <c r="B568" s="3">
        <f>IF(D568="","",IF(V568=0,"CONCLUÍDO",IF(D568&lt;corte,"HISTÓRICO",IF(OR(AND(ISNUMBER(R568),R568&lt;TODAY()),AND(OR(N568="PENDENTE",N568="PARCIAL"),D568&lt;TODAY()-1)),"CRÍTICO",IF(OR(AND(P568&lt;&gt;"",S568=""),AND(N568="REALIZADO",M568="PENDENTE"),AND(ISNUMBER(R568),R568=TODAY())),"ATENÇÃO",IF(N(K568)=0,"PENDENTE","EM ANDAMENTO"))))))</f>
        <v/>
      </c>
      <c r="C568" s="3">
        <f>IF(D568="","",IF(V568=0,"🟢 OK",IF(D568&lt;corte,"⚪ HISTÓRICO (sem baixa)",IF(AND(ISNUMBER(R568),R568&lt;TODAY()),"🔴 PRAZO VENCIDO",IF(AND(OR(N568="PENDENTE",N568="PARCIAL"),D568&lt;TODAY()-1),"🔴 EMBARQUE ATRASADO",IF(AND(N568="REALIZADO",M568="PENDENTE"),"🟡 EMBARCADO SEM FATURAR",IF(AND(P568&lt;&gt;"",S568="",OR(Q568="",R568="")),"🟡 PENDÊNCIA SEM RESPONSÁVEL/PRAZO",IF(AND(ISNUMBER(R568),R568=TODAY()),"🟡 VENCE HOJE",IF(AND(P568&lt;&gt;"",S568=""),"🟡 PENDÊNCIA ABERTA",IF(AND(N(J568)&gt;0,N(K568)&lt;J568),"🟡 FALTA EXECUTAR",IF(OR(M568="PENDENTE",M568="PARCIAL"),"🟡 FATURAMENTO PENDENTE","🟡 EMBARQUE PENDENTE")))))))))))</f>
        <v/>
      </c>
      <c r="D568" s="4" t="n">
        <v>46261</v>
      </c>
      <c r="E568" s="5" t="inlineStr">
        <is>
          <t>D</t>
        </is>
      </c>
      <c r="F568" s="5" t="inlineStr">
        <is>
          <t>VINICIUS</t>
        </is>
      </c>
      <c r="G568" s="5" t="inlineStr">
        <is>
          <t>BR15</t>
        </is>
      </c>
      <c r="H568" s="5" t="inlineStr">
        <is>
          <t>VOGLIADI</t>
        </is>
      </c>
      <c r="I568" s="5" t="inlineStr">
        <is>
          <t>TON</t>
        </is>
      </c>
      <c r="J568" s="6" t="n">
        <v>2.489</v>
      </c>
      <c r="K568" s="6" t="n">
        <v>2.489</v>
      </c>
      <c r="L568" s="7">
        <f>IF(OR(D568="",N(J568)=0),"",MIN(1,N(K568)/J568))</f>
        <v/>
      </c>
      <c r="M568" s="5" t="inlineStr">
        <is>
          <t>FATURADO</t>
        </is>
      </c>
      <c r="N568" s="5" t="inlineStr">
        <is>
          <t>REALIZADO</t>
        </is>
      </c>
      <c r="O568" s="5" t="n"/>
      <c r="P568" s="5" t="n"/>
      <c r="Q568" s="5" t="n"/>
      <c r="R568" s="4" t="n"/>
      <c r="S568" s="4" t="n"/>
      <c r="T568" s="5" t="inlineStr">
        <is>
          <t>CARREGADO E LIBERADO</t>
        </is>
      </c>
      <c r="U568" s="8">
        <f>IF(AND(V568=1,D568&lt;&gt;""),IF(D568&gt;=corte,TODAY()-D568,""),"")</f>
        <v/>
      </c>
      <c r="V568" s="8">
        <f>IF(D568="",0,IF(OR(AND(P568&lt;&gt;"",S568=""),AND(N(J568)&gt;0,N(K568)&lt;J568),OR(M568="PENDENTE",M568="PARCIAL"),OR(N568="PENDENTE",N568="PARCIAL")),1,0))</f>
        <v/>
      </c>
      <c r="W568" s="8">
        <f>IF(AND(V568=1,D568&lt;&gt;""),IF(D568&gt;=corte,(B568="CRÍTICO")*1E9+(100000-D568)*10000+10000-ROW(),""),"")</f>
        <v/>
      </c>
      <c r="X568" s="8">
        <f>IF(AND(V568=1,D568=pas_data,E568=pas_turno),10000-ROW(),"")</f>
        <v/>
      </c>
    </row>
    <row r="569">
      <c r="A569" s="3">
        <f>IF(D569="","","TT-"&amp;TEXT(ROW()-1,"00000"))</f>
        <v/>
      </c>
      <c r="B569" s="3">
        <f>IF(D569="","",IF(V569=0,"CONCLUÍDO",IF(D569&lt;corte,"HISTÓRICO",IF(OR(AND(ISNUMBER(R569),R569&lt;TODAY()),AND(OR(N569="PENDENTE",N569="PARCIAL"),D569&lt;TODAY()-1)),"CRÍTICO",IF(OR(AND(P569&lt;&gt;"",S569=""),AND(N569="REALIZADO",M569="PENDENTE"),AND(ISNUMBER(R569),R569=TODAY())),"ATENÇÃO",IF(N(K569)=0,"PENDENTE","EM ANDAMENTO"))))))</f>
        <v/>
      </c>
      <c r="C569" s="3">
        <f>IF(D569="","",IF(V569=0,"🟢 OK",IF(D569&lt;corte,"⚪ HISTÓRICO (sem baixa)",IF(AND(ISNUMBER(R569),R569&lt;TODAY()),"🔴 PRAZO VENCIDO",IF(AND(OR(N569="PENDENTE",N569="PARCIAL"),D569&lt;TODAY()-1),"🔴 EMBARQUE ATRASADO",IF(AND(N569="REALIZADO",M569="PENDENTE"),"🟡 EMBARCADO SEM FATURAR",IF(AND(P569&lt;&gt;"",S569="",OR(Q569="",R569="")),"🟡 PENDÊNCIA SEM RESPONSÁVEL/PRAZO",IF(AND(ISNUMBER(R569),R569=TODAY()),"🟡 VENCE HOJE",IF(AND(P569&lt;&gt;"",S569=""),"🟡 PENDÊNCIA ABERTA",IF(AND(N(J569)&gt;0,N(K569)&lt;J569),"🟡 FALTA EXECUTAR",IF(OR(M569="PENDENTE",M569="PARCIAL"),"🟡 FATURAMENTO PENDENTE","🟡 EMBARQUE PENDENTE")))))))))))</f>
        <v/>
      </c>
      <c r="D569" s="4" t="n">
        <v>46261</v>
      </c>
      <c r="E569" s="5" t="inlineStr">
        <is>
          <t>D</t>
        </is>
      </c>
      <c r="F569" s="5" t="inlineStr">
        <is>
          <t>VINICIUS</t>
        </is>
      </c>
      <c r="G569" s="5" t="inlineStr">
        <is>
          <t>FOB</t>
        </is>
      </c>
      <c r="H569" s="5" t="inlineStr">
        <is>
          <t>RFC</t>
        </is>
      </c>
      <c r="I569" s="5" t="inlineStr">
        <is>
          <t>TON</t>
        </is>
      </c>
      <c r="J569" s="6" t="n">
        <v>16.531</v>
      </c>
      <c r="K569" s="6" t="n">
        <v>16.531</v>
      </c>
      <c r="L569" s="7">
        <f>IF(OR(D569="",N(J569)=0),"",MIN(1,N(K569)/J569))</f>
        <v/>
      </c>
      <c r="M569" s="5" t="inlineStr">
        <is>
          <t>FATURADO</t>
        </is>
      </c>
      <c r="N569" s="5" t="inlineStr">
        <is>
          <t>REALIZADO</t>
        </is>
      </c>
      <c r="O569" s="5" t="n"/>
      <c r="P569" s="5" t="n"/>
      <c r="Q569" s="5" t="n"/>
      <c r="R569" s="4" t="n"/>
      <c r="S569" s="4" t="n"/>
      <c r="T569" s="5" t="inlineStr">
        <is>
          <t>CARREGADO E LIBERADO</t>
        </is>
      </c>
      <c r="U569" s="8">
        <f>IF(AND(V569=1,D569&lt;&gt;""),IF(D569&gt;=corte,TODAY()-D569,""),"")</f>
        <v/>
      </c>
      <c r="V569" s="8">
        <f>IF(D569="",0,IF(OR(AND(P569&lt;&gt;"",S569=""),AND(N(J569)&gt;0,N(K569)&lt;J569),OR(M569="PENDENTE",M569="PARCIAL"),OR(N569="PENDENTE",N569="PARCIAL")),1,0))</f>
        <v/>
      </c>
      <c r="W569" s="8">
        <f>IF(AND(V569=1,D569&lt;&gt;""),IF(D569&gt;=corte,(B569="CRÍTICO")*1E9+(100000-D569)*10000+10000-ROW(),""),"")</f>
        <v/>
      </c>
      <c r="X569" s="8">
        <f>IF(AND(V569=1,D569=pas_data,E569=pas_turno),10000-ROW(),"")</f>
        <v/>
      </c>
    </row>
    <row r="570">
      <c r="A570" s="3">
        <f>IF(D570="","","TT-"&amp;TEXT(ROW()-1,"00000"))</f>
        <v/>
      </c>
      <c r="B570" s="3">
        <f>IF(D570="","",IF(V570=0,"CONCLUÍDO",IF(D570&lt;corte,"HISTÓRICO",IF(OR(AND(ISNUMBER(R570),R570&lt;TODAY()),AND(OR(N570="PENDENTE",N570="PARCIAL"),D570&lt;TODAY()-1)),"CRÍTICO",IF(OR(AND(P570&lt;&gt;"",S570=""),AND(N570="REALIZADO",M570="PENDENTE"),AND(ISNUMBER(R570),R570=TODAY())),"ATENÇÃO",IF(N(K570)=0,"PENDENTE","EM ANDAMENTO"))))))</f>
        <v/>
      </c>
      <c r="C570" s="3">
        <f>IF(D570="","",IF(V570=0,"🟢 OK",IF(D570&lt;corte,"⚪ HISTÓRICO (sem baixa)",IF(AND(ISNUMBER(R570),R570&lt;TODAY()),"🔴 PRAZO VENCIDO",IF(AND(OR(N570="PENDENTE",N570="PARCIAL"),D570&lt;TODAY()-1),"🔴 EMBARQUE ATRASADO",IF(AND(N570="REALIZADO",M570="PENDENTE"),"🟡 EMBARCADO SEM FATURAR",IF(AND(P570&lt;&gt;"",S570="",OR(Q570="",R570="")),"🟡 PENDÊNCIA SEM RESPONSÁVEL/PRAZO",IF(AND(ISNUMBER(R570),R570=TODAY()),"🟡 VENCE HOJE",IF(AND(P570&lt;&gt;"",S570=""),"🟡 PENDÊNCIA ABERTA",IF(AND(N(J570)&gt;0,N(K570)&lt;J570),"🟡 FALTA EXECUTAR",IF(OR(M570="PENDENTE",M570="PARCIAL"),"🟡 FATURAMENTO PENDENTE","🟡 EMBARQUE PENDENTE")))))))))))</f>
        <v/>
      </c>
      <c r="D570" s="4" t="n">
        <v>46261</v>
      </c>
      <c r="E570" s="5" t="inlineStr">
        <is>
          <t>D</t>
        </is>
      </c>
      <c r="F570" s="5" t="inlineStr">
        <is>
          <t>VINICIUS</t>
        </is>
      </c>
      <c r="G570" s="5" t="inlineStr">
        <is>
          <t>FM</t>
        </is>
      </c>
      <c r="H570" s="5" t="inlineStr">
        <is>
          <t>PANDURATA</t>
        </is>
      </c>
      <c r="I570" s="5" t="inlineStr">
        <is>
          <t>TON</t>
        </is>
      </c>
      <c r="J570" s="6" t="n">
        <v>26</v>
      </c>
      <c r="K570" s="6" t="n">
        <v>26</v>
      </c>
      <c r="L570" s="7">
        <f>IF(OR(D570="",N(J570)=0),"",MIN(1,N(K570)/J570))</f>
        <v/>
      </c>
      <c r="M570" s="5" t="inlineStr">
        <is>
          <t>FATURADO</t>
        </is>
      </c>
      <c r="N570" s="5" t="inlineStr">
        <is>
          <t>REALIZADO</t>
        </is>
      </c>
      <c r="O570" s="5" t="n"/>
      <c r="P570" s="5" t="n"/>
      <c r="Q570" s="5" t="n"/>
      <c r="R570" s="4" t="n"/>
      <c r="S570" s="4" t="n"/>
      <c r="T570" s="5" t="inlineStr">
        <is>
          <t>CARREGADO E LIBERADO</t>
        </is>
      </c>
      <c r="U570" s="8">
        <f>IF(AND(V570=1,D570&lt;&gt;""),IF(D570&gt;=corte,TODAY()-D570,""),"")</f>
        <v/>
      </c>
      <c r="V570" s="8">
        <f>IF(D570="",0,IF(OR(AND(P570&lt;&gt;"",S570=""),AND(N(J570)&gt;0,N(K570)&lt;J570),OR(M570="PENDENTE",M570="PARCIAL"),OR(N570="PENDENTE",N570="PARCIAL")),1,0))</f>
        <v/>
      </c>
      <c r="W570" s="8">
        <f>IF(AND(V570=1,D570&lt;&gt;""),IF(D570&gt;=corte,(B570="CRÍTICO")*1E9+(100000-D570)*10000+10000-ROW(),""),"")</f>
        <v/>
      </c>
      <c r="X570" s="8">
        <f>IF(AND(V570=1,D570=pas_data,E570=pas_turno),10000-ROW(),"")</f>
        <v/>
      </c>
    </row>
    <row r="571">
      <c r="A571" s="3">
        <f>IF(D571="","","TT-"&amp;TEXT(ROW()-1,"00000"))</f>
        <v/>
      </c>
      <c r="B571" s="3">
        <f>IF(D571="","",IF(V571=0,"CONCLUÍDO",IF(D571&lt;corte,"HISTÓRICO",IF(OR(AND(ISNUMBER(R571),R571&lt;TODAY()),AND(OR(N571="PENDENTE",N571="PARCIAL"),D571&lt;TODAY()-1)),"CRÍTICO",IF(OR(AND(P571&lt;&gt;"",S571=""),AND(N571="REALIZADO",M571="PENDENTE"),AND(ISNUMBER(R571),R571=TODAY())),"ATENÇÃO",IF(N(K571)=0,"PENDENTE","EM ANDAMENTO"))))))</f>
        <v/>
      </c>
      <c r="C571" s="3">
        <f>IF(D571="","",IF(V571=0,"🟢 OK",IF(D571&lt;corte,"⚪ HISTÓRICO (sem baixa)",IF(AND(ISNUMBER(R571),R571&lt;TODAY()),"🔴 PRAZO VENCIDO",IF(AND(OR(N571="PENDENTE",N571="PARCIAL"),D571&lt;TODAY()-1),"🔴 EMBARQUE ATRASADO",IF(AND(N571="REALIZADO",M571="PENDENTE"),"🟡 EMBARCADO SEM FATURAR",IF(AND(P571&lt;&gt;"",S571="",OR(Q571="",R571="")),"🟡 PENDÊNCIA SEM RESPONSÁVEL/PRAZO",IF(AND(ISNUMBER(R571),R571=TODAY()),"🟡 VENCE HOJE",IF(AND(P571&lt;&gt;"",S571=""),"🟡 PENDÊNCIA ABERTA",IF(AND(N(J571)&gt;0,N(K571)&lt;J571),"🟡 FALTA EXECUTAR",IF(OR(M571="PENDENTE",M571="PARCIAL"),"🟡 FATURAMENTO PENDENTE","🟡 EMBARQUE PENDENTE")))))))))))</f>
        <v/>
      </c>
      <c r="D571" s="4" t="n">
        <v>46261</v>
      </c>
      <c r="E571" s="5" t="inlineStr">
        <is>
          <t>D</t>
        </is>
      </c>
      <c r="F571" s="5" t="inlineStr">
        <is>
          <t>VINICIUS</t>
        </is>
      </c>
      <c r="G571" s="5" t="inlineStr">
        <is>
          <t>GM</t>
        </is>
      </c>
      <c r="H571" s="5" t="inlineStr">
        <is>
          <t>MACPAN</t>
        </is>
      </c>
      <c r="I571" s="5" t="inlineStr">
        <is>
          <t>TON</t>
        </is>
      </c>
      <c r="J571" s="6" t="n">
        <v>22.47</v>
      </c>
      <c r="K571" s="6" t="n">
        <v>22.47</v>
      </c>
      <c r="L571" s="7">
        <f>IF(OR(D571="",N(J571)=0),"",MIN(1,N(K571)/J571))</f>
        <v/>
      </c>
      <c r="M571" s="5" t="inlineStr">
        <is>
          <t>FATURADO</t>
        </is>
      </c>
      <c r="N571" s="5" t="inlineStr">
        <is>
          <t>PENDENTE</t>
        </is>
      </c>
      <c r="O571" s="5" t="n"/>
      <c r="P571" s="5" t="inlineStr">
        <is>
          <t>AGUARDANDO COLETA</t>
        </is>
      </c>
      <c r="Q571" s="5" t="n"/>
      <c r="R571" s="4" t="n"/>
      <c r="S571" s="4" t="n"/>
      <c r="T571" s="5" t="inlineStr">
        <is>
          <t>AGUARDANDO COLETA</t>
        </is>
      </c>
      <c r="U571" s="8">
        <f>IF(AND(V571=1,D571&lt;&gt;""),IF(D571&gt;=corte,TODAY()-D571,""),"")</f>
        <v/>
      </c>
      <c r="V571" s="8">
        <f>IF(D571="",0,IF(OR(AND(P571&lt;&gt;"",S571=""),AND(N(J571)&gt;0,N(K571)&lt;J571),OR(M571="PENDENTE",M571="PARCIAL"),OR(N571="PENDENTE",N571="PARCIAL")),1,0))</f>
        <v/>
      </c>
      <c r="W571" s="8">
        <f>IF(AND(V571=1,D571&lt;&gt;""),IF(D571&gt;=corte,(B571="CRÍTICO")*1E9+(100000-D571)*10000+10000-ROW(),""),"")</f>
        <v/>
      </c>
      <c r="X571" s="8">
        <f>IF(AND(V571=1,D571=pas_data,E571=pas_turno),10000-ROW(),"")</f>
        <v/>
      </c>
    </row>
    <row r="572">
      <c r="A572" s="3">
        <f>IF(D572="","","TT-"&amp;TEXT(ROW()-1,"00000"))</f>
        <v/>
      </c>
      <c r="B572" s="3">
        <f>IF(D572="","",IF(V572=0,"CONCLUÍDO",IF(D572&lt;corte,"HISTÓRICO",IF(OR(AND(ISNUMBER(R572),R572&lt;TODAY()),AND(OR(N572="PENDENTE",N572="PARCIAL"),D572&lt;TODAY()-1)),"CRÍTICO",IF(OR(AND(P572&lt;&gt;"",S572=""),AND(N572="REALIZADO",M572="PENDENTE"),AND(ISNUMBER(R572),R572=TODAY())),"ATENÇÃO",IF(N(K572)=0,"PENDENTE","EM ANDAMENTO"))))))</f>
        <v/>
      </c>
      <c r="C572" s="3">
        <f>IF(D572="","",IF(V572=0,"🟢 OK",IF(D572&lt;corte,"⚪ HISTÓRICO (sem baixa)",IF(AND(ISNUMBER(R572),R572&lt;TODAY()),"🔴 PRAZO VENCIDO",IF(AND(OR(N572="PENDENTE",N572="PARCIAL"),D572&lt;TODAY()-1),"🔴 EMBARQUE ATRASADO",IF(AND(N572="REALIZADO",M572="PENDENTE"),"🟡 EMBARCADO SEM FATURAR",IF(AND(P572&lt;&gt;"",S572="",OR(Q572="",R572="")),"🟡 PENDÊNCIA SEM RESPONSÁVEL/PRAZO",IF(AND(ISNUMBER(R572),R572=TODAY()),"🟡 VENCE HOJE",IF(AND(P572&lt;&gt;"",S572=""),"🟡 PENDÊNCIA ABERTA",IF(AND(N(J572)&gt;0,N(K572)&lt;J572),"🟡 FALTA EXECUTAR",IF(OR(M572="PENDENTE",M572="PARCIAL"),"🟡 FATURAMENTO PENDENTE","🟡 EMBARQUE PENDENTE")))))))))))</f>
        <v/>
      </c>
      <c r="D572" s="4" t="n">
        <v>46261</v>
      </c>
      <c r="E572" s="5" t="inlineStr">
        <is>
          <t>D</t>
        </is>
      </c>
      <c r="F572" s="5" t="inlineStr">
        <is>
          <t>VINICIUS</t>
        </is>
      </c>
      <c r="G572" s="5" t="inlineStr">
        <is>
          <t>FOB</t>
        </is>
      </c>
      <c r="H572" s="5" t="inlineStr">
        <is>
          <t>COMERCIAL ATACADISTA ALVE</t>
        </is>
      </c>
      <c r="I572" s="5" t="inlineStr">
        <is>
          <t>TON</t>
        </is>
      </c>
      <c r="J572" s="6" t="n">
        <v>9.734999999999999</v>
      </c>
      <c r="K572" s="6" t="n">
        <v>9.734999999999999</v>
      </c>
      <c r="L572" s="7">
        <f>IF(OR(D572="",N(J572)=0),"",MIN(1,N(K572)/J572))</f>
        <v/>
      </c>
      <c r="M572" s="5" t="inlineStr">
        <is>
          <t>FATURADO</t>
        </is>
      </c>
      <c r="N572" s="5" t="inlineStr">
        <is>
          <t>PENDENTE</t>
        </is>
      </c>
      <c r="O572" s="5" t="n"/>
      <c r="P572" s="5" t="inlineStr">
        <is>
          <t>AGUARDANDO COLETA</t>
        </is>
      </c>
      <c r="Q572" s="5" t="n"/>
      <c r="R572" s="4" t="n"/>
      <c r="S572" s="4" t="n"/>
      <c r="T572" s="5" t="inlineStr">
        <is>
          <t>AGUARDANDO COLETA</t>
        </is>
      </c>
      <c r="U572" s="8">
        <f>IF(AND(V572=1,D572&lt;&gt;""),IF(D572&gt;=corte,TODAY()-D572,""),"")</f>
        <v/>
      </c>
      <c r="V572" s="8">
        <f>IF(D572="",0,IF(OR(AND(P572&lt;&gt;"",S572=""),AND(N(J572)&gt;0,N(K572)&lt;J572),OR(M572="PENDENTE",M572="PARCIAL"),OR(N572="PENDENTE",N572="PARCIAL")),1,0))</f>
        <v/>
      </c>
      <c r="W572" s="8">
        <f>IF(AND(V572=1,D572&lt;&gt;""),IF(D572&gt;=corte,(B572="CRÍTICO")*1E9+(100000-D572)*10000+10000-ROW(),""),"")</f>
        <v/>
      </c>
      <c r="X572" s="8">
        <f>IF(AND(V572=1,D572=pas_data,E572=pas_turno),10000-ROW(),"")</f>
        <v/>
      </c>
    </row>
    <row r="573">
      <c r="A573" s="3">
        <f>IF(D573="","","TT-"&amp;TEXT(ROW()-1,"00000"))</f>
        <v/>
      </c>
      <c r="B573" s="3">
        <f>IF(D573="","",IF(V573=0,"CONCLUÍDO",IF(D573&lt;corte,"HISTÓRICO",IF(OR(AND(ISNUMBER(R573),R573&lt;TODAY()),AND(OR(N573="PENDENTE",N573="PARCIAL"),D573&lt;TODAY()-1)),"CRÍTICO",IF(OR(AND(P573&lt;&gt;"",S573=""),AND(N573="REALIZADO",M573="PENDENTE"),AND(ISNUMBER(R573),R573=TODAY())),"ATENÇÃO",IF(N(K573)=0,"PENDENTE","EM ANDAMENTO"))))))</f>
        <v/>
      </c>
      <c r="C573" s="3">
        <f>IF(D573="","",IF(V573=0,"🟢 OK",IF(D573&lt;corte,"⚪ HISTÓRICO (sem baixa)",IF(AND(ISNUMBER(R573),R573&lt;TODAY()),"🔴 PRAZO VENCIDO",IF(AND(OR(N573="PENDENTE",N573="PARCIAL"),D573&lt;TODAY()-1),"🔴 EMBARQUE ATRASADO",IF(AND(N573="REALIZADO",M573="PENDENTE"),"🟡 EMBARCADO SEM FATURAR",IF(AND(P573&lt;&gt;"",S573="",OR(Q573="",R573="")),"🟡 PENDÊNCIA SEM RESPONSÁVEL/PRAZO",IF(AND(ISNUMBER(R573),R573=TODAY()),"🟡 VENCE HOJE",IF(AND(P573&lt;&gt;"",S573=""),"🟡 PENDÊNCIA ABERTA",IF(AND(N(J573)&gt;0,N(K573)&lt;J573),"🟡 FALTA EXECUTAR",IF(OR(M573="PENDENTE",M573="PARCIAL"),"🟡 FATURAMENTO PENDENTE","🟡 EMBARQUE PENDENTE")))))))))))</f>
        <v/>
      </c>
      <c r="D573" s="4" t="n">
        <v>46261</v>
      </c>
      <c r="E573" s="5" t="inlineStr">
        <is>
          <t>D</t>
        </is>
      </c>
      <c r="F573" s="5" t="inlineStr">
        <is>
          <t>VINICIUS</t>
        </is>
      </c>
      <c r="G573" s="5" t="inlineStr">
        <is>
          <t>FM</t>
        </is>
      </c>
      <c r="H573" s="5" t="inlineStr">
        <is>
          <t>RIBERFOOFS</t>
        </is>
      </c>
      <c r="I573" s="5" t="inlineStr">
        <is>
          <t>TON</t>
        </is>
      </c>
      <c r="J573" s="6" t="n">
        <v>2.687</v>
      </c>
      <c r="K573" s="6" t="n">
        <v>2.687</v>
      </c>
      <c r="L573" s="7">
        <f>IF(OR(D573="",N(J573)=0),"",MIN(1,N(K573)/J573))</f>
        <v/>
      </c>
      <c r="M573" s="5" t="inlineStr">
        <is>
          <t>FATURADO</t>
        </is>
      </c>
      <c r="N573" s="5" t="inlineStr">
        <is>
          <t>PENDENTE</t>
        </is>
      </c>
      <c r="O573" s="5" t="n"/>
      <c r="P573" s="5" t="inlineStr">
        <is>
          <t>AGUARDANDO COLETA</t>
        </is>
      </c>
      <c r="Q573" s="5" t="n"/>
      <c r="R573" s="4" t="n"/>
      <c r="S573" s="4" t="n"/>
      <c r="T573" s="5" t="inlineStr">
        <is>
          <t>AGUARDANDO COLETA</t>
        </is>
      </c>
      <c r="U573" s="8">
        <f>IF(AND(V573=1,D573&lt;&gt;""),IF(D573&gt;=corte,TODAY()-D573,""),"")</f>
        <v/>
      </c>
      <c r="V573" s="8">
        <f>IF(D573="",0,IF(OR(AND(P573&lt;&gt;"",S573=""),AND(N(J573)&gt;0,N(K573)&lt;J573),OR(M573="PENDENTE",M573="PARCIAL"),OR(N573="PENDENTE",N573="PARCIAL")),1,0))</f>
        <v/>
      </c>
      <c r="W573" s="8">
        <f>IF(AND(V573=1,D573&lt;&gt;""),IF(D573&gt;=corte,(B573="CRÍTICO")*1E9+(100000-D573)*10000+10000-ROW(),""),"")</f>
        <v/>
      </c>
      <c r="X573" s="8">
        <f>IF(AND(V573=1,D573=pas_data,E573=pas_turno),10000-ROW(),"")</f>
        <v/>
      </c>
    </row>
    <row r="574">
      <c r="A574" s="3">
        <f>IF(D574="","","TT-"&amp;TEXT(ROW()-1,"00000"))</f>
        <v/>
      </c>
      <c r="B574" s="3">
        <f>IF(D574="","",IF(V574=0,"CONCLUÍDO",IF(D574&lt;corte,"HISTÓRICO",IF(OR(AND(ISNUMBER(R574),R574&lt;TODAY()),AND(OR(N574="PENDENTE",N574="PARCIAL"),D574&lt;TODAY()-1)),"CRÍTICO",IF(OR(AND(P574&lt;&gt;"",S574=""),AND(N574="REALIZADO",M574="PENDENTE"),AND(ISNUMBER(R574),R574=TODAY())),"ATENÇÃO",IF(N(K574)=0,"PENDENTE","EM ANDAMENTO"))))))</f>
        <v/>
      </c>
      <c r="C574" s="3">
        <f>IF(D574="","",IF(V574=0,"🟢 OK",IF(D574&lt;corte,"⚪ HISTÓRICO (sem baixa)",IF(AND(ISNUMBER(R574),R574&lt;TODAY()),"🔴 PRAZO VENCIDO",IF(AND(OR(N574="PENDENTE",N574="PARCIAL"),D574&lt;TODAY()-1),"🔴 EMBARQUE ATRASADO",IF(AND(N574="REALIZADO",M574="PENDENTE"),"🟡 EMBARCADO SEM FATURAR",IF(AND(P574&lt;&gt;"",S574="",OR(Q574="",R574="")),"🟡 PENDÊNCIA SEM RESPONSÁVEL/PRAZO",IF(AND(ISNUMBER(R574),R574=TODAY()),"🟡 VENCE HOJE",IF(AND(P574&lt;&gt;"",S574=""),"🟡 PENDÊNCIA ABERTA",IF(AND(N(J574)&gt;0,N(K574)&lt;J574),"🟡 FALTA EXECUTAR",IF(OR(M574="PENDENTE",M574="PARCIAL"),"🟡 FATURAMENTO PENDENTE","🟡 EMBARQUE PENDENTE")))))))))))</f>
        <v/>
      </c>
      <c r="D574" s="4" t="n">
        <v>46261</v>
      </c>
      <c r="E574" s="5" t="inlineStr">
        <is>
          <t>D</t>
        </is>
      </c>
      <c r="F574" s="5" t="inlineStr">
        <is>
          <t>VINICIUS</t>
        </is>
      </c>
      <c r="G574" s="5" t="inlineStr">
        <is>
          <t>GM</t>
        </is>
      </c>
      <c r="H574" s="5" t="inlineStr">
        <is>
          <t>CROSS 13 - D2</t>
        </is>
      </c>
      <c r="I574" s="5" t="inlineStr">
        <is>
          <t>TON</t>
        </is>
      </c>
      <c r="J574" s="6" t="n">
        <v>16.009</v>
      </c>
      <c r="K574" s="6" t="n">
        <v>16.009</v>
      </c>
      <c r="L574" s="7">
        <f>IF(OR(D574="",N(J574)=0),"",MIN(1,N(K574)/J574))</f>
        <v/>
      </c>
      <c r="M574" s="5" t="inlineStr">
        <is>
          <t>PENDENTE</t>
        </is>
      </c>
      <c r="N574" s="5" t="inlineStr">
        <is>
          <t>PENDENTE</t>
        </is>
      </c>
      <c r="O574" s="5" t="n"/>
      <c r="P574" s="5" t="inlineStr">
        <is>
          <t>SEPARADO / PENDENTE CONFERÊNCIA BARRY</t>
        </is>
      </c>
      <c r="Q574" s="5" t="n"/>
      <c r="R574" s="4" t="n"/>
      <c r="S574" s="4" t="n"/>
      <c r="T574" s="5" t="inlineStr">
        <is>
          <t>SEPARADO / PENDENTE CONFERÊNCIA BARRY</t>
        </is>
      </c>
      <c r="U574" s="8">
        <f>IF(AND(V574=1,D574&lt;&gt;""),IF(D574&gt;=corte,TODAY()-D574,""),"")</f>
        <v/>
      </c>
      <c r="V574" s="8">
        <f>IF(D574="",0,IF(OR(AND(P574&lt;&gt;"",S574=""),AND(N(J574)&gt;0,N(K574)&lt;J574),OR(M574="PENDENTE",M574="PARCIAL"),OR(N574="PENDENTE",N574="PARCIAL")),1,0))</f>
        <v/>
      </c>
      <c r="W574" s="8">
        <f>IF(AND(V574=1,D574&lt;&gt;""),IF(D574&gt;=corte,(B574="CRÍTICO")*1E9+(100000-D574)*10000+10000-ROW(),""),"")</f>
        <v/>
      </c>
      <c r="X574" s="8">
        <f>IF(AND(V574=1,D574=pas_data,E574=pas_turno),10000-ROW(),"")</f>
        <v/>
      </c>
    </row>
    <row r="575">
      <c r="A575" s="3">
        <f>IF(D575="","","TT-"&amp;TEXT(ROW()-1,"00000"))</f>
        <v/>
      </c>
      <c r="B575" s="3">
        <f>IF(D575="","",IF(V575=0,"CONCLUÍDO",IF(D575&lt;corte,"HISTÓRICO",IF(OR(AND(ISNUMBER(R575),R575&lt;TODAY()),AND(OR(N575="PENDENTE",N575="PARCIAL"),D575&lt;TODAY()-1)),"CRÍTICO",IF(OR(AND(P575&lt;&gt;"",S575=""),AND(N575="REALIZADO",M575="PENDENTE"),AND(ISNUMBER(R575),R575=TODAY())),"ATENÇÃO",IF(N(K575)=0,"PENDENTE","EM ANDAMENTO"))))))</f>
        <v/>
      </c>
      <c r="C575" s="3">
        <f>IF(D575="","",IF(V575=0,"🟢 OK",IF(D575&lt;corte,"⚪ HISTÓRICO (sem baixa)",IF(AND(ISNUMBER(R575),R575&lt;TODAY()),"🔴 PRAZO VENCIDO",IF(AND(OR(N575="PENDENTE",N575="PARCIAL"),D575&lt;TODAY()-1),"🔴 EMBARQUE ATRASADO",IF(AND(N575="REALIZADO",M575="PENDENTE"),"🟡 EMBARCADO SEM FATURAR",IF(AND(P575&lt;&gt;"",S575="",OR(Q575="",R575="")),"🟡 PENDÊNCIA SEM RESPONSÁVEL/PRAZO",IF(AND(ISNUMBER(R575),R575=TODAY()),"🟡 VENCE HOJE",IF(AND(P575&lt;&gt;"",S575=""),"🟡 PENDÊNCIA ABERTA",IF(AND(N(J575)&gt;0,N(K575)&lt;J575),"🟡 FALTA EXECUTAR",IF(OR(M575="PENDENTE",M575="PARCIAL"),"🟡 FATURAMENTO PENDENTE","🟡 EMBARQUE PENDENTE")))))))))))</f>
        <v/>
      </c>
      <c r="D575" s="4" t="n">
        <v>46262</v>
      </c>
      <c r="E575" s="5" t="inlineStr">
        <is>
          <t>C</t>
        </is>
      </c>
      <c r="F575" s="5" t="inlineStr">
        <is>
          <t>ADIB</t>
        </is>
      </c>
      <c r="G575" s="5" t="inlineStr">
        <is>
          <t>FOB</t>
        </is>
      </c>
      <c r="H575" s="5" t="inlineStr">
        <is>
          <t>SVP</t>
        </is>
      </c>
      <c r="I575" s="5" t="inlineStr">
        <is>
          <t>TON</t>
        </is>
      </c>
      <c r="J575" s="6" t="n">
        <v>1.866</v>
      </c>
      <c r="K575" s="6" t="n">
        <v>1.866</v>
      </c>
      <c r="L575" s="7">
        <f>IF(OR(D575="",N(J575)=0),"",MIN(1,N(K575)/J575))</f>
        <v/>
      </c>
      <c r="M575" s="5" t="inlineStr">
        <is>
          <t>FATURADO</t>
        </is>
      </c>
      <c r="N575" s="5" t="inlineStr">
        <is>
          <t>PENDENTE</t>
        </is>
      </c>
      <c r="O575" s="5" t="n"/>
      <c r="P575" s="5" t="inlineStr">
        <is>
          <t>AGUARDANDO CARRO</t>
        </is>
      </c>
      <c r="Q575" s="5" t="n"/>
      <c r="R575" s="4" t="n"/>
      <c r="S575" s="4" t="n"/>
      <c r="T575" s="5" t="inlineStr">
        <is>
          <t>AGUARDANDO CARRO</t>
        </is>
      </c>
      <c r="U575" s="8">
        <f>IF(AND(V575=1,D575&lt;&gt;""),IF(D575&gt;=corte,TODAY()-D575,""),"")</f>
        <v/>
      </c>
      <c r="V575" s="8">
        <f>IF(D575="",0,IF(OR(AND(P575&lt;&gt;"",S575=""),AND(N(J575)&gt;0,N(K575)&lt;J575),OR(M575="PENDENTE",M575="PARCIAL"),OR(N575="PENDENTE",N575="PARCIAL")),1,0))</f>
        <v/>
      </c>
      <c r="W575" s="8">
        <f>IF(AND(V575=1,D575&lt;&gt;""),IF(D575&gt;=corte,(B575="CRÍTICO")*1E9+(100000-D575)*10000+10000-ROW(),""),"")</f>
        <v/>
      </c>
      <c r="X575" s="8">
        <f>IF(AND(V575=1,D575=pas_data,E575=pas_turno),10000-ROW(),"")</f>
        <v/>
      </c>
    </row>
    <row r="576">
      <c r="A576" s="3">
        <f>IF(D576="","","TT-"&amp;TEXT(ROW()-1,"00000"))</f>
        <v/>
      </c>
      <c r="B576" s="3">
        <f>IF(D576="","",IF(V576=0,"CONCLUÍDO",IF(D576&lt;corte,"HISTÓRICO",IF(OR(AND(ISNUMBER(R576),R576&lt;TODAY()),AND(OR(N576="PENDENTE",N576="PARCIAL"),D576&lt;TODAY()-1)),"CRÍTICO",IF(OR(AND(P576&lt;&gt;"",S576=""),AND(N576="REALIZADO",M576="PENDENTE"),AND(ISNUMBER(R576),R576=TODAY())),"ATENÇÃO",IF(N(K576)=0,"PENDENTE","EM ANDAMENTO"))))))</f>
        <v/>
      </c>
      <c r="C576" s="3">
        <f>IF(D576="","",IF(V576=0,"🟢 OK",IF(D576&lt;corte,"⚪ HISTÓRICO (sem baixa)",IF(AND(ISNUMBER(R576),R576&lt;TODAY()),"🔴 PRAZO VENCIDO",IF(AND(OR(N576="PENDENTE",N576="PARCIAL"),D576&lt;TODAY()-1),"🔴 EMBARQUE ATRASADO",IF(AND(N576="REALIZADO",M576="PENDENTE"),"🟡 EMBARCADO SEM FATURAR",IF(AND(P576&lt;&gt;"",S576="",OR(Q576="",R576="")),"🟡 PENDÊNCIA SEM RESPONSÁVEL/PRAZO",IF(AND(ISNUMBER(R576),R576=TODAY()),"🟡 VENCE HOJE",IF(AND(P576&lt;&gt;"",S576=""),"🟡 PENDÊNCIA ABERTA",IF(AND(N(J576)&gt;0,N(K576)&lt;J576),"🟡 FALTA EXECUTAR",IF(OR(M576="PENDENTE",M576="PARCIAL"),"🟡 FATURAMENTO PENDENTE","🟡 EMBARQUE PENDENTE")))))))))))</f>
        <v/>
      </c>
      <c r="D576" s="4" t="n">
        <v>46262</v>
      </c>
      <c r="E576" s="5" t="inlineStr">
        <is>
          <t>C</t>
        </is>
      </c>
      <c r="F576" s="5" t="inlineStr">
        <is>
          <t>ADIB</t>
        </is>
      </c>
      <c r="G576" s="5" t="inlineStr">
        <is>
          <t>FOB</t>
        </is>
      </c>
      <c r="H576" s="5" t="inlineStr">
        <is>
          <t>LOJA DOCE</t>
        </is>
      </c>
      <c r="I576" s="5" t="inlineStr">
        <is>
          <t>TON</t>
        </is>
      </c>
      <c r="J576" s="6" t="n">
        <v>6.382</v>
      </c>
      <c r="K576" s="6" t="n">
        <v>6.382</v>
      </c>
      <c r="L576" s="7">
        <f>IF(OR(D576="",N(J576)=0),"",MIN(1,N(K576)/J576))</f>
        <v/>
      </c>
      <c r="M576" s="5" t="inlineStr">
        <is>
          <t>FATURADO</t>
        </is>
      </c>
      <c r="N576" s="5" t="inlineStr">
        <is>
          <t>PENDENTE</t>
        </is>
      </c>
      <c r="O576" s="5" t="n"/>
      <c r="P576" s="5" t="inlineStr">
        <is>
          <t>AGUARDANDO CARRO</t>
        </is>
      </c>
      <c r="Q576" s="5" t="n"/>
      <c r="R576" s="4" t="n"/>
      <c r="S576" s="4" t="n"/>
      <c r="T576" s="5" t="inlineStr">
        <is>
          <t>AGUARDANDO CARRO</t>
        </is>
      </c>
      <c r="U576" s="8">
        <f>IF(AND(V576=1,D576&lt;&gt;""),IF(D576&gt;=corte,TODAY()-D576,""),"")</f>
        <v/>
      </c>
      <c r="V576" s="8">
        <f>IF(D576="",0,IF(OR(AND(P576&lt;&gt;"",S576=""),AND(N(J576)&gt;0,N(K576)&lt;J576),OR(M576="PENDENTE",M576="PARCIAL"),OR(N576="PENDENTE",N576="PARCIAL")),1,0))</f>
        <v/>
      </c>
      <c r="W576" s="8">
        <f>IF(AND(V576=1,D576&lt;&gt;""),IF(D576&gt;=corte,(B576="CRÍTICO")*1E9+(100000-D576)*10000+10000-ROW(),""),"")</f>
        <v/>
      </c>
      <c r="X576" s="8">
        <f>IF(AND(V576=1,D576=pas_data,E576=pas_turno),10000-ROW(),"")</f>
        <v/>
      </c>
    </row>
    <row r="577">
      <c r="A577" s="3">
        <f>IF(D577="","","TT-"&amp;TEXT(ROW()-1,"00000"))</f>
        <v/>
      </c>
      <c r="B577" s="3">
        <f>IF(D577="","",IF(V577=0,"CONCLUÍDO",IF(D577&lt;corte,"HISTÓRICO",IF(OR(AND(ISNUMBER(R577),R577&lt;TODAY()),AND(OR(N577="PENDENTE",N577="PARCIAL"),D577&lt;TODAY()-1)),"CRÍTICO",IF(OR(AND(P577&lt;&gt;"",S577=""),AND(N577="REALIZADO",M577="PENDENTE"),AND(ISNUMBER(R577),R577=TODAY())),"ATENÇÃO",IF(N(K577)=0,"PENDENTE","EM ANDAMENTO"))))))</f>
        <v/>
      </c>
      <c r="C577" s="3">
        <f>IF(D577="","",IF(V577=0,"🟢 OK",IF(D577&lt;corte,"⚪ HISTÓRICO (sem baixa)",IF(AND(ISNUMBER(R577),R577&lt;TODAY()),"🔴 PRAZO VENCIDO",IF(AND(OR(N577="PENDENTE",N577="PARCIAL"),D577&lt;TODAY()-1),"🔴 EMBARQUE ATRASADO",IF(AND(N577="REALIZADO",M577="PENDENTE"),"🟡 EMBARCADO SEM FATURAR",IF(AND(P577&lt;&gt;"",S577="",OR(Q577="",R577="")),"🟡 PENDÊNCIA SEM RESPONSÁVEL/PRAZO",IF(AND(ISNUMBER(R577),R577=TODAY()),"🟡 VENCE HOJE",IF(AND(P577&lt;&gt;"",S577=""),"🟡 PENDÊNCIA ABERTA",IF(AND(N(J577)&gt;0,N(K577)&lt;J577),"🟡 FALTA EXECUTAR",IF(OR(M577="PENDENTE",M577="PARCIAL"),"🟡 FATURAMENTO PENDENTE","🟡 EMBARQUE PENDENTE")))))))))))</f>
        <v/>
      </c>
      <c r="D577" s="4" t="n">
        <v>46262</v>
      </c>
      <c r="E577" s="5" t="inlineStr">
        <is>
          <t>C</t>
        </is>
      </c>
      <c r="F577" s="5" t="inlineStr">
        <is>
          <t>ADIB</t>
        </is>
      </c>
      <c r="G577" s="5" t="inlineStr">
        <is>
          <t>GM</t>
        </is>
      </c>
      <c r="H577" s="5" t="inlineStr">
        <is>
          <t>CROSS 13 - D2</t>
        </is>
      </c>
      <c r="I577" s="5" t="inlineStr">
        <is>
          <t>TON</t>
        </is>
      </c>
      <c r="J577" s="6" t="n">
        <v>16.009</v>
      </c>
      <c r="K577" s="6" t="n">
        <v>16.009</v>
      </c>
      <c r="L577" s="7">
        <f>IF(OR(D577="",N(J577)=0),"",MIN(1,N(K577)/J577))</f>
        <v/>
      </c>
      <c r="M577" s="5" t="inlineStr">
        <is>
          <t>FATURADO</t>
        </is>
      </c>
      <c r="N577" s="5" t="inlineStr">
        <is>
          <t>PENDENTE</t>
        </is>
      </c>
      <c r="O577" s="5" t="n"/>
      <c r="P577" s="5" t="inlineStr">
        <is>
          <t>REALIZAMOS A CONFERENCIA - CARGA REMONTADA AGUARDANDO CARRO</t>
        </is>
      </c>
      <c r="Q577" s="5" t="n"/>
      <c r="R577" s="4" t="n"/>
      <c r="S577" s="4" t="n"/>
      <c r="T577" s="5" t="inlineStr">
        <is>
          <t>REALIZAMOS A CONFERENCIA - CARGA REMONTADA AGUARDANDO CARRO</t>
        </is>
      </c>
      <c r="U577" s="8">
        <f>IF(AND(V577=1,D577&lt;&gt;""),IF(D577&gt;=corte,TODAY()-D577,""),"")</f>
        <v/>
      </c>
      <c r="V577" s="8">
        <f>IF(D577="",0,IF(OR(AND(P577&lt;&gt;"",S577=""),AND(N(J577)&gt;0,N(K577)&lt;J577),OR(M577="PENDENTE",M577="PARCIAL"),OR(N577="PENDENTE",N577="PARCIAL")),1,0))</f>
        <v/>
      </c>
      <c r="W577" s="8">
        <f>IF(AND(V577=1,D577&lt;&gt;""),IF(D577&gt;=corte,(B577="CRÍTICO")*1E9+(100000-D577)*10000+10000-ROW(),""),"")</f>
        <v/>
      </c>
      <c r="X577" s="8">
        <f>IF(AND(V577=1,D577=pas_data,E577=pas_turno),10000-ROW(),"")</f>
        <v/>
      </c>
    </row>
    <row r="578">
      <c r="A578" s="3">
        <f>IF(D578="","","TT-"&amp;TEXT(ROW()-1,"00000"))</f>
        <v/>
      </c>
      <c r="B578" s="3">
        <f>IF(D578="","",IF(V578=0,"CONCLUÍDO",IF(D578&lt;corte,"HISTÓRICO",IF(OR(AND(ISNUMBER(R578),R578&lt;TODAY()),AND(OR(N578="PENDENTE",N578="PARCIAL"),D578&lt;TODAY()-1)),"CRÍTICO",IF(OR(AND(P578&lt;&gt;"",S578=""),AND(N578="REALIZADO",M578="PENDENTE"),AND(ISNUMBER(R578),R578=TODAY())),"ATENÇÃO",IF(N(K578)=0,"PENDENTE","EM ANDAMENTO"))))))</f>
        <v/>
      </c>
      <c r="C578" s="3">
        <f>IF(D578="","",IF(V578=0,"🟢 OK",IF(D578&lt;corte,"⚪ HISTÓRICO (sem baixa)",IF(AND(ISNUMBER(R578),R578&lt;TODAY()),"🔴 PRAZO VENCIDO",IF(AND(OR(N578="PENDENTE",N578="PARCIAL"),D578&lt;TODAY()-1),"🔴 EMBARQUE ATRASADO",IF(AND(N578="REALIZADO",M578="PENDENTE"),"🟡 EMBARCADO SEM FATURAR",IF(AND(P578&lt;&gt;"",S578="",OR(Q578="",R578="")),"🟡 PENDÊNCIA SEM RESPONSÁVEL/PRAZO",IF(AND(ISNUMBER(R578),R578=TODAY()),"🟡 VENCE HOJE",IF(AND(P578&lt;&gt;"",S578=""),"🟡 PENDÊNCIA ABERTA",IF(AND(N(J578)&gt;0,N(K578)&lt;J578),"🟡 FALTA EXECUTAR",IF(OR(M578="PENDENTE",M578="PARCIAL"),"🟡 FATURAMENTO PENDENTE","🟡 EMBARQUE PENDENTE")))))))))))</f>
        <v/>
      </c>
      <c r="D578" s="4" t="n">
        <v>46262</v>
      </c>
      <c r="E578" s="5" t="inlineStr">
        <is>
          <t>C</t>
        </is>
      </c>
      <c r="F578" s="5" t="inlineStr">
        <is>
          <t>ADIB</t>
        </is>
      </c>
      <c r="G578" s="5" t="inlineStr">
        <is>
          <t>GM</t>
        </is>
      </c>
      <c r="H578" s="5" t="inlineStr">
        <is>
          <t>MIX TUDO ( ES )</t>
        </is>
      </c>
      <c r="I578" s="5" t="inlineStr">
        <is>
          <t>TON</t>
        </is>
      </c>
      <c r="J578" s="6" t="n">
        <v>15.942</v>
      </c>
      <c r="K578" s="6" t="n">
        <v>15.942</v>
      </c>
      <c r="L578" s="7">
        <f>IF(OR(D578="",N(J578)=0),"",MIN(1,N(K578)/J578))</f>
        <v/>
      </c>
      <c r="M578" s="5" t="inlineStr">
        <is>
          <t>FATURADO</t>
        </is>
      </c>
      <c r="N578" s="5" t="inlineStr">
        <is>
          <t>PENDENTE</t>
        </is>
      </c>
      <c r="O578" s="5" t="n"/>
      <c r="P578" s="5" t="inlineStr">
        <is>
          <t>CARRO 1 ( ROTA C.OESTE ) FATURADO - AGUARDANDO CARRO</t>
        </is>
      </c>
      <c r="Q578" s="5" t="n"/>
      <c r="R578" s="4" t="n"/>
      <c r="S578" s="4" t="n"/>
      <c r="T578" s="5" t="inlineStr">
        <is>
          <t>CARRO 1 ( ROTA C.OESTE ) FATURADO - AGUARDANDO CARRO</t>
        </is>
      </c>
      <c r="U578" s="8">
        <f>IF(AND(V578=1,D578&lt;&gt;""),IF(D578&gt;=corte,TODAY()-D578,""),"")</f>
        <v/>
      </c>
      <c r="V578" s="8">
        <f>IF(D578="",0,IF(OR(AND(P578&lt;&gt;"",S578=""),AND(N(J578)&gt;0,N(K578)&lt;J578),OR(M578="PENDENTE",M578="PARCIAL"),OR(N578="PENDENTE",N578="PARCIAL")),1,0))</f>
        <v/>
      </c>
      <c r="W578" s="8">
        <f>IF(AND(V578=1,D578&lt;&gt;""),IF(D578&gt;=corte,(B578="CRÍTICO")*1E9+(100000-D578)*10000+10000-ROW(),""),"")</f>
        <v/>
      </c>
      <c r="X578" s="8">
        <f>IF(AND(V578=1,D578=pas_data,E578=pas_turno),10000-ROW(),"")</f>
        <v/>
      </c>
    </row>
    <row r="579">
      <c r="A579" s="3">
        <f>IF(D579="","","TT-"&amp;TEXT(ROW()-1,"00000"))</f>
        <v/>
      </c>
      <c r="B579" s="3">
        <f>IF(D579="","",IF(V579=0,"CONCLUÍDO",IF(D579&lt;corte,"HISTÓRICO",IF(OR(AND(ISNUMBER(R579),R579&lt;TODAY()),AND(OR(N579="PENDENTE",N579="PARCIAL"),D579&lt;TODAY()-1)),"CRÍTICO",IF(OR(AND(P579&lt;&gt;"",S579=""),AND(N579="REALIZADO",M579="PENDENTE"),AND(ISNUMBER(R579),R579=TODAY())),"ATENÇÃO",IF(N(K579)=0,"PENDENTE","EM ANDAMENTO"))))))</f>
        <v/>
      </c>
      <c r="C579" s="3">
        <f>IF(D579="","",IF(V579=0,"🟢 OK",IF(D579&lt;corte,"⚪ HISTÓRICO (sem baixa)",IF(AND(ISNUMBER(R579),R579&lt;TODAY()),"🔴 PRAZO VENCIDO",IF(AND(OR(N579="PENDENTE",N579="PARCIAL"),D579&lt;TODAY()-1),"🔴 EMBARQUE ATRASADO",IF(AND(N579="REALIZADO",M579="PENDENTE"),"🟡 EMBARCADO SEM FATURAR",IF(AND(P579&lt;&gt;"",S579="",OR(Q579="",R579="")),"🟡 PENDÊNCIA SEM RESPONSÁVEL/PRAZO",IF(AND(ISNUMBER(R579),R579=TODAY()),"🟡 VENCE HOJE",IF(AND(P579&lt;&gt;"",S579=""),"🟡 PENDÊNCIA ABERTA",IF(AND(N(J579)&gt;0,N(K579)&lt;J579),"🟡 FALTA EXECUTAR",IF(OR(M579="PENDENTE",M579="PARCIAL"),"🟡 FATURAMENTO PENDENTE","🟡 EMBARQUE PENDENTE")))))))))))</f>
        <v/>
      </c>
      <c r="D579" s="4" t="n">
        <v>46262</v>
      </c>
      <c r="E579" s="5" t="inlineStr">
        <is>
          <t>C</t>
        </is>
      </c>
      <c r="F579" s="5" t="inlineStr">
        <is>
          <t>ADIB</t>
        </is>
      </c>
      <c r="G579" s="5" t="inlineStr">
        <is>
          <t>GM</t>
        </is>
      </c>
      <c r="H579" s="5" t="inlineStr">
        <is>
          <t>CROSS ( ES /NORTE )</t>
        </is>
      </c>
      <c r="I579" s="5" t="inlineStr">
        <is>
          <t>TON</t>
        </is>
      </c>
      <c r="J579" s="6" t="n">
        <v>16.044</v>
      </c>
      <c r="K579" s="6" t="n">
        <v>16.044</v>
      </c>
      <c r="L579" s="7">
        <f>IF(OR(D579="",N(J579)=0),"",MIN(1,N(K579)/J579))</f>
        <v/>
      </c>
      <c r="M579" s="5" t="inlineStr">
        <is>
          <t>FATURADO</t>
        </is>
      </c>
      <c r="N579" s="5" t="inlineStr">
        <is>
          <t>PENDENTE</t>
        </is>
      </c>
      <c r="O579" s="5" t="n"/>
      <c r="P579" s="5" t="inlineStr">
        <is>
          <t>CARRO 2 ( ROTA C.OESTE ) CROSS - AGUARDANDO CARRO</t>
        </is>
      </c>
      <c r="Q579" s="5" t="n"/>
      <c r="R579" s="4" t="n"/>
      <c r="S579" s="4" t="n"/>
      <c r="T579" s="5" t="inlineStr">
        <is>
          <t>CARRO 2 ( ROTA C.OESTE ) CROSS - AGUARDANDO CARRO</t>
        </is>
      </c>
      <c r="U579" s="8">
        <f>IF(AND(V579=1,D579&lt;&gt;""),IF(D579&gt;=corte,TODAY()-D579,""),"")</f>
        <v/>
      </c>
      <c r="V579" s="8">
        <f>IF(D579="",0,IF(OR(AND(P579&lt;&gt;"",S579=""),AND(N(J579)&gt;0,N(K579)&lt;J579),OR(M579="PENDENTE",M579="PARCIAL"),OR(N579="PENDENTE",N579="PARCIAL")),1,0))</f>
        <v/>
      </c>
      <c r="W579" s="8">
        <f>IF(AND(V579=1,D579&lt;&gt;""),IF(D579&gt;=corte,(B579="CRÍTICO")*1E9+(100000-D579)*10000+10000-ROW(),""),"")</f>
        <v/>
      </c>
      <c r="X579" s="8">
        <f>IF(AND(V579=1,D579=pas_data,E579=pas_turno),10000-ROW(),"")</f>
        <v/>
      </c>
    </row>
    <row r="580">
      <c r="A580" s="3">
        <f>IF(D580="","","TT-"&amp;TEXT(ROW()-1,"00000"))</f>
        <v/>
      </c>
      <c r="B580" s="3">
        <f>IF(D580="","",IF(V580=0,"CONCLUÍDO",IF(D580&lt;corte,"HISTÓRICO",IF(OR(AND(ISNUMBER(R580),R580&lt;TODAY()),AND(OR(N580="PENDENTE",N580="PARCIAL"),D580&lt;TODAY()-1)),"CRÍTICO",IF(OR(AND(P580&lt;&gt;"",S580=""),AND(N580="REALIZADO",M580="PENDENTE"),AND(ISNUMBER(R580),R580=TODAY())),"ATENÇÃO",IF(N(K580)=0,"PENDENTE","EM ANDAMENTO"))))))</f>
        <v/>
      </c>
      <c r="C580" s="3">
        <f>IF(D580="","",IF(V580=0,"🟢 OK",IF(D580&lt;corte,"⚪ HISTÓRICO (sem baixa)",IF(AND(ISNUMBER(R580),R580&lt;TODAY()),"🔴 PRAZO VENCIDO",IF(AND(OR(N580="PENDENTE",N580="PARCIAL"),D580&lt;TODAY()-1),"🔴 EMBARQUE ATRASADO",IF(AND(N580="REALIZADO",M580="PENDENTE"),"🟡 EMBARCADO SEM FATURAR",IF(AND(P580&lt;&gt;"",S580="",OR(Q580="",R580="")),"🟡 PENDÊNCIA SEM RESPONSÁVEL/PRAZO",IF(AND(ISNUMBER(R580),R580=TODAY()),"🟡 VENCE HOJE",IF(AND(P580&lt;&gt;"",S580=""),"🟡 PENDÊNCIA ABERTA",IF(AND(N(J580)&gt;0,N(K580)&lt;J580),"🟡 FALTA EXECUTAR",IF(OR(M580="PENDENTE",M580="PARCIAL"),"🟡 FATURAMENTO PENDENTE","🟡 EMBARQUE PENDENTE")))))))))))</f>
        <v/>
      </c>
      <c r="D580" s="4" t="n">
        <v>46262</v>
      </c>
      <c r="E580" s="5" t="inlineStr">
        <is>
          <t>C</t>
        </is>
      </c>
      <c r="F580" s="5" t="inlineStr">
        <is>
          <t>ADIB</t>
        </is>
      </c>
      <c r="G580" s="5" t="inlineStr">
        <is>
          <t>BR15</t>
        </is>
      </c>
      <c r="H580" s="5" t="inlineStr">
        <is>
          <t>CACAU</t>
        </is>
      </c>
      <c r="I580" s="5" t="inlineStr">
        <is>
          <t>TON</t>
        </is>
      </c>
      <c r="J580" s="6" t="n">
        <v>12.659</v>
      </c>
      <c r="K580" s="6" t="n">
        <v>12.659</v>
      </c>
      <c r="L580" s="7">
        <f>IF(OR(D580="",N(J580)=0),"",MIN(1,N(K580)/J580))</f>
        <v/>
      </c>
      <c r="M580" s="5" t="inlineStr">
        <is>
          <t>FATURADO</t>
        </is>
      </c>
      <c r="N580" s="5" t="inlineStr">
        <is>
          <t>PARCIAL</t>
        </is>
      </c>
      <c r="O580" s="5" t="n"/>
      <c r="P580" s="5" t="inlineStr">
        <is>
          <t>AGUARDANDO CARROS</t>
        </is>
      </c>
      <c r="Q580" s="5" t="n"/>
      <c r="R580" s="4" t="n"/>
      <c r="S580" s="4" t="n"/>
      <c r="T580" s="5" t="inlineStr">
        <is>
          <t>AGUARDANDO CARROS</t>
        </is>
      </c>
      <c r="U580" s="8">
        <f>IF(AND(V580=1,D580&lt;&gt;""),IF(D580&gt;=corte,TODAY()-D580,""),"")</f>
        <v/>
      </c>
      <c r="V580" s="8">
        <f>IF(D580="",0,IF(OR(AND(P580&lt;&gt;"",S580=""),AND(N(J580)&gt;0,N(K580)&lt;J580),OR(M580="PENDENTE",M580="PARCIAL"),OR(N580="PENDENTE",N580="PARCIAL")),1,0))</f>
        <v/>
      </c>
      <c r="W580" s="8">
        <f>IF(AND(V580=1,D580&lt;&gt;""),IF(D580&gt;=corte,(B580="CRÍTICO")*1E9+(100000-D580)*10000+10000-ROW(),""),"")</f>
        <v/>
      </c>
      <c r="X580" s="8">
        <f>IF(AND(V580=1,D580=pas_data,E580=pas_turno),10000-ROW(),"")</f>
        <v/>
      </c>
    </row>
    <row r="581">
      <c r="A581" s="3">
        <f>IF(D581="","","TT-"&amp;TEXT(ROW()-1,"00000"))</f>
        <v/>
      </c>
      <c r="B581" s="3">
        <f>IF(D581="","",IF(V581=0,"CONCLUÍDO",IF(D581&lt;corte,"HISTÓRICO",IF(OR(AND(ISNUMBER(R581),R581&lt;TODAY()),AND(OR(N581="PENDENTE",N581="PARCIAL"),D581&lt;TODAY()-1)),"CRÍTICO",IF(OR(AND(P581&lt;&gt;"",S581=""),AND(N581="REALIZADO",M581="PENDENTE"),AND(ISNUMBER(R581),R581=TODAY())),"ATENÇÃO",IF(N(K581)=0,"PENDENTE","EM ANDAMENTO"))))))</f>
        <v/>
      </c>
      <c r="C581" s="3">
        <f>IF(D581="","",IF(V581=0,"🟢 OK",IF(D581&lt;corte,"⚪ HISTÓRICO (sem baixa)",IF(AND(ISNUMBER(R581),R581&lt;TODAY()),"🔴 PRAZO VENCIDO",IF(AND(OR(N581="PENDENTE",N581="PARCIAL"),D581&lt;TODAY()-1),"🔴 EMBARQUE ATRASADO",IF(AND(N581="REALIZADO",M581="PENDENTE"),"🟡 EMBARCADO SEM FATURAR",IF(AND(P581&lt;&gt;"",S581="",OR(Q581="",R581="")),"🟡 PENDÊNCIA SEM RESPONSÁVEL/PRAZO",IF(AND(ISNUMBER(R581),R581=TODAY()),"🟡 VENCE HOJE",IF(AND(P581&lt;&gt;"",S581=""),"🟡 PENDÊNCIA ABERTA",IF(AND(N(J581)&gt;0,N(K581)&lt;J581),"🟡 FALTA EXECUTAR",IF(OR(M581="PENDENTE",M581="PARCIAL"),"🟡 FATURAMENTO PENDENTE","🟡 EMBARQUE PENDENTE")))))))))))</f>
        <v/>
      </c>
      <c r="D581" s="4" t="n">
        <v>46262</v>
      </c>
      <c r="E581" s="5" t="inlineStr">
        <is>
          <t>C</t>
        </is>
      </c>
      <c r="F581" s="5" t="inlineStr">
        <is>
          <t>ADIB</t>
        </is>
      </c>
      <c r="G581" s="5" t="inlineStr">
        <is>
          <t>FM</t>
        </is>
      </c>
      <c r="H581" s="5" t="inlineStr">
        <is>
          <t>PANDURATA</t>
        </is>
      </c>
      <c r="I581" s="5" t="inlineStr">
        <is>
          <t>TON</t>
        </is>
      </c>
      <c r="J581" s="6" t="n">
        <v>28.054</v>
      </c>
      <c r="K581" s="6" t="n">
        <v>28.054</v>
      </c>
      <c r="L581" s="7">
        <f>IF(OR(D581="",N(J581)=0),"",MIN(1,N(K581)/J581))</f>
        <v/>
      </c>
      <c r="M581" s="5" t="inlineStr">
        <is>
          <t>FATURADO</t>
        </is>
      </c>
      <c r="N581" s="5" t="inlineStr">
        <is>
          <t>REALIZADO</t>
        </is>
      </c>
      <c r="O581" s="5" t="n"/>
      <c r="P581" s="5" t="n"/>
      <c r="Q581" s="5" t="n"/>
      <c r="R581" s="4" t="n"/>
      <c r="S581" s="4" t="n"/>
      <c r="T581" s="5" t="inlineStr">
        <is>
          <t>SEPARADO CARREGADO E LIBERADO</t>
        </is>
      </c>
      <c r="U581" s="8">
        <f>IF(AND(V581=1,D581&lt;&gt;""),IF(D581&gt;=corte,TODAY()-D581,""),"")</f>
        <v/>
      </c>
      <c r="V581" s="8">
        <f>IF(D581="",0,IF(OR(AND(P581&lt;&gt;"",S581=""),AND(N(J581)&gt;0,N(K581)&lt;J581),OR(M581="PENDENTE",M581="PARCIAL"),OR(N581="PENDENTE",N581="PARCIAL")),1,0))</f>
        <v/>
      </c>
      <c r="W581" s="8">
        <f>IF(AND(V581=1,D581&lt;&gt;""),IF(D581&gt;=corte,(B581="CRÍTICO")*1E9+(100000-D581)*10000+10000-ROW(),""),"")</f>
        <v/>
      </c>
      <c r="X581" s="8">
        <f>IF(AND(V581=1,D581=pas_data,E581=pas_turno),10000-ROW(),"")</f>
        <v/>
      </c>
    </row>
    <row r="582">
      <c r="A582" s="3">
        <f>IF(D582="","","TT-"&amp;TEXT(ROW()-1,"00000"))</f>
        <v/>
      </c>
      <c r="B582" s="3">
        <f>IF(D582="","",IF(V582=0,"CONCLUÍDO",IF(D582&lt;corte,"HISTÓRICO",IF(OR(AND(ISNUMBER(R582),R582&lt;TODAY()),AND(OR(N582="PENDENTE",N582="PARCIAL"),D582&lt;TODAY()-1)),"CRÍTICO",IF(OR(AND(P582&lt;&gt;"",S582=""),AND(N582="REALIZADO",M582="PENDENTE"),AND(ISNUMBER(R582),R582=TODAY())),"ATENÇÃO",IF(N(K582)=0,"PENDENTE","EM ANDAMENTO"))))))</f>
        <v/>
      </c>
      <c r="C582" s="3">
        <f>IF(D582="","",IF(V582=0,"🟢 OK",IF(D582&lt;corte,"⚪ HISTÓRICO (sem baixa)",IF(AND(ISNUMBER(R582),R582&lt;TODAY()),"🔴 PRAZO VENCIDO",IF(AND(OR(N582="PENDENTE",N582="PARCIAL"),D582&lt;TODAY()-1),"🔴 EMBARQUE ATRASADO",IF(AND(N582="REALIZADO",M582="PENDENTE"),"🟡 EMBARCADO SEM FATURAR",IF(AND(P582&lt;&gt;"",S582="",OR(Q582="",R582="")),"🟡 PENDÊNCIA SEM RESPONSÁVEL/PRAZO",IF(AND(ISNUMBER(R582),R582=TODAY()),"🟡 VENCE HOJE",IF(AND(P582&lt;&gt;"",S582=""),"🟡 PENDÊNCIA ABERTA",IF(AND(N(J582)&gt;0,N(K582)&lt;J582),"🟡 FALTA EXECUTAR",IF(OR(M582="PENDENTE",M582="PARCIAL"),"🟡 FATURAMENTO PENDENTE","🟡 EMBARQUE PENDENTE")))))))))))</f>
        <v/>
      </c>
      <c r="D582" s="4" t="n">
        <v>46262</v>
      </c>
      <c r="E582" s="5" t="inlineStr">
        <is>
          <t>C</t>
        </is>
      </c>
      <c r="F582" s="5" t="inlineStr">
        <is>
          <t>ADIB</t>
        </is>
      </c>
      <c r="G582" s="5" t="inlineStr">
        <is>
          <t>FOB</t>
        </is>
      </c>
      <c r="H582" s="5" t="inlineStr">
        <is>
          <t>BRAZALMEIDA</t>
        </is>
      </c>
      <c r="I582" s="5" t="inlineStr">
        <is>
          <t>TON</t>
        </is>
      </c>
      <c r="J582" s="6" t="n">
        <v>12.082</v>
      </c>
      <c r="K582" s="6" t="n">
        <v>12.082</v>
      </c>
      <c r="L582" s="7">
        <f>IF(OR(D582="",N(J582)=0),"",MIN(1,N(K582)/J582))</f>
        <v/>
      </c>
      <c r="M582" s="5" t="inlineStr">
        <is>
          <t>PENDENTE</t>
        </is>
      </c>
      <c r="N582" s="5" t="inlineStr">
        <is>
          <t>PENDENTE</t>
        </is>
      </c>
      <c r="O582" s="5" t="n"/>
      <c r="P582" s="5" t="inlineStr">
        <is>
          <t>FALTA FATURAR</t>
        </is>
      </c>
      <c r="Q582" s="5" t="n"/>
      <c r="R582" s="4" t="n"/>
      <c r="S582" s="4" t="n"/>
      <c r="T582" s="5" t="inlineStr">
        <is>
          <t>FALTA FATURAR</t>
        </is>
      </c>
      <c r="U582" s="8">
        <f>IF(AND(V582=1,D582&lt;&gt;""),IF(D582&gt;=corte,TODAY()-D582,""),"")</f>
        <v/>
      </c>
      <c r="V582" s="8">
        <f>IF(D582="",0,IF(OR(AND(P582&lt;&gt;"",S582=""),AND(N(J582)&gt;0,N(K582)&lt;J582),OR(M582="PENDENTE",M582="PARCIAL"),OR(N582="PENDENTE",N582="PARCIAL")),1,0))</f>
        <v/>
      </c>
      <c r="W582" s="8">
        <f>IF(AND(V582=1,D582&lt;&gt;""),IF(D582&gt;=corte,(B582="CRÍTICO")*1E9+(100000-D582)*10000+10000-ROW(),""),"")</f>
        <v/>
      </c>
      <c r="X582" s="8">
        <f>IF(AND(V582=1,D582=pas_data,E582=pas_turno),10000-ROW(),"")</f>
        <v/>
      </c>
    </row>
    <row r="583">
      <c r="A583" s="3">
        <f>IF(D583="","","TT-"&amp;TEXT(ROW()-1,"00000"))</f>
        <v/>
      </c>
      <c r="B583" s="3">
        <f>IF(D583="","",IF(V583=0,"CONCLUÍDO",IF(D583&lt;corte,"HISTÓRICO",IF(OR(AND(ISNUMBER(R583),R583&lt;TODAY()),AND(OR(N583="PENDENTE",N583="PARCIAL"),D583&lt;TODAY()-1)),"CRÍTICO",IF(OR(AND(P583&lt;&gt;"",S583=""),AND(N583="REALIZADO",M583="PENDENTE"),AND(ISNUMBER(R583),R583=TODAY())),"ATENÇÃO",IF(N(K583)=0,"PENDENTE","EM ANDAMENTO"))))))</f>
        <v/>
      </c>
      <c r="C583" s="3">
        <f>IF(D583="","",IF(V583=0,"🟢 OK",IF(D583&lt;corte,"⚪ HISTÓRICO (sem baixa)",IF(AND(ISNUMBER(R583),R583&lt;TODAY()),"🔴 PRAZO VENCIDO",IF(AND(OR(N583="PENDENTE",N583="PARCIAL"),D583&lt;TODAY()-1),"🔴 EMBARQUE ATRASADO",IF(AND(N583="REALIZADO",M583="PENDENTE"),"🟡 EMBARCADO SEM FATURAR",IF(AND(P583&lt;&gt;"",S583="",OR(Q583="",R583="")),"🟡 PENDÊNCIA SEM RESPONSÁVEL/PRAZO",IF(AND(ISNUMBER(R583),R583=TODAY()),"🟡 VENCE HOJE",IF(AND(P583&lt;&gt;"",S583=""),"🟡 PENDÊNCIA ABERTA",IF(AND(N(J583)&gt;0,N(K583)&lt;J583),"🟡 FALTA EXECUTAR",IF(OR(M583="PENDENTE",M583="PARCIAL"),"🟡 FATURAMENTO PENDENTE","🟡 EMBARQUE PENDENTE")))))))))))</f>
        <v/>
      </c>
      <c r="D583" s="4" t="n">
        <v>46262</v>
      </c>
      <c r="E583" s="5" t="inlineStr">
        <is>
          <t>C</t>
        </is>
      </c>
      <c r="F583" s="5" t="inlineStr">
        <is>
          <t>ADIB</t>
        </is>
      </c>
      <c r="G583" s="5" t="inlineStr">
        <is>
          <t>FOB</t>
        </is>
      </c>
      <c r="H583" s="5" t="inlineStr">
        <is>
          <t>RFC</t>
        </is>
      </c>
      <c r="I583" s="5" t="inlineStr">
        <is>
          <t>TON</t>
        </is>
      </c>
      <c r="J583" s="6" t="n">
        <v>22.01</v>
      </c>
      <c r="K583" s="6" t="n">
        <v>22.01</v>
      </c>
      <c r="L583" s="7">
        <f>IF(OR(D583="",N(J583)=0),"",MIN(1,N(K583)/J583))</f>
        <v/>
      </c>
      <c r="M583" s="5" t="inlineStr">
        <is>
          <t>FATURADO</t>
        </is>
      </c>
      <c r="N583" s="5" t="inlineStr">
        <is>
          <t>PARCIAL</t>
        </is>
      </c>
      <c r="O583" s="5" t="n"/>
      <c r="P583" s="5" t="inlineStr">
        <is>
          <t>FINALIZARCARREGAMENTO</t>
        </is>
      </c>
      <c r="Q583" s="5" t="n"/>
      <c r="R583" s="4" t="n"/>
      <c r="S583" s="4" t="n"/>
      <c r="T583" s="5" t="inlineStr">
        <is>
          <t>FINALIZARCARREGAMENTO</t>
        </is>
      </c>
      <c r="U583" s="8">
        <f>IF(AND(V583=1,D583&lt;&gt;""),IF(D583&gt;=corte,TODAY()-D583,""),"")</f>
        <v/>
      </c>
      <c r="V583" s="8">
        <f>IF(D583="",0,IF(OR(AND(P583&lt;&gt;"",S583=""),AND(N(J583)&gt;0,N(K583)&lt;J583),OR(M583="PENDENTE",M583="PARCIAL"),OR(N583="PENDENTE",N583="PARCIAL")),1,0))</f>
        <v/>
      </c>
      <c r="W583" s="8">
        <f>IF(AND(V583=1,D583&lt;&gt;""),IF(D583&gt;=corte,(B583="CRÍTICO")*1E9+(100000-D583)*10000+10000-ROW(),""),"")</f>
        <v/>
      </c>
      <c r="X583" s="8">
        <f>IF(AND(V583=1,D583=pas_data,E583=pas_turno),10000-ROW(),"")</f>
        <v/>
      </c>
    </row>
    <row r="584">
      <c r="A584" s="3">
        <f>IF(D584="","","TT-"&amp;TEXT(ROW()-1,"00000"))</f>
        <v/>
      </c>
      <c r="B584" s="3">
        <f>IF(D584="","",IF(V584=0,"CONCLUÍDO",IF(D584&lt;corte,"HISTÓRICO",IF(OR(AND(ISNUMBER(R584),R584&lt;TODAY()),AND(OR(N584="PENDENTE",N584="PARCIAL"),D584&lt;TODAY()-1)),"CRÍTICO",IF(OR(AND(P584&lt;&gt;"",S584=""),AND(N584="REALIZADO",M584="PENDENTE"),AND(ISNUMBER(R584),R584=TODAY())),"ATENÇÃO",IF(N(K584)=0,"PENDENTE","EM ANDAMENTO"))))))</f>
        <v/>
      </c>
      <c r="C584" s="3">
        <f>IF(D584="","",IF(V584=0,"🟢 OK",IF(D584&lt;corte,"⚪ HISTÓRICO (sem baixa)",IF(AND(ISNUMBER(R584),R584&lt;TODAY()),"🔴 PRAZO VENCIDO",IF(AND(OR(N584="PENDENTE",N584="PARCIAL"),D584&lt;TODAY()-1),"🔴 EMBARQUE ATRASADO",IF(AND(N584="REALIZADO",M584="PENDENTE"),"🟡 EMBARCADO SEM FATURAR",IF(AND(P584&lt;&gt;"",S584="",OR(Q584="",R584="")),"🟡 PENDÊNCIA SEM RESPONSÁVEL/PRAZO",IF(AND(ISNUMBER(R584),R584=TODAY()),"🟡 VENCE HOJE",IF(AND(P584&lt;&gt;"",S584=""),"🟡 PENDÊNCIA ABERTA",IF(AND(N(J584)&gt;0,N(K584)&lt;J584),"🟡 FALTA EXECUTAR",IF(OR(M584="PENDENTE",M584="PARCIAL"),"🟡 FATURAMENTO PENDENTE","🟡 EMBARQUE PENDENTE")))))))))))</f>
        <v/>
      </c>
      <c r="D584" s="4" t="n">
        <v>46262</v>
      </c>
      <c r="E584" s="5" t="inlineStr">
        <is>
          <t>C</t>
        </is>
      </c>
      <c r="F584" s="5" t="inlineStr">
        <is>
          <t>ADIB</t>
        </is>
      </c>
      <c r="G584" s="5" t="inlineStr">
        <is>
          <t>GRANEL</t>
        </is>
      </c>
      <c r="H584" s="5" t="inlineStr">
        <is>
          <t>PANDURTA</t>
        </is>
      </c>
      <c r="I584" s="5" t="inlineStr">
        <is>
          <t>TON</t>
        </is>
      </c>
      <c r="J584" s="6" t="n">
        <v>27.17</v>
      </c>
      <c r="K584" s="6" t="n">
        <v>27.17</v>
      </c>
      <c r="L584" s="7">
        <f>IF(OR(D584="",N(J584)=0),"",MIN(1,N(K584)/J584))</f>
        <v/>
      </c>
      <c r="M584" s="5" t="inlineStr">
        <is>
          <t>FATURADO</t>
        </is>
      </c>
      <c r="N584" s="5" t="inlineStr">
        <is>
          <t>REALIZADO</t>
        </is>
      </c>
      <c r="O584" s="5" t="n"/>
      <c r="P584" s="5" t="inlineStr">
        <is>
          <t>FATURADO - FALTA MOTORISTA RETIRAR DOCUMENTOS</t>
        </is>
      </c>
      <c r="Q584" s="5" t="n"/>
      <c r="R584" s="4" t="n"/>
      <c r="S584" s="4" t="n"/>
      <c r="T584" s="5" t="inlineStr">
        <is>
          <t>FATURADO - FALTA MOTORISTA RETIRAR DOCUMENTOS</t>
        </is>
      </c>
      <c r="U584" s="8">
        <f>IF(AND(V584=1,D584&lt;&gt;""),IF(D584&gt;=corte,TODAY()-D584,""),"")</f>
        <v/>
      </c>
      <c r="V584" s="8">
        <f>IF(D584="",0,IF(OR(AND(P584&lt;&gt;"",S584=""),AND(N(J584)&gt;0,N(K584)&lt;J584),OR(M584="PENDENTE",M584="PARCIAL"),OR(N584="PENDENTE",N584="PARCIAL")),1,0))</f>
        <v/>
      </c>
      <c r="W584" s="8">
        <f>IF(AND(V584=1,D584&lt;&gt;""),IF(D584&gt;=corte,(B584="CRÍTICO")*1E9+(100000-D584)*10000+10000-ROW(),""),"")</f>
        <v/>
      </c>
      <c r="X584" s="8">
        <f>IF(AND(V584=1,D584=pas_data,E584=pas_turno),10000-ROW(),"")</f>
        <v/>
      </c>
    </row>
    <row r="585">
      <c r="A585" s="3">
        <f>IF(D585="","","TT-"&amp;TEXT(ROW()-1,"00000"))</f>
        <v/>
      </c>
      <c r="B585" s="3">
        <f>IF(D585="","",IF(V585=0,"CONCLUÍDO",IF(D585&lt;corte,"HISTÓRICO",IF(OR(AND(ISNUMBER(R585),R585&lt;TODAY()),AND(OR(N585="PENDENTE",N585="PARCIAL"),D585&lt;TODAY()-1)),"CRÍTICO",IF(OR(AND(P585&lt;&gt;"",S585=""),AND(N585="REALIZADO",M585="PENDENTE"),AND(ISNUMBER(R585),R585=TODAY())),"ATENÇÃO",IF(N(K585)=0,"PENDENTE","EM ANDAMENTO"))))))</f>
        <v/>
      </c>
      <c r="C585" s="3">
        <f>IF(D585="","",IF(V585=0,"🟢 OK",IF(D585&lt;corte,"⚪ HISTÓRICO (sem baixa)",IF(AND(ISNUMBER(R585),R585&lt;TODAY()),"🔴 PRAZO VENCIDO",IF(AND(OR(N585="PENDENTE",N585="PARCIAL"),D585&lt;TODAY()-1),"🔴 EMBARQUE ATRASADO",IF(AND(N585="REALIZADO",M585="PENDENTE"),"🟡 EMBARCADO SEM FATURAR",IF(AND(P585&lt;&gt;"",S585="",OR(Q585="",R585="")),"🟡 PENDÊNCIA SEM RESPONSÁVEL/PRAZO",IF(AND(ISNUMBER(R585),R585=TODAY()),"🟡 VENCE HOJE",IF(AND(P585&lt;&gt;"",S585=""),"🟡 PENDÊNCIA ABERTA",IF(AND(N(J585)&gt;0,N(K585)&lt;J585),"🟡 FALTA EXECUTAR",IF(OR(M585="PENDENTE",M585="PARCIAL"),"🟡 FATURAMENTO PENDENTE","🟡 EMBARQUE PENDENTE")))))))))))</f>
        <v/>
      </c>
      <c r="D585" s="4" t="n">
        <v>46262</v>
      </c>
      <c r="E585" s="5" t="inlineStr">
        <is>
          <t>C</t>
        </is>
      </c>
      <c r="F585" s="5" t="inlineStr">
        <is>
          <t>ADIB</t>
        </is>
      </c>
      <c r="G585" s="5" t="inlineStr">
        <is>
          <t>GM</t>
        </is>
      </c>
      <c r="H585" s="5" t="inlineStr">
        <is>
          <t>CROSS CARRO3 C.OESTE</t>
        </is>
      </c>
      <c r="I585" s="5" t="inlineStr">
        <is>
          <t>TON</t>
        </is>
      </c>
      <c r="J585" s="6" t="n">
        <v>20.14</v>
      </c>
      <c r="K585" s="6" t="n">
        <v>20.14</v>
      </c>
      <c r="L585" s="7">
        <f>IF(OR(D585="",N(J585)=0),"",MIN(1,N(K585)/J585))</f>
        <v/>
      </c>
      <c r="M585" s="5" t="inlineStr">
        <is>
          <t>FATURADO</t>
        </is>
      </c>
      <c r="N585" s="5" t="inlineStr">
        <is>
          <t>PENDENTE</t>
        </is>
      </c>
      <c r="O585" s="5" t="n"/>
      <c r="P585" s="5" t="inlineStr">
        <is>
          <t>AGUARDANDO COLETA</t>
        </is>
      </c>
      <c r="Q585" s="5" t="n"/>
      <c r="R585" s="4" t="n"/>
      <c r="S585" s="4" t="n"/>
      <c r="T585" s="5" t="inlineStr">
        <is>
          <t>AGUARDANDO COLETA</t>
        </is>
      </c>
      <c r="U585" s="8">
        <f>IF(AND(V585=1,D585&lt;&gt;""),IF(D585&gt;=corte,TODAY()-D585,""),"")</f>
        <v/>
      </c>
      <c r="V585" s="8">
        <f>IF(D585="",0,IF(OR(AND(P585&lt;&gt;"",S585=""),AND(N(J585)&gt;0,N(K585)&lt;J585),OR(M585="PENDENTE",M585="PARCIAL"),OR(N585="PENDENTE",N585="PARCIAL")),1,0))</f>
        <v/>
      </c>
      <c r="W585" s="8">
        <f>IF(AND(V585=1,D585&lt;&gt;""),IF(D585&gt;=corte,(B585="CRÍTICO")*1E9+(100000-D585)*10000+10000-ROW(),""),"")</f>
        <v/>
      </c>
      <c r="X585" s="8">
        <f>IF(AND(V585=1,D585=pas_data,E585=pas_turno),10000-ROW(),"")</f>
        <v/>
      </c>
    </row>
    <row r="586">
      <c r="A586" s="3">
        <f>IF(D586="","","TT-"&amp;TEXT(ROW()-1,"00000"))</f>
        <v/>
      </c>
      <c r="B586" s="3">
        <f>IF(D586="","",IF(V586=0,"CONCLUÍDO",IF(D586&lt;corte,"HISTÓRICO",IF(OR(AND(ISNUMBER(R586),R586&lt;TODAY()),AND(OR(N586="PENDENTE",N586="PARCIAL"),D586&lt;TODAY()-1)),"CRÍTICO",IF(OR(AND(P586&lt;&gt;"",S586=""),AND(N586="REALIZADO",M586="PENDENTE"),AND(ISNUMBER(R586),R586=TODAY())),"ATENÇÃO",IF(N(K586)=0,"PENDENTE","EM ANDAMENTO"))))))</f>
        <v/>
      </c>
      <c r="C586" s="3">
        <f>IF(D586="","",IF(V586=0,"🟢 OK",IF(D586&lt;corte,"⚪ HISTÓRICO (sem baixa)",IF(AND(ISNUMBER(R586),R586&lt;TODAY()),"🔴 PRAZO VENCIDO",IF(AND(OR(N586="PENDENTE",N586="PARCIAL"),D586&lt;TODAY()-1),"🔴 EMBARQUE ATRASADO",IF(AND(N586="REALIZADO",M586="PENDENTE"),"🟡 EMBARCADO SEM FATURAR",IF(AND(P586&lt;&gt;"",S586="",OR(Q586="",R586="")),"🟡 PENDÊNCIA SEM RESPONSÁVEL/PRAZO",IF(AND(ISNUMBER(R586),R586=TODAY()),"🟡 VENCE HOJE",IF(AND(P586&lt;&gt;"",S586=""),"🟡 PENDÊNCIA ABERTA",IF(AND(N(J586)&gt;0,N(K586)&lt;J586),"🟡 FALTA EXECUTAR",IF(OR(M586="PENDENTE",M586="PARCIAL"),"🟡 FATURAMENTO PENDENTE","🟡 EMBARQUE PENDENTE")))))))))))</f>
        <v/>
      </c>
      <c r="D586" s="4" t="n">
        <v>46262</v>
      </c>
      <c r="E586" s="5" t="inlineStr">
        <is>
          <t>D</t>
        </is>
      </c>
      <c r="F586" s="5" t="inlineStr">
        <is>
          <t>VINICIUS</t>
        </is>
      </c>
      <c r="G586" s="5" t="inlineStr">
        <is>
          <t>GM</t>
        </is>
      </c>
      <c r="H586" s="5" t="inlineStr">
        <is>
          <t>SMARTLOG AGENDADAS 31/08</t>
        </is>
      </c>
      <c r="I586" s="5" t="inlineStr">
        <is>
          <t>TON</t>
        </is>
      </c>
      <c r="J586" s="6" t="n">
        <v>10.117</v>
      </c>
      <c r="K586" s="6" t="n">
        <v>6.692</v>
      </c>
      <c r="L586" s="7">
        <f>IF(OR(D586="",N(J586)=0),"",MIN(1,N(K586)/J586))</f>
        <v/>
      </c>
      <c r="M586" s="5" t="inlineStr">
        <is>
          <t>PENDENTE</t>
        </is>
      </c>
      <c r="N586" s="5" t="inlineStr">
        <is>
          <t>PENDENTE</t>
        </is>
      </c>
      <c r="O586" s="5" t="n"/>
      <c r="P586" s="5" t="inlineStr">
        <is>
          <t>FINALIZAR SEPARAÇÃO</t>
        </is>
      </c>
      <c r="Q586" s="5" t="n"/>
      <c r="R586" s="4" t="n"/>
      <c r="S586" s="4" t="n"/>
      <c r="T586" s="5" t="inlineStr">
        <is>
          <t>FINALIZAR SEPARAÇÃO</t>
        </is>
      </c>
      <c r="U586" s="8">
        <f>IF(AND(V586=1,D586&lt;&gt;""),IF(D586&gt;=corte,TODAY()-D586,""),"")</f>
        <v/>
      </c>
      <c r="V586" s="8">
        <f>IF(D586="",0,IF(OR(AND(P586&lt;&gt;"",S586=""),AND(N(J586)&gt;0,N(K586)&lt;J586),OR(M586="PENDENTE",M586="PARCIAL"),OR(N586="PENDENTE",N586="PARCIAL")),1,0))</f>
        <v/>
      </c>
      <c r="W586" s="8">
        <f>IF(AND(V586=1,D586&lt;&gt;""),IF(D586&gt;=corte,(B586="CRÍTICO")*1E9+(100000-D586)*10000+10000-ROW(),""),"")</f>
        <v/>
      </c>
      <c r="X586" s="8">
        <f>IF(AND(V586=1,D586=pas_data,E586=pas_turno),10000-ROW(),"")</f>
        <v/>
      </c>
    </row>
    <row r="587">
      <c r="A587" s="3">
        <f>IF(D587="","","TT-"&amp;TEXT(ROW()-1,"00000"))</f>
        <v/>
      </c>
      <c r="B587" s="3">
        <f>IF(D587="","",IF(V587=0,"CONCLUÍDO",IF(D587&lt;corte,"HISTÓRICO",IF(OR(AND(ISNUMBER(R587),R587&lt;TODAY()),AND(OR(N587="PENDENTE",N587="PARCIAL"),D587&lt;TODAY()-1)),"CRÍTICO",IF(OR(AND(P587&lt;&gt;"",S587=""),AND(N587="REALIZADO",M587="PENDENTE"),AND(ISNUMBER(R587),R587=TODAY())),"ATENÇÃO",IF(N(K587)=0,"PENDENTE","EM ANDAMENTO"))))))</f>
        <v/>
      </c>
      <c r="C587" s="3">
        <f>IF(D587="","",IF(V587=0,"🟢 OK",IF(D587&lt;corte,"⚪ HISTÓRICO (sem baixa)",IF(AND(ISNUMBER(R587),R587&lt;TODAY()),"🔴 PRAZO VENCIDO",IF(AND(OR(N587="PENDENTE",N587="PARCIAL"),D587&lt;TODAY()-1),"🔴 EMBARQUE ATRASADO",IF(AND(N587="REALIZADO",M587="PENDENTE"),"🟡 EMBARCADO SEM FATURAR",IF(AND(P587&lt;&gt;"",S587="",OR(Q587="",R587="")),"🟡 PENDÊNCIA SEM RESPONSÁVEL/PRAZO",IF(AND(ISNUMBER(R587),R587=TODAY()),"🟡 VENCE HOJE",IF(AND(P587&lt;&gt;"",S587=""),"🟡 PENDÊNCIA ABERTA",IF(AND(N(J587)&gt;0,N(K587)&lt;J587),"🟡 FALTA EXECUTAR",IF(OR(M587="PENDENTE",M587="PARCIAL"),"🟡 FATURAMENTO PENDENTE","🟡 EMBARQUE PENDENTE")))))))))))</f>
        <v/>
      </c>
      <c r="D587" s="4" t="n">
        <v>46262</v>
      </c>
      <c r="E587" s="5" t="inlineStr">
        <is>
          <t>D</t>
        </is>
      </c>
      <c r="F587" s="5" t="inlineStr">
        <is>
          <t>VINICIUS</t>
        </is>
      </c>
      <c r="G587" s="5" t="inlineStr">
        <is>
          <t>FM</t>
        </is>
      </c>
      <c r="H587" s="5" t="inlineStr">
        <is>
          <t>PANDURATA</t>
        </is>
      </c>
      <c r="I587" s="5" t="inlineStr">
        <is>
          <t>TON</t>
        </is>
      </c>
      <c r="J587" s="6" t="n">
        <v>69.056</v>
      </c>
      <c r="K587" s="6" t="n">
        <v>69.056</v>
      </c>
      <c r="L587" s="7">
        <f>IF(OR(D587="",N(J587)=0),"",MIN(1,N(K587)/J587))</f>
        <v/>
      </c>
      <c r="M587" s="5" t="inlineStr">
        <is>
          <t>FATURADO</t>
        </is>
      </c>
      <c r="N587" s="5" t="inlineStr">
        <is>
          <t>REALIZADO</t>
        </is>
      </c>
      <c r="O587" s="5" t="n"/>
      <c r="P587" s="5" t="n"/>
      <c r="Q587" s="5" t="n"/>
      <c r="R587" s="4" t="n"/>
      <c r="S587" s="4" t="n"/>
      <c r="T587" s="5" t="inlineStr">
        <is>
          <t>CARREGADO E LIBERADO</t>
        </is>
      </c>
      <c r="U587" s="8">
        <f>IF(AND(V587=1,D587&lt;&gt;""),IF(D587&gt;=corte,TODAY()-D587,""),"")</f>
        <v/>
      </c>
      <c r="V587" s="8">
        <f>IF(D587="",0,IF(OR(AND(P587&lt;&gt;"",S587=""),AND(N(J587)&gt;0,N(K587)&lt;J587),OR(M587="PENDENTE",M587="PARCIAL"),OR(N587="PENDENTE",N587="PARCIAL")),1,0))</f>
        <v/>
      </c>
      <c r="W587" s="8">
        <f>IF(AND(V587=1,D587&lt;&gt;""),IF(D587&gt;=corte,(B587="CRÍTICO")*1E9+(100000-D587)*10000+10000-ROW(),""),"")</f>
        <v/>
      </c>
      <c r="X587" s="8">
        <f>IF(AND(V587=1,D587=pas_data,E587=pas_turno),10000-ROW(),"")</f>
        <v/>
      </c>
    </row>
    <row r="588">
      <c r="A588" s="3">
        <f>IF(D588="","","TT-"&amp;TEXT(ROW()-1,"00000"))</f>
        <v/>
      </c>
      <c r="B588" s="3">
        <f>IF(D588="","",IF(V588=0,"CONCLUÍDO",IF(D588&lt;corte,"HISTÓRICO",IF(OR(AND(ISNUMBER(R588),R588&lt;TODAY()),AND(OR(N588="PENDENTE",N588="PARCIAL"),D588&lt;TODAY()-1)),"CRÍTICO",IF(OR(AND(P588&lt;&gt;"",S588=""),AND(N588="REALIZADO",M588="PENDENTE"),AND(ISNUMBER(R588),R588=TODAY())),"ATENÇÃO",IF(N(K588)=0,"PENDENTE","EM ANDAMENTO"))))))</f>
        <v/>
      </c>
      <c r="C588" s="3">
        <f>IF(D588="","",IF(V588=0,"🟢 OK",IF(D588&lt;corte,"⚪ HISTÓRICO (sem baixa)",IF(AND(ISNUMBER(R588),R588&lt;TODAY()),"🔴 PRAZO VENCIDO",IF(AND(OR(N588="PENDENTE",N588="PARCIAL"),D588&lt;TODAY()-1),"🔴 EMBARQUE ATRASADO",IF(AND(N588="REALIZADO",M588="PENDENTE"),"🟡 EMBARCADO SEM FATURAR",IF(AND(P588&lt;&gt;"",S588="",OR(Q588="",R588="")),"🟡 PENDÊNCIA SEM RESPONSÁVEL/PRAZO",IF(AND(ISNUMBER(R588),R588=TODAY()),"🟡 VENCE HOJE",IF(AND(P588&lt;&gt;"",S588=""),"🟡 PENDÊNCIA ABERTA",IF(AND(N(J588)&gt;0,N(K588)&lt;J588),"🟡 FALTA EXECUTAR",IF(OR(M588="PENDENTE",M588="PARCIAL"),"🟡 FATURAMENTO PENDENTE","🟡 EMBARQUE PENDENTE")))))))))))</f>
        <v/>
      </c>
      <c r="D588" s="4" t="n">
        <v>46262</v>
      </c>
      <c r="E588" s="5" t="inlineStr">
        <is>
          <t>D</t>
        </is>
      </c>
      <c r="F588" s="5" t="inlineStr">
        <is>
          <t>VINICIUS</t>
        </is>
      </c>
      <c r="G588" s="5" t="inlineStr">
        <is>
          <t>FM</t>
        </is>
      </c>
      <c r="H588" s="5" t="inlineStr">
        <is>
          <t>MARILAN</t>
        </is>
      </c>
      <c r="I588" s="5" t="inlineStr">
        <is>
          <t>TON</t>
        </is>
      </c>
      <c r="J588" s="6" t="n">
        <v>11.329</v>
      </c>
      <c r="K588" s="6" t="n">
        <v>11.329</v>
      </c>
      <c r="L588" s="7">
        <f>IF(OR(D588="",N(J588)=0),"",MIN(1,N(K588)/J588))</f>
        <v/>
      </c>
      <c r="M588" s="5" t="inlineStr">
        <is>
          <t>FATURADO</t>
        </is>
      </c>
      <c r="N588" s="5" t="inlineStr">
        <is>
          <t>REALIZADO</t>
        </is>
      </c>
      <c r="O588" s="5" t="n"/>
      <c r="P588" s="5" t="n"/>
      <c r="Q588" s="5" t="n"/>
      <c r="R588" s="4" t="n"/>
      <c r="S588" s="4" t="n"/>
      <c r="T588" s="5" t="inlineStr">
        <is>
          <t>CARREGADO E LIBERADO</t>
        </is>
      </c>
      <c r="U588" s="8">
        <f>IF(AND(V588=1,D588&lt;&gt;""),IF(D588&gt;=corte,TODAY()-D588,""),"")</f>
        <v/>
      </c>
      <c r="V588" s="8">
        <f>IF(D588="",0,IF(OR(AND(P588&lt;&gt;"",S588=""),AND(N(J588)&gt;0,N(K588)&lt;J588),OR(M588="PENDENTE",M588="PARCIAL"),OR(N588="PENDENTE",N588="PARCIAL")),1,0))</f>
        <v/>
      </c>
      <c r="W588" s="8">
        <f>IF(AND(V588=1,D588&lt;&gt;""),IF(D588&gt;=corte,(B588="CRÍTICO")*1E9+(100000-D588)*10000+10000-ROW(),""),"")</f>
        <v/>
      </c>
      <c r="X588" s="8">
        <f>IF(AND(V588=1,D588=pas_data,E588=pas_turno),10000-ROW(),"")</f>
        <v/>
      </c>
    </row>
    <row r="589">
      <c r="A589" s="3">
        <f>IF(D589="","","TT-"&amp;TEXT(ROW()-1,"00000"))</f>
        <v/>
      </c>
      <c r="B589" s="3">
        <f>IF(D589="","",IF(V589=0,"CONCLUÍDO",IF(D589&lt;corte,"HISTÓRICO",IF(OR(AND(ISNUMBER(R589),R589&lt;TODAY()),AND(OR(N589="PENDENTE",N589="PARCIAL"),D589&lt;TODAY()-1)),"CRÍTICO",IF(OR(AND(P589&lt;&gt;"",S589=""),AND(N589="REALIZADO",M589="PENDENTE"),AND(ISNUMBER(R589),R589=TODAY())),"ATENÇÃO",IF(N(K589)=0,"PENDENTE","EM ANDAMENTO"))))))</f>
        <v/>
      </c>
      <c r="C589" s="3">
        <f>IF(D589="","",IF(V589=0,"🟢 OK",IF(D589&lt;corte,"⚪ HISTÓRICO (sem baixa)",IF(AND(ISNUMBER(R589),R589&lt;TODAY()),"🔴 PRAZO VENCIDO",IF(AND(OR(N589="PENDENTE",N589="PARCIAL"),D589&lt;TODAY()-1),"🔴 EMBARQUE ATRASADO",IF(AND(N589="REALIZADO",M589="PENDENTE"),"🟡 EMBARCADO SEM FATURAR",IF(AND(P589&lt;&gt;"",S589="",OR(Q589="",R589="")),"🟡 PENDÊNCIA SEM RESPONSÁVEL/PRAZO",IF(AND(ISNUMBER(R589),R589=TODAY()),"🟡 VENCE HOJE",IF(AND(P589&lt;&gt;"",S589=""),"🟡 PENDÊNCIA ABERTA",IF(AND(N(J589)&gt;0,N(K589)&lt;J589),"🟡 FALTA EXECUTAR",IF(OR(M589="PENDENTE",M589="PARCIAL"),"🟡 FATURAMENTO PENDENTE","🟡 EMBARQUE PENDENTE")))))))))))</f>
        <v/>
      </c>
      <c r="D589" s="4" t="n">
        <v>46262</v>
      </c>
      <c r="E589" s="5" t="inlineStr">
        <is>
          <t>D</t>
        </is>
      </c>
      <c r="F589" s="5" t="inlineStr">
        <is>
          <t>VINICIUS</t>
        </is>
      </c>
      <c r="G589" s="5" t="inlineStr">
        <is>
          <t>BR15</t>
        </is>
      </c>
      <c r="H589" s="5" t="inlineStr">
        <is>
          <t>Q.ALIMENTARE</t>
        </is>
      </c>
      <c r="I589" s="5" t="inlineStr">
        <is>
          <t>TON</t>
        </is>
      </c>
      <c r="J589" s="6" t="n">
        <v>3.2</v>
      </c>
      <c r="K589" s="6" t="n">
        <v>3.2</v>
      </c>
      <c r="L589" s="7">
        <f>IF(OR(D589="",N(J589)=0),"",MIN(1,N(K589)/J589))</f>
        <v/>
      </c>
      <c r="M589" s="5" t="inlineStr">
        <is>
          <t>FATURADO</t>
        </is>
      </c>
      <c r="N589" s="5" t="inlineStr">
        <is>
          <t>REALIZADO</t>
        </is>
      </c>
      <c r="O589" s="5" t="n"/>
      <c r="P589" s="5" t="n"/>
      <c r="Q589" s="5" t="n"/>
      <c r="R589" s="4" t="n"/>
      <c r="S589" s="4" t="n"/>
      <c r="T589" s="5" t="inlineStr">
        <is>
          <t>CARREGADO E LIBERADO</t>
        </is>
      </c>
      <c r="U589" s="8">
        <f>IF(AND(V589=1,D589&lt;&gt;""),IF(D589&gt;=corte,TODAY()-D589,""),"")</f>
        <v/>
      </c>
      <c r="V589" s="8">
        <f>IF(D589="",0,IF(OR(AND(P589&lt;&gt;"",S589=""),AND(N(J589)&gt;0,N(K589)&lt;J589),OR(M589="PENDENTE",M589="PARCIAL"),OR(N589="PENDENTE",N589="PARCIAL")),1,0))</f>
        <v/>
      </c>
      <c r="W589" s="8">
        <f>IF(AND(V589=1,D589&lt;&gt;""),IF(D589&gt;=corte,(B589="CRÍTICO")*1E9+(100000-D589)*10000+10000-ROW(),""),"")</f>
        <v/>
      </c>
      <c r="X589" s="8">
        <f>IF(AND(V589=1,D589=pas_data,E589=pas_turno),10000-ROW(),"")</f>
        <v/>
      </c>
    </row>
    <row r="590">
      <c r="A590" s="3">
        <f>IF(D590="","","TT-"&amp;TEXT(ROW()-1,"00000"))</f>
        <v/>
      </c>
      <c r="B590" s="3">
        <f>IF(D590="","",IF(V590=0,"CONCLUÍDO",IF(D590&lt;corte,"HISTÓRICO",IF(OR(AND(ISNUMBER(R590),R590&lt;TODAY()),AND(OR(N590="PENDENTE",N590="PARCIAL"),D590&lt;TODAY()-1)),"CRÍTICO",IF(OR(AND(P590&lt;&gt;"",S590=""),AND(N590="REALIZADO",M590="PENDENTE"),AND(ISNUMBER(R590),R590=TODAY())),"ATENÇÃO",IF(N(K590)=0,"PENDENTE","EM ANDAMENTO"))))))</f>
        <v/>
      </c>
      <c r="C590" s="3">
        <f>IF(D590="","",IF(V590=0,"🟢 OK",IF(D590&lt;corte,"⚪ HISTÓRICO (sem baixa)",IF(AND(ISNUMBER(R590),R590&lt;TODAY()),"🔴 PRAZO VENCIDO",IF(AND(OR(N590="PENDENTE",N590="PARCIAL"),D590&lt;TODAY()-1),"🔴 EMBARQUE ATRASADO",IF(AND(N590="REALIZADO",M590="PENDENTE"),"🟡 EMBARCADO SEM FATURAR",IF(AND(P590&lt;&gt;"",S590="",OR(Q590="",R590="")),"🟡 PENDÊNCIA SEM RESPONSÁVEL/PRAZO",IF(AND(ISNUMBER(R590),R590=TODAY()),"🟡 VENCE HOJE",IF(AND(P590&lt;&gt;"",S590=""),"🟡 PENDÊNCIA ABERTA",IF(AND(N(J590)&gt;0,N(K590)&lt;J590),"🟡 FALTA EXECUTAR",IF(OR(M590="PENDENTE",M590="PARCIAL"),"🟡 FATURAMENTO PENDENTE","🟡 EMBARQUE PENDENTE")))))))))))</f>
        <v/>
      </c>
      <c r="D590" s="4" t="n">
        <v>46262</v>
      </c>
      <c r="E590" s="5" t="inlineStr">
        <is>
          <t>D</t>
        </is>
      </c>
      <c r="F590" s="5" t="inlineStr">
        <is>
          <t>VINICIUS</t>
        </is>
      </c>
      <c r="G590" s="5" t="inlineStr">
        <is>
          <t>FOB</t>
        </is>
      </c>
      <c r="H590" s="5" t="inlineStr">
        <is>
          <t>BRAZALMEIDA</t>
        </is>
      </c>
      <c r="I590" s="5" t="inlineStr">
        <is>
          <t>TON</t>
        </is>
      </c>
      <c r="J590" s="6" t="n">
        <v>1.572</v>
      </c>
      <c r="K590" s="6" t="n">
        <v>1.572</v>
      </c>
      <c r="L590" s="7">
        <f>IF(OR(D590="",N(J590)=0),"",MIN(1,N(K590)/J590))</f>
        <v/>
      </c>
      <c r="M590" s="5" t="inlineStr">
        <is>
          <t>PENDENTE</t>
        </is>
      </c>
      <c r="N590" s="5" t="inlineStr">
        <is>
          <t>PENDENTE</t>
        </is>
      </c>
      <c r="O590" s="5" t="n"/>
      <c r="P590" s="5" t="inlineStr">
        <is>
          <t>AGUARDANDO COLETA</t>
        </is>
      </c>
      <c r="Q590" s="5" t="n"/>
      <c r="R590" s="4" t="n"/>
      <c r="S590" s="4" t="n"/>
      <c r="T590" s="5" t="inlineStr">
        <is>
          <t>AGUARDANDO COLETA</t>
        </is>
      </c>
      <c r="U590" s="8">
        <f>IF(AND(V590=1,D590&lt;&gt;""),IF(D590&gt;=corte,TODAY()-D590,""),"")</f>
        <v/>
      </c>
      <c r="V590" s="8">
        <f>IF(D590="",0,IF(OR(AND(P590&lt;&gt;"",S590=""),AND(N(J590)&gt;0,N(K590)&lt;J590),OR(M590="PENDENTE",M590="PARCIAL"),OR(N590="PENDENTE",N590="PARCIAL")),1,0))</f>
        <v/>
      </c>
      <c r="W590" s="8">
        <f>IF(AND(V590=1,D590&lt;&gt;""),IF(D590&gt;=corte,(B590="CRÍTICO")*1E9+(100000-D590)*10000+10000-ROW(),""),"")</f>
        <v/>
      </c>
      <c r="X590" s="8">
        <f>IF(AND(V590=1,D590=pas_data,E590=pas_turno),10000-ROW(),"")</f>
        <v/>
      </c>
    </row>
    <row r="591">
      <c r="A591" s="3">
        <f>IF(D591="","","TT-"&amp;TEXT(ROW()-1,"00000"))</f>
        <v/>
      </c>
      <c r="B591" s="3">
        <f>IF(D591="","",IF(V591=0,"CONCLUÍDO",IF(D591&lt;corte,"HISTÓRICO",IF(OR(AND(ISNUMBER(R591),R591&lt;TODAY()),AND(OR(N591="PENDENTE",N591="PARCIAL"),D591&lt;TODAY()-1)),"CRÍTICO",IF(OR(AND(P591&lt;&gt;"",S591=""),AND(N591="REALIZADO",M591="PENDENTE"),AND(ISNUMBER(R591),R591=TODAY())),"ATENÇÃO",IF(N(K591)=0,"PENDENTE","EM ANDAMENTO"))))))</f>
        <v/>
      </c>
      <c r="C591" s="3">
        <f>IF(D591="","",IF(V591=0,"🟢 OK",IF(D591&lt;corte,"⚪ HISTÓRICO (sem baixa)",IF(AND(ISNUMBER(R591),R591&lt;TODAY()),"🔴 PRAZO VENCIDO",IF(AND(OR(N591="PENDENTE",N591="PARCIAL"),D591&lt;TODAY()-1),"🔴 EMBARQUE ATRASADO",IF(AND(N591="REALIZADO",M591="PENDENTE"),"🟡 EMBARCADO SEM FATURAR",IF(AND(P591&lt;&gt;"",S591="",OR(Q591="",R591="")),"🟡 PENDÊNCIA SEM RESPONSÁVEL/PRAZO",IF(AND(ISNUMBER(R591),R591=TODAY()),"🟡 VENCE HOJE",IF(AND(P591&lt;&gt;"",S591=""),"🟡 PENDÊNCIA ABERTA",IF(AND(N(J591)&gt;0,N(K591)&lt;J591),"🟡 FALTA EXECUTAR",IF(OR(M591="PENDENTE",M591="PARCIAL"),"🟡 FATURAMENTO PENDENTE","🟡 EMBARQUE PENDENTE")))))))))))</f>
        <v/>
      </c>
      <c r="D591" s="4" t="n">
        <v>46262</v>
      </c>
      <c r="E591" s="5" t="inlineStr">
        <is>
          <t>D</t>
        </is>
      </c>
      <c r="F591" s="5" t="inlineStr">
        <is>
          <t>VINICIUS</t>
        </is>
      </c>
      <c r="G591" s="5" t="inlineStr">
        <is>
          <t>FOB</t>
        </is>
      </c>
      <c r="H591" s="5" t="inlineStr">
        <is>
          <t>PRODUPAN</t>
        </is>
      </c>
      <c r="I591" s="5" t="inlineStr">
        <is>
          <t>TON</t>
        </is>
      </c>
      <c r="J591" s="6" t="n">
        <v>13.523</v>
      </c>
      <c r="K591" s="6" t="n">
        <v>13.523</v>
      </c>
      <c r="L591" s="7">
        <f>IF(OR(D591="",N(J591)=0),"",MIN(1,N(K591)/J591))</f>
        <v/>
      </c>
      <c r="M591" s="5" t="inlineStr">
        <is>
          <t>PENDENTE</t>
        </is>
      </c>
      <c r="N591" s="5" t="inlineStr">
        <is>
          <t>PENDENTE</t>
        </is>
      </c>
      <c r="O591" s="5" t="n"/>
      <c r="P591" s="5" t="inlineStr">
        <is>
          <t>AGUARDANDO COLETA</t>
        </is>
      </c>
      <c r="Q591" s="5" t="n"/>
      <c r="R591" s="4" t="n"/>
      <c r="S591" s="4" t="n"/>
      <c r="T591" s="5" t="inlineStr">
        <is>
          <t>AGUARDANDO COLETA</t>
        </is>
      </c>
      <c r="U591" s="8">
        <f>IF(AND(V591=1,D591&lt;&gt;""),IF(D591&gt;=corte,TODAY()-D591,""),"")</f>
        <v/>
      </c>
      <c r="V591" s="8">
        <f>IF(D591="",0,IF(OR(AND(P591&lt;&gt;"",S591=""),AND(N(J591)&gt;0,N(K591)&lt;J591),OR(M591="PENDENTE",M591="PARCIAL"),OR(N591="PENDENTE",N591="PARCIAL")),1,0))</f>
        <v/>
      </c>
      <c r="W591" s="8">
        <f>IF(AND(V591=1,D591&lt;&gt;""),IF(D591&gt;=corte,(B591="CRÍTICO")*1E9+(100000-D591)*10000+10000-ROW(),""),"")</f>
        <v/>
      </c>
      <c r="X591" s="8">
        <f>IF(AND(V591=1,D591=pas_data,E591=pas_turno),10000-ROW(),"")</f>
        <v/>
      </c>
    </row>
    <row r="592">
      <c r="A592" s="3">
        <f>IF(D592="","","TT-"&amp;TEXT(ROW()-1,"00000"))</f>
        <v/>
      </c>
      <c r="B592" s="3">
        <f>IF(D592="","",IF(V592=0,"CONCLUÍDO",IF(D592&lt;corte,"HISTÓRICO",IF(OR(AND(ISNUMBER(R592),R592&lt;TODAY()),AND(OR(N592="PENDENTE",N592="PARCIAL"),D592&lt;TODAY()-1)),"CRÍTICO",IF(OR(AND(P592&lt;&gt;"",S592=""),AND(N592="REALIZADO",M592="PENDENTE"),AND(ISNUMBER(R592),R592=TODAY())),"ATENÇÃO",IF(N(K592)=0,"PENDENTE","EM ANDAMENTO"))))))</f>
        <v/>
      </c>
      <c r="C592" s="3">
        <f>IF(D592="","",IF(V592=0,"🟢 OK",IF(D592&lt;corte,"⚪ HISTÓRICO (sem baixa)",IF(AND(ISNUMBER(R592),R592&lt;TODAY()),"🔴 PRAZO VENCIDO",IF(AND(OR(N592="PENDENTE",N592="PARCIAL"),D592&lt;TODAY()-1),"🔴 EMBARQUE ATRASADO",IF(AND(N592="REALIZADO",M592="PENDENTE"),"🟡 EMBARCADO SEM FATURAR",IF(AND(P592&lt;&gt;"",S592="",OR(Q592="",R592="")),"🟡 PENDÊNCIA SEM RESPONSÁVEL/PRAZO",IF(AND(ISNUMBER(R592),R592=TODAY()),"🟡 VENCE HOJE",IF(AND(P592&lt;&gt;"",S592=""),"🟡 PENDÊNCIA ABERTA",IF(AND(N(J592)&gt;0,N(K592)&lt;J592),"🟡 FALTA EXECUTAR",IF(OR(M592="PENDENTE",M592="PARCIAL"),"🟡 FATURAMENTO PENDENTE","🟡 EMBARQUE PENDENTE")))))))))))</f>
        <v/>
      </c>
      <c r="D592" s="4" t="n">
        <v>46262</v>
      </c>
      <c r="E592" s="5" t="inlineStr">
        <is>
          <t>D</t>
        </is>
      </c>
      <c r="F592" s="5" t="inlineStr">
        <is>
          <t>VINICIUS</t>
        </is>
      </c>
      <c r="G592" s="5" t="inlineStr">
        <is>
          <t>FOB</t>
        </is>
      </c>
      <c r="H592" s="5" t="inlineStr">
        <is>
          <t>CASA DA PANIFICAÇÃO</t>
        </is>
      </c>
      <c r="I592" s="5" t="inlineStr">
        <is>
          <t>TON</t>
        </is>
      </c>
      <c r="J592" s="6" t="n">
        <v>5.278</v>
      </c>
      <c r="K592" s="6" t="n">
        <v>5.278</v>
      </c>
      <c r="L592" s="7">
        <f>IF(OR(D592="",N(J592)=0),"",MIN(1,N(K592)/J592))</f>
        <v/>
      </c>
      <c r="M592" s="5" t="inlineStr">
        <is>
          <t>PENDENTE</t>
        </is>
      </c>
      <c r="N592" s="5" t="inlineStr">
        <is>
          <t>PENDENTE</t>
        </is>
      </c>
      <c r="O592" s="5" t="n"/>
      <c r="P592" s="5" t="inlineStr">
        <is>
          <t>AGUARDANDO COLETA</t>
        </is>
      </c>
      <c r="Q592" s="5" t="n"/>
      <c r="R592" s="4" t="n"/>
      <c r="S592" s="4" t="n"/>
      <c r="T592" s="5" t="inlineStr">
        <is>
          <t>AGUARDANDO COLETA</t>
        </is>
      </c>
      <c r="U592" s="8">
        <f>IF(AND(V592=1,D592&lt;&gt;""),IF(D592&gt;=corte,TODAY()-D592,""),"")</f>
        <v/>
      </c>
      <c r="V592" s="8">
        <f>IF(D592="",0,IF(OR(AND(P592&lt;&gt;"",S592=""),AND(N(J592)&gt;0,N(K592)&lt;J592),OR(M592="PENDENTE",M592="PARCIAL"),OR(N592="PENDENTE",N592="PARCIAL")),1,0))</f>
        <v/>
      </c>
      <c r="W592" s="8">
        <f>IF(AND(V592=1,D592&lt;&gt;""),IF(D592&gt;=corte,(B592="CRÍTICO")*1E9+(100000-D592)*10000+10000-ROW(),""),"")</f>
        <v/>
      </c>
      <c r="X592" s="8">
        <f>IF(AND(V592=1,D592=pas_data,E592=pas_turno),10000-ROW(),"")</f>
        <v/>
      </c>
    </row>
    <row r="593">
      <c r="A593" s="3">
        <f>IF(D593="","","TT-"&amp;TEXT(ROW()-1,"00000"))</f>
        <v/>
      </c>
      <c r="B593" s="3">
        <f>IF(D593="","",IF(V593=0,"CONCLUÍDO",IF(D593&lt;corte,"HISTÓRICO",IF(OR(AND(ISNUMBER(R593),R593&lt;TODAY()),AND(OR(N593="PENDENTE",N593="PARCIAL"),D593&lt;TODAY()-1)),"CRÍTICO",IF(OR(AND(P593&lt;&gt;"",S593=""),AND(N593="REALIZADO",M593="PENDENTE"),AND(ISNUMBER(R593),R593=TODAY())),"ATENÇÃO",IF(N(K593)=0,"PENDENTE","EM ANDAMENTO"))))))</f>
        <v/>
      </c>
      <c r="C593" s="3">
        <f>IF(D593="","",IF(V593=0,"🟢 OK",IF(D593&lt;corte,"⚪ HISTÓRICO (sem baixa)",IF(AND(ISNUMBER(R593),R593&lt;TODAY()),"🔴 PRAZO VENCIDO",IF(AND(OR(N593="PENDENTE",N593="PARCIAL"),D593&lt;TODAY()-1),"🔴 EMBARQUE ATRASADO",IF(AND(N593="REALIZADO",M593="PENDENTE"),"🟡 EMBARCADO SEM FATURAR",IF(AND(P593&lt;&gt;"",S593="",OR(Q593="",R593="")),"🟡 PENDÊNCIA SEM RESPONSÁVEL/PRAZO",IF(AND(ISNUMBER(R593),R593=TODAY()),"🟡 VENCE HOJE",IF(AND(P593&lt;&gt;"",S593=""),"🟡 PENDÊNCIA ABERTA",IF(AND(N(J593)&gt;0,N(K593)&lt;J593),"🟡 FALTA EXECUTAR",IF(OR(M593="PENDENTE",M593="PARCIAL"),"🟡 FATURAMENTO PENDENTE","🟡 EMBARQUE PENDENTE")))))))))))</f>
        <v/>
      </c>
      <c r="D593" s="4" t="n">
        <v>46262</v>
      </c>
      <c r="E593" s="5" t="inlineStr">
        <is>
          <t>D</t>
        </is>
      </c>
      <c r="F593" s="5" t="inlineStr">
        <is>
          <t>VINICIUS</t>
        </is>
      </c>
      <c r="G593" s="5" t="inlineStr">
        <is>
          <t>FOB</t>
        </is>
      </c>
      <c r="H593" s="5" t="inlineStr">
        <is>
          <t>CUNHAPAN</t>
        </is>
      </c>
      <c r="I593" s="5" t="inlineStr">
        <is>
          <t>TON</t>
        </is>
      </c>
      <c r="J593" s="6" t="n">
        <v>5.496</v>
      </c>
      <c r="K593" s="6" t="n">
        <v>5.496</v>
      </c>
      <c r="L593" s="7">
        <f>IF(OR(D593="",N(J593)=0),"",MIN(1,N(K593)/J593))</f>
        <v/>
      </c>
      <c r="M593" s="5" t="inlineStr">
        <is>
          <t>PENDENTE</t>
        </is>
      </c>
      <c r="N593" s="5" t="inlineStr">
        <is>
          <t>PENDENTE</t>
        </is>
      </c>
      <c r="O593" s="5" t="n"/>
      <c r="P593" s="5" t="inlineStr">
        <is>
          <t>AGUARDANDO COLETA</t>
        </is>
      </c>
      <c r="Q593" s="5" t="n"/>
      <c r="R593" s="4" t="n"/>
      <c r="S593" s="4" t="n"/>
      <c r="T593" s="5" t="inlineStr">
        <is>
          <t>AGUARDANDO COLETA</t>
        </is>
      </c>
      <c r="U593" s="8">
        <f>IF(AND(V593=1,D593&lt;&gt;""),IF(D593&gt;=corte,TODAY()-D593,""),"")</f>
        <v/>
      </c>
      <c r="V593" s="8">
        <f>IF(D593="",0,IF(OR(AND(P593&lt;&gt;"",S593=""),AND(N(J593)&gt;0,N(K593)&lt;J593),OR(M593="PENDENTE",M593="PARCIAL"),OR(N593="PENDENTE",N593="PARCIAL")),1,0))</f>
        <v/>
      </c>
      <c r="W593" s="8">
        <f>IF(AND(V593=1,D593&lt;&gt;""),IF(D593&gt;=corte,(B593="CRÍTICO")*1E9+(100000-D593)*10000+10000-ROW(),""),"")</f>
        <v/>
      </c>
      <c r="X593" s="8">
        <f>IF(AND(V593=1,D593=pas_data,E593=pas_turno),10000-ROW(),"")</f>
        <v/>
      </c>
    </row>
    <row r="594">
      <c r="A594" s="3">
        <f>IF(D594="","","TT-"&amp;TEXT(ROW()-1,"00000"))</f>
        <v/>
      </c>
      <c r="B594" s="3">
        <f>IF(D594="","",IF(V594=0,"CONCLUÍDO",IF(D594&lt;corte,"HISTÓRICO",IF(OR(AND(ISNUMBER(R594),R594&lt;TODAY()),AND(OR(N594="PENDENTE",N594="PARCIAL"),D594&lt;TODAY()-1)),"CRÍTICO",IF(OR(AND(P594&lt;&gt;"",S594=""),AND(N594="REALIZADO",M594="PENDENTE"),AND(ISNUMBER(R594),R594=TODAY())),"ATENÇÃO",IF(N(K594)=0,"PENDENTE","EM ANDAMENTO"))))))</f>
        <v/>
      </c>
      <c r="C594" s="3">
        <f>IF(D594="","",IF(V594=0,"🟢 OK",IF(D594&lt;corte,"⚪ HISTÓRICO (sem baixa)",IF(AND(ISNUMBER(R594),R594&lt;TODAY()),"🔴 PRAZO VENCIDO",IF(AND(OR(N594="PENDENTE",N594="PARCIAL"),D594&lt;TODAY()-1),"🔴 EMBARQUE ATRASADO",IF(AND(N594="REALIZADO",M594="PENDENTE"),"🟡 EMBARCADO SEM FATURAR",IF(AND(P594&lt;&gt;"",S594="",OR(Q594="",R594="")),"🟡 PENDÊNCIA SEM RESPONSÁVEL/PRAZO",IF(AND(ISNUMBER(R594),R594=TODAY()),"🟡 VENCE HOJE",IF(AND(P594&lt;&gt;"",S594=""),"🟡 PENDÊNCIA ABERTA",IF(AND(N(J594)&gt;0,N(K594)&lt;J594),"🟡 FALTA EXECUTAR",IF(OR(M594="PENDENTE",M594="PARCIAL"),"🟡 FATURAMENTO PENDENTE","🟡 EMBARQUE PENDENTE")))))))))))</f>
        <v/>
      </c>
      <c r="D594" s="4" t="n">
        <v>46262</v>
      </c>
      <c r="E594" s="5" t="inlineStr">
        <is>
          <t>D</t>
        </is>
      </c>
      <c r="F594" s="5" t="inlineStr">
        <is>
          <t>VINICIUS</t>
        </is>
      </c>
      <c r="G594" s="5" t="inlineStr">
        <is>
          <t>FOB</t>
        </is>
      </c>
      <c r="H594" s="5" t="inlineStr">
        <is>
          <t>RFC</t>
        </is>
      </c>
      <c r="I594" s="5" t="inlineStr">
        <is>
          <t>TON</t>
        </is>
      </c>
      <c r="J594" s="6" t="n">
        <v>20.241</v>
      </c>
      <c r="K594" s="6" t="n">
        <v>20.241</v>
      </c>
      <c r="L594" s="7">
        <f>IF(OR(D594="",N(J594)=0),"",MIN(1,N(K594)/J594))</f>
        <v/>
      </c>
      <c r="M594" s="5" t="inlineStr">
        <is>
          <t>FATURADO</t>
        </is>
      </c>
      <c r="N594" s="5" t="inlineStr">
        <is>
          <t>REALIZADO</t>
        </is>
      </c>
      <c r="O594" s="5" t="n"/>
      <c r="P594" s="5" t="n"/>
      <c r="Q594" s="5" t="n"/>
      <c r="R594" s="4" t="n"/>
      <c r="S594" s="4" t="n"/>
      <c r="T594" s="5" t="inlineStr">
        <is>
          <t>CARREGADO E LIBERADO</t>
        </is>
      </c>
      <c r="U594" s="8">
        <f>IF(AND(V594=1,D594&lt;&gt;""),IF(D594&gt;=corte,TODAY()-D594,""),"")</f>
        <v/>
      </c>
      <c r="V594" s="8">
        <f>IF(D594="",0,IF(OR(AND(P594&lt;&gt;"",S594=""),AND(N(J594)&gt;0,N(K594)&lt;J594),OR(M594="PENDENTE",M594="PARCIAL"),OR(N594="PENDENTE",N594="PARCIAL")),1,0))</f>
        <v/>
      </c>
      <c r="W594" s="8">
        <f>IF(AND(V594=1,D594&lt;&gt;""),IF(D594&gt;=corte,(B594="CRÍTICO")*1E9+(100000-D594)*10000+10000-ROW(),""),"")</f>
        <v/>
      </c>
      <c r="X594" s="8">
        <f>IF(AND(V594=1,D594=pas_data,E594=pas_turno),10000-ROW(),"")</f>
        <v/>
      </c>
    </row>
    <row r="595">
      <c r="A595" s="3">
        <f>IF(D595="","","TT-"&amp;TEXT(ROW()-1,"00000"))</f>
        <v/>
      </c>
      <c r="B595" s="3">
        <f>IF(D595="","",IF(V595=0,"CONCLUÍDO",IF(D595&lt;corte,"HISTÓRICO",IF(OR(AND(ISNUMBER(R595),R595&lt;TODAY()),AND(OR(N595="PENDENTE",N595="PARCIAL"),D595&lt;TODAY()-1)),"CRÍTICO",IF(OR(AND(P595&lt;&gt;"",S595=""),AND(N595="REALIZADO",M595="PENDENTE"),AND(ISNUMBER(R595),R595=TODAY())),"ATENÇÃO",IF(N(K595)=0,"PENDENTE","EM ANDAMENTO"))))))</f>
        <v/>
      </c>
      <c r="C595" s="3">
        <f>IF(D595="","",IF(V595=0,"🟢 OK",IF(D595&lt;corte,"⚪ HISTÓRICO (sem baixa)",IF(AND(ISNUMBER(R595),R595&lt;TODAY()),"🔴 PRAZO VENCIDO",IF(AND(OR(N595="PENDENTE",N595="PARCIAL"),D595&lt;TODAY()-1),"🔴 EMBARQUE ATRASADO",IF(AND(N595="REALIZADO",M595="PENDENTE"),"🟡 EMBARCADO SEM FATURAR",IF(AND(P595&lt;&gt;"",S595="",OR(Q595="",R595="")),"🟡 PENDÊNCIA SEM RESPONSÁVEL/PRAZO",IF(AND(ISNUMBER(R595),R595=TODAY()),"🟡 VENCE HOJE",IF(AND(P595&lt;&gt;"",S595=""),"🟡 PENDÊNCIA ABERTA",IF(AND(N(J595)&gt;0,N(K595)&lt;J595),"🟡 FALTA EXECUTAR",IF(OR(M595="PENDENTE",M595="PARCIAL"),"🟡 FATURAMENTO PENDENTE","🟡 EMBARQUE PENDENTE")))))))))))</f>
        <v/>
      </c>
      <c r="D595" s="4" t="n">
        <v>46263</v>
      </c>
      <c r="E595" s="5" t="inlineStr">
        <is>
          <t>A</t>
        </is>
      </c>
      <c r="F595" s="5" t="inlineStr">
        <is>
          <t>TATIANE</t>
        </is>
      </c>
      <c r="G595" s="5" t="inlineStr">
        <is>
          <t>FOB</t>
        </is>
      </c>
      <c r="H595" s="5" t="inlineStr">
        <is>
          <t>CENTRO COMERCIAL</t>
        </is>
      </c>
      <c r="I595" s="5" t="inlineStr">
        <is>
          <t>TON</t>
        </is>
      </c>
      <c r="J595" s="6" t="n">
        <v>10.592</v>
      </c>
      <c r="K595" s="6" t="n">
        <v>10.592</v>
      </c>
      <c r="L595" s="7">
        <f>IF(OR(D595="",N(J595)=0),"",MIN(1,N(K595)/J595))</f>
        <v/>
      </c>
      <c r="M595" s="5" t="inlineStr">
        <is>
          <t>FATURADO</t>
        </is>
      </c>
      <c r="N595" s="5" t="inlineStr">
        <is>
          <t>REALIZADO</t>
        </is>
      </c>
      <c r="O595" s="5" t="inlineStr">
        <is>
          <t>PRÓPRIO</t>
        </is>
      </c>
      <c r="P595" s="5" t="n"/>
      <c r="Q595" s="5" t="n"/>
      <c r="R595" s="4" t="n"/>
      <c r="S595" s="4" t="n"/>
      <c r="T595" s="5" t="n"/>
      <c r="U595" s="8">
        <f>IF(AND(V595=1,D595&lt;&gt;""),IF(D595&gt;=corte,TODAY()-D595,""),"")</f>
        <v/>
      </c>
      <c r="V595" s="8">
        <f>IF(D595="",0,IF(OR(AND(P595&lt;&gt;"",S595=""),AND(N(J595)&gt;0,N(K595)&lt;J595),OR(M595="PENDENTE",M595="PARCIAL"),OR(N595="PENDENTE",N595="PARCIAL")),1,0))</f>
        <v/>
      </c>
      <c r="W595" s="8">
        <f>IF(AND(V595=1,D595&lt;&gt;""),IF(D595&gt;=corte,(B595="CRÍTICO")*1E9+(100000-D595)*10000+10000-ROW(),""),"")</f>
        <v/>
      </c>
      <c r="X595" s="8">
        <f>IF(AND(V595=1,D595=pas_data,E595=pas_turno),10000-ROW(),"")</f>
        <v/>
      </c>
    </row>
    <row r="596">
      <c r="A596" s="3">
        <f>IF(D596="","","TT-"&amp;TEXT(ROW()-1,"00000"))</f>
        <v/>
      </c>
      <c r="B596" s="3">
        <f>IF(D596="","",IF(V596=0,"CONCLUÍDO",IF(D596&lt;corte,"HISTÓRICO",IF(OR(AND(ISNUMBER(R596),R596&lt;TODAY()),AND(OR(N596="PENDENTE",N596="PARCIAL"),D596&lt;TODAY()-1)),"CRÍTICO",IF(OR(AND(P596&lt;&gt;"",S596=""),AND(N596="REALIZADO",M596="PENDENTE"),AND(ISNUMBER(R596),R596=TODAY())),"ATENÇÃO",IF(N(K596)=0,"PENDENTE","EM ANDAMENTO"))))))</f>
        <v/>
      </c>
      <c r="C596" s="3">
        <f>IF(D596="","",IF(V596=0,"🟢 OK",IF(D596&lt;corte,"⚪ HISTÓRICO (sem baixa)",IF(AND(ISNUMBER(R596),R596&lt;TODAY()),"🔴 PRAZO VENCIDO",IF(AND(OR(N596="PENDENTE",N596="PARCIAL"),D596&lt;TODAY()-1),"🔴 EMBARQUE ATRASADO",IF(AND(N596="REALIZADO",M596="PENDENTE"),"🟡 EMBARCADO SEM FATURAR",IF(AND(P596&lt;&gt;"",S596="",OR(Q596="",R596="")),"🟡 PENDÊNCIA SEM RESPONSÁVEL/PRAZO",IF(AND(ISNUMBER(R596),R596=TODAY()),"🟡 VENCE HOJE",IF(AND(P596&lt;&gt;"",S596=""),"🟡 PENDÊNCIA ABERTA",IF(AND(N(J596)&gt;0,N(K596)&lt;J596),"🟡 FALTA EXECUTAR",IF(OR(M596="PENDENTE",M596="PARCIAL"),"🟡 FATURAMENTO PENDENTE","🟡 EMBARQUE PENDENTE")))))))))))</f>
        <v/>
      </c>
      <c r="D596" s="4" t="n">
        <v>46263</v>
      </c>
      <c r="E596" s="5" t="inlineStr">
        <is>
          <t>A</t>
        </is>
      </c>
      <c r="F596" s="5" t="inlineStr">
        <is>
          <t>TATIANE</t>
        </is>
      </c>
      <c r="G596" s="5" t="inlineStr">
        <is>
          <t>FOB</t>
        </is>
      </c>
      <c r="H596" s="5" t="inlineStr">
        <is>
          <t>RFC</t>
        </is>
      </c>
      <c r="I596" s="5" t="inlineStr">
        <is>
          <t>TON</t>
        </is>
      </c>
      <c r="J596" s="6" t="n">
        <v>16.455</v>
      </c>
      <c r="K596" s="6" t="n">
        <v>16.455</v>
      </c>
      <c r="L596" s="7">
        <f>IF(OR(D596="",N(J596)=0),"",MIN(1,N(K596)/J596))</f>
        <v/>
      </c>
      <c r="M596" s="5" t="inlineStr">
        <is>
          <t>FATURADO</t>
        </is>
      </c>
      <c r="N596" s="5" t="inlineStr">
        <is>
          <t>REALIZADO</t>
        </is>
      </c>
      <c r="O596" s="5" t="inlineStr">
        <is>
          <t>PRÓPRIO</t>
        </is>
      </c>
      <c r="P596" s="5" t="n"/>
      <c r="Q596" s="5" t="n"/>
      <c r="R596" s="4" t="n"/>
      <c r="S596" s="4" t="n"/>
      <c r="T596" s="5" t="n"/>
      <c r="U596" s="8">
        <f>IF(AND(V596=1,D596&lt;&gt;""),IF(D596&gt;=corte,TODAY()-D596,""),"")</f>
        <v/>
      </c>
      <c r="V596" s="8">
        <f>IF(D596="",0,IF(OR(AND(P596&lt;&gt;"",S596=""),AND(N(J596)&gt;0,N(K596)&lt;J596),OR(M596="PENDENTE",M596="PARCIAL"),OR(N596="PENDENTE",N596="PARCIAL")),1,0))</f>
        <v/>
      </c>
      <c r="W596" s="8">
        <f>IF(AND(V596=1,D596&lt;&gt;""),IF(D596&gt;=corte,(B596="CRÍTICO")*1E9+(100000-D596)*10000+10000-ROW(),""),"")</f>
        <v/>
      </c>
      <c r="X596" s="8">
        <f>IF(AND(V596=1,D596=pas_data,E596=pas_turno),10000-ROW(),"")</f>
        <v/>
      </c>
    </row>
    <row r="597">
      <c r="A597" s="3">
        <f>IF(D597="","","TT-"&amp;TEXT(ROW()-1,"00000"))</f>
        <v/>
      </c>
      <c r="B597" s="3">
        <f>IF(D597="","",IF(V597=0,"CONCLUÍDO",IF(D597&lt;corte,"HISTÓRICO",IF(OR(AND(ISNUMBER(R597),R597&lt;TODAY()),AND(OR(N597="PENDENTE",N597="PARCIAL"),D597&lt;TODAY()-1)),"CRÍTICO",IF(OR(AND(P597&lt;&gt;"",S597=""),AND(N597="REALIZADO",M597="PENDENTE"),AND(ISNUMBER(R597),R597=TODAY())),"ATENÇÃO",IF(N(K597)=0,"PENDENTE","EM ANDAMENTO"))))))</f>
        <v/>
      </c>
      <c r="C597" s="3">
        <f>IF(D597="","",IF(V597=0,"🟢 OK",IF(D597&lt;corte,"⚪ HISTÓRICO (sem baixa)",IF(AND(ISNUMBER(R597),R597&lt;TODAY()),"🔴 PRAZO VENCIDO",IF(AND(OR(N597="PENDENTE",N597="PARCIAL"),D597&lt;TODAY()-1),"🔴 EMBARQUE ATRASADO",IF(AND(N597="REALIZADO",M597="PENDENTE"),"🟡 EMBARCADO SEM FATURAR",IF(AND(P597&lt;&gt;"",S597="",OR(Q597="",R597="")),"🟡 PENDÊNCIA SEM RESPONSÁVEL/PRAZO",IF(AND(ISNUMBER(R597),R597=TODAY()),"🟡 VENCE HOJE",IF(AND(P597&lt;&gt;"",S597=""),"🟡 PENDÊNCIA ABERTA",IF(AND(N(J597)&gt;0,N(K597)&lt;J597),"🟡 FALTA EXECUTAR",IF(OR(M597="PENDENTE",M597="PARCIAL"),"🟡 FATURAMENTO PENDENTE","🟡 EMBARQUE PENDENTE")))))))))))</f>
        <v/>
      </c>
      <c r="D597" s="4" t="n">
        <v>46263</v>
      </c>
      <c r="E597" s="5" t="inlineStr">
        <is>
          <t>A</t>
        </is>
      </c>
      <c r="F597" s="5" t="inlineStr">
        <is>
          <t>TATIANE</t>
        </is>
      </c>
      <c r="G597" s="5" t="inlineStr">
        <is>
          <t>FOB</t>
        </is>
      </c>
      <c r="H597" s="5" t="inlineStr">
        <is>
          <t>RFC</t>
        </is>
      </c>
      <c r="I597" s="5" t="inlineStr">
        <is>
          <t>TON</t>
        </is>
      </c>
      <c r="J597" s="6" t="n">
        <v>26.538</v>
      </c>
      <c r="K597" s="6" t="n">
        <v>26.538</v>
      </c>
      <c r="L597" s="7">
        <f>IF(OR(D597="",N(J597)=0),"",MIN(1,N(K597)/J597))</f>
        <v/>
      </c>
      <c r="M597" s="5" t="inlineStr">
        <is>
          <t>PENDENTE</t>
        </is>
      </c>
      <c r="N597" s="5" t="inlineStr">
        <is>
          <t>PENDENTE</t>
        </is>
      </c>
      <c r="O597" s="5" t="inlineStr">
        <is>
          <t>PRÓPRIO</t>
        </is>
      </c>
      <c r="P597" s="5" t="inlineStr">
        <is>
          <t>SEPRADO NA RUA 10 - CONFERIR E FATURAR</t>
        </is>
      </c>
      <c r="Q597" s="5" t="n"/>
      <c r="R597" s="4" t="n"/>
      <c r="S597" s="4" t="n"/>
      <c r="T597" s="5" t="inlineStr">
        <is>
          <t>SEPRADO NA RUA 10 - CONFERIR E FATURAR</t>
        </is>
      </c>
      <c r="U597" s="8">
        <f>IF(AND(V597=1,D597&lt;&gt;""),IF(D597&gt;=corte,TODAY()-D597,""),"")</f>
        <v/>
      </c>
      <c r="V597" s="8">
        <f>IF(D597="",0,IF(OR(AND(P597&lt;&gt;"",S597=""),AND(N(J597)&gt;0,N(K597)&lt;J597),OR(M597="PENDENTE",M597="PARCIAL"),OR(N597="PENDENTE",N597="PARCIAL")),1,0))</f>
        <v/>
      </c>
      <c r="W597" s="8">
        <f>IF(AND(V597=1,D597&lt;&gt;""),IF(D597&gt;=corte,(B597="CRÍTICO")*1E9+(100000-D597)*10000+10000-ROW(),""),"")</f>
        <v/>
      </c>
      <c r="X597" s="8">
        <f>IF(AND(V597=1,D597=pas_data,E597=pas_turno),10000-ROW(),"")</f>
        <v/>
      </c>
    </row>
    <row r="598">
      <c r="A598" s="3">
        <f>IF(D598="","","TT-"&amp;TEXT(ROW()-1,"00000"))</f>
        <v/>
      </c>
      <c r="B598" s="3">
        <f>IF(D598="","",IF(V598=0,"CONCLUÍDO",IF(D598&lt;corte,"HISTÓRICO",IF(OR(AND(ISNUMBER(R598),R598&lt;TODAY()),AND(OR(N598="PENDENTE",N598="PARCIAL"),D598&lt;TODAY()-1)),"CRÍTICO",IF(OR(AND(P598&lt;&gt;"",S598=""),AND(N598="REALIZADO",M598="PENDENTE"),AND(ISNUMBER(R598),R598=TODAY())),"ATENÇÃO",IF(N(K598)=0,"PENDENTE","EM ANDAMENTO"))))))</f>
        <v/>
      </c>
      <c r="C598" s="3">
        <f>IF(D598="","",IF(V598=0,"🟢 OK",IF(D598&lt;corte,"⚪ HISTÓRICO (sem baixa)",IF(AND(ISNUMBER(R598),R598&lt;TODAY()),"🔴 PRAZO VENCIDO",IF(AND(OR(N598="PENDENTE",N598="PARCIAL"),D598&lt;TODAY()-1),"🔴 EMBARQUE ATRASADO",IF(AND(N598="REALIZADO",M598="PENDENTE"),"🟡 EMBARCADO SEM FATURAR",IF(AND(P598&lt;&gt;"",S598="",OR(Q598="",R598="")),"🟡 PENDÊNCIA SEM RESPONSÁVEL/PRAZO",IF(AND(ISNUMBER(R598),R598=TODAY()),"🟡 VENCE HOJE",IF(AND(P598&lt;&gt;"",S598=""),"🟡 PENDÊNCIA ABERTA",IF(AND(N(J598)&gt;0,N(K598)&lt;J598),"🟡 FALTA EXECUTAR",IF(OR(M598="PENDENTE",M598="PARCIAL"),"🟡 FATURAMENTO PENDENTE","🟡 EMBARQUE PENDENTE")))))))))))</f>
        <v/>
      </c>
      <c r="D598" s="4" t="n">
        <v>46263</v>
      </c>
      <c r="E598" s="5" t="inlineStr">
        <is>
          <t>A</t>
        </is>
      </c>
      <c r="F598" s="5" t="inlineStr">
        <is>
          <t>TATIANE</t>
        </is>
      </c>
      <c r="G598" s="5" t="inlineStr">
        <is>
          <t>FOB</t>
        </is>
      </c>
      <c r="H598" s="5" t="inlineStr">
        <is>
          <t>DISTRIBUIDORA NORDESTINA</t>
        </is>
      </c>
      <c r="I598" s="5" t="inlineStr">
        <is>
          <t>TON</t>
        </is>
      </c>
      <c r="J598" s="6" t="n">
        <v>15.799</v>
      </c>
      <c r="K598" s="6" t="n">
        <v>15.799</v>
      </c>
      <c r="L598" s="7">
        <f>IF(OR(D598="",N(J598)=0),"",MIN(1,N(K598)/J598))</f>
        <v/>
      </c>
      <c r="M598" s="5" t="inlineStr">
        <is>
          <t>FATURADO</t>
        </is>
      </c>
      <c r="N598" s="5" t="inlineStr">
        <is>
          <t>REALIZADO</t>
        </is>
      </c>
      <c r="O598" s="5" t="inlineStr">
        <is>
          <t>PRÓPRIO</t>
        </is>
      </c>
      <c r="P598" s="5" t="n"/>
      <c r="Q598" s="5" t="n"/>
      <c r="R598" s="4" t="n"/>
      <c r="S598" s="4" t="n"/>
      <c r="T598" s="5" t="n"/>
      <c r="U598" s="8">
        <f>IF(AND(V598=1,D598&lt;&gt;""),IF(D598&gt;=corte,TODAY()-D598,""),"")</f>
        <v/>
      </c>
      <c r="V598" s="8">
        <f>IF(D598="",0,IF(OR(AND(P598&lt;&gt;"",S598=""),AND(N(J598)&gt;0,N(K598)&lt;J598),OR(M598="PENDENTE",M598="PARCIAL"),OR(N598="PENDENTE",N598="PARCIAL")),1,0))</f>
        <v/>
      </c>
      <c r="W598" s="8">
        <f>IF(AND(V598=1,D598&lt;&gt;""),IF(D598&gt;=corte,(B598="CRÍTICO")*1E9+(100000-D598)*10000+10000-ROW(),""),"")</f>
        <v/>
      </c>
      <c r="X598" s="8">
        <f>IF(AND(V598=1,D598=pas_data,E598=pas_turno),10000-ROW(),"")</f>
        <v/>
      </c>
    </row>
    <row r="599">
      <c r="A599" s="3">
        <f>IF(D599="","","TT-"&amp;TEXT(ROW()-1,"00000"))</f>
        <v/>
      </c>
      <c r="B599" s="3">
        <f>IF(D599="","",IF(V599=0,"CONCLUÍDO",IF(D599&lt;corte,"HISTÓRICO",IF(OR(AND(ISNUMBER(R599),R599&lt;TODAY()),AND(OR(N599="PENDENTE",N599="PARCIAL"),D599&lt;TODAY()-1)),"CRÍTICO",IF(OR(AND(P599&lt;&gt;"",S599=""),AND(N599="REALIZADO",M599="PENDENTE"),AND(ISNUMBER(R599),R599=TODAY())),"ATENÇÃO",IF(N(K599)=0,"PENDENTE","EM ANDAMENTO"))))))</f>
        <v/>
      </c>
      <c r="C599" s="3">
        <f>IF(D599="","",IF(V599=0,"🟢 OK",IF(D599&lt;corte,"⚪ HISTÓRICO (sem baixa)",IF(AND(ISNUMBER(R599),R599&lt;TODAY()),"🔴 PRAZO VENCIDO",IF(AND(OR(N599="PENDENTE",N599="PARCIAL"),D599&lt;TODAY()-1),"🔴 EMBARQUE ATRASADO",IF(AND(N599="REALIZADO",M599="PENDENTE"),"🟡 EMBARCADO SEM FATURAR",IF(AND(P599&lt;&gt;"",S599="",OR(Q599="",R599="")),"🟡 PENDÊNCIA SEM RESPONSÁVEL/PRAZO",IF(AND(ISNUMBER(R599),R599=TODAY()),"🟡 VENCE HOJE",IF(AND(P599&lt;&gt;"",S599=""),"🟡 PENDÊNCIA ABERTA",IF(AND(N(J599)&gt;0,N(K599)&lt;J599),"🟡 FALTA EXECUTAR",IF(OR(M599="PENDENTE",M599="PARCIAL"),"🟡 FATURAMENTO PENDENTE","🟡 EMBARQUE PENDENTE")))))))))))</f>
        <v/>
      </c>
      <c r="D599" s="4" t="n">
        <v>46263</v>
      </c>
      <c r="E599" s="5" t="inlineStr">
        <is>
          <t>A</t>
        </is>
      </c>
      <c r="F599" s="5" t="inlineStr">
        <is>
          <t>TATIANE</t>
        </is>
      </c>
      <c r="G599" s="5" t="inlineStr">
        <is>
          <t>FOB</t>
        </is>
      </c>
      <c r="H599" s="5" t="inlineStr">
        <is>
          <t>FESTINHA</t>
        </is>
      </c>
      <c r="I599" s="5" t="inlineStr">
        <is>
          <t>TON</t>
        </is>
      </c>
      <c r="J599" s="6" t="n">
        <v>4.265</v>
      </c>
      <c r="K599" s="6" t="n">
        <v>4.265</v>
      </c>
      <c r="L599" s="7">
        <f>IF(OR(D599="",N(J599)=0),"",MIN(1,N(K599)/J599))</f>
        <v/>
      </c>
      <c r="M599" s="5" t="inlineStr">
        <is>
          <t>FATURADO</t>
        </is>
      </c>
      <c r="N599" s="5" t="inlineStr">
        <is>
          <t>REALIZADO</t>
        </is>
      </c>
      <c r="O599" s="5" t="inlineStr">
        <is>
          <t>PRÓPRIO</t>
        </is>
      </c>
      <c r="P599" s="5" t="n"/>
      <c r="Q599" s="5" t="n"/>
      <c r="R599" s="4" t="n"/>
      <c r="S599" s="4" t="n"/>
      <c r="T599" s="5" t="n"/>
      <c r="U599" s="8">
        <f>IF(AND(V599=1,D599&lt;&gt;""),IF(D599&gt;=corte,TODAY()-D599,""),"")</f>
        <v/>
      </c>
      <c r="V599" s="8">
        <f>IF(D599="",0,IF(OR(AND(P599&lt;&gt;"",S599=""),AND(N(J599)&gt;0,N(K599)&lt;J599),OR(M599="PENDENTE",M599="PARCIAL"),OR(N599="PENDENTE",N599="PARCIAL")),1,0))</f>
        <v/>
      </c>
      <c r="W599" s="8">
        <f>IF(AND(V599=1,D599&lt;&gt;""),IF(D599&gt;=corte,(B599="CRÍTICO")*1E9+(100000-D599)*10000+10000-ROW(),""),"")</f>
        <v/>
      </c>
      <c r="X599" s="8">
        <f>IF(AND(V599=1,D599=pas_data,E599=pas_turno),10000-ROW(),"")</f>
        <v/>
      </c>
    </row>
    <row r="600">
      <c r="A600" s="3">
        <f>IF(D600="","","TT-"&amp;TEXT(ROW()-1,"00000"))</f>
        <v/>
      </c>
      <c r="B600" s="3">
        <f>IF(D600="","",IF(V600=0,"CONCLUÍDO",IF(D600&lt;corte,"HISTÓRICO",IF(OR(AND(ISNUMBER(R600),R600&lt;TODAY()),AND(OR(N600="PENDENTE",N600="PARCIAL"),D600&lt;TODAY()-1)),"CRÍTICO",IF(OR(AND(P600&lt;&gt;"",S600=""),AND(N600="REALIZADO",M600="PENDENTE"),AND(ISNUMBER(R600),R600=TODAY())),"ATENÇÃO",IF(N(K600)=0,"PENDENTE","EM ANDAMENTO"))))))</f>
        <v/>
      </c>
      <c r="C600" s="3">
        <f>IF(D600="","",IF(V600=0,"🟢 OK",IF(D600&lt;corte,"⚪ HISTÓRICO (sem baixa)",IF(AND(ISNUMBER(R600),R600&lt;TODAY()),"🔴 PRAZO VENCIDO",IF(AND(OR(N600="PENDENTE",N600="PARCIAL"),D600&lt;TODAY()-1),"🔴 EMBARQUE ATRASADO",IF(AND(N600="REALIZADO",M600="PENDENTE"),"🟡 EMBARCADO SEM FATURAR",IF(AND(P600&lt;&gt;"",S600="",OR(Q600="",R600="")),"🟡 PENDÊNCIA SEM RESPONSÁVEL/PRAZO",IF(AND(ISNUMBER(R600),R600=TODAY()),"🟡 VENCE HOJE",IF(AND(P600&lt;&gt;"",S600=""),"🟡 PENDÊNCIA ABERTA",IF(AND(N(J600)&gt;0,N(K600)&lt;J600),"🟡 FALTA EXECUTAR",IF(OR(M600="PENDENTE",M600="PARCIAL"),"🟡 FATURAMENTO PENDENTE","🟡 EMBARQUE PENDENTE")))))))))))</f>
        <v/>
      </c>
      <c r="D600" s="4" t="n">
        <v>46263</v>
      </c>
      <c r="E600" s="5" t="inlineStr">
        <is>
          <t>A</t>
        </is>
      </c>
      <c r="F600" s="5" t="inlineStr">
        <is>
          <t>TATIANE</t>
        </is>
      </c>
      <c r="G600" s="5" t="inlineStr">
        <is>
          <t>FM</t>
        </is>
      </c>
      <c r="H600" s="5" t="inlineStr">
        <is>
          <t>BARION</t>
        </is>
      </c>
      <c r="I600" s="5" t="inlineStr">
        <is>
          <t>TON</t>
        </is>
      </c>
      <c r="J600" s="6" t="n">
        <v>12.439</v>
      </c>
      <c r="K600" s="6" t="n">
        <v>12.439</v>
      </c>
      <c r="L600" s="7">
        <f>IF(OR(D600="",N(J600)=0),"",MIN(1,N(K600)/J600))</f>
        <v/>
      </c>
      <c r="M600" s="5" t="inlineStr">
        <is>
          <t>FATURADO</t>
        </is>
      </c>
      <c r="N600" s="5" t="inlineStr">
        <is>
          <t>REALIZADO</t>
        </is>
      </c>
      <c r="O600" s="5" t="inlineStr">
        <is>
          <t>SPEEDYLOG</t>
        </is>
      </c>
      <c r="P600" s="5" t="n"/>
      <c r="Q600" s="5" t="n"/>
      <c r="R600" s="4" t="n"/>
      <c r="S600" s="4" t="n"/>
      <c r="T600" s="5" t="n"/>
      <c r="U600" s="8">
        <f>IF(AND(V600=1,D600&lt;&gt;""),IF(D600&gt;=corte,TODAY()-D600,""),"")</f>
        <v/>
      </c>
      <c r="V600" s="8">
        <f>IF(D600="",0,IF(OR(AND(P600&lt;&gt;"",S600=""),AND(N(J600)&gt;0,N(K600)&lt;J600),OR(M600="PENDENTE",M600="PARCIAL"),OR(N600="PENDENTE",N600="PARCIAL")),1,0))</f>
        <v/>
      </c>
      <c r="W600" s="8">
        <f>IF(AND(V600=1,D600&lt;&gt;""),IF(D600&gt;=corte,(B600="CRÍTICO")*1E9+(100000-D600)*10000+10000-ROW(),""),"")</f>
        <v/>
      </c>
      <c r="X600" s="8">
        <f>IF(AND(V600=1,D600=pas_data,E600=pas_turno),10000-ROW(),"")</f>
        <v/>
      </c>
    </row>
    <row r="601">
      <c r="A601" s="3">
        <f>IF(D601="","","TT-"&amp;TEXT(ROW()-1,"00000"))</f>
        <v/>
      </c>
      <c r="B601" s="3">
        <f>IF(D601="","",IF(V601=0,"CONCLUÍDO",IF(D601&lt;corte,"HISTÓRICO",IF(OR(AND(ISNUMBER(R601),R601&lt;TODAY()),AND(OR(N601="PENDENTE",N601="PARCIAL"),D601&lt;TODAY()-1)),"CRÍTICO",IF(OR(AND(P601&lt;&gt;"",S601=""),AND(N601="REALIZADO",M601="PENDENTE"),AND(ISNUMBER(R601),R601=TODAY())),"ATENÇÃO",IF(N(K601)=0,"PENDENTE","EM ANDAMENTO"))))))</f>
        <v/>
      </c>
      <c r="C601" s="3">
        <f>IF(D601="","",IF(V601=0,"🟢 OK",IF(D601&lt;corte,"⚪ HISTÓRICO (sem baixa)",IF(AND(ISNUMBER(R601),R601&lt;TODAY()),"🔴 PRAZO VENCIDO",IF(AND(OR(N601="PENDENTE",N601="PARCIAL"),D601&lt;TODAY()-1),"🔴 EMBARQUE ATRASADO",IF(AND(N601="REALIZADO",M601="PENDENTE"),"🟡 EMBARCADO SEM FATURAR",IF(AND(P601&lt;&gt;"",S601="",OR(Q601="",R601="")),"🟡 PENDÊNCIA SEM RESPONSÁVEL/PRAZO",IF(AND(ISNUMBER(R601),R601=TODAY()),"🟡 VENCE HOJE",IF(AND(P601&lt;&gt;"",S601=""),"🟡 PENDÊNCIA ABERTA",IF(AND(N(J601)&gt;0,N(K601)&lt;J601),"🟡 FALTA EXECUTAR",IF(OR(M601="PENDENTE",M601="PARCIAL"),"🟡 FATURAMENTO PENDENTE","🟡 EMBARQUE PENDENTE")))))))))))</f>
        <v/>
      </c>
      <c r="D601" s="4" t="n">
        <v>46263</v>
      </c>
      <c r="E601" s="5" t="inlineStr">
        <is>
          <t>A</t>
        </is>
      </c>
      <c r="F601" s="5" t="inlineStr">
        <is>
          <t>TATIANE</t>
        </is>
      </c>
      <c r="G601" s="5" t="inlineStr">
        <is>
          <t>FM</t>
        </is>
      </c>
      <c r="H601" s="5" t="inlineStr">
        <is>
          <t>PANDURATA</t>
        </is>
      </c>
      <c r="I601" s="5" t="inlineStr">
        <is>
          <t>TON</t>
        </is>
      </c>
      <c r="J601" s="6" t="n">
        <v>22.805</v>
      </c>
      <c r="K601" s="6" t="n">
        <v>22.805</v>
      </c>
      <c r="L601" s="7">
        <f>IF(OR(D601="",N(J601)=0),"",MIN(1,N(K601)/J601))</f>
        <v/>
      </c>
      <c r="M601" s="5" t="inlineStr">
        <is>
          <t>FATURADO</t>
        </is>
      </c>
      <c r="N601" s="5" t="inlineStr">
        <is>
          <t>REALIZADO</t>
        </is>
      </c>
      <c r="O601" s="5" t="inlineStr">
        <is>
          <t>SPEEDYLOG</t>
        </is>
      </c>
      <c r="P601" s="5" t="n"/>
      <c r="Q601" s="5" t="n"/>
      <c r="R601" s="4" t="n"/>
      <c r="S601" s="4" t="n"/>
      <c r="T601" s="5" t="n"/>
      <c r="U601" s="8">
        <f>IF(AND(V601=1,D601&lt;&gt;""),IF(D601&gt;=corte,TODAY()-D601,""),"")</f>
        <v/>
      </c>
      <c r="V601" s="8">
        <f>IF(D601="",0,IF(OR(AND(P601&lt;&gt;"",S601=""),AND(N(J601)&gt;0,N(K601)&lt;J601),OR(M601="PENDENTE",M601="PARCIAL"),OR(N601="PENDENTE",N601="PARCIAL")),1,0))</f>
        <v/>
      </c>
      <c r="W601" s="8">
        <f>IF(AND(V601=1,D601&lt;&gt;""),IF(D601&gt;=corte,(B601="CRÍTICO")*1E9+(100000-D601)*10000+10000-ROW(),""),"")</f>
        <v/>
      </c>
      <c r="X601" s="8">
        <f>IF(AND(V601=1,D601=pas_data,E601=pas_turno),10000-ROW(),"")</f>
        <v/>
      </c>
    </row>
    <row r="602">
      <c r="A602" s="3">
        <f>IF(D602="","","TT-"&amp;TEXT(ROW()-1,"00000"))</f>
        <v/>
      </c>
      <c r="B602" s="3">
        <f>IF(D602="","",IF(V602=0,"CONCLUÍDO",IF(D602&lt;corte,"HISTÓRICO",IF(OR(AND(ISNUMBER(R602),R602&lt;TODAY()),AND(OR(N602="PENDENTE",N602="PARCIAL"),D602&lt;TODAY()-1)),"CRÍTICO",IF(OR(AND(P602&lt;&gt;"",S602=""),AND(N602="REALIZADO",M602="PENDENTE"),AND(ISNUMBER(R602),R602=TODAY())),"ATENÇÃO",IF(N(K602)=0,"PENDENTE","EM ANDAMENTO"))))))</f>
        <v/>
      </c>
      <c r="C602" s="3">
        <f>IF(D602="","",IF(V602=0,"🟢 OK",IF(D602&lt;corte,"⚪ HISTÓRICO (sem baixa)",IF(AND(ISNUMBER(R602),R602&lt;TODAY()),"🔴 PRAZO VENCIDO",IF(AND(OR(N602="PENDENTE",N602="PARCIAL"),D602&lt;TODAY()-1),"🔴 EMBARQUE ATRASADO",IF(AND(N602="REALIZADO",M602="PENDENTE"),"🟡 EMBARCADO SEM FATURAR",IF(AND(P602&lt;&gt;"",S602="",OR(Q602="",R602="")),"🟡 PENDÊNCIA SEM RESPONSÁVEL/PRAZO",IF(AND(ISNUMBER(R602),R602=TODAY()),"🟡 VENCE HOJE",IF(AND(P602&lt;&gt;"",S602=""),"🟡 PENDÊNCIA ABERTA",IF(AND(N(J602)&gt;0,N(K602)&lt;J602),"🟡 FALTA EXECUTAR",IF(OR(M602="PENDENTE",M602="PARCIAL"),"🟡 FATURAMENTO PENDENTE","🟡 EMBARQUE PENDENTE")))))))))))</f>
        <v/>
      </c>
      <c r="D602" s="4" t="n">
        <v>46263</v>
      </c>
      <c r="E602" s="5" t="inlineStr">
        <is>
          <t>A</t>
        </is>
      </c>
      <c r="F602" s="5" t="inlineStr">
        <is>
          <t>TATIANE</t>
        </is>
      </c>
      <c r="G602" s="5" t="inlineStr">
        <is>
          <t>GM</t>
        </is>
      </c>
      <c r="H602" s="5" t="inlineStr">
        <is>
          <t>CROSS PR</t>
        </is>
      </c>
      <c r="I602" s="5" t="inlineStr">
        <is>
          <t>TON</t>
        </is>
      </c>
      <c r="J602" s="6" t="n">
        <v>23.75</v>
      </c>
      <c r="K602" s="6" t="n"/>
      <c r="L602" s="7">
        <f>IF(OR(D602="",N(J602)=0),"",MIN(1,N(K602)/J602))</f>
        <v/>
      </c>
      <c r="M602" s="5" t="n"/>
      <c r="N602" s="5" t="n"/>
      <c r="O602" s="5" t="n"/>
      <c r="P602" s="5" t="n"/>
      <c r="Q602" s="5" t="n"/>
      <c r="R602" s="4" t="n"/>
      <c r="S602" s="4" t="n"/>
      <c r="T602" s="5" t="n"/>
      <c r="U602" s="8">
        <f>IF(AND(V602=1,D602&lt;&gt;""),IF(D602&gt;=corte,TODAY()-D602,""),"")</f>
        <v/>
      </c>
      <c r="V602" s="8">
        <f>IF(D602="",0,IF(OR(AND(P602&lt;&gt;"",S602=""),AND(N(J602)&gt;0,N(K602)&lt;J602),OR(M602="PENDENTE",M602="PARCIAL"),OR(N602="PENDENTE",N602="PARCIAL")),1,0))</f>
        <v/>
      </c>
      <c r="W602" s="8">
        <f>IF(AND(V602=1,D602&lt;&gt;""),IF(D602&gt;=corte,(B602="CRÍTICO")*1E9+(100000-D602)*10000+10000-ROW(),""),"")</f>
        <v/>
      </c>
      <c r="X602" s="8">
        <f>IF(AND(V602=1,D602=pas_data,E602=pas_turno),10000-ROW(),"")</f>
        <v/>
      </c>
    </row>
    <row r="603">
      <c r="A603" s="3">
        <f>IF(D603="","","TT-"&amp;TEXT(ROW()-1,"00000"))</f>
        <v/>
      </c>
      <c r="B603" s="3">
        <f>IF(D603="","",IF(V603=0,"CONCLUÍDO",IF(D603&lt;corte,"HISTÓRICO",IF(OR(AND(ISNUMBER(R603),R603&lt;TODAY()),AND(OR(N603="PENDENTE",N603="PARCIAL"),D603&lt;TODAY()-1)),"CRÍTICO",IF(OR(AND(P603&lt;&gt;"",S603=""),AND(N603="REALIZADO",M603="PENDENTE"),AND(ISNUMBER(R603),R603=TODAY())),"ATENÇÃO",IF(N(K603)=0,"PENDENTE","EM ANDAMENTO"))))))</f>
        <v/>
      </c>
      <c r="C603" s="3">
        <f>IF(D603="","",IF(V603=0,"🟢 OK",IF(D603&lt;corte,"⚪ HISTÓRICO (sem baixa)",IF(AND(ISNUMBER(R603),R603&lt;TODAY()),"🔴 PRAZO VENCIDO",IF(AND(OR(N603="PENDENTE",N603="PARCIAL"),D603&lt;TODAY()-1),"🔴 EMBARQUE ATRASADO",IF(AND(N603="REALIZADO",M603="PENDENTE"),"🟡 EMBARCADO SEM FATURAR",IF(AND(P603&lt;&gt;"",S603="",OR(Q603="",R603="")),"🟡 PENDÊNCIA SEM RESPONSÁVEL/PRAZO",IF(AND(ISNUMBER(R603),R603=TODAY()),"🟡 VENCE HOJE",IF(AND(P603&lt;&gt;"",S603=""),"🟡 PENDÊNCIA ABERTA",IF(AND(N(J603)&gt;0,N(K603)&lt;J603),"🟡 FALTA EXECUTAR",IF(OR(M603="PENDENTE",M603="PARCIAL"),"🟡 FATURAMENTO PENDENTE","🟡 EMBARQUE PENDENTE")))))))))))</f>
        <v/>
      </c>
      <c r="D603" s="4" t="n">
        <v>46263</v>
      </c>
      <c r="E603" s="5" t="inlineStr">
        <is>
          <t>A</t>
        </is>
      </c>
      <c r="F603" s="5" t="inlineStr">
        <is>
          <t>TATIANE</t>
        </is>
      </c>
      <c r="G603" s="5" t="inlineStr">
        <is>
          <t>GM</t>
        </is>
      </c>
      <c r="H603" s="5" t="inlineStr">
        <is>
          <t>AEGNDAS SP</t>
        </is>
      </c>
      <c r="I603" s="5" t="inlineStr">
        <is>
          <t>TON</t>
        </is>
      </c>
      <c r="J603" s="6" t="n">
        <v>2.957</v>
      </c>
      <c r="K603" s="6" t="n">
        <v>2.957</v>
      </c>
      <c r="L603" s="7">
        <f>IF(OR(D603="",N(J603)=0),"",MIN(1,N(K603)/J603))</f>
        <v/>
      </c>
      <c r="M603" s="5" t="inlineStr">
        <is>
          <t>PARCIAL</t>
        </is>
      </c>
      <c r="N603" s="5" t="inlineStr">
        <is>
          <t>PARCIAL</t>
        </is>
      </c>
      <c r="O603" s="5" t="inlineStr">
        <is>
          <t>SMARTLOG</t>
        </is>
      </c>
      <c r="P603" s="5" t="n"/>
      <c r="Q603" s="5" t="n"/>
      <c r="R603" s="4" t="n"/>
      <c r="S603" s="4" t="n"/>
      <c r="T603" s="5" t="n"/>
      <c r="U603" s="8">
        <f>IF(AND(V603=1,D603&lt;&gt;""),IF(D603&gt;=corte,TODAY()-D603,""),"")</f>
        <v/>
      </c>
      <c r="V603" s="8">
        <f>IF(D603="",0,IF(OR(AND(P603&lt;&gt;"",S603=""),AND(N(J603)&gt;0,N(K603)&lt;J603),OR(M603="PENDENTE",M603="PARCIAL"),OR(N603="PENDENTE",N603="PARCIAL")),1,0))</f>
        <v/>
      </c>
      <c r="W603" s="8">
        <f>IF(AND(V603=1,D603&lt;&gt;""),IF(D603&gt;=corte,(B603="CRÍTICO")*1E9+(100000-D603)*10000+10000-ROW(),""),"")</f>
        <v/>
      </c>
      <c r="X603" s="8">
        <f>IF(AND(V603=1,D603=pas_data,E603=pas_turno),10000-ROW(),"")</f>
        <v/>
      </c>
    </row>
    <row r="604">
      <c r="A604" s="3">
        <f>IF(D604="","","TT-"&amp;TEXT(ROW()-1,"00000"))</f>
        <v/>
      </c>
      <c r="B604" s="3">
        <f>IF(D604="","",IF(V604=0,"CONCLUÍDO",IF(D604&lt;corte,"HISTÓRICO",IF(OR(AND(ISNUMBER(R604),R604&lt;TODAY()),AND(OR(N604="PENDENTE",N604="PARCIAL"),D604&lt;TODAY()-1)),"CRÍTICO",IF(OR(AND(P604&lt;&gt;"",S604=""),AND(N604="REALIZADO",M604="PENDENTE"),AND(ISNUMBER(R604),R604=TODAY())),"ATENÇÃO",IF(N(K604)=0,"PENDENTE","EM ANDAMENTO"))))))</f>
        <v/>
      </c>
      <c r="C604" s="3">
        <f>IF(D604="","",IF(V604=0,"🟢 OK",IF(D604&lt;corte,"⚪ HISTÓRICO (sem baixa)",IF(AND(ISNUMBER(R604),R604&lt;TODAY()),"🔴 PRAZO VENCIDO",IF(AND(OR(N604="PENDENTE",N604="PARCIAL"),D604&lt;TODAY()-1),"🔴 EMBARQUE ATRASADO",IF(AND(N604="REALIZADO",M604="PENDENTE"),"🟡 EMBARCADO SEM FATURAR",IF(AND(P604&lt;&gt;"",S604="",OR(Q604="",R604="")),"🟡 PENDÊNCIA SEM RESPONSÁVEL/PRAZO",IF(AND(ISNUMBER(R604),R604=TODAY()),"🟡 VENCE HOJE",IF(AND(P604&lt;&gt;"",S604=""),"🟡 PENDÊNCIA ABERTA",IF(AND(N(J604)&gt;0,N(K604)&lt;J604),"🟡 FALTA EXECUTAR",IF(OR(M604="PENDENTE",M604="PARCIAL"),"🟡 FATURAMENTO PENDENTE","🟡 EMBARQUE PENDENTE")))))))))))</f>
        <v/>
      </c>
      <c r="D604" s="4" t="n">
        <v>46263</v>
      </c>
      <c r="E604" s="5" t="inlineStr">
        <is>
          <t>A</t>
        </is>
      </c>
      <c r="F604" s="5" t="inlineStr">
        <is>
          <t>TATIANE</t>
        </is>
      </c>
      <c r="G604" s="5" t="inlineStr">
        <is>
          <t>FOB</t>
        </is>
      </c>
      <c r="H604" s="5" t="inlineStr">
        <is>
          <t>BRAZALMEIDA</t>
        </is>
      </c>
      <c r="I604" s="5" t="inlineStr">
        <is>
          <t>TON</t>
        </is>
      </c>
      <c r="J604" s="6" t="n">
        <v>10.508</v>
      </c>
      <c r="K604" s="6" t="n">
        <v>10.508</v>
      </c>
      <c r="L604" s="7">
        <f>IF(OR(D604="",N(J604)=0),"",MIN(1,N(K604)/J604))</f>
        <v/>
      </c>
      <c r="M604" s="5" t="inlineStr">
        <is>
          <t>FATURADO</t>
        </is>
      </c>
      <c r="N604" s="5" t="inlineStr">
        <is>
          <t>REALIZADO</t>
        </is>
      </c>
      <c r="O604" s="5" t="inlineStr">
        <is>
          <t>PRÓPRIO</t>
        </is>
      </c>
      <c r="P604" s="5" t="n"/>
      <c r="Q604" s="5" t="n"/>
      <c r="R604" s="4" t="n"/>
      <c r="S604" s="4" t="n"/>
      <c r="T604" s="5" t="n"/>
      <c r="U604" s="8">
        <f>IF(AND(V604=1,D604&lt;&gt;""),IF(D604&gt;=corte,TODAY()-D604,""),"")</f>
        <v/>
      </c>
      <c r="V604" s="8">
        <f>IF(D604="",0,IF(OR(AND(P604&lt;&gt;"",S604=""),AND(N(J604)&gt;0,N(K604)&lt;J604),OR(M604="PENDENTE",M604="PARCIAL"),OR(N604="PENDENTE",N604="PARCIAL")),1,0))</f>
        <v/>
      </c>
      <c r="W604" s="8">
        <f>IF(AND(V604=1,D604&lt;&gt;""),IF(D604&gt;=corte,(B604="CRÍTICO")*1E9+(100000-D604)*10000+10000-ROW(),""),"")</f>
        <v/>
      </c>
      <c r="X604" s="8">
        <f>IF(AND(V604=1,D604=pas_data,E604=pas_turno),10000-ROW(),"")</f>
        <v/>
      </c>
    </row>
    <row r="605">
      <c r="A605" s="3">
        <f>IF(D605="","","TT-"&amp;TEXT(ROW()-1,"00000"))</f>
        <v/>
      </c>
      <c r="B605" s="3">
        <f>IF(D605="","",IF(V605=0,"CONCLUÍDO",IF(D605&lt;corte,"HISTÓRICO",IF(OR(AND(ISNUMBER(R605),R605&lt;TODAY()),AND(OR(N605="PENDENTE",N605="PARCIAL"),D605&lt;TODAY()-1)),"CRÍTICO",IF(OR(AND(P605&lt;&gt;"",S605=""),AND(N605="REALIZADO",M605="PENDENTE"),AND(ISNUMBER(R605),R605=TODAY())),"ATENÇÃO",IF(N(K605)=0,"PENDENTE","EM ANDAMENTO"))))))</f>
        <v/>
      </c>
      <c r="C605" s="3">
        <f>IF(D605="","",IF(V605=0,"🟢 OK",IF(D605&lt;corte,"⚪ HISTÓRICO (sem baixa)",IF(AND(ISNUMBER(R605),R605&lt;TODAY()),"🔴 PRAZO VENCIDO",IF(AND(OR(N605="PENDENTE",N605="PARCIAL"),D605&lt;TODAY()-1),"🔴 EMBARQUE ATRASADO",IF(AND(N605="REALIZADO",M605="PENDENTE"),"🟡 EMBARCADO SEM FATURAR",IF(AND(P605&lt;&gt;"",S605="",OR(Q605="",R605="")),"🟡 PENDÊNCIA SEM RESPONSÁVEL/PRAZO",IF(AND(ISNUMBER(R605),R605=TODAY()),"🟡 VENCE HOJE",IF(AND(P605&lt;&gt;"",S605=""),"🟡 PENDÊNCIA ABERTA",IF(AND(N(J605)&gt;0,N(K605)&lt;J605),"🟡 FALTA EXECUTAR",IF(OR(M605="PENDENTE",M605="PARCIAL"),"🟡 FATURAMENTO PENDENTE","🟡 EMBARQUE PENDENTE")))))))))))</f>
        <v/>
      </c>
      <c r="D605" s="4" t="n">
        <v>46263</v>
      </c>
      <c r="E605" s="5" t="inlineStr">
        <is>
          <t>A</t>
        </is>
      </c>
      <c r="F605" s="5" t="inlineStr">
        <is>
          <t>TATIANE</t>
        </is>
      </c>
      <c r="G605" s="5" t="inlineStr">
        <is>
          <t>GM</t>
        </is>
      </c>
      <c r="H605" s="5" t="inlineStr">
        <is>
          <t>CROSS SC</t>
        </is>
      </c>
      <c r="I605" s="5" t="inlineStr">
        <is>
          <t>TON</t>
        </is>
      </c>
      <c r="J605" s="6" t="n">
        <v>7.236</v>
      </c>
      <c r="K605" s="6" t="n"/>
      <c r="L605" s="7">
        <f>IF(OR(D605="",N(J605)=0),"",MIN(1,N(K605)/J605))</f>
        <v/>
      </c>
      <c r="M605" s="5" t="inlineStr">
        <is>
          <t>PENDENTE</t>
        </is>
      </c>
      <c r="N605" s="5" t="inlineStr">
        <is>
          <t>PENDENTE</t>
        </is>
      </c>
      <c r="O605" s="5" t="inlineStr">
        <is>
          <t>RENOVAÇÃO</t>
        </is>
      </c>
      <c r="P605" s="5" t="inlineStr">
        <is>
          <t>GERADO FALTA SEPARAR - AJUSTAR</t>
        </is>
      </c>
      <c r="Q605" s="5" t="n"/>
      <c r="R605" s="4" t="n"/>
      <c r="S605" s="4" t="n"/>
      <c r="T605" s="5" t="inlineStr">
        <is>
          <t>GERADO FALTA SEPARAR - AJUSTAR</t>
        </is>
      </c>
      <c r="U605" s="8">
        <f>IF(AND(V605=1,D605&lt;&gt;""),IF(D605&gt;=corte,TODAY()-D605,""),"")</f>
        <v/>
      </c>
      <c r="V605" s="8">
        <f>IF(D605="",0,IF(OR(AND(P605&lt;&gt;"",S605=""),AND(N(J605)&gt;0,N(K605)&lt;J605),OR(M605="PENDENTE",M605="PARCIAL"),OR(N605="PENDENTE",N605="PARCIAL")),1,0))</f>
        <v/>
      </c>
      <c r="W605" s="8">
        <f>IF(AND(V605=1,D605&lt;&gt;""),IF(D605&gt;=corte,(B605="CRÍTICO")*1E9+(100000-D605)*10000+10000-ROW(),""),"")</f>
        <v/>
      </c>
      <c r="X605" s="8">
        <f>IF(AND(V605=1,D605=pas_data,E605=pas_turno),10000-ROW(),"")</f>
        <v/>
      </c>
    </row>
    <row r="606">
      <c r="A606" s="3">
        <f>IF(D606="","","TT-"&amp;TEXT(ROW()-1,"00000"))</f>
        <v/>
      </c>
      <c r="B606" s="3">
        <f>IF(D606="","",IF(V606=0,"CONCLUÍDO",IF(D606&lt;corte,"HISTÓRICO",IF(OR(AND(ISNUMBER(R606),R606&lt;TODAY()),AND(OR(N606="PENDENTE",N606="PARCIAL"),D606&lt;TODAY()-1)),"CRÍTICO",IF(OR(AND(P606&lt;&gt;"",S606=""),AND(N606="REALIZADO",M606="PENDENTE"),AND(ISNUMBER(R606),R606=TODAY())),"ATENÇÃO",IF(N(K606)=0,"PENDENTE","EM ANDAMENTO"))))))</f>
        <v/>
      </c>
      <c r="C606" s="3">
        <f>IF(D606="","",IF(V606=0,"🟢 OK",IF(D606&lt;corte,"⚪ HISTÓRICO (sem baixa)",IF(AND(ISNUMBER(R606),R606&lt;TODAY()),"🔴 PRAZO VENCIDO",IF(AND(OR(N606="PENDENTE",N606="PARCIAL"),D606&lt;TODAY()-1),"🔴 EMBARQUE ATRASADO",IF(AND(N606="REALIZADO",M606="PENDENTE"),"🟡 EMBARCADO SEM FATURAR",IF(AND(P606&lt;&gt;"",S606="",OR(Q606="",R606="")),"🟡 PENDÊNCIA SEM RESPONSÁVEL/PRAZO",IF(AND(ISNUMBER(R606),R606=TODAY()),"🟡 VENCE HOJE",IF(AND(P606&lt;&gt;"",S606=""),"🟡 PENDÊNCIA ABERTA",IF(AND(N(J606)&gt;0,N(K606)&lt;J606),"🟡 FALTA EXECUTAR",IF(OR(M606="PENDENTE",M606="PARCIAL"),"🟡 FATURAMENTO PENDENTE","🟡 EMBARQUE PENDENTE")))))))))))</f>
        <v/>
      </c>
      <c r="D606" s="4" t="n">
        <v>46263</v>
      </c>
      <c r="E606" s="5" t="inlineStr">
        <is>
          <t>A</t>
        </is>
      </c>
      <c r="F606" s="5" t="inlineStr">
        <is>
          <t>TATIANE</t>
        </is>
      </c>
      <c r="G606" s="5" t="inlineStr">
        <is>
          <t>CACAU</t>
        </is>
      </c>
      <c r="H606" s="5" t="inlineStr">
        <is>
          <t>SEP CACAU</t>
        </is>
      </c>
      <c r="I606" s="5" t="inlineStr">
        <is>
          <t>TON</t>
        </is>
      </c>
      <c r="J606" s="6" t="n">
        <v>12.75</v>
      </c>
      <c r="K606" s="6" t="n">
        <v>12.75</v>
      </c>
      <c r="L606" s="7">
        <f>IF(OR(D606="",N(J606)=0),"",MIN(1,N(K606)/J606))</f>
        <v/>
      </c>
      <c r="M606" s="5" t="n"/>
      <c r="N606" s="5" t="n"/>
      <c r="O606" s="5" t="n"/>
      <c r="P606" s="5" t="n"/>
      <c r="Q606" s="5" t="n"/>
      <c r="R606" s="4" t="n"/>
      <c r="S606" s="4" t="n"/>
      <c r="T606" s="5" t="inlineStr">
        <is>
          <t>[MIGRAÇÃO: programação original: SEPARAÇÃO CACAU]</t>
        </is>
      </c>
      <c r="U606" s="8">
        <f>IF(AND(V606=1,D606&lt;&gt;""),IF(D606&gt;=corte,TODAY()-D606,""),"")</f>
        <v/>
      </c>
      <c r="V606" s="8">
        <f>IF(D606="",0,IF(OR(AND(P606&lt;&gt;"",S606=""),AND(N(J606)&gt;0,N(K606)&lt;J606),OR(M606="PENDENTE",M606="PARCIAL"),OR(N606="PENDENTE",N606="PARCIAL")),1,0))</f>
        <v/>
      </c>
      <c r="W606" s="8">
        <f>IF(AND(V606=1,D606&lt;&gt;""),IF(D606&gt;=corte,(B606="CRÍTICO")*1E9+(100000-D606)*10000+10000-ROW(),""),"")</f>
        <v/>
      </c>
      <c r="X606" s="8">
        <f>IF(AND(V606=1,D606=pas_data,E606=pas_turno),10000-ROW(),"")</f>
        <v/>
      </c>
    </row>
    <row r="607">
      <c r="A607" s="3">
        <f>IF(D607="","","TT-"&amp;TEXT(ROW()-1,"00000"))</f>
        <v/>
      </c>
      <c r="B607" s="3">
        <f>IF(D607="","",IF(V607=0,"CONCLUÍDO",IF(D607&lt;corte,"HISTÓRICO",IF(OR(AND(ISNUMBER(R607),R607&lt;TODAY()),AND(OR(N607="PENDENTE",N607="PARCIAL"),D607&lt;TODAY()-1)),"CRÍTICO",IF(OR(AND(P607&lt;&gt;"",S607=""),AND(N607="REALIZADO",M607="PENDENTE"),AND(ISNUMBER(R607),R607=TODAY())),"ATENÇÃO",IF(N(K607)=0,"PENDENTE","EM ANDAMENTO"))))))</f>
        <v/>
      </c>
      <c r="C607" s="3">
        <f>IF(D607="","",IF(V607=0,"🟢 OK",IF(D607&lt;corte,"⚪ HISTÓRICO (sem baixa)",IF(AND(ISNUMBER(R607),R607&lt;TODAY()),"🔴 PRAZO VENCIDO",IF(AND(OR(N607="PENDENTE",N607="PARCIAL"),D607&lt;TODAY()-1),"🔴 EMBARQUE ATRASADO",IF(AND(N607="REALIZADO",M607="PENDENTE"),"🟡 EMBARCADO SEM FATURAR",IF(AND(P607&lt;&gt;"",S607="",OR(Q607="",R607="")),"🟡 PENDÊNCIA SEM RESPONSÁVEL/PRAZO",IF(AND(ISNUMBER(R607),R607=TODAY()),"🟡 VENCE HOJE",IF(AND(P607&lt;&gt;"",S607=""),"🟡 PENDÊNCIA ABERTA",IF(AND(N(J607)&gt;0,N(K607)&lt;J607),"🟡 FALTA EXECUTAR",IF(OR(M607="PENDENTE",M607="PARCIAL"),"🟡 FATURAMENTO PENDENTE","🟡 EMBARQUE PENDENTE")))))))))))</f>
        <v/>
      </c>
      <c r="D607" s="4" t="n">
        <v>46263</v>
      </c>
      <c r="E607" s="5" t="inlineStr">
        <is>
          <t>A</t>
        </is>
      </c>
      <c r="F607" s="5" t="inlineStr">
        <is>
          <t>TATIANE</t>
        </is>
      </c>
      <c r="G607" s="5" t="inlineStr">
        <is>
          <t>CACAU</t>
        </is>
      </c>
      <c r="H607" s="5" t="inlineStr">
        <is>
          <t>SEP TRANSF CACAU</t>
        </is>
      </c>
      <c r="I607" s="5" t="inlineStr">
        <is>
          <t>TON</t>
        </is>
      </c>
      <c r="J607" s="6" t="n">
        <v>24</v>
      </c>
      <c r="K607" s="6" t="n">
        <v>24</v>
      </c>
      <c r="L607" s="7">
        <f>IF(OR(D607="",N(J607)=0),"",MIN(1,N(K607)/J607))</f>
        <v/>
      </c>
      <c r="M607" s="5" t="n"/>
      <c r="N607" s="5" t="n"/>
      <c r="O607" s="5" t="n"/>
      <c r="P607" s="5" t="n"/>
      <c r="Q607" s="5" t="n"/>
      <c r="R607" s="4" t="n"/>
      <c r="S607" s="4" t="n"/>
      <c r="T607" s="5" t="inlineStr">
        <is>
          <t>[MIGRAÇÃO: programação original: SEP TRANSF CACAU]</t>
        </is>
      </c>
      <c r="U607" s="8">
        <f>IF(AND(V607=1,D607&lt;&gt;""),IF(D607&gt;=corte,TODAY()-D607,""),"")</f>
        <v/>
      </c>
      <c r="V607" s="8">
        <f>IF(D607="",0,IF(OR(AND(P607&lt;&gt;"",S607=""),AND(N(J607)&gt;0,N(K607)&lt;J607),OR(M607="PENDENTE",M607="PARCIAL"),OR(N607="PENDENTE",N607="PARCIAL")),1,0))</f>
        <v/>
      </c>
      <c r="W607" s="8">
        <f>IF(AND(V607=1,D607&lt;&gt;""),IF(D607&gt;=corte,(B607="CRÍTICO")*1E9+(100000-D607)*10000+10000-ROW(),""),"")</f>
        <v/>
      </c>
      <c r="X607" s="8">
        <f>IF(AND(V607=1,D607=pas_data,E607=pas_turno),10000-ROW(),"")</f>
        <v/>
      </c>
    </row>
    <row r="608">
      <c r="A608" s="3">
        <f>IF(D608="","","TT-"&amp;TEXT(ROW()-1,"00000"))</f>
        <v/>
      </c>
      <c r="B608" s="3">
        <f>IF(D608="","",IF(V608=0,"CONCLUÍDO",IF(D608&lt;corte,"HISTÓRICO",IF(OR(AND(ISNUMBER(R608),R608&lt;TODAY()),AND(OR(N608="PENDENTE",N608="PARCIAL"),D608&lt;TODAY()-1)),"CRÍTICO",IF(OR(AND(P608&lt;&gt;"",S608=""),AND(N608="REALIZADO",M608="PENDENTE"),AND(ISNUMBER(R608),R608=TODAY())),"ATENÇÃO",IF(N(K608)=0,"PENDENTE","EM ANDAMENTO"))))))</f>
        <v/>
      </c>
      <c r="C608" s="3">
        <f>IF(D608="","",IF(V608=0,"🟢 OK",IF(D608&lt;corte,"⚪ HISTÓRICO (sem baixa)",IF(AND(ISNUMBER(R608),R608&lt;TODAY()),"🔴 PRAZO VENCIDO",IF(AND(OR(N608="PENDENTE",N608="PARCIAL"),D608&lt;TODAY()-1),"🔴 EMBARQUE ATRASADO",IF(AND(N608="REALIZADO",M608="PENDENTE"),"🟡 EMBARCADO SEM FATURAR",IF(AND(P608&lt;&gt;"",S608="",OR(Q608="",R608="")),"🟡 PENDÊNCIA SEM RESPONSÁVEL/PRAZO",IF(AND(ISNUMBER(R608),R608=TODAY()),"🟡 VENCE HOJE",IF(AND(P608&lt;&gt;"",S608=""),"🟡 PENDÊNCIA ABERTA",IF(AND(N(J608)&gt;0,N(K608)&lt;J608),"🟡 FALTA EXECUTAR",IF(OR(M608="PENDENTE",M608="PARCIAL"),"🟡 FATURAMENTO PENDENTE","🟡 EMBARQUE PENDENTE")))))))))))</f>
        <v/>
      </c>
      <c r="D608" s="4" t="n">
        <v>46263</v>
      </c>
      <c r="E608" s="5" t="inlineStr">
        <is>
          <t>A</t>
        </is>
      </c>
      <c r="F608" s="5" t="inlineStr">
        <is>
          <t>TATIANE</t>
        </is>
      </c>
      <c r="G608" s="5" t="inlineStr">
        <is>
          <t>FLOOR</t>
        </is>
      </c>
      <c r="H608" s="5" t="inlineStr">
        <is>
          <t>FLOOR</t>
        </is>
      </c>
      <c r="I608" s="5" t="inlineStr">
        <is>
          <t>TON</t>
        </is>
      </c>
      <c r="J608" s="6" t="n">
        <v>0.1</v>
      </c>
      <c r="K608" s="6" t="n">
        <v>70</v>
      </c>
      <c r="L608" s="7">
        <f>IF(OR(D608="",N(J608)=0),"",MIN(1,N(K608)/J608))</f>
        <v/>
      </c>
      <c r="M608" s="5" t="n"/>
      <c r="N608" s="5" t="n"/>
      <c r="O608" s="5" t="n"/>
      <c r="P608" s="5" t="n"/>
      <c r="Q608" s="5" t="n"/>
      <c r="R608" s="4" t="n"/>
      <c r="S608" s="4" t="n"/>
      <c r="T608" s="5" t="n"/>
      <c r="U608" s="8">
        <f>IF(AND(V608=1,D608&lt;&gt;""),IF(D608&gt;=corte,TODAY()-D608,""),"")</f>
        <v/>
      </c>
      <c r="V608" s="8">
        <f>IF(D608="",0,IF(OR(AND(P608&lt;&gt;"",S608=""),AND(N(J608)&gt;0,N(K608)&lt;J608),OR(M608="PENDENTE",M608="PARCIAL"),OR(N608="PENDENTE",N608="PARCIAL")),1,0))</f>
        <v/>
      </c>
      <c r="W608" s="8">
        <f>IF(AND(V608=1,D608&lt;&gt;""),IF(D608&gt;=corte,(B608="CRÍTICO")*1E9+(100000-D608)*10000+10000-ROW(),""),"")</f>
        <v/>
      </c>
      <c r="X608" s="8">
        <f>IF(AND(V608=1,D608=pas_data,E608=pas_turno),10000-ROW(),"")</f>
        <v/>
      </c>
    </row>
    <row r="609">
      <c r="A609" s="3">
        <f>IF(D609="","","TT-"&amp;TEXT(ROW()-1,"00000"))</f>
        <v/>
      </c>
      <c r="B609" s="3">
        <f>IF(D609="","",IF(V609=0,"CONCLUÍDO",IF(D609&lt;corte,"HISTÓRICO",IF(OR(AND(ISNUMBER(R609),R609&lt;TODAY()),AND(OR(N609="PENDENTE",N609="PARCIAL"),D609&lt;TODAY()-1)),"CRÍTICO",IF(OR(AND(P609&lt;&gt;"",S609=""),AND(N609="REALIZADO",M609="PENDENTE"),AND(ISNUMBER(R609),R609=TODAY())),"ATENÇÃO",IF(N(K609)=0,"PENDENTE","EM ANDAMENTO"))))))</f>
        <v/>
      </c>
      <c r="C609" s="3">
        <f>IF(D609="","",IF(V609=0,"🟢 OK",IF(D609&lt;corte,"⚪ HISTÓRICO (sem baixa)",IF(AND(ISNUMBER(R609),R609&lt;TODAY()),"🔴 PRAZO VENCIDO",IF(AND(OR(N609="PENDENTE",N609="PARCIAL"),D609&lt;TODAY()-1),"🔴 EMBARQUE ATRASADO",IF(AND(N609="REALIZADO",M609="PENDENTE"),"🟡 EMBARCADO SEM FATURAR",IF(AND(P609&lt;&gt;"",S609="",OR(Q609="",R609="")),"🟡 PENDÊNCIA SEM RESPONSÁVEL/PRAZO",IF(AND(ISNUMBER(R609),R609=TODAY()),"🟡 VENCE HOJE",IF(AND(P609&lt;&gt;"",S609=""),"🟡 PENDÊNCIA ABERTA",IF(AND(N(J609)&gt;0,N(K609)&lt;J609),"🟡 FALTA EXECUTAR",IF(OR(M609="PENDENTE",M609="PARCIAL"),"🟡 FATURAMENTO PENDENTE","🟡 EMBARQUE PENDENTE")))))))))))</f>
        <v/>
      </c>
      <c r="D609" s="4" t="n">
        <v>46263</v>
      </c>
      <c r="E609" s="5" t="inlineStr">
        <is>
          <t>A</t>
        </is>
      </c>
      <c r="F609" s="5" t="inlineStr">
        <is>
          <t>TATIANE</t>
        </is>
      </c>
      <c r="G609" s="5" t="inlineStr">
        <is>
          <t>FM</t>
        </is>
      </c>
      <c r="H609" s="5" t="inlineStr">
        <is>
          <t>PANDURATA</t>
        </is>
      </c>
      <c r="I609" s="5" t="inlineStr">
        <is>
          <t>TON</t>
        </is>
      </c>
      <c r="J609" s="6" t="n">
        <v>56.108</v>
      </c>
      <c r="K609" s="6" t="n"/>
      <c r="L609" s="7">
        <f>IF(OR(D609="",N(J609)=0),"",MIN(1,N(K609)/J609))</f>
        <v/>
      </c>
      <c r="M609" s="5" t="inlineStr">
        <is>
          <t>PENDENTE</t>
        </is>
      </c>
      <c r="N609" s="5" t="inlineStr">
        <is>
          <t>PENDENTE</t>
        </is>
      </c>
      <c r="O609" s="5" t="inlineStr">
        <is>
          <t>SPEEDYLOG</t>
        </is>
      </c>
      <c r="P609" s="5" t="inlineStr">
        <is>
          <t>GERADO FALTA SEPARAR</t>
        </is>
      </c>
      <c r="Q609" s="5" t="n"/>
      <c r="R609" s="4" t="n"/>
      <c r="S609" s="4" t="n"/>
      <c r="T609" s="5" t="inlineStr">
        <is>
          <t>GERADO FALTA SEPARAR</t>
        </is>
      </c>
      <c r="U609" s="8">
        <f>IF(AND(V609=1,D609&lt;&gt;""),IF(D609&gt;=corte,TODAY()-D609,""),"")</f>
        <v/>
      </c>
      <c r="V609" s="8">
        <f>IF(D609="",0,IF(OR(AND(P609&lt;&gt;"",S609=""),AND(N(J609)&gt;0,N(K609)&lt;J609),OR(M609="PENDENTE",M609="PARCIAL"),OR(N609="PENDENTE",N609="PARCIAL")),1,0))</f>
        <v/>
      </c>
      <c r="W609" s="8">
        <f>IF(AND(V609=1,D609&lt;&gt;""),IF(D609&gt;=corte,(B609="CRÍTICO")*1E9+(100000-D609)*10000+10000-ROW(),""),"")</f>
        <v/>
      </c>
      <c r="X609" s="8">
        <f>IF(AND(V609=1,D609=pas_data,E609=pas_turno),10000-ROW(),"")</f>
        <v/>
      </c>
    </row>
    <row r="610">
      <c r="A610" s="3">
        <f>IF(D610="","","TT-"&amp;TEXT(ROW()-1,"00000"))</f>
        <v/>
      </c>
      <c r="B610" s="3">
        <f>IF(D610="","",IF(V610=0,"CONCLUÍDO",IF(D610&lt;corte,"HISTÓRICO",IF(OR(AND(ISNUMBER(R610),R610&lt;TODAY()),AND(OR(N610="PENDENTE",N610="PARCIAL"),D610&lt;TODAY()-1)),"CRÍTICO",IF(OR(AND(P610&lt;&gt;"",S610=""),AND(N610="REALIZADO",M610="PENDENTE"),AND(ISNUMBER(R610),R610=TODAY())),"ATENÇÃO",IF(N(K610)=0,"PENDENTE","EM ANDAMENTO"))))))</f>
        <v/>
      </c>
      <c r="C610" s="3">
        <f>IF(D610="","",IF(V610=0,"🟢 OK",IF(D610&lt;corte,"⚪ HISTÓRICO (sem baixa)",IF(AND(ISNUMBER(R610),R610&lt;TODAY()),"🔴 PRAZO VENCIDO",IF(AND(OR(N610="PENDENTE",N610="PARCIAL"),D610&lt;TODAY()-1),"🔴 EMBARQUE ATRASADO",IF(AND(N610="REALIZADO",M610="PENDENTE"),"🟡 EMBARCADO SEM FATURAR",IF(AND(P610&lt;&gt;"",S610="",OR(Q610="",R610="")),"🟡 PENDÊNCIA SEM RESPONSÁVEL/PRAZO",IF(AND(ISNUMBER(R610),R610=TODAY()),"🟡 VENCE HOJE",IF(AND(P610&lt;&gt;"",S610=""),"🟡 PENDÊNCIA ABERTA",IF(AND(N(J610)&gt;0,N(K610)&lt;J610),"🟡 FALTA EXECUTAR",IF(OR(M610="PENDENTE",M610="PARCIAL"),"🟡 FATURAMENTO PENDENTE","🟡 EMBARQUE PENDENTE")))))))))))</f>
        <v/>
      </c>
      <c r="D610" s="4" t="n">
        <v>46263</v>
      </c>
      <c r="E610" s="5" t="inlineStr">
        <is>
          <t>B</t>
        </is>
      </c>
      <c r="F610" s="5" t="inlineStr">
        <is>
          <t>THIAGO</t>
        </is>
      </c>
      <c r="G610" s="5" t="inlineStr">
        <is>
          <t>FM</t>
        </is>
      </c>
      <c r="H610" s="5" t="inlineStr">
        <is>
          <t>PANDURATA</t>
        </is>
      </c>
      <c r="I610" s="5" t="inlineStr">
        <is>
          <t>TON</t>
        </is>
      </c>
      <c r="J610" s="6" t="n">
        <v>28.054</v>
      </c>
      <c r="K610" s="6" t="n">
        <v>28.054</v>
      </c>
      <c r="L610" s="7">
        <f>IF(OR(D610="",N(J610)=0),"",MIN(1,N(K610)/J610))</f>
        <v/>
      </c>
      <c r="M610" s="5" t="n"/>
      <c r="N610" s="5" t="n"/>
      <c r="O610" s="5" t="n"/>
      <c r="P610" s="5" t="n"/>
      <c r="Q610" s="5" t="n"/>
      <c r="R610" s="4" t="n"/>
      <c r="S610" s="4" t="n"/>
      <c r="T610" s="5" t="n"/>
      <c r="U610" s="8">
        <f>IF(AND(V610=1,D610&lt;&gt;""),IF(D610&gt;=corte,TODAY()-D610,""),"")</f>
        <v/>
      </c>
      <c r="V610" s="8">
        <f>IF(D610="",0,IF(OR(AND(P610&lt;&gt;"",S610=""),AND(N(J610)&gt;0,N(K610)&lt;J610),OR(M610="PENDENTE",M610="PARCIAL"),OR(N610="PENDENTE",N610="PARCIAL")),1,0))</f>
        <v/>
      </c>
      <c r="W610" s="8">
        <f>IF(AND(V610=1,D610&lt;&gt;""),IF(D610&gt;=corte,(B610="CRÍTICO")*1E9+(100000-D610)*10000+10000-ROW(),""),"")</f>
        <v/>
      </c>
      <c r="X610" s="8">
        <f>IF(AND(V610=1,D610=pas_data,E610=pas_turno),10000-ROW(),"")</f>
        <v/>
      </c>
    </row>
    <row r="611">
      <c r="A611" s="3">
        <f>IF(D611="","","TT-"&amp;TEXT(ROW()-1,"00000"))</f>
        <v/>
      </c>
      <c r="B611" s="3">
        <f>IF(D611="","",IF(V611=0,"CONCLUÍDO",IF(D611&lt;corte,"HISTÓRICO",IF(OR(AND(ISNUMBER(R611),R611&lt;TODAY()),AND(OR(N611="PENDENTE",N611="PARCIAL"),D611&lt;TODAY()-1)),"CRÍTICO",IF(OR(AND(P611&lt;&gt;"",S611=""),AND(N611="REALIZADO",M611="PENDENTE"),AND(ISNUMBER(R611),R611=TODAY())),"ATENÇÃO",IF(N(K611)=0,"PENDENTE","EM ANDAMENTO"))))))</f>
        <v/>
      </c>
      <c r="C611" s="3">
        <f>IF(D611="","",IF(V611=0,"🟢 OK",IF(D611&lt;corte,"⚪ HISTÓRICO (sem baixa)",IF(AND(ISNUMBER(R611),R611&lt;TODAY()),"🔴 PRAZO VENCIDO",IF(AND(OR(N611="PENDENTE",N611="PARCIAL"),D611&lt;TODAY()-1),"🔴 EMBARQUE ATRASADO",IF(AND(N611="REALIZADO",M611="PENDENTE"),"🟡 EMBARCADO SEM FATURAR",IF(AND(P611&lt;&gt;"",S611="",OR(Q611="",R611="")),"🟡 PENDÊNCIA SEM RESPONSÁVEL/PRAZO",IF(AND(ISNUMBER(R611),R611=TODAY()),"🟡 VENCE HOJE",IF(AND(P611&lt;&gt;"",S611=""),"🟡 PENDÊNCIA ABERTA",IF(AND(N(J611)&gt;0,N(K611)&lt;J611),"🟡 FALTA EXECUTAR",IF(OR(M611="PENDENTE",M611="PARCIAL"),"🟡 FATURAMENTO PENDENTE","🟡 EMBARQUE PENDENTE")))))))))))</f>
        <v/>
      </c>
      <c r="D611" s="4" t="n">
        <v>46263</v>
      </c>
      <c r="E611" s="5" t="inlineStr">
        <is>
          <t>B</t>
        </is>
      </c>
      <c r="F611" s="5" t="inlineStr">
        <is>
          <t>THIAGO</t>
        </is>
      </c>
      <c r="G611" s="5" t="inlineStr">
        <is>
          <t>FOB</t>
        </is>
      </c>
      <c r="H611" s="5" t="inlineStr">
        <is>
          <t>PRODUPAN</t>
        </is>
      </c>
      <c r="I611" s="5" t="inlineStr">
        <is>
          <t>TON</t>
        </is>
      </c>
      <c r="J611" s="6" t="n">
        <v>16.606</v>
      </c>
      <c r="K611" s="6" t="n">
        <v>16.606</v>
      </c>
      <c r="L611" s="7">
        <f>IF(OR(D611="",N(J611)=0),"",MIN(1,N(K611)/J611))</f>
        <v/>
      </c>
      <c r="M611" s="5" t="n"/>
      <c r="N611" s="5" t="n"/>
      <c r="O611" s="5" t="n"/>
      <c r="P611" s="5" t="n"/>
      <c r="Q611" s="5" t="n"/>
      <c r="R611" s="4" t="n"/>
      <c r="S611" s="4" t="n"/>
      <c r="T611" s="5" t="n"/>
      <c r="U611" s="8">
        <f>IF(AND(V611=1,D611&lt;&gt;""),IF(D611&gt;=corte,TODAY()-D611,""),"")</f>
        <v/>
      </c>
      <c r="V611" s="8">
        <f>IF(D611="",0,IF(OR(AND(P611&lt;&gt;"",S611=""),AND(N(J611)&gt;0,N(K611)&lt;J611),OR(M611="PENDENTE",M611="PARCIAL"),OR(N611="PENDENTE",N611="PARCIAL")),1,0))</f>
        <v/>
      </c>
      <c r="W611" s="8">
        <f>IF(AND(V611=1,D611&lt;&gt;""),IF(D611&gt;=corte,(B611="CRÍTICO")*1E9+(100000-D611)*10000+10000-ROW(),""),"")</f>
        <v/>
      </c>
      <c r="X611" s="8">
        <f>IF(AND(V611=1,D611=pas_data,E611=pas_turno),10000-ROW(),"")</f>
        <v/>
      </c>
    </row>
    <row r="612">
      <c r="A612" s="3">
        <f>IF(D612="","","TT-"&amp;TEXT(ROW()-1,"00000"))</f>
        <v/>
      </c>
      <c r="B612" s="3">
        <f>IF(D612="","",IF(V612=0,"CONCLUÍDO",IF(D612&lt;corte,"HISTÓRICO",IF(OR(AND(ISNUMBER(R612),R612&lt;TODAY()),AND(OR(N612="PENDENTE",N612="PARCIAL"),D612&lt;TODAY()-1)),"CRÍTICO",IF(OR(AND(P612&lt;&gt;"",S612=""),AND(N612="REALIZADO",M612="PENDENTE"),AND(ISNUMBER(R612),R612=TODAY())),"ATENÇÃO",IF(N(K612)=0,"PENDENTE","EM ANDAMENTO"))))))</f>
        <v/>
      </c>
      <c r="C612" s="3">
        <f>IF(D612="","",IF(V612=0,"🟢 OK",IF(D612&lt;corte,"⚪ HISTÓRICO (sem baixa)",IF(AND(ISNUMBER(R612),R612&lt;TODAY()),"🔴 PRAZO VENCIDO",IF(AND(OR(N612="PENDENTE",N612="PARCIAL"),D612&lt;TODAY()-1),"🔴 EMBARQUE ATRASADO",IF(AND(N612="REALIZADO",M612="PENDENTE"),"🟡 EMBARCADO SEM FATURAR",IF(AND(P612&lt;&gt;"",S612="",OR(Q612="",R612="")),"🟡 PENDÊNCIA SEM RESPONSÁVEL/PRAZO",IF(AND(ISNUMBER(R612),R612=TODAY()),"🟡 VENCE HOJE",IF(AND(P612&lt;&gt;"",S612=""),"🟡 PENDÊNCIA ABERTA",IF(AND(N(J612)&gt;0,N(K612)&lt;J612),"🟡 FALTA EXECUTAR",IF(OR(M612="PENDENTE",M612="PARCIAL"),"🟡 FATURAMENTO PENDENTE","🟡 EMBARQUE PENDENTE")))))))))))</f>
        <v/>
      </c>
      <c r="D612" s="4" t="n">
        <v>46263</v>
      </c>
      <c r="E612" s="5" t="inlineStr">
        <is>
          <t>B</t>
        </is>
      </c>
      <c r="F612" s="5" t="inlineStr">
        <is>
          <t>THIAGO</t>
        </is>
      </c>
      <c r="G612" s="5" t="inlineStr">
        <is>
          <t>FOB</t>
        </is>
      </c>
      <c r="H612" s="5" t="inlineStr">
        <is>
          <t>DISCAMP</t>
        </is>
      </c>
      <c r="I612" s="5" t="inlineStr">
        <is>
          <t>TON</t>
        </is>
      </c>
      <c r="J612" s="6" t="n">
        <v>10.147</v>
      </c>
      <c r="K612" s="6" t="n">
        <v>10.147</v>
      </c>
      <c r="L612" s="7">
        <f>IF(OR(D612="",N(J612)=0),"",MIN(1,N(K612)/J612))</f>
        <v/>
      </c>
      <c r="M612" s="5" t="n"/>
      <c r="N612" s="5" t="n"/>
      <c r="O612" s="5" t="n"/>
      <c r="P612" s="5" t="n"/>
      <c r="Q612" s="5" t="n"/>
      <c r="R612" s="4" t="n"/>
      <c r="S612" s="4" t="n"/>
      <c r="T612" s="5" t="n"/>
      <c r="U612" s="8">
        <f>IF(AND(V612=1,D612&lt;&gt;""),IF(D612&gt;=corte,TODAY()-D612,""),"")</f>
        <v/>
      </c>
      <c r="V612" s="8">
        <f>IF(D612="",0,IF(OR(AND(P612&lt;&gt;"",S612=""),AND(N(J612)&gt;0,N(K612)&lt;J612),OR(M612="PENDENTE",M612="PARCIAL"),OR(N612="PENDENTE",N612="PARCIAL")),1,0))</f>
        <v/>
      </c>
      <c r="W612" s="8">
        <f>IF(AND(V612=1,D612&lt;&gt;""),IF(D612&gt;=corte,(B612="CRÍTICO")*1E9+(100000-D612)*10000+10000-ROW(),""),"")</f>
        <v/>
      </c>
      <c r="X612" s="8">
        <f>IF(AND(V612=1,D612=pas_data,E612=pas_turno),10000-ROW(),"")</f>
        <v/>
      </c>
    </row>
    <row r="613">
      <c r="A613" s="3">
        <f>IF(D613="","","TT-"&amp;TEXT(ROW()-1,"00000"))</f>
        <v/>
      </c>
      <c r="B613" s="3">
        <f>IF(D613="","",IF(V613=0,"CONCLUÍDO",IF(D613&lt;corte,"HISTÓRICO",IF(OR(AND(ISNUMBER(R613),R613&lt;TODAY()),AND(OR(N613="PENDENTE",N613="PARCIAL"),D613&lt;TODAY()-1)),"CRÍTICO",IF(OR(AND(P613&lt;&gt;"",S613=""),AND(N613="REALIZADO",M613="PENDENTE"),AND(ISNUMBER(R613),R613=TODAY())),"ATENÇÃO",IF(N(K613)=0,"PENDENTE","EM ANDAMENTO"))))))</f>
        <v/>
      </c>
      <c r="C613" s="3">
        <f>IF(D613="","",IF(V613=0,"🟢 OK",IF(D613&lt;corte,"⚪ HISTÓRICO (sem baixa)",IF(AND(ISNUMBER(R613),R613&lt;TODAY()),"🔴 PRAZO VENCIDO",IF(AND(OR(N613="PENDENTE",N613="PARCIAL"),D613&lt;TODAY()-1),"🔴 EMBARQUE ATRASADO",IF(AND(N613="REALIZADO",M613="PENDENTE"),"🟡 EMBARCADO SEM FATURAR",IF(AND(P613&lt;&gt;"",S613="",OR(Q613="",R613="")),"🟡 PENDÊNCIA SEM RESPONSÁVEL/PRAZO",IF(AND(ISNUMBER(R613),R613=TODAY()),"🟡 VENCE HOJE",IF(AND(P613&lt;&gt;"",S613=""),"🟡 PENDÊNCIA ABERTA",IF(AND(N(J613)&gt;0,N(K613)&lt;J613),"🟡 FALTA EXECUTAR",IF(OR(M613="PENDENTE",M613="PARCIAL"),"🟡 FATURAMENTO PENDENTE","🟡 EMBARQUE PENDENTE")))))))))))</f>
        <v/>
      </c>
      <c r="D613" s="4" t="n">
        <v>46263</v>
      </c>
      <c r="E613" s="5" t="inlineStr">
        <is>
          <t>B</t>
        </is>
      </c>
      <c r="F613" s="5" t="inlineStr">
        <is>
          <t>THIAGO</t>
        </is>
      </c>
      <c r="G613" s="5" t="inlineStr">
        <is>
          <t>GM</t>
        </is>
      </c>
      <c r="H613" s="5" t="inlineStr">
        <is>
          <t>CROSS SC</t>
        </is>
      </c>
      <c r="I613" s="5" t="inlineStr">
        <is>
          <t>TON</t>
        </is>
      </c>
      <c r="J613" s="6" t="n">
        <v>8.138999999999999</v>
      </c>
      <c r="K613" s="6" t="n">
        <v>8.138999999999999</v>
      </c>
      <c r="L613" s="7">
        <f>IF(OR(D613="",N(J613)=0),"",MIN(1,N(K613)/J613))</f>
        <v/>
      </c>
      <c r="M613" s="5" t="n"/>
      <c r="N613" s="5" t="n"/>
      <c r="O613" s="5" t="n"/>
      <c r="P613" s="5" t="n"/>
      <c r="Q613" s="5" t="n"/>
      <c r="R613" s="4" t="n"/>
      <c r="S613" s="4" t="n"/>
      <c r="T613" s="5" t="n"/>
      <c r="U613" s="8">
        <f>IF(AND(V613=1,D613&lt;&gt;""),IF(D613&gt;=corte,TODAY()-D613,""),"")</f>
        <v/>
      </c>
      <c r="V613" s="8">
        <f>IF(D613="",0,IF(OR(AND(P613&lt;&gt;"",S613=""),AND(N(J613)&gt;0,N(K613)&lt;J613),OR(M613="PENDENTE",M613="PARCIAL"),OR(N613="PENDENTE",N613="PARCIAL")),1,0))</f>
        <v/>
      </c>
      <c r="W613" s="8">
        <f>IF(AND(V613=1,D613&lt;&gt;""),IF(D613&gt;=corte,(B613="CRÍTICO")*1E9+(100000-D613)*10000+10000-ROW(),""),"")</f>
        <v/>
      </c>
      <c r="X613" s="8">
        <f>IF(AND(V613=1,D613=pas_data,E613=pas_turno),10000-ROW(),"")</f>
        <v/>
      </c>
    </row>
    <row r="614">
      <c r="A614" s="3">
        <f>IF(D614="","","TT-"&amp;TEXT(ROW()-1,"00000"))</f>
        <v/>
      </c>
      <c r="B614" s="3">
        <f>IF(D614="","",IF(V614=0,"CONCLUÍDO",IF(D614&lt;corte,"HISTÓRICO",IF(OR(AND(ISNUMBER(R614),R614&lt;TODAY()),AND(OR(N614="PENDENTE",N614="PARCIAL"),D614&lt;TODAY()-1)),"CRÍTICO",IF(OR(AND(P614&lt;&gt;"",S614=""),AND(N614="REALIZADO",M614="PENDENTE"),AND(ISNUMBER(R614),R614=TODAY())),"ATENÇÃO",IF(N(K614)=0,"PENDENTE","EM ANDAMENTO"))))))</f>
        <v/>
      </c>
      <c r="C614" s="3">
        <f>IF(D614="","",IF(V614=0,"🟢 OK",IF(D614&lt;corte,"⚪ HISTÓRICO (sem baixa)",IF(AND(ISNUMBER(R614),R614&lt;TODAY()),"🔴 PRAZO VENCIDO",IF(AND(OR(N614="PENDENTE",N614="PARCIAL"),D614&lt;TODAY()-1),"🔴 EMBARQUE ATRASADO",IF(AND(N614="REALIZADO",M614="PENDENTE"),"🟡 EMBARCADO SEM FATURAR",IF(AND(P614&lt;&gt;"",S614="",OR(Q614="",R614="")),"🟡 PENDÊNCIA SEM RESPONSÁVEL/PRAZO",IF(AND(ISNUMBER(R614),R614=TODAY()),"🟡 VENCE HOJE",IF(AND(P614&lt;&gt;"",S614=""),"🟡 PENDÊNCIA ABERTA",IF(AND(N(J614)&gt;0,N(K614)&lt;J614),"🟡 FALTA EXECUTAR",IF(OR(M614="PENDENTE",M614="PARCIAL"),"🟡 FATURAMENTO PENDENTE","🟡 EMBARQUE PENDENTE")))))))))))</f>
        <v/>
      </c>
      <c r="D614" s="4" t="n">
        <v>46263</v>
      </c>
      <c r="E614" s="5" t="inlineStr">
        <is>
          <t>B</t>
        </is>
      </c>
      <c r="F614" s="5" t="inlineStr">
        <is>
          <t>THIAGO</t>
        </is>
      </c>
      <c r="G614" s="5" t="inlineStr">
        <is>
          <t>FM</t>
        </is>
      </c>
      <c r="H614" s="5" t="inlineStr">
        <is>
          <t>IBAE</t>
        </is>
      </c>
      <c r="I614" s="5" t="inlineStr">
        <is>
          <t>TON</t>
        </is>
      </c>
      <c r="J614" s="6" t="n">
        <v>28.054</v>
      </c>
      <c r="K614" s="6" t="n">
        <v>28.054</v>
      </c>
      <c r="L614" s="7">
        <f>IF(OR(D614="",N(J614)=0),"",MIN(1,N(K614)/J614))</f>
        <v/>
      </c>
      <c r="M614" s="5" t="n"/>
      <c r="N614" s="5" t="n"/>
      <c r="O614" s="5" t="n"/>
      <c r="P614" s="5" t="n"/>
      <c r="Q614" s="5" t="n"/>
      <c r="R614" s="4" t="n"/>
      <c r="S614" s="4" t="n"/>
      <c r="T614" s="5" t="n"/>
      <c r="U614" s="8">
        <f>IF(AND(V614=1,D614&lt;&gt;""),IF(D614&gt;=corte,TODAY()-D614,""),"")</f>
        <v/>
      </c>
      <c r="V614" s="8">
        <f>IF(D614="",0,IF(OR(AND(P614&lt;&gt;"",S614=""),AND(N(J614)&gt;0,N(K614)&lt;J614),OR(M614="PENDENTE",M614="PARCIAL"),OR(N614="PENDENTE",N614="PARCIAL")),1,0))</f>
        <v/>
      </c>
      <c r="W614" s="8">
        <f>IF(AND(V614=1,D614&lt;&gt;""),IF(D614&gt;=corte,(B614="CRÍTICO")*1E9+(100000-D614)*10000+10000-ROW(),""),"")</f>
        <v/>
      </c>
      <c r="X614" s="8">
        <f>IF(AND(V614=1,D614=pas_data,E614=pas_turno),10000-ROW(),"")</f>
        <v/>
      </c>
    </row>
    <row r="615">
      <c r="A615" s="3">
        <f>IF(D615="","","TT-"&amp;TEXT(ROW()-1,"00000"))</f>
        <v/>
      </c>
      <c r="B615" s="3">
        <f>IF(D615="","",IF(V615=0,"CONCLUÍDO",IF(D615&lt;corte,"HISTÓRICO",IF(OR(AND(ISNUMBER(R615),R615&lt;TODAY()),AND(OR(N615="PENDENTE",N615="PARCIAL"),D615&lt;TODAY()-1)),"CRÍTICO",IF(OR(AND(P615&lt;&gt;"",S615=""),AND(N615="REALIZADO",M615="PENDENTE"),AND(ISNUMBER(R615),R615=TODAY())),"ATENÇÃO",IF(N(K615)=0,"PENDENTE","EM ANDAMENTO"))))))</f>
        <v/>
      </c>
      <c r="C615" s="3">
        <f>IF(D615="","",IF(V615=0,"🟢 OK",IF(D615&lt;corte,"⚪ HISTÓRICO (sem baixa)",IF(AND(ISNUMBER(R615),R615&lt;TODAY()),"🔴 PRAZO VENCIDO",IF(AND(OR(N615="PENDENTE",N615="PARCIAL"),D615&lt;TODAY()-1),"🔴 EMBARQUE ATRASADO",IF(AND(N615="REALIZADO",M615="PENDENTE"),"🟡 EMBARCADO SEM FATURAR",IF(AND(P615&lt;&gt;"",S615="",OR(Q615="",R615="")),"🟡 PENDÊNCIA SEM RESPONSÁVEL/PRAZO",IF(AND(ISNUMBER(R615),R615=TODAY()),"🟡 VENCE HOJE",IF(AND(P615&lt;&gt;"",S615=""),"🟡 PENDÊNCIA ABERTA",IF(AND(N(J615)&gt;0,N(K615)&lt;J615),"🟡 FALTA EXECUTAR",IF(OR(M615="PENDENTE",M615="PARCIAL"),"🟡 FATURAMENTO PENDENTE","🟡 EMBARQUE PENDENTE")))))))))))</f>
        <v/>
      </c>
      <c r="D615" s="4" t="n">
        <v>46263</v>
      </c>
      <c r="E615" s="5" t="inlineStr">
        <is>
          <t>B</t>
        </is>
      </c>
      <c r="F615" s="5" t="inlineStr">
        <is>
          <t>THIAGO</t>
        </is>
      </c>
      <c r="G615" s="5" t="inlineStr">
        <is>
          <t>FLOOR</t>
        </is>
      </c>
      <c r="H615" s="5" t="n"/>
      <c r="I615" s="5" t="inlineStr">
        <is>
          <t>PALETE</t>
        </is>
      </c>
      <c r="J615" s="6" t="n">
        <v>73</v>
      </c>
      <c r="K615" s="6" t="n">
        <v>73</v>
      </c>
      <c r="L615" s="7">
        <f>IF(OR(D615="",N(J615)=0),"",MIN(1,N(K615)/J615))</f>
        <v/>
      </c>
      <c r="M615" s="5" t="n"/>
      <c r="N615" s="5" t="n"/>
      <c r="O615" s="5" t="n"/>
      <c r="P615" s="5" t="n"/>
      <c r="Q615" s="5" t="n"/>
      <c r="R615" s="4" t="n"/>
      <c r="S615" s="4" t="n"/>
      <c r="T615" s="5" t="n"/>
      <c r="U615" s="8">
        <f>IF(AND(V615=1,D615&lt;&gt;""),IF(D615&gt;=corte,TODAY()-D615,""),"")</f>
        <v/>
      </c>
      <c r="V615" s="8">
        <f>IF(D615="",0,IF(OR(AND(P615&lt;&gt;"",S615=""),AND(N(J615)&gt;0,N(K615)&lt;J615),OR(M615="PENDENTE",M615="PARCIAL"),OR(N615="PENDENTE",N615="PARCIAL")),1,0))</f>
        <v/>
      </c>
      <c r="W615" s="8">
        <f>IF(AND(V615=1,D615&lt;&gt;""),IF(D615&gt;=corte,(B615="CRÍTICO")*1E9+(100000-D615)*10000+10000-ROW(),""),"")</f>
        <v/>
      </c>
      <c r="X615" s="8">
        <f>IF(AND(V615=1,D615=pas_data,E615=pas_turno),10000-ROW(),"")</f>
        <v/>
      </c>
    </row>
    <row r="616">
      <c r="A616" s="3">
        <f>IF(D616="","","TT-"&amp;TEXT(ROW()-1,"00000"))</f>
        <v/>
      </c>
      <c r="B616" s="3">
        <f>IF(D616="","",IF(V616=0,"CONCLUÍDO",IF(D616&lt;corte,"HISTÓRICO",IF(OR(AND(ISNUMBER(R616),R616&lt;TODAY()),AND(OR(N616="PENDENTE",N616="PARCIAL"),D616&lt;TODAY()-1)),"CRÍTICO",IF(OR(AND(P616&lt;&gt;"",S616=""),AND(N616="REALIZADO",M616="PENDENTE"),AND(ISNUMBER(R616),R616=TODAY())),"ATENÇÃO",IF(N(K616)=0,"PENDENTE","EM ANDAMENTO"))))))</f>
        <v/>
      </c>
      <c r="C616" s="3">
        <f>IF(D616="","",IF(V616=0,"🟢 OK",IF(D616&lt;corte,"⚪ HISTÓRICO (sem baixa)",IF(AND(ISNUMBER(R616),R616&lt;TODAY()),"🔴 PRAZO VENCIDO",IF(AND(OR(N616="PENDENTE",N616="PARCIAL"),D616&lt;TODAY()-1),"🔴 EMBARQUE ATRASADO",IF(AND(N616="REALIZADO",M616="PENDENTE"),"🟡 EMBARCADO SEM FATURAR",IF(AND(P616&lt;&gt;"",S616="",OR(Q616="",R616="")),"🟡 PENDÊNCIA SEM RESPONSÁVEL/PRAZO",IF(AND(ISNUMBER(R616),R616=TODAY()),"🟡 VENCE HOJE",IF(AND(P616&lt;&gt;"",S616=""),"🟡 PENDÊNCIA ABERTA",IF(AND(N(J616)&gt;0,N(K616)&lt;J616),"🟡 FALTA EXECUTAR",IF(OR(M616="PENDENTE",M616="PARCIAL"),"🟡 FATURAMENTO PENDENTE","🟡 EMBARQUE PENDENTE")))))))))))</f>
        <v/>
      </c>
      <c r="D616" s="4" t="n">
        <v>46264</v>
      </c>
      <c r="E616" s="5" t="inlineStr">
        <is>
          <t>A</t>
        </is>
      </c>
      <c r="F616" s="5" t="inlineStr">
        <is>
          <t>TATIANE</t>
        </is>
      </c>
      <c r="G616" s="5" t="inlineStr">
        <is>
          <t>CACAU</t>
        </is>
      </c>
      <c r="H616" s="5" t="inlineStr">
        <is>
          <t>TRANSFERENCIA CACAU</t>
        </is>
      </c>
      <c r="I616" s="5" t="inlineStr">
        <is>
          <t>TON</t>
        </is>
      </c>
      <c r="J616" s="6" t="n">
        <v>4.9</v>
      </c>
      <c r="K616" s="6" t="n">
        <v>4.9</v>
      </c>
      <c r="L616" s="7">
        <f>IF(OR(D616="",N(J616)=0),"",MIN(1,N(K616)/J616))</f>
        <v/>
      </c>
      <c r="M616" s="5" t="inlineStr">
        <is>
          <t>FATURADO</t>
        </is>
      </c>
      <c r="N616" s="5" t="inlineStr">
        <is>
          <t>REALIZADO</t>
        </is>
      </c>
      <c r="O616" s="5" t="inlineStr">
        <is>
          <t>SMARTLOG</t>
        </is>
      </c>
      <c r="P616" s="5" t="n"/>
      <c r="Q616" s="5" t="n"/>
      <c r="R616" s="4" t="n"/>
      <c r="S616" s="4" t="n"/>
      <c r="T616" s="5" t="inlineStr">
        <is>
          <t>[MIGRAÇÃO: programação original: SEPARAÇÃO CACAU]</t>
        </is>
      </c>
      <c r="U616" s="8">
        <f>IF(AND(V616=1,D616&lt;&gt;""),IF(D616&gt;=corte,TODAY()-D616,""),"")</f>
        <v/>
      </c>
      <c r="V616" s="8">
        <f>IF(D616="",0,IF(OR(AND(P616&lt;&gt;"",S616=""),AND(N(J616)&gt;0,N(K616)&lt;J616),OR(M616="PENDENTE",M616="PARCIAL"),OR(N616="PENDENTE",N616="PARCIAL")),1,0))</f>
        <v/>
      </c>
      <c r="W616" s="8">
        <f>IF(AND(V616=1,D616&lt;&gt;""),IF(D616&gt;=corte,(B616="CRÍTICO")*1E9+(100000-D616)*10000+10000-ROW(),""),"")</f>
        <v/>
      </c>
      <c r="X616" s="8">
        <f>IF(AND(V616=1,D616=pas_data,E616=pas_turno),10000-ROW(),"")</f>
        <v/>
      </c>
    </row>
    <row r="617">
      <c r="A617" s="3">
        <f>IF(D617="","","TT-"&amp;TEXT(ROW()-1,"00000"))</f>
        <v/>
      </c>
      <c r="B617" s="3">
        <f>IF(D617="","",IF(V617=0,"CONCLUÍDO",IF(D617&lt;corte,"HISTÓRICO",IF(OR(AND(ISNUMBER(R617),R617&lt;TODAY()),AND(OR(N617="PENDENTE",N617="PARCIAL"),D617&lt;TODAY()-1)),"CRÍTICO",IF(OR(AND(P617&lt;&gt;"",S617=""),AND(N617="REALIZADO",M617="PENDENTE"),AND(ISNUMBER(R617),R617=TODAY())),"ATENÇÃO",IF(N(K617)=0,"PENDENTE","EM ANDAMENTO"))))))</f>
        <v/>
      </c>
      <c r="C617" s="3">
        <f>IF(D617="","",IF(V617=0,"🟢 OK",IF(D617&lt;corte,"⚪ HISTÓRICO (sem baixa)",IF(AND(ISNUMBER(R617),R617&lt;TODAY()),"🔴 PRAZO VENCIDO",IF(AND(OR(N617="PENDENTE",N617="PARCIAL"),D617&lt;TODAY()-1),"🔴 EMBARQUE ATRASADO",IF(AND(N617="REALIZADO",M617="PENDENTE"),"🟡 EMBARCADO SEM FATURAR",IF(AND(P617&lt;&gt;"",S617="",OR(Q617="",R617="")),"🟡 PENDÊNCIA SEM RESPONSÁVEL/PRAZO",IF(AND(ISNUMBER(R617),R617=TODAY()),"🟡 VENCE HOJE",IF(AND(P617&lt;&gt;"",S617=""),"🟡 PENDÊNCIA ABERTA",IF(AND(N(J617)&gt;0,N(K617)&lt;J617),"🟡 FALTA EXECUTAR",IF(OR(M617="PENDENTE",M617="PARCIAL"),"🟡 FATURAMENTO PENDENTE","🟡 EMBARQUE PENDENTE")))))))))))</f>
        <v/>
      </c>
      <c r="D617" s="4" t="n">
        <v>46264</v>
      </c>
      <c r="E617" s="5" t="inlineStr">
        <is>
          <t>A</t>
        </is>
      </c>
      <c r="F617" s="5" t="inlineStr">
        <is>
          <t>TATIANE</t>
        </is>
      </c>
      <c r="G617" s="5" t="inlineStr">
        <is>
          <t>CACAU</t>
        </is>
      </c>
      <c r="H617" s="5" t="inlineStr">
        <is>
          <t>CACAU</t>
        </is>
      </c>
      <c r="I617" s="5" t="inlineStr">
        <is>
          <t>TON</t>
        </is>
      </c>
      <c r="J617" s="6" t="n">
        <v>2.5</v>
      </c>
      <c r="K617" s="6" t="n">
        <v>2.5</v>
      </c>
      <c r="L617" s="7">
        <f>IF(OR(D617="",N(J617)=0),"",MIN(1,N(K617)/J617))</f>
        <v/>
      </c>
      <c r="M617" s="5" t="inlineStr">
        <is>
          <t>PARCIAL</t>
        </is>
      </c>
      <c r="N617" s="5" t="inlineStr">
        <is>
          <t>PARCIAL</t>
        </is>
      </c>
      <c r="O617" s="5" t="inlineStr">
        <is>
          <t>SMARTLOG</t>
        </is>
      </c>
      <c r="P617" s="5" t="n"/>
      <c r="Q617" s="5" t="n"/>
      <c r="R617" s="4" t="n"/>
      <c r="S617" s="4" t="n"/>
      <c r="T617" s="5" t="inlineStr">
        <is>
          <t>[MIGRAÇÃO: programação original: SEPARAÇÃO CACAU]</t>
        </is>
      </c>
      <c r="U617" s="8">
        <f>IF(AND(V617=1,D617&lt;&gt;""),IF(D617&gt;=corte,TODAY()-D617,""),"")</f>
        <v/>
      </c>
      <c r="V617" s="8">
        <f>IF(D617="",0,IF(OR(AND(P617&lt;&gt;"",S617=""),AND(N(J617)&gt;0,N(K617)&lt;J617),OR(M617="PENDENTE",M617="PARCIAL"),OR(N617="PENDENTE",N617="PARCIAL")),1,0))</f>
        <v/>
      </c>
      <c r="W617" s="8">
        <f>IF(AND(V617=1,D617&lt;&gt;""),IF(D617&gt;=corte,(B617="CRÍTICO")*1E9+(100000-D617)*10000+10000-ROW(),""),"")</f>
        <v/>
      </c>
      <c r="X617" s="8">
        <f>IF(AND(V617=1,D617=pas_data,E617=pas_turno),10000-ROW(),"")</f>
        <v/>
      </c>
    </row>
    <row r="618">
      <c r="A618" s="3">
        <f>IF(D618="","","TT-"&amp;TEXT(ROW()-1,"00000"))</f>
        <v/>
      </c>
      <c r="B618" s="3">
        <f>IF(D618="","",IF(V618=0,"CONCLUÍDO",IF(D618&lt;corte,"HISTÓRICO",IF(OR(AND(ISNUMBER(R618),R618&lt;TODAY()),AND(OR(N618="PENDENTE",N618="PARCIAL"),D618&lt;TODAY()-1)),"CRÍTICO",IF(OR(AND(P618&lt;&gt;"",S618=""),AND(N618="REALIZADO",M618="PENDENTE"),AND(ISNUMBER(R618),R618=TODAY())),"ATENÇÃO",IF(N(K618)=0,"PENDENTE","EM ANDAMENTO"))))))</f>
        <v/>
      </c>
      <c r="C618" s="3">
        <f>IF(D618="","",IF(V618=0,"🟢 OK",IF(D618&lt;corte,"⚪ HISTÓRICO (sem baixa)",IF(AND(ISNUMBER(R618),R618&lt;TODAY()),"🔴 PRAZO VENCIDO",IF(AND(OR(N618="PENDENTE",N618="PARCIAL"),D618&lt;TODAY()-1),"🔴 EMBARQUE ATRASADO",IF(AND(N618="REALIZADO",M618="PENDENTE"),"🟡 EMBARCADO SEM FATURAR",IF(AND(P618&lt;&gt;"",S618="",OR(Q618="",R618="")),"🟡 PENDÊNCIA SEM RESPONSÁVEL/PRAZO",IF(AND(ISNUMBER(R618),R618=TODAY()),"🟡 VENCE HOJE",IF(AND(P618&lt;&gt;"",S618=""),"🟡 PENDÊNCIA ABERTA",IF(AND(N(J618)&gt;0,N(K618)&lt;J618),"🟡 FALTA EXECUTAR",IF(OR(M618="PENDENTE",M618="PARCIAL"),"🟡 FATURAMENTO PENDENTE","🟡 EMBARQUE PENDENTE")))))))))))</f>
        <v/>
      </c>
      <c r="D618" s="4" t="n">
        <v>46264</v>
      </c>
      <c r="E618" s="5" t="inlineStr">
        <is>
          <t>A</t>
        </is>
      </c>
      <c r="F618" s="5" t="inlineStr">
        <is>
          <t>TATIANE</t>
        </is>
      </c>
      <c r="G618" s="5" t="inlineStr">
        <is>
          <t>FOB</t>
        </is>
      </c>
      <c r="H618" s="5" t="inlineStr">
        <is>
          <t>DISCPAMP</t>
        </is>
      </c>
      <c r="I618" s="5" t="inlineStr">
        <is>
          <t>TON</t>
        </is>
      </c>
      <c r="J618" s="6" t="n">
        <v>7.077</v>
      </c>
      <c r="K618" s="6" t="n">
        <v>7.077</v>
      </c>
      <c r="L618" s="7">
        <f>IF(OR(D618="",N(J618)=0),"",MIN(1,N(K618)/J618))</f>
        <v/>
      </c>
      <c r="M618" s="5" t="inlineStr">
        <is>
          <t>FATURADO</t>
        </is>
      </c>
      <c r="N618" s="5" t="inlineStr">
        <is>
          <t>REALIZADO</t>
        </is>
      </c>
      <c r="O618" s="5" t="inlineStr">
        <is>
          <t>PRÓPRIO</t>
        </is>
      </c>
      <c r="P618" s="5" t="n"/>
      <c r="Q618" s="5" t="n"/>
      <c r="R618" s="4" t="n"/>
      <c r="S618" s="4" t="n"/>
      <c r="T618" s="5" t="n"/>
      <c r="U618" s="8">
        <f>IF(AND(V618=1,D618&lt;&gt;""),IF(D618&gt;=corte,TODAY()-D618,""),"")</f>
        <v/>
      </c>
      <c r="V618" s="8">
        <f>IF(D618="",0,IF(OR(AND(P618&lt;&gt;"",S618=""),AND(N(J618)&gt;0,N(K618)&lt;J618),OR(M618="PENDENTE",M618="PARCIAL"),OR(N618="PENDENTE",N618="PARCIAL")),1,0))</f>
        <v/>
      </c>
      <c r="W618" s="8">
        <f>IF(AND(V618=1,D618&lt;&gt;""),IF(D618&gt;=corte,(B618="CRÍTICO")*1E9+(100000-D618)*10000+10000-ROW(),""),"")</f>
        <v/>
      </c>
      <c r="X618" s="8">
        <f>IF(AND(V618=1,D618=pas_data,E618=pas_turno),10000-ROW(),"")</f>
        <v/>
      </c>
    </row>
    <row r="619">
      <c r="A619" s="3">
        <f>IF(D619="","","TT-"&amp;TEXT(ROW()-1,"00000"))</f>
        <v/>
      </c>
      <c r="B619" s="3">
        <f>IF(D619="","",IF(V619=0,"CONCLUÍDO",IF(D619&lt;corte,"HISTÓRICO",IF(OR(AND(ISNUMBER(R619),R619&lt;TODAY()),AND(OR(N619="PENDENTE",N619="PARCIAL"),D619&lt;TODAY()-1)),"CRÍTICO",IF(OR(AND(P619&lt;&gt;"",S619=""),AND(N619="REALIZADO",M619="PENDENTE"),AND(ISNUMBER(R619),R619=TODAY())),"ATENÇÃO",IF(N(K619)=0,"PENDENTE","EM ANDAMENTO"))))))</f>
        <v/>
      </c>
      <c r="C619" s="3">
        <f>IF(D619="","",IF(V619=0,"🟢 OK",IF(D619&lt;corte,"⚪ HISTÓRICO (sem baixa)",IF(AND(ISNUMBER(R619),R619&lt;TODAY()),"🔴 PRAZO VENCIDO",IF(AND(OR(N619="PENDENTE",N619="PARCIAL"),D619&lt;TODAY()-1),"🔴 EMBARQUE ATRASADO",IF(AND(N619="REALIZADO",M619="PENDENTE"),"🟡 EMBARCADO SEM FATURAR",IF(AND(P619&lt;&gt;"",S619="",OR(Q619="",R619="")),"🟡 PENDÊNCIA SEM RESPONSÁVEL/PRAZO",IF(AND(ISNUMBER(R619),R619=TODAY()),"🟡 VENCE HOJE",IF(AND(P619&lt;&gt;"",S619=""),"🟡 PENDÊNCIA ABERTA",IF(AND(N(J619)&gt;0,N(K619)&lt;J619),"🟡 FALTA EXECUTAR",IF(OR(M619="PENDENTE",M619="PARCIAL"),"🟡 FATURAMENTO PENDENTE","🟡 EMBARQUE PENDENTE")))))))))))</f>
        <v/>
      </c>
      <c r="D619" s="4" t="n">
        <v>46264</v>
      </c>
      <c r="E619" s="5" t="inlineStr">
        <is>
          <t>A</t>
        </is>
      </c>
      <c r="F619" s="5" t="inlineStr">
        <is>
          <t>TATIANE</t>
        </is>
      </c>
      <c r="G619" s="5" t="inlineStr">
        <is>
          <t>FOB</t>
        </is>
      </c>
      <c r="H619" s="5" t="inlineStr">
        <is>
          <t>CUNHAPAN</t>
        </is>
      </c>
      <c r="I619" s="5" t="inlineStr">
        <is>
          <t>TON</t>
        </is>
      </c>
      <c r="J619" s="6" t="n">
        <v>8.321999999999999</v>
      </c>
      <c r="K619" s="6" t="n">
        <v>8.321999999999999</v>
      </c>
      <c r="L619" s="7">
        <f>IF(OR(D619="",N(J619)=0),"",MIN(1,N(K619)/J619))</f>
        <v/>
      </c>
      <c r="M619" s="5" t="inlineStr">
        <is>
          <t>FATURADO</t>
        </is>
      </c>
      <c r="N619" s="5" t="inlineStr">
        <is>
          <t>REALIZADO</t>
        </is>
      </c>
      <c r="O619" s="5" t="inlineStr">
        <is>
          <t>PRÓPRIO</t>
        </is>
      </c>
      <c r="P619" s="5" t="n"/>
      <c r="Q619" s="5" t="n"/>
      <c r="R619" s="4" t="n"/>
      <c r="S619" s="4" t="n"/>
      <c r="T619" s="5" t="n"/>
      <c r="U619" s="8">
        <f>IF(AND(V619=1,D619&lt;&gt;""),IF(D619&gt;=corte,TODAY()-D619,""),"")</f>
        <v/>
      </c>
      <c r="V619" s="8">
        <f>IF(D619="",0,IF(OR(AND(P619&lt;&gt;"",S619=""),AND(N(J619)&gt;0,N(K619)&lt;J619),OR(M619="PENDENTE",M619="PARCIAL"),OR(N619="PENDENTE",N619="PARCIAL")),1,0))</f>
        <v/>
      </c>
      <c r="W619" s="8">
        <f>IF(AND(V619=1,D619&lt;&gt;""),IF(D619&gt;=corte,(B619="CRÍTICO")*1E9+(100000-D619)*10000+10000-ROW(),""),"")</f>
        <v/>
      </c>
      <c r="X619" s="8">
        <f>IF(AND(V619=1,D619=pas_data,E619=pas_turno),10000-ROW(),"")</f>
        <v/>
      </c>
    </row>
    <row r="620">
      <c r="A620" s="3">
        <f>IF(D620="","","TT-"&amp;TEXT(ROW()-1,"00000"))</f>
        <v/>
      </c>
      <c r="B620" s="3">
        <f>IF(D620="","",IF(V620=0,"CONCLUÍDO",IF(D620&lt;corte,"HISTÓRICO",IF(OR(AND(ISNUMBER(R620),R620&lt;TODAY()),AND(OR(N620="PENDENTE",N620="PARCIAL"),D620&lt;TODAY()-1)),"CRÍTICO",IF(OR(AND(P620&lt;&gt;"",S620=""),AND(N620="REALIZADO",M620="PENDENTE"),AND(ISNUMBER(R620),R620=TODAY())),"ATENÇÃO",IF(N(K620)=0,"PENDENTE","EM ANDAMENTO"))))))</f>
        <v/>
      </c>
      <c r="C620" s="3">
        <f>IF(D620="","",IF(V620=0,"🟢 OK",IF(D620&lt;corte,"⚪ HISTÓRICO (sem baixa)",IF(AND(ISNUMBER(R620),R620&lt;TODAY()),"🔴 PRAZO VENCIDO",IF(AND(OR(N620="PENDENTE",N620="PARCIAL"),D620&lt;TODAY()-1),"🔴 EMBARQUE ATRASADO",IF(AND(N620="REALIZADO",M620="PENDENTE"),"🟡 EMBARCADO SEM FATURAR",IF(AND(P620&lt;&gt;"",S620="",OR(Q620="",R620="")),"🟡 PENDÊNCIA SEM RESPONSÁVEL/PRAZO",IF(AND(ISNUMBER(R620),R620=TODAY()),"🟡 VENCE HOJE",IF(AND(P620&lt;&gt;"",S620=""),"🟡 PENDÊNCIA ABERTA",IF(AND(N(J620)&gt;0,N(K620)&lt;J620),"🟡 FALTA EXECUTAR",IF(OR(M620="PENDENTE",M620="PARCIAL"),"🟡 FATURAMENTO PENDENTE","🟡 EMBARQUE PENDENTE")))))))))))</f>
        <v/>
      </c>
      <c r="D620" s="4" t="n">
        <v>46264</v>
      </c>
      <c r="E620" s="5" t="inlineStr">
        <is>
          <t>A</t>
        </is>
      </c>
      <c r="F620" s="5" t="inlineStr">
        <is>
          <t>TATIANE</t>
        </is>
      </c>
      <c r="G620" s="5" t="inlineStr">
        <is>
          <t>FOB</t>
        </is>
      </c>
      <c r="H620" s="5" t="inlineStr">
        <is>
          <t>CUNHAPAN</t>
        </is>
      </c>
      <c r="I620" s="5" t="inlineStr">
        <is>
          <t>TON</t>
        </is>
      </c>
      <c r="J620" s="6" t="n">
        <v>21.184</v>
      </c>
      <c r="K620" s="6" t="n">
        <v>21.184</v>
      </c>
      <c r="L620" s="7">
        <f>IF(OR(D620="",N(J620)=0),"",MIN(1,N(K620)/J620))</f>
        <v/>
      </c>
      <c r="M620" s="5" t="inlineStr">
        <is>
          <t>FATURADO</t>
        </is>
      </c>
      <c r="N620" s="5" t="inlineStr">
        <is>
          <t>REALIZADO</t>
        </is>
      </c>
      <c r="O620" s="5" t="inlineStr">
        <is>
          <t>PRÓPRIO</t>
        </is>
      </c>
      <c r="P620" s="5" t="n"/>
      <c r="Q620" s="5" t="n"/>
      <c r="R620" s="4" t="n"/>
      <c r="S620" s="4" t="n"/>
      <c r="T620" s="5" t="n"/>
      <c r="U620" s="8">
        <f>IF(AND(V620=1,D620&lt;&gt;""),IF(D620&gt;=corte,TODAY()-D620,""),"")</f>
        <v/>
      </c>
      <c r="V620" s="8">
        <f>IF(D620="",0,IF(OR(AND(P620&lt;&gt;"",S620=""),AND(N(J620)&gt;0,N(K620)&lt;J620),OR(M620="PENDENTE",M620="PARCIAL"),OR(N620="PENDENTE",N620="PARCIAL")),1,0))</f>
        <v/>
      </c>
      <c r="W620" s="8">
        <f>IF(AND(V620=1,D620&lt;&gt;""),IF(D620&gt;=corte,(B620="CRÍTICO")*1E9+(100000-D620)*10000+10000-ROW(),""),"")</f>
        <v/>
      </c>
      <c r="X620" s="8">
        <f>IF(AND(V620=1,D620=pas_data,E620=pas_turno),10000-ROW(),"")</f>
        <v/>
      </c>
    </row>
    <row r="621">
      <c r="A621" s="3">
        <f>IF(D621="","","TT-"&amp;TEXT(ROW()-1,"00000"))</f>
        <v/>
      </c>
      <c r="B621" s="3">
        <f>IF(D621="","",IF(V621=0,"CONCLUÍDO",IF(D621&lt;corte,"HISTÓRICO",IF(OR(AND(ISNUMBER(R621),R621&lt;TODAY()),AND(OR(N621="PENDENTE",N621="PARCIAL"),D621&lt;TODAY()-1)),"CRÍTICO",IF(OR(AND(P621&lt;&gt;"",S621=""),AND(N621="REALIZADO",M621="PENDENTE"),AND(ISNUMBER(R621),R621=TODAY())),"ATENÇÃO",IF(N(K621)=0,"PENDENTE","EM ANDAMENTO"))))))</f>
        <v/>
      </c>
      <c r="C621" s="3">
        <f>IF(D621="","",IF(V621=0,"🟢 OK",IF(D621&lt;corte,"⚪ HISTÓRICO (sem baixa)",IF(AND(ISNUMBER(R621),R621&lt;TODAY()),"🔴 PRAZO VENCIDO",IF(AND(OR(N621="PENDENTE",N621="PARCIAL"),D621&lt;TODAY()-1),"🔴 EMBARQUE ATRASADO",IF(AND(N621="REALIZADO",M621="PENDENTE"),"🟡 EMBARCADO SEM FATURAR",IF(AND(P621&lt;&gt;"",S621="",OR(Q621="",R621="")),"🟡 PENDÊNCIA SEM RESPONSÁVEL/PRAZO",IF(AND(ISNUMBER(R621),R621=TODAY()),"🟡 VENCE HOJE",IF(AND(P621&lt;&gt;"",S621=""),"🟡 PENDÊNCIA ABERTA",IF(AND(N(J621)&gt;0,N(K621)&lt;J621),"🟡 FALTA EXECUTAR",IF(OR(M621="PENDENTE",M621="PARCIAL"),"🟡 FATURAMENTO PENDENTE","🟡 EMBARQUE PENDENTE")))))))))))</f>
        <v/>
      </c>
      <c r="D621" s="4" t="n">
        <v>46264</v>
      </c>
      <c r="E621" s="5" t="inlineStr">
        <is>
          <t>A</t>
        </is>
      </c>
      <c r="F621" s="5" t="inlineStr">
        <is>
          <t>TATIANE</t>
        </is>
      </c>
      <c r="G621" s="5" t="inlineStr">
        <is>
          <t>FOB</t>
        </is>
      </c>
      <c r="H621" s="5" t="inlineStr">
        <is>
          <t>TOP CAU</t>
        </is>
      </c>
      <c r="I621" s="5" t="inlineStr">
        <is>
          <t>TON</t>
        </is>
      </c>
      <c r="J621" s="6" t="n">
        <v>0.314</v>
      </c>
      <c r="K621" s="6" t="n">
        <v>0.314</v>
      </c>
      <c r="L621" s="7">
        <f>IF(OR(D621="",N(J621)=0),"",MIN(1,N(K621)/J621))</f>
        <v/>
      </c>
      <c r="M621" s="5" t="inlineStr">
        <is>
          <t>FATURADO</t>
        </is>
      </c>
      <c r="N621" s="5" t="inlineStr">
        <is>
          <t>REALIZADO</t>
        </is>
      </c>
      <c r="O621" s="5" t="inlineStr">
        <is>
          <t>PRÓPRIO</t>
        </is>
      </c>
      <c r="P621" s="5" t="n"/>
      <c r="Q621" s="5" t="n"/>
      <c r="R621" s="4" t="n"/>
      <c r="S621" s="4" t="n"/>
      <c r="T621" s="5" t="n"/>
      <c r="U621" s="8">
        <f>IF(AND(V621=1,D621&lt;&gt;""),IF(D621&gt;=corte,TODAY()-D621,""),"")</f>
        <v/>
      </c>
      <c r="V621" s="8">
        <f>IF(D621="",0,IF(OR(AND(P621&lt;&gt;"",S621=""),AND(N(J621)&gt;0,N(K621)&lt;J621),OR(M621="PENDENTE",M621="PARCIAL"),OR(N621="PENDENTE",N621="PARCIAL")),1,0))</f>
        <v/>
      </c>
      <c r="W621" s="8">
        <f>IF(AND(V621=1,D621&lt;&gt;""),IF(D621&gt;=corte,(B621="CRÍTICO")*1E9+(100000-D621)*10000+10000-ROW(),""),"")</f>
        <v/>
      </c>
      <c r="X621" s="8">
        <f>IF(AND(V621=1,D621=pas_data,E621=pas_turno),10000-ROW(),"")</f>
        <v/>
      </c>
    </row>
    <row r="622">
      <c r="A622" s="3">
        <f>IF(D622="","","TT-"&amp;TEXT(ROW()-1,"00000"))</f>
        <v/>
      </c>
      <c r="B622" s="3">
        <f>IF(D622="","",IF(V622=0,"CONCLUÍDO",IF(D622&lt;corte,"HISTÓRICO",IF(OR(AND(ISNUMBER(R622),R622&lt;TODAY()),AND(OR(N622="PENDENTE",N622="PARCIAL"),D622&lt;TODAY()-1)),"CRÍTICO",IF(OR(AND(P622&lt;&gt;"",S622=""),AND(N622="REALIZADO",M622="PENDENTE"),AND(ISNUMBER(R622),R622=TODAY())),"ATENÇÃO",IF(N(K622)=0,"PENDENTE","EM ANDAMENTO"))))))</f>
        <v/>
      </c>
      <c r="C622" s="3">
        <f>IF(D622="","",IF(V622=0,"🟢 OK",IF(D622&lt;corte,"⚪ HISTÓRICO (sem baixa)",IF(AND(ISNUMBER(R622),R622&lt;TODAY()),"🔴 PRAZO VENCIDO",IF(AND(OR(N622="PENDENTE",N622="PARCIAL"),D622&lt;TODAY()-1),"🔴 EMBARQUE ATRASADO",IF(AND(N622="REALIZADO",M622="PENDENTE"),"🟡 EMBARCADO SEM FATURAR",IF(AND(P622&lt;&gt;"",S622="",OR(Q622="",R622="")),"🟡 PENDÊNCIA SEM RESPONSÁVEL/PRAZO",IF(AND(ISNUMBER(R622),R622=TODAY()),"🟡 VENCE HOJE",IF(AND(P622&lt;&gt;"",S622=""),"🟡 PENDÊNCIA ABERTA",IF(AND(N(J622)&gt;0,N(K622)&lt;J622),"🟡 FALTA EXECUTAR",IF(OR(M622="PENDENTE",M622="PARCIAL"),"🟡 FATURAMENTO PENDENTE","🟡 EMBARQUE PENDENTE")))))))))))</f>
        <v/>
      </c>
      <c r="D622" s="4" t="n">
        <v>46264</v>
      </c>
      <c r="E622" s="5" t="inlineStr">
        <is>
          <t>A</t>
        </is>
      </c>
      <c r="F622" s="5" t="inlineStr">
        <is>
          <t>TATIANE</t>
        </is>
      </c>
      <c r="G622" s="5" t="inlineStr">
        <is>
          <t>FM</t>
        </is>
      </c>
      <c r="H622" s="5" t="inlineStr">
        <is>
          <t>PANDURATA</t>
        </is>
      </c>
      <c r="I622" s="5" t="inlineStr">
        <is>
          <t>TON</t>
        </is>
      </c>
      <c r="J622" s="6" t="n">
        <v>24.52</v>
      </c>
      <c r="K622" s="6" t="n">
        <v>24.52</v>
      </c>
      <c r="L622" s="7">
        <f>IF(OR(D622="",N(J622)=0),"",MIN(1,N(K622)/J622))</f>
        <v/>
      </c>
      <c r="M622" s="5" t="inlineStr">
        <is>
          <t>PENDENTE</t>
        </is>
      </c>
      <c r="N622" s="5" t="inlineStr">
        <is>
          <t>PENDENTE</t>
        </is>
      </c>
      <c r="O622" s="5" t="inlineStr">
        <is>
          <t>SPEEDYLOG</t>
        </is>
      </c>
      <c r="P622" s="5" t="n"/>
      <c r="Q622" s="5" t="n"/>
      <c r="R622" s="4" t="n"/>
      <c r="S622" s="4" t="n"/>
      <c r="T622" s="5" t="inlineStr">
        <is>
          <t>SEPARADO</t>
        </is>
      </c>
      <c r="U622" s="8">
        <f>IF(AND(V622=1,D622&lt;&gt;""),IF(D622&gt;=corte,TODAY()-D622,""),"")</f>
        <v/>
      </c>
      <c r="V622" s="8">
        <f>IF(D622="",0,IF(OR(AND(P622&lt;&gt;"",S622=""),AND(N(J622)&gt;0,N(K622)&lt;J622),OR(M622="PENDENTE",M622="PARCIAL"),OR(N622="PENDENTE",N622="PARCIAL")),1,0))</f>
        <v/>
      </c>
      <c r="W622" s="8">
        <f>IF(AND(V622=1,D622&lt;&gt;""),IF(D622&gt;=corte,(B622="CRÍTICO")*1E9+(100000-D622)*10000+10000-ROW(),""),"")</f>
        <v/>
      </c>
      <c r="X622" s="8">
        <f>IF(AND(V622=1,D622=pas_data,E622=pas_turno),10000-ROW(),"")</f>
        <v/>
      </c>
    </row>
    <row r="623">
      <c r="A623" s="3">
        <f>IF(D623="","","TT-"&amp;TEXT(ROW()-1,"00000"))</f>
        <v/>
      </c>
      <c r="B623" s="3">
        <f>IF(D623="","",IF(V623=0,"CONCLUÍDO",IF(D623&lt;corte,"HISTÓRICO",IF(OR(AND(ISNUMBER(R623),R623&lt;TODAY()),AND(OR(N623="PENDENTE",N623="PARCIAL"),D623&lt;TODAY()-1)),"CRÍTICO",IF(OR(AND(P623&lt;&gt;"",S623=""),AND(N623="REALIZADO",M623="PENDENTE"),AND(ISNUMBER(R623),R623=TODAY())),"ATENÇÃO",IF(N(K623)=0,"PENDENTE","EM ANDAMENTO"))))))</f>
        <v/>
      </c>
      <c r="C623" s="3">
        <f>IF(D623="","",IF(V623=0,"🟢 OK",IF(D623&lt;corte,"⚪ HISTÓRICO (sem baixa)",IF(AND(ISNUMBER(R623),R623&lt;TODAY()),"🔴 PRAZO VENCIDO",IF(AND(OR(N623="PENDENTE",N623="PARCIAL"),D623&lt;TODAY()-1),"🔴 EMBARQUE ATRASADO",IF(AND(N623="REALIZADO",M623="PENDENTE"),"🟡 EMBARCADO SEM FATURAR",IF(AND(P623&lt;&gt;"",S623="",OR(Q623="",R623="")),"🟡 PENDÊNCIA SEM RESPONSÁVEL/PRAZO",IF(AND(ISNUMBER(R623),R623=TODAY()),"🟡 VENCE HOJE",IF(AND(P623&lt;&gt;"",S623=""),"🟡 PENDÊNCIA ABERTA",IF(AND(N(J623)&gt;0,N(K623)&lt;J623),"🟡 FALTA EXECUTAR",IF(OR(M623="PENDENTE",M623="PARCIAL"),"🟡 FATURAMENTO PENDENTE","🟡 EMBARQUE PENDENTE")))))))))))</f>
        <v/>
      </c>
      <c r="D623" s="4" t="n">
        <v>46264</v>
      </c>
      <c r="E623" s="5" t="inlineStr">
        <is>
          <t>A</t>
        </is>
      </c>
      <c r="F623" s="5" t="inlineStr">
        <is>
          <t>TATIANE</t>
        </is>
      </c>
      <c r="G623" s="5" t="inlineStr">
        <is>
          <t>FM</t>
        </is>
      </c>
      <c r="H623" s="5" t="inlineStr">
        <is>
          <t>PANDURATA</t>
        </is>
      </c>
      <c r="I623" s="5" t="inlineStr">
        <is>
          <t>TON</t>
        </is>
      </c>
      <c r="J623" s="6" t="n">
        <v>28.054</v>
      </c>
      <c r="K623" s="6" t="n">
        <v>28.054</v>
      </c>
      <c r="L623" s="7">
        <f>IF(OR(D623="",N(J623)=0),"",MIN(1,N(K623)/J623))</f>
        <v/>
      </c>
      <c r="M623" s="5" t="inlineStr">
        <is>
          <t>PENDENTE</t>
        </is>
      </c>
      <c r="N623" s="5" t="inlineStr">
        <is>
          <t>PENDENTE</t>
        </is>
      </c>
      <c r="O623" s="5" t="inlineStr">
        <is>
          <t>SPEEDYLOG</t>
        </is>
      </c>
      <c r="P623" s="5" t="n"/>
      <c r="Q623" s="5" t="n"/>
      <c r="R623" s="4" t="n"/>
      <c r="S623" s="4" t="n"/>
      <c r="T623" s="5" t="inlineStr">
        <is>
          <t>SEPARADO</t>
        </is>
      </c>
      <c r="U623" s="8">
        <f>IF(AND(V623=1,D623&lt;&gt;""),IF(D623&gt;=corte,TODAY()-D623,""),"")</f>
        <v/>
      </c>
      <c r="V623" s="8">
        <f>IF(D623="",0,IF(OR(AND(P623&lt;&gt;"",S623=""),AND(N(J623)&gt;0,N(K623)&lt;J623),OR(M623="PENDENTE",M623="PARCIAL"),OR(N623="PENDENTE",N623="PARCIAL")),1,0))</f>
        <v/>
      </c>
      <c r="W623" s="8">
        <f>IF(AND(V623=1,D623&lt;&gt;""),IF(D623&gt;=corte,(B623="CRÍTICO")*1E9+(100000-D623)*10000+10000-ROW(),""),"")</f>
        <v/>
      </c>
      <c r="X623" s="8">
        <f>IF(AND(V623=1,D623=pas_data,E623=pas_turno),10000-ROW(),"")</f>
        <v/>
      </c>
    </row>
    <row r="624">
      <c r="A624" s="3">
        <f>IF(D624="","","TT-"&amp;TEXT(ROW()-1,"00000"))</f>
        <v/>
      </c>
      <c r="B624" s="3">
        <f>IF(D624="","",IF(V624=0,"CONCLUÍDO",IF(D624&lt;corte,"HISTÓRICO",IF(OR(AND(ISNUMBER(R624),R624&lt;TODAY()),AND(OR(N624="PENDENTE",N624="PARCIAL"),D624&lt;TODAY()-1)),"CRÍTICO",IF(OR(AND(P624&lt;&gt;"",S624=""),AND(N624="REALIZADO",M624="PENDENTE"),AND(ISNUMBER(R624),R624=TODAY())),"ATENÇÃO",IF(N(K624)=0,"PENDENTE","EM ANDAMENTO"))))))</f>
        <v/>
      </c>
      <c r="C624" s="3">
        <f>IF(D624="","",IF(V624=0,"🟢 OK",IF(D624&lt;corte,"⚪ HISTÓRICO (sem baixa)",IF(AND(ISNUMBER(R624),R624&lt;TODAY()),"🔴 PRAZO VENCIDO",IF(AND(OR(N624="PENDENTE",N624="PARCIAL"),D624&lt;TODAY()-1),"🔴 EMBARQUE ATRASADO",IF(AND(N624="REALIZADO",M624="PENDENTE"),"🟡 EMBARCADO SEM FATURAR",IF(AND(P624&lt;&gt;"",S624="",OR(Q624="",R624="")),"🟡 PENDÊNCIA SEM RESPONSÁVEL/PRAZO",IF(AND(ISNUMBER(R624),R624=TODAY()),"🟡 VENCE HOJE",IF(AND(P624&lt;&gt;"",S624=""),"🟡 PENDÊNCIA ABERTA",IF(AND(N(J624)&gt;0,N(K624)&lt;J624),"🟡 FALTA EXECUTAR",IF(OR(M624="PENDENTE",M624="PARCIAL"),"🟡 FATURAMENTO PENDENTE","🟡 EMBARQUE PENDENTE")))))))))))</f>
        <v/>
      </c>
      <c r="D624" s="4" t="n">
        <v>46264</v>
      </c>
      <c r="E624" s="5" t="inlineStr">
        <is>
          <t>A</t>
        </is>
      </c>
      <c r="F624" s="5" t="inlineStr">
        <is>
          <t>TATIANE</t>
        </is>
      </c>
      <c r="G624" s="5" t="inlineStr">
        <is>
          <t>FM</t>
        </is>
      </c>
      <c r="H624" s="5" t="inlineStr">
        <is>
          <t>PANDURATA</t>
        </is>
      </c>
      <c r="I624" s="5" t="inlineStr">
        <is>
          <t>TON</t>
        </is>
      </c>
      <c r="J624" s="6" t="n">
        <v>28.054</v>
      </c>
      <c r="K624" s="6" t="n">
        <v>28.054</v>
      </c>
      <c r="L624" s="7">
        <f>IF(OR(D624="",N(J624)=0),"",MIN(1,N(K624)/J624))</f>
        <v/>
      </c>
      <c r="M624" s="5" t="inlineStr">
        <is>
          <t>PENDENTE</t>
        </is>
      </c>
      <c r="N624" s="5" t="inlineStr">
        <is>
          <t>PENDENTE</t>
        </is>
      </c>
      <c r="O624" s="5" t="inlineStr">
        <is>
          <t>SPEEDYLOG</t>
        </is>
      </c>
      <c r="P624" s="5" t="n"/>
      <c r="Q624" s="5" t="n"/>
      <c r="R624" s="4" t="n"/>
      <c r="S624" s="4" t="n"/>
      <c r="T624" s="5" t="inlineStr">
        <is>
          <t>SEPARADO</t>
        </is>
      </c>
      <c r="U624" s="8">
        <f>IF(AND(V624=1,D624&lt;&gt;""),IF(D624&gt;=corte,TODAY()-D624,""),"")</f>
        <v/>
      </c>
      <c r="V624" s="8">
        <f>IF(D624="",0,IF(OR(AND(P624&lt;&gt;"",S624=""),AND(N(J624)&gt;0,N(K624)&lt;J624),OR(M624="PENDENTE",M624="PARCIAL"),OR(N624="PENDENTE",N624="PARCIAL")),1,0))</f>
        <v/>
      </c>
      <c r="W624" s="8">
        <f>IF(AND(V624=1,D624&lt;&gt;""),IF(D624&gt;=corte,(B624="CRÍTICO")*1E9+(100000-D624)*10000+10000-ROW(),""),"")</f>
        <v/>
      </c>
      <c r="X624" s="8">
        <f>IF(AND(V624=1,D624=pas_data,E624=pas_turno),10000-ROW(),"")</f>
        <v/>
      </c>
    </row>
    <row r="625">
      <c r="A625" s="3">
        <f>IF(D625="","","TT-"&amp;TEXT(ROW()-1,"00000"))</f>
        <v/>
      </c>
      <c r="B625" s="3">
        <f>IF(D625="","",IF(V625=0,"CONCLUÍDO",IF(D625&lt;corte,"HISTÓRICO",IF(OR(AND(ISNUMBER(R625),R625&lt;TODAY()),AND(OR(N625="PENDENTE",N625="PARCIAL"),D625&lt;TODAY()-1)),"CRÍTICO",IF(OR(AND(P625&lt;&gt;"",S625=""),AND(N625="REALIZADO",M625="PENDENTE"),AND(ISNUMBER(R625),R625=TODAY())),"ATENÇÃO",IF(N(K625)=0,"PENDENTE","EM ANDAMENTO"))))))</f>
        <v/>
      </c>
      <c r="C625" s="3">
        <f>IF(D625="","",IF(V625=0,"🟢 OK",IF(D625&lt;corte,"⚪ HISTÓRICO (sem baixa)",IF(AND(ISNUMBER(R625),R625&lt;TODAY()),"🔴 PRAZO VENCIDO",IF(AND(OR(N625="PENDENTE",N625="PARCIAL"),D625&lt;TODAY()-1),"🔴 EMBARQUE ATRASADO",IF(AND(N625="REALIZADO",M625="PENDENTE"),"🟡 EMBARCADO SEM FATURAR",IF(AND(P625&lt;&gt;"",S625="",OR(Q625="",R625="")),"🟡 PENDÊNCIA SEM RESPONSÁVEL/PRAZO",IF(AND(ISNUMBER(R625),R625=TODAY()),"🟡 VENCE HOJE",IF(AND(P625&lt;&gt;"",S625=""),"🟡 PENDÊNCIA ABERTA",IF(AND(N(J625)&gt;0,N(K625)&lt;J625),"🟡 FALTA EXECUTAR",IF(OR(M625="PENDENTE",M625="PARCIAL"),"🟡 FATURAMENTO PENDENTE","🟡 EMBARQUE PENDENTE")))))))))))</f>
        <v/>
      </c>
      <c r="D625" s="4" t="n">
        <v>46264</v>
      </c>
      <c r="E625" s="5" t="inlineStr">
        <is>
          <t>A</t>
        </is>
      </c>
      <c r="F625" s="5" t="inlineStr">
        <is>
          <t>TATIANE</t>
        </is>
      </c>
      <c r="G625" s="5" t="inlineStr">
        <is>
          <t>FM</t>
        </is>
      </c>
      <c r="H625" s="5" t="inlineStr">
        <is>
          <t>IBAE</t>
        </is>
      </c>
      <c r="I625" s="5" t="inlineStr">
        <is>
          <t>TON</t>
        </is>
      </c>
      <c r="J625" s="6" t="n">
        <v>19.422</v>
      </c>
      <c r="K625" s="6" t="n">
        <v>19.422</v>
      </c>
      <c r="L625" s="7">
        <f>IF(OR(D625="",N(J625)=0),"",MIN(1,N(K625)/J625))</f>
        <v/>
      </c>
      <c r="M625" s="5" t="inlineStr">
        <is>
          <t>PENDENTE</t>
        </is>
      </c>
      <c r="N625" s="5" t="inlineStr">
        <is>
          <t>PENDENTE</t>
        </is>
      </c>
      <c r="O625" s="5" t="inlineStr">
        <is>
          <t>SPEEDYLOG</t>
        </is>
      </c>
      <c r="P625" s="5" t="n"/>
      <c r="Q625" s="5" t="n"/>
      <c r="R625" s="4" t="n"/>
      <c r="S625" s="4" t="n"/>
      <c r="T625" s="5" t="inlineStr">
        <is>
          <t>SEPARADO</t>
        </is>
      </c>
      <c r="U625" s="8">
        <f>IF(AND(V625=1,D625&lt;&gt;""),IF(D625&gt;=corte,TODAY()-D625,""),"")</f>
        <v/>
      </c>
      <c r="V625" s="8">
        <f>IF(D625="",0,IF(OR(AND(P625&lt;&gt;"",S625=""),AND(N(J625)&gt;0,N(K625)&lt;J625),OR(M625="PENDENTE",M625="PARCIAL"),OR(N625="PENDENTE",N625="PARCIAL")),1,0))</f>
        <v/>
      </c>
      <c r="W625" s="8">
        <f>IF(AND(V625=1,D625&lt;&gt;""),IF(D625&gt;=corte,(B625="CRÍTICO")*1E9+(100000-D625)*10000+10000-ROW(),""),"")</f>
        <v/>
      </c>
      <c r="X625" s="8">
        <f>IF(AND(V625=1,D625=pas_data,E625=pas_turno),10000-ROW(),"")</f>
        <v/>
      </c>
    </row>
    <row r="626">
      <c r="A626" s="3">
        <f>IF(D626="","","TT-"&amp;TEXT(ROW()-1,"00000"))</f>
        <v/>
      </c>
      <c r="B626" s="3">
        <f>IF(D626="","",IF(V626=0,"CONCLUÍDO",IF(D626&lt;corte,"HISTÓRICO",IF(OR(AND(ISNUMBER(R626),R626&lt;TODAY()),AND(OR(N626="PENDENTE",N626="PARCIAL"),D626&lt;TODAY()-1)),"CRÍTICO",IF(OR(AND(P626&lt;&gt;"",S626=""),AND(N626="REALIZADO",M626="PENDENTE"),AND(ISNUMBER(R626),R626=TODAY())),"ATENÇÃO",IF(N(K626)=0,"PENDENTE","EM ANDAMENTO"))))))</f>
        <v/>
      </c>
      <c r="C626" s="3">
        <f>IF(D626="","",IF(V626=0,"🟢 OK",IF(D626&lt;corte,"⚪ HISTÓRICO (sem baixa)",IF(AND(ISNUMBER(R626),R626&lt;TODAY()),"🔴 PRAZO VENCIDO",IF(AND(OR(N626="PENDENTE",N626="PARCIAL"),D626&lt;TODAY()-1),"🔴 EMBARQUE ATRASADO",IF(AND(N626="REALIZADO",M626="PENDENTE"),"🟡 EMBARCADO SEM FATURAR",IF(AND(P626&lt;&gt;"",S626="",OR(Q626="",R626="")),"🟡 PENDÊNCIA SEM RESPONSÁVEL/PRAZO",IF(AND(ISNUMBER(R626),R626=TODAY()),"🟡 VENCE HOJE",IF(AND(P626&lt;&gt;"",S626=""),"🟡 PENDÊNCIA ABERTA",IF(AND(N(J626)&gt;0,N(K626)&lt;J626),"🟡 FALTA EXECUTAR",IF(OR(M626="PENDENTE",M626="PARCIAL"),"🟡 FATURAMENTO PENDENTE","🟡 EMBARQUE PENDENTE")))))))))))</f>
        <v/>
      </c>
      <c r="D626" s="4" t="n">
        <v>46264</v>
      </c>
      <c r="E626" s="5" t="inlineStr">
        <is>
          <t>A</t>
        </is>
      </c>
      <c r="F626" s="5" t="inlineStr">
        <is>
          <t>TATIANE</t>
        </is>
      </c>
      <c r="G626" s="5" t="inlineStr">
        <is>
          <t>FM</t>
        </is>
      </c>
      <c r="H626" s="5" t="inlineStr">
        <is>
          <t>IBAE</t>
        </is>
      </c>
      <c r="I626" s="5" t="inlineStr">
        <is>
          <t>TON</t>
        </is>
      </c>
      <c r="J626" s="6" t="n">
        <v>12.948</v>
      </c>
      <c r="K626" s="6" t="n">
        <v>12.948</v>
      </c>
      <c r="L626" s="7">
        <f>IF(OR(D626="",N(J626)=0),"",MIN(1,N(K626)/J626))</f>
        <v/>
      </c>
      <c r="M626" s="5" t="inlineStr">
        <is>
          <t>PENDENTE</t>
        </is>
      </c>
      <c r="N626" s="5" t="inlineStr">
        <is>
          <t>PENDENTE</t>
        </is>
      </c>
      <c r="O626" s="5" t="inlineStr">
        <is>
          <t>SPEEDYLOG</t>
        </is>
      </c>
      <c r="P626" s="5" t="n"/>
      <c r="Q626" s="5" t="n"/>
      <c r="R626" s="4" t="n"/>
      <c r="S626" s="4" t="n"/>
      <c r="T626" s="5" t="inlineStr">
        <is>
          <t>SEPARADO</t>
        </is>
      </c>
      <c r="U626" s="8">
        <f>IF(AND(V626=1,D626&lt;&gt;""),IF(D626&gt;=corte,TODAY()-D626,""),"")</f>
        <v/>
      </c>
      <c r="V626" s="8">
        <f>IF(D626="",0,IF(OR(AND(P626&lt;&gt;"",S626=""),AND(N(J626)&gt;0,N(K626)&lt;J626),OR(M626="PENDENTE",M626="PARCIAL"),OR(N626="PENDENTE",N626="PARCIAL")),1,0))</f>
        <v/>
      </c>
      <c r="W626" s="8">
        <f>IF(AND(V626=1,D626&lt;&gt;""),IF(D626&gt;=corte,(B626="CRÍTICO")*1E9+(100000-D626)*10000+10000-ROW(),""),"")</f>
        <v/>
      </c>
      <c r="X626" s="8">
        <f>IF(AND(V626=1,D626=pas_data,E626=pas_turno),10000-ROW(),"")</f>
        <v/>
      </c>
    </row>
    <row r="627">
      <c r="A627" s="3">
        <f>IF(D627="","","TT-"&amp;TEXT(ROW()-1,"00000"))</f>
        <v/>
      </c>
      <c r="B627" s="3">
        <f>IF(D627="","",IF(V627=0,"CONCLUÍDO",IF(D627&lt;corte,"HISTÓRICO",IF(OR(AND(ISNUMBER(R627),R627&lt;TODAY()),AND(OR(N627="PENDENTE",N627="PARCIAL"),D627&lt;TODAY()-1)),"CRÍTICO",IF(OR(AND(P627&lt;&gt;"",S627=""),AND(N627="REALIZADO",M627="PENDENTE"),AND(ISNUMBER(R627),R627=TODAY())),"ATENÇÃO",IF(N(K627)=0,"PENDENTE","EM ANDAMENTO"))))))</f>
        <v/>
      </c>
      <c r="C627" s="3">
        <f>IF(D627="","",IF(V627=0,"🟢 OK",IF(D627&lt;corte,"⚪ HISTÓRICO (sem baixa)",IF(AND(ISNUMBER(R627),R627&lt;TODAY()),"🔴 PRAZO VENCIDO",IF(AND(OR(N627="PENDENTE",N627="PARCIAL"),D627&lt;TODAY()-1),"🔴 EMBARQUE ATRASADO",IF(AND(N627="REALIZADO",M627="PENDENTE"),"🟡 EMBARCADO SEM FATURAR",IF(AND(P627&lt;&gt;"",S627="",OR(Q627="",R627="")),"🟡 PENDÊNCIA SEM RESPONSÁVEL/PRAZO",IF(AND(ISNUMBER(R627),R627=TODAY()),"🟡 VENCE HOJE",IF(AND(P627&lt;&gt;"",S627=""),"🟡 PENDÊNCIA ABERTA",IF(AND(N(J627)&gt;0,N(K627)&lt;J627),"🟡 FALTA EXECUTAR",IF(OR(M627="PENDENTE",M627="PARCIAL"),"🟡 FATURAMENTO PENDENTE","🟡 EMBARQUE PENDENTE")))))))))))</f>
        <v/>
      </c>
      <c r="D627" s="4" t="n">
        <v>46264</v>
      </c>
      <c r="E627" s="5" t="inlineStr">
        <is>
          <t>A</t>
        </is>
      </c>
      <c r="F627" s="5" t="inlineStr">
        <is>
          <t>TATIANE</t>
        </is>
      </c>
      <c r="G627" s="5" t="inlineStr">
        <is>
          <t>FM</t>
        </is>
      </c>
      <c r="H627" s="5" t="inlineStr">
        <is>
          <t>IBAE</t>
        </is>
      </c>
      <c r="I627" s="5" t="inlineStr">
        <is>
          <t>TON</t>
        </is>
      </c>
      <c r="J627" s="6" t="n">
        <v>15.106</v>
      </c>
      <c r="K627" s="6" t="n">
        <v>15.106</v>
      </c>
      <c r="L627" s="7">
        <f>IF(OR(D627="",N(J627)=0),"",MIN(1,N(K627)/J627))</f>
        <v/>
      </c>
      <c r="M627" s="5" t="inlineStr">
        <is>
          <t>PENDENTE</t>
        </is>
      </c>
      <c r="N627" s="5" t="inlineStr">
        <is>
          <t>PENDENTE</t>
        </is>
      </c>
      <c r="O627" s="5" t="inlineStr">
        <is>
          <t>SPEEDYLOG</t>
        </is>
      </c>
      <c r="P627" s="5" t="n"/>
      <c r="Q627" s="5" t="n"/>
      <c r="R627" s="4" t="n"/>
      <c r="S627" s="4" t="n"/>
      <c r="T627" s="5" t="inlineStr">
        <is>
          <t>SEPARADO</t>
        </is>
      </c>
      <c r="U627" s="8">
        <f>IF(AND(V627=1,D627&lt;&gt;""),IF(D627&gt;=corte,TODAY()-D627,""),"")</f>
        <v/>
      </c>
      <c r="V627" s="8">
        <f>IF(D627="",0,IF(OR(AND(P627&lt;&gt;"",S627=""),AND(N(J627)&gt;0,N(K627)&lt;J627),OR(M627="PENDENTE",M627="PARCIAL"),OR(N627="PENDENTE",N627="PARCIAL")),1,0))</f>
        <v/>
      </c>
      <c r="W627" s="8">
        <f>IF(AND(V627=1,D627&lt;&gt;""),IF(D627&gt;=corte,(B627="CRÍTICO")*1E9+(100000-D627)*10000+10000-ROW(),""),"")</f>
        <v/>
      </c>
      <c r="X627" s="8">
        <f>IF(AND(V627=1,D627=pas_data,E627=pas_turno),10000-ROW(),"")</f>
        <v/>
      </c>
    </row>
    <row r="628">
      <c r="A628" s="3">
        <f>IF(D628="","","TT-"&amp;TEXT(ROW()-1,"00000"))</f>
        <v/>
      </c>
      <c r="B628" s="3">
        <f>IF(D628="","",IF(V628=0,"CONCLUÍDO",IF(D628&lt;corte,"HISTÓRICO",IF(OR(AND(ISNUMBER(R628),R628&lt;TODAY()),AND(OR(N628="PENDENTE",N628="PARCIAL"),D628&lt;TODAY()-1)),"CRÍTICO",IF(OR(AND(P628&lt;&gt;"",S628=""),AND(N628="REALIZADO",M628="PENDENTE"),AND(ISNUMBER(R628),R628=TODAY())),"ATENÇÃO",IF(N(K628)=0,"PENDENTE","EM ANDAMENTO"))))))</f>
        <v/>
      </c>
      <c r="C628" s="3">
        <f>IF(D628="","",IF(V628=0,"🟢 OK",IF(D628&lt;corte,"⚪ HISTÓRICO (sem baixa)",IF(AND(ISNUMBER(R628),R628&lt;TODAY()),"🔴 PRAZO VENCIDO",IF(AND(OR(N628="PENDENTE",N628="PARCIAL"),D628&lt;TODAY()-1),"🔴 EMBARQUE ATRASADO",IF(AND(N628="REALIZADO",M628="PENDENTE"),"🟡 EMBARCADO SEM FATURAR",IF(AND(P628&lt;&gt;"",S628="",OR(Q628="",R628="")),"🟡 PENDÊNCIA SEM RESPONSÁVEL/PRAZO",IF(AND(ISNUMBER(R628),R628=TODAY()),"🟡 VENCE HOJE",IF(AND(P628&lt;&gt;"",S628=""),"🟡 PENDÊNCIA ABERTA",IF(AND(N(J628)&gt;0,N(K628)&lt;J628),"🟡 FALTA EXECUTAR",IF(OR(M628="PENDENTE",M628="PARCIAL"),"🟡 FATURAMENTO PENDENTE","🟡 EMBARQUE PENDENTE")))))))))))</f>
        <v/>
      </c>
      <c r="D628" s="4" t="n">
        <v>46264</v>
      </c>
      <c r="E628" s="5" t="inlineStr">
        <is>
          <t>A</t>
        </is>
      </c>
      <c r="F628" s="5" t="inlineStr">
        <is>
          <t>TATIANE</t>
        </is>
      </c>
      <c r="G628" s="5" t="inlineStr">
        <is>
          <t>FM</t>
        </is>
      </c>
      <c r="H628" s="5" t="inlineStr">
        <is>
          <t>IBAE</t>
        </is>
      </c>
      <c r="I628" s="5" t="inlineStr">
        <is>
          <t>TON</t>
        </is>
      </c>
      <c r="J628" s="6" t="n">
        <v>19.422</v>
      </c>
      <c r="K628" s="6" t="n">
        <v>19.422</v>
      </c>
      <c r="L628" s="7">
        <f>IF(OR(D628="",N(J628)=0),"",MIN(1,N(K628)/J628))</f>
        <v/>
      </c>
      <c r="M628" s="5" t="inlineStr">
        <is>
          <t>PENDENTE</t>
        </is>
      </c>
      <c r="N628" s="5" t="inlineStr">
        <is>
          <t>PENDENTE</t>
        </is>
      </c>
      <c r="O628" s="5" t="inlineStr">
        <is>
          <t>SPEEDYLOG</t>
        </is>
      </c>
      <c r="P628" s="5" t="n"/>
      <c r="Q628" s="5" t="n"/>
      <c r="R628" s="4" t="n"/>
      <c r="S628" s="4" t="n"/>
      <c r="T628" s="5" t="inlineStr">
        <is>
          <t>SEPARADO</t>
        </is>
      </c>
      <c r="U628" s="8">
        <f>IF(AND(V628=1,D628&lt;&gt;""),IF(D628&gt;=corte,TODAY()-D628,""),"")</f>
        <v/>
      </c>
      <c r="V628" s="8">
        <f>IF(D628="",0,IF(OR(AND(P628&lt;&gt;"",S628=""),AND(N(J628)&gt;0,N(K628)&lt;J628),OR(M628="PENDENTE",M628="PARCIAL"),OR(N628="PENDENTE",N628="PARCIAL")),1,0))</f>
        <v/>
      </c>
      <c r="W628" s="8">
        <f>IF(AND(V628=1,D628&lt;&gt;""),IF(D628&gt;=corte,(B628="CRÍTICO")*1E9+(100000-D628)*10000+10000-ROW(),""),"")</f>
        <v/>
      </c>
      <c r="X628" s="8">
        <f>IF(AND(V628=1,D628=pas_data,E628=pas_turno),10000-ROW(),"")</f>
        <v/>
      </c>
    </row>
    <row r="629">
      <c r="A629" s="3">
        <f>IF(D629="","","TT-"&amp;TEXT(ROW()-1,"00000"))</f>
        <v/>
      </c>
      <c r="B629" s="3">
        <f>IF(D629="","",IF(V629=0,"CONCLUÍDO",IF(D629&lt;corte,"HISTÓRICO",IF(OR(AND(ISNUMBER(R629),R629&lt;TODAY()),AND(OR(N629="PENDENTE",N629="PARCIAL"),D629&lt;TODAY()-1)),"CRÍTICO",IF(OR(AND(P629&lt;&gt;"",S629=""),AND(N629="REALIZADO",M629="PENDENTE"),AND(ISNUMBER(R629),R629=TODAY())),"ATENÇÃO",IF(N(K629)=0,"PENDENTE","EM ANDAMENTO"))))))</f>
        <v/>
      </c>
      <c r="C629" s="3">
        <f>IF(D629="","",IF(V629=0,"🟢 OK",IF(D629&lt;corte,"⚪ HISTÓRICO (sem baixa)",IF(AND(ISNUMBER(R629),R629&lt;TODAY()),"🔴 PRAZO VENCIDO",IF(AND(OR(N629="PENDENTE",N629="PARCIAL"),D629&lt;TODAY()-1),"🔴 EMBARQUE ATRASADO",IF(AND(N629="REALIZADO",M629="PENDENTE"),"🟡 EMBARCADO SEM FATURAR",IF(AND(P629&lt;&gt;"",S629="",OR(Q629="",R629="")),"🟡 PENDÊNCIA SEM RESPONSÁVEL/PRAZO",IF(AND(ISNUMBER(R629),R629=TODAY()),"🟡 VENCE HOJE",IF(AND(P629&lt;&gt;"",S629=""),"🟡 PENDÊNCIA ABERTA",IF(AND(N(J629)&gt;0,N(K629)&lt;J629),"🟡 FALTA EXECUTAR",IF(OR(M629="PENDENTE",M629="PARCIAL"),"🟡 FATURAMENTO PENDENTE","🟡 EMBARQUE PENDENTE")))))))))))</f>
        <v/>
      </c>
      <c r="D629" s="4" t="n">
        <v>46264</v>
      </c>
      <c r="E629" s="5" t="inlineStr">
        <is>
          <t>A</t>
        </is>
      </c>
      <c r="F629" s="5" t="inlineStr">
        <is>
          <t>TATIANE</t>
        </is>
      </c>
      <c r="G629" s="5" t="inlineStr">
        <is>
          <t>FM</t>
        </is>
      </c>
      <c r="H629" s="5" t="inlineStr">
        <is>
          <t>SIENA</t>
        </is>
      </c>
      <c r="I629" s="5" t="inlineStr">
        <is>
          <t>TON</t>
        </is>
      </c>
      <c r="J629" s="6" t="n">
        <v>19.422</v>
      </c>
      <c r="K629" s="6" t="n">
        <v>19.422</v>
      </c>
      <c r="L629" s="7">
        <f>IF(OR(D629="",N(J629)=0),"",MIN(1,N(K629)/J629))</f>
        <v/>
      </c>
      <c r="M629" s="5" t="inlineStr">
        <is>
          <t>PENDENTE</t>
        </is>
      </c>
      <c r="N629" s="5" t="inlineStr">
        <is>
          <t>PENDENTE</t>
        </is>
      </c>
      <c r="O629" s="5" t="inlineStr">
        <is>
          <t>SPEEDYLOG</t>
        </is>
      </c>
      <c r="P629" s="5" t="n"/>
      <c r="Q629" s="5" t="n"/>
      <c r="R629" s="4" t="n"/>
      <c r="S629" s="4" t="n"/>
      <c r="T629" s="5" t="inlineStr">
        <is>
          <t>SEPARADO</t>
        </is>
      </c>
      <c r="U629" s="8">
        <f>IF(AND(V629=1,D629&lt;&gt;""),IF(D629&gt;=corte,TODAY()-D629,""),"")</f>
        <v/>
      </c>
      <c r="V629" s="8">
        <f>IF(D629="",0,IF(OR(AND(P629&lt;&gt;"",S629=""),AND(N(J629)&gt;0,N(K629)&lt;J629),OR(M629="PENDENTE",M629="PARCIAL"),OR(N629="PENDENTE",N629="PARCIAL")),1,0))</f>
        <v/>
      </c>
      <c r="W629" s="8">
        <f>IF(AND(V629=1,D629&lt;&gt;""),IF(D629&gt;=corte,(B629="CRÍTICO")*1E9+(100000-D629)*10000+10000-ROW(),""),"")</f>
        <v/>
      </c>
      <c r="X629" s="8">
        <f>IF(AND(V629=1,D629=pas_data,E629=pas_turno),10000-ROW(),"")</f>
        <v/>
      </c>
    </row>
    <row r="630">
      <c r="A630" s="3">
        <f>IF(D630="","","TT-"&amp;TEXT(ROW()-1,"00000"))</f>
        <v/>
      </c>
      <c r="B630" s="3">
        <f>IF(D630="","",IF(V630=0,"CONCLUÍDO",IF(D630&lt;corte,"HISTÓRICO",IF(OR(AND(ISNUMBER(R630),R630&lt;TODAY()),AND(OR(N630="PENDENTE",N630="PARCIAL"),D630&lt;TODAY()-1)),"CRÍTICO",IF(OR(AND(P630&lt;&gt;"",S630=""),AND(N630="REALIZADO",M630="PENDENTE"),AND(ISNUMBER(R630),R630=TODAY())),"ATENÇÃO",IF(N(K630)=0,"PENDENTE","EM ANDAMENTO"))))))</f>
        <v/>
      </c>
      <c r="C630" s="3">
        <f>IF(D630="","",IF(V630=0,"🟢 OK",IF(D630&lt;corte,"⚪ HISTÓRICO (sem baixa)",IF(AND(ISNUMBER(R630),R630&lt;TODAY()),"🔴 PRAZO VENCIDO",IF(AND(OR(N630="PENDENTE",N630="PARCIAL"),D630&lt;TODAY()-1),"🔴 EMBARQUE ATRASADO",IF(AND(N630="REALIZADO",M630="PENDENTE"),"🟡 EMBARCADO SEM FATURAR",IF(AND(P630&lt;&gt;"",S630="",OR(Q630="",R630="")),"🟡 PENDÊNCIA SEM RESPONSÁVEL/PRAZO",IF(AND(ISNUMBER(R630),R630=TODAY()),"🟡 VENCE HOJE",IF(AND(P630&lt;&gt;"",S630=""),"🟡 PENDÊNCIA ABERTA",IF(AND(N(J630)&gt;0,N(K630)&lt;J630),"🟡 FALTA EXECUTAR",IF(OR(M630="PENDENTE",M630="PARCIAL"),"🟡 FATURAMENTO PENDENTE","🟡 EMBARQUE PENDENTE")))))))))))</f>
        <v/>
      </c>
      <c r="D630" s="4" t="n">
        <v>46264</v>
      </c>
      <c r="E630" s="5" t="inlineStr">
        <is>
          <t>A</t>
        </is>
      </c>
      <c r="F630" s="5" t="inlineStr">
        <is>
          <t>TATIANE</t>
        </is>
      </c>
      <c r="G630" s="5" t="inlineStr">
        <is>
          <t>GM</t>
        </is>
      </c>
      <c r="H630" s="5" t="inlineStr">
        <is>
          <t>CROSS RS</t>
        </is>
      </c>
      <c r="I630" s="5" t="inlineStr">
        <is>
          <t>TON</t>
        </is>
      </c>
      <c r="J630" s="6" t="n">
        <v>7.148</v>
      </c>
      <c r="K630" s="6" t="n">
        <v>7.148</v>
      </c>
      <c r="L630" s="7">
        <f>IF(OR(D630="",N(J630)=0),"",MIN(1,N(K630)/J630))</f>
        <v/>
      </c>
      <c r="M630" s="5" t="inlineStr">
        <is>
          <t>PENDENTE</t>
        </is>
      </c>
      <c r="N630" s="5" t="inlineStr">
        <is>
          <t>PENDENTE</t>
        </is>
      </c>
      <c r="O630" s="5" t="inlineStr">
        <is>
          <t>RENOVAÇÃO</t>
        </is>
      </c>
      <c r="P630" s="5" t="n"/>
      <c r="Q630" s="5" t="n"/>
      <c r="R630" s="4" t="n"/>
      <c r="S630" s="4" t="n"/>
      <c r="T630" s="5" t="inlineStr">
        <is>
          <t>FATURADO</t>
        </is>
      </c>
      <c r="U630" s="8">
        <f>IF(AND(V630=1,D630&lt;&gt;""),IF(D630&gt;=corte,TODAY()-D630,""),"")</f>
        <v/>
      </c>
      <c r="V630" s="8">
        <f>IF(D630="",0,IF(OR(AND(P630&lt;&gt;"",S630=""),AND(N(J630)&gt;0,N(K630)&lt;J630),OR(M630="PENDENTE",M630="PARCIAL"),OR(N630="PENDENTE",N630="PARCIAL")),1,0))</f>
        <v/>
      </c>
      <c r="W630" s="8">
        <f>IF(AND(V630=1,D630&lt;&gt;""),IF(D630&gt;=corte,(B630="CRÍTICO")*1E9+(100000-D630)*10000+10000-ROW(),""),"")</f>
        <v/>
      </c>
      <c r="X630" s="8">
        <f>IF(AND(V630=1,D630=pas_data,E630=pas_turno),10000-ROW(),"")</f>
        <v/>
      </c>
    </row>
    <row r="631">
      <c r="A631" s="3">
        <f>IF(D631="","","TT-"&amp;TEXT(ROW()-1,"00000"))</f>
        <v/>
      </c>
      <c r="B631" s="3">
        <f>IF(D631="","",IF(V631=0,"CONCLUÍDO",IF(D631&lt;corte,"HISTÓRICO",IF(OR(AND(ISNUMBER(R631),R631&lt;TODAY()),AND(OR(N631="PENDENTE",N631="PARCIAL"),D631&lt;TODAY()-1)),"CRÍTICO",IF(OR(AND(P631&lt;&gt;"",S631=""),AND(N631="REALIZADO",M631="PENDENTE"),AND(ISNUMBER(R631),R631=TODAY())),"ATENÇÃO",IF(N(K631)=0,"PENDENTE","EM ANDAMENTO"))))))</f>
        <v/>
      </c>
      <c r="C631" s="3">
        <f>IF(D631="","",IF(V631=0,"🟢 OK",IF(D631&lt;corte,"⚪ HISTÓRICO (sem baixa)",IF(AND(ISNUMBER(R631),R631&lt;TODAY()),"🔴 PRAZO VENCIDO",IF(AND(OR(N631="PENDENTE",N631="PARCIAL"),D631&lt;TODAY()-1),"🔴 EMBARQUE ATRASADO",IF(AND(N631="REALIZADO",M631="PENDENTE"),"🟡 EMBARCADO SEM FATURAR",IF(AND(P631&lt;&gt;"",S631="",OR(Q631="",R631="")),"🟡 PENDÊNCIA SEM RESPONSÁVEL/PRAZO",IF(AND(ISNUMBER(R631),R631=TODAY()),"🟡 VENCE HOJE",IF(AND(P631&lt;&gt;"",S631=""),"🟡 PENDÊNCIA ABERTA",IF(AND(N(J631)&gt;0,N(K631)&lt;J631),"🟡 FALTA EXECUTAR",IF(OR(M631="PENDENTE",M631="PARCIAL"),"🟡 FATURAMENTO PENDENTE","🟡 EMBARQUE PENDENTE")))))))))))</f>
        <v/>
      </c>
      <c r="D631" s="4" t="n">
        <v>46264</v>
      </c>
      <c r="E631" s="5" t="inlineStr">
        <is>
          <t>A</t>
        </is>
      </c>
      <c r="F631" s="5" t="inlineStr">
        <is>
          <t>TATIANE</t>
        </is>
      </c>
      <c r="G631" s="5" t="inlineStr">
        <is>
          <t>GRANEL</t>
        </is>
      </c>
      <c r="H631" s="5" t="inlineStr">
        <is>
          <t>MAGUNUM</t>
        </is>
      </c>
      <c r="I631" s="5" t="inlineStr">
        <is>
          <t>TON</t>
        </is>
      </c>
      <c r="J631" s="6" t="n">
        <v>10</v>
      </c>
      <c r="K631" s="6" t="n">
        <v>10</v>
      </c>
      <c r="L631" s="7">
        <f>IF(OR(D631="",N(J631)=0),"",MIN(1,N(K631)/J631))</f>
        <v/>
      </c>
      <c r="M631" s="5" t="inlineStr">
        <is>
          <t>PENDENTE</t>
        </is>
      </c>
      <c r="N631" s="5" t="inlineStr">
        <is>
          <t>PENDENTE</t>
        </is>
      </c>
      <c r="O631" s="5" t="n"/>
      <c r="P631" s="5" t="inlineStr">
        <is>
          <t>FALTA TICKET PESAGEM</t>
        </is>
      </c>
      <c r="Q631" s="5" t="n"/>
      <c r="R631" s="4" t="n"/>
      <c r="S631" s="4" t="n"/>
      <c r="T631" s="5" t="inlineStr">
        <is>
          <t>FALTA TICKET PESAGEM</t>
        </is>
      </c>
      <c r="U631" s="8">
        <f>IF(AND(V631=1,D631&lt;&gt;""),IF(D631&gt;=corte,TODAY()-D631,""),"")</f>
        <v/>
      </c>
      <c r="V631" s="8">
        <f>IF(D631="",0,IF(OR(AND(P631&lt;&gt;"",S631=""),AND(N(J631)&gt;0,N(K631)&lt;J631),OR(M631="PENDENTE",M631="PARCIAL"),OR(N631="PENDENTE",N631="PARCIAL")),1,0))</f>
        <v/>
      </c>
      <c r="W631" s="8">
        <f>IF(AND(V631=1,D631&lt;&gt;""),IF(D631&gt;=corte,(B631="CRÍTICO")*1E9+(100000-D631)*10000+10000-ROW(),""),"")</f>
        <v/>
      </c>
      <c r="X631" s="8">
        <f>IF(AND(V631=1,D631=pas_data,E631=pas_turno),10000-ROW(),"")</f>
        <v/>
      </c>
    </row>
    <row r="632">
      <c r="A632" s="3">
        <f>IF(D632="","","TT-"&amp;TEXT(ROW()-1,"00000"))</f>
        <v/>
      </c>
      <c r="B632" s="3">
        <f>IF(D632="","",IF(V632=0,"CONCLUÍDO",IF(D632&lt;corte,"HISTÓRICO",IF(OR(AND(ISNUMBER(R632),R632&lt;TODAY()),AND(OR(N632="PENDENTE",N632="PARCIAL"),D632&lt;TODAY()-1)),"CRÍTICO",IF(OR(AND(P632&lt;&gt;"",S632=""),AND(N632="REALIZADO",M632="PENDENTE"),AND(ISNUMBER(R632),R632=TODAY())),"ATENÇÃO",IF(N(K632)=0,"PENDENTE","EM ANDAMENTO"))))))</f>
        <v/>
      </c>
      <c r="C632" s="3">
        <f>IF(D632="","",IF(V632=0,"🟢 OK",IF(D632&lt;corte,"⚪ HISTÓRICO (sem baixa)",IF(AND(ISNUMBER(R632),R632&lt;TODAY()),"🔴 PRAZO VENCIDO",IF(AND(OR(N632="PENDENTE",N632="PARCIAL"),D632&lt;TODAY()-1),"🔴 EMBARQUE ATRASADO",IF(AND(N632="REALIZADO",M632="PENDENTE"),"🟡 EMBARCADO SEM FATURAR",IF(AND(P632&lt;&gt;"",S632="",OR(Q632="",R632="")),"🟡 PENDÊNCIA SEM RESPONSÁVEL/PRAZO",IF(AND(ISNUMBER(R632),R632=TODAY()),"🟡 VENCE HOJE",IF(AND(P632&lt;&gt;"",S632=""),"🟡 PENDÊNCIA ABERTA",IF(AND(N(J632)&gt;0,N(K632)&lt;J632),"🟡 FALTA EXECUTAR",IF(OR(M632="PENDENTE",M632="PARCIAL"),"🟡 FATURAMENTO PENDENTE","🟡 EMBARQUE PENDENTE")))))))))))</f>
        <v/>
      </c>
      <c r="D632" s="4" t="n">
        <v>46264</v>
      </c>
      <c r="E632" s="5" t="inlineStr">
        <is>
          <t>A</t>
        </is>
      </c>
      <c r="F632" s="5" t="inlineStr">
        <is>
          <t>TATIANE</t>
        </is>
      </c>
      <c r="G632" s="5" t="inlineStr">
        <is>
          <t>FLOOR</t>
        </is>
      </c>
      <c r="H632" s="5" t="inlineStr">
        <is>
          <t>FABRICA</t>
        </is>
      </c>
      <c r="I632" s="5" t="inlineStr">
        <is>
          <t>PALETE</t>
        </is>
      </c>
      <c r="J632" s="6" t="n">
        <v>80</v>
      </c>
      <c r="K632" s="6" t="n">
        <v>78</v>
      </c>
      <c r="L632" s="7">
        <f>IF(OR(D632="",N(J632)=0),"",MIN(1,N(K632)/J632))</f>
        <v/>
      </c>
      <c r="M632" s="5" t="n"/>
      <c r="N632" s="5" t="n"/>
      <c r="O632" s="5" t="n"/>
      <c r="P632" s="5" t="n"/>
      <c r="Q632" s="5" t="n"/>
      <c r="R632" s="4" t="n"/>
      <c r="S632" s="4" t="n"/>
      <c r="T632" s="5" t="n"/>
      <c r="U632" s="8">
        <f>IF(AND(V632=1,D632&lt;&gt;""),IF(D632&gt;=corte,TODAY()-D632,""),"")</f>
        <v/>
      </c>
      <c r="V632" s="8">
        <f>IF(D632="",0,IF(OR(AND(P632&lt;&gt;"",S632=""),AND(N(J632)&gt;0,N(K632)&lt;J632),OR(M632="PENDENTE",M632="PARCIAL"),OR(N632="PENDENTE",N632="PARCIAL")),1,0))</f>
        <v/>
      </c>
      <c r="W632" s="8">
        <f>IF(AND(V632=1,D632&lt;&gt;""),IF(D632&gt;=corte,(B632="CRÍTICO")*1E9+(100000-D632)*10000+10000-ROW(),""),"")</f>
        <v/>
      </c>
      <c r="X632" s="8">
        <f>IF(AND(V632=1,D632=pas_data,E632=pas_turno),10000-ROW(),"")</f>
        <v/>
      </c>
    </row>
    <row r="633">
      <c r="A633" s="3">
        <f>IF(D633="","","TT-"&amp;TEXT(ROW()-1,"00000"))</f>
        <v/>
      </c>
      <c r="B633" s="3">
        <f>IF(D633="","",IF(V633=0,"CONCLUÍDO",IF(D633&lt;corte,"HISTÓRICO",IF(OR(AND(ISNUMBER(R633),R633&lt;TODAY()),AND(OR(N633="PENDENTE",N633="PARCIAL"),D633&lt;TODAY()-1)),"CRÍTICO",IF(OR(AND(P633&lt;&gt;"",S633=""),AND(N633="REALIZADO",M633="PENDENTE"),AND(ISNUMBER(R633),R633=TODAY())),"ATENÇÃO",IF(N(K633)=0,"PENDENTE","EM ANDAMENTO"))))))</f>
        <v/>
      </c>
      <c r="C633" s="3">
        <f>IF(D633="","",IF(V633=0,"🟢 OK",IF(D633&lt;corte,"⚪ HISTÓRICO (sem baixa)",IF(AND(ISNUMBER(R633),R633&lt;TODAY()),"🔴 PRAZO VENCIDO",IF(AND(OR(N633="PENDENTE",N633="PARCIAL"),D633&lt;TODAY()-1),"🔴 EMBARQUE ATRASADO",IF(AND(N633="REALIZADO",M633="PENDENTE"),"🟡 EMBARCADO SEM FATURAR",IF(AND(P633&lt;&gt;"",S633="",OR(Q633="",R633="")),"🟡 PENDÊNCIA SEM RESPONSÁVEL/PRAZO",IF(AND(ISNUMBER(R633),R633=TODAY()),"🟡 VENCE HOJE",IF(AND(P633&lt;&gt;"",S633=""),"🟡 PENDÊNCIA ABERTA",IF(AND(N(J633)&gt;0,N(K633)&lt;J633),"🟡 FALTA EXECUTAR",IF(OR(M633="PENDENTE",M633="PARCIAL"),"🟡 FATURAMENTO PENDENTE","🟡 EMBARQUE PENDENTE")))))))))))</f>
        <v/>
      </c>
      <c r="D633" s="4" t="n">
        <v>46264</v>
      </c>
      <c r="E633" s="5" t="inlineStr">
        <is>
          <t>B</t>
        </is>
      </c>
      <c r="F633" s="5" t="inlineStr">
        <is>
          <t>THIAGO</t>
        </is>
      </c>
      <c r="G633" s="5" t="inlineStr">
        <is>
          <t>GM</t>
        </is>
      </c>
      <c r="H633" s="5" t="inlineStr">
        <is>
          <t>RJ</t>
        </is>
      </c>
      <c r="I633" s="5" t="inlineStr">
        <is>
          <t>TON</t>
        </is>
      </c>
      <c r="J633" s="6" t="n">
        <v>23.463</v>
      </c>
      <c r="K633" s="6" t="n">
        <v>23.463</v>
      </c>
      <c r="L633" s="7">
        <f>IF(OR(D633="",N(J633)=0),"",MIN(1,N(K633)/J633))</f>
        <v/>
      </c>
      <c r="M633" s="5" t="n"/>
      <c r="N633" s="5" t="n"/>
      <c r="O633" s="5" t="n"/>
      <c r="P633" s="5" t="n"/>
      <c r="Q633" s="5" t="n"/>
      <c r="R633" s="4" t="n"/>
      <c r="S633" s="4" t="n"/>
      <c r="T633" s="5" t="n"/>
      <c r="U633" s="8">
        <f>IF(AND(V633=1,D633&lt;&gt;""),IF(D633&gt;=corte,TODAY()-D633,""),"")</f>
        <v/>
      </c>
      <c r="V633" s="8">
        <f>IF(D633="",0,IF(OR(AND(P633&lt;&gt;"",S633=""),AND(N(J633)&gt;0,N(K633)&lt;J633),OR(M633="PENDENTE",M633="PARCIAL"),OR(N633="PENDENTE",N633="PARCIAL")),1,0))</f>
        <v/>
      </c>
      <c r="W633" s="8">
        <f>IF(AND(V633=1,D633&lt;&gt;""),IF(D633&gt;=corte,(B633="CRÍTICO")*1E9+(100000-D633)*10000+10000-ROW(),""),"")</f>
        <v/>
      </c>
      <c r="X633" s="8">
        <f>IF(AND(V633=1,D633=pas_data,E633=pas_turno),10000-ROW(),"")</f>
        <v/>
      </c>
    </row>
    <row r="634">
      <c r="A634" s="3">
        <f>IF(D634="","","TT-"&amp;TEXT(ROW()-1,"00000"))</f>
        <v/>
      </c>
      <c r="B634" s="3">
        <f>IF(D634="","",IF(V634=0,"CONCLUÍDO",IF(D634&lt;corte,"HISTÓRICO",IF(OR(AND(ISNUMBER(R634),R634&lt;TODAY()),AND(OR(N634="PENDENTE",N634="PARCIAL"),D634&lt;TODAY()-1)),"CRÍTICO",IF(OR(AND(P634&lt;&gt;"",S634=""),AND(N634="REALIZADO",M634="PENDENTE"),AND(ISNUMBER(R634),R634=TODAY())),"ATENÇÃO",IF(N(K634)=0,"PENDENTE","EM ANDAMENTO"))))))</f>
        <v/>
      </c>
      <c r="C634" s="3">
        <f>IF(D634="","",IF(V634=0,"🟢 OK",IF(D634&lt;corte,"⚪ HISTÓRICO (sem baixa)",IF(AND(ISNUMBER(R634),R634&lt;TODAY()),"🔴 PRAZO VENCIDO",IF(AND(OR(N634="PENDENTE",N634="PARCIAL"),D634&lt;TODAY()-1),"🔴 EMBARQUE ATRASADO",IF(AND(N634="REALIZADO",M634="PENDENTE"),"🟡 EMBARCADO SEM FATURAR",IF(AND(P634&lt;&gt;"",S634="",OR(Q634="",R634="")),"🟡 PENDÊNCIA SEM RESPONSÁVEL/PRAZO",IF(AND(ISNUMBER(R634),R634=TODAY()),"🟡 VENCE HOJE",IF(AND(P634&lt;&gt;"",S634=""),"🟡 PENDÊNCIA ABERTA",IF(AND(N(J634)&gt;0,N(K634)&lt;J634),"🟡 FALTA EXECUTAR",IF(OR(M634="PENDENTE",M634="PARCIAL"),"🟡 FATURAMENTO PENDENTE","🟡 EMBARQUE PENDENTE")))))))))))</f>
        <v/>
      </c>
      <c r="D634" s="4" t="n">
        <v>46264</v>
      </c>
      <c r="E634" s="5" t="inlineStr">
        <is>
          <t>B</t>
        </is>
      </c>
      <c r="F634" s="5" t="inlineStr">
        <is>
          <t>THIAGO</t>
        </is>
      </c>
      <c r="G634" s="5" t="inlineStr">
        <is>
          <t>FM</t>
        </is>
      </c>
      <c r="H634" s="5" t="inlineStr">
        <is>
          <t>NESTLE</t>
        </is>
      </c>
      <c r="I634" s="5" t="inlineStr">
        <is>
          <t>TON</t>
        </is>
      </c>
      <c r="J634" s="6" t="n">
        <v>12.235</v>
      </c>
      <c r="K634" s="6" t="n">
        <v>12.235</v>
      </c>
      <c r="L634" s="7">
        <f>IF(OR(D634="",N(J634)=0),"",MIN(1,N(K634)/J634))</f>
        <v/>
      </c>
      <c r="M634" s="5" t="n"/>
      <c r="N634" s="5" t="n"/>
      <c r="O634" s="5" t="n"/>
      <c r="P634" s="5" t="n"/>
      <c r="Q634" s="5" t="n"/>
      <c r="R634" s="4" t="n"/>
      <c r="S634" s="4" t="n"/>
      <c r="T634" s="5" t="n"/>
      <c r="U634" s="8">
        <f>IF(AND(V634=1,D634&lt;&gt;""),IF(D634&gt;=corte,TODAY()-D634,""),"")</f>
        <v/>
      </c>
      <c r="V634" s="8">
        <f>IF(D634="",0,IF(OR(AND(P634&lt;&gt;"",S634=""),AND(N(J634)&gt;0,N(K634)&lt;J634),OR(M634="PENDENTE",M634="PARCIAL"),OR(N634="PENDENTE",N634="PARCIAL")),1,0))</f>
        <v/>
      </c>
      <c r="W634" s="8">
        <f>IF(AND(V634=1,D634&lt;&gt;""),IF(D634&gt;=corte,(B634="CRÍTICO")*1E9+(100000-D634)*10000+10000-ROW(),""),"")</f>
        <v/>
      </c>
      <c r="X634" s="8">
        <f>IF(AND(V634=1,D634=pas_data,E634=pas_turno),10000-ROW(),"")</f>
        <v/>
      </c>
    </row>
    <row r="635">
      <c r="A635" s="3">
        <f>IF(D635="","","TT-"&amp;TEXT(ROW()-1,"00000"))</f>
        <v/>
      </c>
      <c r="B635" s="3">
        <f>IF(D635="","",IF(V635=0,"CONCLUÍDO",IF(D635&lt;corte,"HISTÓRICO",IF(OR(AND(ISNUMBER(R635),R635&lt;TODAY()),AND(OR(N635="PENDENTE",N635="PARCIAL"),D635&lt;TODAY()-1)),"CRÍTICO",IF(OR(AND(P635&lt;&gt;"",S635=""),AND(N635="REALIZADO",M635="PENDENTE"),AND(ISNUMBER(R635),R635=TODAY())),"ATENÇÃO",IF(N(K635)=0,"PENDENTE","EM ANDAMENTO"))))))</f>
        <v/>
      </c>
      <c r="C635" s="3">
        <f>IF(D635="","",IF(V635=0,"🟢 OK",IF(D635&lt;corte,"⚪ HISTÓRICO (sem baixa)",IF(AND(ISNUMBER(R635),R635&lt;TODAY()),"🔴 PRAZO VENCIDO",IF(AND(OR(N635="PENDENTE",N635="PARCIAL"),D635&lt;TODAY()-1),"🔴 EMBARQUE ATRASADO",IF(AND(N635="REALIZADO",M635="PENDENTE"),"🟡 EMBARCADO SEM FATURAR",IF(AND(P635&lt;&gt;"",S635="",OR(Q635="",R635="")),"🟡 PENDÊNCIA SEM RESPONSÁVEL/PRAZO",IF(AND(ISNUMBER(R635),R635=TODAY()),"🟡 VENCE HOJE",IF(AND(P635&lt;&gt;"",S635=""),"🟡 PENDÊNCIA ABERTA",IF(AND(N(J635)&gt;0,N(K635)&lt;J635),"🟡 FALTA EXECUTAR",IF(OR(M635="PENDENTE",M635="PARCIAL"),"🟡 FATURAMENTO PENDENTE","🟡 EMBARQUE PENDENTE")))))))))))</f>
        <v/>
      </c>
      <c r="D635" s="4" t="n">
        <v>46264</v>
      </c>
      <c r="E635" s="5" t="inlineStr">
        <is>
          <t>B</t>
        </is>
      </c>
      <c r="F635" s="5" t="inlineStr">
        <is>
          <t>THIAGO</t>
        </is>
      </c>
      <c r="G635" s="5" t="inlineStr">
        <is>
          <t>GM</t>
        </is>
      </c>
      <c r="H635" s="5" t="inlineStr">
        <is>
          <t>CROSS 19 LOGGIO</t>
        </is>
      </c>
      <c r="I635" s="5" t="inlineStr">
        <is>
          <t>TON</t>
        </is>
      </c>
      <c r="J635" s="6" t="n">
        <v>19.477</v>
      </c>
      <c r="K635" s="6" t="n">
        <v>19.477</v>
      </c>
      <c r="L635" s="7">
        <f>IF(OR(D635="",N(J635)=0),"",MIN(1,N(K635)/J635))</f>
        <v/>
      </c>
      <c r="M635" s="5" t="n"/>
      <c r="N635" s="5" t="n"/>
      <c r="O635" s="5" t="n"/>
      <c r="P635" s="5" t="n"/>
      <c r="Q635" s="5" t="n"/>
      <c r="R635" s="4" t="n"/>
      <c r="S635" s="4" t="n"/>
      <c r="T635" s="5" t="n"/>
      <c r="U635" s="8">
        <f>IF(AND(V635=1,D635&lt;&gt;""),IF(D635&gt;=corte,TODAY()-D635,""),"")</f>
        <v/>
      </c>
      <c r="V635" s="8">
        <f>IF(D635="",0,IF(OR(AND(P635&lt;&gt;"",S635=""),AND(N(J635)&gt;0,N(K635)&lt;J635),OR(M635="PENDENTE",M635="PARCIAL"),OR(N635="PENDENTE",N635="PARCIAL")),1,0))</f>
        <v/>
      </c>
      <c r="W635" s="8">
        <f>IF(AND(V635=1,D635&lt;&gt;""),IF(D635&gt;=corte,(B635="CRÍTICO")*1E9+(100000-D635)*10000+10000-ROW(),""),"")</f>
        <v/>
      </c>
      <c r="X635" s="8">
        <f>IF(AND(V635=1,D635=pas_data,E635=pas_turno),10000-ROW(),"")</f>
        <v/>
      </c>
    </row>
    <row r="636">
      <c r="A636" s="3">
        <f>IF(D636="","","TT-"&amp;TEXT(ROW()-1,"00000"))</f>
        <v/>
      </c>
      <c r="B636" s="3">
        <f>IF(D636="","",IF(V636=0,"CONCLUÍDO",IF(D636&lt;corte,"HISTÓRICO",IF(OR(AND(ISNUMBER(R636),R636&lt;TODAY()),AND(OR(N636="PENDENTE",N636="PARCIAL"),D636&lt;TODAY()-1)),"CRÍTICO",IF(OR(AND(P636&lt;&gt;"",S636=""),AND(N636="REALIZADO",M636="PENDENTE"),AND(ISNUMBER(R636),R636=TODAY())),"ATENÇÃO",IF(N(K636)=0,"PENDENTE","EM ANDAMENTO"))))))</f>
        <v/>
      </c>
      <c r="C636" s="3">
        <f>IF(D636="","",IF(V636=0,"🟢 OK",IF(D636&lt;corte,"⚪ HISTÓRICO (sem baixa)",IF(AND(ISNUMBER(R636),R636&lt;TODAY()),"🔴 PRAZO VENCIDO",IF(AND(OR(N636="PENDENTE",N636="PARCIAL"),D636&lt;TODAY()-1),"🔴 EMBARQUE ATRASADO",IF(AND(N636="REALIZADO",M636="PENDENTE"),"🟡 EMBARCADO SEM FATURAR",IF(AND(P636&lt;&gt;"",S636="",OR(Q636="",R636="")),"🟡 PENDÊNCIA SEM RESPONSÁVEL/PRAZO",IF(AND(ISNUMBER(R636),R636=TODAY()),"🟡 VENCE HOJE",IF(AND(P636&lt;&gt;"",S636=""),"🟡 PENDÊNCIA ABERTA",IF(AND(N(J636)&gt;0,N(K636)&lt;J636),"🟡 FALTA EXECUTAR",IF(OR(M636="PENDENTE",M636="PARCIAL"),"🟡 FATURAMENTO PENDENTE","🟡 EMBARQUE PENDENTE")))))))))))</f>
        <v/>
      </c>
      <c r="D636" s="4" t="n">
        <v>46264</v>
      </c>
      <c r="E636" s="5" t="inlineStr">
        <is>
          <t>B</t>
        </is>
      </c>
      <c r="F636" s="5" t="inlineStr">
        <is>
          <t>THIAGO</t>
        </is>
      </c>
      <c r="G636" s="5" t="inlineStr">
        <is>
          <t>FOB</t>
        </is>
      </c>
      <c r="H636" s="5" t="inlineStr">
        <is>
          <t>MARCOS ARTIGOS</t>
        </is>
      </c>
      <c r="I636" s="5" t="inlineStr">
        <is>
          <t>TON</t>
        </is>
      </c>
      <c r="J636" s="6" t="n">
        <v>21.954</v>
      </c>
      <c r="K636" s="6" t="n">
        <v>21.954</v>
      </c>
      <c r="L636" s="7">
        <f>IF(OR(D636="",N(J636)=0),"",MIN(1,N(K636)/J636))</f>
        <v/>
      </c>
      <c r="M636" s="5" t="n"/>
      <c r="N636" s="5" t="n"/>
      <c r="O636" s="5" t="n"/>
      <c r="P636" s="5" t="n"/>
      <c r="Q636" s="5" t="n"/>
      <c r="R636" s="4" t="n"/>
      <c r="S636" s="4" t="n"/>
      <c r="T636" s="5" t="n"/>
      <c r="U636" s="8">
        <f>IF(AND(V636=1,D636&lt;&gt;""),IF(D636&gt;=corte,TODAY()-D636,""),"")</f>
        <v/>
      </c>
      <c r="V636" s="8">
        <f>IF(D636="",0,IF(OR(AND(P636&lt;&gt;"",S636=""),AND(N(J636)&gt;0,N(K636)&lt;J636),OR(M636="PENDENTE",M636="PARCIAL"),OR(N636="PENDENTE",N636="PARCIAL")),1,0))</f>
        <v/>
      </c>
      <c r="W636" s="8">
        <f>IF(AND(V636=1,D636&lt;&gt;""),IF(D636&gt;=corte,(B636="CRÍTICO")*1E9+(100000-D636)*10000+10000-ROW(),""),"")</f>
        <v/>
      </c>
      <c r="X636" s="8">
        <f>IF(AND(V636=1,D636=pas_data,E636=pas_turno),10000-ROW(),"")</f>
        <v/>
      </c>
    </row>
    <row r="637">
      <c r="A637" s="3">
        <f>IF(D637="","","TT-"&amp;TEXT(ROW()-1,"00000"))</f>
        <v/>
      </c>
      <c r="B637" s="3">
        <f>IF(D637="","",IF(V637=0,"CONCLUÍDO",IF(D637&lt;corte,"HISTÓRICO",IF(OR(AND(ISNUMBER(R637),R637&lt;TODAY()),AND(OR(N637="PENDENTE",N637="PARCIAL"),D637&lt;TODAY()-1)),"CRÍTICO",IF(OR(AND(P637&lt;&gt;"",S637=""),AND(N637="REALIZADO",M637="PENDENTE"),AND(ISNUMBER(R637),R637=TODAY())),"ATENÇÃO",IF(N(K637)=0,"PENDENTE","EM ANDAMENTO"))))))</f>
        <v/>
      </c>
      <c r="C637" s="3">
        <f>IF(D637="","",IF(V637=0,"🟢 OK",IF(D637&lt;corte,"⚪ HISTÓRICO (sem baixa)",IF(AND(ISNUMBER(R637),R637&lt;TODAY()),"🔴 PRAZO VENCIDO",IF(AND(OR(N637="PENDENTE",N637="PARCIAL"),D637&lt;TODAY()-1),"🔴 EMBARQUE ATRASADO",IF(AND(N637="REALIZADO",M637="PENDENTE"),"🟡 EMBARCADO SEM FATURAR",IF(AND(P637&lt;&gt;"",S637="",OR(Q637="",R637="")),"🟡 PENDÊNCIA SEM RESPONSÁVEL/PRAZO",IF(AND(ISNUMBER(R637),R637=TODAY()),"🟡 VENCE HOJE",IF(AND(P637&lt;&gt;"",S637=""),"🟡 PENDÊNCIA ABERTA",IF(AND(N(J637)&gt;0,N(K637)&lt;J637),"🟡 FALTA EXECUTAR",IF(OR(M637="PENDENTE",M637="PARCIAL"),"🟡 FATURAMENTO PENDENTE","🟡 EMBARQUE PENDENTE")))))))))))</f>
        <v/>
      </c>
      <c r="D637" s="4" t="n">
        <v>46264</v>
      </c>
      <c r="E637" s="5" t="inlineStr">
        <is>
          <t>B</t>
        </is>
      </c>
      <c r="F637" s="5" t="inlineStr">
        <is>
          <t>THIAGO</t>
        </is>
      </c>
      <c r="G637" s="5" t="inlineStr">
        <is>
          <t>GM</t>
        </is>
      </c>
      <c r="H637" s="5" t="inlineStr">
        <is>
          <t>NORDESTE</t>
        </is>
      </c>
      <c r="I637" s="5" t="inlineStr">
        <is>
          <t>TON</t>
        </is>
      </c>
      <c r="J637" s="6" t="n">
        <v>3.522</v>
      </c>
      <c r="K637" s="6" t="n">
        <v>3.522</v>
      </c>
      <c r="L637" s="7">
        <f>IF(OR(D637="",N(J637)=0),"",MIN(1,N(K637)/J637))</f>
        <v/>
      </c>
      <c r="M637" s="5" t="n"/>
      <c r="N637" s="5" t="n"/>
      <c r="O637" s="5" t="n"/>
      <c r="P637" s="5" t="n"/>
      <c r="Q637" s="5" t="n"/>
      <c r="R637" s="4" t="n"/>
      <c r="S637" s="4" t="n"/>
      <c r="T637" s="5" t="n"/>
      <c r="U637" s="8">
        <f>IF(AND(V637=1,D637&lt;&gt;""),IF(D637&gt;=corte,TODAY()-D637,""),"")</f>
        <v/>
      </c>
      <c r="V637" s="8">
        <f>IF(D637="",0,IF(OR(AND(P637&lt;&gt;"",S637=""),AND(N(J637)&gt;0,N(K637)&lt;J637),OR(M637="PENDENTE",M637="PARCIAL"),OR(N637="PENDENTE",N637="PARCIAL")),1,0))</f>
        <v/>
      </c>
      <c r="W637" s="8">
        <f>IF(AND(V637=1,D637&lt;&gt;""),IF(D637&gt;=corte,(B637="CRÍTICO")*1E9+(100000-D637)*10000+10000-ROW(),""),"")</f>
        <v/>
      </c>
      <c r="X637" s="8">
        <f>IF(AND(V637=1,D637=pas_data,E637=pas_turno),10000-ROW(),"")</f>
        <v/>
      </c>
    </row>
    <row r="638">
      <c r="A638" s="3">
        <f>IF(D638="","","TT-"&amp;TEXT(ROW()-1,"00000"))</f>
        <v/>
      </c>
      <c r="B638" s="3">
        <f>IF(D638="","",IF(V638=0,"CONCLUÍDO",IF(D638&lt;corte,"HISTÓRICO",IF(OR(AND(ISNUMBER(R638),R638&lt;TODAY()),AND(OR(N638="PENDENTE",N638="PARCIAL"),D638&lt;TODAY()-1)),"CRÍTICO",IF(OR(AND(P638&lt;&gt;"",S638=""),AND(N638="REALIZADO",M638="PENDENTE"),AND(ISNUMBER(R638),R638=TODAY())),"ATENÇÃO",IF(N(K638)=0,"PENDENTE","EM ANDAMENTO"))))))</f>
        <v/>
      </c>
      <c r="C638" s="3">
        <f>IF(D638="","",IF(V638=0,"🟢 OK",IF(D638&lt;corte,"⚪ HISTÓRICO (sem baixa)",IF(AND(ISNUMBER(R638),R638&lt;TODAY()),"🔴 PRAZO VENCIDO",IF(AND(OR(N638="PENDENTE",N638="PARCIAL"),D638&lt;TODAY()-1),"🔴 EMBARQUE ATRASADO",IF(AND(N638="REALIZADO",M638="PENDENTE"),"🟡 EMBARCADO SEM FATURAR",IF(AND(P638&lt;&gt;"",S638="",OR(Q638="",R638="")),"🟡 PENDÊNCIA SEM RESPONSÁVEL/PRAZO",IF(AND(ISNUMBER(R638),R638=TODAY()),"🟡 VENCE HOJE",IF(AND(P638&lt;&gt;"",S638=""),"🟡 PENDÊNCIA ABERTA",IF(AND(N(J638)&gt;0,N(K638)&lt;J638),"🟡 FALTA EXECUTAR",IF(OR(M638="PENDENTE",M638="PARCIAL"),"🟡 FATURAMENTO PENDENTE","🟡 EMBARQUE PENDENTE")))))))))))</f>
        <v/>
      </c>
      <c r="D638" s="4" t="n">
        <v>46264</v>
      </c>
      <c r="E638" s="5" t="inlineStr">
        <is>
          <t>B</t>
        </is>
      </c>
      <c r="F638" s="5" t="inlineStr">
        <is>
          <t>THIAGO</t>
        </is>
      </c>
      <c r="G638" s="5" t="inlineStr">
        <is>
          <t>GM</t>
        </is>
      </c>
      <c r="H638" s="5" t="inlineStr">
        <is>
          <t>VIEL VIEL</t>
        </is>
      </c>
      <c r="I638" s="5" t="inlineStr">
        <is>
          <t>TON</t>
        </is>
      </c>
      <c r="J638" s="6" t="n">
        <v>3.053</v>
      </c>
      <c r="K638" s="6" t="n">
        <v>3.053</v>
      </c>
      <c r="L638" s="7">
        <f>IF(OR(D638="",N(J638)=0),"",MIN(1,N(K638)/J638))</f>
        <v/>
      </c>
      <c r="M638" s="5" t="n"/>
      <c r="N638" s="5" t="n"/>
      <c r="O638" s="5" t="n"/>
      <c r="P638" s="5" t="n"/>
      <c r="Q638" s="5" t="n"/>
      <c r="R638" s="4" t="n"/>
      <c r="S638" s="4" t="n"/>
      <c r="T638" s="5" t="n"/>
      <c r="U638" s="8">
        <f>IF(AND(V638=1,D638&lt;&gt;""),IF(D638&gt;=corte,TODAY()-D638,""),"")</f>
        <v/>
      </c>
      <c r="V638" s="8">
        <f>IF(D638="",0,IF(OR(AND(P638&lt;&gt;"",S638=""),AND(N(J638)&gt;0,N(K638)&lt;J638),OR(M638="PENDENTE",M638="PARCIAL"),OR(N638="PENDENTE",N638="PARCIAL")),1,0))</f>
        <v/>
      </c>
      <c r="W638" s="8">
        <f>IF(AND(V638=1,D638&lt;&gt;""),IF(D638&gt;=corte,(B638="CRÍTICO")*1E9+(100000-D638)*10000+10000-ROW(),""),"")</f>
        <v/>
      </c>
      <c r="X638" s="8">
        <f>IF(AND(V638=1,D638=pas_data,E638=pas_turno),10000-ROW(),"")</f>
        <v/>
      </c>
    </row>
    <row r="639">
      <c r="A639" s="3">
        <f>IF(D639="","","TT-"&amp;TEXT(ROW()-1,"00000"))</f>
        <v/>
      </c>
      <c r="B639" s="3">
        <f>IF(D639="","",IF(V639=0,"CONCLUÍDO",IF(D639&lt;corte,"HISTÓRICO",IF(OR(AND(ISNUMBER(R639),R639&lt;TODAY()),AND(OR(N639="PENDENTE",N639="PARCIAL"),D639&lt;TODAY()-1)),"CRÍTICO",IF(OR(AND(P639&lt;&gt;"",S639=""),AND(N639="REALIZADO",M639="PENDENTE"),AND(ISNUMBER(R639),R639=TODAY())),"ATENÇÃO",IF(N(K639)=0,"PENDENTE","EM ANDAMENTO"))))))</f>
        <v/>
      </c>
      <c r="C639" s="3">
        <f>IF(D639="","",IF(V639=0,"🟢 OK",IF(D639&lt;corte,"⚪ HISTÓRICO (sem baixa)",IF(AND(ISNUMBER(R639),R639&lt;TODAY()),"🔴 PRAZO VENCIDO",IF(AND(OR(N639="PENDENTE",N639="PARCIAL"),D639&lt;TODAY()-1),"🔴 EMBARQUE ATRASADO",IF(AND(N639="REALIZADO",M639="PENDENTE"),"🟡 EMBARCADO SEM FATURAR",IF(AND(P639&lt;&gt;"",S639="",OR(Q639="",R639="")),"🟡 PENDÊNCIA SEM RESPONSÁVEL/PRAZO",IF(AND(ISNUMBER(R639),R639=TODAY()),"🟡 VENCE HOJE",IF(AND(P639&lt;&gt;"",S639=""),"🟡 PENDÊNCIA ABERTA",IF(AND(N(J639)&gt;0,N(K639)&lt;J639),"🟡 FALTA EXECUTAR",IF(OR(M639="PENDENTE",M639="PARCIAL"),"🟡 FATURAMENTO PENDENTE","🟡 EMBARQUE PENDENTE")))))))))))</f>
        <v/>
      </c>
      <c r="D639" s="4" t="n">
        <v>46264</v>
      </c>
      <c r="E639" s="5" t="inlineStr">
        <is>
          <t>B</t>
        </is>
      </c>
      <c r="F639" s="5" t="inlineStr">
        <is>
          <t>THIAGO</t>
        </is>
      </c>
      <c r="G639" s="5" t="inlineStr">
        <is>
          <t>FLOOR</t>
        </is>
      </c>
      <c r="H639" s="5" t="n"/>
      <c r="I639" s="5" t="inlineStr">
        <is>
          <t>PALETE</t>
        </is>
      </c>
      <c r="J639" s="6" t="n">
        <v>99</v>
      </c>
      <c r="K639" s="6" t="n">
        <v>98</v>
      </c>
      <c r="L639" s="7">
        <f>IF(OR(D639="",N(J639)=0),"",MIN(1,N(K639)/J639))</f>
        <v/>
      </c>
      <c r="M639" s="5" t="n"/>
      <c r="N639" s="5" t="n"/>
      <c r="O639" s="5" t="n"/>
      <c r="P639" s="5" t="n"/>
      <c r="Q639" s="5" t="n"/>
      <c r="R639" s="4" t="n"/>
      <c r="S639" s="4" t="n"/>
      <c r="T639" s="5" t="n"/>
      <c r="U639" s="8">
        <f>IF(AND(V639=1,D639&lt;&gt;""),IF(D639&gt;=corte,TODAY()-D639,""),"")</f>
        <v/>
      </c>
      <c r="V639" s="8">
        <f>IF(D639="",0,IF(OR(AND(P639&lt;&gt;"",S639=""),AND(N(J639)&gt;0,N(K639)&lt;J639),OR(M639="PENDENTE",M639="PARCIAL"),OR(N639="PENDENTE",N639="PARCIAL")),1,0))</f>
        <v/>
      </c>
      <c r="W639" s="8">
        <f>IF(AND(V639=1,D639&lt;&gt;""),IF(D639&gt;=corte,(B639="CRÍTICO")*1E9+(100000-D639)*10000+10000-ROW(),""),"")</f>
        <v/>
      </c>
      <c r="X639" s="8">
        <f>IF(AND(V639=1,D639=pas_data,E639=pas_turno),10000-ROW(),"")</f>
        <v/>
      </c>
    </row>
    <row r="640">
      <c r="A640" s="3">
        <f>IF(D640="","","TT-"&amp;TEXT(ROW()-1,"00000"))</f>
        <v/>
      </c>
      <c r="B640" s="3">
        <f>IF(D640="","",IF(V640=0,"CONCLUÍDO",IF(D640&lt;corte,"HISTÓRICO",IF(OR(AND(ISNUMBER(R640),R640&lt;TODAY()),AND(OR(N640="PENDENTE",N640="PARCIAL"),D640&lt;TODAY()-1)),"CRÍTICO",IF(OR(AND(P640&lt;&gt;"",S640=""),AND(N640="REALIZADO",M640="PENDENTE"),AND(ISNUMBER(R640),R640=TODAY())),"ATENÇÃO",IF(N(K640)=0,"PENDENTE","EM ANDAMENTO"))))))</f>
        <v/>
      </c>
      <c r="C640" s="3">
        <f>IF(D640="","",IF(V640=0,"🟢 OK",IF(D640&lt;corte,"⚪ HISTÓRICO (sem baixa)",IF(AND(ISNUMBER(R640),R640&lt;TODAY()),"🔴 PRAZO VENCIDO",IF(AND(OR(N640="PENDENTE",N640="PARCIAL"),D640&lt;TODAY()-1),"🔴 EMBARQUE ATRASADO",IF(AND(N640="REALIZADO",M640="PENDENTE"),"🟡 EMBARCADO SEM FATURAR",IF(AND(P640&lt;&gt;"",S640="",OR(Q640="",R640="")),"🟡 PENDÊNCIA SEM RESPONSÁVEL/PRAZO",IF(AND(ISNUMBER(R640),R640=TODAY()),"🟡 VENCE HOJE",IF(AND(P640&lt;&gt;"",S640=""),"🟡 PENDÊNCIA ABERTA",IF(AND(N(J640)&gt;0,N(K640)&lt;J640),"🟡 FALTA EXECUTAR",IF(OR(M640="PENDENTE",M640="PARCIAL"),"🟡 FATURAMENTO PENDENTE","🟡 EMBARQUE PENDENTE")))))))))))</f>
        <v/>
      </c>
      <c r="D640" s="4" t="n">
        <v>46265</v>
      </c>
      <c r="E640" s="5" t="inlineStr">
        <is>
          <t>C</t>
        </is>
      </c>
      <c r="F640" s="5" t="inlineStr">
        <is>
          <t>ADIB</t>
        </is>
      </c>
      <c r="G640" s="5" t="inlineStr">
        <is>
          <t>GM</t>
        </is>
      </c>
      <c r="H640" s="5" t="inlineStr">
        <is>
          <t>STA</t>
        </is>
      </c>
      <c r="I640" s="5" t="inlineStr">
        <is>
          <t>TON</t>
        </is>
      </c>
      <c r="J640" s="6" t="n">
        <v>21.954</v>
      </c>
      <c r="K640" s="6" t="n">
        <v>21.954</v>
      </c>
      <c r="L640" s="7">
        <f>IF(OR(D640="",N(J640)=0),"",MIN(1,N(K640)/J640))</f>
        <v/>
      </c>
      <c r="M640" s="5" t="inlineStr">
        <is>
          <t>FATURADO</t>
        </is>
      </c>
      <c r="N640" s="5" t="inlineStr">
        <is>
          <t>PENDENTE</t>
        </is>
      </c>
      <c r="O640" s="5" t="inlineStr">
        <is>
          <t>PRÓPRIO</t>
        </is>
      </c>
      <c r="P640" s="5" t="n"/>
      <c r="Q640" s="5" t="n"/>
      <c r="R640" s="4" t="n"/>
      <c r="S640" s="4" t="n"/>
      <c r="T640" s="5" t="n"/>
      <c r="U640" s="8">
        <f>IF(AND(V640=1,D640&lt;&gt;""),IF(D640&gt;=corte,TODAY()-D640,""),"")</f>
        <v/>
      </c>
      <c r="V640" s="8">
        <f>IF(D640="",0,IF(OR(AND(P640&lt;&gt;"",S640=""),AND(N(J640)&gt;0,N(K640)&lt;J640),OR(M640="PENDENTE",M640="PARCIAL"),OR(N640="PENDENTE",N640="PARCIAL")),1,0))</f>
        <v/>
      </c>
      <c r="W640" s="8">
        <f>IF(AND(V640=1,D640&lt;&gt;""),IF(D640&gt;=corte,(B640="CRÍTICO")*1E9+(100000-D640)*10000+10000-ROW(),""),"")</f>
        <v/>
      </c>
      <c r="X640" s="8">
        <f>IF(AND(V640=1,D640=pas_data,E640=pas_turno),10000-ROW(),"")</f>
        <v/>
      </c>
    </row>
    <row r="641">
      <c r="A641" s="3">
        <f>IF(D641="","","TT-"&amp;TEXT(ROW()-1,"00000"))</f>
        <v/>
      </c>
      <c r="B641" s="3">
        <f>IF(D641="","",IF(V641=0,"CONCLUÍDO",IF(D641&lt;corte,"HISTÓRICO",IF(OR(AND(ISNUMBER(R641),R641&lt;TODAY()),AND(OR(N641="PENDENTE",N641="PARCIAL"),D641&lt;TODAY()-1)),"CRÍTICO",IF(OR(AND(P641&lt;&gt;"",S641=""),AND(N641="REALIZADO",M641="PENDENTE"),AND(ISNUMBER(R641),R641=TODAY())),"ATENÇÃO",IF(N(K641)=0,"PENDENTE","EM ANDAMENTO"))))))</f>
        <v/>
      </c>
      <c r="C641" s="3">
        <f>IF(D641="","",IF(V641=0,"🟢 OK",IF(D641&lt;corte,"⚪ HISTÓRICO (sem baixa)",IF(AND(ISNUMBER(R641),R641&lt;TODAY()),"🔴 PRAZO VENCIDO",IF(AND(OR(N641="PENDENTE",N641="PARCIAL"),D641&lt;TODAY()-1),"🔴 EMBARQUE ATRASADO",IF(AND(N641="REALIZADO",M641="PENDENTE"),"🟡 EMBARCADO SEM FATURAR",IF(AND(P641&lt;&gt;"",S641="",OR(Q641="",R641="")),"🟡 PENDÊNCIA SEM RESPONSÁVEL/PRAZO",IF(AND(ISNUMBER(R641),R641=TODAY()),"🟡 VENCE HOJE",IF(AND(P641&lt;&gt;"",S641=""),"🟡 PENDÊNCIA ABERTA",IF(AND(N(J641)&gt;0,N(K641)&lt;J641),"🟡 FALTA EXECUTAR",IF(OR(M641="PENDENTE",M641="PARCIAL"),"🟡 FATURAMENTO PENDENTE","🟡 EMBARQUE PENDENTE")))))))))))</f>
        <v/>
      </c>
      <c r="D641" s="4" t="n">
        <v>46265</v>
      </c>
      <c r="E641" s="5" t="inlineStr">
        <is>
          <t>C</t>
        </is>
      </c>
      <c r="F641" s="5" t="inlineStr">
        <is>
          <t>ADIB</t>
        </is>
      </c>
      <c r="G641" s="5" t="inlineStr">
        <is>
          <t>GM</t>
        </is>
      </c>
      <c r="H641" s="5" t="inlineStr">
        <is>
          <t>MG / NORDESTE</t>
        </is>
      </c>
      <c r="I641" s="5" t="inlineStr">
        <is>
          <t>TON</t>
        </is>
      </c>
      <c r="J641" s="6" t="n">
        <v>13.54</v>
      </c>
      <c r="K641" s="6" t="n">
        <v>13.54</v>
      </c>
      <c r="L641" s="7">
        <f>IF(OR(D641="",N(J641)=0),"",MIN(1,N(K641)/J641))</f>
        <v/>
      </c>
      <c r="M641" s="5" t="inlineStr">
        <is>
          <t>FATURADO</t>
        </is>
      </c>
      <c r="N641" s="5" t="n"/>
      <c r="O641" s="5" t="inlineStr">
        <is>
          <t>BORA</t>
        </is>
      </c>
      <c r="P641" s="5" t="n"/>
      <c r="Q641" s="5" t="n"/>
      <c r="R641" s="4" t="n"/>
      <c r="S641" s="4" t="n"/>
      <c r="T641" s="5" t="n"/>
      <c r="U641" s="8">
        <f>IF(AND(V641=1,D641&lt;&gt;""),IF(D641&gt;=corte,TODAY()-D641,""),"")</f>
        <v/>
      </c>
      <c r="V641" s="8">
        <f>IF(D641="",0,IF(OR(AND(P641&lt;&gt;"",S641=""),AND(N(J641)&gt;0,N(K641)&lt;J641),OR(M641="PENDENTE",M641="PARCIAL"),OR(N641="PENDENTE",N641="PARCIAL")),1,0))</f>
        <v/>
      </c>
      <c r="W641" s="8">
        <f>IF(AND(V641=1,D641&lt;&gt;""),IF(D641&gt;=corte,(B641="CRÍTICO")*1E9+(100000-D641)*10000+10000-ROW(),""),"")</f>
        <v/>
      </c>
      <c r="X641" s="8">
        <f>IF(AND(V641=1,D641=pas_data,E641=pas_turno),10000-ROW(),"")</f>
        <v/>
      </c>
    </row>
    <row r="642">
      <c r="A642" s="3">
        <f>IF(D642="","","TT-"&amp;TEXT(ROW()-1,"00000"))</f>
        <v/>
      </c>
      <c r="B642" s="3">
        <f>IF(D642="","",IF(V642=0,"CONCLUÍDO",IF(D642&lt;corte,"HISTÓRICO",IF(OR(AND(ISNUMBER(R642),R642&lt;TODAY()),AND(OR(N642="PENDENTE",N642="PARCIAL"),D642&lt;TODAY()-1)),"CRÍTICO",IF(OR(AND(P642&lt;&gt;"",S642=""),AND(N642="REALIZADO",M642="PENDENTE"),AND(ISNUMBER(R642),R642=TODAY())),"ATENÇÃO",IF(N(K642)=0,"PENDENTE","EM ANDAMENTO"))))))</f>
        <v/>
      </c>
      <c r="C642" s="3">
        <f>IF(D642="","",IF(V642=0,"🟢 OK",IF(D642&lt;corte,"⚪ HISTÓRICO (sem baixa)",IF(AND(ISNUMBER(R642),R642&lt;TODAY()),"🔴 PRAZO VENCIDO",IF(AND(OR(N642="PENDENTE",N642="PARCIAL"),D642&lt;TODAY()-1),"🔴 EMBARQUE ATRASADO",IF(AND(N642="REALIZADO",M642="PENDENTE"),"🟡 EMBARCADO SEM FATURAR",IF(AND(P642&lt;&gt;"",S642="",OR(Q642="",R642="")),"🟡 PENDÊNCIA SEM RESPONSÁVEL/PRAZO",IF(AND(ISNUMBER(R642),R642=TODAY()),"🟡 VENCE HOJE",IF(AND(P642&lt;&gt;"",S642=""),"🟡 PENDÊNCIA ABERTA",IF(AND(N(J642)&gt;0,N(K642)&lt;J642),"🟡 FALTA EXECUTAR",IF(OR(M642="PENDENTE",M642="PARCIAL"),"🟡 FATURAMENTO PENDENTE","🟡 EMBARQUE PENDENTE")))))))))))</f>
        <v/>
      </c>
      <c r="D642" s="4" t="n">
        <v>46265</v>
      </c>
      <c r="E642" s="5" t="inlineStr">
        <is>
          <t>C</t>
        </is>
      </c>
      <c r="F642" s="5" t="inlineStr">
        <is>
          <t>ADIB</t>
        </is>
      </c>
      <c r="G642" s="5" t="inlineStr">
        <is>
          <t>FOB</t>
        </is>
      </c>
      <c r="H642" s="5" t="inlineStr">
        <is>
          <t>MARCOS ARTGOS</t>
        </is>
      </c>
      <c r="I642" s="5" t="inlineStr">
        <is>
          <t>TON</t>
        </is>
      </c>
      <c r="J642" s="6" t="n">
        <v>8.23</v>
      </c>
      <c r="K642" s="6" t="n">
        <v>8.23</v>
      </c>
      <c r="L642" s="7">
        <f>IF(OR(D642="",N(J642)=0),"",MIN(1,N(K642)/J642))</f>
        <v/>
      </c>
      <c r="M642" s="5" t="inlineStr">
        <is>
          <t>PENDENTE</t>
        </is>
      </c>
      <c r="N642" s="5" t="inlineStr">
        <is>
          <t>PENDENTE</t>
        </is>
      </c>
      <c r="O642" s="5" t="inlineStr">
        <is>
          <t>PRÓPRIO</t>
        </is>
      </c>
      <c r="P642" s="5" t="n"/>
      <c r="Q642" s="5" t="n"/>
      <c r="R642" s="4" t="n"/>
      <c r="S642" s="4" t="n"/>
      <c r="T642" s="5" t="n"/>
      <c r="U642" s="8">
        <f>IF(AND(V642=1,D642&lt;&gt;""),IF(D642&gt;=corte,TODAY()-D642,""),"")</f>
        <v/>
      </c>
      <c r="V642" s="8">
        <f>IF(D642="",0,IF(OR(AND(P642&lt;&gt;"",S642=""),AND(N(J642)&gt;0,N(K642)&lt;J642),OR(M642="PENDENTE",M642="PARCIAL"),OR(N642="PENDENTE",N642="PARCIAL")),1,0))</f>
        <v/>
      </c>
      <c r="W642" s="8">
        <f>IF(AND(V642=1,D642&lt;&gt;""),IF(D642&gt;=corte,(B642="CRÍTICO")*1E9+(100000-D642)*10000+10000-ROW(),""),"")</f>
        <v/>
      </c>
      <c r="X642" s="8">
        <f>IF(AND(V642=1,D642=pas_data,E642=pas_turno),10000-ROW(),"")</f>
        <v/>
      </c>
    </row>
    <row r="643">
      <c r="A643" s="3">
        <f>IF(D643="","","TT-"&amp;TEXT(ROW()-1,"00000"))</f>
        <v/>
      </c>
      <c r="B643" s="3">
        <f>IF(D643="","",IF(V643=0,"CONCLUÍDO",IF(D643&lt;corte,"HISTÓRICO",IF(OR(AND(ISNUMBER(R643),R643&lt;TODAY()),AND(OR(N643="PENDENTE",N643="PARCIAL"),D643&lt;TODAY()-1)),"CRÍTICO",IF(OR(AND(P643&lt;&gt;"",S643=""),AND(N643="REALIZADO",M643="PENDENTE"),AND(ISNUMBER(R643),R643=TODAY())),"ATENÇÃO",IF(N(K643)=0,"PENDENTE","EM ANDAMENTO"))))))</f>
        <v/>
      </c>
      <c r="C643" s="3">
        <f>IF(D643="","",IF(V643=0,"🟢 OK",IF(D643&lt;corte,"⚪ HISTÓRICO (sem baixa)",IF(AND(ISNUMBER(R643),R643&lt;TODAY()),"🔴 PRAZO VENCIDO",IF(AND(OR(N643="PENDENTE",N643="PARCIAL"),D643&lt;TODAY()-1),"🔴 EMBARQUE ATRASADO",IF(AND(N643="REALIZADO",M643="PENDENTE"),"🟡 EMBARCADO SEM FATURAR",IF(AND(P643&lt;&gt;"",S643="",OR(Q643="",R643="")),"🟡 PENDÊNCIA SEM RESPONSÁVEL/PRAZO",IF(AND(ISNUMBER(R643),R643=TODAY()),"🟡 VENCE HOJE",IF(AND(P643&lt;&gt;"",S643=""),"🟡 PENDÊNCIA ABERTA",IF(AND(N(J643)&gt;0,N(K643)&lt;J643),"🟡 FALTA EXECUTAR",IF(OR(M643="PENDENTE",M643="PARCIAL"),"🟡 FATURAMENTO PENDENTE","🟡 EMBARQUE PENDENTE")))))))))))</f>
        <v/>
      </c>
      <c r="D643" s="4" t="n">
        <v>46265</v>
      </c>
      <c r="E643" s="5" t="inlineStr">
        <is>
          <t>C</t>
        </is>
      </c>
      <c r="F643" s="5" t="inlineStr">
        <is>
          <t>ADIB</t>
        </is>
      </c>
      <c r="G643" s="5" t="inlineStr">
        <is>
          <t>FOB</t>
        </is>
      </c>
      <c r="H643" s="5" t="inlineStr">
        <is>
          <t>COMERCIAL DISKPAN</t>
        </is>
      </c>
      <c r="I643" s="5" t="inlineStr">
        <is>
          <t>TON</t>
        </is>
      </c>
      <c r="J643" s="6" t="n">
        <v>10.977</v>
      </c>
      <c r="K643" s="6" t="n">
        <v>10.977</v>
      </c>
      <c r="L643" s="7">
        <f>IF(OR(D643="",N(J643)=0),"",MIN(1,N(K643)/J643))</f>
        <v/>
      </c>
      <c r="M643" s="5" t="inlineStr">
        <is>
          <t>FATURADO</t>
        </is>
      </c>
      <c r="N643" s="5" t="inlineStr">
        <is>
          <t>REALIZADO</t>
        </is>
      </c>
      <c r="O643" s="5" t="inlineStr">
        <is>
          <t>PRÓPRIO</t>
        </is>
      </c>
      <c r="P643" s="5" t="n"/>
      <c r="Q643" s="5" t="n"/>
      <c r="R643" s="4" t="n"/>
      <c r="S643" s="4" t="n"/>
      <c r="T643" s="5" t="inlineStr">
        <is>
          <t>SEPARADO FATURADO - CARREGADO E LIBERADO</t>
        </is>
      </c>
      <c r="U643" s="8">
        <f>IF(AND(V643=1,D643&lt;&gt;""),IF(D643&gt;=corte,TODAY()-D643,""),"")</f>
        <v/>
      </c>
      <c r="V643" s="8">
        <f>IF(D643="",0,IF(OR(AND(P643&lt;&gt;"",S643=""),AND(N(J643)&gt;0,N(K643)&lt;J643),OR(M643="PENDENTE",M643="PARCIAL"),OR(N643="PENDENTE",N643="PARCIAL")),1,0))</f>
        <v/>
      </c>
      <c r="W643" s="8">
        <f>IF(AND(V643=1,D643&lt;&gt;""),IF(D643&gt;=corte,(B643="CRÍTICO")*1E9+(100000-D643)*10000+10000-ROW(),""),"")</f>
        <v/>
      </c>
      <c r="X643" s="8">
        <f>IF(AND(V643=1,D643=pas_data,E643=pas_turno),10000-ROW(),"")</f>
        <v/>
      </c>
    </row>
    <row r="644">
      <c r="A644" s="3">
        <f>IF(D644="","","TT-"&amp;TEXT(ROW()-1,"00000"))</f>
        <v/>
      </c>
      <c r="B644" s="3">
        <f>IF(D644="","",IF(V644=0,"CONCLUÍDO",IF(D644&lt;corte,"HISTÓRICO",IF(OR(AND(ISNUMBER(R644),R644&lt;TODAY()),AND(OR(N644="PENDENTE",N644="PARCIAL"),D644&lt;TODAY()-1)),"CRÍTICO",IF(OR(AND(P644&lt;&gt;"",S644=""),AND(N644="REALIZADO",M644="PENDENTE"),AND(ISNUMBER(R644),R644=TODAY())),"ATENÇÃO",IF(N(K644)=0,"PENDENTE","EM ANDAMENTO"))))))</f>
        <v/>
      </c>
      <c r="C644" s="3">
        <f>IF(D644="","",IF(V644=0,"🟢 OK",IF(D644&lt;corte,"⚪ HISTÓRICO (sem baixa)",IF(AND(ISNUMBER(R644),R644&lt;TODAY()),"🔴 PRAZO VENCIDO",IF(AND(OR(N644="PENDENTE",N644="PARCIAL"),D644&lt;TODAY()-1),"🔴 EMBARQUE ATRASADO",IF(AND(N644="REALIZADO",M644="PENDENTE"),"🟡 EMBARCADO SEM FATURAR",IF(AND(P644&lt;&gt;"",S644="",OR(Q644="",R644="")),"🟡 PENDÊNCIA SEM RESPONSÁVEL/PRAZO",IF(AND(ISNUMBER(R644),R644=TODAY()),"🟡 VENCE HOJE",IF(AND(P644&lt;&gt;"",S644=""),"🟡 PENDÊNCIA ABERTA",IF(AND(N(J644)&gt;0,N(K644)&lt;J644),"🟡 FALTA EXECUTAR",IF(OR(M644="PENDENTE",M644="PARCIAL"),"🟡 FATURAMENTO PENDENTE","🟡 EMBARQUE PENDENTE")))))))))))</f>
        <v/>
      </c>
      <c r="D644" s="4" t="n">
        <v>46265</v>
      </c>
      <c r="E644" s="5" t="inlineStr">
        <is>
          <t>C</t>
        </is>
      </c>
      <c r="F644" s="5" t="inlineStr">
        <is>
          <t>ADIB</t>
        </is>
      </c>
      <c r="G644" s="5" t="inlineStr">
        <is>
          <t>GM</t>
        </is>
      </c>
      <c r="H644" s="5" t="inlineStr">
        <is>
          <t>AGENDADAS 01/09 - 02/09</t>
        </is>
      </c>
      <c r="I644" s="5" t="inlineStr">
        <is>
          <t>TON</t>
        </is>
      </c>
      <c r="J644" s="6" t="n">
        <v>11.31</v>
      </c>
      <c r="K644" s="6" t="n">
        <v>11.31</v>
      </c>
      <c r="L644" s="7">
        <f>IF(OR(D644="",N(J644)=0),"",MIN(1,N(K644)/J644))</f>
        <v/>
      </c>
      <c r="M644" s="5" t="inlineStr">
        <is>
          <t>PARCIAL</t>
        </is>
      </c>
      <c r="N644" s="5" t="inlineStr">
        <is>
          <t>PENDENTE</t>
        </is>
      </c>
      <c r="O644" s="5" t="inlineStr">
        <is>
          <t>SMARTLOG</t>
        </is>
      </c>
      <c r="P644" s="5" t="inlineStr">
        <is>
          <t>FINALIZAR SEPARAÇÕES CONFERENCIAS E FATURAR</t>
        </is>
      </c>
      <c r="Q644" s="5" t="n"/>
      <c r="R644" s="4" t="n"/>
      <c r="S644" s="4" t="n"/>
      <c r="T644" s="5" t="inlineStr">
        <is>
          <t>FINALIZAR SEPARAÇÕES CONFERENCIAS E FATURAR</t>
        </is>
      </c>
      <c r="U644" s="8">
        <f>IF(AND(V644=1,D644&lt;&gt;""),IF(D644&gt;=corte,TODAY()-D644,""),"")</f>
        <v/>
      </c>
      <c r="V644" s="8">
        <f>IF(D644="",0,IF(OR(AND(P644&lt;&gt;"",S644=""),AND(N(J644)&gt;0,N(K644)&lt;J644),OR(M644="PENDENTE",M644="PARCIAL"),OR(N644="PENDENTE",N644="PARCIAL")),1,0))</f>
        <v/>
      </c>
      <c r="W644" s="8">
        <f>IF(AND(V644=1,D644&lt;&gt;""),IF(D644&gt;=corte,(B644="CRÍTICO")*1E9+(100000-D644)*10000+10000-ROW(),""),"")</f>
        <v/>
      </c>
      <c r="X644" s="8">
        <f>IF(AND(V644=1,D644=pas_data,E644=pas_turno),10000-ROW(),"")</f>
        <v/>
      </c>
    </row>
    <row r="645">
      <c r="A645" s="3">
        <f>IF(D645="","","TT-"&amp;TEXT(ROW()-1,"00000"))</f>
        <v/>
      </c>
      <c r="B645" s="3">
        <f>IF(D645="","",IF(V645=0,"CONCLUÍDO",IF(D645&lt;corte,"HISTÓRICO",IF(OR(AND(ISNUMBER(R645),R645&lt;TODAY()),AND(OR(N645="PENDENTE",N645="PARCIAL"),D645&lt;TODAY()-1)),"CRÍTICO",IF(OR(AND(P645&lt;&gt;"",S645=""),AND(N645="REALIZADO",M645="PENDENTE"),AND(ISNUMBER(R645),R645=TODAY())),"ATENÇÃO",IF(N(K645)=0,"PENDENTE","EM ANDAMENTO"))))))</f>
        <v/>
      </c>
      <c r="C645" s="3">
        <f>IF(D645="","",IF(V645=0,"🟢 OK",IF(D645&lt;corte,"⚪ HISTÓRICO (sem baixa)",IF(AND(ISNUMBER(R645),R645&lt;TODAY()),"🔴 PRAZO VENCIDO",IF(AND(OR(N645="PENDENTE",N645="PARCIAL"),D645&lt;TODAY()-1),"🔴 EMBARQUE ATRASADO",IF(AND(N645="REALIZADO",M645="PENDENTE"),"🟡 EMBARCADO SEM FATURAR",IF(AND(P645&lt;&gt;"",S645="",OR(Q645="",R645="")),"🟡 PENDÊNCIA SEM RESPONSÁVEL/PRAZO",IF(AND(ISNUMBER(R645),R645=TODAY()),"🟡 VENCE HOJE",IF(AND(P645&lt;&gt;"",S645=""),"🟡 PENDÊNCIA ABERTA",IF(AND(N(J645)&gt;0,N(K645)&lt;J645),"🟡 FALTA EXECUTAR",IF(OR(M645="PENDENTE",M645="PARCIAL"),"🟡 FATURAMENTO PENDENTE","🟡 EMBARQUE PENDENTE")))))))))))</f>
        <v/>
      </c>
      <c r="D645" s="4" t="n">
        <v>46265</v>
      </c>
      <c r="E645" s="5" t="inlineStr">
        <is>
          <t>C</t>
        </is>
      </c>
      <c r="F645" s="5" t="inlineStr">
        <is>
          <t>ADIB</t>
        </is>
      </c>
      <c r="G645" s="5" t="inlineStr">
        <is>
          <t>GM</t>
        </is>
      </c>
      <c r="H645" s="5" t="inlineStr">
        <is>
          <t>RETORNO OMEGA X</t>
        </is>
      </c>
      <c r="I645" s="5" t="inlineStr">
        <is>
          <t>PALETE</t>
        </is>
      </c>
      <c r="J645" s="6" t="n">
        <v>26</v>
      </c>
      <c r="K645" s="6" t="n">
        <v>26</v>
      </c>
      <c r="L645" s="7">
        <f>IF(OR(D645="",N(J645)=0),"",MIN(1,N(K645)/J645))</f>
        <v/>
      </c>
      <c r="M645" s="5" t="n"/>
      <c r="N645" s="5" t="n"/>
      <c r="O645" s="5" t="n"/>
      <c r="P645" s="5" t="n"/>
      <c r="Q645" s="5" t="n"/>
      <c r="R645" s="4" t="n"/>
      <c r="S645" s="4" t="n"/>
      <c r="T645" s="5" t="inlineStr">
        <is>
          <t>RETORNO CARGA OMEGA X</t>
        </is>
      </c>
      <c r="U645" s="8">
        <f>IF(AND(V645=1,D645&lt;&gt;""),IF(D645&gt;=corte,TODAY()-D645,""),"")</f>
        <v/>
      </c>
      <c r="V645" s="8">
        <f>IF(D645="",0,IF(OR(AND(P645&lt;&gt;"",S645=""),AND(N(J645)&gt;0,N(K645)&lt;J645),OR(M645="PENDENTE",M645="PARCIAL"),OR(N645="PENDENTE",N645="PARCIAL")),1,0))</f>
        <v/>
      </c>
      <c r="W645" s="8">
        <f>IF(AND(V645=1,D645&lt;&gt;""),IF(D645&gt;=corte,(B645="CRÍTICO")*1E9+(100000-D645)*10000+10000-ROW(),""),"")</f>
        <v/>
      </c>
      <c r="X645" s="8">
        <f>IF(AND(V645=1,D645=pas_data,E645=pas_turno),10000-ROW(),"")</f>
        <v/>
      </c>
    </row>
    <row r="646">
      <c r="A646" s="3">
        <f>IF(D646="","","TT-"&amp;TEXT(ROW()-1,"00000"))</f>
        <v/>
      </c>
      <c r="B646" s="3">
        <f>IF(D646="","",IF(V646=0,"CONCLUÍDO",IF(D646&lt;corte,"HISTÓRICO",IF(OR(AND(ISNUMBER(R646),R646&lt;TODAY()),AND(OR(N646="PENDENTE",N646="PARCIAL"),D646&lt;TODAY()-1)),"CRÍTICO",IF(OR(AND(P646&lt;&gt;"",S646=""),AND(N646="REALIZADO",M646="PENDENTE"),AND(ISNUMBER(R646),R646=TODAY())),"ATENÇÃO",IF(N(K646)=0,"PENDENTE","EM ANDAMENTO"))))))</f>
        <v/>
      </c>
      <c r="C646" s="3">
        <f>IF(D646="","",IF(V646=0,"🟢 OK",IF(D646&lt;corte,"⚪ HISTÓRICO (sem baixa)",IF(AND(ISNUMBER(R646),R646&lt;TODAY()),"🔴 PRAZO VENCIDO",IF(AND(OR(N646="PENDENTE",N646="PARCIAL"),D646&lt;TODAY()-1),"🔴 EMBARQUE ATRASADO",IF(AND(N646="REALIZADO",M646="PENDENTE"),"🟡 EMBARCADO SEM FATURAR",IF(AND(P646&lt;&gt;"",S646="",OR(Q646="",R646="")),"🟡 PENDÊNCIA SEM RESPONSÁVEL/PRAZO",IF(AND(ISNUMBER(R646),R646=TODAY()),"🟡 VENCE HOJE",IF(AND(P646&lt;&gt;"",S646=""),"🟡 PENDÊNCIA ABERTA",IF(AND(N(J646)&gt;0,N(K646)&lt;J646),"🟡 FALTA EXECUTAR",IF(OR(M646="PENDENTE",M646="PARCIAL"),"🟡 FATURAMENTO PENDENTE","🟡 EMBARQUE PENDENTE")))))))))))</f>
        <v/>
      </c>
      <c r="D646" s="4" t="n">
        <v>46265</v>
      </c>
      <c r="E646" s="5" t="inlineStr">
        <is>
          <t>C</t>
        </is>
      </c>
      <c r="F646" s="5" t="inlineStr">
        <is>
          <t>ADIB</t>
        </is>
      </c>
      <c r="G646" s="5" t="inlineStr">
        <is>
          <t>FOB</t>
        </is>
      </c>
      <c r="H646" s="5" t="inlineStr">
        <is>
          <t>RIBERFOODS</t>
        </is>
      </c>
      <c r="I646" s="5" t="inlineStr">
        <is>
          <t>TON</t>
        </is>
      </c>
      <c r="J646" s="6" t="n">
        <v>21.954</v>
      </c>
      <c r="K646" s="6" t="n">
        <v>21.954</v>
      </c>
      <c r="L646" s="7">
        <f>IF(OR(D646="",N(J646)=0),"",MIN(1,N(K646)/J646))</f>
        <v/>
      </c>
      <c r="M646" s="5" t="inlineStr">
        <is>
          <t>FATURADO</t>
        </is>
      </c>
      <c r="N646" s="5" t="inlineStr">
        <is>
          <t>PENDENTE</t>
        </is>
      </c>
      <c r="O646" s="5" t="inlineStr">
        <is>
          <t>SPEEDYLOG</t>
        </is>
      </c>
      <c r="P646" s="5" t="inlineStr">
        <is>
          <t>SEPARADO FATURADO - CARRO NA DOCA PARA SER CARREGADO</t>
        </is>
      </c>
      <c r="Q646" s="5" t="n"/>
      <c r="R646" s="4" t="n"/>
      <c r="S646" s="4" t="n"/>
      <c r="T646" s="5" t="inlineStr">
        <is>
          <t>SEPARADO FATURADO - CARRO NA DOCA PARA SER CARREGADO</t>
        </is>
      </c>
      <c r="U646" s="8">
        <f>IF(AND(V646=1,D646&lt;&gt;""),IF(D646&gt;=corte,TODAY()-D646,""),"")</f>
        <v/>
      </c>
      <c r="V646" s="8">
        <f>IF(D646="",0,IF(OR(AND(P646&lt;&gt;"",S646=""),AND(N(J646)&gt;0,N(K646)&lt;J646),OR(M646="PENDENTE",M646="PARCIAL"),OR(N646="PENDENTE",N646="PARCIAL")),1,0))</f>
        <v/>
      </c>
      <c r="W646" s="8">
        <f>IF(AND(V646=1,D646&lt;&gt;""),IF(D646&gt;=corte,(B646="CRÍTICO")*1E9+(100000-D646)*10000+10000-ROW(),""),"")</f>
        <v/>
      </c>
      <c r="X646" s="8">
        <f>IF(AND(V646=1,D646=pas_data,E646=pas_turno),10000-ROW(),"")</f>
        <v/>
      </c>
    </row>
    <row r="647">
      <c r="A647" s="3">
        <f>IF(D647="","","TT-"&amp;TEXT(ROW()-1,"00000"))</f>
        <v/>
      </c>
      <c r="B647" s="3">
        <f>IF(D647="","",IF(V647=0,"CONCLUÍDO",IF(D647&lt;corte,"HISTÓRICO",IF(OR(AND(ISNUMBER(R647),R647&lt;TODAY()),AND(OR(N647="PENDENTE",N647="PARCIAL"),D647&lt;TODAY()-1)),"CRÍTICO",IF(OR(AND(P647&lt;&gt;"",S647=""),AND(N647="REALIZADO",M647="PENDENTE"),AND(ISNUMBER(R647),R647=TODAY())),"ATENÇÃO",IF(N(K647)=0,"PENDENTE","EM ANDAMENTO"))))))</f>
        <v/>
      </c>
      <c r="C647" s="3">
        <f>IF(D647="","",IF(V647=0,"🟢 OK",IF(D647&lt;corte,"⚪ HISTÓRICO (sem baixa)",IF(AND(ISNUMBER(R647),R647&lt;TODAY()),"🔴 PRAZO VENCIDO",IF(AND(OR(N647="PENDENTE",N647="PARCIAL"),D647&lt;TODAY()-1),"🔴 EMBARQUE ATRASADO",IF(AND(N647="REALIZADO",M647="PENDENTE"),"🟡 EMBARCADO SEM FATURAR",IF(AND(P647&lt;&gt;"",S647="",OR(Q647="",R647="")),"🟡 PENDÊNCIA SEM RESPONSÁVEL/PRAZO",IF(AND(ISNUMBER(R647),R647=TODAY()),"🟡 VENCE HOJE",IF(AND(P647&lt;&gt;"",S647=""),"🟡 PENDÊNCIA ABERTA",IF(AND(N(J647)&gt;0,N(K647)&lt;J647),"🟡 FALTA EXECUTAR",IF(OR(M647="PENDENTE",M647="PARCIAL"),"🟡 FATURAMENTO PENDENTE","🟡 EMBARQUE PENDENTE")))))))))))</f>
        <v/>
      </c>
      <c r="D647" s="4" t="n">
        <v>46265</v>
      </c>
      <c r="E647" s="5" t="inlineStr">
        <is>
          <t>C</t>
        </is>
      </c>
      <c r="F647" s="5" t="inlineStr">
        <is>
          <t>ADIB</t>
        </is>
      </c>
      <c r="G647" s="5" t="inlineStr">
        <is>
          <t>GRANEL</t>
        </is>
      </c>
      <c r="H647" s="5" t="inlineStr">
        <is>
          <t>PANDURATA</t>
        </is>
      </c>
      <c r="I647" s="5" t="inlineStr">
        <is>
          <t>TON</t>
        </is>
      </c>
      <c r="J647" s="6" t="n">
        <v>26.41</v>
      </c>
      <c r="K647" s="6" t="n">
        <v>26.41</v>
      </c>
      <c r="L647" s="7">
        <f>IF(OR(D647="",N(J647)=0),"",MIN(1,N(K647)/J647))</f>
        <v/>
      </c>
      <c r="M647" s="5" t="inlineStr">
        <is>
          <t>FATURADO</t>
        </is>
      </c>
      <c r="N647" s="5" t="inlineStr">
        <is>
          <t>REALIZADO</t>
        </is>
      </c>
      <c r="O647" s="5" t="inlineStr">
        <is>
          <t>JSL</t>
        </is>
      </c>
      <c r="P647" s="5" t="n"/>
      <c r="Q647" s="5" t="n"/>
      <c r="R647" s="4" t="n"/>
      <c r="S647" s="4" t="n"/>
      <c r="T647" s="5" t="inlineStr">
        <is>
          <t>LIBERADO</t>
        </is>
      </c>
      <c r="U647" s="8">
        <f>IF(AND(V647=1,D647&lt;&gt;""),IF(D647&gt;=corte,TODAY()-D647,""),"")</f>
        <v/>
      </c>
      <c r="V647" s="8">
        <f>IF(D647="",0,IF(OR(AND(P647&lt;&gt;"",S647=""),AND(N(J647)&gt;0,N(K647)&lt;J647),OR(M647="PENDENTE",M647="PARCIAL"),OR(N647="PENDENTE",N647="PARCIAL")),1,0))</f>
        <v/>
      </c>
      <c r="W647" s="8">
        <f>IF(AND(V647=1,D647&lt;&gt;""),IF(D647&gt;=corte,(B647="CRÍTICO")*1E9+(100000-D647)*10000+10000-ROW(),""),"")</f>
        <v/>
      </c>
      <c r="X647" s="8">
        <f>IF(AND(V647=1,D647=pas_data,E647=pas_turno),10000-ROW(),"")</f>
        <v/>
      </c>
    </row>
    <row r="648">
      <c r="A648" s="3">
        <f>IF(D648="","","TT-"&amp;TEXT(ROW()-1,"00000"))</f>
        <v/>
      </c>
      <c r="B648" s="3">
        <f>IF(D648="","",IF(V648=0,"CONCLUÍDO",IF(D648&lt;corte,"HISTÓRICO",IF(OR(AND(ISNUMBER(R648),R648&lt;TODAY()),AND(OR(N648="PENDENTE",N648="PARCIAL"),D648&lt;TODAY()-1)),"CRÍTICO",IF(OR(AND(P648&lt;&gt;"",S648=""),AND(N648="REALIZADO",M648="PENDENTE"),AND(ISNUMBER(R648),R648=TODAY())),"ATENÇÃO",IF(N(K648)=0,"PENDENTE","EM ANDAMENTO"))))))</f>
        <v/>
      </c>
      <c r="C648" s="3">
        <f>IF(D648="","",IF(V648=0,"🟢 OK",IF(D648&lt;corte,"⚪ HISTÓRICO (sem baixa)",IF(AND(ISNUMBER(R648),R648&lt;TODAY()),"🔴 PRAZO VENCIDO",IF(AND(OR(N648="PENDENTE",N648="PARCIAL"),D648&lt;TODAY()-1),"🔴 EMBARQUE ATRASADO",IF(AND(N648="REALIZADO",M648="PENDENTE"),"🟡 EMBARCADO SEM FATURAR",IF(AND(P648&lt;&gt;"",S648="",OR(Q648="",R648="")),"🟡 PENDÊNCIA SEM RESPONSÁVEL/PRAZO",IF(AND(ISNUMBER(R648),R648=TODAY()),"🟡 VENCE HOJE",IF(AND(P648&lt;&gt;"",S648=""),"🟡 PENDÊNCIA ABERTA",IF(AND(N(J648)&gt;0,N(K648)&lt;J648),"🟡 FALTA EXECUTAR",IF(OR(M648="PENDENTE",M648="PARCIAL"),"🟡 FATURAMENTO PENDENTE","🟡 EMBARQUE PENDENTE")))))))))))</f>
        <v/>
      </c>
      <c r="D648" s="4" t="n">
        <v>46265</v>
      </c>
      <c r="E648" s="5" t="inlineStr">
        <is>
          <t>D</t>
        </is>
      </c>
      <c r="F648" s="5" t="inlineStr">
        <is>
          <t>VINICIUS</t>
        </is>
      </c>
      <c r="G648" s="5" t="inlineStr">
        <is>
          <t>FM</t>
        </is>
      </c>
      <c r="H648" s="5" t="inlineStr">
        <is>
          <t>NESTLÉ</t>
        </is>
      </c>
      <c r="I648" s="5" t="inlineStr">
        <is>
          <t>TON</t>
        </is>
      </c>
      <c r="J648" s="6" t="n">
        <v>14.027</v>
      </c>
      <c r="K648" s="6" t="n">
        <v>14.027</v>
      </c>
      <c r="L648" s="7">
        <f>IF(OR(D648="",N(J648)=0),"",MIN(1,N(K648)/J648))</f>
        <v/>
      </c>
      <c r="M648" s="5" t="inlineStr">
        <is>
          <t>FATURADO</t>
        </is>
      </c>
      <c r="N648" s="5" t="inlineStr">
        <is>
          <t>REALIZADO</t>
        </is>
      </c>
      <c r="O648" s="5" t="inlineStr">
        <is>
          <t>SPEEDYLOG</t>
        </is>
      </c>
      <c r="P648" s="5" t="n"/>
      <c r="Q648" s="5" t="n"/>
      <c r="R648" s="4" t="n"/>
      <c r="S648" s="4" t="n"/>
      <c r="T648" s="5" t="inlineStr">
        <is>
          <t>EMBARCADO E LIBERADO</t>
        </is>
      </c>
      <c r="U648" s="8">
        <f>IF(AND(V648=1,D648&lt;&gt;""),IF(D648&gt;=corte,TODAY()-D648,""),"")</f>
        <v/>
      </c>
      <c r="V648" s="8">
        <f>IF(D648="",0,IF(OR(AND(P648&lt;&gt;"",S648=""),AND(N(J648)&gt;0,N(K648)&lt;J648),OR(M648="PENDENTE",M648="PARCIAL"),OR(N648="PENDENTE",N648="PARCIAL")),1,0))</f>
        <v/>
      </c>
      <c r="W648" s="8">
        <f>IF(AND(V648=1,D648&lt;&gt;""),IF(D648&gt;=corte,(B648="CRÍTICO")*1E9+(100000-D648)*10000+10000-ROW(),""),"")</f>
        <v/>
      </c>
      <c r="X648" s="8">
        <f>IF(AND(V648=1,D648=pas_data,E648=pas_turno),10000-ROW(),"")</f>
        <v/>
      </c>
    </row>
    <row r="649">
      <c r="A649" s="3">
        <f>IF(D649="","","TT-"&amp;TEXT(ROW()-1,"00000"))</f>
        <v/>
      </c>
      <c r="B649" s="3">
        <f>IF(D649="","",IF(V649=0,"CONCLUÍDO",IF(D649&lt;corte,"HISTÓRICO",IF(OR(AND(ISNUMBER(R649),R649&lt;TODAY()),AND(OR(N649="PENDENTE",N649="PARCIAL"),D649&lt;TODAY()-1)),"CRÍTICO",IF(OR(AND(P649&lt;&gt;"",S649=""),AND(N649="REALIZADO",M649="PENDENTE"),AND(ISNUMBER(R649),R649=TODAY())),"ATENÇÃO",IF(N(K649)=0,"PENDENTE","EM ANDAMENTO"))))))</f>
        <v/>
      </c>
      <c r="C649" s="3">
        <f>IF(D649="","",IF(V649=0,"🟢 OK",IF(D649&lt;corte,"⚪ HISTÓRICO (sem baixa)",IF(AND(ISNUMBER(R649),R649&lt;TODAY()),"🔴 PRAZO VENCIDO",IF(AND(OR(N649="PENDENTE",N649="PARCIAL"),D649&lt;TODAY()-1),"🔴 EMBARQUE ATRASADO",IF(AND(N649="REALIZADO",M649="PENDENTE"),"🟡 EMBARCADO SEM FATURAR",IF(AND(P649&lt;&gt;"",S649="",OR(Q649="",R649="")),"🟡 PENDÊNCIA SEM RESPONSÁVEL/PRAZO",IF(AND(ISNUMBER(R649),R649=TODAY()),"🟡 VENCE HOJE",IF(AND(P649&lt;&gt;"",S649=""),"🟡 PENDÊNCIA ABERTA",IF(AND(N(J649)&gt;0,N(K649)&lt;J649),"🟡 FALTA EXECUTAR",IF(OR(M649="PENDENTE",M649="PARCIAL"),"🟡 FATURAMENTO PENDENTE","🟡 EMBARQUE PENDENTE")))))))))))</f>
        <v/>
      </c>
      <c r="D649" s="4" t="n">
        <v>46265</v>
      </c>
      <c r="E649" s="5" t="inlineStr">
        <is>
          <t>D</t>
        </is>
      </c>
      <c r="F649" s="5" t="inlineStr">
        <is>
          <t>VINICIUS</t>
        </is>
      </c>
      <c r="G649" s="5" t="inlineStr">
        <is>
          <t>FM</t>
        </is>
      </c>
      <c r="H649" s="5" t="inlineStr">
        <is>
          <t>PANDURATA</t>
        </is>
      </c>
      <c r="I649" s="5" t="inlineStr">
        <is>
          <t>TON</t>
        </is>
      </c>
      <c r="J649" s="6" t="n">
        <v>70.009</v>
      </c>
      <c r="K649" s="6" t="n">
        <v>70.009</v>
      </c>
      <c r="L649" s="7">
        <f>IF(OR(D649="",N(J649)=0),"",MIN(1,N(K649)/J649))</f>
        <v/>
      </c>
      <c r="M649" s="5" t="inlineStr">
        <is>
          <t>FATURADO</t>
        </is>
      </c>
      <c r="N649" s="5" t="inlineStr">
        <is>
          <t>REALIZADO</t>
        </is>
      </c>
      <c r="O649" s="5" t="inlineStr">
        <is>
          <t>SPEEDYLOG</t>
        </is>
      </c>
      <c r="P649" s="5" t="n"/>
      <c r="Q649" s="5" t="n"/>
      <c r="R649" s="4" t="n"/>
      <c r="S649" s="4" t="n"/>
      <c r="T649" s="5" t="inlineStr">
        <is>
          <t>EMBARCADO E LIBERADO</t>
        </is>
      </c>
      <c r="U649" s="8">
        <f>IF(AND(V649=1,D649&lt;&gt;""),IF(D649&gt;=corte,TODAY()-D649,""),"")</f>
        <v/>
      </c>
      <c r="V649" s="8">
        <f>IF(D649="",0,IF(OR(AND(P649&lt;&gt;"",S649=""),AND(N(J649)&gt;0,N(K649)&lt;J649),OR(M649="PENDENTE",M649="PARCIAL"),OR(N649="PENDENTE",N649="PARCIAL")),1,0))</f>
        <v/>
      </c>
      <c r="W649" s="8">
        <f>IF(AND(V649=1,D649&lt;&gt;""),IF(D649&gt;=corte,(B649="CRÍTICO")*1E9+(100000-D649)*10000+10000-ROW(),""),"")</f>
        <v/>
      </c>
      <c r="X649" s="8">
        <f>IF(AND(V649=1,D649=pas_data,E649=pas_turno),10000-ROW(),"")</f>
        <v/>
      </c>
    </row>
    <row r="650">
      <c r="A650" s="3">
        <f>IF(D650="","","TT-"&amp;TEXT(ROW()-1,"00000"))</f>
        <v/>
      </c>
      <c r="B650" s="3">
        <f>IF(D650="","",IF(V650=0,"CONCLUÍDO",IF(D650&lt;corte,"HISTÓRICO",IF(OR(AND(ISNUMBER(R650),R650&lt;TODAY()),AND(OR(N650="PENDENTE",N650="PARCIAL"),D650&lt;TODAY()-1)),"CRÍTICO",IF(OR(AND(P650&lt;&gt;"",S650=""),AND(N650="REALIZADO",M650="PENDENTE"),AND(ISNUMBER(R650),R650=TODAY())),"ATENÇÃO",IF(N(K650)=0,"PENDENTE","EM ANDAMENTO"))))))</f>
        <v/>
      </c>
      <c r="C650" s="3">
        <f>IF(D650="","",IF(V650=0,"🟢 OK",IF(D650&lt;corte,"⚪ HISTÓRICO (sem baixa)",IF(AND(ISNUMBER(R650),R650&lt;TODAY()),"🔴 PRAZO VENCIDO",IF(AND(OR(N650="PENDENTE",N650="PARCIAL"),D650&lt;TODAY()-1),"🔴 EMBARQUE ATRASADO",IF(AND(N650="REALIZADO",M650="PENDENTE"),"🟡 EMBARCADO SEM FATURAR",IF(AND(P650&lt;&gt;"",S650="",OR(Q650="",R650="")),"🟡 PENDÊNCIA SEM RESPONSÁVEL/PRAZO",IF(AND(ISNUMBER(R650),R650=TODAY()),"🟡 VENCE HOJE",IF(AND(P650&lt;&gt;"",S650=""),"🟡 PENDÊNCIA ABERTA",IF(AND(N(J650)&gt;0,N(K650)&lt;J650),"🟡 FALTA EXECUTAR",IF(OR(M650="PENDENTE",M650="PARCIAL"),"🟡 FATURAMENTO PENDENTE","🟡 EMBARQUE PENDENTE")))))))))))</f>
        <v/>
      </c>
      <c r="D650" s="4" t="n">
        <v>46265</v>
      </c>
      <c r="E650" s="5" t="inlineStr">
        <is>
          <t>D</t>
        </is>
      </c>
      <c r="F650" s="5" t="inlineStr">
        <is>
          <t>VINICIUS</t>
        </is>
      </c>
      <c r="G650" s="5" t="inlineStr">
        <is>
          <t>FOB</t>
        </is>
      </c>
      <c r="H650" s="5" t="inlineStr">
        <is>
          <t>AMERIPAN</t>
        </is>
      </c>
      <c r="I650" s="5" t="inlineStr">
        <is>
          <t>TON</t>
        </is>
      </c>
      <c r="J650" s="6" t="n">
        <v>9.457000000000001</v>
      </c>
      <c r="K650" s="6" t="n">
        <v>9.457000000000001</v>
      </c>
      <c r="L650" s="7">
        <f>IF(OR(D650="",N(J650)=0),"",MIN(1,N(K650)/J650))</f>
        <v/>
      </c>
      <c r="M650" s="5" t="inlineStr">
        <is>
          <t>FATURADO</t>
        </is>
      </c>
      <c r="N650" s="5" t="inlineStr">
        <is>
          <t>REALIZADO</t>
        </is>
      </c>
      <c r="O650" s="5" t="inlineStr">
        <is>
          <t>SMARTLOG</t>
        </is>
      </c>
      <c r="P650" s="5" t="n"/>
      <c r="Q650" s="5" t="n"/>
      <c r="R650" s="4" t="n"/>
      <c r="S650" s="4" t="n"/>
      <c r="T650" s="5" t="inlineStr">
        <is>
          <t>EMBARCADO E LIBERADO</t>
        </is>
      </c>
      <c r="U650" s="8">
        <f>IF(AND(V650=1,D650&lt;&gt;""),IF(D650&gt;=corte,TODAY()-D650,""),"")</f>
        <v/>
      </c>
      <c r="V650" s="8">
        <f>IF(D650="",0,IF(OR(AND(P650&lt;&gt;"",S650=""),AND(N(J650)&gt;0,N(K650)&lt;J650),OR(M650="PENDENTE",M650="PARCIAL"),OR(N650="PENDENTE",N650="PARCIAL")),1,0))</f>
        <v/>
      </c>
      <c r="W650" s="8">
        <f>IF(AND(V650=1,D650&lt;&gt;""),IF(D650&gt;=corte,(B650="CRÍTICO")*1E9+(100000-D650)*10000+10000-ROW(),""),"")</f>
        <v/>
      </c>
      <c r="X650" s="8">
        <f>IF(AND(V650=1,D650=pas_data,E650=pas_turno),10000-ROW(),"")</f>
        <v/>
      </c>
    </row>
    <row r="651">
      <c r="A651" s="3">
        <f>IF(D651="","","TT-"&amp;TEXT(ROW()-1,"00000"))</f>
        <v/>
      </c>
      <c r="B651" s="3">
        <f>IF(D651="","",IF(V651=0,"CONCLUÍDO",IF(D651&lt;corte,"HISTÓRICO",IF(OR(AND(ISNUMBER(R651),R651&lt;TODAY()),AND(OR(N651="PENDENTE",N651="PARCIAL"),D651&lt;TODAY()-1)),"CRÍTICO",IF(OR(AND(P651&lt;&gt;"",S651=""),AND(N651="REALIZADO",M651="PENDENTE"),AND(ISNUMBER(R651),R651=TODAY())),"ATENÇÃO",IF(N(K651)=0,"PENDENTE","EM ANDAMENTO"))))))</f>
        <v/>
      </c>
      <c r="C651" s="3">
        <f>IF(D651="","",IF(V651=0,"🟢 OK",IF(D651&lt;corte,"⚪ HISTÓRICO (sem baixa)",IF(AND(ISNUMBER(R651),R651&lt;TODAY()),"🔴 PRAZO VENCIDO",IF(AND(OR(N651="PENDENTE",N651="PARCIAL"),D651&lt;TODAY()-1),"🔴 EMBARQUE ATRASADO",IF(AND(N651="REALIZADO",M651="PENDENTE"),"🟡 EMBARCADO SEM FATURAR",IF(AND(P651&lt;&gt;"",S651="",OR(Q651="",R651="")),"🟡 PENDÊNCIA SEM RESPONSÁVEL/PRAZO",IF(AND(ISNUMBER(R651),R651=TODAY()),"🟡 VENCE HOJE",IF(AND(P651&lt;&gt;"",S651=""),"🟡 PENDÊNCIA ABERTA",IF(AND(N(J651)&gt;0,N(K651)&lt;J651),"🟡 FALTA EXECUTAR",IF(OR(M651="PENDENTE",M651="PARCIAL"),"🟡 FATURAMENTO PENDENTE","🟡 EMBARQUE PENDENTE")))))))))))</f>
        <v/>
      </c>
      <c r="D651" s="4" t="n">
        <v>46265</v>
      </c>
      <c r="E651" s="5" t="inlineStr">
        <is>
          <t>D</t>
        </is>
      </c>
      <c r="F651" s="5" t="inlineStr">
        <is>
          <t>VINICIUS</t>
        </is>
      </c>
      <c r="G651" s="5" t="inlineStr">
        <is>
          <t>FOB</t>
        </is>
      </c>
      <c r="H651" s="5" t="inlineStr">
        <is>
          <t>DISSUL</t>
        </is>
      </c>
      <c r="I651" s="5" t="inlineStr">
        <is>
          <t>TON</t>
        </is>
      </c>
      <c r="J651" s="6" t="n">
        <v>5.021</v>
      </c>
      <c r="K651" s="6" t="n">
        <v>5.021</v>
      </c>
      <c r="L651" s="7">
        <f>IF(OR(D651="",N(J651)=0),"",MIN(1,N(K651)/J651))</f>
        <v/>
      </c>
      <c r="M651" s="5" t="inlineStr">
        <is>
          <t>FATURADO</t>
        </is>
      </c>
      <c r="N651" s="5" t="inlineStr">
        <is>
          <t>REALIZADO</t>
        </is>
      </c>
      <c r="O651" s="5" t="inlineStr">
        <is>
          <t>PRÓPRIO</t>
        </is>
      </c>
      <c r="P651" s="5" t="n"/>
      <c r="Q651" s="5" t="n"/>
      <c r="R651" s="4" t="n"/>
      <c r="S651" s="4" t="n"/>
      <c r="T651" s="5" t="inlineStr">
        <is>
          <t>EMBARCADO E LIBERADO</t>
        </is>
      </c>
      <c r="U651" s="8">
        <f>IF(AND(V651=1,D651&lt;&gt;""),IF(D651&gt;=corte,TODAY()-D651,""),"")</f>
        <v/>
      </c>
      <c r="V651" s="8">
        <f>IF(D651="",0,IF(OR(AND(P651&lt;&gt;"",S651=""),AND(N(J651)&gt;0,N(K651)&lt;J651),OR(M651="PENDENTE",M651="PARCIAL"),OR(N651="PENDENTE",N651="PARCIAL")),1,0))</f>
        <v/>
      </c>
      <c r="W651" s="8">
        <f>IF(AND(V651=1,D651&lt;&gt;""),IF(D651&gt;=corte,(B651="CRÍTICO")*1E9+(100000-D651)*10000+10000-ROW(),""),"")</f>
        <v/>
      </c>
      <c r="X651" s="8">
        <f>IF(AND(V651=1,D651=pas_data,E651=pas_turno),10000-ROW(),"")</f>
        <v/>
      </c>
    </row>
    <row r="652">
      <c r="A652" s="3">
        <f>IF(D652="","","TT-"&amp;TEXT(ROW()-1,"00000"))</f>
        <v/>
      </c>
      <c r="B652" s="3">
        <f>IF(D652="","",IF(V652=0,"CONCLUÍDO",IF(D652&lt;corte,"HISTÓRICO",IF(OR(AND(ISNUMBER(R652),R652&lt;TODAY()),AND(OR(N652="PENDENTE",N652="PARCIAL"),D652&lt;TODAY()-1)),"CRÍTICO",IF(OR(AND(P652&lt;&gt;"",S652=""),AND(N652="REALIZADO",M652="PENDENTE"),AND(ISNUMBER(R652),R652=TODAY())),"ATENÇÃO",IF(N(K652)=0,"PENDENTE","EM ANDAMENTO"))))))</f>
        <v/>
      </c>
      <c r="C652" s="3">
        <f>IF(D652="","",IF(V652=0,"🟢 OK",IF(D652&lt;corte,"⚪ HISTÓRICO (sem baixa)",IF(AND(ISNUMBER(R652),R652&lt;TODAY()),"🔴 PRAZO VENCIDO",IF(AND(OR(N652="PENDENTE",N652="PARCIAL"),D652&lt;TODAY()-1),"🔴 EMBARQUE ATRASADO",IF(AND(N652="REALIZADO",M652="PENDENTE"),"🟡 EMBARCADO SEM FATURAR",IF(AND(P652&lt;&gt;"",S652="",OR(Q652="",R652="")),"🟡 PENDÊNCIA SEM RESPONSÁVEL/PRAZO",IF(AND(ISNUMBER(R652),R652=TODAY()),"🟡 VENCE HOJE",IF(AND(P652&lt;&gt;"",S652=""),"🟡 PENDÊNCIA ABERTA",IF(AND(N(J652)&gt;0,N(K652)&lt;J652),"🟡 FALTA EXECUTAR",IF(OR(M652="PENDENTE",M652="PARCIAL"),"🟡 FATURAMENTO PENDENTE","🟡 EMBARQUE PENDENTE")))))))))))</f>
        <v/>
      </c>
      <c r="D652" s="4" t="n">
        <v>46265</v>
      </c>
      <c r="E652" s="5" t="inlineStr">
        <is>
          <t>D</t>
        </is>
      </c>
      <c r="F652" s="5" t="inlineStr">
        <is>
          <t>VINICIUS</t>
        </is>
      </c>
      <c r="G652" s="5" t="inlineStr">
        <is>
          <t>FOB</t>
        </is>
      </c>
      <c r="H652" s="5" t="inlineStr">
        <is>
          <t>LUZIA MEIRE</t>
        </is>
      </c>
      <c r="I652" s="5" t="inlineStr">
        <is>
          <t>TON</t>
        </is>
      </c>
      <c r="J652" s="6" t="n">
        <v>11.469</v>
      </c>
      <c r="K652" s="6" t="n">
        <v>11.469</v>
      </c>
      <c r="L652" s="7">
        <f>IF(OR(D652="",N(J652)=0),"",MIN(1,N(K652)/J652))</f>
        <v/>
      </c>
      <c r="M652" s="5" t="inlineStr">
        <is>
          <t>FATURADO</t>
        </is>
      </c>
      <c r="N652" s="5" t="inlineStr">
        <is>
          <t>REALIZADO</t>
        </is>
      </c>
      <c r="O652" s="5" t="inlineStr">
        <is>
          <t>FIRMEZA</t>
        </is>
      </c>
      <c r="P652" s="5" t="n"/>
      <c r="Q652" s="5" t="n"/>
      <c r="R652" s="4" t="n"/>
      <c r="S652" s="4" t="n"/>
      <c r="T652" s="5" t="inlineStr">
        <is>
          <t>EMBARCADO E LIBERADO</t>
        </is>
      </c>
      <c r="U652" s="8">
        <f>IF(AND(V652=1,D652&lt;&gt;""),IF(D652&gt;=corte,TODAY()-D652,""),"")</f>
        <v/>
      </c>
      <c r="V652" s="8">
        <f>IF(D652="",0,IF(OR(AND(P652&lt;&gt;"",S652=""),AND(N(J652)&gt;0,N(K652)&lt;J652),OR(M652="PENDENTE",M652="PARCIAL"),OR(N652="PENDENTE",N652="PARCIAL")),1,0))</f>
        <v/>
      </c>
      <c r="W652" s="8">
        <f>IF(AND(V652=1,D652&lt;&gt;""),IF(D652&gt;=corte,(B652="CRÍTICO")*1E9+(100000-D652)*10000+10000-ROW(),""),"")</f>
        <v/>
      </c>
      <c r="X652" s="8">
        <f>IF(AND(V652=1,D652=pas_data,E652=pas_turno),10000-ROW(),"")</f>
        <v/>
      </c>
    </row>
    <row r="653">
      <c r="A653" s="3">
        <f>IF(D653="","","TT-"&amp;TEXT(ROW()-1,"00000"))</f>
        <v/>
      </c>
      <c r="B653" s="3">
        <f>IF(D653="","",IF(V653=0,"CONCLUÍDO",IF(D653&lt;corte,"HISTÓRICO",IF(OR(AND(ISNUMBER(R653),R653&lt;TODAY()),AND(OR(N653="PENDENTE",N653="PARCIAL"),D653&lt;TODAY()-1)),"CRÍTICO",IF(OR(AND(P653&lt;&gt;"",S653=""),AND(N653="REALIZADO",M653="PENDENTE"),AND(ISNUMBER(R653),R653=TODAY())),"ATENÇÃO",IF(N(K653)=0,"PENDENTE","EM ANDAMENTO"))))))</f>
        <v/>
      </c>
      <c r="C653" s="3">
        <f>IF(D653="","",IF(V653=0,"🟢 OK",IF(D653&lt;corte,"⚪ HISTÓRICO (sem baixa)",IF(AND(ISNUMBER(R653),R653&lt;TODAY()),"🔴 PRAZO VENCIDO",IF(AND(OR(N653="PENDENTE",N653="PARCIAL"),D653&lt;TODAY()-1),"🔴 EMBARQUE ATRASADO",IF(AND(N653="REALIZADO",M653="PENDENTE"),"🟡 EMBARCADO SEM FATURAR",IF(AND(P653&lt;&gt;"",S653="",OR(Q653="",R653="")),"🟡 PENDÊNCIA SEM RESPONSÁVEL/PRAZO",IF(AND(ISNUMBER(R653),R653=TODAY()),"🟡 VENCE HOJE",IF(AND(P653&lt;&gt;"",S653=""),"🟡 PENDÊNCIA ABERTA",IF(AND(N(J653)&gt;0,N(K653)&lt;J653),"🟡 FALTA EXECUTAR",IF(OR(M653="PENDENTE",M653="PARCIAL"),"🟡 FATURAMENTO PENDENTE","🟡 EMBARQUE PENDENTE")))))))))))</f>
        <v/>
      </c>
      <c r="D653" s="4" t="n">
        <v>46265</v>
      </c>
      <c r="E653" s="5" t="inlineStr">
        <is>
          <t>D</t>
        </is>
      </c>
      <c r="F653" s="5" t="inlineStr">
        <is>
          <t>VINICIUS</t>
        </is>
      </c>
      <c r="G653" s="5" t="inlineStr">
        <is>
          <t>FOB</t>
        </is>
      </c>
      <c r="H653" s="5" t="inlineStr">
        <is>
          <t>MARCOS ARTIGOS</t>
        </is>
      </c>
      <c r="I653" s="5" t="inlineStr">
        <is>
          <t>TON</t>
        </is>
      </c>
      <c r="J653" s="6" t="n">
        <v>6.958</v>
      </c>
      <c r="K653" s="6" t="n">
        <v>6.958</v>
      </c>
      <c r="L653" s="7">
        <f>IF(OR(D653="",N(J653)=0),"",MIN(1,N(K653)/J653))</f>
        <v/>
      </c>
      <c r="M653" s="5" t="inlineStr">
        <is>
          <t>FATURADO</t>
        </is>
      </c>
      <c r="N653" s="5" t="inlineStr">
        <is>
          <t>REALIZADO</t>
        </is>
      </c>
      <c r="O653" s="5" t="inlineStr">
        <is>
          <t>BOING TRANS</t>
        </is>
      </c>
      <c r="P653" s="5" t="n"/>
      <c r="Q653" s="5" t="n"/>
      <c r="R653" s="4" t="n"/>
      <c r="S653" s="4" t="n"/>
      <c r="T653" s="5" t="inlineStr">
        <is>
          <t>EMBARCADO E LIBERADO</t>
        </is>
      </c>
      <c r="U653" s="8">
        <f>IF(AND(V653=1,D653&lt;&gt;""),IF(D653&gt;=corte,TODAY()-D653,""),"")</f>
        <v/>
      </c>
      <c r="V653" s="8">
        <f>IF(D653="",0,IF(OR(AND(P653&lt;&gt;"",S653=""),AND(N(J653)&gt;0,N(K653)&lt;J653),OR(M653="PENDENTE",M653="PARCIAL"),OR(N653="PENDENTE",N653="PARCIAL")),1,0))</f>
        <v/>
      </c>
      <c r="W653" s="8">
        <f>IF(AND(V653=1,D653&lt;&gt;""),IF(D653&gt;=corte,(B653="CRÍTICO")*1E9+(100000-D653)*10000+10000-ROW(),""),"")</f>
        <v/>
      </c>
      <c r="X653" s="8">
        <f>IF(AND(V653=1,D653=pas_data,E653=pas_turno),10000-ROW(),"")</f>
        <v/>
      </c>
    </row>
    <row r="654">
      <c r="A654" s="3">
        <f>IF(D654="","","TT-"&amp;TEXT(ROW()-1,"00000"))</f>
        <v/>
      </c>
      <c r="B654" s="3">
        <f>IF(D654="","",IF(V654=0,"CONCLUÍDO",IF(D654&lt;corte,"HISTÓRICO",IF(OR(AND(ISNUMBER(R654),R654&lt;TODAY()),AND(OR(N654="PENDENTE",N654="PARCIAL"),D654&lt;TODAY()-1)),"CRÍTICO",IF(OR(AND(P654&lt;&gt;"",S654=""),AND(N654="REALIZADO",M654="PENDENTE"),AND(ISNUMBER(R654),R654=TODAY())),"ATENÇÃO",IF(N(K654)=0,"PENDENTE","EM ANDAMENTO"))))))</f>
        <v/>
      </c>
      <c r="C654" s="3">
        <f>IF(D654="","",IF(V654=0,"🟢 OK",IF(D654&lt;corte,"⚪ HISTÓRICO (sem baixa)",IF(AND(ISNUMBER(R654),R654&lt;TODAY()),"🔴 PRAZO VENCIDO",IF(AND(OR(N654="PENDENTE",N654="PARCIAL"),D654&lt;TODAY()-1),"🔴 EMBARQUE ATRASADO",IF(AND(N654="REALIZADO",M654="PENDENTE"),"🟡 EMBARCADO SEM FATURAR",IF(AND(P654&lt;&gt;"",S654="",OR(Q654="",R654="")),"🟡 PENDÊNCIA SEM RESPONSÁVEL/PRAZO",IF(AND(ISNUMBER(R654),R654=TODAY()),"🟡 VENCE HOJE",IF(AND(P654&lt;&gt;"",S654=""),"🟡 PENDÊNCIA ABERTA",IF(AND(N(J654)&gt;0,N(K654)&lt;J654),"🟡 FALTA EXECUTAR",IF(OR(M654="PENDENTE",M654="PARCIAL"),"🟡 FATURAMENTO PENDENTE","🟡 EMBARQUE PENDENTE")))))))))))</f>
        <v/>
      </c>
      <c r="D654" s="4" t="n">
        <v>46265</v>
      </c>
      <c r="E654" s="5" t="inlineStr">
        <is>
          <t>D</t>
        </is>
      </c>
      <c r="F654" s="5" t="inlineStr">
        <is>
          <t>VINICIUS</t>
        </is>
      </c>
      <c r="G654" s="5" t="inlineStr">
        <is>
          <t>GM</t>
        </is>
      </c>
      <c r="H654" s="5" t="inlineStr">
        <is>
          <t>CHOCK DOCE</t>
        </is>
      </c>
      <c r="I654" s="5" t="inlineStr">
        <is>
          <t>TON</t>
        </is>
      </c>
      <c r="J654" s="6" t="n">
        <v>17.845</v>
      </c>
      <c r="K654" s="6" t="n">
        <v>17.845</v>
      </c>
      <c r="L654" s="7">
        <f>IF(OR(D654="",N(J654)=0),"",MIN(1,N(K654)/J654))</f>
        <v/>
      </c>
      <c r="M654" s="5" t="inlineStr">
        <is>
          <t>FATURADO</t>
        </is>
      </c>
      <c r="N654" s="5" t="inlineStr">
        <is>
          <t>REALIZADO</t>
        </is>
      </c>
      <c r="O654" s="5" t="inlineStr">
        <is>
          <t>SMARTLOG</t>
        </is>
      </c>
      <c r="P654" s="5" t="n"/>
      <c r="Q654" s="5" t="n"/>
      <c r="R654" s="4" t="n"/>
      <c r="S654" s="4" t="n"/>
      <c r="T654" s="5" t="inlineStr">
        <is>
          <t>EMBARCADO E LIBERADO</t>
        </is>
      </c>
      <c r="U654" s="8">
        <f>IF(AND(V654=1,D654&lt;&gt;""),IF(D654&gt;=corte,TODAY()-D654,""),"")</f>
        <v/>
      </c>
      <c r="V654" s="8">
        <f>IF(D654="",0,IF(OR(AND(P654&lt;&gt;"",S654=""),AND(N(J654)&gt;0,N(K654)&lt;J654),OR(M654="PENDENTE",M654="PARCIAL"),OR(N654="PENDENTE",N654="PARCIAL")),1,0))</f>
        <v/>
      </c>
      <c r="W654" s="8">
        <f>IF(AND(V654=1,D654&lt;&gt;""),IF(D654&gt;=corte,(B654="CRÍTICO")*1E9+(100000-D654)*10000+10000-ROW(),""),"")</f>
        <v/>
      </c>
      <c r="X654" s="8">
        <f>IF(AND(V654=1,D654=pas_data,E654=pas_turno),10000-ROW(),"")</f>
        <v/>
      </c>
    </row>
    <row r="655">
      <c r="A655" s="3">
        <f>IF(D655="","","TT-"&amp;TEXT(ROW()-1,"00000"))</f>
        <v/>
      </c>
      <c r="B655" s="3">
        <f>IF(D655="","",IF(V655=0,"CONCLUÍDO",IF(D655&lt;corte,"HISTÓRICO",IF(OR(AND(ISNUMBER(R655),R655&lt;TODAY()),AND(OR(N655="PENDENTE",N655="PARCIAL"),D655&lt;TODAY()-1)),"CRÍTICO",IF(OR(AND(P655&lt;&gt;"",S655=""),AND(N655="REALIZADO",M655="PENDENTE"),AND(ISNUMBER(R655),R655=TODAY())),"ATENÇÃO",IF(N(K655)=0,"PENDENTE","EM ANDAMENTO"))))))</f>
        <v/>
      </c>
      <c r="C655" s="3">
        <f>IF(D655="","",IF(V655=0,"🟢 OK",IF(D655&lt;corte,"⚪ HISTÓRICO (sem baixa)",IF(AND(ISNUMBER(R655),R655&lt;TODAY()),"🔴 PRAZO VENCIDO",IF(AND(OR(N655="PENDENTE",N655="PARCIAL"),D655&lt;TODAY()-1),"🔴 EMBARQUE ATRASADO",IF(AND(N655="REALIZADO",M655="PENDENTE"),"🟡 EMBARCADO SEM FATURAR",IF(AND(P655&lt;&gt;"",S655="",OR(Q655="",R655="")),"🟡 PENDÊNCIA SEM RESPONSÁVEL/PRAZO",IF(AND(ISNUMBER(R655),R655=TODAY()),"🟡 VENCE HOJE",IF(AND(P655&lt;&gt;"",S655=""),"🟡 PENDÊNCIA ABERTA",IF(AND(N(J655)&gt;0,N(K655)&lt;J655),"🟡 FALTA EXECUTAR",IF(OR(M655="PENDENTE",M655="PARCIAL"),"🟡 FATURAMENTO PENDENTE","🟡 EMBARQUE PENDENTE")))))))))))</f>
        <v/>
      </c>
      <c r="D655" s="4" t="n">
        <v>46265</v>
      </c>
      <c r="E655" s="5" t="inlineStr">
        <is>
          <t>D</t>
        </is>
      </c>
      <c r="F655" s="5" t="inlineStr">
        <is>
          <t>VINICIUS</t>
        </is>
      </c>
      <c r="G655" s="5" t="inlineStr">
        <is>
          <t>GM</t>
        </is>
      </c>
      <c r="H655" s="5" t="inlineStr">
        <is>
          <t>COMERCIAL TATENO</t>
        </is>
      </c>
      <c r="I655" s="5" t="inlineStr">
        <is>
          <t>TON</t>
        </is>
      </c>
      <c r="J655" s="6" t="n">
        <v>13.153</v>
      </c>
      <c r="K655" s="6" t="n">
        <v>13.153</v>
      </c>
      <c r="L655" s="7">
        <f>IF(OR(D655="",N(J655)=0),"",MIN(1,N(K655)/J655))</f>
        <v/>
      </c>
      <c r="M655" s="5" t="inlineStr">
        <is>
          <t>FATURADO</t>
        </is>
      </c>
      <c r="N655" s="5" t="inlineStr">
        <is>
          <t>REALIZADO</t>
        </is>
      </c>
      <c r="O655" s="5" t="inlineStr">
        <is>
          <t>SMARTLOG</t>
        </is>
      </c>
      <c r="P655" s="5" t="n"/>
      <c r="Q655" s="5" t="n"/>
      <c r="R655" s="4" t="n"/>
      <c r="S655" s="4" t="n"/>
      <c r="T655" s="5" t="inlineStr">
        <is>
          <t>EMBARCADO E LIBERADO</t>
        </is>
      </c>
      <c r="U655" s="8">
        <f>IF(AND(V655=1,D655&lt;&gt;""),IF(D655&gt;=corte,TODAY()-D655,""),"")</f>
        <v/>
      </c>
      <c r="V655" s="8">
        <f>IF(D655="",0,IF(OR(AND(P655&lt;&gt;"",S655=""),AND(N(J655)&gt;0,N(K655)&lt;J655),OR(M655="PENDENTE",M655="PARCIAL"),OR(N655="PENDENTE",N655="PARCIAL")),1,0))</f>
        <v/>
      </c>
      <c r="W655" s="8">
        <f>IF(AND(V655=1,D655&lt;&gt;""),IF(D655&gt;=corte,(B655="CRÍTICO")*1E9+(100000-D655)*10000+10000-ROW(),""),"")</f>
        <v/>
      </c>
      <c r="X655" s="8">
        <f>IF(AND(V655=1,D655=pas_data,E655=pas_turno),10000-ROW(),"")</f>
        <v/>
      </c>
    </row>
    <row r="656">
      <c r="A656" s="3">
        <f>IF(D656="","","TT-"&amp;TEXT(ROW()-1,"00000"))</f>
        <v/>
      </c>
      <c r="B656" s="3">
        <f>IF(D656="","",IF(V656=0,"CONCLUÍDO",IF(D656&lt;corte,"HISTÓRICO",IF(OR(AND(ISNUMBER(R656),R656&lt;TODAY()),AND(OR(N656="PENDENTE",N656="PARCIAL"),D656&lt;TODAY()-1)),"CRÍTICO",IF(OR(AND(P656&lt;&gt;"",S656=""),AND(N656="REALIZADO",M656="PENDENTE"),AND(ISNUMBER(R656),R656=TODAY())),"ATENÇÃO",IF(N(K656)=0,"PENDENTE","EM ANDAMENTO"))))))</f>
        <v/>
      </c>
      <c r="C656" s="3">
        <f>IF(D656="","",IF(V656=0,"🟢 OK",IF(D656&lt;corte,"⚪ HISTÓRICO (sem baixa)",IF(AND(ISNUMBER(R656),R656&lt;TODAY()),"🔴 PRAZO VENCIDO",IF(AND(OR(N656="PENDENTE",N656="PARCIAL"),D656&lt;TODAY()-1),"🔴 EMBARQUE ATRASADO",IF(AND(N656="REALIZADO",M656="PENDENTE"),"🟡 EMBARCADO SEM FATURAR",IF(AND(P656&lt;&gt;"",S656="",OR(Q656="",R656="")),"🟡 PENDÊNCIA SEM RESPONSÁVEL/PRAZO",IF(AND(ISNUMBER(R656),R656=TODAY()),"🟡 VENCE HOJE",IF(AND(P656&lt;&gt;"",S656=""),"🟡 PENDÊNCIA ABERTA",IF(AND(N(J656)&gt;0,N(K656)&lt;J656),"🟡 FALTA EXECUTAR",IF(OR(M656="PENDENTE",M656="PARCIAL"),"🟡 FATURAMENTO PENDENTE","🟡 EMBARQUE PENDENTE")))))))))))</f>
        <v/>
      </c>
      <c r="D656" s="4" t="n">
        <v>46265</v>
      </c>
      <c r="E656" s="5" t="inlineStr">
        <is>
          <t>D</t>
        </is>
      </c>
      <c r="F656" s="5" t="inlineStr">
        <is>
          <t>VINICIUS</t>
        </is>
      </c>
      <c r="G656" s="5" t="inlineStr">
        <is>
          <t>GM</t>
        </is>
      </c>
      <c r="H656" s="5" t="inlineStr">
        <is>
          <t>PLATLOG</t>
        </is>
      </c>
      <c r="I656" s="5" t="inlineStr">
        <is>
          <t>TON</t>
        </is>
      </c>
      <c r="J656" s="6" t="n">
        <v>3.152</v>
      </c>
      <c r="K656" s="6" t="n">
        <v>3.152</v>
      </c>
      <c r="L656" s="7">
        <f>IF(OR(D656="",N(J656)=0),"",MIN(1,N(K656)/J656))</f>
        <v/>
      </c>
      <c r="M656" s="5" t="inlineStr">
        <is>
          <t>FATURADO</t>
        </is>
      </c>
      <c r="N656" s="5" t="inlineStr">
        <is>
          <t>REALIZADO</t>
        </is>
      </c>
      <c r="O656" s="5" t="inlineStr">
        <is>
          <t>SMARTLOG</t>
        </is>
      </c>
      <c r="P656" s="5" t="n"/>
      <c r="Q656" s="5" t="n"/>
      <c r="R656" s="4" t="n"/>
      <c r="S656" s="4" t="n"/>
      <c r="T656" s="5" t="inlineStr">
        <is>
          <t>EMBARCADO E LIBERADO</t>
        </is>
      </c>
      <c r="U656" s="8">
        <f>IF(AND(V656=1,D656&lt;&gt;""),IF(D656&gt;=corte,TODAY()-D656,""),"")</f>
        <v/>
      </c>
      <c r="V656" s="8">
        <f>IF(D656="",0,IF(OR(AND(P656&lt;&gt;"",S656=""),AND(N(J656)&gt;0,N(K656)&lt;J656),OR(M656="PENDENTE",M656="PARCIAL"),OR(N656="PENDENTE",N656="PARCIAL")),1,0))</f>
        <v/>
      </c>
      <c r="W656" s="8">
        <f>IF(AND(V656=1,D656&lt;&gt;""),IF(D656&gt;=corte,(B656="CRÍTICO")*1E9+(100000-D656)*10000+10000-ROW(),""),"")</f>
        <v/>
      </c>
      <c r="X656" s="8">
        <f>IF(AND(V656=1,D656=pas_data,E656=pas_turno),10000-ROW(),"")</f>
        <v/>
      </c>
    </row>
    <row r="657">
      <c r="A657" s="3">
        <f>IF(D657="","","TT-"&amp;TEXT(ROW()-1,"00000"))</f>
        <v/>
      </c>
      <c r="B657" s="3">
        <f>IF(D657="","",IF(V657=0,"CONCLUÍDO",IF(D657&lt;corte,"HISTÓRICO",IF(OR(AND(ISNUMBER(R657),R657&lt;TODAY()),AND(OR(N657="PENDENTE",N657="PARCIAL"),D657&lt;TODAY()-1)),"CRÍTICO",IF(OR(AND(P657&lt;&gt;"",S657=""),AND(N657="REALIZADO",M657="PENDENTE"),AND(ISNUMBER(R657),R657=TODAY())),"ATENÇÃO",IF(N(K657)=0,"PENDENTE","EM ANDAMENTO"))))))</f>
        <v/>
      </c>
      <c r="C657" s="3">
        <f>IF(D657="","",IF(V657=0,"🟢 OK",IF(D657&lt;corte,"⚪ HISTÓRICO (sem baixa)",IF(AND(ISNUMBER(R657),R657&lt;TODAY()),"🔴 PRAZO VENCIDO",IF(AND(OR(N657="PENDENTE",N657="PARCIAL"),D657&lt;TODAY()-1),"🔴 EMBARQUE ATRASADO",IF(AND(N657="REALIZADO",M657="PENDENTE"),"🟡 EMBARCADO SEM FATURAR",IF(AND(P657&lt;&gt;"",S657="",OR(Q657="",R657="")),"🟡 PENDÊNCIA SEM RESPONSÁVEL/PRAZO",IF(AND(ISNUMBER(R657),R657=TODAY()),"🟡 VENCE HOJE",IF(AND(P657&lt;&gt;"",S657=""),"🟡 PENDÊNCIA ABERTA",IF(AND(N(J657)&gt;0,N(K657)&lt;J657),"🟡 FALTA EXECUTAR",IF(OR(M657="PENDENTE",M657="PARCIAL"),"🟡 FATURAMENTO PENDENTE","🟡 EMBARQUE PENDENTE")))))))))))</f>
        <v/>
      </c>
      <c r="D657" s="4" t="n">
        <v>46265</v>
      </c>
      <c r="E657" s="5" t="inlineStr">
        <is>
          <t>D</t>
        </is>
      </c>
      <c r="F657" s="5" t="inlineStr">
        <is>
          <t>VINICIUS</t>
        </is>
      </c>
      <c r="G657" s="5" t="inlineStr">
        <is>
          <t>FM</t>
        </is>
      </c>
      <c r="H657" s="5" t="inlineStr">
        <is>
          <t>STA</t>
        </is>
      </c>
      <c r="I657" s="5" t="inlineStr">
        <is>
          <t>TON</t>
        </is>
      </c>
      <c r="J657" s="6" t="n">
        <v>21.184</v>
      </c>
      <c r="K657" s="6" t="n">
        <v>21.184</v>
      </c>
      <c r="L657" s="7">
        <f>IF(OR(D657="",N(J657)=0),"",MIN(1,N(K657)/J657))</f>
        <v/>
      </c>
      <c r="M657" s="5" t="inlineStr">
        <is>
          <t>FATURADO</t>
        </is>
      </c>
      <c r="N657" s="5" t="inlineStr">
        <is>
          <t>REALIZADO</t>
        </is>
      </c>
      <c r="O657" s="5" t="inlineStr">
        <is>
          <t>SPEEDYLOG</t>
        </is>
      </c>
      <c r="P657" s="5" t="n"/>
      <c r="Q657" s="5" t="n"/>
      <c r="R657" s="4" t="n"/>
      <c r="S657" s="4" t="n"/>
      <c r="T657" s="5" t="inlineStr">
        <is>
          <t>EMBARCADO E LIBERADO</t>
        </is>
      </c>
      <c r="U657" s="8">
        <f>IF(AND(V657=1,D657&lt;&gt;""),IF(D657&gt;=corte,TODAY()-D657,""),"")</f>
        <v/>
      </c>
      <c r="V657" s="8">
        <f>IF(D657="",0,IF(OR(AND(P657&lt;&gt;"",S657=""),AND(N(J657)&gt;0,N(K657)&lt;J657),OR(M657="PENDENTE",M657="PARCIAL"),OR(N657="PENDENTE",N657="PARCIAL")),1,0))</f>
        <v/>
      </c>
      <c r="W657" s="8">
        <f>IF(AND(V657=1,D657&lt;&gt;""),IF(D657&gt;=corte,(B657="CRÍTICO")*1E9+(100000-D657)*10000+10000-ROW(),""),"")</f>
        <v/>
      </c>
      <c r="X657" s="8">
        <f>IF(AND(V657=1,D657=pas_data,E657=pas_turno),10000-ROW(),"")</f>
        <v/>
      </c>
    </row>
    <row r="658">
      <c r="A658" s="3">
        <f>IF(D658="","","TT-"&amp;TEXT(ROW()-1,"00000"))</f>
        <v/>
      </c>
      <c r="B658" s="3">
        <f>IF(D658="","",IF(V658=0,"CONCLUÍDO",IF(D658&lt;corte,"HISTÓRICO",IF(OR(AND(ISNUMBER(R658),R658&lt;TODAY()),AND(OR(N658="PENDENTE",N658="PARCIAL"),D658&lt;TODAY()-1)),"CRÍTICO",IF(OR(AND(P658&lt;&gt;"",S658=""),AND(N658="REALIZADO",M658="PENDENTE"),AND(ISNUMBER(R658),R658=TODAY())),"ATENÇÃO",IF(N(K658)=0,"PENDENTE","EM ANDAMENTO"))))))</f>
        <v/>
      </c>
      <c r="C658" s="3">
        <f>IF(D658="","",IF(V658=0,"🟢 OK",IF(D658&lt;corte,"⚪ HISTÓRICO (sem baixa)",IF(AND(ISNUMBER(R658),R658&lt;TODAY()),"🔴 PRAZO VENCIDO",IF(AND(OR(N658="PENDENTE",N658="PARCIAL"),D658&lt;TODAY()-1),"🔴 EMBARQUE ATRASADO",IF(AND(N658="REALIZADO",M658="PENDENTE"),"🟡 EMBARCADO SEM FATURAR",IF(AND(P658&lt;&gt;"",S658="",OR(Q658="",R658="")),"🟡 PENDÊNCIA SEM RESPONSÁVEL/PRAZO",IF(AND(ISNUMBER(R658),R658=TODAY()),"🟡 VENCE HOJE",IF(AND(P658&lt;&gt;"",S658=""),"🟡 PENDÊNCIA ABERTA",IF(AND(N(J658)&gt;0,N(K658)&lt;J658),"🟡 FALTA EXECUTAR",IF(OR(M658="PENDENTE",M658="PARCIAL"),"🟡 FATURAMENTO PENDENTE","🟡 EMBARQUE PENDENTE")))))))))))</f>
        <v/>
      </c>
      <c r="D658" s="4" t="n">
        <v>46271</v>
      </c>
      <c r="E658" s="5" t="inlineStr">
        <is>
          <t>B</t>
        </is>
      </c>
      <c r="F658" s="5" t="inlineStr">
        <is>
          <t>THIAGO</t>
        </is>
      </c>
      <c r="G658" s="5" t="inlineStr">
        <is>
          <t>FM</t>
        </is>
      </c>
      <c r="H658" s="5" t="inlineStr">
        <is>
          <t>CAPRICHE</t>
        </is>
      </c>
      <c r="I658" s="5" t="inlineStr">
        <is>
          <t>TON</t>
        </is>
      </c>
      <c r="J658" s="6" t="n">
        <v>7</v>
      </c>
      <c r="K658" s="6" t="n">
        <v>7</v>
      </c>
      <c r="L658" s="7">
        <f>IF(OR(D658="",N(J658)=0),"",MIN(1,N(K658)/J658))</f>
        <v/>
      </c>
      <c r="M658" s="5" t="n"/>
      <c r="N658" s="5" t="n"/>
      <c r="O658" s="5" t="n"/>
      <c r="P658" s="5" t="n"/>
      <c r="Q658" s="5" t="n"/>
      <c r="R658" s="4" t="n"/>
      <c r="S658" s="4" t="n"/>
      <c r="T658" s="5" t="n"/>
      <c r="U658" s="8">
        <f>IF(AND(V658=1,D658&lt;&gt;""),IF(D658&gt;=corte,TODAY()-D658,""),"")</f>
        <v/>
      </c>
      <c r="V658" s="8">
        <f>IF(D658="",0,IF(OR(AND(P658&lt;&gt;"",S658=""),AND(N(J658)&gt;0,N(K658)&lt;J658),OR(M658="PENDENTE",M658="PARCIAL"),OR(N658="PENDENTE",N658="PARCIAL")),1,0))</f>
        <v/>
      </c>
      <c r="W658" s="8">
        <f>IF(AND(V658=1,D658&lt;&gt;""),IF(D658&gt;=corte,(B658="CRÍTICO")*1E9+(100000-D658)*10000+10000-ROW(),""),"")</f>
        <v/>
      </c>
      <c r="X658" s="8">
        <f>IF(AND(V658=1,D658=pas_data,E658=pas_turno),10000-ROW(),"")</f>
        <v/>
      </c>
    </row>
    <row r="659">
      <c r="A659" s="3">
        <f>IF(D659="","","TT-"&amp;TEXT(ROW()-1,"00000"))</f>
        <v/>
      </c>
      <c r="B659" s="3">
        <f>IF(D659="","",IF(V659=0,"CONCLUÍDO",IF(D659&lt;corte,"HISTÓRICO",IF(OR(AND(ISNUMBER(R659),R659&lt;TODAY()),AND(OR(N659="PENDENTE",N659="PARCIAL"),D659&lt;TODAY()-1)),"CRÍTICO",IF(OR(AND(P659&lt;&gt;"",S659=""),AND(N659="REALIZADO",M659="PENDENTE"),AND(ISNUMBER(R659),R659=TODAY())),"ATENÇÃO",IF(N(K659)=0,"PENDENTE","EM ANDAMENTO"))))))</f>
        <v/>
      </c>
      <c r="C659" s="3">
        <f>IF(D659="","",IF(V659=0,"🟢 OK",IF(D659&lt;corte,"⚪ HISTÓRICO (sem baixa)",IF(AND(ISNUMBER(R659),R659&lt;TODAY()),"🔴 PRAZO VENCIDO",IF(AND(OR(N659="PENDENTE",N659="PARCIAL"),D659&lt;TODAY()-1),"🔴 EMBARQUE ATRASADO",IF(AND(N659="REALIZADO",M659="PENDENTE"),"🟡 EMBARCADO SEM FATURAR",IF(AND(P659&lt;&gt;"",S659="",OR(Q659="",R659="")),"🟡 PENDÊNCIA SEM RESPONSÁVEL/PRAZO",IF(AND(ISNUMBER(R659),R659=TODAY()),"🟡 VENCE HOJE",IF(AND(P659&lt;&gt;"",S659=""),"🟡 PENDÊNCIA ABERTA",IF(AND(N(J659)&gt;0,N(K659)&lt;J659),"🟡 FALTA EXECUTAR",IF(OR(M659="PENDENTE",M659="PARCIAL"),"🟡 FATURAMENTO PENDENTE","🟡 EMBARQUE PENDENTE")))))))))))</f>
        <v/>
      </c>
      <c r="D659" s="4" t="n">
        <v>46272</v>
      </c>
      <c r="E659" s="5" t="inlineStr">
        <is>
          <t>A</t>
        </is>
      </c>
      <c r="F659" s="5" t="inlineStr">
        <is>
          <t>TATIANE</t>
        </is>
      </c>
      <c r="G659" s="5" t="inlineStr">
        <is>
          <t>FM</t>
        </is>
      </c>
      <c r="H659" s="5" t="inlineStr">
        <is>
          <t>PANDURATA</t>
        </is>
      </c>
      <c r="I659" s="5" t="inlineStr">
        <is>
          <t>TON</t>
        </is>
      </c>
      <c r="J659" s="6" t="n">
        <v>24.62</v>
      </c>
      <c r="K659" s="6" t="n">
        <v>24.62</v>
      </c>
      <c r="L659" s="7">
        <f>IF(OR(D659="",N(J659)=0),"",MIN(1,N(K659)/J659))</f>
        <v/>
      </c>
      <c r="M659" s="5" t="inlineStr">
        <is>
          <t>PENDENTE</t>
        </is>
      </c>
      <c r="N659" s="5" t="inlineStr">
        <is>
          <t>PENDENTE</t>
        </is>
      </c>
      <c r="O659" s="5" t="inlineStr">
        <is>
          <t>SPEEDYLOG</t>
        </is>
      </c>
      <c r="P659" s="5" t="inlineStr">
        <is>
          <t>MOTORISTA KAUE NA DOCA</t>
        </is>
      </c>
      <c r="Q659" s="5" t="n"/>
      <c r="R659" s="4" t="n"/>
      <c r="S659" s="4" t="n"/>
      <c r="T659" s="5" t="inlineStr">
        <is>
          <t>MOTORISTA KAUE NA DOCA [MIGRAÇÃO: data corrigida de 09/07/2026]</t>
        </is>
      </c>
      <c r="U659" s="8">
        <f>IF(AND(V659=1,D659&lt;&gt;""),IF(D659&gt;=corte,TODAY()-D659,""),"")</f>
        <v/>
      </c>
      <c r="V659" s="8">
        <f>IF(D659="",0,IF(OR(AND(P659&lt;&gt;"",S659=""),AND(N(J659)&gt;0,N(K659)&lt;J659),OR(M659="PENDENTE",M659="PARCIAL"),OR(N659="PENDENTE",N659="PARCIAL")),1,0))</f>
        <v/>
      </c>
      <c r="W659" s="8">
        <f>IF(AND(V659=1,D659&lt;&gt;""),IF(D659&gt;=corte,(B659="CRÍTICO")*1E9+(100000-D659)*10000+10000-ROW(),""),"")</f>
        <v/>
      </c>
      <c r="X659" s="8">
        <f>IF(AND(V659=1,D659=pas_data,E659=pas_turno),10000-ROW(),"")</f>
        <v/>
      </c>
    </row>
    <row r="660">
      <c r="A660" s="3">
        <f>IF(D660="","","TT-"&amp;TEXT(ROW()-1,"00000"))</f>
        <v/>
      </c>
      <c r="B660" s="3">
        <f>IF(D660="","",IF(V660=0,"CONCLUÍDO",IF(D660&lt;corte,"HISTÓRICO",IF(OR(AND(ISNUMBER(R660),R660&lt;TODAY()),AND(OR(N660="PENDENTE",N660="PARCIAL"),D660&lt;TODAY()-1)),"CRÍTICO",IF(OR(AND(P660&lt;&gt;"",S660=""),AND(N660="REALIZADO",M660="PENDENTE"),AND(ISNUMBER(R660),R660=TODAY())),"ATENÇÃO",IF(N(K660)=0,"PENDENTE","EM ANDAMENTO"))))))</f>
        <v/>
      </c>
      <c r="C660" s="3">
        <f>IF(D660="","",IF(V660=0,"🟢 OK",IF(D660&lt;corte,"⚪ HISTÓRICO (sem baixa)",IF(AND(ISNUMBER(R660),R660&lt;TODAY()),"🔴 PRAZO VENCIDO",IF(AND(OR(N660="PENDENTE",N660="PARCIAL"),D660&lt;TODAY()-1),"🔴 EMBARQUE ATRASADO",IF(AND(N660="REALIZADO",M660="PENDENTE"),"🟡 EMBARCADO SEM FATURAR",IF(AND(P660&lt;&gt;"",S660="",OR(Q660="",R660="")),"🟡 PENDÊNCIA SEM RESPONSÁVEL/PRAZO",IF(AND(ISNUMBER(R660),R660=TODAY()),"🟡 VENCE HOJE",IF(AND(P660&lt;&gt;"",S660=""),"🟡 PENDÊNCIA ABERTA",IF(AND(N(J660)&gt;0,N(K660)&lt;J660),"🟡 FALTA EXECUTAR",IF(OR(M660="PENDENTE",M660="PARCIAL"),"🟡 FATURAMENTO PENDENTE","🟡 EMBARQUE PENDENTE")))))))))))</f>
        <v/>
      </c>
      <c r="D660" s="4" t="n">
        <v>46272</v>
      </c>
      <c r="E660" s="5" t="inlineStr">
        <is>
          <t>A</t>
        </is>
      </c>
      <c r="F660" s="5" t="inlineStr">
        <is>
          <t>TATIANE</t>
        </is>
      </c>
      <c r="G660" s="5" t="inlineStr">
        <is>
          <t>FM</t>
        </is>
      </c>
      <c r="H660" s="5" t="inlineStr">
        <is>
          <t>GRANEL - FRONERI</t>
        </is>
      </c>
      <c r="I660" s="5" t="inlineStr">
        <is>
          <t>TON</t>
        </is>
      </c>
      <c r="J660" s="6" t="n">
        <v>24</v>
      </c>
      <c r="K660" s="6" t="n">
        <v>23.7</v>
      </c>
      <c r="L660" s="7">
        <f>IF(OR(D660="",N(J660)=0),"",MIN(1,N(K660)/J660))</f>
        <v/>
      </c>
      <c r="M660" s="5" t="inlineStr">
        <is>
          <t>FATURADO</t>
        </is>
      </c>
      <c r="N660" s="5" t="inlineStr">
        <is>
          <t>REALIZADO</t>
        </is>
      </c>
      <c r="O660" s="5" t="inlineStr">
        <is>
          <t>JSL</t>
        </is>
      </c>
      <c r="P660" s="5" t="n"/>
      <c r="Q660" s="5" t="n"/>
      <c r="R660" s="4" t="n"/>
      <c r="S660" s="4" t="n"/>
      <c r="T660" s="5" t="inlineStr">
        <is>
          <t>[MIGRAÇÃO: data corrigida de 09/07/2026]</t>
        </is>
      </c>
      <c r="U660" s="8">
        <f>IF(AND(V660=1,D660&lt;&gt;""),IF(D660&gt;=corte,TODAY()-D660,""),"")</f>
        <v/>
      </c>
      <c r="V660" s="8">
        <f>IF(D660="",0,IF(OR(AND(P660&lt;&gt;"",S660=""),AND(N(J660)&gt;0,N(K660)&lt;J660),OR(M660="PENDENTE",M660="PARCIAL"),OR(N660="PENDENTE",N660="PARCIAL")),1,0))</f>
        <v/>
      </c>
      <c r="W660" s="8">
        <f>IF(AND(V660=1,D660&lt;&gt;""),IF(D660&gt;=corte,(B660="CRÍTICO")*1E9+(100000-D660)*10000+10000-ROW(),""),"")</f>
        <v/>
      </c>
      <c r="X660" s="8">
        <f>IF(AND(V660=1,D660=pas_data,E660=pas_turno),10000-ROW(),"")</f>
        <v/>
      </c>
    </row>
    <row r="661">
      <c r="A661" s="3">
        <f>IF(D661="","","TT-"&amp;TEXT(ROW()-1,"00000"))</f>
        <v/>
      </c>
      <c r="B661" s="3">
        <f>IF(D661="","",IF(V661=0,"CONCLUÍDO",IF(D661&lt;corte,"HISTÓRICO",IF(OR(AND(ISNUMBER(R661),R661&lt;TODAY()),AND(OR(N661="PENDENTE",N661="PARCIAL"),D661&lt;TODAY()-1)),"CRÍTICO",IF(OR(AND(P661&lt;&gt;"",S661=""),AND(N661="REALIZADO",M661="PENDENTE"),AND(ISNUMBER(R661),R661=TODAY())),"ATENÇÃO",IF(N(K661)=0,"PENDENTE","EM ANDAMENTO"))))))</f>
        <v/>
      </c>
      <c r="C661" s="3">
        <f>IF(D661="","",IF(V661=0,"🟢 OK",IF(D661&lt;corte,"⚪ HISTÓRICO (sem baixa)",IF(AND(ISNUMBER(R661),R661&lt;TODAY()),"🔴 PRAZO VENCIDO",IF(AND(OR(N661="PENDENTE",N661="PARCIAL"),D661&lt;TODAY()-1),"🔴 EMBARQUE ATRASADO",IF(AND(N661="REALIZADO",M661="PENDENTE"),"🟡 EMBARCADO SEM FATURAR",IF(AND(P661&lt;&gt;"",S661="",OR(Q661="",R661="")),"🟡 PENDÊNCIA SEM RESPONSÁVEL/PRAZO",IF(AND(ISNUMBER(R661),R661=TODAY()),"🟡 VENCE HOJE",IF(AND(P661&lt;&gt;"",S661=""),"🟡 PENDÊNCIA ABERTA",IF(AND(N(J661)&gt;0,N(K661)&lt;J661),"🟡 FALTA EXECUTAR",IF(OR(M661="PENDENTE",M661="PARCIAL"),"🟡 FATURAMENTO PENDENTE","🟡 EMBARQUE PENDENTE")))))))))))</f>
        <v/>
      </c>
      <c r="D661" s="4" t="n">
        <v>46272</v>
      </c>
      <c r="E661" s="5" t="inlineStr">
        <is>
          <t>A</t>
        </is>
      </c>
      <c r="F661" s="5" t="inlineStr">
        <is>
          <t>TATIANE</t>
        </is>
      </c>
      <c r="G661" s="5" t="inlineStr">
        <is>
          <t>FM</t>
        </is>
      </c>
      <c r="H661" s="5" t="inlineStr">
        <is>
          <t>PANDURATA</t>
        </is>
      </c>
      <c r="I661" s="5" t="inlineStr">
        <is>
          <t>TON</t>
        </is>
      </c>
      <c r="J661" s="6" t="n">
        <v>24.62</v>
      </c>
      <c r="K661" s="6" t="n">
        <v>24.62</v>
      </c>
      <c r="L661" s="7">
        <f>IF(OR(D661="",N(J661)=0),"",MIN(1,N(K661)/J661))</f>
        <v/>
      </c>
      <c r="M661" s="5" t="inlineStr">
        <is>
          <t>FATURADO</t>
        </is>
      </c>
      <c r="N661" s="5" t="inlineStr">
        <is>
          <t>PENDENTE</t>
        </is>
      </c>
      <c r="O661" s="5" t="inlineStr">
        <is>
          <t>SPEEDYLOG</t>
        </is>
      </c>
      <c r="P661" s="5" t="inlineStr">
        <is>
          <t>MOTORISTA KAUE NA DOCA</t>
        </is>
      </c>
      <c r="Q661" s="5" t="n"/>
      <c r="R661" s="4" t="n"/>
      <c r="S661" s="4" t="n"/>
      <c r="T661" s="5" t="inlineStr">
        <is>
          <t>MOTORISTA KAUE NA DOCA [MIGRAÇÃO: data corrigida de 09/07/2026]</t>
        </is>
      </c>
      <c r="U661" s="8">
        <f>IF(AND(V661=1,D661&lt;&gt;""),IF(D661&gt;=corte,TODAY()-D661,""),"")</f>
        <v/>
      </c>
      <c r="V661" s="8">
        <f>IF(D661="",0,IF(OR(AND(P661&lt;&gt;"",S661=""),AND(N(J661)&gt;0,N(K661)&lt;J661),OR(M661="PENDENTE",M661="PARCIAL"),OR(N661="PENDENTE",N661="PARCIAL")),1,0))</f>
        <v/>
      </c>
      <c r="W661" s="8">
        <f>IF(AND(V661=1,D661&lt;&gt;""),IF(D661&gt;=corte,(B661="CRÍTICO")*1E9+(100000-D661)*10000+10000-ROW(),""),"")</f>
        <v/>
      </c>
      <c r="X661" s="8">
        <f>IF(AND(V661=1,D661=pas_data,E661=pas_turno),10000-ROW(),"")</f>
        <v/>
      </c>
    </row>
    <row r="662">
      <c r="A662" s="3">
        <f>IF(D662="","","TT-"&amp;TEXT(ROW()-1,"00000"))</f>
        <v/>
      </c>
      <c r="B662" s="3">
        <f>IF(D662="","",IF(V662=0,"CONCLUÍDO",IF(D662&lt;corte,"HISTÓRICO",IF(OR(AND(ISNUMBER(R662),R662&lt;TODAY()),AND(OR(N662="PENDENTE",N662="PARCIAL"),D662&lt;TODAY()-1)),"CRÍTICO",IF(OR(AND(P662&lt;&gt;"",S662=""),AND(N662="REALIZADO",M662="PENDENTE"),AND(ISNUMBER(R662),R662=TODAY())),"ATENÇÃO",IF(N(K662)=0,"PENDENTE","EM ANDAMENTO"))))))</f>
        <v/>
      </c>
      <c r="C662" s="3">
        <f>IF(D662="","",IF(V662=0,"🟢 OK",IF(D662&lt;corte,"⚪ HISTÓRICO (sem baixa)",IF(AND(ISNUMBER(R662),R662&lt;TODAY()),"🔴 PRAZO VENCIDO",IF(AND(OR(N662="PENDENTE",N662="PARCIAL"),D662&lt;TODAY()-1),"🔴 EMBARQUE ATRASADO",IF(AND(N662="REALIZADO",M662="PENDENTE"),"🟡 EMBARCADO SEM FATURAR",IF(AND(P662&lt;&gt;"",S662="",OR(Q662="",R662="")),"🟡 PENDÊNCIA SEM RESPONSÁVEL/PRAZO",IF(AND(ISNUMBER(R662),R662=TODAY()),"🟡 VENCE HOJE",IF(AND(P662&lt;&gt;"",S662=""),"🟡 PENDÊNCIA ABERTA",IF(AND(N(J662)&gt;0,N(K662)&lt;J662),"🟡 FALTA EXECUTAR",IF(OR(M662="PENDENTE",M662="PARCIAL"),"🟡 FATURAMENTO PENDENTE","🟡 EMBARQUE PENDENTE")))))))))))</f>
        <v/>
      </c>
      <c r="D662" s="4" t="n">
        <v>46272</v>
      </c>
      <c r="E662" s="5" t="inlineStr">
        <is>
          <t>A</t>
        </is>
      </c>
      <c r="F662" s="5" t="inlineStr">
        <is>
          <t>TATIANE</t>
        </is>
      </c>
      <c r="G662" s="5" t="inlineStr">
        <is>
          <t>FM</t>
        </is>
      </c>
      <c r="H662" s="5" t="inlineStr">
        <is>
          <t>GRANEL - PANDURATA</t>
        </is>
      </c>
      <c r="I662" s="5" t="inlineStr">
        <is>
          <t>TON</t>
        </is>
      </c>
      <c r="J662" s="6" t="n">
        <v>26</v>
      </c>
      <c r="K662" s="6" t="n">
        <v>27.1</v>
      </c>
      <c r="L662" s="7">
        <f>IF(OR(D662="",N(J662)=0),"",MIN(1,N(K662)/J662))</f>
        <v/>
      </c>
      <c r="M662" s="5" t="inlineStr">
        <is>
          <t>PENDENTE</t>
        </is>
      </c>
      <c r="N662" s="5" t="inlineStr">
        <is>
          <t>REALIZADO</t>
        </is>
      </c>
      <c r="O662" s="5" t="inlineStr">
        <is>
          <t>JSL</t>
        </is>
      </c>
      <c r="P662" s="5" t="inlineStr">
        <is>
          <t>DEPENDE DO FINANCEIRO</t>
        </is>
      </c>
      <c r="Q662" s="5" t="n"/>
      <c r="R662" s="4" t="n"/>
      <c r="S662" s="4" t="n"/>
      <c r="T662" s="5" t="inlineStr">
        <is>
          <t>DEPENDE DO FINANCEIRO [MIGRAÇÃO: data corrigida de 09/07/2026]</t>
        </is>
      </c>
      <c r="U662" s="8">
        <f>IF(AND(V662=1,D662&lt;&gt;""),IF(D662&gt;=corte,TODAY()-D662,""),"")</f>
        <v/>
      </c>
      <c r="V662" s="8">
        <f>IF(D662="",0,IF(OR(AND(P662&lt;&gt;"",S662=""),AND(N(J662)&gt;0,N(K662)&lt;J662),OR(M662="PENDENTE",M662="PARCIAL"),OR(N662="PENDENTE",N662="PARCIAL")),1,0))</f>
        <v/>
      </c>
      <c r="W662" s="8">
        <f>IF(AND(V662=1,D662&lt;&gt;""),IF(D662&gt;=corte,(B662="CRÍTICO")*1E9+(100000-D662)*10000+10000-ROW(),""),"")</f>
        <v/>
      </c>
      <c r="X662" s="8">
        <f>IF(AND(V662=1,D662=pas_data,E662=pas_turno),10000-ROW(),"")</f>
        <v/>
      </c>
    </row>
    <row r="663">
      <c r="A663" s="3">
        <f>IF(D663="","","TT-"&amp;TEXT(ROW()-1,"00000"))</f>
        <v/>
      </c>
      <c r="B663" s="3">
        <f>IF(D663="","",IF(V663=0,"CONCLUÍDO",IF(D663&lt;corte,"HISTÓRICO",IF(OR(AND(ISNUMBER(R663),R663&lt;TODAY()),AND(OR(N663="PENDENTE",N663="PARCIAL"),D663&lt;TODAY()-1)),"CRÍTICO",IF(OR(AND(P663&lt;&gt;"",S663=""),AND(N663="REALIZADO",M663="PENDENTE"),AND(ISNUMBER(R663),R663=TODAY())),"ATENÇÃO",IF(N(K663)=0,"PENDENTE","EM ANDAMENTO"))))))</f>
        <v/>
      </c>
      <c r="C663" s="3">
        <f>IF(D663="","",IF(V663=0,"🟢 OK",IF(D663&lt;corte,"⚪ HISTÓRICO (sem baixa)",IF(AND(ISNUMBER(R663),R663&lt;TODAY()),"🔴 PRAZO VENCIDO",IF(AND(OR(N663="PENDENTE",N663="PARCIAL"),D663&lt;TODAY()-1),"🔴 EMBARQUE ATRASADO",IF(AND(N663="REALIZADO",M663="PENDENTE"),"🟡 EMBARCADO SEM FATURAR",IF(AND(P663&lt;&gt;"",S663="",OR(Q663="",R663="")),"🟡 PENDÊNCIA SEM RESPONSÁVEL/PRAZO",IF(AND(ISNUMBER(R663),R663=TODAY()),"🟡 VENCE HOJE",IF(AND(P663&lt;&gt;"",S663=""),"🟡 PENDÊNCIA ABERTA",IF(AND(N(J663)&gt;0,N(K663)&lt;J663),"🟡 FALTA EXECUTAR",IF(OR(M663="PENDENTE",M663="PARCIAL"),"🟡 FATURAMENTO PENDENTE","🟡 EMBARQUE PENDENTE")))))))))))</f>
        <v/>
      </c>
      <c r="D663" s="4" t="n">
        <v>46272</v>
      </c>
      <c r="E663" s="5" t="inlineStr">
        <is>
          <t>A</t>
        </is>
      </c>
      <c r="F663" s="5" t="inlineStr">
        <is>
          <t>TATIANE</t>
        </is>
      </c>
      <c r="G663" s="5" t="inlineStr">
        <is>
          <t>FLOOR</t>
        </is>
      </c>
      <c r="H663" s="5" t="inlineStr">
        <is>
          <t>FABRICA</t>
        </is>
      </c>
      <c r="I663" s="5" t="inlineStr">
        <is>
          <t>PALETE</t>
        </is>
      </c>
      <c r="J663" s="6" t="n">
        <v>130</v>
      </c>
      <c r="K663" s="6" t="n">
        <v>124</v>
      </c>
      <c r="L663" s="7">
        <f>IF(OR(D663="",N(J663)=0),"",MIN(1,N(K663)/J663))</f>
        <v/>
      </c>
      <c r="M663" s="5" t="n"/>
      <c r="N663" s="5" t="n"/>
      <c r="O663" s="5" t="n"/>
      <c r="P663" s="5" t="inlineStr">
        <is>
          <t>DEPENDE DO FINANCEIRO</t>
        </is>
      </c>
      <c r="Q663" s="5" t="n"/>
      <c r="R663" s="4" t="n"/>
      <c r="S663" s="4" t="n"/>
      <c r="T663" s="5" t="inlineStr">
        <is>
          <t>DEPENDE DO FINANCEIRO [MIGRAÇÃO: data corrigida de 09/07/2026]</t>
        </is>
      </c>
      <c r="U663" s="8">
        <f>IF(AND(V663=1,D663&lt;&gt;""),IF(D663&gt;=corte,TODAY()-D663,""),"")</f>
        <v/>
      </c>
      <c r="V663" s="8">
        <f>IF(D663="",0,IF(OR(AND(P663&lt;&gt;"",S663=""),AND(N(J663)&gt;0,N(K663)&lt;J663),OR(M663="PENDENTE",M663="PARCIAL"),OR(N663="PENDENTE",N663="PARCIAL")),1,0))</f>
        <v/>
      </c>
      <c r="W663" s="8">
        <f>IF(AND(V663=1,D663&lt;&gt;""),IF(D663&gt;=corte,(B663="CRÍTICO")*1E9+(100000-D663)*10000+10000-ROW(),""),"")</f>
        <v/>
      </c>
      <c r="X663" s="8">
        <f>IF(AND(V663=1,D663=pas_data,E663=pas_turno),10000-ROW(),"")</f>
        <v/>
      </c>
    </row>
    <row r="664">
      <c r="A664" s="3">
        <f>IF(D664="","","TT-"&amp;TEXT(ROW()-1,"00000"))</f>
        <v/>
      </c>
      <c r="B664" s="3">
        <f>IF(D664="","",IF(V664=0,"CONCLUÍDO",IF(D664&lt;corte,"HISTÓRICO",IF(OR(AND(ISNUMBER(R664),R664&lt;TODAY()),AND(OR(N664="PENDENTE",N664="PARCIAL"),D664&lt;TODAY()-1)),"CRÍTICO",IF(OR(AND(P664&lt;&gt;"",S664=""),AND(N664="REALIZADO",M664="PENDENTE"),AND(ISNUMBER(R664),R664=TODAY())),"ATENÇÃO",IF(N(K664)=0,"PENDENTE","EM ANDAMENTO"))))))</f>
        <v/>
      </c>
      <c r="C664" s="3">
        <f>IF(D664="","",IF(V664=0,"🟢 OK",IF(D664&lt;corte,"⚪ HISTÓRICO (sem baixa)",IF(AND(ISNUMBER(R664),R664&lt;TODAY()),"🔴 PRAZO VENCIDO",IF(AND(OR(N664="PENDENTE",N664="PARCIAL"),D664&lt;TODAY()-1),"🔴 EMBARQUE ATRASADO",IF(AND(N664="REALIZADO",M664="PENDENTE"),"🟡 EMBARCADO SEM FATURAR",IF(AND(P664&lt;&gt;"",S664="",OR(Q664="",R664="")),"🟡 PENDÊNCIA SEM RESPONSÁVEL/PRAZO",IF(AND(ISNUMBER(R664),R664=TODAY()),"🟡 VENCE HOJE",IF(AND(P664&lt;&gt;"",S664=""),"🟡 PENDÊNCIA ABERTA",IF(AND(N(J664)&gt;0,N(K664)&lt;J664),"🟡 FALTA EXECUTAR",IF(OR(M664="PENDENTE",M664="PARCIAL"),"🟡 FATURAMENTO PENDENTE","🟡 EMBARQUE PENDENTE")))))))))))</f>
        <v/>
      </c>
      <c r="D664" s="4" t="n">
        <v>46272</v>
      </c>
      <c r="E664" s="5" t="inlineStr">
        <is>
          <t>A</t>
        </is>
      </c>
      <c r="F664" s="5" t="inlineStr">
        <is>
          <t>TATIANE</t>
        </is>
      </c>
      <c r="G664" s="5" t="inlineStr">
        <is>
          <t>CACAU</t>
        </is>
      </c>
      <c r="H664" s="5" t="inlineStr">
        <is>
          <t>SEPARAÇÃO</t>
        </is>
      </c>
      <c r="I664" s="5" t="inlineStr">
        <is>
          <t>TON</t>
        </is>
      </c>
      <c r="J664" s="6" t="n">
        <v>19.671</v>
      </c>
      <c r="K664" s="6" t="n">
        <v>19.671</v>
      </c>
      <c r="L664" s="7">
        <f>IF(OR(D664="",N(J664)=0),"",MIN(1,N(K664)/J664))</f>
        <v/>
      </c>
      <c r="M664" s="5" t="inlineStr">
        <is>
          <t>FATURADO</t>
        </is>
      </c>
      <c r="N664" s="5" t="inlineStr">
        <is>
          <t>PENDENTE</t>
        </is>
      </c>
      <c r="O664" s="5" t="inlineStr">
        <is>
          <t>SMARTLOG</t>
        </is>
      </c>
      <c r="P664" s="5" t="n"/>
      <c r="Q664" s="5" t="n"/>
      <c r="R664" s="4" t="n"/>
      <c r="S664" s="4" t="n"/>
      <c r="T664" s="5" t="inlineStr">
        <is>
          <t>[MIGRAÇÃO: data corrigida de 09/07/2026]</t>
        </is>
      </c>
      <c r="U664" s="8">
        <f>IF(AND(V664=1,D664&lt;&gt;""),IF(D664&gt;=corte,TODAY()-D664,""),"")</f>
        <v/>
      </c>
      <c r="V664" s="8">
        <f>IF(D664="",0,IF(OR(AND(P664&lt;&gt;"",S664=""),AND(N(J664)&gt;0,N(K664)&lt;J664),OR(M664="PENDENTE",M664="PARCIAL"),OR(N664="PENDENTE",N664="PARCIAL")),1,0))</f>
        <v/>
      </c>
      <c r="W664" s="8">
        <f>IF(AND(V664=1,D664&lt;&gt;""),IF(D664&gt;=corte,(B664="CRÍTICO")*1E9+(100000-D664)*10000+10000-ROW(),""),"")</f>
        <v/>
      </c>
      <c r="X664" s="8">
        <f>IF(AND(V664=1,D664=pas_data,E664=pas_turno),10000-ROW(),"")</f>
        <v/>
      </c>
    </row>
    <row r="665">
      <c r="A665" s="3">
        <f>IF(D665="","","TT-"&amp;TEXT(ROW()-1,"00000"))</f>
        <v/>
      </c>
      <c r="B665" s="3">
        <f>IF(D665="","",IF(V665=0,"CONCLUÍDO",IF(D665&lt;corte,"HISTÓRICO",IF(OR(AND(ISNUMBER(R665),R665&lt;TODAY()),AND(OR(N665="PENDENTE",N665="PARCIAL"),D665&lt;TODAY()-1)),"CRÍTICO",IF(OR(AND(P665&lt;&gt;"",S665=""),AND(N665="REALIZADO",M665="PENDENTE"),AND(ISNUMBER(R665),R665=TODAY())),"ATENÇÃO",IF(N(K665)=0,"PENDENTE","EM ANDAMENTO"))))))</f>
        <v/>
      </c>
      <c r="C665" s="3">
        <f>IF(D665="","",IF(V665=0,"🟢 OK",IF(D665&lt;corte,"⚪ HISTÓRICO (sem baixa)",IF(AND(ISNUMBER(R665),R665&lt;TODAY()),"🔴 PRAZO VENCIDO",IF(AND(OR(N665="PENDENTE",N665="PARCIAL"),D665&lt;TODAY()-1),"🔴 EMBARQUE ATRASADO",IF(AND(N665="REALIZADO",M665="PENDENTE"),"🟡 EMBARCADO SEM FATURAR",IF(AND(P665&lt;&gt;"",S665="",OR(Q665="",R665="")),"🟡 PENDÊNCIA SEM RESPONSÁVEL/PRAZO",IF(AND(ISNUMBER(R665),R665=TODAY()),"🟡 VENCE HOJE",IF(AND(P665&lt;&gt;"",S665=""),"🟡 PENDÊNCIA ABERTA",IF(AND(N(J665)&gt;0,N(K665)&lt;J665),"🟡 FALTA EXECUTAR",IF(OR(M665="PENDENTE",M665="PARCIAL"),"🟡 FATURAMENTO PENDENTE","🟡 EMBARQUE PENDENTE")))))))))))</f>
        <v/>
      </c>
      <c r="D665" s="4" t="n">
        <v>46272</v>
      </c>
      <c r="E665" s="5" t="inlineStr">
        <is>
          <t>B</t>
        </is>
      </c>
      <c r="F665" s="5" t="inlineStr">
        <is>
          <t>THIAGO</t>
        </is>
      </c>
      <c r="G665" s="5" t="inlineStr">
        <is>
          <t>FM</t>
        </is>
      </c>
      <c r="H665" s="5" t="inlineStr">
        <is>
          <t>M DIAS</t>
        </is>
      </c>
      <c r="I665" s="5" t="inlineStr">
        <is>
          <t>TON</t>
        </is>
      </c>
      <c r="J665" s="6" t="n">
        <v>17.22</v>
      </c>
      <c r="K665" s="6" t="n">
        <v>17.22</v>
      </c>
      <c r="L665" s="7">
        <f>IF(OR(D665="",N(J665)=0),"",MIN(1,N(K665)/J665))</f>
        <v/>
      </c>
      <c r="M665" s="5" t="n"/>
      <c r="N665" s="5" t="n"/>
      <c r="O665" s="5" t="n"/>
      <c r="P665" s="5" t="n"/>
      <c r="Q665" s="5" t="n"/>
      <c r="R665" s="4" t="n"/>
      <c r="S665" s="4" t="n"/>
      <c r="T665" s="5" t="n"/>
      <c r="U665" s="8">
        <f>IF(AND(V665=1,D665&lt;&gt;""),IF(D665&gt;=corte,TODAY()-D665,""),"")</f>
        <v/>
      </c>
      <c r="V665" s="8">
        <f>IF(D665="",0,IF(OR(AND(P665&lt;&gt;"",S665=""),AND(N(J665)&gt;0,N(K665)&lt;J665),OR(M665="PENDENTE",M665="PARCIAL"),OR(N665="PENDENTE",N665="PARCIAL")),1,0))</f>
        <v/>
      </c>
      <c r="W665" s="8">
        <f>IF(AND(V665=1,D665&lt;&gt;""),IF(D665&gt;=corte,(B665="CRÍTICO")*1E9+(100000-D665)*10000+10000-ROW(),""),"")</f>
        <v/>
      </c>
      <c r="X665" s="8">
        <f>IF(AND(V665=1,D665=pas_data,E665=pas_turno),10000-ROW(),"")</f>
        <v/>
      </c>
    </row>
    <row r="666">
      <c r="A666" s="3">
        <f>IF(D666="","","TT-"&amp;TEXT(ROW()-1,"00000"))</f>
        <v/>
      </c>
      <c r="B666" s="3">
        <f>IF(D666="","",IF(V666=0,"CONCLUÍDO",IF(D666&lt;corte,"HISTÓRICO",IF(OR(AND(ISNUMBER(R666),R666&lt;TODAY()),AND(OR(N666="PENDENTE",N666="PARCIAL"),D666&lt;TODAY()-1)),"CRÍTICO",IF(OR(AND(P666&lt;&gt;"",S666=""),AND(N666="REALIZADO",M666="PENDENTE"),AND(ISNUMBER(R666),R666=TODAY())),"ATENÇÃO",IF(N(K666)=0,"PENDENTE","EM ANDAMENTO"))))))</f>
        <v/>
      </c>
      <c r="C666" s="3">
        <f>IF(D666="","",IF(V666=0,"🟢 OK",IF(D666&lt;corte,"⚪ HISTÓRICO (sem baixa)",IF(AND(ISNUMBER(R666),R666&lt;TODAY()),"🔴 PRAZO VENCIDO",IF(AND(OR(N666="PENDENTE",N666="PARCIAL"),D666&lt;TODAY()-1),"🔴 EMBARQUE ATRASADO",IF(AND(N666="REALIZADO",M666="PENDENTE"),"🟡 EMBARCADO SEM FATURAR",IF(AND(P666&lt;&gt;"",S666="",OR(Q666="",R666="")),"🟡 PENDÊNCIA SEM RESPONSÁVEL/PRAZO",IF(AND(ISNUMBER(R666),R666=TODAY()),"🟡 VENCE HOJE",IF(AND(P666&lt;&gt;"",S666=""),"🟡 PENDÊNCIA ABERTA",IF(AND(N(J666)&gt;0,N(K666)&lt;J666),"🟡 FALTA EXECUTAR",IF(OR(M666="PENDENTE",M666="PARCIAL"),"🟡 FATURAMENTO PENDENTE","🟡 EMBARQUE PENDENTE")))))))))))</f>
        <v/>
      </c>
      <c r="D666" s="4" t="n">
        <v>46272</v>
      </c>
      <c r="E666" s="5" t="inlineStr">
        <is>
          <t>B</t>
        </is>
      </c>
      <c r="F666" s="5" t="inlineStr">
        <is>
          <t>THIAGO</t>
        </is>
      </c>
      <c r="G666" s="5" t="inlineStr">
        <is>
          <t>FM</t>
        </is>
      </c>
      <c r="H666" s="5" t="inlineStr">
        <is>
          <t>PANDURATA</t>
        </is>
      </c>
      <c r="I666" s="5" t="inlineStr">
        <is>
          <t>TON</t>
        </is>
      </c>
      <c r="J666" s="6" t="n">
        <v>20.732</v>
      </c>
      <c r="K666" s="6" t="n">
        <v>20.732</v>
      </c>
      <c r="L666" s="7">
        <f>IF(OR(D666="",N(J666)=0),"",MIN(1,N(K666)/J666))</f>
        <v/>
      </c>
      <c r="M666" s="5" t="n"/>
      <c r="N666" s="5" t="n"/>
      <c r="O666" s="5" t="n"/>
      <c r="P666" s="5" t="n"/>
      <c r="Q666" s="5" t="n"/>
      <c r="R666" s="4" t="n"/>
      <c r="S666" s="4" t="n"/>
      <c r="T666" s="5" t="n"/>
      <c r="U666" s="8">
        <f>IF(AND(V666=1,D666&lt;&gt;""),IF(D666&gt;=corte,TODAY()-D666,""),"")</f>
        <v/>
      </c>
      <c r="V666" s="8">
        <f>IF(D666="",0,IF(OR(AND(P666&lt;&gt;"",S666=""),AND(N(J666)&gt;0,N(K666)&lt;J666),OR(M666="PENDENTE",M666="PARCIAL"),OR(N666="PENDENTE",N666="PARCIAL")),1,0))</f>
        <v/>
      </c>
      <c r="W666" s="8">
        <f>IF(AND(V666=1,D666&lt;&gt;""),IF(D666&gt;=corte,(B666="CRÍTICO")*1E9+(100000-D666)*10000+10000-ROW(),""),"")</f>
        <v/>
      </c>
      <c r="X666" s="8">
        <f>IF(AND(V666=1,D666=pas_data,E666=pas_turno),10000-ROW(),"")</f>
        <v/>
      </c>
    </row>
    <row r="667">
      <c r="A667" s="3">
        <f>IF(D667="","","TT-"&amp;TEXT(ROW()-1,"00000"))</f>
        <v/>
      </c>
      <c r="B667" s="3">
        <f>IF(D667="","",IF(V667=0,"CONCLUÍDO",IF(D667&lt;corte,"HISTÓRICO",IF(OR(AND(ISNUMBER(R667),R667&lt;TODAY()),AND(OR(N667="PENDENTE",N667="PARCIAL"),D667&lt;TODAY()-1)),"CRÍTICO",IF(OR(AND(P667&lt;&gt;"",S667=""),AND(N667="REALIZADO",M667="PENDENTE"),AND(ISNUMBER(R667),R667=TODAY())),"ATENÇÃO",IF(N(K667)=0,"PENDENTE","EM ANDAMENTO"))))))</f>
        <v/>
      </c>
      <c r="C667" s="3">
        <f>IF(D667="","",IF(V667=0,"🟢 OK",IF(D667&lt;corte,"⚪ HISTÓRICO (sem baixa)",IF(AND(ISNUMBER(R667),R667&lt;TODAY()),"🔴 PRAZO VENCIDO",IF(AND(OR(N667="PENDENTE",N667="PARCIAL"),D667&lt;TODAY()-1),"🔴 EMBARQUE ATRASADO",IF(AND(N667="REALIZADO",M667="PENDENTE"),"🟡 EMBARCADO SEM FATURAR",IF(AND(P667&lt;&gt;"",S667="",OR(Q667="",R667="")),"🟡 PENDÊNCIA SEM RESPONSÁVEL/PRAZO",IF(AND(ISNUMBER(R667),R667=TODAY()),"🟡 VENCE HOJE",IF(AND(P667&lt;&gt;"",S667=""),"🟡 PENDÊNCIA ABERTA",IF(AND(N(J667)&gt;0,N(K667)&lt;J667),"🟡 FALTA EXECUTAR",IF(OR(M667="PENDENTE",M667="PARCIAL"),"🟡 FATURAMENTO PENDENTE","🟡 EMBARQUE PENDENTE")))))))))))</f>
        <v/>
      </c>
      <c r="D667" s="4" t="n">
        <v>46272</v>
      </c>
      <c r="E667" s="5" t="inlineStr">
        <is>
          <t>B</t>
        </is>
      </c>
      <c r="F667" s="5" t="inlineStr">
        <is>
          <t>THIAGO</t>
        </is>
      </c>
      <c r="G667" s="5" t="inlineStr">
        <is>
          <t>GRANEL</t>
        </is>
      </c>
      <c r="H667" s="5" t="inlineStr">
        <is>
          <t>GRANEL - PANDURATA</t>
        </is>
      </c>
      <c r="I667" s="5" t="inlineStr">
        <is>
          <t>TON</t>
        </is>
      </c>
      <c r="J667" s="6" t="n">
        <v>27.1</v>
      </c>
      <c r="K667" s="6" t="n">
        <v>27.1</v>
      </c>
      <c r="L667" s="7">
        <f>IF(OR(D667="",N(J667)=0),"",MIN(1,N(K667)/J667))</f>
        <v/>
      </c>
      <c r="M667" s="5" t="n"/>
      <c r="N667" s="5" t="n"/>
      <c r="O667" s="5" t="n"/>
      <c r="P667" s="5" t="n"/>
      <c r="Q667" s="5" t="n"/>
      <c r="R667" s="4" t="n"/>
      <c r="S667" s="4" t="n"/>
      <c r="T667" s="5" t="n"/>
      <c r="U667" s="8">
        <f>IF(AND(V667=1,D667&lt;&gt;""),IF(D667&gt;=corte,TODAY()-D667,""),"")</f>
        <v/>
      </c>
      <c r="V667" s="8">
        <f>IF(D667="",0,IF(OR(AND(P667&lt;&gt;"",S667=""),AND(N(J667)&gt;0,N(K667)&lt;J667),OR(M667="PENDENTE",M667="PARCIAL"),OR(N667="PENDENTE",N667="PARCIAL")),1,0))</f>
        <v/>
      </c>
      <c r="W667" s="8">
        <f>IF(AND(V667=1,D667&lt;&gt;""),IF(D667&gt;=corte,(B667="CRÍTICO")*1E9+(100000-D667)*10000+10000-ROW(),""),"")</f>
        <v/>
      </c>
      <c r="X667" s="8">
        <f>IF(AND(V667=1,D667=pas_data,E667=pas_turno),10000-ROW(),"")</f>
        <v/>
      </c>
    </row>
    <row r="668">
      <c r="A668" s="3">
        <f>IF(D668="","","TT-"&amp;TEXT(ROW()-1,"00000"))</f>
        <v/>
      </c>
      <c r="B668" s="3">
        <f>IF(D668="","",IF(V668=0,"CONCLUÍDO",IF(D668&lt;corte,"HISTÓRICO",IF(OR(AND(ISNUMBER(R668),R668&lt;TODAY()),AND(OR(N668="PENDENTE",N668="PARCIAL"),D668&lt;TODAY()-1)),"CRÍTICO",IF(OR(AND(P668&lt;&gt;"",S668=""),AND(N668="REALIZADO",M668="PENDENTE"),AND(ISNUMBER(R668),R668=TODAY())),"ATENÇÃO",IF(N(K668)=0,"PENDENTE","EM ANDAMENTO"))))))</f>
        <v/>
      </c>
      <c r="C668" s="3">
        <f>IF(D668="","",IF(V668=0,"🟢 OK",IF(D668&lt;corte,"⚪ HISTÓRICO (sem baixa)",IF(AND(ISNUMBER(R668),R668&lt;TODAY()),"🔴 PRAZO VENCIDO",IF(AND(OR(N668="PENDENTE",N668="PARCIAL"),D668&lt;TODAY()-1),"🔴 EMBARQUE ATRASADO",IF(AND(N668="REALIZADO",M668="PENDENTE"),"🟡 EMBARCADO SEM FATURAR",IF(AND(P668&lt;&gt;"",S668="",OR(Q668="",R668="")),"🟡 PENDÊNCIA SEM RESPONSÁVEL/PRAZO",IF(AND(ISNUMBER(R668),R668=TODAY()),"🟡 VENCE HOJE",IF(AND(P668&lt;&gt;"",S668=""),"🟡 PENDÊNCIA ABERTA",IF(AND(N(J668)&gt;0,N(K668)&lt;J668),"🟡 FALTA EXECUTAR",IF(OR(M668="PENDENTE",M668="PARCIAL"),"🟡 FATURAMENTO PENDENTE","🟡 EMBARQUE PENDENTE")))))))))))</f>
        <v/>
      </c>
      <c r="D668" s="4" t="n">
        <v>46273</v>
      </c>
      <c r="E668" s="5" t="inlineStr">
        <is>
          <t>C</t>
        </is>
      </c>
      <c r="F668" s="5" t="inlineStr">
        <is>
          <t>ADIB</t>
        </is>
      </c>
      <c r="G668" s="5" t="inlineStr">
        <is>
          <t>CACAU</t>
        </is>
      </c>
      <c r="H668" s="5" t="inlineStr">
        <is>
          <t>CACAU BR15</t>
        </is>
      </c>
      <c r="I668" s="5" t="inlineStr">
        <is>
          <t>TON</t>
        </is>
      </c>
      <c r="J668" s="6" t="n">
        <v>10.7</v>
      </c>
      <c r="K668" s="6" t="n">
        <v>10.7</v>
      </c>
      <c r="L668" s="7">
        <f>IF(OR(D668="",N(J668)=0),"",MIN(1,N(K668)/J668))</f>
        <v/>
      </c>
      <c r="M668" s="5" t="n"/>
      <c r="N668" s="5" t="n"/>
      <c r="O668" s="5" t="n"/>
      <c r="P668" s="5" t="n"/>
      <c r="Q668" s="5" t="n"/>
      <c r="R668" s="4" t="n"/>
      <c r="S668" s="4" t="n"/>
      <c r="T668" s="5" t="n"/>
      <c r="U668" s="8">
        <f>IF(AND(V668=1,D668&lt;&gt;""),IF(D668&gt;=corte,TODAY()-D668,""),"")</f>
        <v/>
      </c>
      <c r="V668" s="8">
        <f>IF(D668="",0,IF(OR(AND(P668&lt;&gt;"",S668=""),AND(N(J668)&gt;0,N(K668)&lt;J668),OR(M668="PENDENTE",M668="PARCIAL"),OR(N668="PENDENTE",N668="PARCIAL")),1,0))</f>
        <v/>
      </c>
      <c r="W668" s="8">
        <f>IF(AND(V668=1,D668&lt;&gt;""),IF(D668&gt;=corte,(B668="CRÍTICO")*1E9+(100000-D668)*10000+10000-ROW(),""),"")</f>
        <v/>
      </c>
      <c r="X668" s="8">
        <f>IF(AND(V668=1,D668=pas_data,E668=pas_turno),10000-ROW(),"")</f>
        <v/>
      </c>
    </row>
    <row r="669">
      <c r="A669" s="3">
        <f>IF(D669="","","TT-"&amp;TEXT(ROW()-1,"00000"))</f>
        <v/>
      </c>
      <c r="B669" s="3">
        <f>IF(D669="","",IF(V669=0,"CONCLUÍDO",IF(D669&lt;corte,"HISTÓRICO",IF(OR(AND(ISNUMBER(R669),R669&lt;TODAY()),AND(OR(N669="PENDENTE",N669="PARCIAL"),D669&lt;TODAY()-1)),"CRÍTICO",IF(OR(AND(P669&lt;&gt;"",S669=""),AND(N669="REALIZADO",M669="PENDENTE"),AND(ISNUMBER(R669),R669=TODAY())),"ATENÇÃO",IF(N(K669)=0,"PENDENTE","EM ANDAMENTO"))))))</f>
        <v/>
      </c>
      <c r="C669" s="3">
        <f>IF(D669="","",IF(V669=0,"🟢 OK",IF(D669&lt;corte,"⚪ HISTÓRICO (sem baixa)",IF(AND(ISNUMBER(R669),R669&lt;TODAY()),"🔴 PRAZO VENCIDO",IF(AND(OR(N669="PENDENTE",N669="PARCIAL"),D669&lt;TODAY()-1),"🔴 EMBARQUE ATRASADO",IF(AND(N669="REALIZADO",M669="PENDENTE"),"🟡 EMBARCADO SEM FATURAR",IF(AND(P669&lt;&gt;"",S669="",OR(Q669="",R669="")),"🟡 PENDÊNCIA SEM RESPONSÁVEL/PRAZO",IF(AND(ISNUMBER(R669),R669=TODAY()),"🟡 VENCE HOJE",IF(AND(P669&lt;&gt;"",S669=""),"🟡 PENDÊNCIA ABERTA",IF(AND(N(J669)&gt;0,N(K669)&lt;J669),"🟡 FALTA EXECUTAR",IF(OR(M669="PENDENTE",M669="PARCIAL"),"🟡 FATURAMENTO PENDENTE","🟡 EMBARQUE PENDENTE")))))))))))</f>
        <v/>
      </c>
      <c r="D669" s="4" t="n">
        <v>46273</v>
      </c>
      <c r="E669" s="5" t="inlineStr">
        <is>
          <t>C</t>
        </is>
      </c>
      <c r="F669" s="5" t="inlineStr">
        <is>
          <t>ADIB</t>
        </is>
      </c>
      <c r="G669" s="5" t="inlineStr">
        <is>
          <t>GRANEL</t>
        </is>
      </c>
      <c r="H669" s="5" t="inlineStr">
        <is>
          <t>PANDURATA</t>
        </is>
      </c>
      <c r="I669" s="5" t="inlineStr">
        <is>
          <t>TON</t>
        </is>
      </c>
      <c r="J669" s="6" t="n">
        <v>27.1</v>
      </c>
      <c r="K669" s="6" t="n">
        <v>27.1</v>
      </c>
      <c r="L669" s="7">
        <f>IF(OR(D669="",N(J669)=0),"",MIN(1,N(K669)/J669))</f>
        <v/>
      </c>
      <c r="M669" s="5" t="inlineStr">
        <is>
          <t>FATURADO</t>
        </is>
      </c>
      <c r="N669" s="5" t="inlineStr">
        <is>
          <t>REALIZADO</t>
        </is>
      </c>
      <c r="O669" s="5" t="inlineStr">
        <is>
          <t>JSL</t>
        </is>
      </c>
      <c r="P669" s="5" t="n"/>
      <c r="Q669" s="5" t="n"/>
      <c r="R669" s="4" t="n"/>
      <c r="S669" s="4" t="n"/>
      <c r="T669" s="5" t="inlineStr">
        <is>
          <t>FATURADO E LIBERADO</t>
        </is>
      </c>
      <c r="U669" s="8">
        <f>IF(AND(V669=1,D669&lt;&gt;""),IF(D669&gt;=corte,TODAY()-D669,""),"")</f>
        <v/>
      </c>
      <c r="V669" s="8">
        <f>IF(D669="",0,IF(OR(AND(P669&lt;&gt;"",S669=""),AND(N(J669)&gt;0,N(K669)&lt;J669),OR(M669="PENDENTE",M669="PARCIAL"),OR(N669="PENDENTE",N669="PARCIAL")),1,0))</f>
        <v/>
      </c>
      <c r="W669" s="8">
        <f>IF(AND(V669=1,D669&lt;&gt;""),IF(D669&gt;=corte,(B669="CRÍTICO")*1E9+(100000-D669)*10000+10000-ROW(),""),"")</f>
        <v/>
      </c>
      <c r="X669" s="8">
        <f>IF(AND(V669=1,D669=pas_data,E669=pas_turno),10000-ROW(),"")</f>
        <v/>
      </c>
    </row>
    <row r="670">
      <c r="A670" s="3">
        <f>IF(D670="","","TT-"&amp;TEXT(ROW()-1,"00000"))</f>
        <v/>
      </c>
      <c r="B670" s="3">
        <f>IF(D670="","",IF(V670=0,"CONCLUÍDO",IF(D670&lt;corte,"HISTÓRICO",IF(OR(AND(ISNUMBER(R670),R670&lt;TODAY()),AND(OR(N670="PENDENTE",N670="PARCIAL"),D670&lt;TODAY()-1)),"CRÍTICO",IF(OR(AND(P670&lt;&gt;"",S670=""),AND(N670="REALIZADO",M670="PENDENTE"),AND(ISNUMBER(R670),R670=TODAY())),"ATENÇÃO",IF(N(K670)=0,"PENDENTE","EM ANDAMENTO"))))))</f>
        <v/>
      </c>
      <c r="C670" s="3">
        <f>IF(D670="","",IF(V670=0,"🟢 OK",IF(D670&lt;corte,"⚪ HISTÓRICO (sem baixa)",IF(AND(ISNUMBER(R670),R670&lt;TODAY()),"🔴 PRAZO VENCIDO",IF(AND(OR(N670="PENDENTE",N670="PARCIAL"),D670&lt;TODAY()-1),"🔴 EMBARQUE ATRASADO",IF(AND(N670="REALIZADO",M670="PENDENTE"),"🟡 EMBARCADO SEM FATURAR",IF(AND(P670&lt;&gt;"",S670="",OR(Q670="",R670="")),"🟡 PENDÊNCIA SEM RESPONSÁVEL/PRAZO",IF(AND(ISNUMBER(R670),R670=TODAY()),"🟡 VENCE HOJE",IF(AND(P670&lt;&gt;"",S670=""),"🟡 PENDÊNCIA ABERTA",IF(AND(N(J670)&gt;0,N(K670)&lt;J670),"🟡 FALTA EXECUTAR",IF(OR(M670="PENDENTE",M670="PARCIAL"),"🟡 FATURAMENTO PENDENTE","🟡 EMBARQUE PENDENTE")))))))))))</f>
        <v/>
      </c>
      <c r="D670" s="4" t="n">
        <v>46273</v>
      </c>
      <c r="E670" s="5" t="inlineStr">
        <is>
          <t>D</t>
        </is>
      </c>
      <c r="F670" s="5" t="inlineStr">
        <is>
          <t>VINICIUS</t>
        </is>
      </c>
      <c r="G670" s="5" t="inlineStr">
        <is>
          <t>GM</t>
        </is>
      </c>
      <c r="H670" s="5" t="inlineStr">
        <is>
          <t>SUL - PR / SC</t>
        </is>
      </c>
      <c r="I670" s="5" t="inlineStr">
        <is>
          <t>TON</t>
        </is>
      </c>
      <c r="J670" s="6" t="n">
        <v>22.724</v>
      </c>
      <c r="K670" s="6" t="n">
        <v>18.836</v>
      </c>
      <c r="L670" s="7">
        <f>IF(OR(D670="",N(J670)=0),"",MIN(1,N(K670)/J670))</f>
        <v/>
      </c>
      <c r="M670" s="5" t="inlineStr">
        <is>
          <t>PARCIAL</t>
        </is>
      </c>
      <c r="N670" s="5" t="inlineStr">
        <is>
          <t>PENDENTE</t>
        </is>
      </c>
      <c r="O670" s="5" t="inlineStr">
        <is>
          <t>RENOVAÇÃO</t>
        </is>
      </c>
      <c r="P670" s="5" t="n"/>
      <c r="Q670" s="5" t="n"/>
      <c r="R670" s="4" t="n"/>
      <c r="S670" s="4" t="n"/>
      <c r="T670" s="5" t="inlineStr">
        <is>
          <t>PR / SC FATURADO | RS SEPARADO PARCIAL [MIGRAÇÃO: data corrigida de 09/08/2026]</t>
        </is>
      </c>
      <c r="U670" s="8">
        <f>IF(AND(V670=1,D670&lt;&gt;""),IF(D670&gt;=corte,TODAY()-D670,""),"")</f>
        <v/>
      </c>
      <c r="V670" s="8">
        <f>IF(D670="",0,IF(OR(AND(P670&lt;&gt;"",S670=""),AND(N(J670)&gt;0,N(K670)&lt;J670),OR(M670="PENDENTE",M670="PARCIAL"),OR(N670="PENDENTE",N670="PARCIAL")),1,0))</f>
        <v/>
      </c>
      <c r="W670" s="8">
        <f>IF(AND(V670=1,D670&lt;&gt;""),IF(D670&gt;=corte,(B670="CRÍTICO")*1E9+(100000-D670)*10000+10000-ROW(),""),"")</f>
        <v/>
      </c>
      <c r="X670" s="8">
        <f>IF(AND(V670=1,D670=pas_data,E670=pas_turno),10000-ROW(),"")</f>
        <v/>
      </c>
    </row>
    <row r="671">
      <c r="A671" s="3">
        <f>IF(D671="","","TT-"&amp;TEXT(ROW()-1,"00000"))</f>
        <v/>
      </c>
      <c r="B671" s="3">
        <f>IF(D671="","",IF(V671=0,"CONCLUÍDO",IF(D671&lt;corte,"HISTÓRICO",IF(OR(AND(ISNUMBER(R671),R671&lt;TODAY()),AND(OR(N671="PENDENTE",N671="PARCIAL"),D671&lt;TODAY()-1)),"CRÍTICO",IF(OR(AND(P671&lt;&gt;"",S671=""),AND(N671="REALIZADO",M671="PENDENTE"),AND(ISNUMBER(R671),R671=TODAY())),"ATENÇÃO",IF(N(K671)=0,"PENDENTE","EM ANDAMENTO"))))))</f>
        <v/>
      </c>
      <c r="C671" s="3">
        <f>IF(D671="","",IF(V671=0,"🟢 OK",IF(D671&lt;corte,"⚪ HISTÓRICO (sem baixa)",IF(AND(ISNUMBER(R671),R671&lt;TODAY()),"🔴 PRAZO VENCIDO",IF(AND(OR(N671="PENDENTE",N671="PARCIAL"),D671&lt;TODAY()-1),"🔴 EMBARQUE ATRASADO",IF(AND(N671="REALIZADO",M671="PENDENTE"),"🟡 EMBARCADO SEM FATURAR",IF(AND(P671&lt;&gt;"",S671="",OR(Q671="",R671="")),"🟡 PENDÊNCIA SEM RESPONSÁVEL/PRAZO",IF(AND(ISNUMBER(R671),R671=TODAY()),"🟡 VENCE HOJE",IF(AND(P671&lt;&gt;"",S671=""),"🟡 PENDÊNCIA ABERTA",IF(AND(N(J671)&gt;0,N(K671)&lt;J671),"🟡 FALTA EXECUTAR",IF(OR(M671="PENDENTE",M671="PARCIAL"),"🟡 FATURAMENTO PENDENTE","🟡 EMBARQUE PENDENTE")))))))))))</f>
        <v/>
      </c>
      <c r="D671" s="4" t="n">
        <v>46273</v>
      </c>
      <c r="E671" s="5" t="inlineStr">
        <is>
          <t>D</t>
        </is>
      </c>
      <c r="F671" s="5" t="inlineStr">
        <is>
          <t>VINICIUS</t>
        </is>
      </c>
      <c r="G671" s="5" t="inlineStr">
        <is>
          <t>FM</t>
        </is>
      </c>
      <c r="H671" s="5" t="inlineStr">
        <is>
          <t>TOC MIX</t>
        </is>
      </c>
      <c r="I671" s="5" t="inlineStr">
        <is>
          <t>TON</t>
        </is>
      </c>
      <c r="J671" s="6" t="n">
        <v>26.775</v>
      </c>
      <c r="K671" s="6" t="n">
        <v>26.775</v>
      </c>
      <c r="L671" s="7">
        <f>IF(OR(D671="",N(J671)=0),"",MIN(1,N(K671)/J671))</f>
        <v/>
      </c>
      <c r="M671" s="5" t="inlineStr">
        <is>
          <t>FATURADO</t>
        </is>
      </c>
      <c r="N671" s="5" t="inlineStr">
        <is>
          <t>REALIZADO</t>
        </is>
      </c>
      <c r="O671" s="5" t="inlineStr">
        <is>
          <t>PRÓPRIO</t>
        </is>
      </c>
      <c r="P671" s="5" t="n"/>
      <c r="Q671" s="5" t="n"/>
      <c r="R671" s="4" t="n"/>
      <c r="S671" s="4" t="n"/>
      <c r="T671" s="5" t="inlineStr">
        <is>
          <t>EMBARCADO E LIBERADO [MIGRAÇÃO: data corrigida de 09/08/2026]</t>
        </is>
      </c>
      <c r="U671" s="8">
        <f>IF(AND(V671=1,D671&lt;&gt;""),IF(D671&gt;=corte,TODAY()-D671,""),"")</f>
        <v/>
      </c>
      <c r="V671" s="8">
        <f>IF(D671="",0,IF(OR(AND(P671&lt;&gt;"",S671=""),AND(N(J671)&gt;0,N(K671)&lt;J671),OR(M671="PENDENTE",M671="PARCIAL"),OR(N671="PENDENTE",N671="PARCIAL")),1,0))</f>
        <v/>
      </c>
      <c r="W671" s="8">
        <f>IF(AND(V671=1,D671&lt;&gt;""),IF(D671&gt;=corte,(B671="CRÍTICO")*1E9+(100000-D671)*10000+10000-ROW(),""),"")</f>
        <v/>
      </c>
      <c r="X671" s="8">
        <f>IF(AND(V671=1,D671=pas_data,E671=pas_turno),10000-ROW(),"")</f>
        <v/>
      </c>
    </row>
    <row r="672">
      <c r="A672" s="3">
        <f>IF(D672="","","TT-"&amp;TEXT(ROW()-1,"00000"))</f>
        <v/>
      </c>
      <c r="B672" s="3">
        <f>IF(D672="","",IF(V672=0,"CONCLUÍDO",IF(D672&lt;corte,"HISTÓRICO",IF(OR(AND(ISNUMBER(R672),R672&lt;TODAY()),AND(OR(N672="PENDENTE",N672="PARCIAL"),D672&lt;TODAY()-1)),"CRÍTICO",IF(OR(AND(P672&lt;&gt;"",S672=""),AND(N672="REALIZADO",M672="PENDENTE"),AND(ISNUMBER(R672),R672=TODAY())),"ATENÇÃO",IF(N(K672)=0,"PENDENTE","EM ANDAMENTO"))))))</f>
        <v/>
      </c>
      <c r="C672" s="3">
        <f>IF(D672="","",IF(V672=0,"🟢 OK",IF(D672&lt;corte,"⚪ HISTÓRICO (sem baixa)",IF(AND(ISNUMBER(R672),R672&lt;TODAY()),"🔴 PRAZO VENCIDO",IF(AND(OR(N672="PENDENTE",N672="PARCIAL"),D672&lt;TODAY()-1),"🔴 EMBARQUE ATRASADO",IF(AND(N672="REALIZADO",M672="PENDENTE"),"🟡 EMBARCADO SEM FATURAR",IF(AND(P672&lt;&gt;"",S672="",OR(Q672="",R672="")),"🟡 PENDÊNCIA SEM RESPONSÁVEL/PRAZO",IF(AND(ISNUMBER(R672),R672=TODAY()),"🟡 VENCE HOJE",IF(AND(P672&lt;&gt;"",S672=""),"🟡 PENDÊNCIA ABERTA",IF(AND(N(J672)&gt;0,N(K672)&lt;J672),"🟡 FALTA EXECUTAR",IF(OR(M672="PENDENTE",M672="PARCIAL"),"🟡 FATURAMENTO PENDENTE","🟡 EMBARQUE PENDENTE")))))))))))</f>
        <v/>
      </c>
      <c r="D672" s="4" t="n">
        <v>46273</v>
      </c>
      <c r="E672" s="5" t="inlineStr">
        <is>
          <t>D</t>
        </is>
      </c>
      <c r="F672" s="5" t="inlineStr">
        <is>
          <t>VINICIUS</t>
        </is>
      </c>
      <c r="G672" s="5" t="inlineStr">
        <is>
          <t>FM</t>
        </is>
      </c>
      <c r="H672" s="5" t="inlineStr">
        <is>
          <t>EXPORTAÇÃO</t>
        </is>
      </c>
      <c r="I672" s="5" t="inlineStr">
        <is>
          <t>TON</t>
        </is>
      </c>
      <c r="J672" s="6" t="n">
        <v>25.896</v>
      </c>
      <c r="K672" s="6" t="n">
        <v>25.896</v>
      </c>
      <c r="L672" s="7">
        <f>IF(OR(D672="",N(J672)=0),"",MIN(1,N(K672)/J672))</f>
        <v/>
      </c>
      <c r="M672" s="5" t="inlineStr">
        <is>
          <t>FATURADO</t>
        </is>
      </c>
      <c r="N672" s="5" t="inlineStr">
        <is>
          <t>PENDENTE</t>
        </is>
      </c>
      <c r="O672" s="5" t="inlineStr">
        <is>
          <t>ARCELOG</t>
        </is>
      </c>
      <c r="P672" s="5" t="n"/>
      <c r="Q672" s="5" t="n"/>
      <c r="R672" s="4" t="n"/>
      <c r="S672" s="4" t="n"/>
      <c r="T672" s="5" t="inlineStr">
        <is>
          <t>NOTAS EM RAIO [MIGRAÇÃO: data corrigida de 09/08/2026]</t>
        </is>
      </c>
      <c r="U672" s="8">
        <f>IF(AND(V672=1,D672&lt;&gt;""),IF(D672&gt;=corte,TODAY()-D672,""),"")</f>
        <v/>
      </c>
      <c r="V672" s="8">
        <f>IF(D672="",0,IF(OR(AND(P672&lt;&gt;"",S672=""),AND(N(J672)&gt;0,N(K672)&lt;J672),OR(M672="PENDENTE",M672="PARCIAL"),OR(N672="PENDENTE",N672="PARCIAL")),1,0))</f>
        <v/>
      </c>
      <c r="W672" s="8">
        <f>IF(AND(V672=1,D672&lt;&gt;""),IF(D672&gt;=corte,(B672="CRÍTICO")*1E9+(100000-D672)*10000+10000-ROW(),""),"")</f>
        <v/>
      </c>
      <c r="X672" s="8">
        <f>IF(AND(V672=1,D672=pas_data,E672=pas_turno),10000-ROW(),"")</f>
        <v/>
      </c>
    </row>
    <row r="673">
      <c r="A673" s="3">
        <f>IF(D673="","","TT-"&amp;TEXT(ROW()-1,"00000"))</f>
        <v/>
      </c>
      <c r="B673" s="3">
        <f>IF(D673="","",IF(V673=0,"CONCLUÍDO",IF(D673&lt;corte,"HISTÓRICO",IF(OR(AND(ISNUMBER(R673),R673&lt;TODAY()),AND(OR(N673="PENDENTE",N673="PARCIAL"),D673&lt;TODAY()-1)),"CRÍTICO",IF(OR(AND(P673&lt;&gt;"",S673=""),AND(N673="REALIZADO",M673="PENDENTE"),AND(ISNUMBER(R673),R673=TODAY())),"ATENÇÃO",IF(N(K673)=0,"PENDENTE","EM ANDAMENTO"))))))</f>
        <v/>
      </c>
      <c r="C673" s="3">
        <f>IF(D673="","",IF(V673=0,"🟢 OK",IF(D673&lt;corte,"⚪ HISTÓRICO (sem baixa)",IF(AND(ISNUMBER(R673),R673&lt;TODAY()),"🔴 PRAZO VENCIDO",IF(AND(OR(N673="PENDENTE",N673="PARCIAL"),D673&lt;TODAY()-1),"🔴 EMBARQUE ATRASADO",IF(AND(N673="REALIZADO",M673="PENDENTE"),"🟡 EMBARCADO SEM FATURAR",IF(AND(P673&lt;&gt;"",S673="",OR(Q673="",R673="")),"🟡 PENDÊNCIA SEM RESPONSÁVEL/PRAZO",IF(AND(ISNUMBER(R673),R673=TODAY()),"🟡 VENCE HOJE",IF(AND(P673&lt;&gt;"",S673=""),"🟡 PENDÊNCIA ABERTA",IF(AND(N(J673)&gt;0,N(K673)&lt;J673),"🟡 FALTA EXECUTAR",IF(OR(M673="PENDENTE",M673="PARCIAL"),"🟡 FATURAMENTO PENDENTE","🟡 EMBARQUE PENDENTE")))))))))))</f>
        <v/>
      </c>
      <c r="D673" s="4" t="n">
        <v>46274</v>
      </c>
      <c r="E673" s="5" t="inlineStr">
        <is>
          <t>C</t>
        </is>
      </c>
      <c r="F673" s="5" t="inlineStr">
        <is>
          <t>ADIB</t>
        </is>
      </c>
      <c r="G673" s="5" t="inlineStr">
        <is>
          <t>GM</t>
        </is>
      </c>
      <c r="H673" s="5" t="inlineStr">
        <is>
          <t>SUL RS</t>
        </is>
      </c>
      <c r="I673" s="5" t="inlineStr">
        <is>
          <t>TON</t>
        </is>
      </c>
      <c r="J673" s="6" t="n">
        <v>13.487</v>
      </c>
      <c r="K673" s="6" t="n">
        <v>13.487</v>
      </c>
      <c r="L673" s="7">
        <f>IF(OR(D673="",N(J673)=0),"",MIN(1,N(K673)/J673))</f>
        <v/>
      </c>
      <c r="M673" s="5" t="inlineStr">
        <is>
          <t>FATURADO</t>
        </is>
      </c>
      <c r="N673" s="5" t="inlineStr">
        <is>
          <t>REALIZADO</t>
        </is>
      </c>
      <c r="O673" s="5" t="inlineStr">
        <is>
          <t>RENOVAÇÃO</t>
        </is>
      </c>
      <c r="P673" s="5" t="n"/>
      <c r="Q673" s="5" t="n"/>
      <c r="R673" s="4" t="n"/>
      <c r="S673" s="4" t="n"/>
      <c r="T673" s="5" t="inlineStr">
        <is>
          <t>CARREGADO</t>
        </is>
      </c>
      <c r="U673" s="8">
        <f>IF(AND(V673=1,D673&lt;&gt;""),IF(D673&gt;=corte,TODAY()-D673,""),"")</f>
        <v/>
      </c>
      <c r="V673" s="8">
        <f>IF(D673="",0,IF(OR(AND(P673&lt;&gt;"",S673=""),AND(N(J673)&gt;0,N(K673)&lt;J673),OR(M673="PENDENTE",M673="PARCIAL"),OR(N673="PENDENTE",N673="PARCIAL")),1,0))</f>
        <v/>
      </c>
      <c r="W673" s="8">
        <f>IF(AND(V673=1,D673&lt;&gt;""),IF(D673&gt;=corte,(B673="CRÍTICO")*1E9+(100000-D673)*10000+10000-ROW(),""),"")</f>
        <v/>
      </c>
      <c r="X673" s="8">
        <f>IF(AND(V673=1,D673=pas_data,E673=pas_turno),10000-ROW(),"")</f>
        <v/>
      </c>
    </row>
    <row r="674">
      <c r="A674" s="3">
        <f>IF(D674="","","TT-"&amp;TEXT(ROW()-1,"00000"))</f>
        <v/>
      </c>
      <c r="B674" s="3">
        <f>IF(D674="","",IF(V674=0,"CONCLUÍDO",IF(D674&lt;corte,"HISTÓRICO",IF(OR(AND(ISNUMBER(R674),R674&lt;TODAY()),AND(OR(N674="PENDENTE",N674="PARCIAL"),D674&lt;TODAY()-1)),"CRÍTICO",IF(OR(AND(P674&lt;&gt;"",S674=""),AND(N674="REALIZADO",M674="PENDENTE"),AND(ISNUMBER(R674),R674=TODAY())),"ATENÇÃO",IF(N(K674)=0,"PENDENTE","EM ANDAMENTO"))))))</f>
        <v/>
      </c>
      <c r="C674" s="3">
        <f>IF(D674="","",IF(V674=0,"🟢 OK",IF(D674&lt;corte,"⚪ HISTÓRICO (sem baixa)",IF(AND(ISNUMBER(R674),R674&lt;TODAY()),"🔴 PRAZO VENCIDO",IF(AND(OR(N674="PENDENTE",N674="PARCIAL"),D674&lt;TODAY()-1),"🔴 EMBARQUE ATRASADO",IF(AND(N674="REALIZADO",M674="PENDENTE"),"🟡 EMBARCADO SEM FATURAR",IF(AND(P674&lt;&gt;"",S674="",OR(Q674="",R674="")),"🟡 PENDÊNCIA SEM RESPONSÁVEL/PRAZO",IF(AND(ISNUMBER(R674),R674=TODAY()),"🟡 VENCE HOJE",IF(AND(P674&lt;&gt;"",S674=""),"🟡 PENDÊNCIA ABERTA",IF(AND(N(J674)&gt;0,N(K674)&lt;J674),"🟡 FALTA EXECUTAR",IF(OR(M674="PENDENTE",M674="PARCIAL"),"🟡 FATURAMENTO PENDENTE","🟡 EMBARQUE PENDENTE")))))))))))</f>
        <v/>
      </c>
      <c r="D674" s="4" t="n">
        <v>46274</v>
      </c>
      <c r="E674" s="5" t="inlineStr">
        <is>
          <t>C</t>
        </is>
      </c>
      <c r="F674" s="5" t="inlineStr">
        <is>
          <t>ADIB</t>
        </is>
      </c>
      <c r="G674" s="5" t="inlineStr">
        <is>
          <t>FM</t>
        </is>
      </c>
      <c r="H674" s="5" t="inlineStr">
        <is>
          <t>EXPRESSO RENOVAÇÃO</t>
        </is>
      </c>
      <c r="I674" s="5" t="inlineStr">
        <is>
          <t>TON</t>
        </is>
      </c>
      <c r="J674" s="6" t="n">
        <v>20.156</v>
      </c>
      <c r="K674" s="6" t="n">
        <v>20.156</v>
      </c>
      <c r="L674" s="7">
        <f>IF(OR(D674="",N(J674)=0),"",MIN(1,N(K674)/J674))</f>
        <v/>
      </c>
      <c r="M674" s="5" t="inlineStr">
        <is>
          <t>FATURADO</t>
        </is>
      </c>
      <c r="N674" s="5" t="inlineStr">
        <is>
          <t>PENDENTE</t>
        </is>
      </c>
      <c r="O674" s="5" t="n"/>
      <c r="P674" s="5" t="inlineStr">
        <is>
          <t>AGUARDANDO CARRO</t>
        </is>
      </c>
      <c r="Q674" s="5" t="n"/>
      <c r="R674" s="4" t="n"/>
      <c r="S674" s="4" t="n"/>
      <c r="T674" s="5" t="inlineStr">
        <is>
          <t>AGUARDANDO CARRO</t>
        </is>
      </c>
      <c r="U674" s="8">
        <f>IF(AND(V674=1,D674&lt;&gt;""),IF(D674&gt;=corte,TODAY()-D674,""),"")</f>
        <v/>
      </c>
      <c r="V674" s="8">
        <f>IF(D674="",0,IF(OR(AND(P674&lt;&gt;"",S674=""),AND(N(J674)&gt;0,N(K674)&lt;J674),OR(M674="PENDENTE",M674="PARCIAL"),OR(N674="PENDENTE",N674="PARCIAL")),1,0))</f>
        <v/>
      </c>
      <c r="W674" s="8">
        <f>IF(AND(V674=1,D674&lt;&gt;""),IF(D674&gt;=corte,(B674="CRÍTICO")*1E9+(100000-D674)*10000+10000-ROW(),""),"")</f>
        <v/>
      </c>
      <c r="X674" s="8">
        <f>IF(AND(V674=1,D674=pas_data,E674=pas_turno),10000-ROW(),"")</f>
        <v/>
      </c>
    </row>
    <row r="675">
      <c r="A675" s="3">
        <f>IF(D675="","","TT-"&amp;TEXT(ROW()-1,"00000"))</f>
        <v/>
      </c>
      <c r="B675" s="3">
        <f>IF(D675="","",IF(V675=0,"CONCLUÍDO",IF(D675&lt;corte,"HISTÓRICO",IF(OR(AND(ISNUMBER(R675),R675&lt;TODAY()),AND(OR(N675="PENDENTE",N675="PARCIAL"),D675&lt;TODAY()-1)),"CRÍTICO",IF(OR(AND(P675&lt;&gt;"",S675=""),AND(N675="REALIZADO",M675="PENDENTE"),AND(ISNUMBER(R675),R675=TODAY())),"ATENÇÃO",IF(N(K675)=0,"PENDENTE","EM ANDAMENTO"))))))</f>
        <v/>
      </c>
      <c r="C675" s="3">
        <f>IF(D675="","",IF(V675=0,"🟢 OK",IF(D675&lt;corte,"⚪ HISTÓRICO (sem baixa)",IF(AND(ISNUMBER(R675),R675&lt;TODAY()),"🔴 PRAZO VENCIDO",IF(AND(OR(N675="PENDENTE",N675="PARCIAL"),D675&lt;TODAY()-1),"🔴 EMBARQUE ATRASADO",IF(AND(N675="REALIZADO",M675="PENDENTE"),"🟡 EMBARCADO SEM FATURAR",IF(AND(P675&lt;&gt;"",S675="",OR(Q675="",R675="")),"🟡 PENDÊNCIA SEM RESPONSÁVEL/PRAZO",IF(AND(ISNUMBER(R675),R675=TODAY()),"🟡 VENCE HOJE",IF(AND(P675&lt;&gt;"",S675=""),"🟡 PENDÊNCIA ABERTA",IF(AND(N(J675)&gt;0,N(K675)&lt;J675),"🟡 FALTA EXECUTAR",IF(OR(M675="PENDENTE",M675="PARCIAL"),"🟡 FATURAMENTO PENDENTE","🟡 EMBARQUE PENDENTE")))))))))))</f>
        <v/>
      </c>
      <c r="D675" s="4" t="n">
        <v>46274</v>
      </c>
      <c r="E675" s="5" t="inlineStr">
        <is>
          <t>C</t>
        </is>
      </c>
      <c r="F675" s="5" t="inlineStr">
        <is>
          <t>ADIB</t>
        </is>
      </c>
      <c r="G675" s="5" t="inlineStr">
        <is>
          <t>FOB</t>
        </is>
      </c>
      <c r="H675" s="5" t="inlineStr">
        <is>
          <t>COM DISKPAN</t>
        </is>
      </c>
      <c r="I675" s="5" t="inlineStr">
        <is>
          <t>TON</t>
        </is>
      </c>
      <c r="J675" s="6" t="n">
        <v>25.484</v>
      </c>
      <c r="K675" s="6" t="n">
        <v>25.484</v>
      </c>
      <c r="L675" s="7">
        <f>IF(OR(D675="",N(J675)=0),"",MIN(1,N(K675)/J675))</f>
        <v/>
      </c>
      <c r="M675" s="5" t="inlineStr">
        <is>
          <t>FATURADO</t>
        </is>
      </c>
      <c r="N675" s="5" t="inlineStr">
        <is>
          <t>REALIZADO</t>
        </is>
      </c>
      <c r="O675" s="5" t="inlineStr">
        <is>
          <t>PRÓPRIO</t>
        </is>
      </c>
      <c r="P675" s="5" t="n"/>
      <c r="Q675" s="5" t="n"/>
      <c r="R675" s="4" t="n"/>
      <c r="S675" s="4" t="n"/>
      <c r="T675" s="5" t="inlineStr">
        <is>
          <t>CARREGADO</t>
        </is>
      </c>
      <c r="U675" s="8">
        <f>IF(AND(V675=1,D675&lt;&gt;""),IF(D675&gt;=corte,TODAY()-D675,""),"")</f>
        <v/>
      </c>
      <c r="V675" s="8">
        <f>IF(D675="",0,IF(OR(AND(P675&lt;&gt;"",S675=""),AND(N(J675)&gt;0,N(K675)&lt;J675),OR(M675="PENDENTE",M675="PARCIAL"),OR(N675="PENDENTE",N675="PARCIAL")),1,0))</f>
        <v/>
      </c>
      <c r="W675" s="8">
        <f>IF(AND(V675=1,D675&lt;&gt;""),IF(D675&gt;=corte,(B675="CRÍTICO")*1E9+(100000-D675)*10000+10000-ROW(),""),"")</f>
        <v/>
      </c>
      <c r="X675" s="8">
        <f>IF(AND(V675=1,D675=pas_data,E675=pas_turno),10000-ROW(),"")</f>
        <v/>
      </c>
    </row>
    <row r="676">
      <c r="A676" s="3">
        <f>IF(D676="","","TT-"&amp;TEXT(ROW()-1,"00000"))</f>
        <v/>
      </c>
      <c r="B676" s="3">
        <f>IF(D676="","",IF(V676=0,"CONCLUÍDO",IF(D676&lt;corte,"HISTÓRICO",IF(OR(AND(ISNUMBER(R676),R676&lt;TODAY()),AND(OR(N676="PENDENTE",N676="PARCIAL"),D676&lt;TODAY()-1)),"CRÍTICO",IF(OR(AND(P676&lt;&gt;"",S676=""),AND(N676="REALIZADO",M676="PENDENTE"),AND(ISNUMBER(R676),R676=TODAY())),"ATENÇÃO",IF(N(K676)=0,"PENDENTE","EM ANDAMENTO"))))))</f>
        <v/>
      </c>
      <c r="C676" s="3">
        <f>IF(D676="","",IF(V676=0,"🟢 OK",IF(D676&lt;corte,"⚪ HISTÓRICO (sem baixa)",IF(AND(ISNUMBER(R676),R676&lt;TODAY()),"🔴 PRAZO VENCIDO",IF(AND(OR(N676="PENDENTE",N676="PARCIAL"),D676&lt;TODAY()-1),"🔴 EMBARQUE ATRASADO",IF(AND(N676="REALIZADO",M676="PENDENTE"),"🟡 EMBARCADO SEM FATURAR",IF(AND(P676&lt;&gt;"",S676="",OR(Q676="",R676="")),"🟡 PENDÊNCIA SEM RESPONSÁVEL/PRAZO",IF(AND(ISNUMBER(R676),R676=TODAY()),"🟡 VENCE HOJE",IF(AND(P676&lt;&gt;"",S676=""),"🟡 PENDÊNCIA ABERTA",IF(AND(N(J676)&gt;0,N(K676)&lt;J676),"🟡 FALTA EXECUTAR",IF(OR(M676="PENDENTE",M676="PARCIAL"),"🟡 FATURAMENTO PENDENTE","🟡 EMBARQUE PENDENTE")))))))))))</f>
        <v/>
      </c>
      <c r="D676" s="4" t="n">
        <v>46274</v>
      </c>
      <c r="E676" s="5" t="inlineStr">
        <is>
          <t>C</t>
        </is>
      </c>
      <c r="F676" s="5" t="inlineStr">
        <is>
          <t>ADIB</t>
        </is>
      </c>
      <c r="G676" s="5" t="inlineStr">
        <is>
          <t>GRANEL</t>
        </is>
      </c>
      <c r="H676" s="5" t="inlineStr">
        <is>
          <t>PANDURATA</t>
        </is>
      </c>
      <c r="I676" s="5" t="inlineStr">
        <is>
          <t>TON</t>
        </is>
      </c>
      <c r="J676" s="6" t="n">
        <v>28.16</v>
      </c>
      <c r="K676" s="6" t="n">
        <v>28.16</v>
      </c>
      <c r="L676" s="7">
        <f>IF(OR(D676="",N(J676)=0),"",MIN(1,N(K676)/J676))</f>
        <v/>
      </c>
      <c r="M676" s="5" t="inlineStr">
        <is>
          <t>FATURADO</t>
        </is>
      </c>
      <c r="N676" s="5" t="inlineStr">
        <is>
          <t>REALIZADO</t>
        </is>
      </c>
      <c r="O676" s="5" t="inlineStr">
        <is>
          <t>JSL</t>
        </is>
      </c>
      <c r="P676" s="5" t="n"/>
      <c r="Q676" s="5" t="n"/>
      <c r="R676" s="4" t="n"/>
      <c r="S676" s="4" t="n"/>
      <c r="T676" s="5" t="inlineStr">
        <is>
          <t>FATURADO E LIBERADO</t>
        </is>
      </c>
      <c r="U676" s="8">
        <f>IF(AND(V676=1,D676&lt;&gt;""),IF(D676&gt;=corte,TODAY()-D676,""),"")</f>
        <v/>
      </c>
      <c r="V676" s="8">
        <f>IF(D676="",0,IF(OR(AND(P676&lt;&gt;"",S676=""),AND(N(J676)&gt;0,N(K676)&lt;J676),OR(M676="PENDENTE",M676="PARCIAL"),OR(N676="PENDENTE",N676="PARCIAL")),1,0))</f>
        <v/>
      </c>
      <c r="W676" s="8">
        <f>IF(AND(V676=1,D676&lt;&gt;""),IF(D676&gt;=corte,(B676="CRÍTICO")*1E9+(100000-D676)*10000+10000-ROW(),""),"")</f>
        <v/>
      </c>
      <c r="X676" s="8">
        <f>IF(AND(V676=1,D676=pas_data,E676=pas_turno),10000-ROW(),"")</f>
        <v/>
      </c>
    </row>
    <row r="677">
      <c r="A677" s="3">
        <f>IF(D677="","","TT-"&amp;TEXT(ROW()-1,"00000"))</f>
        <v/>
      </c>
      <c r="B677" s="3">
        <f>IF(D677="","",IF(V677=0,"CONCLUÍDO",IF(D677&lt;corte,"HISTÓRICO",IF(OR(AND(ISNUMBER(R677),R677&lt;TODAY()),AND(OR(N677="PENDENTE",N677="PARCIAL"),D677&lt;TODAY()-1)),"CRÍTICO",IF(OR(AND(P677&lt;&gt;"",S677=""),AND(N677="REALIZADO",M677="PENDENTE"),AND(ISNUMBER(R677),R677=TODAY())),"ATENÇÃO",IF(N(K677)=0,"PENDENTE","EM ANDAMENTO"))))))</f>
        <v/>
      </c>
      <c r="C677" s="3">
        <f>IF(D677="","",IF(V677=0,"🟢 OK",IF(D677&lt;corte,"⚪ HISTÓRICO (sem baixa)",IF(AND(ISNUMBER(R677),R677&lt;TODAY()),"🔴 PRAZO VENCIDO",IF(AND(OR(N677="PENDENTE",N677="PARCIAL"),D677&lt;TODAY()-1),"🔴 EMBARQUE ATRASADO",IF(AND(N677="REALIZADO",M677="PENDENTE"),"🟡 EMBARCADO SEM FATURAR",IF(AND(P677&lt;&gt;"",S677="",OR(Q677="",R677="")),"🟡 PENDÊNCIA SEM RESPONSÁVEL/PRAZO",IF(AND(ISNUMBER(R677),R677=TODAY()),"🟡 VENCE HOJE",IF(AND(P677&lt;&gt;"",S677=""),"🟡 PENDÊNCIA ABERTA",IF(AND(N(J677)&gt;0,N(K677)&lt;J677),"🟡 FALTA EXECUTAR",IF(OR(M677="PENDENTE",M677="PARCIAL"),"🟡 FATURAMENTO PENDENTE","🟡 EMBARQUE PENDENTE")))))))))))</f>
        <v/>
      </c>
      <c r="D677" s="4" t="n">
        <v>46274</v>
      </c>
      <c r="E677" s="5" t="inlineStr">
        <is>
          <t>C</t>
        </is>
      </c>
      <c r="F677" s="5" t="inlineStr">
        <is>
          <t>ADIB</t>
        </is>
      </c>
      <c r="G677" s="5" t="inlineStr">
        <is>
          <t>GRANEL</t>
        </is>
      </c>
      <c r="H677" s="5" t="inlineStr">
        <is>
          <t>UNILEVER</t>
        </is>
      </c>
      <c r="I677" s="5" t="inlineStr">
        <is>
          <t>TON</t>
        </is>
      </c>
      <c r="J677" s="6" t="n">
        <v>12.8</v>
      </c>
      <c r="K677" s="6" t="n">
        <v>12.8</v>
      </c>
      <c r="L677" s="7">
        <f>IF(OR(D677="",N(J677)=0),"",MIN(1,N(K677)/J677))</f>
        <v/>
      </c>
      <c r="M677" s="5" t="inlineStr">
        <is>
          <t>FATURADO</t>
        </is>
      </c>
      <c r="N677" s="5" t="inlineStr">
        <is>
          <t>REALIZADO</t>
        </is>
      </c>
      <c r="O677" s="5" t="inlineStr">
        <is>
          <t>JSL</t>
        </is>
      </c>
      <c r="P677" s="5" t="n"/>
      <c r="Q677" s="5" t="n"/>
      <c r="R677" s="4" t="n"/>
      <c r="S677" s="4" t="n"/>
      <c r="T677" s="5" t="inlineStr">
        <is>
          <t>CARREGADO E LIBERADO</t>
        </is>
      </c>
      <c r="U677" s="8">
        <f>IF(AND(V677=1,D677&lt;&gt;""),IF(D677&gt;=corte,TODAY()-D677,""),"")</f>
        <v/>
      </c>
      <c r="V677" s="8">
        <f>IF(D677="",0,IF(OR(AND(P677&lt;&gt;"",S677=""),AND(N(J677)&gt;0,N(K677)&lt;J677),OR(M677="PENDENTE",M677="PARCIAL"),OR(N677="PENDENTE",N677="PARCIAL")),1,0))</f>
        <v/>
      </c>
      <c r="W677" s="8">
        <f>IF(AND(V677=1,D677&lt;&gt;""),IF(D677&gt;=corte,(B677="CRÍTICO")*1E9+(100000-D677)*10000+10000-ROW(),""),"")</f>
        <v/>
      </c>
      <c r="X677" s="8">
        <f>IF(AND(V677=1,D677=pas_data,E677=pas_turno),10000-ROW(),"")</f>
        <v/>
      </c>
    </row>
    <row r="678">
      <c r="A678" s="3">
        <f>IF(D678="","","TT-"&amp;TEXT(ROW()-1,"00000"))</f>
        <v/>
      </c>
      <c r="B678" s="3">
        <f>IF(D678="","",IF(V678=0,"CONCLUÍDO",IF(D678&lt;corte,"HISTÓRICO",IF(OR(AND(ISNUMBER(R678),R678&lt;TODAY()),AND(OR(N678="PENDENTE",N678="PARCIAL"),D678&lt;TODAY()-1)),"CRÍTICO",IF(OR(AND(P678&lt;&gt;"",S678=""),AND(N678="REALIZADO",M678="PENDENTE"),AND(ISNUMBER(R678),R678=TODAY())),"ATENÇÃO",IF(N(K678)=0,"PENDENTE","EM ANDAMENTO"))))))</f>
        <v/>
      </c>
      <c r="C678" s="3">
        <f>IF(D678="","",IF(V678=0,"🟢 OK",IF(D678&lt;corte,"⚪ HISTÓRICO (sem baixa)",IF(AND(ISNUMBER(R678),R678&lt;TODAY()),"🔴 PRAZO VENCIDO",IF(AND(OR(N678="PENDENTE",N678="PARCIAL"),D678&lt;TODAY()-1),"🔴 EMBARQUE ATRASADO",IF(AND(N678="REALIZADO",M678="PENDENTE"),"🟡 EMBARCADO SEM FATURAR",IF(AND(P678&lt;&gt;"",S678="",OR(Q678="",R678="")),"🟡 PENDÊNCIA SEM RESPONSÁVEL/PRAZO",IF(AND(ISNUMBER(R678),R678=TODAY()),"🟡 VENCE HOJE",IF(AND(P678&lt;&gt;"",S678=""),"🟡 PENDÊNCIA ABERTA",IF(AND(N(J678)&gt;0,N(K678)&lt;J678),"🟡 FALTA EXECUTAR",IF(OR(M678="PENDENTE",M678="PARCIAL"),"🟡 FATURAMENTO PENDENTE","🟡 EMBARQUE PENDENTE")))))))))))</f>
        <v/>
      </c>
      <c r="D678" s="4" t="n">
        <v>46274</v>
      </c>
      <c r="E678" s="5" t="inlineStr">
        <is>
          <t>D</t>
        </is>
      </c>
      <c r="F678" s="5" t="inlineStr">
        <is>
          <t>VINICIUS</t>
        </is>
      </c>
      <c r="G678" s="5" t="inlineStr">
        <is>
          <t>GM</t>
        </is>
      </c>
      <c r="H678" s="5" t="inlineStr">
        <is>
          <t>SUL PR / SC</t>
        </is>
      </c>
      <c r="I678" s="5" t="n"/>
      <c r="J678" s="6" t="n"/>
      <c r="K678" s="6" t="n"/>
      <c r="L678" s="7">
        <f>IF(OR(D678="",N(J678)=0),"",MIN(1,N(K678)/J678))</f>
        <v/>
      </c>
      <c r="M678" s="5" t="n"/>
      <c r="N678" s="5" t="n"/>
      <c r="O678" s="5" t="n"/>
      <c r="P678" s="5" t="n"/>
      <c r="Q678" s="5" t="n"/>
      <c r="R678" s="4" t="n"/>
      <c r="S678" s="4" t="n"/>
      <c r="T678" s="5" t="inlineStr">
        <is>
          <t>EMBARCADO E LIBERADO</t>
        </is>
      </c>
      <c r="U678" s="8">
        <f>IF(AND(V678=1,D678&lt;&gt;""),IF(D678&gt;=corte,TODAY()-D678,""),"")</f>
        <v/>
      </c>
      <c r="V678" s="8">
        <f>IF(D678="",0,IF(OR(AND(P678&lt;&gt;"",S678=""),AND(N(J678)&gt;0,N(K678)&lt;J678),OR(M678="PENDENTE",M678="PARCIAL"),OR(N678="PENDENTE",N678="PARCIAL")),1,0))</f>
        <v/>
      </c>
      <c r="W678" s="8">
        <f>IF(AND(V678=1,D678&lt;&gt;""),IF(D678&gt;=corte,(B678="CRÍTICO")*1E9+(100000-D678)*10000+10000-ROW(),""),"")</f>
        <v/>
      </c>
      <c r="X678" s="8">
        <f>IF(AND(V678=1,D678=pas_data,E678=pas_turno),10000-ROW(),"")</f>
        <v/>
      </c>
    </row>
    <row r="679">
      <c r="A679" s="3">
        <f>IF(D679="","","TT-"&amp;TEXT(ROW()-1,"00000"))</f>
        <v/>
      </c>
      <c r="B679" s="3">
        <f>IF(D679="","",IF(V679=0,"CONCLUÍDO",IF(D679&lt;corte,"HISTÓRICO",IF(OR(AND(ISNUMBER(R679),R679&lt;TODAY()),AND(OR(N679="PENDENTE",N679="PARCIAL"),D679&lt;TODAY()-1)),"CRÍTICO",IF(OR(AND(P679&lt;&gt;"",S679=""),AND(N679="REALIZADO",M679="PENDENTE"),AND(ISNUMBER(R679),R679=TODAY())),"ATENÇÃO",IF(N(K679)=0,"PENDENTE","EM ANDAMENTO"))))))</f>
        <v/>
      </c>
      <c r="C679" s="3">
        <f>IF(D679="","",IF(V679=0,"🟢 OK",IF(D679&lt;corte,"⚪ HISTÓRICO (sem baixa)",IF(AND(ISNUMBER(R679),R679&lt;TODAY()),"🔴 PRAZO VENCIDO",IF(AND(OR(N679="PENDENTE",N679="PARCIAL"),D679&lt;TODAY()-1),"🔴 EMBARQUE ATRASADO",IF(AND(N679="REALIZADO",M679="PENDENTE"),"🟡 EMBARCADO SEM FATURAR",IF(AND(P679&lt;&gt;"",S679="",OR(Q679="",R679="")),"🟡 PENDÊNCIA SEM RESPONSÁVEL/PRAZO",IF(AND(ISNUMBER(R679),R679=TODAY()),"🟡 VENCE HOJE",IF(AND(P679&lt;&gt;"",S679=""),"🟡 PENDÊNCIA ABERTA",IF(AND(N(J679)&gt;0,N(K679)&lt;J679),"🟡 FALTA EXECUTAR",IF(OR(M679="PENDENTE",M679="PARCIAL"),"🟡 FATURAMENTO PENDENTE","🟡 EMBARQUE PENDENTE")))))))))))</f>
        <v/>
      </c>
      <c r="D679" s="4" t="n">
        <v>46274</v>
      </c>
      <c r="E679" s="5" t="inlineStr">
        <is>
          <t>D</t>
        </is>
      </c>
      <c r="F679" s="5" t="inlineStr">
        <is>
          <t>VINICIUS</t>
        </is>
      </c>
      <c r="G679" s="5" t="inlineStr">
        <is>
          <t>GM</t>
        </is>
      </c>
      <c r="H679" s="5" t="inlineStr">
        <is>
          <t>SMART</t>
        </is>
      </c>
      <c r="I679" s="5" t="inlineStr">
        <is>
          <t>TON</t>
        </is>
      </c>
      <c r="J679" s="6" t="n">
        <v>3.554</v>
      </c>
      <c r="K679" s="6" t="n">
        <v>3.554</v>
      </c>
      <c r="L679" s="7">
        <f>IF(OR(D679="",N(J679)=0),"",MIN(1,N(K679)/J679))</f>
        <v/>
      </c>
      <c r="M679" s="5" t="inlineStr">
        <is>
          <t>FATURADO</t>
        </is>
      </c>
      <c r="N679" s="5" t="inlineStr">
        <is>
          <t>PENDENTE</t>
        </is>
      </c>
      <c r="O679" s="5" t="inlineStr">
        <is>
          <t>SMARTLOG</t>
        </is>
      </c>
      <c r="P679" s="5" t="inlineStr">
        <is>
          <t>AGUARDANDO COLETA</t>
        </is>
      </c>
      <c r="Q679" s="5" t="n"/>
      <c r="R679" s="4" t="n"/>
      <c r="S679" s="4" t="n"/>
      <c r="T679" s="5" t="inlineStr">
        <is>
          <t>AGUARDANDO COLETA</t>
        </is>
      </c>
      <c r="U679" s="8">
        <f>IF(AND(V679=1,D679&lt;&gt;""),IF(D679&gt;=corte,TODAY()-D679,""),"")</f>
        <v/>
      </c>
      <c r="V679" s="8">
        <f>IF(D679="",0,IF(OR(AND(P679&lt;&gt;"",S679=""),AND(N(J679)&gt;0,N(K679)&lt;J679),OR(M679="PENDENTE",M679="PARCIAL"),OR(N679="PENDENTE",N679="PARCIAL")),1,0))</f>
        <v/>
      </c>
      <c r="W679" s="8">
        <f>IF(AND(V679=1,D679&lt;&gt;""),IF(D679&gt;=corte,(B679="CRÍTICO")*1E9+(100000-D679)*10000+10000-ROW(),""),"")</f>
        <v/>
      </c>
      <c r="X679" s="8">
        <f>IF(AND(V679=1,D679=pas_data,E679=pas_turno),10000-ROW(),"")</f>
        <v/>
      </c>
    </row>
    <row r="680">
      <c r="A680" s="3">
        <f>IF(D680="","","TT-"&amp;TEXT(ROW()-1,"00000"))</f>
        <v/>
      </c>
      <c r="B680" s="3">
        <f>IF(D680="","",IF(V680=0,"CONCLUÍDO",IF(D680&lt;corte,"HISTÓRICO",IF(OR(AND(ISNUMBER(R680),R680&lt;TODAY()),AND(OR(N680="PENDENTE",N680="PARCIAL"),D680&lt;TODAY()-1)),"CRÍTICO",IF(OR(AND(P680&lt;&gt;"",S680=""),AND(N680="REALIZADO",M680="PENDENTE"),AND(ISNUMBER(R680),R680=TODAY())),"ATENÇÃO",IF(N(K680)=0,"PENDENTE","EM ANDAMENTO"))))))</f>
        <v/>
      </c>
      <c r="C680" s="3">
        <f>IF(D680="","",IF(V680=0,"🟢 OK",IF(D680&lt;corte,"⚪ HISTÓRICO (sem baixa)",IF(AND(ISNUMBER(R680),R680&lt;TODAY()),"🔴 PRAZO VENCIDO",IF(AND(OR(N680="PENDENTE",N680="PARCIAL"),D680&lt;TODAY()-1),"🔴 EMBARQUE ATRASADO",IF(AND(N680="REALIZADO",M680="PENDENTE"),"🟡 EMBARCADO SEM FATURAR",IF(AND(P680&lt;&gt;"",S680="",OR(Q680="",R680="")),"🟡 PENDÊNCIA SEM RESPONSÁVEL/PRAZO",IF(AND(ISNUMBER(R680),R680=TODAY()),"🟡 VENCE HOJE",IF(AND(P680&lt;&gt;"",S680=""),"🟡 PENDÊNCIA ABERTA",IF(AND(N(J680)&gt;0,N(K680)&lt;J680),"🟡 FALTA EXECUTAR",IF(OR(M680="PENDENTE",M680="PARCIAL"),"🟡 FATURAMENTO PENDENTE","🟡 EMBARQUE PENDENTE")))))))))))</f>
        <v/>
      </c>
      <c r="D680" s="4" t="n">
        <v>46274</v>
      </c>
      <c r="E680" s="5" t="inlineStr">
        <is>
          <t>D</t>
        </is>
      </c>
      <c r="F680" s="5" t="inlineStr">
        <is>
          <t>VINICIUS</t>
        </is>
      </c>
      <c r="G680" s="5" t="inlineStr">
        <is>
          <t>GM</t>
        </is>
      </c>
      <c r="H680" s="5" t="inlineStr">
        <is>
          <t>MG</t>
        </is>
      </c>
      <c r="I680" s="5" t="inlineStr">
        <is>
          <t>TON</t>
        </is>
      </c>
      <c r="J680" s="6" t="n">
        <v>12.92</v>
      </c>
      <c r="K680" s="6" t="n">
        <v>10.41</v>
      </c>
      <c r="L680" s="7">
        <f>IF(OR(D680="",N(J680)=0),"",MIN(1,N(K680)/J680))</f>
        <v/>
      </c>
      <c r="M680" s="5" t="inlineStr">
        <is>
          <t>PENDENTE</t>
        </is>
      </c>
      <c r="N680" s="5" t="inlineStr">
        <is>
          <t>PENDENTE</t>
        </is>
      </c>
      <c r="O680" s="5" t="n"/>
      <c r="P680" s="5" t="inlineStr">
        <is>
          <t>PENDENTE FINALIZAR SEPARAÇÃO</t>
        </is>
      </c>
      <c r="Q680" s="5" t="n"/>
      <c r="R680" s="4" t="n"/>
      <c r="S680" s="4" t="n"/>
      <c r="T680" s="5" t="inlineStr">
        <is>
          <t>PENDENTE FINALIZAR SEPARAÇÃO</t>
        </is>
      </c>
      <c r="U680" s="8">
        <f>IF(AND(V680=1,D680&lt;&gt;""),IF(D680&gt;=corte,TODAY()-D680,""),"")</f>
        <v/>
      </c>
      <c r="V680" s="8">
        <f>IF(D680="",0,IF(OR(AND(P680&lt;&gt;"",S680=""),AND(N(J680)&gt;0,N(K680)&lt;J680),OR(M680="PENDENTE",M680="PARCIAL"),OR(N680="PENDENTE",N680="PARCIAL")),1,0))</f>
        <v/>
      </c>
      <c r="W680" s="8">
        <f>IF(AND(V680=1,D680&lt;&gt;""),IF(D680&gt;=corte,(B680="CRÍTICO")*1E9+(100000-D680)*10000+10000-ROW(),""),"")</f>
        <v/>
      </c>
      <c r="X680" s="8">
        <f>IF(AND(V680=1,D680=pas_data,E680=pas_turno),10000-ROW(),"")</f>
        <v/>
      </c>
    </row>
    <row r="681">
      <c r="A681" s="3">
        <f>IF(D681="","","TT-"&amp;TEXT(ROW()-1,"00000"))</f>
        <v/>
      </c>
      <c r="B681" s="3">
        <f>IF(D681="","",IF(V681=0,"CONCLUÍDO",IF(D681&lt;corte,"HISTÓRICO",IF(OR(AND(ISNUMBER(R681),R681&lt;TODAY()),AND(OR(N681="PENDENTE",N681="PARCIAL"),D681&lt;TODAY()-1)),"CRÍTICO",IF(OR(AND(P681&lt;&gt;"",S681=""),AND(N681="REALIZADO",M681="PENDENTE"),AND(ISNUMBER(R681),R681=TODAY())),"ATENÇÃO",IF(N(K681)=0,"PENDENTE","EM ANDAMENTO"))))))</f>
        <v/>
      </c>
      <c r="C681" s="3">
        <f>IF(D681="","",IF(V681=0,"🟢 OK",IF(D681&lt;corte,"⚪ HISTÓRICO (sem baixa)",IF(AND(ISNUMBER(R681),R681&lt;TODAY()),"🔴 PRAZO VENCIDO",IF(AND(OR(N681="PENDENTE",N681="PARCIAL"),D681&lt;TODAY()-1),"🔴 EMBARQUE ATRASADO",IF(AND(N681="REALIZADO",M681="PENDENTE"),"🟡 EMBARCADO SEM FATURAR",IF(AND(P681&lt;&gt;"",S681="",OR(Q681="",R681="")),"🟡 PENDÊNCIA SEM RESPONSÁVEL/PRAZO",IF(AND(ISNUMBER(R681),R681=TODAY()),"🟡 VENCE HOJE",IF(AND(P681&lt;&gt;"",S681=""),"🟡 PENDÊNCIA ABERTA",IF(AND(N(J681)&gt;0,N(K681)&lt;J681),"🟡 FALTA EXECUTAR",IF(OR(M681="PENDENTE",M681="PARCIAL"),"🟡 FATURAMENTO PENDENTE","🟡 EMBARQUE PENDENTE")))))))))))</f>
        <v/>
      </c>
      <c r="D681" s="4" t="n">
        <v>46274</v>
      </c>
      <c r="E681" s="5" t="inlineStr">
        <is>
          <t>D</t>
        </is>
      </c>
      <c r="F681" s="5" t="inlineStr">
        <is>
          <t>VINICIUS</t>
        </is>
      </c>
      <c r="G681" s="5" t="inlineStr">
        <is>
          <t>GM</t>
        </is>
      </c>
      <c r="H681" s="5" t="inlineStr">
        <is>
          <t>NORDESTE</t>
        </is>
      </c>
      <c r="I681" s="5" t="inlineStr">
        <is>
          <t>TON</t>
        </is>
      </c>
      <c r="J681" s="6" t="n">
        <v>4.586</v>
      </c>
      <c r="K681" s="6" t="n">
        <v>4.586</v>
      </c>
      <c r="L681" s="7">
        <f>IF(OR(D681="",N(J681)=0),"",MIN(1,N(K681)/J681))</f>
        <v/>
      </c>
      <c r="M681" s="5" t="inlineStr">
        <is>
          <t>PENDENTE</t>
        </is>
      </c>
      <c r="N681" s="5" t="inlineStr">
        <is>
          <t>PENDENTE</t>
        </is>
      </c>
      <c r="O681" s="5" t="n"/>
      <c r="P681" s="5" t="inlineStr">
        <is>
          <t>PENDENTE CONFERÊNCIA E FATURAMENTO</t>
        </is>
      </c>
      <c r="Q681" s="5" t="n"/>
      <c r="R681" s="4" t="n"/>
      <c r="S681" s="4" t="n"/>
      <c r="T681" s="5" t="inlineStr">
        <is>
          <t>PENDENTE CONFERÊNCIA E FATURAMENTO</t>
        </is>
      </c>
      <c r="U681" s="8">
        <f>IF(AND(V681=1,D681&lt;&gt;""),IF(D681&gt;=corte,TODAY()-D681,""),"")</f>
        <v/>
      </c>
      <c r="V681" s="8">
        <f>IF(D681="",0,IF(OR(AND(P681&lt;&gt;"",S681=""),AND(N(J681)&gt;0,N(K681)&lt;J681),OR(M681="PENDENTE",M681="PARCIAL"),OR(N681="PENDENTE",N681="PARCIAL")),1,0))</f>
        <v/>
      </c>
      <c r="W681" s="8">
        <f>IF(AND(V681=1,D681&lt;&gt;""),IF(D681&gt;=corte,(B681="CRÍTICO")*1E9+(100000-D681)*10000+10000-ROW(),""),"")</f>
        <v/>
      </c>
      <c r="X681" s="8">
        <f>IF(AND(V681=1,D681=pas_data,E681=pas_turno),10000-ROW(),"")</f>
        <v/>
      </c>
    </row>
    <row r="682">
      <c r="A682" s="3">
        <f>IF(D682="","","TT-"&amp;TEXT(ROW()-1,"00000"))</f>
        <v/>
      </c>
      <c r="B682" s="3">
        <f>IF(D682="","",IF(V682=0,"CONCLUÍDO",IF(D682&lt;corte,"HISTÓRICO",IF(OR(AND(ISNUMBER(R682),R682&lt;TODAY()),AND(OR(N682="PENDENTE",N682="PARCIAL"),D682&lt;TODAY()-1)),"CRÍTICO",IF(OR(AND(P682&lt;&gt;"",S682=""),AND(N682="REALIZADO",M682="PENDENTE"),AND(ISNUMBER(R682),R682=TODAY())),"ATENÇÃO",IF(N(K682)=0,"PENDENTE","EM ANDAMENTO"))))))</f>
        <v/>
      </c>
      <c r="C682" s="3">
        <f>IF(D682="","",IF(V682=0,"🟢 OK",IF(D682&lt;corte,"⚪ HISTÓRICO (sem baixa)",IF(AND(ISNUMBER(R682),R682&lt;TODAY()),"🔴 PRAZO VENCIDO",IF(AND(OR(N682="PENDENTE",N682="PARCIAL"),D682&lt;TODAY()-1),"🔴 EMBARQUE ATRASADO",IF(AND(N682="REALIZADO",M682="PENDENTE"),"🟡 EMBARCADO SEM FATURAR",IF(AND(P682&lt;&gt;"",S682="",OR(Q682="",R682="")),"🟡 PENDÊNCIA SEM RESPONSÁVEL/PRAZO",IF(AND(ISNUMBER(R682),R682=TODAY()),"🟡 VENCE HOJE",IF(AND(P682&lt;&gt;"",S682=""),"🟡 PENDÊNCIA ABERTA",IF(AND(N(J682)&gt;0,N(K682)&lt;J682),"🟡 FALTA EXECUTAR",IF(OR(M682="PENDENTE",M682="PARCIAL"),"🟡 FATURAMENTO PENDENTE","🟡 EMBARQUE PENDENTE")))))))))))</f>
        <v/>
      </c>
      <c r="D682" s="4" t="n">
        <v>46274</v>
      </c>
      <c r="E682" s="5" t="inlineStr">
        <is>
          <t>D</t>
        </is>
      </c>
      <c r="F682" s="5" t="inlineStr">
        <is>
          <t>VINICIUS</t>
        </is>
      </c>
      <c r="G682" s="5" t="inlineStr">
        <is>
          <t>GM</t>
        </is>
      </c>
      <c r="H682" s="5" t="inlineStr">
        <is>
          <t>RFC</t>
        </is>
      </c>
      <c r="I682" s="5" t="inlineStr">
        <is>
          <t>TON</t>
        </is>
      </c>
      <c r="J682" s="6" t="n">
        <v>7.624</v>
      </c>
      <c r="K682" s="6" t="n">
        <v>7.624</v>
      </c>
      <c r="L682" s="7">
        <f>IF(OR(D682="",N(J682)=0),"",MIN(1,N(K682)/J682))</f>
        <v/>
      </c>
      <c r="M682" s="5" t="inlineStr">
        <is>
          <t>FATURADO</t>
        </is>
      </c>
      <c r="N682" s="5" t="inlineStr">
        <is>
          <t>REALIZADO</t>
        </is>
      </c>
      <c r="O682" s="5" t="inlineStr">
        <is>
          <t>FIRMEZA</t>
        </is>
      </c>
      <c r="P682" s="5" t="n"/>
      <c r="Q682" s="5" t="n"/>
      <c r="R682" s="4" t="n"/>
      <c r="S682" s="4" t="n"/>
      <c r="T682" s="5" t="inlineStr">
        <is>
          <t>EMBARCADO E LIBERADO</t>
        </is>
      </c>
      <c r="U682" s="8">
        <f>IF(AND(V682=1,D682&lt;&gt;""),IF(D682&gt;=corte,TODAY()-D682,""),"")</f>
        <v/>
      </c>
      <c r="V682" s="8">
        <f>IF(D682="",0,IF(OR(AND(P682&lt;&gt;"",S682=""),AND(N(J682)&gt;0,N(K682)&lt;J682),OR(M682="PENDENTE",M682="PARCIAL"),OR(N682="PENDENTE",N682="PARCIAL")),1,0))</f>
        <v/>
      </c>
      <c r="W682" s="8">
        <f>IF(AND(V682=1,D682&lt;&gt;""),IF(D682&gt;=corte,(B682="CRÍTICO")*1E9+(100000-D682)*10000+10000-ROW(),""),"")</f>
        <v/>
      </c>
      <c r="X682" s="8">
        <f>IF(AND(V682=1,D682=pas_data,E682=pas_turno),10000-ROW(),"")</f>
        <v/>
      </c>
    </row>
    <row r="683">
      <c r="A683" s="3">
        <f>IF(D683="","","TT-"&amp;TEXT(ROW()-1,"00000"))</f>
        <v/>
      </c>
      <c r="B683" s="3">
        <f>IF(D683="","",IF(V683=0,"CONCLUÍDO",IF(D683&lt;corte,"HISTÓRICO",IF(OR(AND(ISNUMBER(R683),R683&lt;TODAY()),AND(OR(N683="PENDENTE",N683="PARCIAL"),D683&lt;TODAY()-1)),"CRÍTICO",IF(OR(AND(P683&lt;&gt;"",S683=""),AND(N683="REALIZADO",M683="PENDENTE"),AND(ISNUMBER(R683),R683=TODAY())),"ATENÇÃO",IF(N(K683)=0,"PENDENTE","EM ANDAMENTO"))))))</f>
        <v/>
      </c>
      <c r="C683" s="3">
        <f>IF(D683="","",IF(V683=0,"🟢 OK",IF(D683&lt;corte,"⚪ HISTÓRICO (sem baixa)",IF(AND(ISNUMBER(R683),R683&lt;TODAY()),"🔴 PRAZO VENCIDO",IF(AND(OR(N683="PENDENTE",N683="PARCIAL"),D683&lt;TODAY()-1),"🔴 EMBARQUE ATRASADO",IF(AND(N683="REALIZADO",M683="PENDENTE"),"🟡 EMBARCADO SEM FATURAR",IF(AND(P683&lt;&gt;"",S683="",OR(Q683="",R683="")),"🟡 PENDÊNCIA SEM RESPONSÁVEL/PRAZO",IF(AND(ISNUMBER(R683),R683=TODAY()),"🟡 VENCE HOJE",IF(AND(P683&lt;&gt;"",S683=""),"🟡 PENDÊNCIA ABERTA",IF(AND(N(J683)&gt;0,N(K683)&lt;J683),"🟡 FALTA EXECUTAR",IF(OR(M683="PENDENTE",M683="PARCIAL"),"🟡 FATURAMENTO PENDENTE","🟡 EMBARQUE PENDENTE")))))))))))</f>
        <v/>
      </c>
      <c r="D683" s="4" t="n">
        <v>46274</v>
      </c>
      <c r="E683" s="5" t="inlineStr">
        <is>
          <t>D</t>
        </is>
      </c>
      <c r="F683" s="5" t="inlineStr">
        <is>
          <t>VINICIUS</t>
        </is>
      </c>
      <c r="G683" s="5" t="inlineStr">
        <is>
          <t>FM</t>
        </is>
      </c>
      <c r="H683" s="5" t="inlineStr">
        <is>
          <t>PANDURATA</t>
        </is>
      </c>
      <c r="I683" s="5" t="inlineStr">
        <is>
          <t>TON</t>
        </is>
      </c>
      <c r="J683" s="6" t="n">
        <v>23.562</v>
      </c>
      <c r="K683" s="6" t="n">
        <v>23.562</v>
      </c>
      <c r="L683" s="7">
        <f>IF(OR(D683="",N(J683)=0),"",MIN(1,N(K683)/J683))</f>
        <v/>
      </c>
      <c r="M683" s="5" t="inlineStr">
        <is>
          <t>FATURADO</t>
        </is>
      </c>
      <c r="N683" s="5" t="inlineStr">
        <is>
          <t>REALIZADO</t>
        </is>
      </c>
      <c r="O683" s="5" t="inlineStr">
        <is>
          <t>SPEEDYLOG</t>
        </is>
      </c>
      <c r="P683" s="5" t="n"/>
      <c r="Q683" s="5" t="n"/>
      <c r="R683" s="4" t="n"/>
      <c r="S683" s="4" t="n"/>
      <c r="T683" s="5" t="inlineStr">
        <is>
          <t>EMBARCADO E LIBERADO</t>
        </is>
      </c>
      <c r="U683" s="8">
        <f>IF(AND(V683=1,D683&lt;&gt;""),IF(D683&gt;=corte,TODAY()-D683,""),"")</f>
        <v/>
      </c>
      <c r="V683" s="8">
        <f>IF(D683="",0,IF(OR(AND(P683&lt;&gt;"",S683=""),AND(N(J683)&gt;0,N(K683)&lt;J683),OR(M683="PENDENTE",M683="PARCIAL"),OR(N683="PENDENTE",N683="PARCIAL")),1,0))</f>
        <v/>
      </c>
      <c r="W683" s="8">
        <f>IF(AND(V683=1,D683&lt;&gt;""),IF(D683&gt;=corte,(B683="CRÍTICO")*1E9+(100000-D683)*10000+10000-ROW(),""),"")</f>
        <v/>
      </c>
      <c r="X683" s="8">
        <f>IF(AND(V683=1,D683=pas_data,E683=pas_turno),10000-ROW(),"")</f>
        <v/>
      </c>
    </row>
    <row r="684">
      <c r="A684" s="3">
        <f>IF(D684="","","TT-"&amp;TEXT(ROW()-1,"00000"))</f>
        <v/>
      </c>
      <c r="B684" s="3">
        <f>IF(D684="","",IF(V684=0,"CONCLUÍDO",IF(D684&lt;corte,"HISTÓRICO",IF(OR(AND(ISNUMBER(R684),R684&lt;TODAY()),AND(OR(N684="PENDENTE",N684="PARCIAL"),D684&lt;TODAY()-1)),"CRÍTICO",IF(OR(AND(P684&lt;&gt;"",S684=""),AND(N684="REALIZADO",M684="PENDENTE"),AND(ISNUMBER(R684),R684=TODAY())),"ATENÇÃO",IF(N(K684)=0,"PENDENTE","EM ANDAMENTO"))))))</f>
        <v/>
      </c>
      <c r="C684" s="3">
        <f>IF(D684="","",IF(V684=0,"🟢 OK",IF(D684&lt;corte,"⚪ HISTÓRICO (sem baixa)",IF(AND(ISNUMBER(R684),R684&lt;TODAY()),"🔴 PRAZO VENCIDO",IF(AND(OR(N684="PENDENTE",N684="PARCIAL"),D684&lt;TODAY()-1),"🔴 EMBARQUE ATRASADO",IF(AND(N684="REALIZADO",M684="PENDENTE"),"🟡 EMBARCADO SEM FATURAR",IF(AND(P684&lt;&gt;"",S684="",OR(Q684="",R684="")),"🟡 PENDÊNCIA SEM RESPONSÁVEL/PRAZO",IF(AND(ISNUMBER(R684),R684=TODAY()),"🟡 VENCE HOJE",IF(AND(P684&lt;&gt;"",S684=""),"🟡 PENDÊNCIA ABERTA",IF(AND(N(J684)&gt;0,N(K684)&lt;J684),"🟡 FALTA EXECUTAR",IF(OR(M684="PENDENTE",M684="PARCIAL"),"🟡 FATURAMENTO PENDENTE","🟡 EMBARQUE PENDENTE")))))))))))</f>
        <v/>
      </c>
      <c r="D684" s="4" t="n">
        <v>46275</v>
      </c>
      <c r="E684" s="5" t="inlineStr">
        <is>
          <t>A</t>
        </is>
      </c>
      <c r="F684" s="5" t="inlineStr">
        <is>
          <t>TATIANE</t>
        </is>
      </c>
      <c r="G684" s="5" t="inlineStr">
        <is>
          <t>GM</t>
        </is>
      </c>
      <c r="H684" s="5" t="inlineStr">
        <is>
          <t>MINAS/BA</t>
        </is>
      </c>
      <c r="I684" s="5" t="inlineStr">
        <is>
          <t>TON</t>
        </is>
      </c>
      <c r="J684" s="6" t="n">
        <v>17.507</v>
      </c>
      <c r="K684" s="6" t="n">
        <v>2.51</v>
      </c>
      <c r="L684" s="7">
        <f>IF(OR(D684="",N(J684)=0),"",MIN(1,N(K684)/J684))</f>
        <v/>
      </c>
      <c r="M684" s="5" t="inlineStr">
        <is>
          <t>PARCIAL</t>
        </is>
      </c>
      <c r="N684" s="5" t="inlineStr">
        <is>
          <t>PENDENTE</t>
        </is>
      </c>
      <c r="O684" s="5" t="inlineStr">
        <is>
          <t>BORA</t>
        </is>
      </c>
      <c r="P684" s="5" t="inlineStr">
        <is>
          <t>FATURAR NORDESTE</t>
        </is>
      </c>
      <c r="Q684" s="5" t="n"/>
      <c r="R684" s="4" t="n"/>
      <c r="S684" s="4" t="n"/>
      <c r="T684" s="5" t="inlineStr">
        <is>
          <t>FATURAR NORDESTE</t>
        </is>
      </c>
      <c r="U684" s="8">
        <f>IF(AND(V684=1,D684&lt;&gt;""),IF(D684&gt;=corte,TODAY()-D684,""),"")</f>
        <v/>
      </c>
      <c r="V684" s="8">
        <f>IF(D684="",0,IF(OR(AND(P684&lt;&gt;"",S684=""),AND(N(J684)&gt;0,N(K684)&lt;J684),OR(M684="PENDENTE",M684="PARCIAL"),OR(N684="PENDENTE",N684="PARCIAL")),1,0))</f>
        <v/>
      </c>
      <c r="W684" s="8">
        <f>IF(AND(V684=1,D684&lt;&gt;""),IF(D684&gt;=corte,(B684="CRÍTICO")*1E9+(100000-D684)*10000+10000-ROW(),""),"")</f>
        <v/>
      </c>
      <c r="X684" s="8">
        <f>IF(AND(V684=1,D684=pas_data,E684=pas_turno),10000-ROW(),"")</f>
        <v/>
      </c>
    </row>
    <row r="685">
      <c r="A685" s="3">
        <f>IF(D685="","","TT-"&amp;TEXT(ROW()-1,"00000"))</f>
        <v/>
      </c>
      <c r="B685" s="3">
        <f>IF(D685="","",IF(V685=0,"CONCLUÍDO",IF(D685&lt;corte,"HISTÓRICO",IF(OR(AND(ISNUMBER(R685),R685&lt;TODAY()),AND(OR(N685="PENDENTE",N685="PARCIAL"),D685&lt;TODAY()-1)),"CRÍTICO",IF(OR(AND(P685&lt;&gt;"",S685=""),AND(N685="REALIZADO",M685="PENDENTE"),AND(ISNUMBER(R685),R685=TODAY())),"ATENÇÃO",IF(N(K685)=0,"PENDENTE","EM ANDAMENTO"))))))</f>
        <v/>
      </c>
      <c r="C685" s="3">
        <f>IF(D685="","",IF(V685=0,"🟢 OK",IF(D685&lt;corte,"⚪ HISTÓRICO (sem baixa)",IF(AND(ISNUMBER(R685),R685&lt;TODAY()),"🔴 PRAZO VENCIDO",IF(AND(OR(N685="PENDENTE",N685="PARCIAL"),D685&lt;TODAY()-1),"🔴 EMBARQUE ATRASADO",IF(AND(N685="REALIZADO",M685="PENDENTE"),"🟡 EMBARCADO SEM FATURAR",IF(AND(P685&lt;&gt;"",S685="",OR(Q685="",R685="")),"🟡 PENDÊNCIA SEM RESPONSÁVEL/PRAZO",IF(AND(ISNUMBER(R685),R685=TODAY()),"🟡 VENCE HOJE",IF(AND(P685&lt;&gt;"",S685=""),"🟡 PENDÊNCIA ABERTA",IF(AND(N(J685)&gt;0,N(K685)&lt;J685),"🟡 FALTA EXECUTAR",IF(OR(M685="PENDENTE",M685="PARCIAL"),"🟡 FATURAMENTO PENDENTE","🟡 EMBARQUE PENDENTE")))))))))))</f>
        <v/>
      </c>
      <c r="D685" s="4" t="n">
        <v>46275</v>
      </c>
      <c r="E685" s="5" t="inlineStr">
        <is>
          <t>A</t>
        </is>
      </c>
      <c r="F685" s="5" t="inlineStr">
        <is>
          <t>TATIANE</t>
        </is>
      </c>
      <c r="G685" s="5" t="inlineStr">
        <is>
          <t>GM</t>
        </is>
      </c>
      <c r="H685" s="5" t="inlineStr">
        <is>
          <t>NORTE</t>
        </is>
      </c>
      <c r="I685" s="5" t="inlineStr">
        <is>
          <t>TON</t>
        </is>
      </c>
      <c r="J685" s="6" t="n">
        <v>23.093</v>
      </c>
      <c r="K685" s="6" t="n">
        <v>23.093</v>
      </c>
      <c r="L685" s="7">
        <f>IF(OR(D685="",N(J685)=0),"",MIN(1,N(K685)/J685))</f>
        <v/>
      </c>
      <c r="M685" s="5" t="inlineStr">
        <is>
          <t>PENDENTE</t>
        </is>
      </c>
      <c r="N685" s="5" t="inlineStr">
        <is>
          <t>PENDENTE</t>
        </is>
      </c>
      <c r="O685" s="5" t="inlineStr">
        <is>
          <t>TAFF</t>
        </is>
      </c>
      <c r="P685" s="5" t="inlineStr">
        <is>
          <t>CONFERIR E FATURAR</t>
        </is>
      </c>
      <c r="Q685" s="5" t="n"/>
      <c r="R685" s="4" t="n"/>
      <c r="S685" s="4" t="n"/>
      <c r="T685" s="5" t="inlineStr">
        <is>
          <t>CONFERIR E FATURAR</t>
        </is>
      </c>
      <c r="U685" s="8">
        <f>IF(AND(V685=1,D685&lt;&gt;""),IF(D685&gt;=corte,TODAY()-D685,""),"")</f>
        <v/>
      </c>
      <c r="V685" s="8">
        <f>IF(D685="",0,IF(OR(AND(P685&lt;&gt;"",S685=""),AND(N(J685)&gt;0,N(K685)&lt;J685),OR(M685="PENDENTE",M685="PARCIAL"),OR(N685="PENDENTE",N685="PARCIAL")),1,0))</f>
        <v/>
      </c>
      <c r="W685" s="8">
        <f>IF(AND(V685=1,D685&lt;&gt;""),IF(D685&gt;=corte,(B685="CRÍTICO")*1E9+(100000-D685)*10000+10000-ROW(),""),"")</f>
        <v/>
      </c>
      <c r="X685" s="8">
        <f>IF(AND(V685=1,D685=pas_data,E685=pas_turno),10000-ROW(),"")</f>
        <v/>
      </c>
    </row>
    <row r="686">
      <c r="A686" s="3">
        <f>IF(D686="","","TT-"&amp;TEXT(ROW()-1,"00000"))</f>
        <v/>
      </c>
      <c r="B686" s="3">
        <f>IF(D686="","",IF(V686=0,"CONCLUÍDO",IF(D686&lt;corte,"HISTÓRICO",IF(OR(AND(ISNUMBER(R686),R686&lt;TODAY()),AND(OR(N686="PENDENTE",N686="PARCIAL"),D686&lt;TODAY()-1)),"CRÍTICO",IF(OR(AND(P686&lt;&gt;"",S686=""),AND(N686="REALIZADO",M686="PENDENTE"),AND(ISNUMBER(R686),R686=TODAY())),"ATENÇÃO",IF(N(K686)=0,"PENDENTE","EM ANDAMENTO"))))))</f>
        <v/>
      </c>
      <c r="C686" s="3">
        <f>IF(D686="","",IF(V686=0,"🟢 OK",IF(D686&lt;corte,"⚪ HISTÓRICO (sem baixa)",IF(AND(ISNUMBER(R686),R686&lt;TODAY()),"🔴 PRAZO VENCIDO",IF(AND(OR(N686="PENDENTE",N686="PARCIAL"),D686&lt;TODAY()-1),"🔴 EMBARQUE ATRASADO",IF(AND(N686="REALIZADO",M686="PENDENTE"),"🟡 EMBARCADO SEM FATURAR",IF(AND(P686&lt;&gt;"",S686="",OR(Q686="",R686="")),"🟡 PENDÊNCIA SEM RESPONSÁVEL/PRAZO",IF(AND(ISNUMBER(R686),R686=TODAY()),"🟡 VENCE HOJE",IF(AND(P686&lt;&gt;"",S686=""),"🟡 PENDÊNCIA ABERTA",IF(AND(N(J686)&gt;0,N(K686)&lt;J686),"🟡 FALTA EXECUTAR",IF(OR(M686="PENDENTE",M686="PARCIAL"),"🟡 FATURAMENTO PENDENTE","🟡 EMBARQUE PENDENTE")))))))))))</f>
        <v/>
      </c>
      <c r="D686" s="4" t="n">
        <v>46275</v>
      </c>
      <c r="E686" s="5" t="inlineStr">
        <is>
          <t>A</t>
        </is>
      </c>
      <c r="F686" s="5" t="inlineStr">
        <is>
          <t>TATIANE</t>
        </is>
      </c>
      <c r="G686" s="5" t="inlineStr">
        <is>
          <t>GM</t>
        </is>
      </c>
      <c r="H686" s="5" t="inlineStr">
        <is>
          <t>SP 12/09</t>
        </is>
      </c>
      <c r="I686" s="5" t="inlineStr">
        <is>
          <t>TON</t>
        </is>
      </c>
      <c r="J686" s="6" t="n">
        <v>10.85</v>
      </c>
      <c r="K686" s="6" t="n">
        <v>10.85</v>
      </c>
      <c r="L686" s="7">
        <f>IF(OR(D686="",N(J686)=0),"",MIN(1,N(K686)/J686))</f>
        <v/>
      </c>
      <c r="M686" s="5" t="inlineStr">
        <is>
          <t>FATURADO</t>
        </is>
      </c>
      <c r="N686" s="5" t="inlineStr">
        <is>
          <t>PENDENTE</t>
        </is>
      </c>
      <c r="O686" s="5" t="inlineStr">
        <is>
          <t>SMARTLOG</t>
        </is>
      </c>
      <c r="P686" s="5" t="n"/>
      <c r="Q686" s="5" t="n"/>
      <c r="R686" s="4" t="n"/>
      <c r="S686" s="4" t="n"/>
      <c r="T686" s="5" t="inlineStr">
        <is>
          <t>[MIGRAÇÃO: programação original: AGENDA SP]</t>
        </is>
      </c>
      <c r="U686" s="8">
        <f>IF(AND(V686=1,D686&lt;&gt;""),IF(D686&gt;=corte,TODAY()-D686,""),"")</f>
        <v/>
      </c>
      <c r="V686" s="8">
        <f>IF(D686="",0,IF(OR(AND(P686&lt;&gt;"",S686=""),AND(N(J686)&gt;0,N(K686)&lt;J686),OR(M686="PENDENTE",M686="PARCIAL"),OR(N686="PENDENTE",N686="PARCIAL")),1,0))</f>
        <v/>
      </c>
      <c r="W686" s="8">
        <f>IF(AND(V686=1,D686&lt;&gt;""),IF(D686&gt;=corte,(B686="CRÍTICO")*1E9+(100000-D686)*10000+10000-ROW(),""),"")</f>
        <v/>
      </c>
      <c r="X686" s="8">
        <f>IF(AND(V686=1,D686=pas_data,E686=pas_turno),10000-ROW(),"")</f>
        <v/>
      </c>
    </row>
    <row r="687">
      <c r="A687" s="3">
        <f>IF(D687="","","TT-"&amp;TEXT(ROW()-1,"00000"))</f>
        <v/>
      </c>
      <c r="B687" s="3">
        <f>IF(D687="","",IF(V687=0,"CONCLUÍDO",IF(D687&lt;corte,"HISTÓRICO",IF(OR(AND(ISNUMBER(R687),R687&lt;TODAY()),AND(OR(N687="PENDENTE",N687="PARCIAL"),D687&lt;TODAY()-1)),"CRÍTICO",IF(OR(AND(P687&lt;&gt;"",S687=""),AND(N687="REALIZADO",M687="PENDENTE"),AND(ISNUMBER(R687),R687=TODAY())),"ATENÇÃO",IF(N(K687)=0,"PENDENTE","EM ANDAMENTO"))))))</f>
        <v/>
      </c>
      <c r="C687" s="3">
        <f>IF(D687="","",IF(V687=0,"🟢 OK",IF(D687&lt;corte,"⚪ HISTÓRICO (sem baixa)",IF(AND(ISNUMBER(R687),R687&lt;TODAY()),"🔴 PRAZO VENCIDO",IF(AND(OR(N687="PENDENTE",N687="PARCIAL"),D687&lt;TODAY()-1),"🔴 EMBARQUE ATRASADO",IF(AND(N687="REALIZADO",M687="PENDENTE"),"🟡 EMBARCADO SEM FATURAR",IF(AND(P687&lt;&gt;"",S687="",OR(Q687="",R687="")),"🟡 PENDÊNCIA SEM RESPONSÁVEL/PRAZO",IF(AND(ISNUMBER(R687),R687=TODAY()),"🟡 VENCE HOJE",IF(AND(P687&lt;&gt;"",S687=""),"🟡 PENDÊNCIA ABERTA",IF(AND(N(J687)&gt;0,N(K687)&lt;J687),"🟡 FALTA EXECUTAR",IF(OR(M687="PENDENTE",M687="PARCIAL"),"🟡 FATURAMENTO PENDENTE","🟡 EMBARQUE PENDENTE")))))))))))</f>
        <v/>
      </c>
      <c r="D687" s="4" t="n">
        <v>46275</v>
      </c>
      <c r="E687" s="5" t="inlineStr">
        <is>
          <t>A</t>
        </is>
      </c>
      <c r="F687" s="5" t="inlineStr">
        <is>
          <t>TATIANE</t>
        </is>
      </c>
      <c r="G687" s="5" t="inlineStr">
        <is>
          <t>CACAU</t>
        </is>
      </c>
      <c r="H687" s="5" t="inlineStr">
        <is>
          <t>SEPARAÇÃO</t>
        </is>
      </c>
      <c r="I687" s="5" t="inlineStr">
        <is>
          <t>TON</t>
        </is>
      </c>
      <c r="J687" s="6" t="n">
        <v>19.108</v>
      </c>
      <c r="K687" s="6" t="n">
        <v>19.108</v>
      </c>
      <c r="L687" s="7">
        <f>IF(OR(D687="",N(J687)=0),"",MIN(1,N(K687)/J687))</f>
        <v/>
      </c>
      <c r="M687" s="5" t="inlineStr">
        <is>
          <t>FATURADO</t>
        </is>
      </c>
      <c r="N687" s="5" t="inlineStr">
        <is>
          <t>PENDENTE</t>
        </is>
      </c>
      <c r="O687" s="5" t="inlineStr">
        <is>
          <t>SMARTLOG</t>
        </is>
      </c>
      <c r="P687" s="5" t="n"/>
      <c r="Q687" s="5" t="n"/>
      <c r="R687" s="4" t="n"/>
      <c r="S687" s="4" t="n"/>
      <c r="T687" s="5" t="n"/>
      <c r="U687" s="8">
        <f>IF(AND(V687=1,D687&lt;&gt;""),IF(D687&gt;=corte,TODAY()-D687,""),"")</f>
        <v/>
      </c>
      <c r="V687" s="8">
        <f>IF(D687="",0,IF(OR(AND(P687&lt;&gt;"",S687=""),AND(N(J687)&gt;0,N(K687)&lt;J687),OR(M687="PENDENTE",M687="PARCIAL"),OR(N687="PENDENTE",N687="PARCIAL")),1,0))</f>
        <v/>
      </c>
      <c r="W687" s="8">
        <f>IF(AND(V687=1,D687&lt;&gt;""),IF(D687&gt;=corte,(B687="CRÍTICO")*1E9+(100000-D687)*10000+10000-ROW(),""),"")</f>
        <v/>
      </c>
      <c r="X687" s="8">
        <f>IF(AND(V687=1,D687=pas_data,E687=pas_turno),10000-ROW(),"")</f>
        <v/>
      </c>
    </row>
    <row r="688">
      <c r="A688" s="3">
        <f>IF(D688="","","TT-"&amp;TEXT(ROW()-1,"00000"))</f>
        <v/>
      </c>
      <c r="B688" s="3">
        <f>IF(D688="","",IF(V688=0,"CONCLUÍDO",IF(D688&lt;corte,"HISTÓRICO",IF(OR(AND(ISNUMBER(R688),R688&lt;TODAY()),AND(OR(N688="PENDENTE",N688="PARCIAL"),D688&lt;TODAY()-1)),"CRÍTICO",IF(OR(AND(P688&lt;&gt;"",S688=""),AND(N688="REALIZADO",M688="PENDENTE"),AND(ISNUMBER(R688),R688=TODAY())),"ATENÇÃO",IF(N(K688)=0,"PENDENTE","EM ANDAMENTO"))))))</f>
        <v/>
      </c>
      <c r="C688" s="3">
        <f>IF(D688="","",IF(V688=0,"🟢 OK",IF(D688&lt;corte,"⚪ HISTÓRICO (sem baixa)",IF(AND(ISNUMBER(R688),R688&lt;TODAY()),"🔴 PRAZO VENCIDO",IF(AND(OR(N688="PENDENTE",N688="PARCIAL"),D688&lt;TODAY()-1),"🔴 EMBARQUE ATRASADO",IF(AND(N688="REALIZADO",M688="PENDENTE"),"🟡 EMBARCADO SEM FATURAR",IF(AND(P688&lt;&gt;"",S688="",OR(Q688="",R688="")),"🟡 PENDÊNCIA SEM RESPONSÁVEL/PRAZO",IF(AND(ISNUMBER(R688),R688=TODAY()),"🟡 VENCE HOJE",IF(AND(P688&lt;&gt;"",S688=""),"🟡 PENDÊNCIA ABERTA",IF(AND(N(J688)&gt;0,N(K688)&lt;J688),"🟡 FALTA EXECUTAR",IF(OR(M688="PENDENTE",M688="PARCIAL"),"🟡 FATURAMENTO PENDENTE","🟡 EMBARQUE PENDENTE")))))))))))</f>
        <v/>
      </c>
      <c r="D688" s="4" t="n">
        <v>46275</v>
      </c>
      <c r="E688" s="5" t="inlineStr">
        <is>
          <t>A</t>
        </is>
      </c>
      <c r="F688" s="5" t="inlineStr">
        <is>
          <t>TATIANE</t>
        </is>
      </c>
      <c r="G688" s="5" t="inlineStr">
        <is>
          <t>FOB</t>
        </is>
      </c>
      <c r="H688" s="5" t="inlineStr">
        <is>
          <t>SBB</t>
        </is>
      </c>
      <c r="I688" s="5" t="inlineStr">
        <is>
          <t>TON</t>
        </is>
      </c>
      <c r="J688" s="6" t="n">
        <v>2.508</v>
      </c>
      <c r="K688" s="6" t="n">
        <v>2.508</v>
      </c>
      <c r="L688" s="7">
        <f>IF(OR(D688="",N(J688)=0),"",MIN(1,N(K688)/J688))</f>
        <v/>
      </c>
      <c r="M688" s="5" t="inlineStr">
        <is>
          <t>PENDENTE</t>
        </is>
      </c>
      <c r="N688" s="5" t="inlineStr">
        <is>
          <t>PENDENTE</t>
        </is>
      </c>
      <c r="O688" s="5" t="inlineStr">
        <is>
          <t>PRÓPRIO</t>
        </is>
      </c>
      <c r="P688" s="5" t="n"/>
      <c r="Q688" s="5" t="n"/>
      <c r="R688" s="4" t="n"/>
      <c r="S688" s="4" t="n"/>
      <c r="T688" s="5" t="n"/>
      <c r="U688" s="8">
        <f>IF(AND(V688=1,D688&lt;&gt;""),IF(D688&gt;=corte,TODAY()-D688,""),"")</f>
        <v/>
      </c>
      <c r="V688" s="8">
        <f>IF(D688="",0,IF(OR(AND(P688&lt;&gt;"",S688=""),AND(N(J688)&gt;0,N(K688)&lt;J688),OR(M688="PENDENTE",M688="PARCIAL"),OR(N688="PENDENTE",N688="PARCIAL")),1,0))</f>
        <v/>
      </c>
      <c r="W688" s="8">
        <f>IF(AND(V688=1,D688&lt;&gt;""),IF(D688&gt;=corte,(B688="CRÍTICO")*1E9+(100000-D688)*10000+10000-ROW(),""),"")</f>
        <v/>
      </c>
      <c r="X688" s="8">
        <f>IF(AND(V688=1,D688=pas_data,E688=pas_turno),10000-ROW(),"")</f>
        <v/>
      </c>
    </row>
    <row r="689">
      <c r="A689" s="3">
        <f>IF(D689="","","TT-"&amp;TEXT(ROW()-1,"00000"))</f>
        <v/>
      </c>
      <c r="B689" s="3">
        <f>IF(D689="","",IF(V689=0,"CONCLUÍDO",IF(D689&lt;corte,"HISTÓRICO",IF(OR(AND(ISNUMBER(R689),R689&lt;TODAY()),AND(OR(N689="PENDENTE",N689="PARCIAL"),D689&lt;TODAY()-1)),"CRÍTICO",IF(OR(AND(P689&lt;&gt;"",S689=""),AND(N689="REALIZADO",M689="PENDENTE"),AND(ISNUMBER(R689),R689=TODAY())),"ATENÇÃO",IF(N(K689)=0,"PENDENTE","EM ANDAMENTO"))))))</f>
        <v/>
      </c>
      <c r="C689" s="3">
        <f>IF(D689="","",IF(V689=0,"🟢 OK",IF(D689&lt;corte,"⚪ HISTÓRICO (sem baixa)",IF(AND(ISNUMBER(R689),R689&lt;TODAY()),"🔴 PRAZO VENCIDO",IF(AND(OR(N689="PENDENTE",N689="PARCIAL"),D689&lt;TODAY()-1),"🔴 EMBARQUE ATRASADO",IF(AND(N689="REALIZADO",M689="PENDENTE"),"🟡 EMBARCADO SEM FATURAR",IF(AND(P689&lt;&gt;"",S689="",OR(Q689="",R689="")),"🟡 PENDÊNCIA SEM RESPONSÁVEL/PRAZO",IF(AND(ISNUMBER(R689),R689=TODAY()),"🟡 VENCE HOJE",IF(AND(P689&lt;&gt;"",S689=""),"🟡 PENDÊNCIA ABERTA",IF(AND(N(J689)&gt;0,N(K689)&lt;J689),"🟡 FALTA EXECUTAR",IF(OR(M689="PENDENTE",M689="PARCIAL"),"🟡 FATURAMENTO PENDENTE","🟡 EMBARQUE PENDENTE")))))))))))</f>
        <v/>
      </c>
      <c r="D689" s="4" t="n">
        <v>46275</v>
      </c>
      <c r="E689" s="5" t="inlineStr">
        <is>
          <t>A</t>
        </is>
      </c>
      <c r="F689" s="5" t="inlineStr">
        <is>
          <t>TATIANE</t>
        </is>
      </c>
      <c r="G689" s="5" t="inlineStr">
        <is>
          <t>GRANEL</t>
        </is>
      </c>
      <c r="H689" s="5" t="inlineStr">
        <is>
          <t>PANDURATA</t>
        </is>
      </c>
      <c r="I689" s="5" t="inlineStr">
        <is>
          <t>TON</t>
        </is>
      </c>
      <c r="J689" s="6" t="n">
        <v>26</v>
      </c>
      <c r="K689" s="6" t="n">
        <v>27.5</v>
      </c>
      <c r="L689" s="7">
        <f>IF(OR(D689="",N(J689)=0),"",MIN(1,N(K689)/J689))</f>
        <v/>
      </c>
      <c r="M689" s="5" t="inlineStr">
        <is>
          <t>FATURADO</t>
        </is>
      </c>
      <c r="N689" s="5" t="inlineStr">
        <is>
          <t>REALIZADO</t>
        </is>
      </c>
      <c r="O689" s="5" t="inlineStr">
        <is>
          <t>JSL</t>
        </is>
      </c>
      <c r="P689" s="5" t="n"/>
      <c r="Q689" s="5" t="n"/>
      <c r="R689" s="4" t="n"/>
      <c r="S689" s="4" t="n"/>
      <c r="T689" s="5" t="n"/>
      <c r="U689" s="8">
        <f>IF(AND(V689=1,D689&lt;&gt;""),IF(D689&gt;=corte,TODAY()-D689,""),"")</f>
        <v/>
      </c>
      <c r="V689" s="8">
        <f>IF(D689="",0,IF(OR(AND(P689&lt;&gt;"",S689=""),AND(N(J689)&gt;0,N(K689)&lt;J689),OR(M689="PENDENTE",M689="PARCIAL"),OR(N689="PENDENTE",N689="PARCIAL")),1,0))</f>
        <v/>
      </c>
      <c r="W689" s="8">
        <f>IF(AND(V689=1,D689&lt;&gt;""),IF(D689&gt;=corte,(B689="CRÍTICO")*1E9+(100000-D689)*10000+10000-ROW(),""),"")</f>
        <v/>
      </c>
      <c r="X689" s="8">
        <f>IF(AND(V689=1,D689=pas_data,E689=pas_turno),10000-ROW(),"")</f>
        <v/>
      </c>
    </row>
    <row r="690">
      <c r="A690" s="3">
        <f>IF(D690="","","TT-"&amp;TEXT(ROW()-1,"00000"))</f>
        <v/>
      </c>
      <c r="B690" s="3">
        <f>IF(D690="","",IF(V690=0,"CONCLUÍDO",IF(D690&lt;corte,"HISTÓRICO",IF(OR(AND(ISNUMBER(R690),R690&lt;TODAY()),AND(OR(N690="PENDENTE",N690="PARCIAL"),D690&lt;TODAY()-1)),"CRÍTICO",IF(OR(AND(P690&lt;&gt;"",S690=""),AND(N690="REALIZADO",M690="PENDENTE"),AND(ISNUMBER(R690),R690=TODAY())),"ATENÇÃO",IF(N(K690)=0,"PENDENTE","EM ANDAMENTO"))))))</f>
        <v/>
      </c>
      <c r="C690" s="3">
        <f>IF(D690="","",IF(V690=0,"🟢 OK",IF(D690&lt;corte,"⚪ HISTÓRICO (sem baixa)",IF(AND(ISNUMBER(R690),R690&lt;TODAY()),"🔴 PRAZO VENCIDO",IF(AND(OR(N690="PENDENTE",N690="PARCIAL"),D690&lt;TODAY()-1),"🔴 EMBARQUE ATRASADO",IF(AND(N690="REALIZADO",M690="PENDENTE"),"🟡 EMBARCADO SEM FATURAR",IF(AND(P690&lt;&gt;"",S690="",OR(Q690="",R690="")),"🟡 PENDÊNCIA SEM RESPONSÁVEL/PRAZO",IF(AND(ISNUMBER(R690),R690=TODAY()),"🟡 VENCE HOJE",IF(AND(P690&lt;&gt;"",S690=""),"🟡 PENDÊNCIA ABERTA",IF(AND(N(J690)&gt;0,N(K690)&lt;J690),"🟡 FALTA EXECUTAR",IF(OR(M690="PENDENTE",M690="PARCIAL"),"🟡 FATURAMENTO PENDENTE","🟡 EMBARQUE PENDENTE")))))))))))</f>
        <v/>
      </c>
      <c r="D690" s="4" t="n">
        <v>46275</v>
      </c>
      <c r="E690" s="5" t="inlineStr">
        <is>
          <t>A</t>
        </is>
      </c>
      <c r="F690" s="5" t="inlineStr">
        <is>
          <t>TATIANE</t>
        </is>
      </c>
      <c r="G690" s="5" t="inlineStr">
        <is>
          <t>GRANEL</t>
        </is>
      </c>
      <c r="H690" s="5" t="inlineStr">
        <is>
          <t>MAGUNUM</t>
        </is>
      </c>
      <c r="I690" s="5" t="inlineStr">
        <is>
          <t>TON</t>
        </is>
      </c>
      <c r="J690" s="6" t="n">
        <v>10</v>
      </c>
      <c r="K690" s="6" t="n">
        <v>10</v>
      </c>
      <c r="L690" s="7">
        <f>IF(OR(D690="",N(J690)=0),"",MIN(1,N(K690)/J690))</f>
        <v/>
      </c>
      <c r="M690" s="5" t="inlineStr">
        <is>
          <t>PENDENTE</t>
        </is>
      </c>
      <c r="N690" s="5" t="inlineStr">
        <is>
          <t>REALIZADO</t>
        </is>
      </c>
      <c r="O690" s="5" t="inlineStr">
        <is>
          <t>JSL</t>
        </is>
      </c>
      <c r="P690" s="5" t="n"/>
      <c r="Q690" s="5" t="n"/>
      <c r="R690" s="4" t="n"/>
      <c r="S690" s="4" t="n"/>
      <c r="T690" s="5" t="n"/>
      <c r="U690" s="8">
        <f>IF(AND(V690=1,D690&lt;&gt;""),IF(D690&gt;=corte,TODAY()-D690,""),"")</f>
        <v/>
      </c>
      <c r="V690" s="8">
        <f>IF(D690="",0,IF(OR(AND(P690&lt;&gt;"",S690=""),AND(N(J690)&gt;0,N(K690)&lt;J690),OR(M690="PENDENTE",M690="PARCIAL"),OR(N690="PENDENTE",N690="PARCIAL")),1,0))</f>
        <v/>
      </c>
      <c r="W690" s="8">
        <f>IF(AND(V690=1,D690&lt;&gt;""),IF(D690&gt;=corte,(B690="CRÍTICO")*1E9+(100000-D690)*10000+10000-ROW(),""),"")</f>
        <v/>
      </c>
      <c r="X690" s="8">
        <f>IF(AND(V690=1,D690=pas_data,E690=pas_turno),10000-ROW(),"")</f>
        <v/>
      </c>
    </row>
    <row r="691">
      <c r="A691" s="3">
        <f>IF(D691="","","TT-"&amp;TEXT(ROW()-1,"00000"))</f>
        <v/>
      </c>
      <c r="B691" s="3">
        <f>IF(D691="","",IF(V691=0,"CONCLUÍDO",IF(D691&lt;corte,"HISTÓRICO",IF(OR(AND(ISNUMBER(R691),R691&lt;TODAY()),AND(OR(N691="PENDENTE",N691="PARCIAL"),D691&lt;TODAY()-1)),"CRÍTICO",IF(OR(AND(P691&lt;&gt;"",S691=""),AND(N691="REALIZADO",M691="PENDENTE"),AND(ISNUMBER(R691),R691=TODAY())),"ATENÇÃO",IF(N(K691)=0,"PENDENTE","EM ANDAMENTO"))))))</f>
        <v/>
      </c>
      <c r="C691" s="3">
        <f>IF(D691="","",IF(V691=0,"🟢 OK",IF(D691&lt;corte,"⚪ HISTÓRICO (sem baixa)",IF(AND(ISNUMBER(R691),R691&lt;TODAY()),"🔴 PRAZO VENCIDO",IF(AND(OR(N691="PENDENTE",N691="PARCIAL"),D691&lt;TODAY()-1),"🔴 EMBARQUE ATRASADO",IF(AND(N691="REALIZADO",M691="PENDENTE"),"🟡 EMBARCADO SEM FATURAR",IF(AND(P691&lt;&gt;"",S691="",OR(Q691="",R691="")),"🟡 PENDÊNCIA SEM RESPONSÁVEL/PRAZO",IF(AND(ISNUMBER(R691),R691=TODAY()),"🟡 VENCE HOJE",IF(AND(P691&lt;&gt;"",S691=""),"🟡 PENDÊNCIA ABERTA",IF(AND(N(J691)&gt;0,N(K691)&lt;J691),"🟡 FALTA EXECUTAR",IF(OR(M691="PENDENTE",M691="PARCIAL"),"🟡 FATURAMENTO PENDENTE","🟡 EMBARQUE PENDENTE")))))))))))</f>
        <v/>
      </c>
      <c r="D691" s="4" t="n">
        <v>46275</v>
      </c>
      <c r="E691" s="5" t="inlineStr">
        <is>
          <t>A</t>
        </is>
      </c>
      <c r="F691" s="5" t="inlineStr">
        <is>
          <t>TATIANE</t>
        </is>
      </c>
      <c r="G691" s="5" t="inlineStr">
        <is>
          <t>FLOOR</t>
        </is>
      </c>
      <c r="H691" s="5" t="n"/>
      <c r="I691" s="5" t="inlineStr">
        <is>
          <t>TON</t>
        </is>
      </c>
      <c r="J691" s="6" t="n">
        <v>80</v>
      </c>
      <c r="K691" s="6" t="n">
        <v>75</v>
      </c>
      <c r="L691" s="7">
        <f>IF(OR(D691="",N(J691)=0),"",MIN(1,N(K691)/J691))</f>
        <v/>
      </c>
      <c r="M691" s="5" t="n"/>
      <c r="N691" s="5" t="n"/>
      <c r="O691" s="5" t="n"/>
      <c r="P691" s="5" t="n"/>
      <c r="Q691" s="5" t="n"/>
      <c r="R691" s="4" t="n"/>
      <c r="S691" s="4" t="n"/>
      <c r="T691" s="5" t="n"/>
      <c r="U691" s="8">
        <f>IF(AND(V691=1,D691&lt;&gt;""),IF(D691&gt;=corte,TODAY()-D691,""),"")</f>
        <v/>
      </c>
      <c r="V691" s="8">
        <f>IF(D691="",0,IF(OR(AND(P691&lt;&gt;"",S691=""),AND(N(J691)&gt;0,N(K691)&lt;J691),OR(M691="PENDENTE",M691="PARCIAL"),OR(N691="PENDENTE",N691="PARCIAL")),1,0))</f>
        <v/>
      </c>
      <c r="W691" s="8">
        <f>IF(AND(V691=1,D691&lt;&gt;""),IF(D691&gt;=corte,(B691="CRÍTICO")*1E9+(100000-D691)*10000+10000-ROW(),""),"")</f>
        <v/>
      </c>
      <c r="X691" s="8">
        <f>IF(AND(V691=1,D691=pas_data,E691=pas_turno),10000-ROW(),"")</f>
        <v/>
      </c>
    </row>
    <row r="692">
      <c r="A692" s="3">
        <f>IF(D692="","","TT-"&amp;TEXT(ROW()-1,"00000"))</f>
        <v/>
      </c>
      <c r="B692" s="3">
        <f>IF(D692="","",IF(V692=0,"CONCLUÍDO",IF(D692&lt;corte,"HISTÓRICO",IF(OR(AND(ISNUMBER(R692),R692&lt;TODAY()),AND(OR(N692="PENDENTE",N692="PARCIAL"),D692&lt;TODAY()-1)),"CRÍTICO",IF(OR(AND(P692&lt;&gt;"",S692=""),AND(N692="REALIZADO",M692="PENDENTE"),AND(ISNUMBER(R692),R692=TODAY())),"ATENÇÃO",IF(N(K692)=0,"PENDENTE","EM ANDAMENTO"))))))</f>
        <v/>
      </c>
      <c r="C692" s="3">
        <f>IF(D692="","",IF(V692=0,"🟢 OK",IF(D692&lt;corte,"⚪ HISTÓRICO (sem baixa)",IF(AND(ISNUMBER(R692),R692&lt;TODAY()),"🔴 PRAZO VENCIDO",IF(AND(OR(N692="PENDENTE",N692="PARCIAL"),D692&lt;TODAY()-1),"🔴 EMBARQUE ATRASADO",IF(AND(N692="REALIZADO",M692="PENDENTE"),"🟡 EMBARCADO SEM FATURAR",IF(AND(P692&lt;&gt;"",S692="",OR(Q692="",R692="")),"🟡 PENDÊNCIA SEM RESPONSÁVEL/PRAZO",IF(AND(ISNUMBER(R692),R692=TODAY()),"🟡 VENCE HOJE",IF(AND(P692&lt;&gt;"",S692=""),"🟡 PENDÊNCIA ABERTA",IF(AND(N(J692)&gt;0,N(K692)&lt;J692),"🟡 FALTA EXECUTAR",IF(OR(M692="PENDENTE",M692="PARCIAL"),"🟡 FATURAMENTO PENDENTE","🟡 EMBARQUE PENDENTE")))))))))))</f>
        <v/>
      </c>
      <c r="D692" s="4" t="n">
        <v>46275</v>
      </c>
      <c r="E692" s="5" t="inlineStr">
        <is>
          <t>A</t>
        </is>
      </c>
      <c r="F692" s="5" t="inlineStr">
        <is>
          <t>TATIANE</t>
        </is>
      </c>
      <c r="G692" s="5" t="inlineStr">
        <is>
          <t>ABASTECIMENTO</t>
        </is>
      </c>
      <c r="H692" s="5" t="inlineStr">
        <is>
          <t>NORTE</t>
        </is>
      </c>
      <c r="I692" s="5" t="inlineStr">
        <is>
          <t>PALETE</t>
        </is>
      </c>
      <c r="J692" s="6" t="n">
        <v>12</v>
      </c>
      <c r="K692" s="6" t="n">
        <v>12</v>
      </c>
      <c r="L692" s="7">
        <f>IF(OR(D692="",N(J692)=0),"",MIN(1,N(K692)/J692))</f>
        <v/>
      </c>
      <c r="M692" s="5" t="n"/>
      <c r="N692" s="5" t="n"/>
      <c r="O692" s="5" t="n"/>
      <c r="P692" s="5" t="n"/>
      <c r="Q692" s="5" t="n"/>
      <c r="R692" s="4" t="n"/>
      <c r="S692" s="4" t="n"/>
      <c r="T692" s="5" t="n"/>
      <c r="U692" s="8">
        <f>IF(AND(V692=1,D692&lt;&gt;""),IF(D692&gt;=corte,TODAY()-D692,""),"")</f>
        <v/>
      </c>
      <c r="V692" s="8">
        <f>IF(D692="",0,IF(OR(AND(P692&lt;&gt;"",S692=""),AND(N(J692)&gt;0,N(K692)&lt;J692),OR(M692="PENDENTE",M692="PARCIAL"),OR(N692="PENDENTE",N692="PARCIAL")),1,0))</f>
        <v/>
      </c>
      <c r="W692" s="8">
        <f>IF(AND(V692=1,D692&lt;&gt;""),IF(D692&gt;=corte,(B692="CRÍTICO")*1E9+(100000-D692)*10000+10000-ROW(),""),"")</f>
        <v/>
      </c>
      <c r="X692" s="8">
        <f>IF(AND(V692=1,D692=pas_data,E692=pas_turno),10000-ROW(),"")</f>
        <v/>
      </c>
    </row>
    <row r="693">
      <c r="A693" s="3">
        <f>IF(D693="","","TT-"&amp;TEXT(ROW()-1,"00000"))</f>
        <v/>
      </c>
      <c r="B693" s="3">
        <f>IF(D693="","",IF(V693=0,"CONCLUÍDO",IF(D693&lt;corte,"HISTÓRICO",IF(OR(AND(ISNUMBER(R693),R693&lt;TODAY()),AND(OR(N693="PENDENTE",N693="PARCIAL"),D693&lt;TODAY()-1)),"CRÍTICO",IF(OR(AND(P693&lt;&gt;"",S693=""),AND(N693="REALIZADO",M693="PENDENTE"),AND(ISNUMBER(R693),R693=TODAY())),"ATENÇÃO",IF(N(K693)=0,"PENDENTE","EM ANDAMENTO"))))))</f>
        <v/>
      </c>
      <c r="C693" s="3">
        <f>IF(D693="","",IF(V693=0,"🟢 OK",IF(D693&lt;corte,"⚪ HISTÓRICO (sem baixa)",IF(AND(ISNUMBER(R693),R693&lt;TODAY()),"🔴 PRAZO VENCIDO",IF(AND(OR(N693="PENDENTE",N693="PARCIAL"),D693&lt;TODAY()-1),"🔴 EMBARQUE ATRASADO",IF(AND(N693="REALIZADO",M693="PENDENTE"),"🟡 EMBARCADO SEM FATURAR",IF(AND(P693&lt;&gt;"",S693="",OR(Q693="",R693="")),"🟡 PENDÊNCIA SEM RESPONSÁVEL/PRAZO",IF(AND(ISNUMBER(R693),R693=TODAY()),"🟡 VENCE HOJE",IF(AND(P693&lt;&gt;"",S693=""),"🟡 PENDÊNCIA ABERTA",IF(AND(N(J693)&gt;0,N(K693)&lt;J693),"🟡 FALTA EXECUTAR",IF(OR(M693="PENDENTE",M693="PARCIAL"),"🟡 FATURAMENTO PENDENTE","🟡 EMBARQUE PENDENTE")))))))))))</f>
        <v/>
      </c>
      <c r="D693" s="4" t="n">
        <v>46275</v>
      </c>
      <c r="E693" s="5" t="inlineStr">
        <is>
          <t>B</t>
        </is>
      </c>
      <c r="F693" s="5" t="inlineStr">
        <is>
          <t>THIAGO</t>
        </is>
      </c>
      <c r="G693" s="5" t="inlineStr">
        <is>
          <t>GM</t>
        </is>
      </c>
      <c r="H693" s="5" t="inlineStr">
        <is>
          <t>CO/ES</t>
        </is>
      </c>
      <c r="I693" s="5" t="inlineStr">
        <is>
          <t>TON</t>
        </is>
      </c>
      <c r="J693" s="6" t="n">
        <v>21.793</v>
      </c>
      <c r="K693" s="6" t="n">
        <v>21.793</v>
      </c>
      <c r="L693" s="7">
        <f>IF(OR(D693="",N(J693)=0),"",MIN(1,N(K693)/J693))</f>
        <v/>
      </c>
      <c r="M693" s="5" t="n"/>
      <c r="N693" s="5" t="n"/>
      <c r="O693" s="5" t="inlineStr">
        <is>
          <t>TAFF</t>
        </is>
      </c>
      <c r="P693" s="5" t="n"/>
      <c r="Q693" s="5" t="n"/>
      <c r="R693" s="4" t="n"/>
      <c r="S693" s="4" t="n"/>
      <c r="T693" s="5" t="inlineStr">
        <is>
          <t>GERADO PARCIAL</t>
        </is>
      </c>
      <c r="U693" s="8">
        <f>IF(AND(V693=1,D693&lt;&gt;""),IF(D693&gt;=corte,TODAY()-D693,""),"")</f>
        <v/>
      </c>
      <c r="V693" s="8">
        <f>IF(D693="",0,IF(OR(AND(P693&lt;&gt;"",S693=""),AND(N(J693)&gt;0,N(K693)&lt;J693),OR(M693="PENDENTE",M693="PARCIAL"),OR(N693="PENDENTE",N693="PARCIAL")),1,0))</f>
        <v/>
      </c>
      <c r="W693" s="8">
        <f>IF(AND(V693=1,D693&lt;&gt;""),IF(D693&gt;=corte,(B693="CRÍTICO")*1E9+(100000-D693)*10000+10000-ROW(),""),"")</f>
        <v/>
      </c>
      <c r="X693" s="8">
        <f>IF(AND(V693=1,D693=pas_data,E693=pas_turno),10000-ROW(),"")</f>
        <v/>
      </c>
    </row>
    <row r="694">
      <c r="A694" s="3">
        <f>IF(D694="","","TT-"&amp;TEXT(ROW()-1,"00000"))</f>
        <v/>
      </c>
      <c r="B694" s="3">
        <f>IF(D694="","",IF(V694=0,"CONCLUÍDO",IF(D694&lt;corte,"HISTÓRICO",IF(OR(AND(ISNUMBER(R694),R694&lt;TODAY()),AND(OR(N694="PENDENTE",N694="PARCIAL"),D694&lt;TODAY()-1)),"CRÍTICO",IF(OR(AND(P694&lt;&gt;"",S694=""),AND(N694="REALIZADO",M694="PENDENTE"),AND(ISNUMBER(R694),R694=TODAY())),"ATENÇÃO",IF(N(K694)=0,"PENDENTE","EM ANDAMENTO"))))))</f>
        <v/>
      </c>
      <c r="C694" s="3">
        <f>IF(D694="","",IF(V694=0,"🟢 OK",IF(D694&lt;corte,"⚪ HISTÓRICO (sem baixa)",IF(AND(ISNUMBER(R694),R694&lt;TODAY()),"🔴 PRAZO VENCIDO",IF(AND(OR(N694="PENDENTE",N694="PARCIAL"),D694&lt;TODAY()-1),"🔴 EMBARQUE ATRASADO",IF(AND(N694="REALIZADO",M694="PENDENTE"),"🟡 EMBARCADO SEM FATURAR",IF(AND(P694&lt;&gt;"",S694="",OR(Q694="",R694="")),"🟡 PENDÊNCIA SEM RESPONSÁVEL/PRAZO",IF(AND(ISNUMBER(R694),R694=TODAY()),"🟡 VENCE HOJE",IF(AND(P694&lt;&gt;"",S694=""),"🟡 PENDÊNCIA ABERTA",IF(AND(N(J694)&gt;0,N(K694)&lt;J694),"🟡 FALTA EXECUTAR",IF(OR(M694="PENDENTE",M694="PARCIAL"),"🟡 FATURAMENTO PENDENTE","🟡 EMBARQUE PENDENTE")))))))))))</f>
        <v/>
      </c>
      <c r="D694" s="4" t="n">
        <v>46275</v>
      </c>
      <c r="E694" s="5" t="inlineStr">
        <is>
          <t>B</t>
        </is>
      </c>
      <c r="F694" s="5" t="inlineStr">
        <is>
          <t>THIAGO</t>
        </is>
      </c>
      <c r="G694" s="5" t="inlineStr">
        <is>
          <t>GM</t>
        </is>
      </c>
      <c r="H694" s="5" t="inlineStr">
        <is>
          <t>MAHEL</t>
        </is>
      </c>
      <c r="I694" s="5" t="inlineStr">
        <is>
          <t>TON</t>
        </is>
      </c>
      <c r="J694" s="6" t="n">
        <v>6.711</v>
      </c>
      <c r="K694" s="6" t="n">
        <v>6.711</v>
      </c>
      <c r="L694" s="7">
        <f>IF(OR(D694="",N(J694)=0),"",MIN(1,N(K694)/J694))</f>
        <v/>
      </c>
      <c r="M694" s="5" t="n"/>
      <c r="N694" s="5" t="n"/>
      <c r="O694" s="5" t="n"/>
      <c r="P694" s="5" t="n"/>
      <c r="Q694" s="5" t="n"/>
      <c r="R694" s="4" t="n"/>
      <c r="S694" s="4" t="n"/>
      <c r="T694" s="5" t="n"/>
      <c r="U694" s="8">
        <f>IF(AND(V694=1,D694&lt;&gt;""),IF(D694&gt;=corte,TODAY()-D694,""),"")</f>
        <v/>
      </c>
      <c r="V694" s="8">
        <f>IF(D694="",0,IF(OR(AND(P694&lt;&gt;"",S694=""),AND(N(J694)&gt;0,N(K694)&lt;J694),OR(M694="PENDENTE",M694="PARCIAL"),OR(N694="PENDENTE",N694="PARCIAL")),1,0))</f>
        <v/>
      </c>
      <c r="W694" s="8">
        <f>IF(AND(V694=1,D694&lt;&gt;""),IF(D694&gt;=corte,(B694="CRÍTICO")*1E9+(100000-D694)*10000+10000-ROW(),""),"")</f>
        <v/>
      </c>
      <c r="X694" s="8">
        <f>IF(AND(V694=1,D694=pas_data,E694=pas_turno),10000-ROW(),"")</f>
        <v/>
      </c>
    </row>
    <row r="695">
      <c r="A695" s="3">
        <f>IF(D695="","","TT-"&amp;TEXT(ROW()-1,"00000"))</f>
        <v/>
      </c>
      <c r="B695" s="3">
        <f>IF(D695="","",IF(V695=0,"CONCLUÍDO",IF(D695&lt;corte,"HISTÓRICO",IF(OR(AND(ISNUMBER(R695),R695&lt;TODAY()),AND(OR(N695="PENDENTE",N695="PARCIAL"),D695&lt;TODAY()-1)),"CRÍTICO",IF(OR(AND(P695&lt;&gt;"",S695=""),AND(N695="REALIZADO",M695="PENDENTE"),AND(ISNUMBER(R695),R695=TODAY())),"ATENÇÃO",IF(N(K695)=0,"PENDENTE","EM ANDAMENTO"))))))</f>
        <v/>
      </c>
      <c r="C695" s="3">
        <f>IF(D695="","",IF(V695=0,"🟢 OK",IF(D695&lt;corte,"⚪ HISTÓRICO (sem baixa)",IF(AND(ISNUMBER(R695),R695&lt;TODAY()),"🔴 PRAZO VENCIDO",IF(AND(OR(N695="PENDENTE",N695="PARCIAL"),D695&lt;TODAY()-1),"🔴 EMBARQUE ATRASADO",IF(AND(N695="REALIZADO",M695="PENDENTE"),"🟡 EMBARCADO SEM FATURAR",IF(AND(P695&lt;&gt;"",S695="",OR(Q695="",R695="")),"🟡 PENDÊNCIA SEM RESPONSÁVEL/PRAZO",IF(AND(ISNUMBER(R695),R695=TODAY()),"🟡 VENCE HOJE",IF(AND(P695&lt;&gt;"",S695=""),"🟡 PENDÊNCIA ABERTA",IF(AND(N(J695)&gt;0,N(K695)&lt;J695),"🟡 FALTA EXECUTAR",IF(OR(M695="PENDENTE",M695="PARCIAL"),"🟡 FATURAMENTO PENDENTE","🟡 EMBARQUE PENDENTE")))))))))))</f>
        <v/>
      </c>
      <c r="D695" s="4" t="n">
        <v>46275</v>
      </c>
      <c r="E695" s="5" t="inlineStr">
        <is>
          <t>B</t>
        </is>
      </c>
      <c r="F695" s="5" t="inlineStr">
        <is>
          <t>THIAGO</t>
        </is>
      </c>
      <c r="G695" s="5" t="inlineStr">
        <is>
          <t>GM</t>
        </is>
      </c>
      <c r="H695" s="5" t="inlineStr">
        <is>
          <t>FESTINHA</t>
        </is>
      </c>
      <c r="I695" s="5" t="inlineStr">
        <is>
          <t>TON</t>
        </is>
      </c>
      <c r="J695" s="6" t="n">
        <v>4.453</v>
      </c>
      <c r="K695" s="6" t="n">
        <v>4.453</v>
      </c>
      <c r="L695" s="7">
        <f>IF(OR(D695="",N(J695)=0),"",MIN(1,N(K695)/J695))</f>
        <v/>
      </c>
      <c r="M695" s="5" t="n"/>
      <c r="N695" s="5" t="n"/>
      <c r="O695" s="5" t="n"/>
      <c r="P695" s="5" t="n"/>
      <c r="Q695" s="5" t="n"/>
      <c r="R695" s="4" t="n"/>
      <c r="S695" s="4" t="n"/>
      <c r="T695" s="5" t="n"/>
      <c r="U695" s="8">
        <f>IF(AND(V695=1,D695&lt;&gt;""),IF(D695&gt;=corte,TODAY()-D695,""),"")</f>
        <v/>
      </c>
      <c r="V695" s="8">
        <f>IF(D695="",0,IF(OR(AND(P695&lt;&gt;"",S695=""),AND(N(J695)&gt;0,N(K695)&lt;J695),OR(M695="PENDENTE",M695="PARCIAL"),OR(N695="PENDENTE",N695="PARCIAL")),1,0))</f>
        <v/>
      </c>
      <c r="W695" s="8">
        <f>IF(AND(V695=1,D695&lt;&gt;""),IF(D695&gt;=corte,(B695="CRÍTICO")*1E9+(100000-D695)*10000+10000-ROW(),""),"")</f>
        <v/>
      </c>
      <c r="X695" s="8">
        <f>IF(AND(V695=1,D695=pas_data,E695=pas_turno),10000-ROW(),"")</f>
        <v/>
      </c>
    </row>
    <row r="696">
      <c r="A696" s="3">
        <f>IF(D696="","","TT-"&amp;TEXT(ROW()-1,"00000"))</f>
        <v/>
      </c>
      <c r="B696" s="3">
        <f>IF(D696="","",IF(V696=0,"CONCLUÍDO",IF(D696&lt;corte,"HISTÓRICO",IF(OR(AND(ISNUMBER(R696),R696&lt;TODAY()),AND(OR(N696="PENDENTE",N696="PARCIAL"),D696&lt;TODAY()-1)),"CRÍTICO",IF(OR(AND(P696&lt;&gt;"",S696=""),AND(N696="REALIZADO",M696="PENDENTE"),AND(ISNUMBER(R696),R696=TODAY())),"ATENÇÃO",IF(N(K696)=0,"PENDENTE","EM ANDAMENTO"))))))</f>
        <v/>
      </c>
      <c r="C696" s="3">
        <f>IF(D696="","",IF(V696=0,"🟢 OK",IF(D696&lt;corte,"⚪ HISTÓRICO (sem baixa)",IF(AND(ISNUMBER(R696),R696&lt;TODAY()),"🔴 PRAZO VENCIDO",IF(AND(OR(N696="PENDENTE",N696="PARCIAL"),D696&lt;TODAY()-1),"🔴 EMBARQUE ATRASADO",IF(AND(N696="REALIZADO",M696="PENDENTE"),"🟡 EMBARCADO SEM FATURAR",IF(AND(P696&lt;&gt;"",S696="",OR(Q696="",R696="")),"🟡 PENDÊNCIA SEM RESPONSÁVEL/PRAZO",IF(AND(ISNUMBER(R696),R696=TODAY()),"🟡 VENCE HOJE",IF(AND(P696&lt;&gt;"",S696=""),"🟡 PENDÊNCIA ABERTA",IF(AND(N(J696)&gt;0,N(K696)&lt;J696),"🟡 FALTA EXECUTAR",IF(OR(M696="PENDENTE",M696="PARCIAL"),"🟡 FATURAMENTO PENDENTE","🟡 EMBARQUE PENDENTE")))))))))))</f>
        <v/>
      </c>
      <c r="D696" s="4" t="n">
        <v>46275</v>
      </c>
      <c r="E696" s="5" t="inlineStr">
        <is>
          <t>B</t>
        </is>
      </c>
      <c r="F696" s="5" t="inlineStr">
        <is>
          <t>THIAGO</t>
        </is>
      </c>
      <c r="G696" s="5" t="inlineStr">
        <is>
          <t>ABASTECIMENTO</t>
        </is>
      </c>
      <c r="H696" s="5" t="n"/>
      <c r="I696" s="5" t="inlineStr">
        <is>
          <t>PALETE</t>
        </is>
      </c>
      <c r="J696" s="6" t="n">
        <v>7</v>
      </c>
      <c r="K696" s="6" t="n">
        <v>7</v>
      </c>
      <c r="L696" s="7">
        <f>IF(OR(D696="",N(J696)=0),"",MIN(1,N(K696)/J696))</f>
        <v/>
      </c>
      <c r="M696" s="5" t="n"/>
      <c r="N696" s="5" t="n"/>
      <c r="O696" s="5" t="n"/>
      <c r="P696" s="5" t="n"/>
      <c r="Q696" s="5" t="n"/>
      <c r="R696" s="4" t="n"/>
      <c r="S696" s="4" t="n"/>
      <c r="T696" s="5" t="n"/>
      <c r="U696" s="8">
        <f>IF(AND(V696=1,D696&lt;&gt;""),IF(D696&gt;=corte,TODAY()-D696,""),"")</f>
        <v/>
      </c>
      <c r="V696" s="8">
        <f>IF(D696="",0,IF(OR(AND(P696&lt;&gt;"",S696=""),AND(N(J696)&gt;0,N(K696)&lt;J696),OR(M696="PENDENTE",M696="PARCIAL"),OR(N696="PENDENTE",N696="PARCIAL")),1,0))</f>
        <v/>
      </c>
      <c r="W696" s="8">
        <f>IF(AND(V696=1,D696&lt;&gt;""),IF(D696&gt;=corte,(B696="CRÍTICO")*1E9+(100000-D696)*10000+10000-ROW(),""),"")</f>
        <v/>
      </c>
      <c r="X696" s="8">
        <f>IF(AND(V696=1,D696=pas_data,E696=pas_turno),10000-ROW(),"")</f>
        <v/>
      </c>
    </row>
    <row r="697">
      <c r="A697" s="3">
        <f>IF(D697="","","TT-"&amp;TEXT(ROW()-1,"00000"))</f>
        <v/>
      </c>
      <c r="B697" s="3">
        <f>IF(D697="","",IF(V697=0,"CONCLUÍDO",IF(D697&lt;corte,"HISTÓRICO",IF(OR(AND(ISNUMBER(R697),R697&lt;TODAY()),AND(OR(N697="PENDENTE",N697="PARCIAL"),D697&lt;TODAY()-1)),"CRÍTICO",IF(OR(AND(P697&lt;&gt;"",S697=""),AND(N697="REALIZADO",M697="PENDENTE"),AND(ISNUMBER(R697),R697=TODAY())),"ATENÇÃO",IF(N(K697)=0,"PENDENTE","EM ANDAMENTO"))))))</f>
        <v/>
      </c>
      <c r="C697" s="3">
        <f>IF(D697="","",IF(V697=0,"🟢 OK",IF(D697&lt;corte,"⚪ HISTÓRICO (sem baixa)",IF(AND(ISNUMBER(R697),R697&lt;TODAY()),"🔴 PRAZO VENCIDO",IF(AND(OR(N697="PENDENTE",N697="PARCIAL"),D697&lt;TODAY()-1),"🔴 EMBARQUE ATRASADO",IF(AND(N697="REALIZADO",M697="PENDENTE"),"🟡 EMBARCADO SEM FATURAR",IF(AND(P697&lt;&gt;"",S697="",OR(Q697="",R697="")),"🟡 PENDÊNCIA SEM RESPONSÁVEL/PRAZO",IF(AND(ISNUMBER(R697),R697=TODAY()),"🟡 VENCE HOJE",IF(AND(P697&lt;&gt;"",S697=""),"🟡 PENDÊNCIA ABERTA",IF(AND(N(J697)&gt;0,N(K697)&lt;J697),"🟡 FALTA EXECUTAR",IF(OR(M697="PENDENTE",M697="PARCIAL"),"🟡 FATURAMENTO PENDENTE","🟡 EMBARQUE PENDENTE")))))))))))</f>
        <v/>
      </c>
      <c r="D697" s="4" t="n">
        <v>46275</v>
      </c>
      <c r="E697" s="5" t="inlineStr">
        <is>
          <t>B</t>
        </is>
      </c>
      <c r="F697" s="5" t="inlineStr">
        <is>
          <t>THIAGO</t>
        </is>
      </c>
      <c r="G697" s="5" t="inlineStr">
        <is>
          <t>FLOOR</t>
        </is>
      </c>
      <c r="H697" s="5" t="inlineStr">
        <is>
          <t>PRODUÇÃO</t>
        </is>
      </c>
      <c r="I697" s="5" t="inlineStr">
        <is>
          <t>PALETE</t>
        </is>
      </c>
      <c r="J697" s="6" t="n">
        <v>62</v>
      </c>
      <c r="K697" s="6" t="n">
        <v>62</v>
      </c>
      <c r="L697" s="7">
        <f>IF(OR(D697="",N(J697)=0),"",MIN(1,N(K697)/J697))</f>
        <v/>
      </c>
      <c r="M697" s="5" t="n"/>
      <c r="N697" s="5" t="n"/>
      <c r="O697" s="5" t="n"/>
      <c r="P697" s="5" t="n"/>
      <c r="Q697" s="5" t="n"/>
      <c r="R697" s="4" t="n"/>
      <c r="S697" s="4" t="n"/>
      <c r="T697" s="5" t="n"/>
      <c r="U697" s="8">
        <f>IF(AND(V697=1,D697&lt;&gt;""),IF(D697&gt;=corte,TODAY()-D697,""),"")</f>
        <v/>
      </c>
      <c r="V697" s="8">
        <f>IF(D697="",0,IF(OR(AND(P697&lt;&gt;"",S697=""),AND(N(J697)&gt;0,N(K697)&lt;J697),OR(M697="PENDENTE",M697="PARCIAL"),OR(N697="PENDENTE",N697="PARCIAL")),1,0))</f>
        <v/>
      </c>
      <c r="W697" s="8">
        <f>IF(AND(V697=1,D697&lt;&gt;""),IF(D697&gt;=corte,(B697="CRÍTICO")*1E9+(100000-D697)*10000+10000-ROW(),""),"")</f>
        <v/>
      </c>
      <c r="X697" s="8">
        <f>IF(AND(V697=1,D697=pas_data,E697=pas_turno),10000-ROW(),"")</f>
        <v/>
      </c>
    </row>
    <row r="698">
      <c r="A698" s="3">
        <f>IF(D698="","","TT-"&amp;TEXT(ROW()-1,"00000"))</f>
        <v/>
      </c>
      <c r="B698" s="3">
        <f>IF(D698="","",IF(V698=0,"CONCLUÍDO",IF(D698&lt;corte,"HISTÓRICO",IF(OR(AND(ISNUMBER(R698),R698&lt;TODAY()),AND(OR(N698="PENDENTE",N698="PARCIAL"),D698&lt;TODAY()-1)),"CRÍTICO",IF(OR(AND(P698&lt;&gt;"",S698=""),AND(N698="REALIZADO",M698="PENDENTE"),AND(ISNUMBER(R698),R698=TODAY())),"ATENÇÃO",IF(N(K698)=0,"PENDENTE","EM ANDAMENTO"))))))</f>
        <v/>
      </c>
      <c r="C698" s="3">
        <f>IF(D698="","",IF(V698=0,"🟢 OK",IF(D698&lt;corte,"⚪ HISTÓRICO (sem baixa)",IF(AND(ISNUMBER(R698),R698&lt;TODAY()),"🔴 PRAZO VENCIDO",IF(AND(OR(N698="PENDENTE",N698="PARCIAL"),D698&lt;TODAY()-1),"🔴 EMBARQUE ATRASADO",IF(AND(N698="REALIZADO",M698="PENDENTE"),"🟡 EMBARCADO SEM FATURAR",IF(AND(P698&lt;&gt;"",S698="",OR(Q698="",R698="")),"🟡 PENDÊNCIA SEM RESPONSÁVEL/PRAZO",IF(AND(ISNUMBER(R698),R698=TODAY()),"🟡 VENCE HOJE",IF(AND(P698&lt;&gt;"",S698=""),"🟡 PENDÊNCIA ABERTA",IF(AND(N(J698)&gt;0,N(K698)&lt;J698),"🟡 FALTA EXECUTAR",IF(OR(M698="PENDENTE",M698="PARCIAL"),"🟡 FATURAMENTO PENDENTE","🟡 EMBARQUE PENDENTE")))))))))))</f>
        <v/>
      </c>
      <c r="D698" s="4" t="n">
        <v>46275</v>
      </c>
      <c r="E698" s="5" t="inlineStr">
        <is>
          <t>B</t>
        </is>
      </c>
      <c r="F698" s="5" t="inlineStr">
        <is>
          <t>THIAGO</t>
        </is>
      </c>
      <c r="G698" s="5" t="inlineStr">
        <is>
          <t>FM</t>
        </is>
      </c>
      <c r="H698" s="5" t="inlineStr">
        <is>
          <t>PANDURATA</t>
        </is>
      </c>
      <c r="I698" s="5" t="inlineStr">
        <is>
          <t>TON</t>
        </is>
      </c>
      <c r="J698" s="6" t="n">
        <v>28.054</v>
      </c>
      <c r="K698" s="6" t="n">
        <v>28.054</v>
      </c>
      <c r="L698" s="7">
        <f>IF(OR(D698="",N(J698)=0),"",MIN(1,N(K698)/J698))</f>
        <v/>
      </c>
      <c r="M698" s="5" t="n"/>
      <c r="N698" s="5" t="n"/>
      <c r="O698" s="5" t="n"/>
      <c r="P698" s="5" t="n"/>
      <c r="Q698" s="5" t="n"/>
      <c r="R698" s="4" t="n"/>
      <c r="S698" s="4" t="n"/>
      <c r="T698" s="5" t="n"/>
      <c r="U698" s="8">
        <f>IF(AND(V698=1,D698&lt;&gt;""),IF(D698&gt;=corte,TODAY()-D698,""),"")</f>
        <v/>
      </c>
      <c r="V698" s="8">
        <f>IF(D698="",0,IF(OR(AND(P698&lt;&gt;"",S698=""),AND(N(J698)&gt;0,N(K698)&lt;J698),OR(M698="PENDENTE",M698="PARCIAL"),OR(N698="PENDENTE",N698="PARCIAL")),1,0))</f>
        <v/>
      </c>
      <c r="W698" s="8">
        <f>IF(AND(V698=1,D698&lt;&gt;""),IF(D698&gt;=corte,(B698="CRÍTICO")*1E9+(100000-D698)*10000+10000-ROW(),""),"")</f>
        <v/>
      </c>
      <c r="X698" s="8">
        <f>IF(AND(V698=1,D698=pas_data,E698=pas_turno),10000-ROW(),"")</f>
        <v/>
      </c>
    </row>
    <row r="699">
      <c r="A699" s="3">
        <f>IF(D699="","","TT-"&amp;TEXT(ROW()-1,"00000"))</f>
        <v/>
      </c>
      <c r="B699" s="3">
        <f>IF(D699="","",IF(V699=0,"CONCLUÍDO",IF(D699&lt;corte,"HISTÓRICO",IF(OR(AND(ISNUMBER(R699),R699&lt;TODAY()),AND(OR(N699="PENDENTE",N699="PARCIAL"),D699&lt;TODAY()-1)),"CRÍTICO",IF(OR(AND(P699&lt;&gt;"",S699=""),AND(N699="REALIZADO",M699="PENDENTE"),AND(ISNUMBER(R699),R699=TODAY())),"ATENÇÃO",IF(N(K699)=0,"PENDENTE","EM ANDAMENTO"))))))</f>
        <v/>
      </c>
      <c r="C699" s="3">
        <f>IF(D699="","",IF(V699=0,"🟢 OK",IF(D699&lt;corte,"⚪ HISTÓRICO (sem baixa)",IF(AND(ISNUMBER(R699),R699&lt;TODAY()),"🔴 PRAZO VENCIDO",IF(AND(OR(N699="PENDENTE",N699="PARCIAL"),D699&lt;TODAY()-1),"🔴 EMBARQUE ATRASADO",IF(AND(N699="REALIZADO",M699="PENDENTE"),"🟡 EMBARCADO SEM FATURAR",IF(AND(P699&lt;&gt;"",S699="",OR(Q699="",R699="")),"🟡 PENDÊNCIA SEM RESPONSÁVEL/PRAZO",IF(AND(ISNUMBER(R699),R699=TODAY()),"🟡 VENCE HOJE",IF(AND(P699&lt;&gt;"",S699=""),"🟡 PENDÊNCIA ABERTA",IF(AND(N(J699)&gt;0,N(K699)&lt;J699),"🟡 FALTA EXECUTAR",IF(OR(M699="PENDENTE",M699="PARCIAL"),"🟡 FATURAMENTO PENDENTE","🟡 EMBARQUE PENDENTE")))))))))))</f>
        <v/>
      </c>
      <c r="D699" s="4" t="n">
        <v>46276</v>
      </c>
      <c r="E699" s="5" t="inlineStr">
        <is>
          <t>A</t>
        </is>
      </c>
      <c r="F699" s="5" t="inlineStr">
        <is>
          <t>TATIANE</t>
        </is>
      </c>
      <c r="G699" s="5" t="inlineStr">
        <is>
          <t>GM</t>
        </is>
      </c>
      <c r="H699" s="5" t="inlineStr">
        <is>
          <t>CARRO 03 CO/ES/NO</t>
        </is>
      </c>
      <c r="I699" s="5" t="inlineStr">
        <is>
          <t>TON</t>
        </is>
      </c>
      <c r="J699" s="6" t="n">
        <v>9.923999999999999</v>
      </c>
      <c r="K699" s="6" t="n"/>
      <c r="L699" s="7">
        <f>IF(OR(D699="",N(J699)=0),"",MIN(1,N(K699)/J699))</f>
        <v/>
      </c>
      <c r="M699" s="5" t="n"/>
      <c r="N699" s="5" t="n"/>
      <c r="O699" s="5" t="n"/>
      <c r="P699" s="5" t="n"/>
      <c r="Q699" s="5" t="n"/>
      <c r="R699" s="4" t="n"/>
      <c r="S699" s="4" t="n"/>
      <c r="T699" s="5" t="n"/>
      <c r="U699" s="8">
        <f>IF(AND(V699=1,D699&lt;&gt;""),IF(D699&gt;=corte,TODAY()-D699,""),"")</f>
        <v/>
      </c>
      <c r="V699" s="8">
        <f>IF(D699="",0,IF(OR(AND(P699&lt;&gt;"",S699=""),AND(N(J699)&gt;0,N(K699)&lt;J699),OR(M699="PENDENTE",M699="PARCIAL"),OR(N699="PENDENTE",N699="PARCIAL")),1,0))</f>
        <v/>
      </c>
      <c r="W699" s="8">
        <f>IF(AND(V699=1,D699&lt;&gt;""),IF(D699&gt;=corte,(B699="CRÍTICO")*1E9+(100000-D699)*10000+10000-ROW(),""),"")</f>
        <v/>
      </c>
      <c r="X699" s="8">
        <f>IF(AND(V699=1,D699=pas_data,E699=pas_turno),10000-ROW(),"")</f>
        <v/>
      </c>
    </row>
    <row r="700">
      <c r="A700" s="3">
        <f>IF(D700="","","TT-"&amp;TEXT(ROW()-1,"00000"))</f>
        <v/>
      </c>
      <c r="B700" s="3">
        <f>IF(D700="","",IF(V700=0,"CONCLUÍDO",IF(D700&lt;corte,"HISTÓRICO",IF(OR(AND(ISNUMBER(R700),R700&lt;TODAY()),AND(OR(N700="PENDENTE",N700="PARCIAL"),D700&lt;TODAY()-1)),"CRÍTICO",IF(OR(AND(P700&lt;&gt;"",S700=""),AND(N700="REALIZADO",M700="PENDENTE"),AND(ISNUMBER(R700),R700=TODAY())),"ATENÇÃO",IF(N(K700)=0,"PENDENTE","EM ANDAMENTO"))))))</f>
        <v/>
      </c>
      <c r="C700" s="3">
        <f>IF(D700="","",IF(V700=0,"🟢 OK",IF(D700&lt;corte,"⚪ HISTÓRICO (sem baixa)",IF(AND(ISNUMBER(R700),R700&lt;TODAY()),"🔴 PRAZO VENCIDO",IF(AND(OR(N700="PENDENTE",N700="PARCIAL"),D700&lt;TODAY()-1),"🔴 EMBARQUE ATRASADO",IF(AND(N700="REALIZADO",M700="PENDENTE"),"🟡 EMBARCADO SEM FATURAR",IF(AND(P700&lt;&gt;"",S700="",OR(Q700="",R700="")),"🟡 PENDÊNCIA SEM RESPONSÁVEL/PRAZO",IF(AND(ISNUMBER(R700),R700=TODAY()),"🟡 VENCE HOJE",IF(AND(P700&lt;&gt;"",S700=""),"🟡 PENDÊNCIA ABERTA",IF(AND(N(J700)&gt;0,N(K700)&lt;J700),"🟡 FALTA EXECUTAR",IF(OR(M700="PENDENTE",M700="PARCIAL"),"🟡 FATURAMENTO PENDENTE","🟡 EMBARQUE PENDENTE")))))))))))</f>
        <v/>
      </c>
      <c r="D700" s="4" t="n">
        <v>46276</v>
      </c>
      <c r="E700" s="5" t="inlineStr">
        <is>
          <t>A</t>
        </is>
      </c>
      <c r="F700" s="5" t="inlineStr">
        <is>
          <t>TATIANE</t>
        </is>
      </c>
      <c r="G700" s="5" t="inlineStr">
        <is>
          <t>GM</t>
        </is>
      </c>
      <c r="H700" s="5" t="inlineStr">
        <is>
          <t>SP AGENDAS 14/09 E DIRETOS</t>
        </is>
      </c>
      <c r="I700" s="5" t="inlineStr">
        <is>
          <t>TON</t>
        </is>
      </c>
      <c r="J700" s="6" t="n">
        <v>23.063</v>
      </c>
      <c r="K700" s="6" t="n">
        <v>23.063</v>
      </c>
      <c r="L700" s="7">
        <f>IF(OR(D700="",N(J700)=0),"",MIN(1,N(K700)/J700))</f>
        <v/>
      </c>
      <c r="M700" s="5" t="inlineStr">
        <is>
          <t>PARCIAL</t>
        </is>
      </c>
      <c r="N700" s="5" t="inlineStr">
        <is>
          <t>PARCIAL</t>
        </is>
      </c>
      <c r="O700" s="5" t="inlineStr">
        <is>
          <t>SMARTLOG</t>
        </is>
      </c>
      <c r="P700" s="5" t="n"/>
      <c r="Q700" s="5" t="n"/>
      <c r="R700" s="4" t="n"/>
      <c r="S700" s="4" t="n"/>
      <c r="T700" s="5" t="n"/>
      <c r="U700" s="8">
        <f>IF(AND(V700=1,D700&lt;&gt;""),IF(D700&gt;=corte,TODAY()-D700,""),"")</f>
        <v/>
      </c>
      <c r="V700" s="8">
        <f>IF(D700="",0,IF(OR(AND(P700&lt;&gt;"",S700=""),AND(N(J700)&gt;0,N(K700)&lt;J700),OR(M700="PENDENTE",M700="PARCIAL"),OR(N700="PENDENTE",N700="PARCIAL")),1,0))</f>
        <v/>
      </c>
      <c r="W700" s="8">
        <f>IF(AND(V700=1,D700&lt;&gt;""),IF(D700&gt;=corte,(B700="CRÍTICO")*1E9+(100000-D700)*10000+10000-ROW(),""),"")</f>
        <v/>
      </c>
      <c r="X700" s="8">
        <f>IF(AND(V700=1,D700=pas_data,E700=pas_turno),10000-ROW(),"")</f>
        <v/>
      </c>
    </row>
    <row r="701">
      <c r="A701" s="3">
        <f>IF(D701="","","TT-"&amp;TEXT(ROW()-1,"00000"))</f>
        <v/>
      </c>
      <c r="B701" s="3">
        <f>IF(D701="","",IF(V701=0,"CONCLUÍDO",IF(D701&lt;corte,"HISTÓRICO",IF(OR(AND(ISNUMBER(R701),R701&lt;TODAY()),AND(OR(N701="PENDENTE",N701="PARCIAL"),D701&lt;TODAY()-1)),"CRÍTICO",IF(OR(AND(P701&lt;&gt;"",S701=""),AND(N701="REALIZADO",M701="PENDENTE"),AND(ISNUMBER(R701),R701=TODAY())),"ATENÇÃO",IF(N(K701)=0,"PENDENTE","EM ANDAMENTO"))))))</f>
        <v/>
      </c>
      <c r="C701" s="3">
        <f>IF(D701="","",IF(V701=0,"🟢 OK",IF(D701&lt;corte,"⚪ HISTÓRICO (sem baixa)",IF(AND(ISNUMBER(R701),R701&lt;TODAY()),"🔴 PRAZO VENCIDO",IF(AND(OR(N701="PENDENTE",N701="PARCIAL"),D701&lt;TODAY()-1),"🔴 EMBARQUE ATRASADO",IF(AND(N701="REALIZADO",M701="PENDENTE"),"🟡 EMBARCADO SEM FATURAR",IF(AND(P701&lt;&gt;"",S701="",OR(Q701="",R701="")),"🟡 PENDÊNCIA SEM RESPONSÁVEL/PRAZO",IF(AND(ISNUMBER(R701),R701=TODAY()),"🟡 VENCE HOJE",IF(AND(P701&lt;&gt;"",S701=""),"🟡 PENDÊNCIA ABERTA",IF(AND(N(J701)&gt;0,N(K701)&lt;J701),"🟡 FALTA EXECUTAR",IF(OR(M701="PENDENTE",M701="PARCIAL"),"🟡 FATURAMENTO PENDENTE","🟡 EMBARQUE PENDENTE")))))))))))</f>
        <v/>
      </c>
      <c r="D701" s="4" t="n">
        <v>46276</v>
      </c>
      <c r="E701" s="5" t="inlineStr">
        <is>
          <t>A</t>
        </is>
      </c>
      <c r="F701" s="5" t="inlineStr">
        <is>
          <t>TATIANE</t>
        </is>
      </c>
      <c r="G701" s="5" t="inlineStr">
        <is>
          <t>FOB</t>
        </is>
      </c>
      <c r="H701" s="5" t="inlineStr">
        <is>
          <t>SBB</t>
        </is>
      </c>
      <c r="I701" s="5" t="inlineStr">
        <is>
          <t>TON</t>
        </is>
      </c>
      <c r="J701" s="6" t="n">
        <v>2.446</v>
      </c>
      <c r="K701" s="6" t="n"/>
      <c r="L701" s="7">
        <f>IF(OR(D701="",N(J701)=0),"",MIN(1,N(K701)/J701))</f>
        <v/>
      </c>
      <c r="M701" s="5" t="inlineStr">
        <is>
          <t>FATURADO</t>
        </is>
      </c>
      <c r="N701" s="5" t="inlineStr">
        <is>
          <t>REALIZADO</t>
        </is>
      </c>
      <c r="O701" s="5" t="inlineStr">
        <is>
          <t>PRÓPRIO</t>
        </is>
      </c>
      <c r="P701" s="5" t="n"/>
      <c r="Q701" s="5" t="n"/>
      <c r="R701" s="4" t="n"/>
      <c r="S701" s="4" t="n"/>
      <c r="T701" s="5" t="n"/>
      <c r="U701" s="8">
        <f>IF(AND(V701=1,D701&lt;&gt;""),IF(D701&gt;=corte,TODAY()-D701,""),"")</f>
        <v/>
      </c>
      <c r="V701" s="8">
        <f>IF(D701="",0,IF(OR(AND(P701&lt;&gt;"",S701=""),AND(N(J701)&gt;0,N(K701)&lt;J701),OR(M701="PENDENTE",M701="PARCIAL"),OR(N701="PENDENTE",N701="PARCIAL")),1,0))</f>
        <v/>
      </c>
      <c r="W701" s="8">
        <f>IF(AND(V701=1,D701&lt;&gt;""),IF(D701&gt;=corte,(B701="CRÍTICO")*1E9+(100000-D701)*10000+10000-ROW(),""),"")</f>
        <v/>
      </c>
      <c r="X701" s="8">
        <f>IF(AND(V701=1,D701=pas_data,E701=pas_turno),10000-ROW(),"")</f>
        <v/>
      </c>
    </row>
    <row r="702">
      <c r="A702" s="3">
        <f>IF(D702="","","TT-"&amp;TEXT(ROW()-1,"00000"))</f>
        <v/>
      </c>
      <c r="B702" s="3">
        <f>IF(D702="","",IF(V702=0,"CONCLUÍDO",IF(D702&lt;corte,"HISTÓRICO",IF(OR(AND(ISNUMBER(R702),R702&lt;TODAY()),AND(OR(N702="PENDENTE",N702="PARCIAL"),D702&lt;TODAY()-1)),"CRÍTICO",IF(OR(AND(P702&lt;&gt;"",S702=""),AND(N702="REALIZADO",M702="PENDENTE"),AND(ISNUMBER(R702),R702=TODAY())),"ATENÇÃO",IF(N(K702)=0,"PENDENTE","EM ANDAMENTO"))))))</f>
        <v/>
      </c>
      <c r="C702" s="3">
        <f>IF(D702="","",IF(V702=0,"🟢 OK",IF(D702&lt;corte,"⚪ HISTÓRICO (sem baixa)",IF(AND(ISNUMBER(R702),R702&lt;TODAY()),"🔴 PRAZO VENCIDO",IF(AND(OR(N702="PENDENTE",N702="PARCIAL"),D702&lt;TODAY()-1),"🔴 EMBARQUE ATRASADO",IF(AND(N702="REALIZADO",M702="PENDENTE"),"🟡 EMBARCADO SEM FATURAR",IF(AND(P702&lt;&gt;"",S702="",OR(Q702="",R702="")),"🟡 PENDÊNCIA SEM RESPONSÁVEL/PRAZO",IF(AND(ISNUMBER(R702),R702=TODAY()),"🟡 VENCE HOJE",IF(AND(P702&lt;&gt;"",S702=""),"🟡 PENDÊNCIA ABERTA",IF(AND(N(J702)&gt;0,N(K702)&lt;J702),"🟡 FALTA EXECUTAR",IF(OR(M702="PENDENTE",M702="PARCIAL"),"🟡 FATURAMENTO PENDENTE","🟡 EMBARQUE PENDENTE")))))))))))</f>
        <v/>
      </c>
      <c r="D702" s="4" t="n">
        <v>46276</v>
      </c>
      <c r="E702" s="5" t="inlineStr">
        <is>
          <t>A</t>
        </is>
      </c>
      <c r="F702" s="5" t="inlineStr">
        <is>
          <t>TATIANE</t>
        </is>
      </c>
      <c r="G702" s="5" t="inlineStr">
        <is>
          <t>FOB</t>
        </is>
      </c>
      <c r="H702" s="5" t="inlineStr">
        <is>
          <t>MAHEL</t>
        </is>
      </c>
      <c r="I702" s="5" t="inlineStr">
        <is>
          <t>TON</t>
        </is>
      </c>
      <c r="J702" s="6" t="n">
        <v>6.965</v>
      </c>
      <c r="K702" s="6" t="n"/>
      <c r="L702" s="7">
        <f>IF(OR(D702="",N(J702)=0),"",MIN(1,N(K702)/J702))</f>
        <v/>
      </c>
      <c r="M702" s="5" t="inlineStr">
        <is>
          <t>FATURADO</t>
        </is>
      </c>
      <c r="N702" s="5" t="inlineStr">
        <is>
          <t>REALIZADO</t>
        </is>
      </c>
      <c r="O702" s="5" t="inlineStr">
        <is>
          <t>PRÓPRIO</t>
        </is>
      </c>
      <c r="P702" s="5" t="n"/>
      <c r="Q702" s="5" t="n"/>
      <c r="R702" s="4" t="n"/>
      <c r="S702" s="4" t="n"/>
      <c r="T702" s="5" t="n"/>
      <c r="U702" s="8">
        <f>IF(AND(V702=1,D702&lt;&gt;""),IF(D702&gt;=corte,TODAY()-D702,""),"")</f>
        <v/>
      </c>
      <c r="V702" s="8">
        <f>IF(D702="",0,IF(OR(AND(P702&lt;&gt;"",S702=""),AND(N(J702)&gt;0,N(K702)&lt;J702),OR(M702="PENDENTE",M702="PARCIAL"),OR(N702="PENDENTE",N702="PARCIAL")),1,0))</f>
        <v/>
      </c>
      <c r="W702" s="8">
        <f>IF(AND(V702=1,D702&lt;&gt;""),IF(D702&gt;=corte,(B702="CRÍTICO")*1E9+(100000-D702)*10000+10000-ROW(),""),"")</f>
        <v/>
      </c>
      <c r="X702" s="8">
        <f>IF(AND(V702=1,D702=pas_data,E702=pas_turno),10000-ROW(),"")</f>
        <v/>
      </c>
    </row>
    <row r="703">
      <c r="A703" s="3">
        <f>IF(D703="","","TT-"&amp;TEXT(ROW()-1,"00000"))</f>
        <v/>
      </c>
      <c r="B703" s="3">
        <f>IF(D703="","",IF(V703=0,"CONCLUÍDO",IF(D703&lt;corte,"HISTÓRICO",IF(OR(AND(ISNUMBER(R703),R703&lt;TODAY()),AND(OR(N703="PENDENTE",N703="PARCIAL"),D703&lt;TODAY()-1)),"CRÍTICO",IF(OR(AND(P703&lt;&gt;"",S703=""),AND(N703="REALIZADO",M703="PENDENTE"),AND(ISNUMBER(R703),R703=TODAY())),"ATENÇÃO",IF(N(K703)=0,"PENDENTE","EM ANDAMENTO"))))))</f>
        <v/>
      </c>
      <c r="C703" s="3">
        <f>IF(D703="","",IF(V703=0,"🟢 OK",IF(D703&lt;corte,"⚪ HISTÓRICO (sem baixa)",IF(AND(ISNUMBER(R703),R703&lt;TODAY()),"🔴 PRAZO VENCIDO",IF(AND(OR(N703="PENDENTE",N703="PARCIAL"),D703&lt;TODAY()-1),"🔴 EMBARQUE ATRASADO",IF(AND(N703="REALIZADO",M703="PENDENTE"),"🟡 EMBARCADO SEM FATURAR",IF(AND(P703&lt;&gt;"",S703="",OR(Q703="",R703="")),"🟡 PENDÊNCIA SEM RESPONSÁVEL/PRAZO",IF(AND(ISNUMBER(R703),R703=TODAY()),"🟡 VENCE HOJE",IF(AND(P703&lt;&gt;"",S703=""),"🟡 PENDÊNCIA ABERTA",IF(AND(N(J703)&gt;0,N(K703)&lt;J703),"🟡 FALTA EXECUTAR",IF(OR(M703="PENDENTE",M703="PARCIAL"),"🟡 FATURAMENTO PENDENTE","🟡 EMBARQUE PENDENTE")))))))))))</f>
        <v/>
      </c>
      <c r="D703" s="4" t="n">
        <v>46276</v>
      </c>
      <c r="E703" s="5" t="inlineStr">
        <is>
          <t>A</t>
        </is>
      </c>
      <c r="F703" s="5" t="inlineStr">
        <is>
          <t>TATIANE</t>
        </is>
      </c>
      <c r="G703" s="5" t="inlineStr">
        <is>
          <t>FM</t>
        </is>
      </c>
      <c r="H703" s="5" t="inlineStr">
        <is>
          <t>PANDURATA</t>
        </is>
      </c>
      <c r="I703" s="5" t="inlineStr">
        <is>
          <t>TON</t>
        </is>
      </c>
      <c r="J703" s="6" t="n">
        <v>28.054</v>
      </c>
      <c r="K703" s="6" t="n"/>
      <c r="L703" s="7">
        <f>IF(OR(D703="",N(J703)=0),"",MIN(1,N(K703)/J703))</f>
        <v/>
      </c>
      <c r="M703" s="5" t="inlineStr">
        <is>
          <t>FATURADO</t>
        </is>
      </c>
      <c r="N703" s="5" t="inlineStr">
        <is>
          <t>REALIZADO</t>
        </is>
      </c>
      <c r="O703" s="5" t="inlineStr">
        <is>
          <t>SPEEDYLOG</t>
        </is>
      </c>
      <c r="P703" s="5" t="n"/>
      <c r="Q703" s="5" t="n"/>
      <c r="R703" s="4" t="n"/>
      <c r="S703" s="4" t="n"/>
      <c r="T703" s="5" t="n"/>
      <c r="U703" s="8">
        <f>IF(AND(V703=1,D703&lt;&gt;""),IF(D703&gt;=corte,TODAY()-D703,""),"")</f>
        <v/>
      </c>
      <c r="V703" s="8">
        <f>IF(D703="",0,IF(OR(AND(P703&lt;&gt;"",S703=""),AND(N(J703)&gt;0,N(K703)&lt;J703),OR(M703="PENDENTE",M703="PARCIAL"),OR(N703="PENDENTE",N703="PARCIAL")),1,0))</f>
        <v/>
      </c>
      <c r="W703" s="8">
        <f>IF(AND(V703=1,D703&lt;&gt;""),IF(D703&gt;=corte,(B703="CRÍTICO")*1E9+(100000-D703)*10000+10000-ROW(),""),"")</f>
        <v/>
      </c>
      <c r="X703" s="8">
        <f>IF(AND(V703=1,D703=pas_data,E703=pas_turno),10000-ROW(),"")</f>
        <v/>
      </c>
    </row>
    <row r="704">
      <c r="A704" s="3">
        <f>IF(D704="","","TT-"&amp;TEXT(ROW()-1,"00000"))</f>
        <v/>
      </c>
      <c r="B704" s="3">
        <f>IF(D704="","",IF(V704=0,"CONCLUÍDO",IF(D704&lt;corte,"HISTÓRICO",IF(OR(AND(ISNUMBER(R704),R704&lt;TODAY()),AND(OR(N704="PENDENTE",N704="PARCIAL"),D704&lt;TODAY()-1)),"CRÍTICO",IF(OR(AND(P704&lt;&gt;"",S704=""),AND(N704="REALIZADO",M704="PENDENTE"),AND(ISNUMBER(R704),R704=TODAY())),"ATENÇÃO",IF(N(K704)=0,"PENDENTE","EM ANDAMENTO"))))))</f>
        <v/>
      </c>
      <c r="C704" s="3">
        <f>IF(D704="","",IF(V704=0,"🟢 OK",IF(D704&lt;corte,"⚪ HISTÓRICO (sem baixa)",IF(AND(ISNUMBER(R704),R704&lt;TODAY()),"🔴 PRAZO VENCIDO",IF(AND(OR(N704="PENDENTE",N704="PARCIAL"),D704&lt;TODAY()-1),"🔴 EMBARQUE ATRASADO",IF(AND(N704="REALIZADO",M704="PENDENTE"),"🟡 EMBARCADO SEM FATURAR",IF(AND(P704&lt;&gt;"",S704="",OR(Q704="",R704="")),"🟡 PENDÊNCIA SEM RESPONSÁVEL/PRAZO",IF(AND(ISNUMBER(R704),R704=TODAY()),"🟡 VENCE HOJE",IF(AND(P704&lt;&gt;"",S704=""),"🟡 PENDÊNCIA ABERTA",IF(AND(N(J704)&gt;0,N(K704)&lt;J704),"🟡 FALTA EXECUTAR",IF(OR(M704="PENDENTE",M704="PARCIAL"),"🟡 FATURAMENTO PENDENTE","🟡 EMBARQUE PENDENTE")))))))))))</f>
        <v/>
      </c>
      <c r="D704" s="4" t="n">
        <v>46276</v>
      </c>
      <c r="E704" s="5" t="inlineStr">
        <is>
          <t>A</t>
        </is>
      </c>
      <c r="F704" s="5" t="inlineStr">
        <is>
          <t>TATIANE</t>
        </is>
      </c>
      <c r="G704" s="5" t="inlineStr">
        <is>
          <t>CACAU</t>
        </is>
      </c>
      <c r="H704" s="5" t="inlineStr">
        <is>
          <t>SEPARAÇÃO</t>
        </is>
      </c>
      <c r="I704" s="5" t="inlineStr">
        <is>
          <t>TON</t>
        </is>
      </c>
      <c r="J704" s="6" t="n">
        <v>12.672</v>
      </c>
      <c r="K704" s="6" t="n">
        <v>12.672</v>
      </c>
      <c r="L704" s="7">
        <f>IF(OR(D704="",N(J704)=0),"",MIN(1,N(K704)/J704))</f>
        <v/>
      </c>
      <c r="M704" s="5" t="inlineStr">
        <is>
          <t>PARCIAL</t>
        </is>
      </c>
      <c r="N704" s="5" t="inlineStr">
        <is>
          <t>PENDENTE</t>
        </is>
      </c>
      <c r="O704" s="5" t="inlineStr">
        <is>
          <t>SMARTLOG</t>
        </is>
      </c>
      <c r="P704" s="5" t="inlineStr">
        <is>
          <t>FALTA FATURAR CLIENTE INP - PRIORIDADE - CONFERIR E FATURAR</t>
        </is>
      </c>
      <c r="Q704" s="5" t="n"/>
      <c r="R704" s="4" t="n"/>
      <c r="S704" s="4" t="n"/>
      <c r="T704" s="5" t="inlineStr">
        <is>
          <t>FALTA FATURAR CLIENTE INP - PRIORIDADE - CONFERIR E FATURAR</t>
        </is>
      </c>
      <c r="U704" s="8">
        <f>IF(AND(V704=1,D704&lt;&gt;""),IF(D704&gt;=corte,TODAY()-D704,""),"")</f>
        <v/>
      </c>
      <c r="V704" s="8">
        <f>IF(D704="",0,IF(OR(AND(P704&lt;&gt;"",S704=""),AND(N(J704)&gt;0,N(K704)&lt;J704),OR(M704="PENDENTE",M704="PARCIAL"),OR(N704="PENDENTE",N704="PARCIAL")),1,0))</f>
        <v/>
      </c>
      <c r="W704" s="8">
        <f>IF(AND(V704=1,D704&lt;&gt;""),IF(D704&gt;=corte,(B704="CRÍTICO")*1E9+(100000-D704)*10000+10000-ROW(),""),"")</f>
        <v/>
      </c>
      <c r="X704" s="8">
        <f>IF(AND(V704=1,D704=pas_data,E704=pas_turno),10000-ROW(),"")</f>
        <v/>
      </c>
    </row>
    <row r="705">
      <c r="A705" s="3">
        <f>IF(D705="","","TT-"&amp;TEXT(ROW()-1,"00000"))</f>
        <v/>
      </c>
      <c r="B705" s="3">
        <f>IF(D705="","",IF(V705=0,"CONCLUÍDO",IF(D705&lt;corte,"HISTÓRICO",IF(OR(AND(ISNUMBER(R705),R705&lt;TODAY()),AND(OR(N705="PENDENTE",N705="PARCIAL"),D705&lt;TODAY()-1)),"CRÍTICO",IF(OR(AND(P705&lt;&gt;"",S705=""),AND(N705="REALIZADO",M705="PENDENTE"),AND(ISNUMBER(R705),R705=TODAY())),"ATENÇÃO",IF(N(K705)=0,"PENDENTE","EM ANDAMENTO"))))))</f>
        <v/>
      </c>
      <c r="C705" s="3">
        <f>IF(D705="","",IF(V705=0,"🟢 OK",IF(D705&lt;corte,"⚪ HISTÓRICO (sem baixa)",IF(AND(ISNUMBER(R705),R705&lt;TODAY()),"🔴 PRAZO VENCIDO",IF(AND(OR(N705="PENDENTE",N705="PARCIAL"),D705&lt;TODAY()-1),"🔴 EMBARQUE ATRASADO",IF(AND(N705="REALIZADO",M705="PENDENTE"),"🟡 EMBARCADO SEM FATURAR",IF(AND(P705&lt;&gt;"",S705="",OR(Q705="",R705="")),"🟡 PENDÊNCIA SEM RESPONSÁVEL/PRAZO",IF(AND(ISNUMBER(R705),R705=TODAY()),"🟡 VENCE HOJE",IF(AND(P705&lt;&gt;"",S705=""),"🟡 PENDÊNCIA ABERTA",IF(AND(N(J705)&gt;0,N(K705)&lt;J705),"🟡 FALTA EXECUTAR",IF(OR(M705="PENDENTE",M705="PARCIAL"),"🟡 FATURAMENTO PENDENTE","🟡 EMBARQUE PENDENTE")))))))))))</f>
        <v/>
      </c>
      <c r="D705" s="4" t="n">
        <v>46276</v>
      </c>
      <c r="E705" s="5" t="inlineStr">
        <is>
          <t>A</t>
        </is>
      </c>
      <c r="F705" s="5" t="inlineStr">
        <is>
          <t>TATIANE</t>
        </is>
      </c>
      <c r="G705" s="5" t="inlineStr">
        <is>
          <t>FLOOR</t>
        </is>
      </c>
      <c r="H705" s="5" t="inlineStr">
        <is>
          <t>FABRICA</t>
        </is>
      </c>
      <c r="I705" s="5" t="inlineStr">
        <is>
          <t>PALETE</t>
        </is>
      </c>
      <c r="J705" s="6" t="n">
        <v>85</v>
      </c>
      <c r="K705" s="6" t="n">
        <v>75</v>
      </c>
      <c r="L705" s="7">
        <f>IF(OR(D705="",N(J705)=0),"",MIN(1,N(K705)/J705))</f>
        <v/>
      </c>
      <c r="M705" s="5" t="n"/>
      <c r="N705" s="5" t="n"/>
      <c r="O705" s="5" t="n"/>
      <c r="P705" s="5" t="n"/>
      <c r="Q705" s="5" t="n"/>
      <c r="R705" s="4" t="n"/>
      <c r="S705" s="4" t="n"/>
      <c r="T705" s="5" t="n"/>
      <c r="U705" s="8">
        <f>IF(AND(V705=1,D705&lt;&gt;""),IF(D705&gt;=corte,TODAY()-D705,""),"")</f>
        <v/>
      </c>
      <c r="V705" s="8">
        <f>IF(D705="",0,IF(OR(AND(P705&lt;&gt;"",S705=""),AND(N(J705)&gt;0,N(K705)&lt;J705),OR(M705="PENDENTE",M705="PARCIAL"),OR(N705="PENDENTE",N705="PARCIAL")),1,0))</f>
        <v/>
      </c>
      <c r="W705" s="8">
        <f>IF(AND(V705=1,D705&lt;&gt;""),IF(D705&gt;=corte,(B705="CRÍTICO")*1E9+(100000-D705)*10000+10000-ROW(),""),"")</f>
        <v/>
      </c>
      <c r="X705" s="8">
        <f>IF(AND(V705=1,D705=pas_data,E705=pas_turno),10000-ROW(),"")</f>
        <v/>
      </c>
    </row>
    <row r="706">
      <c r="A706" s="3">
        <f>IF(D706="","","TT-"&amp;TEXT(ROW()-1,"00000"))</f>
        <v/>
      </c>
      <c r="B706" s="3">
        <f>IF(D706="","",IF(V706=0,"CONCLUÍDO",IF(D706&lt;corte,"HISTÓRICO",IF(OR(AND(ISNUMBER(R706),R706&lt;TODAY()),AND(OR(N706="PENDENTE",N706="PARCIAL"),D706&lt;TODAY()-1)),"CRÍTICO",IF(OR(AND(P706&lt;&gt;"",S706=""),AND(N706="REALIZADO",M706="PENDENTE"),AND(ISNUMBER(R706),R706=TODAY())),"ATENÇÃO",IF(N(K706)=0,"PENDENTE","EM ANDAMENTO"))))))</f>
        <v/>
      </c>
      <c r="C706" s="3">
        <f>IF(D706="","",IF(V706=0,"🟢 OK",IF(D706&lt;corte,"⚪ HISTÓRICO (sem baixa)",IF(AND(ISNUMBER(R706),R706&lt;TODAY()),"🔴 PRAZO VENCIDO",IF(AND(OR(N706="PENDENTE",N706="PARCIAL"),D706&lt;TODAY()-1),"🔴 EMBARQUE ATRASADO",IF(AND(N706="REALIZADO",M706="PENDENTE"),"🟡 EMBARCADO SEM FATURAR",IF(AND(P706&lt;&gt;"",S706="",OR(Q706="",R706="")),"🟡 PENDÊNCIA SEM RESPONSÁVEL/PRAZO",IF(AND(ISNUMBER(R706),R706=TODAY()),"🟡 VENCE HOJE",IF(AND(P706&lt;&gt;"",S706=""),"🟡 PENDÊNCIA ABERTA",IF(AND(N(J706)&gt;0,N(K706)&lt;J706),"🟡 FALTA EXECUTAR",IF(OR(M706="PENDENTE",M706="PARCIAL"),"🟡 FATURAMENTO PENDENTE","🟡 EMBARQUE PENDENTE")))))))))))</f>
        <v/>
      </c>
      <c r="D706" s="4" t="n">
        <v>46276</v>
      </c>
      <c r="E706" s="5" t="inlineStr">
        <is>
          <t>B</t>
        </is>
      </c>
      <c r="F706" s="5" t="inlineStr">
        <is>
          <t>THIAGO</t>
        </is>
      </c>
      <c r="G706" s="5" t="inlineStr">
        <is>
          <t>FOB</t>
        </is>
      </c>
      <c r="H706" s="5" t="inlineStr">
        <is>
          <t>PRODUPAN/CUNHAPAN/CS PAN</t>
        </is>
      </c>
      <c r="I706" s="5" t="inlineStr">
        <is>
          <t>TON</t>
        </is>
      </c>
      <c r="J706" s="6" t="n">
        <v>9.108000000000001</v>
      </c>
      <c r="K706" s="6" t="n">
        <v>9.108000000000001</v>
      </c>
      <c r="L706" s="7">
        <f>IF(OR(D706="",N(J706)=0),"",MIN(1,N(K706)/J706))</f>
        <v/>
      </c>
      <c r="M706" s="5" t="n"/>
      <c r="N706" s="5" t="n"/>
      <c r="O706" s="5" t="n"/>
      <c r="P706" s="5" t="n"/>
      <c r="Q706" s="5" t="n"/>
      <c r="R706" s="4" t="n"/>
      <c r="S706" s="4" t="n"/>
      <c r="T706" s="5" t="n"/>
      <c r="U706" s="8">
        <f>IF(AND(V706=1,D706&lt;&gt;""),IF(D706&gt;=corte,TODAY()-D706,""),"")</f>
        <v/>
      </c>
      <c r="V706" s="8">
        <f>IF(D706="",0,IF(OR(AND(P706&lt;&gt;"",S706=""),AND(N(J706)&gt;0,N(K706)&lt;J706),OR(M706="PENDENTE",M706="PARCIAL"),OR(N706="PENDENTE",N706="PARCIAL")),1,0))</f>
        <v/>
      </c>
      <c r="W706" s="8">
        <f>IF(AND(V706=1,D706&lt;&gt;""),IF(D706&gt;=corte,(B706="CRÍTICO")*1E9+(100000-D706)*10000+10000-ROW(),""),"")</f>
        <v/>
      </c>
      <c r="X706" s="8">
        <f>IF(AND(V706=1,D706=pas_data,E706=pas_turno),10000-ROW(),"")</f>
        <v/>
      </c>
    </row>
    <row r="707">
      <c r="A707" s="3">
        <f>IF(D707="","","TT-"&amp;TEXT(ROW()-1,"00000"))</f>
        <v/>
      </c>
      <c r="B707" s="3">
        <f>IF(D707="","",IF(V707=0,"CONCLUÍDO",IF(D707&lt;corte,"HISTÓRICO",IF(OR(AND(ISNUMBER(R707),R707&lt;TODAY()),AND(OR(N707="PENDENTE",N707="PARCIAL"),D707&lt;TODAY()-1)),"CRÍTICO",IF(OR(AND(P707&lt;&gt;"",S707=""),AND(N707="REALIZADO",M707="PENDENTE"),AND(ISNUMBER(R707),R707=TODAY())),"ATENÇÃO",IF(N(K707)=0,"PENDENTE","EM ANDAMENTO"))))))</f>
        <v/>
      </c>
      <c r="C707" s="3">
        <f>IF(D707="","",IF(V707=0,"🟢 OK",IF(D707&lt;corte,"⚪ HISTÓRICO (sem baixa)",IF(AND(ISNUMBER(R707),R707&lt;TODAY()),"🔴 PRAZO VENCIDO",IF(AND(OR(N707="PENDENTE",N707="PARCIAL"),D707&lt;TODAY()-1),"🔴 EMBARQUE ATRASADO",IF(AND(N707="REALIZADO",M707="PENDENTE"),"🟡 EMBARCADO SEM FATURAR",IF(AND(P707&lt;&gt;"",S707="",OR(Q707="",R707="")),"🟡 PENDÊNCIA SEM RESPONSÁVEL/PRAZO",IF(AND(ISNUMBER(R707),R707=TODAY()),"🟡 VENCE HOJE",IF(AND(P707&lt;&gt;"",S707=""),"🟡 PENDÊNCIA ABERTA",IF(AND(N(J707)&gt;0,N(K707)&lt;J707),"🟡 FALTA EXECUTAR",IF(OR(M707="PENDENTE",M707="PARCIAL"),"🟡 FATURAMENTO PENDENTE","🟡 EMBARQUE PENDENTE")))))))))))</f>
        <v/>
      </c>
      <c r="D707" s="4" t="n">
        <v>46276</v>
      </c>
      <c r="E707" s="5" t="inlineStr">
        <is>
          <t>B</t>
        </is>
      </c>
      <c r="F707" s="5" t="inlineStr">
        <is>
          <t>THIAGO</t>
        </is>
      </c>
      <c r="G707" s="5" t="inlineStr">
        <is>
          <t>FLOOR</t>
        </is>
      </c>
      <c r="H707" s="5" t="inlineStr">
        <is>
          <t>ARMAZENAMENTO</t>
        </is>
      </c>
      <c r="I707" s="5" t="inlineStr">
        <is>
          <t>PALETE</t>
        </is>
      </c>
      <c r="J707" s="6" t="n">
        <v>198</v>
      </c>
      <c r="K707" s="6" t="n">
        <v>198</v>
      </c>
      <c r="L707" s="7">
        <f>IF(OR(D707="",N(J707)=0),"",MIN(1,N(K707)/J707))</f>
        <v/>
      </c>
      <c r="M707" s="5" t="n"/>
      <c r="N707" s="5" t="n"/>
      <c r="O707" s="5" t="n"/>
      <c r="P707" s="5" t="n"/>
      <c r="Q707" s="5" t="n"/>
      <c r="R707" s="4" t="n"/>
      <c r="S707" s="4" t="n"/>
      <c r="T707" s="5" t="inlineStr">
        <is>
          <t>[MIGRAÇÃO: programação original: FLOOR / CACAU]</t>
        </is>
      </c>
      <c r="U707" s="8">
        <f>IF(AND(V707=1,D707&lt;&gt;""),IF(D707&gt;=corte,TODAY()-D707,""),"")</f>
        <v/>
      </c>
      <c r="V707" s="8">
        <f>IF(D707="",0,IF(OR(AND(P707&lt;&gt;"",S707=""),AND(N(J707)&gt;0,N(K707)&lt;J707),OR(M707="PENDENTE",M707="PARCIAL"),OR(N707="PENDENTE",N707="PARCIAL")),1,0))</f>
        <v/>
      </c>
      <c r="W707" s="8">
        <f>IF(AND(V707=1,D707&lt;&gt;""),IF(D707&gt;=corte,(B707="CRÍTICO")*1E9+(100000-D707)*10000+10000-ROW(),""),"")</f>
        <v/>
      </c>
      <c r="X707" s="8">
        <f>IF(AND(V707=1,D707=pas_data,E707=pas_turno),10000-ROW(),"")</f>
        <v/>
      </c>
    </row>
    <row r="708">
      <c r="A708" s="3">
        <f>IF(D708="","","TT-"&amp;TEXT(ROW()-1,"00000"))</f>
        <v/>
      </c>
      <c r="B708" s="3">
        <f>IF(D708="","",IF(V708=0,"CONCLUÍDO",IF(D708&lt;corte,"HISTÓRICO",IF(OR(AND(ISNUMBER(R708),R708&lt;TODAY()),AND(OR(N708="PENDENTE",N708="PARCIAL"),D708&lt;TODAY()-1)),"CRÍTICO",IF(OR(AND(P708&lt;&gt;"",S708=""),AND(N708="REALIZADO",M708="PENDENTE"),AND(ISNUMBER(R708),R708=TODAY())),"ATENÇÃO",IF(N(K708)=0,"PENDENTE","EM ANDAMENTO"))))))</f>
        <v/>
      </c>
      <c r="C708" s="3">
        <f>IF(D708="","",IF(V708=0,"🟢 OK",IF(D708&lt;corte,"⚪ HISTÓRICO (sem baixa)",IF(AND(ISNUMBER(R708),R708&lt;TODAY()),"🔴 PRAZO VENCIDO",IF(AND(OR(N708="PENDENTE",N708="PARCIAL"),D708&lt;TODAY()-1),"🔴 EMBARQUE ATRASADO",IF(AND(N708="REALIZADO",M708="PENDENTE"),"🟡 EMBARCADO SEM FATURAR",IF(AND(P708&lt;&gt;"",S708="",OR(Q708="",R708="")),"🟡 PENDÊNCIA SEM RESPONSÁVEL/PRAZO",IF(AND(ISNUMBER(R708),R708=TODAY()),"🟡 VENCE HOJE",IF(AND(P708&lt;&gt;"",S708=""),"🟡 PENDÊNCIA ABERTA",IF(AND(N(J708)&gt;0,N(K708)&lt;J708),"🟡 FALTA EXECUTAR",IF(OR(M708="PENDENTE",M708="PARCIAL"),"🟡 FATURAMENTO PENDENTE","🟡 EMBARQUE PENDENTE")))))))))))</f>
        <v/>
      </c>
      <c r="D708" s="4" t="n">
        <v>46276</v>
      </c>
      <c r="E708" s="5" t="inlineStr">
        <is>
          <t>B</t>
        </is>
      </c>
      <c r="F708" s="5" t="inlineStr">
        <is>
          <t>THIAGO</t>
        </is>
      </c>
      <c r="G708" s="5" t="inlineStr">
        <is>
          <t>ABASTECIMENTO</t>
        </is>
      </c>
      <c r="H708" s="5" t="n"/>
      <c r="I708" s="5" t="inlineStr">
        <is>
          <t>PALETE</t>
        </is>
      </c>
      <c r="J708" s="6" t="n">
        <v>21</v>
      </c>
      <c r="K708" s="6" t="n">
        <v>21</v>
      </c>
      <c r="L708" s="7">
        <f>IF(OR(D708="",N(J708)=0),"",MIN(1,N(K708)/J708))</f>
        <v/>
      </c>
      <c r="M708" s="5" t="n"/>
      <c r="N708" s="5" t="n"/>
      <c r="O708" s="5" t="n"/>
      <c r="P708" s="5" t="n"/>
      <c r="Q708" s="5" t="n"/>
      <c r="R708" s="4" t="n"/>
      <c r="S708" s="4" t="n"/>
      <c r="T708" s="5" t="n"/>
      <c r="U708" s="8">
        <f>IF(AND(V708=1,D708&lt;&gt;""),IF(D708&gt;=corte,TODAY()-D708,""),"")</f>
        <v/>
      </c>
      <c r="V708" s="8">
        <f>IF(D708="",0,IF(OR(AND(P708&lt;&gt;"",S708=""),AND(N(J708)&gt;0,N(K708)&lt;J708),OR(M708="PENDENTE",M708="PARCIAL"),OR(N708="PENDENTE",N708="PARCIAL")),1,0))</f>
        <v/>
      </c>
      <c r="W708" s="8">
        <f>IF(AND(V708=1,D708&lt;&gt;""),IF(D708&gt;=corte,(B708="CRÍTICO")*1E9+(100000-D708)*10000+10000-ROW(),""),"")</f>
        <v/>
      </c>
      <c r="X708" s="8">
        <f>IF(AND(V708=1,D708=pas_data,E708=pas_turno),10000-ROW(),"")</f>
        <v/>
      </c>
    </row>
    <row r="709">
      <c r="A709" s="3">
        <f>IF(D709="","","TT-"&amp;TEXT(ROW()-1,"00000"))</f>
        <v/>
      </c>
      <c r="B709" s="3">
        <f>IF(D709="","",IF(V709=0,"CONCLUÍDO",IF(D709&lt;corte,"HISTÓRICO",IF(OR(AND(ISNUMBER(R709),R709&lt;TODAY()),AND(OR(N709="PENDENTE",N709="PARCIAL"),D709&lt;TODAY()-1)),"CRÍTICO",IF(OR(AND(P709&lt;&gt;"",S709=""),AND(N709="REALIZADO",M709="PENDENTE"),AND(ISNUMBER(R709),R709=TODAY())),"ATENÇÃO",IF(N(K709)=0,"PENDENTE","EM ANDAMENTO"))))))</f>
        <v/>
      </c>
      <c r="C709" s="3">
        <f>IF(D709="","",IF(V709=0,"🟢 OK",IF(D709&lt;corte,"⚪ HISTÓRICO (sem baixa)",IF(AND(ISNUMBER(R709),R709&lt;TODAY()),"🔴 PRAZO VENCIDO",IF(AND(OR(N709="PENDENTE",N709="PARCIAL"),D709&lt;TODAY()-1),"🔴 EMBARQUE ATRASADO",IF(AND(N709="REALIZADO",M709="PENDENTE"),"🟡 EMBARCADO SEM FATURAR",IF(AND(P709&lt;&gt;"",S709="",OR(Q709="",R709="")),"🟡 PENDÊNCIA SEM RESPONSÁVEL/PRAZO",IF(AND(ISNUMBER(R709),R709=TODAY()),"🟡 VENCE HOJE",IF(AND(P709&lt;&gt;"",S709=""),"🟡 PENDÊNCIA ABERTA",IF(AND(N(J709)&gt;0,N(K709)&lt;J709),"🟡 FALTA EXECUTAR",IF(OR(M709="PENDENTE",M709="PARCIAL"),"🟡 FATURAMENTO PENDENTE","🟡 EMBARQUE PENDENTE")))))))))))</f>
        <v/>
      </c>
      <c r="D709" s="4" t="n">
        <v>46276</v>
      </c>
      <c r="E709" s="5" t="inlineStr">
        <is>
          <t>B</t>
        </is>
      </c>
      <c r="F709" s="5" t="inlineStr">
        <is>
          <t>THIAGO</t>
        </is>
      </c>
      <c r="G709" s="5" t="inlineStr">
        <is>
          <t>GM</t>
        </is>
      </c>
      <c r="H709" s="5" t="inlineStr">
        <is>
          <t>SP</t>
        </is>
      </c>
      <c r="I709" s="5" t="inlineStr">
        <is>
          <t>TON</t>
        </is>
      </c>
      <c r="J709" s="6" t="n">
        <v>12.36</v>
      </c>
      <c r="K709" s="6" t="n">
        <v>12.36</v>
      </c>
      <c r="L709" s="7">
        <f>IF(OR(D709="",N(J709)=0),"",MIN(1,N(K709)/J709))</f>
        <v/>
      </c>
      <c r="M709" s="5" t="n"/>
      <c r="N709" s="5" t="n"/>
      <c r="O709" s="5" t="n"/>
      <c r="P709" s="5" t="n"/>
      <c r="Q709" s="5" t="n"/>
      <c r="R709" s="4" t="n"/>
      <c r="S709" s="4" t="n"/>
      <c r="T709" s="5" t="n"/>
      <c r="U709" s="8">
        <f>IF(AND(V709=1,D709&lt;&gt;""),IF(D709&gt;=corte,TODAY()-D709,""),"")</f>
        <v/>
      </c>
      <c r="V709" s="8">
        <f>IF(D709="",0,IF(OR(AND(P709&lt;&gt;"",S709=""),AND(N(J709)&gt;0,N(K709)&lt;J709),OR(M709="PENDENTE",M709="PARCIAL"),OR(N709="PENDENTE",N709="PARCIAL")),1,0))</f>
        <v/>
      </c>
      <c r="W709" s="8">
        <f>IF(AND(V709=1,D709&lt;&gt;""),IF(D709&gt;=corte,(B709="CRÍTICO")*1E9+(100000-D709)*10000+10000-ROW(),""),"")</f>
        <v/>
      </c>
      <c r="X709" s="8">
        <f>IF(AND(V709=1,D709=pas_data,E709=pas_turno),10000-ROW(),"")</f>
        <v/>
      </c>
    </row>
    <row r="710">
      <c r="A710" s="3">
        <f>IF(D710="","","TT-"&amp;TEXT(ROW()-1,"00000"))</f>
        <v/>
      </c>
      <c r="B710" s="3">
        <f>IF(D710="","",IF(V710=0,"CONCLUÍDO",IF(D710&lt;corte,"HISTÓRICO",IF(OR(AND(ISNUMBER(R710),R710&lt;TODAY()),AND(OR(N710="PENDENTE",N710="PARCIAL"),D710&lt;TODAY()-1)),"CRÍTICO",IF(OR(AND(P710&lt;&gt;"",S710=""),AND(N710="REALIZADO",M710="PENDENTE"),AND(ISNUMBER(R710),R710=TODAY())),"ATENÇÃO",IF(N(K710)=0,"PENDENTE","EM ANDAMENTO"))))))</f>
        <v/>
      </c>
      <c r="C710" s="3">
        <f>IF(D710="","",IF(V710=0,"🟢 OK",IF(D710&lt;corte,"⚪ HISTÓRICO (sem baixa)",IF(AND(ISNUMBER(R710),R710&lt;TODAY()),"🔴 PRAZO VENCIDO",IF(AND(OR(N710="PENDENTE",N710="PARCIAL"),D710&lt;TODAY()-1),"🔴 EMBARQUE ATRASADO",IF(AND(N710="REALIZADO",M710="PENDENTE"),"🟡 EMBARCADO SEM FATURAR",IF(AND(P710&lt;&gt;"",S710="",OR(Q710="",R710="")),"🟡 PENDÊNCIA SEM RESPONSÁVEL/PRAZO",IF(AND(ISNUMBER(R710),R710=TODAY()),"🟡 VENCE HOJE",IF(AND(P710&lt;&gt;"",S710=""),"🟡 PENDÊNCIA ABERTA",IF(AND(N(J710)&gt;0,N(K710)&lt;J710),"🟡 FALTA EXECUTAR",IF(OR(M710="PENDENTE",M710="PARCIAL"),"🟡 FATURAMENTO PENDENTE","🟡 EMBARQUE PENDENTE")))))))))))</f>
        <v/>
      </c>
      <c r="D710" s="4" t="n">
        <v>46277</v>
      </c>
      <c r="E710" s="5" t="inlineStr">
        <is>
          <t>C</t>
        </is>
      </c>
      <c r="F710" s="5" t="inlineStr">
        <is>
          <t>ADIB</t>
        </is>
      </c>
      <c r="G710" s="5" t="inlineStr">
        <is>
          <t>GRANEL</t>
        </is>
      </c>
      <c r="H710" s="5" t="inlineStr">
        <is>
          <t>FRONERI</t>
        </is>
      </c>
      <c r="I710" s="5" t="inlineStr">
        <is>
          <t>TON</t>
        </is>
      </c>
      <c r="J710" s="6" t="n">
        <v>14.35</v>
      </c>
      <c r="K710" s="6" t="n">
        <v>14.35</v>
      </c>
      <c r="L710" s="7">
        <f>IF(OR(D710="",N(J710)=0),"",MIN(1,N(K710)/J710))</f>
        <v/>
      </c>
      <c r="M710" s="5" t="inlineStr">
        <is>
          <t>FATURADO</t>
        </is>
      </c>
      <c r="N710" s="5" t="n"/>
      <c r="O710" s="5" t="inlineStr">
        <is>
          <t>JSL</t>
        </is>
      </c>
      <c r="P710" s="5" t="n"/>
      <c r="Q710" s="5" t="n"/>
      <c r="R710" s="4" t="n"/>
      <c r="S710" s="4" t="n"/>
      <c r="T710" s="5" t="inlineStr">
        <is>
          <t>FATURADO E LIBERADO</t>
        </is>
      </c>
      <c r="U710" s="8">
        <f>IF(AND(V710=1,D710&lt;&gt;""),IF(D710&gt;=corte,TODAY()-D710,""),"")</f>
        <v/>
      </c>
      <c r="V710" s="8">
        <f>IF(D710="",0,IF(OR(AND(P710&lt;&gt;"",S710=""),AND(N(J710)&gt;0,N(K710)&lt;J710),OR(M710="PENDENTE",M710="PARCIAL"),OR(N710="PENDENTE",N710="PARCIAL")),1,0))</f>
        <v/>
      </c>
      <c r="W710" s="8">
        <f>IF(AND(V710=1,D710&lt;&gt;""),IF(D710&gt;=corte,(B710="CRÍTICO")*1E9+(100000-D710)*10000+10000-ROW(),""),"")</f>
        <v/>
      </c>
      <c r="X710" s="8">
        <f>IF(AND(V710=1,D710=pas_data,E710=pas_turno),10000-ROW(),"")</f>
        <v/>
      </c>
    </row>
    <row r="711">
      <c r="A711" s="3">
        <f>IF(D711="","","TT-"&amp;TEXT(ROW()-1,"00000"))</f>
        <v/>
      </c>
      <c r="B711" s="3">
        <f>IF(D711="","",IF(V711=0,"CONCLUÍDO",IF(D711&lt;corte,"HISTÓRICO",IF(OR(AND(ISNUMBER(R711),R711&lt;TODAY()),AND(OR(N711="PENDENTE",N711="PARCIAL"),D711&lt;TODAY()-1)),"CRÍTICO",IF(OR(AND(P711&lt;&gt;"",S711=""),AND(N711="REALIZADO",M711="PENDENTE"),AND(ISNUMBER(R711),R711=TODAY())),"ATENÇÃO",IF(N(K711)=0,"PENDENTE","EM ANDAMENTO"))))))</f>
        <v/>
      </c>
      <c r="C711" s="3">
        <f>IF(D711="","",IF(V711=0,"🟢 OK",IF(D711&lt;corte,"⚪ HISTÓRICO (sem baixa)",IF(AND(ISNUMBER(R711),R711&lt;TODAY()),"🔴 PRAZO VENCIDO",IF(AND(OR(N711="PENDENTE",N711="PARCIAL"),D711&lt;TODAY()-1),"🔴 EMBARQUE ATRASADO",IF(AND(N711="REALIZADO",M711="PENDENTE"),"🟡 EMBARCADO SEM FATURAR",IF(AND(P711&lt;&gt;"",S711="",OR(Q711="",R711="")),"🟡 PENDÊNCIA SEM RESPONSÁVEL/PRAZO",IF(AND(ISNUMBER(R711),R711=TODAY()),"🟡 VENCE HOJE",IF(AND(P711&lt;&gt;"",S711=""),"🟡 PENDÊNCIA ABERTA",IF(AND(N(J711)&gt;0,N(K711)&lt;J711),"🟡 FALTA EXECUTAR",IF(OR(M711="PENDENTE",M711="PARCIAL"),"🟡 FATURAMENTO PENDENTE","🟡 EMBARQUE PENDENTE")))))))))))</f>
        <v/>
      </c>
      <c r="D711" s="4" t="n">
        <v>46277</v>
      </c>
      <c r="E711" s="5" t="inlineStr">
        <is>
          <t>C</t>
        </is>
      </c>
      <c r="F711" s="5" t="inlineStr">
        <is>
          <t>ADIB</t>
        </is>
      </c>
      <c r="G711" s="5" t="inlineStr">
        <is>
          <t>GM</t>
        </is>
      </c>
      <c r="H711" s="5" t="inlineStr">
        <is>
          <t>SMT001 INT</t>
        </is>
      </c>
      <c r="I711" s="5" t="inlineStr">
        <is>
          <t>TON</t>
        </is>
      </c>
      <c r="J711" s="6" t="n">
        <v>0.732</v>
      </c>
      <c r="K711" s="6" t="n">
        <v>0.732</v>
      </c>
      <c r="L711" s="7">
        <f>IF(OR(D711="",N(J711)=0),"",MIN(1,N(K711)/J711))</f>
        <v/>
      </c>
      <c r="M711" s="5" t="inlineStr">
        <is>
          <t>FATURADO</t>
        </is>
      </c>
      <c r="N711" s="5" t="inlineStr">
        <is>
          <t>PENDENTE</t>
        </is>
      </c>
      <c r="O711" s="5" t="inlineStr">
        <is>
          <t>SMARTLOG</t>
        </is>
      </c>
      <c r="P711" s="5" t="n"/>
      <c r="Q711" s="5" t="n"/>
      <c r="R711" s="4" t="n"/>
      <c r="S711" s="4" t="n"/>
      <c r="T711" s="5" t="n"/>
      <c r="U711" s="8">
        <f>IF(AND(V711=1,D711&lt;&gt;""),IF(D711&gt;=corte,TODAY()-D711,""),"")</f>
        <v/>
      </c>
      <c r="V711" s="8">
        <f>IF(D711="",0,IF(OR(AND(P711&lt;&gt;"",S711=""),AND(N(J711)&gt;0,N(K711)&lt;J711),OR(M711="PENDENTE",M711="PARCIAL"),OR(N711="PENDENTE",N711="PARCIAL")),1,0))</f>
        <v/>
      </c>
      <c r="W711" s="8">
        <f>IF(AND(V711=1,D711&lt;&gt;""),IF(D711&gt;=corte,(B711="CRÍTICO")*1E9+(100000-D711)*10000+10000-ROW(),""),"")</f>
        <v/>
      </c>
      <c r="X711" s="8">
        <f>IF(AND(V711=1,D711=pas_data,E711=pas_turno),10000-ROW(),"")</f>
        <v/>
      </c>
    </row>
    <row r="712">
      <c r="A712" s="3">
        <f>IF(D712="","","TT-"&amp;TEXT(ROW()-1,"00000"))</f>
        <v/>
      </c>
      <c r="B712" s="3">
        <f>IF(D712="","",IF(V712=0,"CONCLUÍDO",IF(D712&lt;corte,"HISTÓRICO",IF(OR(AND(ISNUMBER(R712),R712&lt;TODAY()),AND(OR(N712="PENDENTE",N712="PARCIAL"),D712&lt;TODAY()-1)),"CRÍTICO",IF(OR(AND(P712&lt;&gt;"",S712=""),AND(N712="REALIZADO",M712="PENDENTE"),AND(ISNUMBER(R712),R712=TODAY())),"ATENÇÃO",IF(N(K712)=0,"PENDENTE","EM ANDAMENTO"))))))</f>
        <v/>
      </c>
      <c r="C712" s="3">
        <f>IF(D712="","",IF(V712=0,"🟢 OK",IF(D712&lt;corte,"⚪ HISTÓRICO (sem baixa)",IF(AND(ISNUMBER(R712),R712&lt;TODAY()),"🔴 PRAZO VENCIDO",IF(AND(OR(N712="PENDENTE",N712="PARCIAL"),D712&lt;TODAY()-1),"🔴 EMBARQUE ATRASADO",IF(AND(N712="REALIZADO",M712="PENDENTE"),"🟡 EMBARCADO SEM FATURAR",IF(AND(P712&lt;&gt;"",S712="",OR(Q712="",R712="")),"🟡 PENDÊNCIA SEM RESPONSÁVEL/PRAZO",IF(AND(ISNUMBER(R712),R712=TODAY()),"🟡 VENCE HOJE",IF(AND(P712&lt;&gt;"",S712=""),"🟡 PENDÊNCIA ABERTA",IF(AND(N(J712)&gt;0,N(K712)&lt;J712),"🟡 FALTA EXECUTAR",IF(OR(M712="PENDENTE",M712="PARCIAL"),"🟡 FATURAMENTO PENDENTE","🟡 EMBARQUE PENDENTE")))))))))))</f>
        <v/>
      </c>
      <c r="D712" s="4" t="n">
        <v>46277</v>
      </c>
      <c r="E712" s="5" t="inlineStr">
        <is>
          <t>C</t>
        </is>
      </c>
      <c r="F712" s="5" t="inlineStr">
        <is>
          <t>ADIB</t>
        </is>
      </c>
      <c r="G712" s="5" t="inlineStr">
        <is>
          <t>GM</t>
        </is>
      </c>
      <c r="H712" s="5" t="inlineStr">
        <is>
          <t>SMT004 INT</t>
        </is>
      </c>
      <c r="I712" s="5" t="inlineStr">
        <is>
          <t>TON</t>
        </is>
      </c>
      <c r="J712" s="6" t="n">
        <v>2.823</v>
      </c>
      <c r="K712" s="6" t="n">
        <v>2.823</v>
      </c>
      <c r="L712" s="7">
        <f>IF(OR(D712="",N(J712)=0),"",MIN(1,N(K712)/J712))</f>
        <v/>
      </c>
      <c r="M712" s="5" t="inlineStr">
        <is>
          <t>FATURADO</t>
        </is>
      </c>
      <c r="N712" s="5" t="inlineStr">
        <is>
          <t>PENDENTE</t>
        </is>
      </c>
      <c r="O712" s="5" t="inlineStr">
        <is>
          <t>SMARTLOG</t>
        </is>
      </c>
      <c r="P712" s="5" t="n"/>
      <c r="Q712" s="5" t="n"/>
      <c r="R712" s="4" t="n"/>
      <c r="S712" s="4" t="n"/>
      <c r="T712" s="5" t="n"/>
      <c r="U712" s="8">
        <f>IF(AND(V712=1,D712&lt;&gt;""),IF(D712&gt;=corte,TODAY()-D712,""),"")</f>
        <v/>
      </c>
      <c r="V712" s="8">
        <f>IF(D712="",0,IF(OR(AND(P712&lt;&gt;"",S712=""),AND(N(J712)&gt;0,N(K712)&lt;J712),OR(M712="PENDENTE",M712="PARCIAL"),OR(N712="PENDENTE",N712="PARCIAL")),1,0))</f>
        <v/>
      </c>
      <c r="W712" s="8">
        <f>IF(AND(V712=1,D712&lt;&gt;""),IF(D712&gt;=corte,(B712="CRÍTICO")*1E9+(100000-D712)*10000+10000-ROW(),""),"")</f>
        <v/>
      </c>
      <c r="X712" s="8">
        <f>IF(AND(V712=1,D712=pas_data,E712=pas_turno),10000-ROW(),"")</f>
        <v/>
      </c>
    </row>
    <row r="713">
      <c r="A713" s="3">
        <f>IF(D713="","","TT-"&amp;TEXT(ROW()-1,"00000"))</f>
        <v/>
      </c>
      <c r="B713" s="3">
        <f>IF(D713="","",IF(V713=0,"CONCLUÍDO",IF(D713&lt;corte,"HISTÓRICO",IF(OR(AND(ISNUMBER(R713),R713&lt;TODAY()),AND(OR(N713="PENDENTE",N713="PARCIAL"),D713&lt;TODAY()-1)),"CRÍTICO",IF(OR(AND(P713&lt;&gt;"",S713=""),AND(N713="REALIZADO",M713="PENDENTE"),AND(ISNUMBER(R713),R713=TODAY())),"ATENÇÃO",IF(N(K713)=0,"PENDENTE","EM ANDAMENTO"))))))</f>
        <v/>
      </c>
      <c r="C713" s="3">
        <f>IF(D713="","",IF(V713=0,"🟢 OK",IF(D713&lt;corte,"⚪ HISTÓRICO (sem baixa)",IF(AND(ISNUMBER(R713),R713&lt;TODAY()),"🔴 PRAZO VENCIDO",IF(AND(OR(N713="PENDENTE",N713="PARCIAL"),D713&lt;TODAY()-1),"🔴 EMBARQUE ATRASADO",IF(AND(N713="REALIZADO",M713="PENDENTE"),"🟡 EMBARCADO SEM FATURAR",IF(AND(P713&lt;&gt;"",S713="",OR(Q713="",R713="")),"🟡 PENDÊNCIA SEM RESPONSÁVEL/PRAZO",IF(AND(ISNUMBER(R713),R713=TODAY()),"🟡 VENCE HOJE",IF(AND(P713&lt;&gt;"",S713=""),"🟡 PENDÊNCIA ABERTA",IF(AND(N(J713)&gt;0,N(K713)&lt;J713),"🟡 FALTA EXECUTAR",IF(OR(M713="PENDENTE",M713="PARCIAL"),"🟡 FATURAMENTO PENDENTE","🟡 EMBARQUE PENDENTE")))))))))))</f>
        <v/>
      </c>
      <c r="D713" s="4" t="n">
        <v>46277</v>
      </c>
      <c r="E713" s="5" t="inlineStr">
        <is>
          <t>C</t>
        </is>
      </c>
      <c r="F713" s="5" t="inlineStr">
        <is>
          <t>ADIB</t>
        </is>
      </c>
      <c r="G713" s="5" t="inlineStr">
        <is>
          <t>GM</t>
        </is>
      </c>
      <c r="H713" s="5" t="inlineStr">
        <is>
          <t>AGENDADAS 15/09</t>
        </is>
      </c>
      <c r="I713" s="5" t="inlineStr">
        <is>
          <t>TON</t>
        </is>
      </c>
      <c r="J713" s="6" t="n">
        <v>14.277</v>
      </c>
      <c r="K713" s="6" t="n">
        <v>14.277</v>
      </c>
      <c r="L713" s="7">
        <f>IF(OR(D713="",N(J713)=0),"",MIN(1,N(K713)/J713))</f>
        <v/>
      </c>
      <c r="M713" s="5" t="inlineStr">
        <is>
          <t>PENDENTE</t>
        </is>
      </c>
      <c r="N713" s="5" t="inlineStr">
        <is>
          <t>PENDENTE</t>
        </is>
      </c>
      <c r="O713" s="5" t="inlineStr">
        <is>
          <t>SMARTLOG</t>
        </is>
      </c>
      <c r="P713" s="5" t="inlineStr">
        <is>
          <t>FATURAR DIA 15/09</t>
        </is>
      </c>
      <c r="Q713" s="5" t="n"/>
      <c r="R713" s="4" t="n"/>
      <c r="S713" s="4" t="n"/>
      <c r="T713" s="5" t="inlineStr">
        <is>
          <t>FATURAR DIA 15/09</t>
        </is>
      </c>
      <c r="U713" s="8">
        <f>IF(AND(V713=1,D713&lt;&gt;""),IF(D713&gt;=corte,TODAY()-D713,""),"")</f>
        <v/>
      </c>
      <c r="V713" s="8">
        <f>IF(D713="",0,IF(OR(AND(P713&lt;&gt;"",S713=""),AND(N(J713)&gt;0,N(K713)&lt;J713),OR(M713="PENDENTE",M713="PARCIAL"),OR(N713="PENDENTE",N713="PARCIAL")),1,0))</f>
        <v/>
      </c>
      <c r="W713" s="8">
        <f>IF(AND(V713=1,D713&lt;&gt;""),IF(D713&gt;=corte,(B713="CRÍTICO")*1E9+(100000-D713)*10000+10000-ROW(),""),"")</f>
        <v/>
      </c>
      <c r="X713" s="8">
        <f>IF(AND(V713=1,D713=pas_data,E713=pas_turno),10000-ROW(),"")</f>
        <v/>
      </c>
    </row>
    <row r="714">
      <c r="A714" s="3">
        <f>IF(D714="","","TT-"&amp;TEXT(ROW()-1,"00000"))</f>
        <v/>
      </c>
      <c r="B714" s="3">
        <f>IF(D714="","",IF(V714=0,"CONCLUÍDO",IF(D714&lt;corte,"HISTÓRICO",IF(OR(AND(ISNUMBER(R714),R714&lt;TODAY()),AND(OR(N714="PENDENTE",N714="PARCIAL"),D714&lt;TODAY()-1)),"CRÍTICO",IF(OR(AND(P714&lt;&gt;"",S714=""),AND(N714="REALIZADO",M714="PENDENTE"),AND(ISNUMBER(R714),R714=TODAY())),"ATENÇÃO",IF(N(K714)=0,"PENDENTE","EM ANDAMENTO"))))))</f>
        <v/>
      </c>
      <c r="C714" s="3">
        <f>IF(D714="","",IF(V714=0,"🟢 OK",IF(D714&lt;corte,"⚪ HISTÓRICO (sem baixa)",IF(AND(ISNUMBER(R714),R714&lt;TODAY()),"🔴 PRAZO VENCIDO",IF(AND(OR(N714="PENDENTE",N714="PARCIAL"),D714&lt;TODAY()-1),"🔴 EMBARQUE ATRASADO",IF(AND(N714="REALIZADO",M714="PENDENTE"),"🟡 EMBARCADO SEM FATURAR",IF(AND(P714&lt;&gt;"",S714="",OR(Q714="",R714="")),"🟡 PENDÊNCIA SEM RESPONSÁVEL/PRAZO",IF(AND(ISNUMBER(R714),R714=TODAY()),"🟡 VENCE HOJE",IF(AND(P714&lt;&gt;"",S714=""),"🟡 PENDÊNCIA ABERTA",IF(AND(N(J714)&gt;0,N(K714)&lt;J714),"🟡 FALTA EXECUTAR",IF(OR(M714="PENDENTE",M714="PARCIAL"),"🟡 FATURAMENTO PENDENTE","🟡 EMBARQUE PENDENTE")))))))))))</f>
        <v/>
      </c>
      <c r="D714" s="4" t="n">
        <v>46277</v>
      </c>
      <c r="E714" s="5" t="inlineStr">
        <is>
          <t>C</t>
        </is>
      </c>
      <c r="F714" s="5" t="inlineStr">
        <is>
          <t>ADIB</t>
        </is>
      </c>
      <c r="G714" s="5" t="inlineStr">
        <is>
          <t>FM</t>
        </is>
      </c>
      <c r="H714" s="5" t="inlineStr">
        <is>
          <t>NESTLÉ</t>
        </is>
      </c>
      <c r="I714" s="5" t="inlineStr">
        <is>
          <t>TON</t>
        </is>
      </c>
      <c r="J714" s="6" t="n">
        <v>10.79</v>
      </c>
      <c r="K714" s="6" t="n">
        <v>10.79</v>
      </c>
      <c r="L714" s="7">
        <f>IF(OR(D714="",N(J714)=0),"",MIN(1,N(K714)/J714))</f>
        <v/>
      </c>
      <c r="M714" s="5" t="inlineStr">
        <is>
          <t>PENDENTE</t>
        </is>
      </c>
      <c r="N714" s="5" t="inlineStr">
        <is>
          <t>PENDENTE</t>
        </is>
      </c>
      <c r="O714" s="5" t="inlineStr">
        <is>
          <t>SPEEDYLOG</t>
        </is>
      </c>
      <c r="P714" s="5" t="inlineStr">
        <is>
          <t>FATURAR DIA 14/09</t>
        </is>
      </c>
      <c r="Q714" s="5" t="n"/>
      <c r="R714" s="4" t="n"/>
      <c r="S714" s="4" t="n"/>
      <c r="T714" s="5" t="inlineStr">
        <is>
          <t>FATURAR DIA 14/09</t>
        </is>
      </c>
      <c r="U714" s="8">
        <f>IF(AND(V714=1,D714&lt;&gt;""),IF(D714&gt;=corte,TODAY()-D714,""),"")</f>
        <v/>
      </c>
      <c r="V714" s="8">
        <f>IF(D714="",0,IF(OR(AND(P714&lt;&gt;"",S714=""),AND(N(J714)&gt;0,N(K714)&lt;J714),OR(M714="PENDENTE",M714="PARCIAL"),OR(N714="PENDENTE",N714="PARCIAL")),1,0))</f>
        <v/>
      </c>
      <c r="W714" s="8">
        <f>IF(AND(V714=1,D714&lt;&gt;""),IF(D714&gt;=corte,(B714="CRÍTICO")*1E9+(100000-D714)*10000+10000-ROW(),""),"")</f>
        <v/>
      </c>
      <c r="X714" s="8">
        <f>IF(AND(V714=1,D714=pas_data,E714=pas_turno),10000-ROW(),"")</f>
        <v/>
      </c>
    </row>
    <row r="715">
      <c r="A715" s="3">
        <f>IF(D715="","","TT-"&amp;TEXT(ROW()-1,"00000"))</f>
        <v/>
      </c>
      <c r="B715" s="3">
        <f>IF(D715="","",IF(V715=0,"CONCLUÍDO",IF(D715&lt;corte,"HISTÓRICO",IF(OR(AND(ISNUMBER(R715),R715&lt;TODAY()),AND(OR(N715="PENDENTE",N715="PARCIAL"),D715&lt;TODAY()-1)),"CRÍTICO",IF(OR(AND(P715&lt;&gt;"",S715=""),AND(N715="REALIZADO",M715="PENDENTE"),AND(ISNUMBER(R715),R715=TODAY())),"ATENÇÃO",IF(N(K715)=0,"PENDENTE","EM ANDAMENTO"))))))</f>
        <v/>
      </c>
      <c r="C715" s="3">
        <f>IF(D715="","",IF(V715=0,"🟢 OK",IF(D715&lt;corte,"⚪ HISTÓRICO (sem baixa)",IF(AND(ISNUMBER(R715),R715&lt;TODAY()),"🔴 PRAZO VENCIDO",IF(AND(OR(N715="PENDENTE",N715="PARCIAL"),D715&lt;TODAY()-1),"🔴 EMBARQUE ATRASADO",IF(AND(N715="REALIZADO",M715="PENDENTE"),"🟡 EMBARCADO SEM FATURAR",IF(AND(P715&lt;&gt;"",S715="",OR(Q715="",R715="")),"🟡 PENDÊNCIA SEM RESPONSÁVEL/PRAZO",IF(AND(ISNUMBER(R715),R715=TODAY()),"🟡 VENCE HOJE",IF(AND(P715&lt;&gt;"",S715=""),"🟡 PENDÊNCIA ABERTA",IF(AND(N(J715)&gt;0,N(K715)&lt;J715),"🟡 FALTA EXECUTAR",IF(OR(M715="PENDENTE",M715="PARCIAL"),"🟡 FATURAMENTO PENDENTE","🟡 EMBARQUE PENDENTE")))))))))))</f>
        <v/>
      </c>
      <c r="D715" s="4" t="n">
        <v>46277</v>
      </c>
      <c r="E715" s="5" t="inlineStr">
        <is>
          <t>C</t>
        </is>
      </c>
      <c r="F715" s="5" t="inlineStr">
        <is>
          <t>ADIB</t>
        </is>
      </c>
      <c r="G715" s="5" t="inlineStr">
        <is>
          <t>GM</t>
        </is>
      </c>
      <c r="H715" s="5" t="inlineStr">
        <is>
          <t>AGENDADAS 16/09</t>
        </is>
      </c>
      <c r="I715" s="5" t="inlineStr">
        <is>
          <t>TON</t>
        </is>
      </c>
      <c r="J715" s="6" t="n">
        <v>4.135</v>
      </c>
      <c r="K715" s="6" t="n">
        <v>4.135</v>
      </c>
      <c r="L715" s="7">
        <f>IF(OR(D715="",N(J715)=0),"",MIN(1,N(K715)/J715))</f>
        <v/>
      </c>
      <c r="M715" s="5" t="inlineStr">
        <is>
          <t>PENDENTE</t>
        </is>
      </c>
      <c r="N715" s="5" t="inlineStr">
        <is>
          <t>PENDENTE</t>
        </is>
      </c>
      <c r="O715" s="5" t="inlineStr">
        <is>
          <t>SMARTLOG</t>
        </is>
      </c>
      <c r="P715" s="5" t="inlineStr">
        <is>
          <t>FATURAR DIA 16/09</t>
        </is>
      </c>
      <c r="Q715" s="5" t="n"/>
      <c r="R715" s="4" t="n"/>
      <c r="S715" s="4" t="n"/>
      <c r="T715" s="5" t="inlineStr">
        <is>
          <t>FATURAR DIA 16/09</t>
        </is>
      </c>
      <c r="U715" s="8">
        <f>IF(AND(V715=1,D715&lt;&gt;""),IF(D715&gt;=corte,TODAY()-D715,""),"")</f>
        <v/>
      </c>
      <c r="V715" s="8">
        <f>IF(D715="",0,IF(OR(AND(P715&lt;&gt;"",S715=""),AND(N(J715)&gt;0,N(K715)&lt;J715),OR(M715="PENDENTE",M715="PARCIAL"),OR(N715="PENDENTE",N715="PARCIAL")),1,0))</f>
        <v/>
      </c>
      <c r="W715" s="8">
        <f>IF(AND(V715=1,D715&lt;&gt;""),IF(D715&gt;=corte,(B715="CRÍTICO")*1E9+(100000-D715)*10000+10000-ROW(),""),"")</f>
        <v/>
      </c>
      <c r="X715" s="8">
        <f>IF(AND(V715=1,D715=pas_data,E715=pas_turno),10000-ROW(),"")</f>
        <v/>
      </c>
    </row>
    <row r="716">
      <c r="A716" s="3">
        <f>IF(D716="","","TT-"&amp;TEXT(ROW()-1,"00000"))</f>
        <v/>
      </c>
      <c r="B716" s="3">
        <f>IF(D716="","",IF(V716=0,"CONCLUÍDO",IF(D716&lt;corte,"HISTÓRICO",IF(OR(AND(ISNUMBER(R716),R716&lt;TODAY()),AND(OR(N716="PENDENTE",N716="PARCIAL"),D716&lt;TODAY()-1)),"CRÍTICO",IF(OR(AND(P716&lt;&gt;"",S716=""),AND(N716="REALIZADO",M716="PENDENTE"),AND(ISNUMBER(R716),R716=TODAY())),"ATENÇÃO",IF(N(K716)=0,"PENDENTE","EM ANDAMENTO"))))))</f>
        <v/>
      </c>
      <c r="C716" s="3">
        <f>IF(D716="","",IF(V716=0,"🟢 OK",IF(D716&lt;corte,"⚪ HISTÓRICO (sem baixa)",IF(AND(ISNUMBER(R716),R716&lt;TODAY()),"🔴 PRAZO VENCIDO",IF(AND(OR(N716="PENDENTE",N716="PARCIAL"),D716&lt;TODAY()-1),"🔴 EMBARQUE ATRASADO",IF(AND(N716="REALIZADO",M716="PENDENTE"),"🟡 EMBARCADO SEM FATURAR",IF(AND(P716&lt;&gt;"",S716="",OR(Q716="",R716="")),"🟡 PENDÊNCIA SEM RESPONSÁVEL/PRAZO",IF(AND(ISNUMBER(R716),R716=TODAY()),"🟡 VENCE HOJE",IF(AND(P716&lt;&gt;"",S716=""),"🟡 PENDÊNCIA ABERTA",IF(AND(N(J716)&gt;0,N(K716)&lt;J716),"🟡 FALTA EXECUTAR",IF(OR(M716="PENDENTE",M716="PARCIAL"),"🟡 FATURAMENTO PENDENTE","🟡 EMBARQUE PENDENTE")))))))))))</f>
        <v/>
      </c>
      <c r="D716" s="4" t="n">
        <v>46277</v>
      </c>
      <c r="E716" s="5" t="inlineStr">
        <is>
          <t>C</t>
        </is>
      </c>
      <c r="F716" s="5" t="inlineStr">
        <is>
          <t>ADIB</t>
        </is>
      </c>
      <c r="G716" s="5" t="inlineStr">
        <is>
          <t>CACAU</t>
        </is>
      </c>
      <c r="H716" s="5" t="inlineStr">
        <is>
          <t>RECEBIMENTO CACAU</t>
        </is>
      </c>
      <c r="I716" s="5" t="inlineStr">
        <is>
          <t>PALETE</t>
        </is>
      </c>
      <c r="J716" s="6" t="n">
        <v>24</v>
      </c>
      <c r="K716" s="6" t="n">
        <v>24</v>
      </c>
      <c r="L716" s="7">
        <f>IF(OR(D716="",N(J716)=0),"",MIN(1,N(K716)/J716))</f>
        <v/>
      </c>
      <c r="M716" s="5" t="n"/>
      <c r="N716" s="5" t="n"/>
      <c r="O716" s="5" t="inlineStr">
        <is>
          <t>TIO CARLO</t>
        </is>
      </c>
      <c r="P716" s="5" t="n"/>
      <c r="Q716" s="5" t="n"/>
      <c r="R716" s="4" t="n"/>
      <c r="S716" s="4" t="n"/>
      <c r="T716" s="5" t="inlineStr">
        <is>
          <t>CARGA RECEBIDA E ARMAZENADA</t>
        </is>
      </c>
      <c r="U716" s="8">
        <f>IF(AND(V716=1,D716&lt;&gt;""),IF(D716&gt;=corte,TODAY()-D716,""),"")</f>
        <v/>
      </c>
      <c r="V716" s="8">
        <f>IF(D716="",0,IF(OR(AND(P716&lt;&gt;"",S716=""),AND(N(J716)&gt;0,N(K716)&lt;J716),OR(M716="PENDENTE",M716="PARCIAL"),OR(N716="PENDENTE",N716="PARCIAL")),1,0))</f>
        <v/>
      </c>
      <c r="W716" s="8">
        <f>IF(AND(V716=1,D716&lt;&gt;""),IF(D716&gt;=corte,(B716="CRÍTICO")*1E9+(100000-D716)*10000+10000-ROW(),""),"")</f>
        <v/>
      </c>
      <c r="X716" s="8">
        <f>IF(AND(V716=1,D716=pas_data,E716=pas_turno),10000-ROW(),"")</f>
        <v/>
      </c>
    </row>
    <row r="717">
      <c r="A717" s="3">
        <f>IF(D717="","","TT-"&amp;TEXT(ROW()-1,"00000"))</f>
        <v/>
      </c>
      <c r="B717" s="3">
        <f>IF(D717="","",IF(V717=0,"CONCLUÍDO",IF(D717&lt;corte,"HISTÓRICO",IF(OR(AND(ISNUMBER(R717),R717&lt;TODAY()),AND(OR(N717="PENDENTE",N717="PARCIAL"),D717&lt;TODAY()-1)),"CRÍTICO",IF(OR(AND(P717&lt;&gt;"",S717=""),AND(N717="REALIZADO",M717="PENDENTE"),AND(ISNUMBER(R717),R717=TODAY())),"ATENÇÃO",IF(N(K717)=0,"PENDENTE","EM ANDAMENTO"))))))</f>
        <v/>
      </c>
      <c r="C717" s="3">
        <f>IF(D717="","",IF(V717=0,"🟢 OK",IF(D717&lt;corte,"⚪ HISTÓRICO (sem baixa)",IF(AND(ISNUMBER(R717),R717&lt;TODAY()),"🔴 PRAZO VENCIDO",IF(AND(OR(N717="PENDENTE",N717="PARCIAL"),D717&lt;TODAY()-1),"🔴 EMBARQUE ATRASADO",IF(AND(N717="REALIZADO",M717="PENDENTE"),"🟡 EMBARCADO SEM FATURAR",IF(AND(P717&lt;&gt;"",S717="",OR(Q717="",R717="")),"🟡 PENDÊNCIA SEM RESPONSÁVEL/PRAZO",IF(AND(ISNUMBER(R717),R717=TODAY()),"🟡 VENCE HOJE",IF(AND(P717&lt;&gt;"",S717=""),"🟡 PENDÊNCIA ABERTA",IF(AND(N(J717)&gt;0,N(K717)&lt;J717),"🟡 FALTA EXECUTAR",IF(OR(M717="PENDENTE",M717="PARCIAL"),"🟡 FATURAMENTO PENDENTE","🟡 EMBARQUE PENDENTE")))))))))))</f>
        <v/>
      </c>
      <c r="D717" s="4" t="n">
        <v>46277</v>
      </c>
      <c r="E717" s="5" t="inlineStr">
        <is>
          <t>C</t>
        </is>
      </c>
      <c r="F717" s="5" t="inlineStr">
        <is>
          <t>ADIB</t>
        </is>
      </c>
      <c r="G717" s="5" t="inlineStr">
        <is>
          <t>GM</t>
        </is>
      </c>
      <c r="H717" s="5" t="inlineStr">
        <is>
          <t>SMARTLOG DIRETAS 15/09</t>
        </is>
      </c>
      <c r="I717" s="5" t="inlineStr">
        <is>
          <t>TON</t>
        </is>
      </c>
      <c r="J717" s="6" t="n">
        <v>22.903</v>
      </c>
      <c r="K717" s="6" t="n">
        <v>19.806</v>
      </c>
      <c r="L717" s="7">
        <f>IF(OR(D717="",N(J717)=0),"",MIN(1,N(K717)/J717))</f>
        <v/>
      </c>
      <c r="M717" s="5" t="inlineStr">
        <is>
          <t>PARCIAL</t>
        </is>
      </c>
      <c r="N717" s="5" t="n"/>
      <c r="O717" s="5" t="inlineStr">
        <is>
          <t>SMARTLOG</t>
        </is>
      </c>
      <c r="P717" s="5" t="inlineStr">
        <is>
          <t>FALTA SEPARAR CARROS SMT04 / SMT06 /SMT09</t>
        </is>
      </c>
      <c r="Q717" s="5" t="n"/>
      <c r="R717" s="4" t="n"/>
      <c r="S717" s="4" t="n"/>
      <c r="T717" s="5" t="inlineStr">
        <is>
          <t>FALTA SEPARAR CARROS SMT04 / SMT06 /SMT09</t>
        </is>
      </c>
      <c r="U717" s="8">
        <f>IF(AND(V717=1,D717&lt;&gt;""),IF(D717&gt;=corte,TODAY()-D717,""),"")</f>
        <v/>
      </c>
      <c r="V717" s="8">
        <f>IF(D717="",0,IF(OR(AND(P717&lt;&gt;"",S717=""),AND(N(J717)&gt;0,N(K717)&lt;J717),OR(M717="PENDENTE",M717="PARCIAL"),OR(N717="PENDENTE",N717="PARCIAL")),1,0))</f>
        <v/>
      </c>
      <c r="W717" s="8">
        <f>IF(AND(V717=1,D717&lt;&gt;""),IF(D717&gt;=corte,(B717="CRÍTICO")*1E9+(100000-D717)*10000+10000-ROW(),""),"")</f>
        <v/>
      </c>
      <c r="X717" s="8">
        <f>IF(AND(V717=1,D717=pas_data,E717=pas_turno),10000-ROW(),"")</f>
        <v/>
      </c>
    </row>
    <row r="718">
      <c r="A718" s="3">
        <f>IF(D718="","","TT-"&amp;TEXT(ROW()-1,"00000"))</f>
        <v/>
      </c>
      <c r="B718" s="3">
        <f>IF(D718="","",IF(V718=0,"CONCLUÍDO",IF(D718&lt;corte,"HISTÓRICO",IF(OR(AND(ISNUMBER(R718),R718&lt;TODAY()),AND(OR(N718="PENDENTE",N718="PARCIAL"),D718&lt;TODAY()-1)),"CRÍTICO",IF(OR(AND(P718&lt;&gt;"",S718=""),AND(N718="REALIZADO",M718="PENDENTE"),AND(ISNUMBER(R718),R718=TODAY())),"ATENÇÃO",IF(N(K718)=0,"PENDENTE","EM ANDAMENTO"))))))</f>
        <v/>
      </c>
      <c r="C718" s="3">
        <f>IF(D718="","",IF(V718=0,"🟢 OK",IF(D718&lt;corte,"⚪ HISTÓRICO (sem baixa)",IF(AND(ISNUMBER(R718),R718&lt;TODAY()),"🔴 PRAZO VENCIDO",IF(AND(OR(N718="PENDENTE",N718="PARCIAL"),D718&lt;TODAY()-1),"🔴 EMBARQUE ATRASADO",IF(AND(N718="REALIZADO",M718="PENDENTE"),"🟡 EMBARCADO SEM FATURAR",IF(AND(P718&lt;&gt;"",S718="",OR(Q718="",R718="")),"🟡 PENDÊNCIA SEM RESPONSÁVEL/PRAZO",IF(AND(ISNUMBER(R718),R718=TODAY()),"🟡 VENCE HOJE",IF(AND(P718&lt;&gt;"",S718=""),"🟡 PENDÊNCIA ABERTA",IF(AND(N(J718)&gt;0,N(K718)&lt;J718),"🟡 FALTA EXECUTAR",IF(OR(M718="PENDENTE",M718="PARCIAL"),"🟡 FATURAMENTO PENDENTE","🟡 EMBARQUE PENDENTE")))))))))))</f>
        <v/>
      </c>
      <c r="D718" s="4" t="n">
        <v>46277</v>
      </c>
      <c r="E718" s="5" t="inlineStr">
        <is>
          <t>D</t>
        </is>
      </c>
      <c r="F718" s="5" t="inlineStr">
        <is>
          <t>VINICIUS</t>
        </is>
      </c>
      <c r="G718" s="5" t="inlineStr">
        <is>
          <t>GM</t>
        </is>
      </c>
      <c r="H718" s="5" t="inlineStr">
        <is>
          <t>AGENDADAS 16/09</t>
        </is>
      </c>
      <c r="I718" s="5" t="inlineStr">
        <is>
          <t>TON</t>
        </is>
      </c>
      <c r="J718" s="6" t="n">
        <v>43.986</v>
      </c>
      <c r="K718" s="6" t="n">
        <v>43.986</v>
      </c>
      <c r="L718" s="7">
        <f>IF(OR(D718="",N(J718)=0),"",MIN(1,N(K718)/J718))</f>
        <v/>
      </c>
      <c r="M718" s="5" t="inlineStr">
        <is>
          <t>PENDENTE</t>
        </is>
      </c>
      <c r="N718" s="5" t="inlineStr">
        <is>
          <t>PENDENTE</t>
        </is>
      </c>
      <c r="O718" s="5" t="inlineStr">
        <is>
          <t>SMARTLOG</t>
        </is>
      </c>
      <c r="P718" s="5" t="inlineStr">
        <is>
          <t>AG. FATURAMENTO</t>
        </is>
      </c>
      <c r="Q718" s="5" t="n"/>
      <c r="R718" s="4" t="n"/>
      <c r="S718" s="4" t="n"/>
      <c r="T718" s="5" t="inlineStr">
        <is>
          <t>AG. FATURAMENTO</t>
        </is>
      </c>
      <c r="U718" s="8">
        <f>IF(AND(V718=1,D718&lt;&gt;""),IF(D718&gt;=corte,TODAY()-D718,""),"")</f>
        <v/>
      </c>
      <c r="V718" s="8">
        <f>IF(D718="",0,IF(OR(AND(P718&lt;&gt;"",S718=""),AND(N(J718)&gt;0,N(K718)&lt;J718),OR(M718="PENDENTE",M718="PARCIAL"),OR(N718="PENDENTE",N718="PARCIAL")),1,0))</f>
        <v/>
      </c>
      <c r="W718" s="8">
        <f>IF(AND(V718=1,D718&lt;&gt;""),IF(D718&gt;=corte,(B718="CRÍTICO")*1E9+(100000-D718)*10000+10000-ROW(),""),"")</f>
        <v/>
      </c>
      <c r="X718" s="8">
        <f>IF(AND(V718=1,D718=pas_data,E718=pas_turno),10000-ROW(),"")</f>
        <v/>
      </c>
    </row>
    <row r="719">
      <c r="A719" s="3">
        <f>IF(D719="","","TT-"&amp;TEXT(ROW()-1,"00000"))</f>
        <v/>
      </c>
      <c r="B719" s="3">
        <f>IF(D719="","",IF(V719=0,"CONCLUÍDO",IF(D719&lt;corte,"HISTÓRICO",IF(OR(AND(ISNUMBER(R719),R719&lt;TODAY()),AND(OR(N719="PENDENTE",N719="PARCIAL"),D719&lt;TODAY()-1)),"CRÍTICO",IF(OR(AND(P719&lt;&gt;"",S719=""),AND(N719="REALIZADO",M719="PENDENTE"),AND(ISNUMBER(R719),R719=TODAY())),"ATENÇÃO",IF(N(K719)=0,"PENDENTE","EM ANDAMENTO"))))))</f>
        <v/>
      </c>
      <c r="C719" s="3">
        <f>IF(D719="","",IF(V719=0,"🟢 OK",IF(D719&lt;corte,"⚪ HISTÓRICO (sem baixa)",IF(AND(ISNUMBER(R719),R719&lt;TODAY()),"🔴 PRAZO VENCIDO",IF(AND(OR(N719="PENDENTE",N719="PARCIAL"),D719&lt;TODAY()-1),"🔴 EMBARQUE ATRASADO",IF(AND(N719="REALIZADO",M719="PENDENTE"),"🟡 EMBARCADO SEM FATURAR",IF(AND(P719&lt;&gt;"",S719="",OR(Q719="",R719="")),"🟡 PENDÊNCIA SEM RESPONSÁVEL/PRAZO",IF(AND(ISNUMBER(R719),R719=TODAY()),"🟡 VENCE HOJE",IF(AND(P719&lt;&gt;"",S719=""),"🟡 PENDÊNCIA ABERTA",IF(AND(N(J719)&gt;0,N(K719)&lt;J719),"🟡 FALTA EXECUTAR",IF(OR(M719="PENDENTE",M719="PARCIAL"),"🟡 FATURAMENTO PENDENTE","🟡 EMBARQUE PENDENTE")))))))))))</f>
        <v/>
      </c>
      <c r="D719" s="4" t="n">
        <v>46277</v>
      </c>
      <c r="E719" s="5" t="inlineStr">
        <is>
          <t>D</t>
        </is>
      </c>
      <c r="F719" s="5" t="inlineStr">
        <is>
          <t>VINICIUS</t>
        </is>
      </c>
      <c r="G719" s="5" t="inlineStr">
        <is>
          <t>GM</t>
        </is>
      </c>
      <c r="H719" s="5" t="inlineStr">
        <is>
          <t>AGENDADAS 17/09</t>
        </is>
      </c>
      <c r="I719" s="5" t="inlineStr">
        <is>
          <t>TON</t>
        </is>
      </c>
      <c r="J719" s="6" t="n">
        <v>19.94</v>
      </c>
      <c r="K719" s="6" t="n">
        <v>19.94</v>
      </c>
      <c r="L719" s="7">
        <f>IF(OR(D719="",N(J719)=0),"",MIN(1,N(K719)/J719))</f>
        <v/>
      </c>
      <c r="M719" s="5" t="inlineStr">
        <is>
          <t>PENDENTE</t>
        </is>
      </c>
      <c r="N719" s="5" t="inlineStr">
        <is>
          <t>PENDENTE</t>
        </is>
      </c>
      <c r="O719" s="5" t="inlineStr">
        <is>
          <t>SMARTLOG</t>
        </is>
      </c>
      <c r="P719" s="5" t="inlineStr">
        <is>
          <t>AG. FATURAMENTO</t>
        </is>
      </c>
      <c r="Q719" s="5" t="n"/>
      <c r="R719" s="4" t="n"/>
      <c r="S719" s="4" t="n"/>
      <c r="T719" s="5" t="inlineStr">
        <is>
          <t>AG. FATURAMENTO</t>
        </is>
      </c>
      <c r="U719" s="8">
        <f>IF(AND(V719=1,D719&lt;&gt;""),IF(D719&gt;=corte,TODAY()-D719,""),"")</f>
        <v/>
      </c>
      <c r="V719" s="8">
        <f>IF(D719="",0,IF(OR(AND(P719&lt;&gt;"",S719=""),AND(N(J719)&gt;0,N(K719)&lt;J719),OR(M719="PENDENTE",M719="PARCIAL"),OR(N719="PENDENTE",N719="PARCIAL")),1,0))</f>
        <v/>
      </c>
      <c r="W719" s="8">
        <f>IF(AND(V719=1,D719&lt;&gt;""),IF(D719&gt;=corte,(B719="CRÍTICO")*1E9+(100000-D719)*10000+10000-ROW(),""),"")</f>
        <v/>
      </c>
      <c r="X719" s="8">
        <f>IF(AND(V719=1,D719=pas_data,E719=pas_turno),10000-ROW(),"")</f>
        <v/>
      </c>
    </row>
    <row r="720">
      <c r="A720" s="3">
        <f>IF(D720="","","TT-"&amp;TEXT(ROW()-1,"00000"))</f>
        <v/>
      </c>
      <c r="B720" s="3">
        <f>IF(D720="","",IF(V720=0,"CONCLUÍDO",IF(D720&lt;corte,"HISTÓRICO",IF(OR(AND(ISNUMBER(R720),R720&lt;TODAY()),AND(OR(N720="PENDENTE",N720="PARCIAL"),D720&lt;TODAY()-1)),"CRÍTICO",IF(OR(AND(P720&lt;&gt;"",S720=""),AND(N720="REALIZADO",M720="PENDENTE"),AND(ISNUMBER(R720),R720=TODAY())),"ATENÇÃO",IF(N(K720)=0,"PENDENTE","EM ANDAMENTO"))))))</f>
        <v/>
      </c>
      <c r="C720" s="3">
        <f>IF(D720="","",IF(V720=0,"🟢 OK",IF(D720&lt;corte,"⚪ HISTÓRICO (sem baixa)",IF(AND(ISNUMBER(R720),R720&lt;TODAY()),"🔴 PRAZO VENCIDO",IF(AND(OR(N720="PENDENTE",N720="PARCIAL"),D720&lt;TODAY()-1),"🔴 EMBARQUE ATRASADO",IF(AND(N720="REALIZADO",M720="PENDENTE"),"🟡 EMBARCADO SEM FATURAR",IF(AND(P720&lt;&gt;"",S720="",OR(Q720="",R720="")),"🟡 PENDÊNCIA SEM RESPONSÁVEL/PRAZO",IF(AND(ISNUMBER(R720),R720=TODAY()),"🟡 VENCE HOJE",IF(AND(P720&lt;&gt;"",S720=""),"🟡 PENDÊNCIA ABERTA",IF(AND(N(J720)&gt;0,N(K720)&lt;J720),"🟡 FALTA EXECUTAR",IF(OR(M720="PENDENTE",M720="PARCIAL"),"🟡 FATURAMENTO PENDENTE","🟡 EMBARQUE PENDENTE")))))))))))</f>
        <v/>
      </c>
      <c r="D720" s="4" t="n">
        <v>46277</v>
      </c>
      <c r="E720" s="5" t="inlineStr">
        <is>
          <t>D</t>
        </is>
      </c>
      <c r="F720" s="5" t="inlineStr">
        <is>
          <t>VINICIUS</t>
        </is>
      </c>
      <c r="G720" s="5" t="inlineStr">
        <is>
          <t>GM</t>
        </is>
      </c>
      <c r="H720" s="5" t="inlineStr">
        <is>
          <t>AGENDADAS 21/09</t>
        </is>
      </c>
      <c r="I720" s="5" t="inlineStr">
        <is>
          <t>TON</t>
        </is>
      </c>
      <c r="J720" s="6" t="n">
        <v>3.21</v>
      </c>
      <c r="K720" s="6" t="n">
        <v>3.21</v>
      </c>
      <c r="L720" s="7">
        <f>IF(OR(D720="",N(J720)=0),"",MIN(1,N(K720)/J720))</f>
        <v/>
      </c>
      <c r="M720" s="5" t="inlineStr">
        <is>
          <t>PENDENTE</t>
        </is>
      </c>
      <c r="N720" s="5" t="inlineStr">
        <is>
          <t>PENDENTE</t>
        </is>
      </c>
      <c r="O720" s="5" t="inlineStr">
        <is>
          <t>SMARTLOG</t>
        </is>
      </c>
      <c r="P720" s="5" t="inlineStr">
        <is>
          <t>AG. FATURAMENTO</t>
        </is>
      </c>
      <c r="Q720" s="5" t="n"/>
      <c r="R720" s="4" t="n"/>
      <c r="S720" s="4" t="n"/>
      <c r="T720" s="5" t="inlineStr">
        <is>
          <t>AG. FATURAMENTO</t>
        </is>
      </c>
      <c r="U720" s="8">
        <f>IF(AND(V720=1,D720&lt;&gt;""),IF(D720&gt;=corte,TODAY()-D720,""),"")</f>
        <v/>
      </c>
      <c r="V720" s="8">
        <f>IF(D720="",0,IF(OR(AND(P720&lt;&gt;"",S720=""),AND(N(J720)&gt;0,N(K720)&lt;J720),OR(M720="PENDENTE",M720="PARCIAL"),OR(N720="PENDENTE",N720="PARCIAL")),1,0))</f>
        <v/>
      </c>
      <c r="W720" s="8">
        <f>IF(AND(V720=1,D720&lt;&gt;""),IF(D720&gt;=corte,(B720="CRÍTICO")*1E9+(100000-D720)*10000+10000-ROW(),""),"")</f>
        <v/>
      </c>
      <c r="X720" s="8">
        <f>IF(AND(V720=1,D720=pas_data,E720=pas_turno),10000-ROW(),"")</f>
        <v/>
      </c>
    </row>
    <row r="721">
      <c r="A721" s="3">
        <f>IF(D721="","","TT-"&amp;TEXT(ROW()-1,"00000"))</f>
        <v/>
      </c>
      <c r="B721" s="3">
        <f>IF(D721="","",IF(V721=0,"CONCLUÍDO",IF(D721&lt;corte,"HISTÓRICO",IF(OR(AND(ISNUMBER(R721),R721&lt;TODAY()),AND(OR(N721="PENDENTE",N721="PARCIAL"),D721&lt;TODAY()-1)),"CRÍTICO",IF(OR(AND(P721&lt;&gt;"",S721=""),AND(N721="REALIZADO",M721="PENDENTE"),AND(ISNUMBER(R721),R721=TODAY())),"ATENÇÃO",IF(N(K721)=0,"PENDENTE","EM ANDAMENTO"))))))</f>
        <v/>
      </c>
      <c r="C721" s="3">
        <f>IF(D721="","",IF(V721=0,"🟢 OK",IF(D721&lt;corte,"⚪ HISTÓRICO (sem baixa)",IF(AND(ISNUMBER(R721),R721&lt;TODAY()),"🔴 PRAZO VENCIDO",IF(AND(OR(N721="PENDENTE",N721="PARCIAL"),D721&lt;TODAY()-1),"🔴 EMBARQUE ATRASADO",IF(AND(N721="REALIZADO",M721="PENDENTE"),"🟡 EMBARCADO SEM FATURAR",IF(AND(P721&lt;&gt;"",S721="",OR(Q721="",R721="")),"🟡 PENDÊNCIA SEM RESPONSÁVEL/PRAZO",IF(AND(ISNUMBER(R721),R721=TODAY()),"🟡 VENCE HOJE",IF(AND(P721&lt;&gt;"",S721=""),"🟡 PENDÊNCIA ABERTA",IF(AND(N(J721)&gt;0,N(K721)&lt;J721),"🟡 FALTA EXECUTAR",IF(OR(M721="PENDENTE",M721="PARCIAL"),"🟡 FATURAMENTO PENDENTE","🟡 EMBARQUE PENDENTE")))))))))))</f>
        <v/>
      </c>
      <c r="D721" s="4" t="n">
        <v>46277</v>
      </c>
      <c r="E721" s="5" t="inlineStr">
        <is>
          <t>D</t>
        </is>
      </c>
      <c r="F721" s="5" t="inlineStr">
        <is>
          <t>VINICIUS</t>
        </is>
      </c>
      <c r="G721" s="5" t="inlineStr">
        <is>
          <t>GM</t>
        </is>
      </c>
      <c r="H721" s="5" t="inlineStr">
        <is>
          <t>SMT0001DI</t>
        </is>
      </c>
      <c r="I721" s="5" t="inlineStr">
        <is>
          <t>TON</t>
        </is>
      </c>
      <c r="J721" s="6" t="n">
        <v>2.361</v>
      </c>
      <c r="K721" s="6" t="n">
        <v>2.361</v>
      </c>
      <c r="L721" s="7">
        <f>IF(OR(D721="",N(J721)=0),"",MIN(1,N(K721)/J721))</f>
        <v/>
      </c>
      <c r="M721" s="5" t="inlineStr">
        <is>
          <t>FATURADO</t>
        </is>
      </c>
      <c r="N721" s="5" t="inlineStr">
        <is>
          <t>PENDENTE</t>
        </is>
      </c>
      <c r="O721" s="5" t="inlineStr">
        <is>
          <t>SMARTLOG</t>
        </is>
      </c>
      <c r="P721" s="5" t="inlineStr">
        <is>
          <t>AGUARDANDO COLETA</t>
        </is>
      </c>
      <c r="Q721" s="5" t="n"/>
      <c r="R721" s="4" t="n"/>
      <c r="S721" s="4" t="n"/>
      <c r="T721" s="5" t="inlineStr">
        <is>
          <t>AGUARDANDO COLETA</t>
        </is>
      </c>
      <c r="U721" s="8">
        <f>IF(AND(V721=1,D721&lt;&gt;""),IF(D721&gt;=corte,TODAY()-D721,""),"")</f>
        <v/>
      </c>
      <c r="V721" s="8">
        <f>IF(D721="",0,IF(OR(AND(P721&lt;&gt;"",S721=""),AND(N(J721)&gt;0,N(K721)&lt;J721),OR(M721="PENDENTE",M721="PARCIAL"),OR(N721="PENDENTE",N721="PARCIAL")),1,0))</f>
        <v/>
      </c>
      <c r="W721" s="8">
        <f>IF(AND(V721=1,D721&lt;&gt;""),IF(D721&gt;=corte,(B721="CRÍTICO")*1E9+(100000-D721)*10000+10000-ROW(),""),"")</f>
        <v/>
      </c>
      <c r="X721" s="8">
        <f>IF(AND(V721=1,D721=pas_data,E721=pas_turno),10000-ROW(),"")</f>
        <v/>
      </c>
    </row>
    <row r="722">
      <c r="A722" s="3">
        <f>IF(D722="","","TT-"&amp;TEXT(ROW()-1,"00000"))</f>
        <v/>
      </c>
      <c r="B722" s="3">
        <f>IF(D722="","",IF(V722=0,"CONCLUÍDO",IF(D722&lt;corte,"HISTÓRICO",IF(OR(AND(ISNUMBER(R722),R722&lt;TODAY()),AND(OR(N722="PENDENTE",N722="PARCIAL"),D722&lt;TODAY()-1)),"CRÍTICO",IF(OR(AND(P722&lt;&gt;"",S722=""),AND(N722="REALIZADO",M722="PENDENTE"),AND(ISNUMBER(R722),R722=TODAY())),"ATENÇÃO",IF(N(K722)=0,"PENDENTE","EM ANDAMENTO"))))))</f>
        <v/>
      </c>
      <c r="C722" s="3">
        <f>IF(D722="","",IF(V722=0,"🟢 OK",IF(D722&lt;corte,"⚪ HISTÓRICO (sem baixa)",IF(AND(ISNUMBER(R722),R722&lt;TODAY()),"🔴 PRAZO VENCIDO",IF(AND(OR(N722="PENDENTE",N722="PARCIAL"),D722&lt;TODAY()-1),"🔴 EMBARQUE ATRASADO",IF(AND(N722="REALIZADO",M722="PENDENTE"),"🟡 EMBARCADO SEM FATURAR",IF(AND(P722&lt;&gt;"",S722="",OR(Q722="",R722="")),"🟡 PENDÊNCIA SEM RESPONSÁVEL/PRAZO",IF(AND(ISNUMBER(R722),R722=TODAY()),"🟡 VENCE HOJE",IF(AND(P722&lt;&gt;"",S722=""),"🟡 PENDÊNCIA ABERTA",IF(AND(N(J722)&gt;0,N(K722)&lt;J722),"🟡 FALTA EXECUTAR",IF(OR(M722="PENDENTE",M722="PARCIAL"),"🟡 FATURAMENTO PENDENTE","🟡 EMBARQUE PENDENTE")))))))))))</f>
        <v/>
      </c>
      <c r="D722" s="4" t="n">
        <v>46277</v>
      </c>
      <c r="E722" s="5" t="inlineStr">
        <is>
          <t>D</t>
        </is>
      </c>
      <c r="F722" s="5" t="inlineStr">
        <is>
          <t>VINICIUS</t>
        </is>
      </c>
      <c r="G722" s="5" t="inlineStr">
        <is>
          <t>GM</t>
        </is>
      </c>
      <c r="H722" s="5" t="inlineStr">
        <is>
          <t>SMT0002DI</t>
        </is>
      </c>
      <c r="I722" s="5" t="inlineStr">
        <is>
          <t>TON</t>
        </is>
      </c>
      <c r="J722" s="6" t="n">
        <v>0.621</v>
      </c>
      <c r="K722" s="6" t="n">
        <v>0.621</v>
      </c>
      <c r="L722" s="7">
        <f>IF(OR(D722="",N(J722)=0),"",MIN(1,N(K722)/J722))</f>
        <v/>
      </c>
      <c r="M722" s="5" t="inlineStr">
        <is>
          <t>FATURADO</t>
        </is>
      </c>
      <c r="N722" s="5" t="inlineStr">
        <is>
          <t>PENDENTE</t>
        </is>
      </c>
      <c r="O722" s="5" t="inlineStr">
        <is>
          <t>SMARTLOG</t>
        </is>
      </c>
      <c r="P722" s="5" t="inlineStr">
        <is>
          <t>AGUARDANDO COLETA</t>
        </is>
      </c>
      <c r="Q722" s="5" t="n"/>
      <c r="R722" s="4" t="n"/>
      <c r="S722" s="4" t="n"/>
      <c r="T722" s="5" t="inlineStr">
        <is>
          <t>AGUARDANDO COLETA</t>
        </is>
      </c>
      <c r="U722" s="8">
        <f>IF(AND(V722=1,D722&lt;&gt;""),IF(D722&gt;=corte,TODAY()-D722,""),"")</f>
        <v/>
      </c>
      <c r="V722" s="8">
        <f>IF(D722="",0,IF(OR(AND(P722&lt;&gt;"",S722=""),AND(N(J722)&gt;0,N(K722)&lt;J722),OR(M722="PENDENTE",M722="PARCIAL"),OR(N722="PENDENTE",N722="PARCIAL")),1,0))</f>
        <v/>
      </c>
      <c r="W722" s="8">
        <f>IF(AND(V722=1,D722&lt;&gt;""),IF(D722&gt;=corte,(B722="CRÍTICO")*1E9+(100000-D722)*10000+10000-ROW(),""),"")</f>
        <v/>
      </c>
      <c r="X722" s="8">
        <f>IF(AND(V722=1,D722=pas_data,E722=pas_turno),10000-ROW(),"")</f>
        <v/>
      </c>
    </row>
    <row r="723">
      <c r="A723" s="3">
        <f>IF(D723="","","TT-"&amp;TEXT(ROW()-1,"00000"))</f>
        <v/>
      </c>
      <c r="B723" s="3">
        <f>IF(D723="","",IF(V723=0,"CONCLUÍDO",IF(D723&lt;corte,"HISTÓRICO",IF(OR(AND(ISNUMBER(R723),R723&lt;TODAY()),AND(OR(N723="PENDENTE",N723="PARCIAL"),D723&lt;TODAY()-1)),"CRÍTICO",IF(OR(AND(P723&lt;&gt;"",S723=""),AND(N723="REALIZADO",M723="PENDENTE"),AND(ISNUMBER(R723),R723=TODAY())),"ATENÇÃO",IF(N(K723)=0,"PENDENTE","EM ANDAMENTO"))))))</f>
        <v/>
      </c>
      <c r="C723" s="3">
        <f>IF(D723="","",IF(V723=0,"🟢 OK",IF(D723&lt;corte,"⚪ HISTÓRICO (sem baixa)",IF(AND(ISNUMBER(R723),R723&lt;TODAY()),"🔴 PRAZO VENCIDO",IF(AND(OR(N723="PENDENTE",N723="PARCIAL"),D723&lt;TODAY()-1),"🔴 EMBARQUE ATRASADO",IF(AND(N723="REALIZADO",M723="PENDENTE"),"🟡 EMBARCADO SEM FATURAR",IF(AND(P723&lt;&gt;"",S723="",OR(Q723="",R723="")),"🟡 PENDÊNCIA SEM RESPONSÁVEL/PRAZO",IF(AND(ISNUMBER(R723),R723=TODAY()),"🟡 VENCE HOJE",IF(AND(P723&lt;&gt;"",S723=""),"🟡 PENDÊNCIA ABERTA",IF(AND(N(J723)&gt;0,N(K723)&lt;J723),"🟡 FALTA EXECUTAR",IF(OR(M723="PENDENTE",M723="PARCIAL"),"🟡 FATURAMENTO PENDENTE","🟡 EMBARQUE PENDENTE")))))))))))</f>
        <v/>
      </c>
      <c r="D723" s="4" t="n">
        <v>46277</v>
      </c>
      <c r="E723" s="5" t="inlineStr">
        <is>
          <t>D</t>
        </is>
      </c>
      <c r="F723" s="5" t="inlineStr">
        <is>
          <t>VINICIUS</t>
        </is>
      </c>
      <c r="G723" s="5" t="inlineStr">
        <is>
          <t>GM</t>
        </is>
      </c>
      <c r="H723" s="5" t="inlineStr">
        <is>
          <t>SMT0002INT</t>
        </is>
      </c>
      <c r="I723" s="5" t="inlineStr">
        <is>
          <t>TON</t>
        </is>
      </c>
      <c r="J723" s="6" t="n">
        <v>1.787</v>
      </c>
      <c r="K723" s="6" t="n">
        <v>1.787</v>
      </c>
      <c r="L723" s="7">
        <f>IF(OR(D723="",N(J723)=0),"",MIN(1,N(K723)/J723))</f>
        <v/>
      </c>
      <c r="M723" s="5" t="inlineStr">
        <is>
          <t>FATURADO</t>
        </is>
      </c>
      <c r="N723" s="5" t="inlineStr">
        <is>
          <t>PENDENTE</t>
        </is>
      </c>
      <c r="O723" s="5" t="inlineStr">
        <is>
          <t>SMARTLOG</t>
        </is>
      </c>
      <c r="P723" s="5" t="inlineStr">
        <is>
          <t>AGUARDANDO COLETA</t>
        </is>
      </c>
      <c r="Q723" s="5" t="n"/>
      <c r="R723" s="4" t="n"/>
      <c r="S723" s="4" t="n"/>
      <c r="T723" s="5" t="inlineStr">
        <is>
          <t>AGUARDANDO COLETA</t>
        </is>
      </c>
      <c r="U723" s="8">
        <f>IF(AND(V723=1,D723&lt;&gt;""),IF(D723&gt;=corte,TODAY()-D723,""),"")</f>
        <v/>
      </c>
      <c r="V723" s="8">
        <f>IF(D723="",0,IF(OR(AND(P723&lt;&gt;"",S723=""),AND(N(J723)&gt;0,N(K723)&lt;J723),OR(M723="PENDENTE",M723="PARCIAL"),OR(N723="PENDENTE",N723="PARCIAL")),1,0))</f>
        <v/>
      </c>
      <c r="W723" s="8">
        <f>IF(AND(V723=1,D723&lt;&gt;""),IF(D723&gt;=corte,(B723="CRÍTICO")*1E9+(100000-D723)*10000+10000-ROW(),""),"")</f>
        <v/>
      </c>
      <c r="X723" s="8">
        <f>IF(AND(V723=1,D723=pas_data,E723=pas_turno),10000-ROW(),"")</f>
        <v/>
      </c>
    </row>
    <row r="724">
      <c r="A724" s="3">
        <f>IF(D724="","","TT-"&amp;TEXT(ROW()-1,"00000"))</f>
        <v/>
      </c>
      <c r="B724" s="3">
        <f>IF(D724="","",IF(V724=0,"CONCLUÍDO",IF(D724&lt;corte,"HISTÓRICO",IF(OR(AND(ISNUMBER(R724),R724&lt;TODAY()),AND(OR(N724="PENDENTE",N724="PARCIAL"),D724&lt;TODAY()-1)),"CRÍTICO",IF(OR(AND(P724&lt;&gt;"",S724=""),AND(N724="REALIZADO",M724="PENDENTE"),AND(ISNUMBER(R724),R724=TODAY())),"ATENÇÃO",IF(N(K724)=0,"PENDENTE","EM ANDAMENTO"))))))</f>
        <v/>
      </c>
      <c r="C724" s="3">
        <f>IF(D724="","",IF(V724=0,"🟢 OK",IF(D724&lt;corte,"⚪ HISTÓRICO (sem baixa)",IF(AND(ISNUMBER(R724),R724&lt;TODAY()),"🔴 PRAZO VENCIDO",IF(AND(OR(N724="PENDENTE",N724="PARCIAL"),D724&lt;TODAY()-1),"🔴 EMBARQUE ATRASADO",IF(AND(N724="REALIZADO",M724="PENDENTE"),"🟡 EMBARCADO SEM FATURAR",IF(AND(P724&lt;&gt;"",S724="",OR(Q724="",R724="")),"🟡 PENDÊNCIA SEM RESPONSÁVEL/PRAZO",IF(AND(ISNUMBER(R724),R724=TODAY()),"🟡 VENCE HOJE",IF(AND(P724&lt;&gt;"",S724=""),"🟡 PENDÊNCIA ABERTA",IF(AND(N(J724)&gt;0,N(K724)&lt;J724),"🟡 FALTA EXECUTAR",IF(OR(M724="PENDENTE",M724="PARCIAL"),"🟡 FATURAMENTO PENDENTE","🟡 EMBARQUE PENDENTE")))))))))))</f>
        <v/>
      </c>
      <c r="D724" s="4" t="n">
        <v>46277</v>
      </c>
      <c r="E724" s="5" t="inlineStr">
        <is>
          <t>D</t>
        </is>
      </c>
      <c r="F724" s="5" t="inlineStr">
        <is>
          <t>VINICIUS</t>
        </is>
      </c>
      <c r="G724" s="5" t="inlineStr">
        <is>
          <t>GM</t>
        </is>
      </c>
      <c r="H724" s="5" t="inlineStr">
        <is>
          <t>SMT0003DI</t>
        </is>
      </c>
      <c r="I724" s="5" t="inlineStr">
        <is>
          <t>TON</t>
        </is>
      </c>
      <c r="J724" s="6" t="n">
        <v>1.096</v>
      </c>
      <c r="K724" s="6" t="n">
        <v>1.096</v>
      </c>
      <c r="L724" s="7">
        <f>IF(OR(D724="",N(J724)=0),"",MIN(1,N(K724)/J724))</f>
        <v/>
      </c>
      <c r="M724" s="5" t="inlineStr">
        <is>
          <t>FATURADO</t>
        </is>
      </c>
      <c r="N724" s="5" t="inlineStr">
        <is>
          <t>PENDENTE</t>
        </is>
      </c>
      <c r="O724" s="5" t="inlineStr">
        <is>
          <t>SMARTLOG</t>
        </is>
      </c>
      <c r="P724" s="5" t="inlineStr">
        <is>
          <t>AGUARDANDO COLETA</t>
        </is>
      </c>
      <c r="Q724" s="5" t="n"/>
      <c r="R724" s="4" t="n"/>
      <c r="S724" s="4" t="n"/>
      <c r="T724" s="5" t="inlineStr">
        <is>
          <t>AGUARDANDO COLETA</t>
        </is>
      </c>
      <c r="U724" s="8">
        <f>IF(AND(V724=1,D724&lt;&gt;""),IF(D724&gt;=corte,TODAY()-D724,""),"")</f>
        <v/>
      </c>
      <c r="V724" s="8">
        <f>IF(D724="",0,IF(OR(AND(P724&lt;&gt;"",S724=""),AND(N(J724)&gt;0,N(K724)&lt;J724),OR(M724="PENDENTE",M724="PARCIAL"),OR(N724="PENDENTE",N724="PARCIAL")),1,0))</f>
        <v/>
      </c>
      <c r="W724" s="8">
        <f>IF(AND(V724=1,D724&lt;&gt;""),IF(D724&gt;=corte,(B724="CRÍTICO")*1E9+(100000-D724)*10000+10000-ROW(),""),"")</f>
        <v/>
      </c>
      <c r="X724" s="8">
        <f>IF(AND(V724=1,D724=pas_data,E724=pas_turno),10000-ROW(),"")</f>
        <v/>
      </c>
    </row>
    <row r="725">
      <c r="A725" s="3">
        <f>IF(D725="","","TT-"&amp;TEXT(ROW()-1,"00000"))</f>
        <v/>
      </c>
      <c r="B725" s="3">
        <f>IF(D725="","",IF(V725=0,"CONCLUÍDO",IF(D725&lt;corte,"HISTÓRICO",IF(OR(AND(ISNUMBER(R725),R725&lt;TODAY()),AND(OR(N725="PENDENTE",N725="PARCIAL"),D725&lt;TODAY()-1)),"CRÍTICO",IF(OR(AND(P725&lt;&gt;"",S725=""),AND(N725="REALIZADO",M725="PENDENTE"),AND(ISNUMBER(R725),R725=TODAY())),"ATENÇÃO",IF(N(K725)=0,"PENDENTE","EM ANDAMENTO"))))))</f>
        <v/>
      </c>
      <c r="C725" s="3">
        <f>IF(D725="","",IF(V725=0,"🟢 OK",IF(D725&lt;corte,"⚪ HISTÓRICO (sem baixa)",IF(AND(ISNUMBER(R725),R725&lt;TODAY()),"🔴 PRAZO VENCIDO",IF(AND(OR(N725="PENDENTE",N725="PARCIAL"),D725&lt;TODAY()-1),"🔴 EMBARQUE ATRASADO",IF(AND(N725="REALIZADO",M725="PENDENTE"),"🟡 EMBARCADO SEM FATURAR",IF(AND(P725&lt;&gt;"",S725="",OR(Q725="",R725="")),"🟡 PENDÊNCIA SEM RESPONSÁVEL/PRAZO",IF(AND(ISNUMBER(R725),R725=TODAY()),"🟡 VENCE HOJE",IF(AND(P725&lt;&gt;"",S725=""),"🟡 PENDÊNCIA ABERTA",IF(AND(N(J725)&gt;0,N(K725)&lt;J725),"🟡 FALTA EXECUTAR",IF(OR(M725="PENDENTE",M725="PARCIAL"),"🟡 FATURAMENTO PENDENTE","🟡 EMBARQUE PENDENTE")))))))))))</f>
        <v/>
      </c>
      <c r="D725" s="4" t="n">
        <v>46277</v>
      </c>
      <c r="E725" s="5" t="inlineStr">
        <is>
          <t>D</t>
        </is>
      </c>
      <c r="F725" s="5" t="inlineStr">
        <is>
          <t>VINICIUS</t>
        </is>
      </c>
      <c r="G725" s="5" t="inlineStr">
        <is>
          <t>GM</t>
        </is>
      </c>
      <c r="H725" s="5" t="inlineStr">
        <is>
          <t>SMT0003INT</t>
        </is>
      </c>
      <c r="I725" s="5" t="inlineStr">
        <is>
          <t>TON</t>
        </is>
      </c>
      <c r="J725" s="6" t="n">
        <v>1.823</v>
      </c>
      <c r="K725" s="6" t="n">
        <v>1.823</v>
      </c>
      <c r="L725" s="7">
        <f>IF(OR(D725="",N(J725)=0),"",MIN(1,N(K725)/J725))</f>
        <v/>
      </c>
      <c r="M725" s="5" t="inlineStr">
        <is>
          <t>FATURADO</t>
        </is>
      </c>
      <c r="N725" s="5" t="inlineStr">
        <is>
          <t>PENDENTE</t>
        </is>
      </c>
      <c r="O725" s="5" t="inlineStr">
        <is>
          <t>SMARTLOG</t>
        </is>
      </c>
      <c r="P725" s="5" t="inlineStr">
        <is>
          <t>AGUARDANDO COLETA</t>
        </is>
      </c>
      <c r="Q725" s="5" t="n"/>
      <c r="R725" s="4" t="n"/>
      <c r="S725" s="4" t="n"/>
      <c r="T725" s="5" t="inlineStr">
        <is>
          <t>AGUARDANDO COLETA</t>
        </is>
      </c>
      <c r="U725" s="8">
        <f>IF(AND(V725=1,D725&lt;&gt;""),IF(D725&gt;=corte,TODAY()-D725,""),"")</f>
        <v/>
      </c>
      <c r="V725" s="8">
        <f>IF(D725="",0,IF(OR(AND(P725&lt;&gt;"",S725=""),AND(N(J725)&gt;0,N(K725)&lt;J725),OR(M725="PENDENTE",M725="PARCIAL"),OR(N725="PENDENTE",N725="PARCIAL")),1,0))</f>
        <v/>
      </c>
      <c r="W725" s="8">
        <f>IF(AND(V725=1,D725&lt;&gt;""),IF(D725&gt;=corte,(B725="CRÍTICO")*1E9+(100000-D725)*10000+10000-ROW(),""),"")</f>
        <v/>
      </c>
      <c r="X725" s="8">
        <f>IF(AND(V725=1,D725=pas_data,E725=pas_turno),10000-ROW(),"")</f>
        <v/>
      </c>
    </row>
    <row r="726">
      <c r="A726" s="3">
        <f>IF(D726="","","TT-"&amp;TEXT(ROW()-1,"00000"))</f>
        <v/>
      </c>
      <c r="B726" s="3">
        <f>IF(D726="","",IF(V726=0,"CONCLUÍDO",IF(D726&lt;corte,"HISTÓRICO",IF(OR(AND(ISNUMBER(R726),R726&lt;TODAY()),AND(OR(N726="PENDENTE",N726="PARCIAL"),D726&lt;TODAY()-1)),"CRÍTICO",IF(OR(AND(P726&lt;&gt;"",S726=""),AND(N726="REALIZADO",M726="PENDENTE"),AND(ISNUMBER(R726),R726=TODAY())),"ATENÇÃO",IF(N(K726)=0,"PENDENTE","EM ANDAMENTO"))))))</f>
        <v/>
      </c>
      <c r="C726" s="3">
        <f>IF(D726="","",IF(V726=0,"🟢 OK",IF(D726&lt;corte,"⚪ HISTÓRICO (sem baixa)",IF(AND(ISNUMBER(R726),R726&lt;TODAY()),"🔴 PRAZO VENCIDO",IF(AND(OR(N726="PENDENTE",N726="PARCIAL"),D726&lt;TODAY()-1),"🔴 EMBARQUE ATRASADO",IF(AND(N726="REALIZADO",M726="PENDENTE"),"🟡 EMBARCADO SEM FATURAR",IF(AND(P726&lt;&gt;"",S726="",OR(Q726="",R726="")),"🟡 PENDÊNCIA SEM RESPONSÁVEL/PRAZO",IF(AND(ISNUMBER(R726),R726=TODAY()),"🟡 VENCE HOJE",IF(AND(P726&lt;&gt;"",S726=""),"🟡 PENDÊNCIA ABERTA",IF(AND(N(J726)&gt;0,N(K726)&lt;J726),"🟡 FALTA EXECUTAR",IF(OR(M726="PENDENTE",M726="PARCIAL"),"🟡 FATURAMENTO PENDENTE","🟡 EMBARQUE PENDENTE")))))))))))</f>
        <v/>
      </c>
      <c r="D726" s="4" t="n">
        <v>46277</v>
      </c>
      <c r="E726" s="5" t="inlineStr">
        <is>
          <t>D</t>
        </is>
      </c>
      <c r="F726" s="5" t="inlineStr">
        <is>
          <t>VINICIUS</t>
        </is>
      </c>
      <c r="G726" s="5" t="inlineStr">
        <is>
          <t>GM</t>
        </is>
      </c>
      <c r="H726" s="5" t="inlineStr">
        <is>
          <t>SMT0004DI</t>
        </is>
      </c>
      <c r="I726" s="5" t="inlineStr">
        <is>
          <t>TON</t>
        </is>
      </c>
      <c r="J726" s="6" t="n">
        <v>3.121</v>
      </c>
      <c r="K726" s="6" t="n">
        <v>3.121</v>
      </c>
      <c r="L726" s="7">
        <f>IF(OR(D726="",N(J726)=0),"",MIN(1,N(K726)/J726))</f>
        <v/>
      </c>
      <c r="M726" s="5" t="inlineStr">
        <is>
          <t>FATURADO</t>
        </is>
      </c>
      <c r="N726" s="5" t="inlineStr">
        <is>
          <t>PENDENTE</t>
        </is>
      </c>
      <c r="O726" s="5" t="inlineStr">
        <is>
          <t>SMARTLOG</t>
        </is>
      </c>
      <c r="P726" s="5" t="inlineStr">
        <is>
          <t>AGUARDANDO COLETA</t>
        </is>
      </c>
      <c r="Q726" s="5" t="n"/>
      <c r="R726" s="4" t="n"/>
      <c r="S726" s="4" t="n"/>
      <c r="T726" s="5" t="inlineStr">
        <is>
          <t>AGUARDANDO COLETA</t>
        </is>
      </c>
      <c r="U726" s="8">
        <f>IF(AND(V726=1,D726&lt;&gt;""),IF(D726&gt;=corte,TODAY()-D726,""),"")</f>
        <v/>
      </c>
      <c r="V726" s="8">
        <f>IF(D726="",0,IF(OR(AND(P726&lt;&gt;"",S726=""),AND(N(J726)&gt;0,N(K726)&lt;J726),OR(M726="PENDENTE",M726="PARCIAL"),OR(N726="PENDENTE",N726="PARCIAL")),1,0))</f>
        <v/>
      </c>
      <c r="W726" s="8">
        <f>IF(AND(V726=1,D726&lt;&gt;""),IF(D726&gt;=corte,(B726="CRÍTICO")*1E9+(100000-D726)*10000+10000-ROW(),""),"")</f>
        <v/>
      </c>
      <c r="X726" s="8">
        <f>IF(AND(V726=1,D726=pas_data,E726=pas_turno),10000-ROW(),"")</f>
        <v/>
      </c>
    </row>
    <row r="727">
      <c r="A727" s="3">
        <f>IF(D727="","","TT-"&amp;TEXT(ROW()-1,"00000"))</f>
        <v/>
      </c>
      <c r="B727" s="3">
        <f>IF(D727="","",IF(V727=0,"CONCLUÍDO",IF(D727&lt;corte,"HISTÓRICO",IF(OR(AND(ISNUMBER(R727),R727&lt;TODAY()),AND(OR(N727="PENDENTE",N727="PARCIAL"),D727&lt;TODAY()-1)),"CRÍTICO",IF(OR(AND(P727&lt;&gt;"",S727=""),AND(N727="REALIZADO",M727="PENDENTE"),AND(ISNUMBER(R727),R727=TODAY())),"ATENÇÃO",IF(N(K727)=0,"PENDENTE","EM ANDAMENTO"))))))</f>
        <v/>
      </c>
      <c r="C727" s="3">
        <f>IF(D727="","",IF(V727=0,"🟢 OK",IF(D727&lt;corte,"⚪ HISTÓRICO (sem baixa)",IF(AND(ISNUMBER(R727),R727&lt;TODAY()),"🔴 PRAZO VENCIDO",IF(AND(OR(N727="PENDENTE",N727="PARCIAL"),D727&lt;TODAY()-1),"🔴 EMBARQUE ATRASADO",IF(AND(N727="REALIZADO",M727="PENDENTE"),"🟡 EMBARCADO SEM FATURAR",IF(AND(P727&lt;&gt;"",S727="",OR(Q727="",R727="")),"🟡 PENDÊNCIA SEM RESPONSÁVEL/PRAZO",IF(AND(ISNUMBER(R727),R727=TODAY()),"🟡 VENCE HOJE",IF(AND(P727&lt;&gt;"",S727=""),"🟡 PENDÊNCIA ABERTA",IF(AND(N(J727)&gt;0,N(K727)&lt;J727),"🟡 FALTA EXECUTAR",IF(OR(M727="PENDENTE",M727="PARCIAL"),"🟡 FATURAMENTO PENDENTE","🟡 EMBARQUE PENDENTE")))))))))))</f>
        <v/>
      </c>
      <c r="D727" s="4" t="n">
        <v>46277</v>
      </c>
      <c r="E727" s="5" t="inlineStr">
        <is>
          <t>D</t>
        </is>
      </c>
      <c r="F727" s="5" t="inlineStr">
        <is>
          <t>VINICIUS</t>
        </is>
      </c>
      <c r="G727" s="5" t="inlineStr">
        <is>
          <t>GM</t>
        </is>
      </c>
      <c r="H727" s="5" t="inlineStr">
        <is>
          <t>SMT0005DI</t>
        </is>
      </c>
      <c r="I727" s="5" t="inlineStr">
        <is>
          <t>TON</t>
        </is>
      </c>
      <c r="J727" s="6" t="n">
        <v>2.311</v>
      </c>
      <c r="K727" s="6" t="n">
        <v>2.311</v>
      </c>
      <c r="L727" s="7">
        <f>IF(OR(D727="",N(J727)=0),"",MIN(1,N(K727)/J727))</f>
        <v/>
      </c>
      <c r="M727" s="5" t="inlineStr">
        <is>
          <t>FATURADO</t>
        </is>
      </c>
      <c r="N727" s="5" t="inlineStr">
        <is>
          <t>PENDENTE</t>
        </is>
      </c>
      <c r="O727" s="5" t="inlineStr">
        <is>
          <t>SMARTLOG</t>
        </is>
      </c>
      <c r="P727" s="5" t="inlineStr">
        <is>
          <t>AGUARDANDO COLETA</t>
        </is>
      </c>
      <c r="Q727" s="5" t="n"/>
      <c r="R727" s="4" t="n"/>
      <c r="S727" s="4" t="n"/>
      <c r="T727" s="5" t="inlineStr">
        <is>
          <t>AGUARDANDO COLETA</t>
        </is>
      </c>
      <c r="U727" s="8">
        <f>IF(AND(V727=1,D727&lt;&gt;""),IF(D727&gt;=corte,TODAY()-D727,""),"")</f>
        <v/>
      </c>
      <c r="V727" s="8">
        <f>IF(D727="",0,IF(OR(AND(P727&lt;&gt;"",S727=""),AND(N(J727)&gt;0,N(K727)&lt;J727),OR(M727="PENDENTE",M727="PARCIAL"),OR(N727="PENDENTE",N727="PARCIAL")),1,0))</f>
        <v/>
      </c>
      <c r="W727" s="8">
        <f>IF(AND(V727=1,D727&lt;&gt;""),IF(D727&gt;=corte,(B727="CRÍTICO")*1E9+(100000-D727)*10000+10000-ROW(),""),"")</f>
        <v/>
      </c>
      <c r="X727" s="8">
        <f>IF(AND(V727=1,D727=pas_data,E727=pas_turno),10000-ROW(),"")</f>
        <v/>
      </c>
    </row>
    <row r="728">
      <c r="A728" s="3">
        <f>IF(D728="","","TT-"&amp;TEXT(ROW()-1,"00000"))</f>
        <v/>
      </c>
      <c r="B728" s="3">
        <f>IF(D728="","",IF(V728=0,"CONCLUÍDO",IF(D728&lt;corte,"HISTÓRICO",IF(OR(AND(ISNUMBER(R728),R728&lt;TODAY()),AND(OR(N728="PENDENTE",N728="PARCIAL"),D728&lt;TODAY()-1)),"CRÍTICO",IF(OR(AND(P728&lt;&gt;"",S728=""),AND(N728="REALIZADO",M728="PENDENTE"),AND(ISNUMBER(R728),R728=TODAY())),"ATENÇÃO",IF(N(K728)=0,"PENDENTE","EM ANDAMENTO"))))))</f>
        <v/>
      </c>
      <c r="C728" s="3">
        <f>IF(D728="","",IF(V728=0,"🟢 OK",IF(D728&lt;corte,"⚪ HISTÓRICO (sem baixa)",IF(AND(ISNUMBER(R728),R728&lt;TODAY()),"🔴 PRAZO VENCIDO",IF(AND(OR(N728="PENDENTE",N728="PARCIAL"),D728&lt;TODAY()-1),"🔴 EMBARQUE ATRASADO",IF(AND(N728="REALIZADO",M728="PENDENTE"),"🟡 EMBARCADO SEM FATURAR",IF(AND(P728&lt;&gt;"",S728="",OR(Q728="",R728="")),"🟡 PENDÊNCIA SEM RESPONSÁVEL/PRAZO",IF(AND(ISNUMBER(R728),R728=TODAY()),"🟡 VENCE HOJE",IF(AND(P728&lt;&gt;"",S728=""),"🟡 PENDÊNCIA ABERTA",IF(AND(N(J728)&gt;0,N(K728)&lt;J728),"🟡 FALTA EXECUTAR",IF(OR(M728="PENDENTE",M728="PARCIAL"),"🟡 FATURAMENTO PENDENTE","🟡 EMBARQUE PENDENTE")))))))))))</f>
        <v/>
      </c>
      <c r="D728" s="4" t="n">
        <v>46277</v>
      </c>
      <c r="E728" s="5" t="inlineStr">
        <is>
          <t>D</t>
        </is>
      </c>
      <c r="F728" s="5" t="inlineStr">
        <is>
          <t>VINICIUS</t>
        </is>
      </c>
      <c r="G728" s="5" t="inlineStr">
        <is>
          <t>GM</t>
        </is>
      </c>
      <c r="H728" s="5" t="inlineStr">
        <is>
          <t>SMT0006DI</t>
        </is>
      </c>
      <c r="I728" s="5" t="inlineStr">
        <is>
          <t>TON</t>
        </is>
      </c>
      <c r="J728" s="6" t="n">
        <v>0.826</v>
      </c>
      <c r="K728" s="6" t="n">
        <v>0.826</v>
      </c>
      <c r="L728" s="7">
        <f>IF(OR(D728="",N(J728)=0),"",MIN(1,N(K728)/J728))</f>
        <v/>
      </c>
      <c r="M728" s="5" t="inlineStr">
        <is>
          <t>FATURADO</t>
        </is>
      </c>
      <c r="N728" s="5" t="inlineStr">
        <is>
          <t>PENDENTE</t>
        </is>
      </c>
      <c r="O728" s="5" t="inlineStr">
        <is>
          <t>SMARTLOG</t>
        </is>
      </c>
      <c r="P728" s="5" t="inlineStr">
        <is>
          <t>AGUARDANDO COLETA</t>
        </is>
      </c>
      <c r="Q728" s="5" t="n"/>
      <c r="R728" s="4" t="n"/>
      <c r="S728" s="4" t="n"/>
      <c r="T728" s="5" t="inlineStr">
        <is>
          <t>AGUARDANDO COLETA</t>
        </is>
      </c>
      <c r="U728" s="8">
        <f>IF(AND(V728=1,D728&lt;&gt;""),IF(D728&gt;=corte,TODAY()-D728,""),"")</f>
        <v/>
      </c>
      <c r="V728" s="8">
        <f>IF(D728="",0,IF(OR(AND(P728&lt;&gt;"",S728=""),AND(N(J728)&gt;0,N(K728)&lt;J728),OR(M728="PENDENTE",M728="PARCIAL"),OR(N728="PENDENTE",N728="PARCIAL")),1,0))</f>
        <v/>
      </c>
      <c r="W728" s="8">
        <f>IF(AND(V728=1,D728&lt;&gt;""),IF(D728&gt;=corte,(B728="CRÍTICO")*1E9+(100000-D728)*10000+10000-ROW(),""),"")</f>
        <v/>
      </c>
      <c r="X728" s="8">
        <f>IF(AND(V728=1,D728=pas_data,E728=pas_turno),10000-ROW(),"")</f>
        <v/>
      </c>
    </row>
    <row r="729">
      <c r="A729" s="3">
        <f>IF(D729="","","TT-"&amp;TEXT(ROW()-1,"00000"))</f>
        <v/>
      </c>
      <c r="B729" s="3">
        <f>IF(D729="","",IF(V729=0,"CONCLUÍDO",IF(D729&lt;corte,"HISTÓRICO",IF(OR(AND(ISNUMBER(R729),R729&lt;TODAY()),AND(OR(N729="PENDENTE",N729="PARCIAL"),D729&lt;TODAY()-1)),"CRÍTICO",IF(OR(AND(P729&lt;&gt;"",S729=""),AND(N729="REALIZADO",M729="PENDENTE"),AND(ISNUMBER(R729),R729=TODAY())),"ATENÇÃO",IF(N(K729)=0,"PENDENTE","EM ANDAMENTO"))))))</f>
        <v/>
      </c>
      <c r="C729" s="3">
        <f>IF(D729="","",IF(V729=0,"🟢 OK",IF(D729&lt;corte,"⚪ HISTÓRICO (sem baixa)",IF(AND(ISNUMBER(R729),R729&lt;TODAY()),"🔴 PRAZO VENCIDO",IF(AND(OR(N729="PENDENTE",N729="PARCIAL"),D729&lt;TODAY()-1),"🔴 EMBARQUE ATRASADO",IF(AND(N729="REALIZADO",M729="PENDENTE"),"🟡 EMBARCADO SEM FATURAR",IF(AND(P729&lt;&gt;"",S729="",OR(Q729="",R729="")),"🟡 PENDÊNCIA SEM RESPONSÁVEL/PRAZO",IF(AND(ISNUMBER(R729),R729=TODAY()),"🟡 VENCE HOJE",IF(AND(P729&lt;&gt;"",S729=""),"🟡 PENDÊNCIA ABERTA",IF(AND(N(J729)&gt;0,N(K729)&lt;J729),"🟡 FALTA EXECUTAR",IF(OR(M729="PENDENTE",M729="PARCIAL"),"🟡 FATURAMENTO PENDENTE","🟡 EMBARQUE PENDENTE")))))))))))</f>
        <v/>
      </c>
      <c r="D729" s="4" t="n">
        <v>46277</v>
      </c>
      <c r="E729" s="5" t="inlineStr">
        <is>
          <t>D</t>
        </is>
      </c>
      <c r="F729" s="5" t="inlineStr">
        <is>
          <t>VINICIUS</t>
        </is>
      </c>
      <c r="G729" s="5" t="inlineStr">
        <is>
          <t>GM</t>
        </is>
      </c>
      <c r="H729" s="5" t="inlineStr">
        <is>
          <t>SMT0007DI</t>
        </is>
      </c>
      <c r="I729" s="5" t="inlineStr">
        <is>
          <t>TON</t>
        </is>
      </c>
      <c r="J729" s="6" t="n">
        <v>1.799</v>
      </c>
      <c r="K729" s="6" t="n">
        <v>1.799</v>
      </c>
      <c r="L729" s="7">
        <f>IF(OR(D729="",N(J729)=0),"",MIN(1,N(K729)/J729))</f>
        <v/>
      </c>
      <c r="M729" s="5" t="inlineStr">
        <is>
          <t>FATURADO</t>
        </is>
      </c>
      <c r="N729" s="5" t="inlineStr">
        <is>
          <t>PENDENTE</t>
        </is>
      </c>
      <c r="O729" s="5" t="inlineStr">
        <is>
          <t>SMARTLOG</t>
        </is>
      </c>
      <c r="P729" s="5" t="inlineStr">
        <is>
          <t>AGUARDANDO COLETA</t>
        </is>
      </c>
      <c r="Q729" s="5" t="n"/>
      <c r="R729" s="4" t="n"/>
      <c r="S729" s="4" t="n"/>
      <c r="T729" s="5" t="inlineStr">
        <is>
          <t>AGUARDANDO COLETA</t>
        </is>
      </c>
      <c r="U729" s="8">
        <f>IF(AND(V729=1,D729&lt;&gt;""),IF(D729&gt;=corte,TODAY()-D729,""),"")</f>
        <v/>
      </c>
      <c r="V729" s="8">
        <f>IF(D729="",0,IF(OR(AND(P729&lt;&gt;"",S729=""),AND(N(J729)&gt;0,N(K729)&lt;J729),OR(M729="PENDENTE",M729="PARCIAL"),OR(N729="PENDENTE",N729="PARCIAL")),1,0))</f>
        <v/>
      </c>
      <c r="W729" s="8">
        <f>IF(AND(V729=1,D729&lt;&gt;""),IF(D729&gt;=corte,(B729="CRÍTICO")*1E9+(100000-D729)*10000+10000-ROW(),""),"")</f>
        <v/>
      </c>
      <c r="X729" s="8">
        <f>IF(AND(V729=1,D729=pas_data,E729=pas_turno),10000-ROW(),"")</f>
        <v/>
      </c>
    </row>
    <row r="730">
      <c r="A730" s="3">
        <f>IF(D730="","","TT-"&amp;TEXT(ROW()-1,"00000"))</f>
        <v/>
      </c>
      <c r="B730" s="3">
        <f>IF(D730="","",IF(V730=0,"CONCLUÍDO",IF(D730&lt;corte,"HISTÓRICO",IF(OR(AND(ISNUMBER(R730),R730&lt;TODAY()),AND(OR(N730="PENDENTE",N730="PARCIAL"),D730&lt;TODAY()-1)),"CRÍTICO",IF(OR(AND(P730&lt;&gt;"",S730=""),AND(N730="REALIZADO",M730="PENDENTE"),AND(ISNUMBER(R730),R730=TODAY())),"ATENÇÃO",IF(N(K730)=0,"PENDENTE","EM ANDAMENTO"))))))</f>
        <v/>
      </c>
      <c r="C730" s="3">
        <f>IF(D730="","",IF(V730=0,"🟢 OK",IF(D730&lt;corte,"⚪ HISTÓRICO (sem baixa)",IF(AND(ISNUMBER(R730),R730&lt;TODAY()),"🔴 PRAZO VENCIDO",IF(AND(OR(N730="PENDENTE",N730="PARCIAL"),D730&lt;TODAY()-1),"🔴 EMBARQUE ATRASADO",IF(AND(N730="REALIZADO",M730="PENDENTE"),"🟡 EMBARCADO SEM FATURAR",IF(AND(P730&lt;&gt;"",S730="",OR(Q730="",R730="")),"🟡 PENDÊNCIA SEM RESPONSÁVEL/PRAZO",IF(AND(ISNUMBER(R730),R730=TODAY()),"🟡 VENCE HOJE",IF(AND(P730&lt;&gt;"",S730=""),"🟡 PENDÊNCIA ABERTA",IF(AND(N(J730)&gt;0,N(K730)&lt;J730),"🟡 FALTA EXECUTAR",IF(OR(M730="PENDENTE",M730="PARCIAL"),"🟡 FATURAMENTO PENDENTE","🟡 EMBARQUE PENDENTE")))))))))))</f>
        <v/>
      </c>
      <c r="D730" s="4" t="n">
        <v>46277</v>
      </c>
      <c r="E730" s="5" t="inlineStr">
        <is>
          <t>D</t>
        </is>
      </c>
      <c r="F730" s="5" t="inlineStr">
        <is>
          <t>VINICIUS</t>
        </is>
      </c>
      <c r="G730" s="5" t="inlineStr">
        <is>
          <t>GM</t>
        </is>
      </c>
      <c r="H730" s="5" t="inlineStr">
        <is>
          <t>SMT0008DI</t>
        </is>
      </c>
      <c r="I730" s="5" t="inlineStr">
        <is>
          <t>TON</t>
        </is>
      </c>
      <c r="J730" s="6" t="n">
        <v>11.962</v>
      </c>
      <c r="K730" s="6" t="n">
        <v>11.962</v>
      </c>
      <c r="L730" s="7">
        <f>IF(OR(D730="",N(J730)=0),"",MIN(1,N(K730)/J730))</f>
        <v/>
      </c>
      <c r="M730" s="5" t="inlineStr">
        <is>
          <t>FATURADO</t>
        </is>
      </c>
      <c r="N730" s="5" t="inlineStr">
        <is>
          <t>PENDENTE</t>
        </is>
      </c>
      <c r="O730" s="5" t="inlineStr">
        <is>
          <t>SMARTLOG</t>
        </is>
      </c>
      <c r="P730" s="5" t="inlineStr">
        <is>
          <t>AGUARDANDO COLETA</t>
        </is>
      </c>
      <c r="Q730" s="5" t="n"/>
      <c r="R730" s="4" t="n"/>
      <c r="S730" s="4" t="n"/>
      <c r="T730" s="5" t="inlineStr">
        <is>
          <t>AGUARDANDO COLETA</t>
        </is>
      </c>
      <c r="U730" s="8">
        <f>IF(AND(V730=1,D730&lt;&gt;""),IF(D730&gt;=corte,TODAY()-D730,""),"")</f>
        <v/>
      </c>
      <c r="V730" s="8">
        <f>IF(D730="",0,IF(OR(AND(P730&lt;&gt;"",S730=""),AND(N(J730)&gt;0,N(K730)&lt;J730),OR(M730="PENDENTE",M730="PARCIAL"),OR(N730="PENDENTE",N730="PARCIAL")),1,0))</f>
        <v/>
      </c>
      <c r="W730" s="8">
        <f>IF(AND(V730=1,D730&lt;&gt;""),IF(D730&gt;=corte,(B730="CRÍTICO")*1E9+(100000-D730)*10000+10000-ROW(),""),"")</f>
        <v/>
      </c>
      <c r="X730" s="8">
        <f>IF(AND(V730=1,D730=pas_data,E730=pas_turno),10000-ROW(),"")</f>
        <v/>
      </c>
    </row>
    <row r="731">
      <c r="A731" s="3">
        <f>IF(D731="","","TT-"&amp;TEXT(ROW()-1,"00000"))</f>
        <v/>
      </c>
      <c r="B731" s="3">
        <f>IF(D731="","",IF(V731=0,"CONCLUÍDO",IF(D731&lt;corte,"HISTÓRICO",IF(OR(AND(ISNUMBER(R731),R731&lt;TODAY()),AND(OR(N731="PENDENTE",N731="PARCIAL"),D731&lt;TODAY()-1)),"CRÍTICO",IF(OR(AND(P731&lt;&gt;"",S731=""),AND(N731="REALIZADO",M731="PENDENTE"),AND(ISNUMBER(R731),R731=TODAY())),"ATENÇÃO",IF(N(K731)=0,"PENDENTE","EM ANDAMENTO"))))))</f>
        <v/>
      </c>
      <c r="C731" s="3">
        <f>IF(D731="","",IF(V731=0,"🟢 OK",IF(D731&lt;corte,"⚪ HISTÓRICO (sem baixa)",IF(AND(ISNUMBER(R731),R731&lt;TODAY()),"🔴 PRAZO VENCIDO",IF(AND(OR(N731="PENDENTE",N731="PARCIAL"),D731&lt;TODAY()-1),"🔴 EMBARQUE ATRASADO",IF(AND(N731="REALIZADO",M731="PENDENTE"),"🟡 EMBARCADO SEM FATURAR",IF(AND(P731&lt;&gt;"",S731="",OR(Q731="",R731="")),"🟡 PENDÊNCIA SEM RESPONSÁVEL/PRAZO",IF(AND(ISNUMBER(R731),R731=TODAY()),"🟡 VENCE HOJE",IF(AND(P731&lt;&gt;"",S731=""),"🟡 PENDÊNCIA ABERTA",IF(AND(N(J731)&gt;0,N(K731)&lt;J731),"🟡 FALTA EXECUTAR",IF(OR(M731="PENDENTE",M731="PARCIAL"),"🟡 FATURAMENTO PENDENTE","🟡 EMBARQUE PENDENTE")))))))))))</f>
        <v/>
      </c>
      <c r="D731" s="4" t="n">
        <v>46277</v>
      </c>
      <c r="E731" s="5" t="inlineStr">
        <is>
          <t>D</t>
        </is>
      </c>
      <c r="F731" s="5" t="inlineStr">
        <is>
          <t>VINICIUS</t>
        </is>
      </c>
      <c r="G731" s="5" t="inlineStr">
        <is>
          <t>GM</t>
        </is>
      </c>
      <c r="H731" s="5" t="inlineStr">
        <is>
          <t>SMT0009DI</t>
        </is>
      </c>
      <c r="I731" s="5" t="inlineStr">
        <is>
          <t>TON</t>
        </is>
      </c>
      <c r="J731" s="6" t="n">
        <v>1.229</v>
      </c>
      <c r="K731" s="6" t="n">
        <v>1.229</v>
      </c>
      <c r="L731" s="7">
        <f>IF(OR(D731="",N(J731)=0),"",MIN(1,N(K731)/J731))</f>
        <v/>
      </c>
      <c r="M731" s="5" t="inlineStr">
        <is>
          <t>FATURADO</t>
        </is>
      </c>
      <c r="N731" s="5" t="inlineStr">
        <is>
          <t>PENDENTE</t>
        </is>
      </c>
      <c r="O731" s="5" t="inlineStr">
        <is>
          <t>SMARTLOG</t>
        </is>
      </c>
      <c r="P731" s="5" t="inlineStr">
        <is>
          <t>AGUARDANDO COLETA</t>
        </is>
      </c>
      <c r="Q731" s="5" t="n"/>
      <c r="R731" s="4" t="n"/>
      <c r="S731" s="4" t="n"/>
      <c r="T731" s="5" t="inlineStr">
        <is>
          <t>AGUARDANDO COLETA</t>
        </is>
      </c>
      <c r="U731" s="8">
        <f>IF(AND(V731=1,D731&lt;&gt;""),IF(D731&gt;=corte,TODAY()-D731,""),"")</f>
        <v/>
      </c>
      <c r="V731" s="8">
        <f>IF(D731="",0,IF(OR(AND(P731&lt;&gt;"",S731=""),AND(N(J731)&gt;0,N(K731)&lt;J731),OR(M731="PENDENTE",M731="PARCIAL"),OR(N731="PENDENTE",N731="PARCIAL")),1,0))</f>
        <v/>
      </c>
      <c r="W731" s="8">
        <f>IF(AND(V731=1,D731&lt;&gt;""),IF(D731&gt;=corte,(B731="CRÍTICO")*1E9+(100000-D731)*10000+10000-ROW(),""),"")</f>
        <v/>
      </c>
      <c r="X731" s="8">
        <f>IF(AND(V731=1,D731=pas_data,E731=pas_turno),10000-ROW(),"")</f>
        <v/>
      </c>
    </row>
    <row r="732">
      <c r="A732" s="3">
        <f>IF(D732="","","TT-"&amp;TEXT(ROW()-1,"00000"))</f>
        <v/>
      </c>
      <c r="B732" s="3">
        <f>IF(D732="","",IF(V732=0,"CONCLUÍDO",IF(D732&lt;corte,"HISTÓRICO",IF(OR(AND(ISNUMBER(R732),R732&lt;TODAY()),AND(OR(N732="PENDENTE",N732="PARCIAL"),D732&lt;TODAY()-1)),"CRÍTICO",IF(OR(AND(P732&lt;&gt;"",S732=""),AND(N732="REALIZADO",M732="PENDENTE"),AND(ISNUMBER(R732),R732=TODAY())),"ATENÇÃO",IF(N(K732)=0,"PENDENTE","EM ANDAMENTO"))))))</f>
        <v/>
      </c>
      <c r="C732" s="3">
        <f>IF(D732="","",IF(V732=0,"🟢 OK",IF(D732&lt;corte,"⚪ HISTÓRICO (sem baixa)",IF(AND(ISNUMBER(R732),R732&lt;TODAY()),"🔴 PRAZO VENCIDO",IF(AND(OR(N732="PENDENTE",N732="PARCIAL"),D732&lt;TODAY()-1),"🔴 EMBARQUE ATRASADO",IF(AND(N732="REALIZADO",M732="PENDENTE"),"🟡 EMBARCADO SEM FATURAR",IF(AND(P732&lt;&gt;"",S732="",OR(Q732="",R732="")),"🟡 PENDÊNCIA SEM RESPONSÁVEL/PRAZO",IF(AND(ISNUMBER(R732),R732=TODAY()),"🟡 VENCE HOJE",IF(AND(P732&lt;&gt;"",S732=""),"🟡 PENDÊNCIA ABERTA",IF(AND(N(J732)&gt;0,N(K732)&lt;J732),"🟡 FALTA EXECUTAR",IF(OR(M732="PENDENTE",M732="PARCIAL"),"🟡 FATURAMENTO PENDENTE","🟡 EMBARQUE PENDENTE")))))))))))</f>
        <v/>
      </c>
      <c r="D732" s="4" t="n">
        <v>46277</v>
      </c>
      <c r="E732" s="5" t="inlineStr">
        <is>
          <t>D</t>
        </is>
      </c>
      <c r="F732" s="5" t="inlineStr">
        <is>
          <t>VINICIUS</t>
        </is>
      </c>
      <c r="G732" s="5" t="inlineStr">
        <is>
          <t>GM</t>
        </is>
      </c>
      <c r="H732" s="5" t="inlineStr">
        <is>
          <t>SMT001NOVAMEGAG</t>
        </is>
      </c>
      <c r="I732" s="5" t="inlineStr">
        <is>
          <t>TON</t>
        </is>
      </c>
      <c r="J732" s="6" t="n">
        <v>2.036</v>
      </c>
      <c r="K732" s="6" t="n">
        <v>2.036</v>
      </c>
      <c r="L732" s="7">
        <f>IF(OR(D732="",N(J732)=0),"",MIN(1,N(K732)/J732))</f>
        <v/>
      </c>
      <c r="M732" s="5" t="inlineStr">
        <is>
          <t>FATURADO</t>
        </is>
      </c>
      <c r="N732" s="5" t="inlineStr">
        <is>
          <t>PENDENTE</t>
        </is>
      </c>
      <c r="O732" s="5" t="inlineStr">
        <is>
          <t>SMARTLOG</t>
        </is>
      </c>
      <c r="P732" s="5" t="inlineStr">
        <is>
          <t>AGUARDANDO COLETA</t>
        </is>
      </c>
      <c r="Q732" s="5" t="n"/>
      <c r="R732" s="4" t="n"/>
      <c r="S732" s="4" t="n"/>
      <c r="T732" s="5" t="inlineStr">
        <is>
          <t>AGUARDANDO COLETA</t>
        </is>
      </c>
      <c r="U732" s="8">
        <f>IF(AND(V732=1,D732&lt;&gt;""),IF(D732&gt;=corte,TODAY()-D732,""),"")</f>
        <v/>
      </c>
      <c r="V732" s="8">
        <f>IF(D732="",0,IF(OR(AND(P732&lt;&gt;"",S732=""),AND(N(J732)&gt;0,N(K732)&lt;J732),OR(M732="PENDENTE",M732="PARCIAL"),OR(N732="PENDENTE",N732="PARCIAL")),1,0))</f>
        <v/>
      </c>
      <c r="W732" s="8">
        <f>IF(AND(V732=1,D732&lt;&gt;""),IF(D732&gt;=corte,(B732="CRÍTICO")*1E9+(100000-D732)*10000+10000-ROW(),""),"")</f>
        <v/>
      </c>
      <c r="X732" s="8">
        <f>IF(AND(V732=1,D732=pas_data,E732=pas_turno),10000-ROW(),"")</f>
        <v/>
      </c>
    </row>
    <row r="733">
      <c r="A733" s="3">
        <f>IF(D733="","","TT-"&amp;TEXT(ROW()-1,"00000"))</f>
        <v/>
      </c>
      <c r="B733" s="3">
        <f>IF(D733="","",IF(V733=0,"CONCLUÍDO",IF(D733&lt;corte,"HISTÓRICO",IF(OR(AND(ISNUMBER(R733),R733&lt;TODAY()),AND(OR(N733="PENDENTE",N733="PARCIAL"),D733&lt;TODAY()-1)),"CRÍTICO",IF(OR(AND(P733&lt;&gt;"",S733=""),AND(N733="REALIZADO",M733="PENDENTE"),AND(ISNUMBER(R733),R733=TODAY())),"ATENÇÃO",IF(N(K733)=0,"PENDENTE","EM ANDAMENTO"))))))</f>
        <v/>
      </c>
      <c r="C733" s="3">
        <f>IF(D733="","",IF(V733=0,"🟢 OK",IF(D733&lt;corte,"⚪ HISTÓRICO (sem baixa)",IF(AND(ISNUMBER(R733),R733&lt;TODAY()),"🔴 PRAZO VENCIDO",IF(AND(OR(N733="PENDENTE",N733="PARCIAL"),D733&lt;TODAY()-1),"🔴 EMBARQUE ATRASADO",IF(AND(N733="REALIZADO",M733="PENDENTE"),"🟡 EMBARCADO SEM FATURAR",IF(AND(P733&lt;&gt;"",S733="",OR(Q733="",R733="")),"🟡 PENDÊNCIA SEM RESPONSÁVEL/PRAZO",IF(AND(ISNUMBER(R733),R733=TODAY()),"🟡 VENCE HOJE",IF(AND(P733&lt;&gt;"",S733=""),"🟡 PENDÊNCIA ABERTA",IF(AND(N(J733)&gt;0,N(K733)&lt;J733),"🟡 FALTA EXECUTAR",IF(OR(M733="PENDENTE",M733="PARCIAL"),"🟡 FATURAMENTO PENDENTE","🟡 EMBARQUE PENDENTE")))))))))))</f>
        <v/>
      </c>
      <c r="D733" s="4" t="n">
        <v>46278</v>
      </c>
      <c r="E733" s="5" t="inlineStr">
        <is>
          <t>C</t>
        </is>
      </c>
      <c r="F733" s="5" t="inlineStr">
        <is>
          <t>ADIB</t>
        </is>
      </c>
      <c r="G733" s="5" t="inlineStr">
        <is>
          <t>GM</t>
        </is>
      </c>
      <c r="H733" s="5" t="inlineStr">
        <is>
          <t>RJ CARRO 1</t>
        </is>
      </c>
      <c r="I733" s="5" t="inlineStr">
        <is>
          <t>TON</t>
        </is>
      </c>
      <c r="J733" s="6" t="n">
        <v>16.956</v>
      </c>
      <c r="K733" s="6" t="n">
        <v>16.956</v>
      </c>
      <c r="L733" s="7">
        <f>IF(OR(D733="",N(J733)=0),"",MIN(1,N(K733)/J733))</f>
        <v/>
      </c>
      <c r="M733" s="5" t="inlineStr">
        <is>
          <t>FATURADO</t>
        </is>
      </c>
      <c r="N733" s="5" t="inlineStr">
        <is>
          <t>PENDENTE</t>
        </is>
      </c>
      <c r="O733" s="5" t="inlineStr">
        <is>
          <t>OMEGA X</t>
        </is>
      </c>
      <c r="P733" s="5" t="inlineStr">
        <is>
          <t>AGUARDANDO CARRO PARA EMBARQUE</t>
        </is>
      </c>
      <c r="Q733" s="5" t="n"/>
      <c r="R733" s="4" t="n"/>
      <c r="S733" s="4" t="n"/>
      <c r="T733" s="5" t="inlineStr">
        <is>
          <t>AGUARDANDO CARRO PARA EMBARQUE</t>
        </is>
      </c>
      <c r="U733" s="8">
        <f>IF(AND(V733=1,D733&lt;&gt;""),IF(D733&gt;=corte,TODAY()-D733,""),"")</f>
        <v/>
      </c>
      <c r="V733" s="8">
        <f>IF(D733="",0,IF(OR(AND(P733&lt;&gt;"",S733=""),AND(N(J733)&gt;0,N(K733)&lt;J733),OR(M733="PENDENTE",M733="PARCIAL"),OR(N733="PENDENTE",N733="PARCIAL")),1,0))</f>
        <v/>
      </c>
      <c r="W733" s="8">
        <f>IF(AND(V733=1,D733&lt;&gt;""),IF(D733&gt;=corte,(B733="CRÍTICO")*1E9+(100000-D733)*10000+10000-ROW(),""),"")</f>
        <v/>
      </c>
      <c r="X733" s="8">
        <f>IF(AND(V733=1,D733=pas_data,E733=pas_turno),10000-ROW(),"")</f>
        <v/>
      </c>
    </row>
    <row r="734">
      <c r="A734" s="3">
        <f>IF(D734="","","TT-"&amp;TEXT(ROW()-1,"00000"))</f>
        <v/>
      </c>
      <c r="B734" s="3">
        <f>IF(D734="","",IF(V734=0,"CONCLUÍDO",IF(D734&lt;corte,"HISTÓRICO",IF(OR(AND(ISNUMBER(R734),R734&lt;TODAY()),AND(OR(N734="PENDENTE",N734="PARCIAL"),D734&lt;TODAY()-1)),"CRÍTICO",IF(OR(AND(P734&lt;&gt;"",S734=""),AND(N734="REALIZADO",M734="PENDENTE"),AND(ISNUMBER(R734),R734=TODAY())),"ATENÇÃO",IF(N(K734)=0,"PENDENTE","EM ANDAMENTO"))))))</f>
        <v/>
      </c>
      <c r="C734" s="3">
        <f>IF(D734="","",IF(V734=0,"🟢 OK",IF(D734&lt;corte,"⚪ HISTÓRICO (sem baixa)",IF(AND(ISNUMBER(R734),R734&lt;TODAY()),"🔴 PRAZO VENCIDO",IF(AND(OR(N734="PENDENTE",N734="PARCIAL"),D734&lt;TODAY()-1),"🔴 EMBARQUE ATRASADO",IF(AND(N734="REALIZADO",M734="PENDENTE"),"🟡 EMBARCADO SEM FATURAR",IF(AND(P734&lt;&gt;"",S734="",OR(Q734="",R734="")),"🟡 PENDÊNCIA SEM RESPONSÁVEL/PRAZO",IF(AND(ISNUMBER(R734),R734=TODAY()),"🟡 VENCE HOJE",IF(AND(P734&lt;&gt;"",S734=""),"🟡 PENDÊNCIA ABERTA",IF(AND(N(J734)&gt;0,N(K734)&lt;J734),"🟡 FALTA EXECUTAR",IF(OR(M734="PENDENTE",M734="PARCIAL"),"🟡 FATURAMENTO PENDENTE","🟡 EMBARQUE PENDENTE")))))))))))</f>
        <v/>
      </c>
      <c r="D734" s="4" t="n">
        <v>46278</v>
      </c>
      <c r="E734" s="5" t="inlineStr">
        <is>
          <t>C</t>
        </is>
      </c>
      <c r="F734" s="5" t="inlineStr">
        <is>
          <t>ADIB</t>
        </is>
      </c>
      <c r="G734" s="5" t="inlineStr">
        <is>
          <t>GM</t>
        </is>
      </c>
      <c r="H734" s="5" t="inlineStr">
        <is>
          <t>RJ CARRO 2</t>
        </is>
      </c>
      <c r="I734" s="5" t="inlineStr">
        <is>
          <t>TON</t>
        </is>
      </c>
      <c r="J734" s="6" t="n">
        <v>8.003</v>
      </c>
      <c r="K734" s="6" t="n">
        <v>8.003</v>
      </c>
      <c r="L734" s="7">
        <f>IF(OR(D734="",N(J734)=0),"",MIN(1,N(K734)/J734))</f>
        <v/>
      </c>
      <c r="M734" s="5" t="inlineStr">
        <is>
          <t>FATURADO</t>
        </is>
      </c>
      <c r="N734" s="5" t="inlineStr">
        <is>
          <t>PENDENTE</t>
        </is>
      </c>
      <c r="O734" s="5" t="inlineStr">
        <is>
          <t>OMEGA X</t>
        </is>
      </c>
      <c r="P734" s="5" t="inlineStr">
        <is>
          <t>AGUARDANDO CARRO PARA EMBARQUE</t>
        </is>
      </c>
      <c r="Q734" s="5" t="n"/>
      <c r="R734" s="4" t="n"/>
      <c r="S734" s="4" t="n"/>
      <c r="T734" s="5" t="inlineStr">
        <is>
          <t>AGUARDANDO CARRO PARA EMBARQUE</t>
        </is>
      </c>
      <c r="U734" s="8">
        <f>IF(AND(V734=1,D734&lt;&gt;""),IF(D734&gt;=corte,TODAY()-D734,""),"")</f>
        <v/>
      </c>
      <c r="V734" s="8">
        <f>IF(D734="",0,IF(OR(AND(P734&lt;&gt;"",S734=""),AND(N(J734)&gt;0,N(K734)&lt;J734),OR(M734="PENDENTE",M734="PARCIAL"),OR(N734="PENDENTE",N734="PARCIAL")),1,0))</f>
        <v/>
      </c>
      <c r="W734" s="8">
        <f>IF(AND(V734=1,D734&lt;&gt;""),IF(D734&gt;=corte,(B734="CRÍTICO")*1E9+(100000-D734)*10000+10000-ROW(),""),"")</f>
        <v/>
      </c>
      <c r="X734" s="8">
        <f>IF(AND(V734=1,D734=pas_data,E734=pas_turno),10000-ROW(),"")</f>
        <v/>
      </c>
    </row>
    <row r="735">
      <c r="A735" s="3">
        <f>IF(D735="","","TT-"&amp;TEXT(ROW()-1,"00000"))</f>
        <v/>
      </c>
      <c r="B735" s="3">
        <f>IF(D735="","",IF(V735=0,"CONCLUÍDO",IF(D735&lt;corte,"HISTÓRICO",IF(OR(AND(ISNUMBER(R735),R735&lt;TODAY()),AND(OR(N735="PENDENTE",N735="PARCIAL"),D735&lt;TODAY()-1)),"CRÍTICO",IF(OR(AND(P735&lt;&gt;"",S735=""),AND(N735="REALIZADO",M735="PENDENTE"),AND(ISNUMBER(R735),R735=TODAY())),"ATENÇÃO",IF(N(K735)=0,"PENDENTE","EM ANDAMENTO"))))))</f>
        <v/>
      </c>
      <c r="C735" s="3">
        <f>IF(D735="","",IF(V735=0,"🟢 OK",IF(D735&lt;corte,"⚪ HISTÓRICO (sem baixa)",IF(AND(ISNUMBER(R735),R735&lt;TODAY()),"🔴 PRAZO VENCIDO",IF(AND(OR(N735="PENDENTE",N735="PARCIAL"),D735&lt;TODAY()-1),"🔴 EMBARQUE ATRASADO",IF(AND(N735="REALIZADO",M735="PENDENTE"),"🟡 EMBARCADO SEM FATURAR",IF(AND(P735&lt;&gt;"",S735="",OR(Q735="",R735="")),"🟡 PENDÊNCIA SEM RESPONSÁVEL/PRAZO",IF(AND(ISNUMBER(R735),R735=TODAY()),"🟡 VENCE HOJE",IF(AND(P735&lt;&gt;"",S735=""),"🟡 PENDÊNCIA ABERTA",IF(AND(N(J735)&gt;0,N(K735)&lt;J735),"🟡 FALTA EXECUTAR",IF(OR(M735="PENDENTE",M735="PARCIAL"),"🟡 FATURAMENTO PENDENTE","🟡 EMBARQUE PENDENTE")))))))))))</f>
        <v/>
      </c>
      <c r="D735" s="4" t="n">
        <v>46278</v>
      </c>
      <c r="E735" s="5" t="inlineStr">
        <is>
          <t>C</t>
        </is>
      </c>
      <c r="F735" s="5" t="inlineStr">
        <is>
          <t>ADIB</t>
        </is>
      </c>
      <c r="G735" s="5" t="inlineStr">
        <is>
          <t>FM</t>
        </is>
      </c>
      <c r="H735" s="5" t="inlineStr">
        <is>
          <t>PANDURATA</t>
        </is>
      </c>
      <c r="I735" s="5" t="inlineStr">
        <is>
          <t>TON</t>
        </is>
      </c>
      <c r="J735" s="6" t="n">
        <v>28.054</v>
      </c>
      <c r="K735" s="6" t="n">
        <v>28.054</v>
      </c>
      <c r="L735" s="7">
        <f>IF(OR(D735="",N(J735)=0),"",MIN(1,N(K735)/J735))</f>
        <v/>
      </c>
      <c r="M735" s="5" t="inlineStr">
        <is>
          <t>PENDENTE</t>
        </is>
      </c>
      <c r="N735" s="5" t="inlineStr">
        <is>
          <t>PENDENTE</t>
        </is>
      </c>
      <c r="O735" s="5" t="inlineStr">
        <is>
          <t>SPEEDYLOG</t>
        </is>
      </c>
      <c r="P735" s="5" t="inlineStr">
        <is>
          <t>FATURAR DIA 14/09</t>
        </is>
      </c>
      <c r="Q735" s="5" t="n"/>
      <c r="R735" s="4" t="n"/>
      <c r="S735" s="4" t="n"/>
      <c r="T735" s="5" t="inlineStr">
        <is>
          <t>FATURAR DIA 14/09</t>
        </is>
      </c>
      <c r="U735" s="8">
        <f>IF(AND(V735=1,D735&lt;&gt;""),IF(D735&gt;=corte,TODAY()-D735,""),"")</f>
        <v/>
      </c>
      <c r="V735" s="8">
        <f>IF(D735="",0,IF(OR(AND(P735&lt;&gt;"",S735=""),AND(N(J735)&gt;0,N(K735)&lt;J735),OR(M735="PENDENTE",M735="PARCIAL"),OR(N735="PENDENTE",N735="PARCIAL")),1,0))</f>
        <v/>
      </c>
      <c r="W735" s="8">
        <f>IF(AND(V735=1,D735&lt;&gt;""),IF(D735&gt;=corte,(B735="CRÍTICO")*1E9+(100000-D735)*10000+10000-ROW(),""),"")</f>
        <v/>
      </c>
      <c r="X735" s="8">
        <f>IF(AND(V735=1,D735=pas_data,E735=pas_turno),10000-ROW(),"")</f>
        <v/>
      </c>
    </row>
    <row r="736">
      <c r="A736" s="3">
        <f>IF(D736="","","TT-"&amp;TEXT(ROW()-1,"00000"))</f>
        <v/>
      </c>
      <c r="B736" s="3">
        <f>IF(D736="","",IF(V736=0,"CONCLUÍDO",IF(D736&lt;corte,"HISTÓRICO",IF(OR(AND(ISNUMBER(R736),R736&lt;TODAY()),AND(OR(N736="PENDENTE",N736="PARCIAL"),D736&lt;TODAY()-1)),"CRÍTICO",IF(OR(AND(P736&lt;&gt;"",S736=""),AND(N736="REALIZADO",M736="PENDENTE"),AND(ISNUMBER(R736),R736=TODAY())),"ATENÇÃO",IF(N(K736)=0,"PENDENTE","EM ANDAMENTO"))))))</f>
        <v/>
      </c>
      <c r="C736" s="3">
        <f>IF(D736="","",IF(V736=0,"🟢 OK",IF(D736&lt;corte,"⚪ HISTÓRICO (sem baixa)",IF(AND(ISNUMBER(R736),R736&lt;TODAY()),"🔴 PRAZO VENCIDO",IF(AND(OR(N736="PENDENTE",N736="PARCIAL"),D736&lt;TODAY()-1),"🔴 EMBARQUE ATRASADO",IF(AND(N736="REALIZADO",M736="PENDENTE"),"🟡 EMBARCADO SEM FATURAR",IF(AND(P736&lt;&gt;"",S736="",OR(Q736="",R736="")),"🟡 PENDÊNCIA SEM RESPONSÁVEL/PRAZO",IF(AND(ISNUMBER(R736),R736=TODAY()),"🟡 VENCE HOJE",IF(AND(P736&lt;&gt;"",S736=""),"🟡 PENDÊNCIA ABERTA",IF(AND(N(J736)&gt;0,N(K736)&lt;J736),"🟡 FALTA EXECUTAR",IF(OR(M736="PENDENTE",M736="PARCIAL"),"🟡 FATURAMENTO PENDENTE","🟡 EMBARQUE PENDENTE")))))))))))</f>
        <v/>
      </c>
      <c r="D736" s="4" t="n">
        <v>46278</v>
      </c>
      <c r="E736" s="5" t="inlineStr">
        <is>
          <t>D</t>
        </is>
      </c>
      <c r="F736" s="5" t="inlineStr">
        <is>
          <t>VINICIUS</t>
        </is>
      </c>
      <c r="G736" s="5" t="inlineStr">
        <is>
          <t>GM</t>
        </is>
      </c>
      <c r="H736" s="5" t="inlineStr">
        <is>
          <t>ROTA SUL - RS</t>
        </is>
      </c>
      <c r="I736" s="5" t="inlineStr">
        <is>
          <t>TON</t>
        </is>
      </c>
      <c r="J736" s="6" t="n">
        <v>18.167</v>
      </c>
      <c r="K736" s="6" t="n">
        <v>18.167</v>
      </c>
      <c r="L736" s="7">
        <f>IF(OR(D736="",N(J736)=0),"",MIN(1,N(K736)/J736))</f>
        <v/>
      </c>
      <c r="M736" s="5" t="inlineStr">
        <is>
          <t>FATURADO</t>
        </is>
      </c>
      <c r="N736" s="5" t="inlineStr">
        <is>
          <t>PENDENTE</t>
        </is>
      </c>
      <c r="O736" s="5" t="inlineStr">
        <is>
          <t>RENOVAÇÃO</t>
        </is>
      </c>
      <c r="P736" s="5" t="inlineStr">
        <is>
          <t>AGUARDANDO COLETA</t>
        </is>
      </c>
      <c r="Q736" s="5" t="n"/>
      <c r="R736" s="4" t="n"/>
      <c r="S736" s="4" t="n"/>
      <c r="T736" s="5" t="inlineStr">
        <is>
          <t>AGUARDANDO COLETA</t>
        </is>
      </c>
      <c r="U736" s="8">
        <f>IF(AND(V736=1,D736&lt;&gt;""),IF(D736&gt;=corte,TODAY()-D736,""),"")</f>
        <v/>
      </c>
      <c r="V736" s="8">
        <f>IF(D736="",0,IF(OR(AND(P736&lt;&gt;"",S736=""),AND(N(J736)&gt;0,N(K736)&lt;J736),OR(M736="PENDENTE",M736="PARCIAL"),OR(N736="PENDENTE",N736="PARCIAL")),1,0))</f>
        <v/>
      </c>
      <c r="W736" s="8">
        <f>IF(AND(V736=1,D736&lt;&gt;""),IF(D736&gt;=corte,(B736="CRÍTICO")*1E9+(100000-D736)*10000+10000-ROW(),""),"")</f>
        <v/>
      </c>
      <c r="X736" s="8">
        <f>IF(AND(V736=1,D736=pas_data,E736=pas_turno),10000-ROW(),"")</f>
        <v/>
      </c>
    </row>
    <row r="737">
      <c r="A737" s="3">
        <f>IF(D737="","","TT-"&amp;TEXT(ROW()-1,"00000"))</f>
        <v/>
      </c>
      <c r="B737" s="3">
        <f>IF(D737="","",IF(V737=0,"CONCLUÍDO",IF(D737&lt;corte,"HISTÓRICO",IF(OR(AND(ISNUMBER(R737),R737&lt;TODAY()),AND(OR(N737="PENDENTE",N737="PARCIAL"),D737&lt;TODAY()-1)),"CRÍTICO",IF(OR(AND(P737&lt;&gt;"",S737=""),AND(N737="REALIZADO",M737="PENDENTE"),AND(ISNUMBER(R737),R737=TODAY())),"ATENÇÃO",IF(N(K737)=0,"PENDENTE","EM ANDAMENTO"))))))</f>
        <v/>
      </c>
      <c r="C737" s="3">
        <f>IF(D737="","",IF(V737=0,"🟢 OK",IF(D737&lt;corte,"⚪ HISTÓRICO (sem baixa)",IF(AND(ISNUMBER(R737),R737&lt;TODAY()),"🔴 PRAZO VENCIDO",IF(AND(OR(N737="PENDENTE",N737="PARCIAL"),D737&lt;TODAY()-1),"🔴 EMBARQUE ATRASADO",IF(AND(N737="REALIZADO",M737="PENDENTE"),"🟡 EMBARCADO SEM FATURAR",IF(AND(P737&lt;&gt;"",S737="",OR(Q737="",R737="")),"🟡 PENDÊNCIA SEM RESPONSÁVEL/PRAZO",IF(AND(ISNUMBER(R737),R737=TODAY()),"🟡 VENCE HOJE",IF(AND(P737&lt;&gt;"",S737=""),"🟡 PENDÊNCIA ABERTA",IF(AND(N(J737)&gt;0,N(K737)&lt;J737),"🟡 FALTA EXECUTAR",IF(OR(M737="PENDENTE",M737="PARCIAL"),"🟡 FATURAMENTO PENDENTE","🟡 EMBARQUE PENDENTE")))))))))))</f>
        <v/>
      </c>
      <c r="D737" s="4" t="n">
        <v>46278</v>
      </c>
      <c r="E737" s="5" t="inlineStr">
        <is>
          <t>D</t>
        </is>
      </c>
      <c r="F737" s="5" t="inlineStr">
        <is>
          <t>VINICIUS</t>
        </is>
      </c>
      <c r="G737" s="5" t="inlineStr">
        <is>
          <t>GM</t>
        </is>
      </c>
      <c r="H737" s="5" t="inlineStr">
        <is>
          <t>ROTA SUL - PR</t>
        </is>
      </c>
      <c r="I737" s="5" t="inlineStr">
        <is>
          <t>TON</t>
        </is>
      </c>
      <c r="J737" s="6" t="n">
        <v>14.079</v>
      </c>
      <c r="K737" s="6" t="n">
        <v>14.079</v>
      </c>
      <c r="L737" s="7">
        <f>IF(OR(D737="",N(J737)=0),"",MIN(1,N(K737)/J737))</f>
        <v/>
      </c>
      <c r="M737" s="5" t="inlineStr">
        <is>
          <t>PENDENTE</t>
        </is>
      </c>
      <c r="N737" s="5" t="inlineStr">
        <is>
          <t>PENDENTE</t>
        </is>
      </c>
      <c r="O737" s="5" t="inlineStr">
        <is>
          <t>RENOVAÇÃO</t>
        </is>
      </c>
      <c r="P737" s="5" t="inlineStr">
        <is>
          <t>AGUARDANDO FINALIZAR CONFERÊNCIA</t>
        </is>
      </c>
      <c r="Q737" s="5" t="n"/>
      <c r="R737" s="4" t="n"/>
      <c r="S737" s="4" t="n"/>
      <c r="T737" s="5" t="inlineStr">
        <is>
          <t>AGUARDANDO FINALIZAR CONFERÊNCIA</t>
        </is>
      </c>
      <c r="U737" s="8">
        <f>IF(AND(V737=1,D737&lt;&gt;""),IF(D737&gt;=corte,TODAY()-D737,""),"")</f>
        <v/>
      </c>
      <c r="V737" s="8">
        <f>IF(D737="",0,IF(OR(AND(P737&lt;&gt;"",S737=""),AND(N(J737)&gt;0,N(K737)&lt;J737),OR(M737="PENDENTE",M737="PARCIAL"),OR(N737="PENDENTE",N737="PARCIAL")),1,0))</f>
        <v/>
      </c>
      <c r="W737" s="8">
        <f>IF(AND(V737=1,D737&lt;&gt;""),IF(D737&gt;=corte,(B737="CRÍTICO")*1E9+(100000-D737)*10000+10000-ROW(),""),"")</f>
        <v/>
      </c>
      <c r="X737" s="8">
        <f>IF(AND(V737=1,D737=pas_data,E737=pas_turno),10000-ROW(),"")</f>
        <v/>
      </c>
    </row>
    <row r="738">
      <c r="A738" s="3">
        <f>IF(D738="","","TT-"&amp;TEXT(ROW()-1,"00000"))</f>
        <v/>
      </c>
      <c r="B738" s="3">
        <f>IF(D738="","",IF(V738=0,"CONCLUÍDO",IF(D738&lt;corte,"HISTÓRICO",IF(OR(AND(ISNUMBER(R738),R738&lt;TODAY()),AND(OR(N738="PENDENTE",N738="PARCIAL"),D738&lt;TODAY()-1)),"CRÍTICO",IF(OR(AND(P738&lt;&gt;"",S738=""),AND(N738="REALIZADO",M738="PENDENTE"),AND(ISNUMBER(R738),R738=TODAY())),"ATENÇÃO",IF(N(K738)=0,"PENDENTE","EM ANDAMENTO"))))))</f>
        <v/>
      </c>
      <c r="C738" s="3">
        <f>IF(D738="","",IF(V738=0,"🟢 OK",IF(D738&lt;corte,"⚪ HISTÓRICO (sem baixa)",IF(AND(ISNUMBER(R738),R738&lt;TODAY()),"🔴 PRAZO VENCIDO",IF(AND(OR(N738="PENDENTE",N738="PARCIAL"),D738&lt;TODAY()-1),"🔴 EMBARQUE ATRASADO",IF(AND(N738="REALIZADO",M738="PENDENTE"),"🟡 EMBARCADO SEM FATURAR",IF(AND(P738&lt;&gt;"",S738="",OR(Q738="",R738="")),"🟡 PENDÊNCIA SEM RESPONSÁVEL/PRAZO",IF(AND(ISNUMBER(R738),R738=TODAY()),"🟡 VENCE HOJE",IF(AND(P738&lt;&gt;"",S738=""),"🟡 PENDÊNCIA ABERTA",IF(AND(N(J738)&gt;0,N(K738)&lt;J738),"🟡 FALTA EXECUTAR",IF(OR(M738="PENDENTE",M738="PARCIAL"),"🟡 FATURAMENTO PENDENTE","🟡 EMBARQUE PENDENTE")))))))))))</f>
        <v/>
      </c>
      <c r="D738" s="4" t="n">
        <v>46278</v>
      </c>
      <c r="E738" s="5" t="inlineStr">
        <is>
          <t>D</t>
        </is>
      </c>
      <c r="F738" s="5" t="inlineStr">
        <is>
          <t>VINICIUS</t>
        </is>
      </c>
      <c r="G738" s="5" t="inlineStr">
        <is>
          <t>GM</t>
        </is>
      </c>
      <c r="H738" s="5" t="inlineStr">
        <is>
          <t>ROTA SUL - SC</t>
        </is>
      </c>
      <c r="I738" s="5" t="inlineStr">
        <is>
          <t>TON</t>
        </is>
      </c>
      <c r="J738" s="6" t="n">
        <v>2.409</v>
      </c>
      <c r="K738" s="6" t="n">
        <v>0</v>
      </c>
      <c r="L738" s="7">
        <f>IF(OR(D738="",N(J738)=0),"",MIN(1,N(K738)/J738))</f>
        <v/>
      </c>
      <c r="M738" s="5" t="inlineStr">
        <is>
          <t>PENDENTE</t>
        </is>
      </c>
      <c r="N738" s="5" t="inlineStr">
        <is>
          <t>PENDENTE</t>
        </is>
      </c>
      <c r="O738" s="5" t="inlineStr">
        <is>
          <t>RENOVAÇÃO</t>
        </is>
      </c>
      <c r="P738" s="5" t="inlineStr">
        <is>
          <t>GERADA - AGUARDANDO SEPARAÇÃO</t>
        </is>
      </c>
      <c r="Q738" s="5" t="n"/>
      <c r="R738" s="4" t="n"/>
      <c r="S738" s="4" t="n"/>
      <c r="T738" s="5" t="inlineStr">
        <is>
          <t>GERADA - AGUARDANDO SEPARAÇÃO</t>
        </is>
      </c>
      <c r="U738" s="8">
        <f>IF(AND(V738=1,D738&lt;&gt;""),IF(D738&gt;=corte,TODAY()-D738,""),"")</f>
        <v/>
      </c>
      <c r="V738" s="8">
        <f>IF(D738="",0,IF(OR(AND(P738&lt;&gt;"",S738=""),AND(N(J738)&gt;0,N(K738)&lt;J738),OR(M738="PENDENTE",M738="PARCIAL"),OR(N738="PENDENTE",N738="PARCIAL")),1,0))</f>
        <v/>
      </c>
      <c r="W738" s="8">
        <f>IF(AND(V738=1,D738&lt;&gt;""),IF(D738&gt;=corte,(B738="CRÍTICO")*1E9+(100000-D738)*10000+10000-ROW(),""),"")</f>
        <v/>
      </c>
      <c r="X738" s="8">
        <f>IF(AND(V738=1,D738=pas_data,E738=pas_turno),10000-ROW(),"")</f>
        <v/>
      </c>
    </row>
    <row r="739">
      <c r="A739" s="3">
        <f>IF(D739="","","TT-"&amp;TEXT(ROW()-1,"00000"))</f>
        <v/>
      </c>
      <c r="B739" s="3">
        <f>IF(D739="","",IF(V739=0,"CONCLUÍDO",IF(D739&lt;corte,"HISTÓRICO",IF(OR(AND(ISNUMBER(R739),R739&lt;TODAY()),AND(OR(N739="PENDENTE",N739="PARCIAL"),D739&lt;TODAY()-1)),"CRÍTICO",IF(OR(AND(P739&lt;&gt;"",S739=""),AND(N739="REALIZADO",M739="PENDENTE"),AND(ISNUMBER(R739),R739=TODAY())),"ATENÇÃO",IF(N(K739)=0,"PENDENTE","EM ANDAMENTO"))))))</f>
        <v/>
      </c>
      <c r="C739" s="3">
        <f>IF(D739="","",IF(V739=0,"🟢 OK",IF(D739&lt;corte,"⚪ HISTÓRICO (sem baixa)",IF(AND(ISNUMBER(R739),R739&lt;TODAY()),"🔴 PRAZO VENCIDO",IF(AND(OR(N739="PENDENTE",N739="PARCIAL"),D739&lt;TODAY()-1),"🔴 EMBARQUE ATRASADO",IF(AND(N739="REALIZADO",M739="PENDENTE"),"🟡 EMBARCADO SEM FATURAR",IF(AND(P739&lt;&gt;"",S739="",OR(Q739="",R739="")),"🟡 PENDÊNCIA SEM RESPONSÁVEL/PRAZO",IF(AND(ISNUMBER(R739),R739=TODAY()),"🟡 VENCE HOJE",IF(AND(P739&lt;&gt;"",S739=""),"🟡 PENDÊNCIA ABERTA",IF(AND(N(J739)&gt;0,N(K739)&lt;J739),"🟡 FALTA EXECUTAR",IF(OR(M739="PENDENTE",M739="PARCIAL"),"🟡 FATURAMENTO PENDENTE","🟡 EMBARQUE PENDENTE")))))))))))</f>
        <v/>
      </c>
      <c r="D739" s="4" t="n">
        <v>46278</v>
      </c>
      <c r="E739" s="5" t="inlineStr">
        <is>
          <t>D</t>
        </is>
      </c>
      <c r="F739" s="5" t="inlineStr">
        <is>
          <t>VINICIUS</t>
        </is>
      </c>
      <c r="G739" s="5" t="inlineStr">
        <is>
          <t>GRANEL</t>
        </is>
      </c>
      <c r="H739" s="5" t="inlineStr">
        <is>
          <t>MAGNUM ICC BRASIL SUPPLY LTDA</t>
        </is>
      </c>
      <c r="I739" s="5" t="inlineStr">
        <is>
          <t>TON</t>
        </is>
      </c>
      <c r="J739" s="6" t="n">
        <v>9.59</v>
      </c>
      <c r="K739" s="6" t="n">
        <v>9.59</v>
      </c>
      <c r="L739" s="7">
        <f>IF(OR(D739="",N(J739)=0),"",MIN(1,N(K739)/J739))</f>
        <v/>
      </c>
      <c r="M739" s="5" t="inlineStr">
        <is>
          <t>FATURADO</t>
        </is>
      </c>
      <c r="N739" s="5" t="inlineStr">
        <is>
          <t>REALIZADO</t>
        </is>
      </c>
      <c r="O739" s="5" t="inlineStr">
        <is>
          <t>JSL</t>
        </is>
      </c>
      <c r="P739" s="5" t="n"/>
      <c r="Q739" s="5" t="n"/>
      <c r="R739" s="4" t="n"/>
      <c r="S739" s="4" t="n"/>
      <c r="T739" s="5" t="inlineStr">
        <is>
          <t>EMBARCADA E LIBERADA</t>
        </is>
      </c>
      <c r="U739" s="8">
        <f>IF(AND(V739=1,D739&lt;&gt;""),IF(D739&gt;=corte,TODAY()-D739,""),"")</f>
        <v/>
      </c>
      <c r="V739" s="8">
        <f>IF(D739="",0,IF(OR(AND(P739&lt;&gt;"",S739=""),AND(N(J739)&gt;0,N(K739)&lt;J739),OR(M739="PENDENTE",M739="PARCIAL"),OR(N739="PENDENTE",N739="PARCIAL")),1,0))</f>
        <v/>
      </c>
      <c r="W739" s="8">
        <f>IF(AND(V739=1,D739&lt;&gt;""),IF(D739&gt;=corte,(B739="CRÍTICO")*1E9+(100000-D739)*10000+10000-ROW(),""),"")</f>
        <v/>
      </c>
      <c r="X739" s="8">
        <f>IF(AND(V739=1,D739=pas_data,E739=pas_turno),10000-ROW(),"")</f>
        <v/>
      </c>
    </row>
    <row r="740">
      <c r="A740" s="3">
        <f>IF(D740="","","TT-"&amp;TEXT(ROW()-1,"00000"))</f>
        <v/>
      </c>
      <c r="B740" s="3">
        <f>IF(D740="","",IF(V740=0,"CONCLUÍDO",IF(D740&lt;corte,"HISTÓRICO",IF(OR(AND(ISNUMBER(R740),R740&lt;TODAY()),AND(OR(N740="PENDENTE",N740="PARCIAL"),D740&lt;TODAY()-1)),"CRÍTICO",IF(OR(AND(P740&lt;&gt;"",S740=""),AND(N740="REALIZADO",M740="PENDENTE"),AND(ISNUMBER(R740),R740=TODAY())),"ATENÇÃO",IF(N(K740)=0,"PENDENTE","EM ANDAMENTO"))))))</f>
        <v/>
      </c>
      <c r="C740" s="3">
        <f>IF(D740="","",IF(V740=0,"🟢 OK",IF(D740&lt;corte,"⚪ HISTÓRICO (sem baixa)",IF(AND(ISNUMBER(R740),R740&lt;TODAY()),"🔴 PRAZO VENCIDO",IF(AND(OR(N740="PENDENTE",N740="PARCIAL"),D740&lt;TODAY()-1),"🔴 EMBARQUE ATRASADO",IF(AND(N740="REALIZADO",M740="PENDENTE"),"🟡 EMBARCADO SEM FATURAR",IF(AND(P740&lt;&gt;"",S740="",OR(Q740="",R740="")),"🟡 PENDÊNCIA SEM RESPONSÁVEL/PRAZO",IF(AND(ISNUMBER(R740),R740=TODAY()),"🟡 VENCE HOJE",IF(AND(P740&lt;&gt;"",S740=""),"🟡 PENDÊNCIA ABERTA",IF(AND(N(J740)&gt;0,N(K740)&lt;J740),"🟡 FALTA EXECUTAR",IF(OR(M740="PENDENTE",M740="PARCIAL"),"🟡 FATURAMENTO PENDENTE","🟡 EMBARQUE PENDENTE")))))))))))</f>
        <v/>
      </c>
      <c r="D740" s="4" t="n">
        <v>46278</v>
      </c>
      <c r="E740" s="5" t="inlineStr">
        <is>
          <t>D</t>
        </is>
      </c>
      <c r="F740" s="5" t="inlineStr">
        <is>
          <t>VINICIUS</t>
        </is>
      </c>
      <c r="G740" s="5" t="inlineStr">
        <is>
          <t>GRANEL</t>
        </is>
      </c>
      <c r="H740" s="5" t="inlineStr">
        <is>
          <t>TOP CAU</t>
        </is>
      </c>
      <c r="I740" s="5" t="inlineStr">
        <is>
          <t>TON</t>
        </is>
      </c>
      <c r="J740" s="6" t="n">
        <v>26.64</v>
      </c>
      <c r="K740" s="6" t="n">
        <v>26.64</v>
      </c>
      <c r="L740" s="7">
        <f>IF(OR(D740="",N(J740)=0),"",MIN(1,N(K740)/J740))</f>
        <v/>
      </c>
      <c r="M740" s="5" t="inlineStr">
        <is>
          <t>FATURADO</t>
        </is>
      </c>
      <c r="N740" s="5" t="inlineStr">
        <is>
          <t>REALIZADO</t>
        </is>
      </c>
      <c r="O740" s="5" t="inlineStr">
        <is>
          <t>JSL</t>
        </is>
      </c>
      <c r="P740" s="5" t="n"/>
      <c r="Q740" s="5" t="n"/>
      <c r="R740" s="4" t="n"/>
      <c r="S740" s="4" t="n"/>
      <c r="T740" s="5" t="inlineStr">
        <is>
          <t>EMBARCADA E LIBERADA</t>
        </is>
      </c>
      <c r="U740" s="8">
        <f>IF(AND(V740=1,D740&lt;&gt;""),IF(D740&gt;=corte,TODAY()-D740,""),"")</f>
        <v/>
      </c>
      <c r="V740" s="8">
        <f>IF(D740="",0,IF(OR(AND(P740&lt;&gt;"",S740=""),AND(N(J740)&gt;0,N(K740)&lt;J740),OR(M740="PENDENTE",M740="PARCIAL"),OR(N740="PENDENTE",N740="PARCIAL")),1,0))</f>
        <v/>
      </c>
      <c r="W740" s="8">
        <f>IF(AND(V740=1,D740&lt;&gt;""),IF(D740&gt;=corte,(B740="CRÍTICO")*1E9+(100000-D740)*10000+10000-ROW(),""),"")</f>
        <v/>
      </c>
      <c r="X740" s="8">
        <f>IF(AND(V740=1,D740=pas_data,E740=pas_turno),10000-ROW(),"")</f>
        <v/>
      </c>
    </row>
    <row r="741">
      <c r="A741" s="3">
        <f>IF(D741="","","TT-"&amp;TEXT(ROW()-1,"00000"))</f>
        <v/>
      </c>
      <c r="B741" s="3">
        <f>IF(D741="","",IF(V741=0,"CONCLUÍDO",IF(D741&lt;corte,"HISTÓRICO",IF(OR(AND(ISNUMBER(R741),R741&lt;TODAY()),AND(OR(N741="PENDENTE",N741="PARCIAL"),D741&lt;TODAY()-1)),"CRÍTICO",IF(OR(AND(P741&lt;&gt;"",S741=""),AND(N741="REALIZADO",M741="PENDENTE"),AND(ISNUMBER(R741),R741=TODAY())),"ATENÇÃO",IF(N(K741)=0,"PENDENTE","EM ANDAMENTO"))))))</f>
        <v/>
      </c>
      <c r="C741" s="3">
        <f>IF(D741="","",IF(V741=0,"🟢 OK",IF(D741&lt;corte,"⚪ HISTÓRICO (sem baixa)",IF(AND(ISNUMBER(R741),R741&lt;TODAY()),"🔴 PRAZO VENCIDO",IF(AND(OR(N741="PENDENTE",N741="PARCIAL"),D741&lt;TODAY()-1),"🔴 EMBARQUE ATRASADO",IF(AND(N741="REALIZADO",M741="PENDENTE"),"🟡 EMBARCADO SEM FATURAR",IF(AND(P741&lt;&gt;"",S741="",OR(Q741="",R741="")),"🟡 PENDÊNCIA SEM RESPONSÁVEL/PRAZO",IF(AND(ISNUMBER(R741),R741=TODAY()),"🟡 VENCE HOJE",IF(AND(P741&lt;&gt;"",S741=""),"🟡 PENDÊNCIA ABERTA",IF(AND(N(J741)&gt;0,N(K741)&lt;J741),"🟡 FALTA EXECUTAR",IF(OR(M741="PENDENTE",M741="PARCIAL"),"🟡 FATURAMENTO PENDENTE","🟡 EMBARQUE PENDENTE")))))))))))</f>
        <v/>
      </c>
      <c r="D741" s="4" t="n">
        <v>46278</v>
      </c>
      <c r="E741" s="5" t="inlineStr">
        <is>
          <t>D</t>
        </is>
      </c>
      <c r="F741" s="5" t="inlineStr">
        <is>
          <t>VINICIUS</t>
        </is>
      </c>
      <c r="G741" s="5" t="inlineStr">
        <is>
          <t>BR15</t>
        </is>
      </c>
      <c r="H741" s="5" t="inlineStr">
        <is>
          <t>CACAU</t>
        </is>
      </c>
      <c r="I741" s="5" t="inlineStr">
        <is>
          <t>TON</t>
        </is>
      </c>
      <c r="J741" s="6" t="n">
        <v>1.988</v>
      </c>
      <c r="K741" s="6" t="n">
        <v>1.988</v>
      </c>
      <c r="L741" s="7">
        <f>IF(OR(D741="",N(J741)=0),"",MIN(1,N(K741)/J741))</f>
        <v/>
      </c>
      <c r="M741" s="5" t="inlineStr">
        <is>
          <t>FATURADO</t>
        </is>
      </c>
      <c r="N741" s="5" t="inlineStr">
        <is>
          <t>REALIZADO</t>
        </is>
      </c>
      <c r="O741" s="5" t="inlineStr">
        <is>
          <t>SMARTLOG</t>
        </is>
      </c>
      <c r="P741" s="5" t="n"/>
      <c r="Q741" s="5" t="n"/>
      <c r="R741" s="4" t="n"/>
      <c r="S741" s="4" t="n"/>
      <c r="T741" s="5" t="inlineStr">
        <is>
          <t>EMBARCADA E LIBERADA</t>
        </is>
      </c>
      <c r="U741" s="8">
        <f>IF(AND(V741=1,D741&lt;&gt;""),IF(D741&gt;=corte,TODAY()-D741,""),"")</f>
        <v/>
      </c>
      <c r="V741" s="8">
        <f>IF(D741="",0,IF(OR(AND(P741&lt;&gt;"",S741=""),AND(N(J741)&gt;0,N(K741)&lt;J741),OR(M741="PENDENTE",M741="PARCIAL"),OR(N741="PENDENTE",N741="PARCIAL")),1,0))</f>
        <v/>
      </c>
      <c r="W741" s="8">
        <f>IF(AND(V741=1,D741&lt;&gt;""),IF(D741&gt;=corte,(B741="CRÍTICO")*1E9+(100000-D741)*10000+10000-ROW(),""),"")</f>
        <v/>
      </c>
      <c r="X741" s="8">
        <f>IF(AND(V741=1,D741=pas_data,E741=pas_turno),10000-ROW(),"")</f>
        <v/>
      </c>
    </row>
    <row r="742">
      <c r="A742" s="3">
        <f>IF(D742="","","TT-"&amp;TEXT(ROW()-1,"00000"))</f>
        <v/>
      </c>
      <c r="B742" s="3">
        <f>IF(D742="","",IF(V742=0,"CONCLUÍDO",IF(D742&lt;corte,"HISTÓRICO",IF(OR(AND(ISNUMBER(R742),R742&lt;TODAY()),AND(OR(N742="PENDENTE",N742="PARCIAL"),D742&lt;TODAY()-1)),"CRÍTICO",IF(OR(AND(P742&lt;&gt;"",S742=""),AND(N742="REALIZADO",M742="PENDENTE"),AND(ISNUMBER(R742),R742=TODAY())),"ATENÇÃO",IF(N(K742)=0,"PENDENTE","EM ANDAMENTO"))))))</f>
        <v/>
      </c>
      <c r="C742" s="3">
        <f>IF(D742="","",IF(V742=0,"🟢 OK",IF(D742&lt;corte,"⚪ HISTÓRICO (sem baixa)",IF(AND(ISNUMBER(R742),R742&lt;TODAY()),"🔴 PRAZO VENCIDO",IF(AND(OR(N742="PENDENTE",N742="PARCIAL"),D742&lt;TODAY()-1),"🔴 EMBARQUE ATRASADO",IF(AND(N742="REALIZADO",M742="PENDENTE"),"🟡 EMBARCADO SEM FATURAR",IF(AND(P742&lt;&gt;"",S742="",OR(Q742="",R742="")),"🟡 PENDÊNCIA SEM RESPONSÁVEL/PRAZO",IF(AND(ISNUMBER(R742),R742=TODAY()),"🟡 VENCE HOJE",IF(AND(P742&lt;&gt;"",S742=""),"🟡 PENDÊNCIA ABERTA",IF(AND(N(J742)&gt;0,N(K742)&lt;J742),"🟡 FALTA EXECUTAR",IF(OR(M742="PENDENTE",M742="PARCIAL"),"🟡 FATURAMENTO PENDENTE","🟡 EMBARQUE PENDENTE")))))))))))</f>
        <v/>
      </c>
      <c r="D742" s="4" t="n">
        <v>46279</v>
      </c>
      <c r="E742" s="5" t="inlineStr">
        <is>
          <t>A</t>
        </is>
      </c>
      <c r="F742" s="5" t="inlineStr">
        <is>
          <t>TATIANE</t>
        </is>
      </c>
      <c r="G742" s="5" t="inlineStr">
        <is>
          <t>GM</t>
        </is>
      </c>
      <c r="H742" s="5" t="inlineStr">
        <is>
          <t>SC</t>
        </is>
      </c>
      <c r="I742" s="5" t="inlineStr">
        <is>
          <t>TON</t>
        </is>
      </c>
      <c r="J742" s="6" t="n">
        <v>3</v>
      </c>
      <c r="K742" s="6" t="n">
        <v>3</v>
      </c>
      <c r="L742" s="7">
        <f>IF(OR(D742="",N(J742)=0),"",MIN(1,N(K742)/J742))</f>
        <v/>
      </c>
      <c r="M742" s="5" t="inlineStr">
        <is>
          <t>PENDENTE</t>
        </is>
      </c>
      <c r="N742" s="5" t="inlineStr">
        <is>
          <t>PENDENTE</t>
        </is>
      </c>
      <c r="O742" s="5" t="inlineStr">
        <is>
          <t>RENOVAÇÃO</t>
        </is>
      </c>
      <c r="P742" s="5" t="n"/>
      <c r="Q742" s="5" t="n"/>
      <c r="R742" s="4" t="n"/>
      <c r="S742" s="4" t="n"/>
      <c r="T742" s="5" t="n"/>
      <c r="U742" s="8">
        <f>IF(AND(V742=1,D742&lt;&gt;""),IF(D742&gt;=corte,TODAY()-D742,""),"")</f>
        <v/>
      </c>
      <c r="V742" s="8">
        <f>IF(D742="",0,IF(OR(AND(P742&lt;&gt;"",S742=""),AND(N(J742)&gt;0,N(K742)&lt;J742),OR(M742="PENDENTE",M742="PARCIAL"),OR(N742="PENDENTE",N742="PARCIAL")),1,0))</f>
        <v/>
      </c>
      <c r="W742" s="8">
        <f>IF(AND(V742=1,D742&lt;&gt;""),IF(D742&gt;=corte,(B742="CRÍTICO")*1E9+(100000-D742)*10000+10000-ROW(),""),"")</f>
        <v/>
      </c>
      <c r="X742" s="8">
        <f>IF(AND(V742=1,D742=pas_data,E742=pas_turno),10000-ROW(),"")</f>
        <v/>
      </c>
    </row>
    <row r="743">
      <c r="A743" s="3">
        <f>IF(D743="","","TT-"&amp;TEXT(ROW()-1,"00000"))</f>
        <v/>
      </c>
      <c r="B743" s="3">
        <f>IF(D743="","",IF(V743=0,"CONCLUÍDO",IF(D743&lt;corte,"HISTÓRICO",IF(OR(AND(ISNUMBER(R743),R743&lt;TODAY()),AND(OR(N743="PENDENTE",N743="PARCIAL"),D743&lt;TODAY()-1)),"CRÍTICO",IF(OR(AND(P743&lt;&gt;"",S743=""),AND(N743="REALIZADO",M743="PENDENTE"),AND(ISNUMBER(R743),R743=TODAY())),"ATENÇÃO",IF(N(K743)=0,"PENDENTE","EM ANDAMENTO"))))))</f>
        <v/>
      </c>
      <c r="C743" s="3">
        <f>IF(D743="","",IF(V743=0,"🟢 OK",IF(D743&lt;corte,"⚪ HISTÓRICO (sem baixa)",IF(AND(ISNUMBER(R743),R743&lt;TODAY()),"🔴 PRAZO VENCIDO",IF(AND(OR(N743="PENDENTE",N743="PARCIAL"),D743&lt;TODAY()-1),"🔴 EMBARQUE ATRASADO",IF(AND(N743="REALIZADO",M743="PENDENTE"),"🟡 EMBARCADO SEM FATURAR",IF(AND(P743&lt;&gt;"",S743="",OR(Q743="",R743="")),"🟡 PENDÊNCIA SEM RESPONSÁVEL/PRAZO",IF(AND(ISNUMBER(R743),R743=TODAY()),"🟡 VENCE HOJE",IF(AND(P743&lt;&gt;"",S743=""),"🟡 PENDÊNCIA ABERTA",IF(AND(N(J743)&gt;0,N(K743)&lt;J743),"🟡 FALTA EXECUTAR",IF(OR(M743="PENDENTE",M743="PARCIAL"),"🟡 FATURAMENTO PENDENTE","🟡 EMBARQUE PENDENTE")))))))))))</f>
        <v/>
      </c>
      <c r="D743" s="4" t="n">
        <v>46279</v>
      </c>
      <c r="E743" s="5" t="inlineStr">
        <is>
          <t>A</t>
        </is>
      </c>
      <c r="F743" s="5" t="inlineStr">
        <is>
          <t>TATIANE</t>
        </is>
      </c>
      <c r="G743" s="5" t="inlineStr">
        <is>
          <t>GM</t>
        </is>
      </c>
      <c r="H743" s="5" t="inlineStr">
        <is>
          <t>PR</t>
        </is>
      </c>
      <c r="I743" s="5" t="inlineStr">
        <is>
          <t>TON</t>
        </is>
      </c>
      <c r="J743" s="6" t="n">
        <v>16.27</v>
      </c>
      <c r="K743" s="6" t="n"/>
      <c r="L743" s="7">
        <f>IF(OR(D743="",N(J743)=0),"",MIN(1,N(K743)/J743))</f>
        <v/>
      </c>
      <c r="M743" s="5" t="inlineStr">
        <is>
          <t>FATURADO</t>
        </is>
      </c>
      <c r="N743" s="5" t="inlineStr">
        <is>
          <t>PENDENTE</t>
        </is>
      </c>
      <c r="O743" s="5" t="inlineStr">
        <is>
          <t>RENOVAÇÃO</t>
        </is>
      </c>
      <c r="P743" s="5" t="n"/>
      <c r="Q743" s="5" t="n"/>
      <c r="R743" s="4" t="n"/>
      <c r="S743" s="4" t="n"/>
      <c r="T743" s="5" t="n"/>
      <c r="U743" s="8">
        <f>IF(AND(V743=1,D743&lt;&gt;""),IF(D743&gt;=corte,TODAY()-D743,""),"")</f>
        <v/>
      </c>
      <c r="V743" s="8">
        <f>IF(D743="",0,IF(OR(AND(P743&lt;&gt;"",S743=""),AND(N(J743)&gt;0,N(K743)&lt;J743),OR(M743="PENDENTE",M743="PARCIAL"),OR(N743="PENDENTE",N743="PARCIAL")),1,0))</f>
        <v/>
      </c>
      <c r="W743" s="8">
        <f>IF(AND(V743=1,D743&lt;&gt;""),IF(D743&gt;=corte,(B743="CRÍTICO")*1E9+(100000-D743)*10000+10000-ROW(),""),"")</f>
        <v/>
      </c>
      <c r="X743" s="8">
        <f>IF(AND(V743=1,D743=pas_data,E743=pas_turno),10000-ROW(),"")</f>
        <v/>
      </c>
    </row>
    <row r="744">
      <c r="A744" s="3">
        <f>IF(D744="","","TT-"&amp;TEXT(ROW()-1,"00000"))</f>
        <v/>
      </c>
      <c r="B744" s="3">
        <f>IF(D744="","",IF(V744=0,"CONCLUÍDO",IF(D744&lt;corte,"HISTÓRICO",IF(OR(AND(ISNUMBER(R744),R744&lt;TODAY()),AND(OR(N744="PENDENTE",N744="PARCIAL"),D744&lt;TODAY()-1)),"CRÍTICO",IF(OR(AND(P744&lt;&gt;"",S744=""),AND(N744="REALIZADO",M744="PENDENTE"),AND(ISNUMBER(R744),R744=TODAY())),"ATENÇÃO",IF(N(K744)=0,"PENDENTE","EM ANDAMENTO"))))))</f>
        <v/>
      </c>
      <c r="C744" s="3">
        <f>IF(D744="","",IF(V744=0,"🟢 OK",IF(D744&lt;corte,"⚪ HISTÓRICO (sem baixa)",IF(AND(ISNUMBER(R744),R744&lt;TODAY()),"🔴 PRAZO VENCIDO",IF(AND(OR(N744="PENDENTE",N744="PARCIAL"),D744&lt;TODAY()-1),"🔴 EMBARQUE ATRASADO",IF(AND(N744="REALIZADO",M744="PENDENTE"),"🟡 EMBARCADO SEM FATURAR",IF(AND(P744&lt;&gt;"",S744="",OR(Q744="",R744="")),"🟡 PENDÊNCIA SEM RESPONSÁVEL/PRAZO",IF(AND(ISNUMBER(R744),R744=TODAY()),"🟡 VENCE HOJE",IF(AND(P744&lt;&gt;"",S744=""),"🟡 PENDÊNCIA ABERTA",IF(AND(N(J744)&gt;0,N(K744)&lt;J744),"🟡 FALTA EXECUTAR",IF(OR(M744="PENDENTE",M744="PARCIAL"),"🟡 FATURAMENTO PENDENTE","🟡 EMBARQUE PENDENTE")))))))))))</f>
        <v/>
      </c>
      <c r="D744" s="4" t="n">
        <v>46279</v>
      </c>
      <c r="E744" s="5" t="inlineStr">
        <is>
          <t>A</t>
        </is>
      </c>
      <c r="F744" s="5" t="inlineStr">
        <is>
          <t>TATIANE</t>
        </is>
      </c>
      <c r="G744" s="5" t="inlineStr">
        <is>
          <t>CIF</t>
        </is>
      </c>
      <c r="H744" s="5" t="inlineStr">
        <is>
          <t>PADEIRÃO</t>
        </is>
      </c>
      <c r="I744" s="5" t="inlineStr">
        <is>
          <t>TON</t>
        </is>
      </c>
      <c r="J744" s="6" t="n">
        <v>15.599</v>
      </c>
      <c r="K744" s="6" t="n">
        <v>15.599</v>
      </c>
      <c r="L744" s="7">
        <f>IF(OR(D744="",N(J744)=0),"",MIN(1,N(K744)/J744))</f>
        <v/>
      </c>
      <c r="M744" s="5" t="inlineStr">
        <is>
          <t>FATURADO</t>
        </is>
      </c>
      <c r="N744" s="5" t="inlineStr">
        <is>
          <t>PENDENTE</t>
        </is>
      </c>
      <c r="O744" s="5" t="inlineStr">
        <is>
          <t>SPEEDYLOG</t>
        </is>
      </c>
      <c r="P744" s="5" t="n"/>
      <c r="Q744" s="5" t="n"/>
      <c r="R744" s="4" t="n"/>
      <c r="S744" s="4" t="n"/>
      <c r="T744" s="5" t="n"/>
      <c r="U744" s="8">
        <f>IF(AND(V744=1,D744&lt;&gt;""),IF(D744&gt;=corte,TODAY()-D744,""),"")</f>
        <v/>
      </c>
      <c r="V744" s="8">
        <f>IF(D744="",0,IF(OR(AND(P744&lt;&gt;"",S744=""),AND(N(J744)&gt;0,N(K744)&lt;J744),OR(M744="PENDENTE",M744="PARCIAL"),OR(N744="PENDENTE",N744="PARCIAL")),1,0))</f>
        <v/>
      </c>
      <c r="W744" s="8">
        <f>IF(AND(V744=1,D744&lt;&gt;""),IF(D744&gt;=corte,(B744="CRÍTICO")*1E9+(100000-D744)*10000+10000-ROW(),""),"")</f>
        <v/>
      </c>
      <c r="X744" s="8">
        <f>IF(AND(V744=1,D744=pas_data,E744=pas_turno),10000-ROW(),"")</f>
        <v/>
      </c>
    </row>
    <row r="745">
      <c r="A745" s="3">
        <f>IF(D745="","","TT-"&amp;TEXT(ROW()-1,"00000"))</f>
        <v/>
      </c>
      <c r="B745" s="3">
        <f>IF(D745="","",IF(V745=0,"CONCLUÍDO",IF(D745&lt;corte,"HISTÓRICO",IF(OR(AND(ISNUMBER(R745),R745&lt;TODAY()),AND(OR(N745="PENDENTE",N745="PARCIAL"),D745&lt;TODAY()-1)),"CRÍTICO",IF(OR(AND(P745&lt;&gt;"",S745=""),AND(N745="REALIZADO",M745="PENDENTE"),AND(ISNUMBER(R745),R745=TODAY())),"ATENÇÃO",IF(N(K745)=0,"PENDENTE","EM ANDAMENTO"))))))</f>
        <v/>
      </c>
      <c r="C745" s="3">
        <f>IF(D745="","",IF(V745=0,"🟢 OK",IF(D745&lt;corte,"⚪ HISTÓRICO (sem baixa)",IF(AND(ISNUMBER(R745),R745&lt;TODAY()),"🔴 PRAZO VENCIDO",IF(AND(OR(N745="PENDENTE",N745="PARCIAL"),D745&lt;TODAY()-1),"🔴 EMBARQUE ATRASADO",IF(AND(N745="REALIZADO",M745="PENDENTE"),"🟡 EMBARCADO SEM FATURAR",IF(AND(P745&lt;&gt;"",S745="",OR(Q745="",R745="")),"🟡 PENDÊNCIA SEM RESPONSÁVEL/PRAZO",IF(AND(ISNUMBER(R745),R745=TODAY()),"🟡 VENCE HOJE",IF(AND(P745&lt;&gt;"",S745=""),"🟡 PENDÊNCIA ABERTA",IF(AND(N(J745)&gt;0,N(K745)&lt;J745),"🟡 FALTA EXECUTAR",IF(OR(M745="PENDENTE",M745="PARCIAL"),"🟡 FATURAMENTO PENDENTE","🟡 EMBARQUE PENDENTE")))))))))))</f>
        <v/>
      </c>
      <c r="D745" s="4" t="n">
        <v>46279</v>
      </c>
      <c r="E745" s="5" t="inlineStr">
        <is>
          <t>A</t>
        </is>
      </c>
      <c r="F745" s="5" t="inlineStr">
        <is>
          <t>TATIANE</t>
        </is>
      </c>
      <c r="G745" s="5" t="inlineStr">
        <is>
          <t>FOB</t>
        </is>
      </c>
      <c r="H745" s="5" t="inlineStr">
        <is>
          <t>SPAN VALE - 15/09</t>
        </is>
      </c>
      <c r="I745" s="5" t="inlineStr">
        <is>
          <t>TON</t>
        </is>
      </c>
      <c r="J745" s="6" t="n">
        <v>10.08</v>
      </c>
      <c r="K745" s="6" t="n">
        <v>10.08</v>
      </c>
      <c r="L745" s="7">
        <f>IF(OR(D745="",N(J745)=0),"",MIN(1,N(K745)/J745))</f>
        <v/>
      </c>
      <c r="M745" s="5" t="inlineStr">
        <is>
          <t>PENDENTE</t>
        </is>
      </c>
      <c r="N745" s="5" t="inlineStr">
        <is>
          <t>PENDENTE</t>
        </is>
      </c>
      <c r="O745" s="5" t="inlineStr">
        <is>
          <t>PRÓPRIO</t>
        </is>
      </c>
      <c r="P745" s="5" t="n"/>
      <c r="Q745" s="5" t="n"/>
      <c r="R745" s="4" t="n"/>
      <c r="S745" s="4" t="n"/>
      <c r="T745" s="5" t="n"/>
      <c r="U745" s="8">
        <f>IF(AND(V745=1,D745&lt;&gt;""),IF(D745&gt;=corte,TODAY()-D745,""),"")</f>
        <v/>
      </c>
      <c r="V745" s="8">
        <f>IF(D745="",0,IF(OR(AND(P745&lt;&gt;"",S745=""),AND(N(J745)&gt;0,N(K745)&lt;J745),OR(M745="PENDENTE",M745="PARCIAL"),OR(N745="PENDENTE",N745="PARCIAL")),1,0))</f>
        <v/>
      </c>
      <c r="W745" s="8">
        <f>IF(AND(V745=1,D745&lt;&gt;""),IF(D745&gt;=corte,(B745="CRÍTICO")*1E9+(100000-D745)*10000+10000-ROW(),""),"")</f>
        <v/>
      </c>
      <c r="X745" s="8">
        <f>IF(AND(V745=1,D745=pas_data,E745=pas_turno),10000-ROW(),"")</f>
        <v/>
      </c>
    </row>
    <row r="746">
      <c r="A746" s="3">
        <f>IF(D746="","","TT-"&amp;TEXT(ROW()-1,"00000"))</f>
        <v/>
      </c>
      <c r="B746" s="3">
        <f>IF(D746="","",IF(V746=0,"CONCLUÍDO",IF(D746&lt;corte,"HISTÓRICO",IF(OR(AND(ISNUMBER(R746),R746&lt;TODAY()),AND(OR(N746="PENDENTE",N746="PARCIAL"),D746&lt;TODAY()-1)),"CRÍTICO",IF(OR(AND(P746&lt;&gt;"",S746=""),AND(N746="REALIZADO",M746="PENDENTE"),AND(ISNUMBER(R746),R746=TODAY())),"ATENÇÃO",IF(N(K746)=0,"PENDENTE","EM ANDAMENTO"))))))</f>
        <v/>
      </c>
      <c r="C746" s="3">
        <f>IF(D746="","",IF(V746=0,"🟢 OK",IF(D746&lt;corte,"⚪ HISTÓRICO (sem baixa)",IF(AND(ISNUMBER(R746),R746&lt;TODAY()),"🔴 PRAZO VENCIDO",IF(AND(OR(N746="PENDENTE",N746="PARCIAL"),D746&lt;TODAY()-1),"🔴 EMBARQUE ATRASADO",IF(AND(N746="REALIZADO",M746="PENDENTE"),"🟡 EMBARCADO SEM FATURAR",IF(AND(P746&lt;&gt;"",S746="",OR(Q746="",R746="")),"🟡 PENDÊNCIA SEM RESPONSÁVEL/PRAZO",IF(AND(ISNUMBER(R746),R746=TODAY()),"🟡 VENCE HOJE",IF(AND(P746&lt;&gt;"",S746=""),"🟡 PENDÊNCIA ABERTA",IF(AND(N(J746)&gt;0,N(K746)&lt;J746),"🟡 FALTA EXECUTAR",IF(OR(M746="PENDENTE",M746="PARCIAL"),"🟡 FATURAMENTO PENDENTE","🟡 EMBARQUE PENDENTE")))))))))))</f>
        <v/>
      </c>
      <c r="D746" s="4" t="n">
        <v>46279</v>
      </c>
      <c r="E746" s="5" t="inlineStr">
        <is>
          <t>A</t>
        </is>
      </c>
      <c r="F746" s="5" t="inlineStr">
        <is>
          <t>TATIANE</t>
        </is>
      </c>
      <c r="G746" s="5" t="inlineStr">
        <is>
          <t>EXPORTAÇÃO</t>
        </is>
      </c>
      <c r="H746" s="5" t="inlineStr">
        <is>
          <t>DGRX</t>
        </is>
      </c>
      <c r="I746" s="5" t="inlineStr">
        <is>
          <t>TON</t>
        </is>
      </c>
      <c r="J746" s="6" t="n">
        <v>25.896</v>
      </c>
      <c r="K746" s="6" t="n"/>
      <c r="L746" s="7">
        <f>IF(OR(D746="",N(J746)=0),"",MIN(1,N(K746)/J746))</f>
        <v/>
      </c>
      <c r="M746" s="5" t="inlineStr">
        <is>
          <t>PENDENTE</t>
        </is>
      </c>
      <c r="N746" s="5" t="inlineStr">
        <is>
          <t>PENDENTE</t>
        </is>
      </c>
      <c r="O746" s="5" t="inlineStr">
        <is>
          <t>ARCELOG</t>
        </is>
      </c>
      <c r="P746" s="5" t="inlineStr">
        <is>
          <t>MOTORISTA NO PATIO - DILMAR</t>
        </is>
      </c>
      <c r="Q746" s="5" t="n"/>
      <c r="R746" s="4" t="n"/>
      <c r="S746" s="4" t="n"/>
      <c r="T746" s="5" t="inlineStr">
        <is>
          <t>MOTORISTA NO PATIO - DILMAR</t>
        </is>
      </c>
      <c r="U746" s="8">
        <f>IF(AND(V746=1,D746&lt;&gt;""),IF(D746&gt;=corte,TODAY()-D746,""),"")</f>
        <v/>
      </c>
      <c r="V746" s="8">
        <f>IF(D746="",0,IF(OR(AND(P746&lt;&gt;"",S746=""),AND(N(J746)&gt;0,N(K746)&lt;J746),OR(M746="PENDENTE",M746="PARCIAL"),OR(N746="PENDENTE",N746="PARCIAL")),1,0))</f>
        <v/>
      </c>
      <c r="W746" s="8">
        <f>IF(AND(V746=1,D746&lt;&gt;""),IF(D746&gt;=corte,(B746="CRÍTICO")*1E9+(100000-D746)*10000+10000-ROW(),""),"")</f>
        <v/>
      </c>
      <c r="X746" s="8">
        <f>IF(AND(V746=1,D746=pas_data,E746=pas_turno),10000-ROW(),"")</f>
        <v/>
      </c>
    </row>
    <row r="747">
      <c r="A747" s="3">
        <f>IF(D747="","","TT-"&amp;TEXT(ROW()-1,"00000"))</f>
        <v/>
      </c>
      <c r="B747" s="3">
        <f>IF(D747="","",IF(V747=0,"CONCLUÍDO",IF(D747&lt;corte,"HISTÓRICO",IF(OR(AND(ISNUMBER(R747),R747&lt;TODAY()),AND(OR(N747="PENDENTE",N747="PARCIAL"),D747&lt;TODAY()-1)),"CRÍTICO",IF(OR(AND(P747&lt;&gt;"",S747=""),AND(N747="REALIZADO",M747="PENDENTE"),AND(ISNUMBER(R747),R747=TODAY())),"ATENÇÃO",IF(N(K747)=0,"PENDENTE","EM ANDAMENTO"))))))</f>
        <v/>
      </c>
      <c r="C747" s="3">
        <f>IF(D747="","",IF(V747=0,"🟢 OK",IF(D747&lt;corte,"⚪ HISTÓRICO (sem baixa)",IF(AND(ISNUMBER(R747),R747&lt;TODAY()),"🔴 PRAZO VENCIDO",IF(AND(OR(N747="PENDENTE",N747="PARCIAL"),D747&lt;TODAY()-1),"🔴 EMBARQUE ATRASADO",IF(AND(N747="REALIZADO",M747="PENDENTE"),"🟡 EMBARCADO SEM FATURAR",IF(AND(P747&lt;&gt;"",S747="",OR(Q747="",R747="")),"🟡 PENDÊNCIA SEM RESPONSÁVEL/PRAZO",IF(AND(ISNUMBER(R747),R747=TODAY()),"🟡 VENCE HOJE",IF(AND(P747&lt;&gt;"",S747=""),"🟡 PENDÊNCIA ABERTA",IF(AND(N(J747)&gt;0,N(K747)&lt;J747),"🟡 FALTA EXECUTAR",IF(OR(M747="PENDENTE",M747="PARCIAL"),"🟡 FATURAMENTO PENDENTE","🟡 EMBARQUE PENDENTE")))))))))))</f>
        <v/>
      </c>
      <c r="D747" s="4" t="n">
        <v>46279</v>
      </c>
      <c r="E747" s="5" t="inlineStr">
        <is>
          <t>A</t>
        </is>
      </c>
      <c r="F747" s="5" t="inlineStr">
        <is>
          <t>TATIANE</t>
        </is>
      </c>
      <c r="G747" s="5" t="inlineStr">
        <is>
          <t>FM</t>
        </is>
      </c>
      <c r="H747" s="5" t="inlineStr">
        <is>
          <t>MARGOSSIAM</t>
        </is>
      </c>
      <c r="I747" s="5" t="inlineStr">
        <is>
          <t>TON</t>
        </is>
      </c>
      <c r="J747" s="6" t="n">
        <v>25.394</v>
      </c>
      <c r="K747" s="6" t="n">
        <v>25.394</v>
      </c>
      <c r="L747" s="7">
        <f>IF(OR(D747="",N(J747)=0),"",MIN(1,N(K747)/J747))</f>
        <v/>
      </c>
      <c r="M747" s="5" t="inlineStr">
        <is>
          <t>PENDENTE</t>
        </is>
      </c>
      <c r="N747" s="5" t="inlineStr">
        <is>
          <t>PENDENTE</t>
        </is>
      </c>
      <c r="O747" s="5" t="inlineStr">
        <is>
          <t>SPEEDYLOG</t>
        </is>
      </c>
      <c r="P747" s="5" t="n"/>
      <c r="Q747" s="5" t="n"/>
      <c r="R747" s="4" t="n"/>
      <c r="S747" s="4" t="n"/>
      <c r="T747" s="5" t="n"/>
      <c r="U747" s="8">
        <f>IF(AND(V747=1,D747&lt;&gt;""),IF(D747&gt;=corte,TODAY()-D747,""),"")</f>
        <v/>
      </c>
      <c r="V747" s="8">
        <f>IF(D747="",0,IF(OR(AND(P747&lt;&gt;"",S747=""),AND(N(J747)&gt;0,N(K747)&lt;J747),OR(M747="PENDENTE",M747="PARCIAL"),OR(N747="PENDENTE",N747="PARCIAL")),1,0))</f>
        <v/>
      </c>
      <c r="W747" s="8">
        <f>IF(AND(V747=1,D747&lt;&gt;""),IF(D747&gt;=corte,(B747="CRÍTICO")*1E9+(100000-D747)*10000+10000-ROW(),""),"")</f>
        <v/>
      </c>
      <c r="X747" s="8">
        <f>IF(AND(V747=1,D747=pas_data,E747=pas_turno),10000-ROW(),"")</f>
        <v/>
      </c>
    </row>
    <row r="748">
      <c r="A748" s="3">
        <f>IF(D748="","","TT-"&amp;TEXT(ROW()-1,"00000"))</f>
        <v/>
      </c>
      <c r="B748" s="3">
        <f>IF(D748="","",IF(V748=0,"CONCLUÍDO",IF(D748&lt;corte,"HISTÓRICO",IF(OR(AND(ISNUMBER(R748),R748&lt;TODAY()),AND(OR(N748="PENDENTE",N748="PARCIAL"),D748&lt;TODAY()-1)),"CRÍTICO",IF(OR(AND(P748&lt;&gt;"",S748=""),AND(N748="REALIZADO",M748="PENDENTE"),AND(ISNUMBER(R748),R748=TODAY())),"ATENÇÃO",IF(N(K748)=0,"PENDENTE","EM ANDAMENTO"))))))</f>
        <v/>
      </c>
      <c r="C748" s="3">
        <f>IF(D748="","",IF(V748=0,"🟢 OK",IF(D748&lt;corte,"⚪ HISTÓRICO (sem baixa)",IF(AND(ISNUMBER(R748),R748&lt;TODAY()),"🔴 PRAZO VENCIDO",IF(AND(OR(N748="PENDENTE",N748="PARCIAL"),D748&lt;TODAY()-1),"🔴 EMBARQUE ATRASADO",IF(AND(N748="REALIZADO",M748="PENDENTE"),"🟡 EMBARCADO SEM FATURAR",IF(AND(P748&lt;&gt;"",S748="",OR(Q748="",R748="")),"🟡 PENDÊNCIA SEM RESPONSÁVEL/PRAZO",IF(AND(ISNUMBER(R748),R748=TODAY()),"🟡 VENCE HOJE",IF(AND(P748&lt;&gt;"",S748=""),"🟡 PENDÊNCIA ABERTA",IF(AND(N(J748)&gt;0,N(K748)&lt;J748),"🟡 FALTA EXECUTAR",IF(OR(M748="PENDENTE",M748="PARCIAL"),"🟡 FATURAMENTO PENDENTE","🟡 EMBARQUE PENDENTE")))))))))))</f>
        <v/>
      </c>
      <c r="D748" s="4" t="n">
        <v>46279</v>
      </c>
      <c r="E748" s="5" t="inlineStr">
        <is>
          <t>A</t>
        </is>
      </c>
      <c r="F748" s="5" t="inlineStr">
        <is>
          <t>TATIANE</t>
        </is>
      </c>
      <c r="G748" s="5" t="inlineStr">
        <is>
          <t>GRANEL</t>
        </is>
      </c>
      <c r="H748" s="5" t="inlineStr">
        <is>
          <t>MAGNUM/PANDURATA</t>
        </is>
      </c>
      <c r="I748" s="5" t="inlineStr">
        <is>
          <t>TON</t>
        </is>
      </c>
      <c r="J748" s="6" t="n">
        <v>37.08</v>
      </c>
      <c r="K748" s="6" t="n">
        <v>37.08</v>
      </c>
      <c r="L748" s="7">
        <f>IF(OR(D748="",N(J748)=0),"",MIN(1,N(K748)/J748))</f>
        <v/>
      </c>
      <c r="M748" s="5" t="inlineStr">
        <is>
          <t>FATURADO</t>
        </is>
      </c>
      <c r="N748" s="5" t="inlineStr">
        <is>
          <t>REALIZADO</t>
        </is>
      </c>
      <c r="O748" s="5" t="inlineStr">
        <is>
          <t>JSL</t>
        </is>
      </c>
      <c r="P748" s="5" t="n"/>
      <c r="Q748" s="5" t="n"/>
      <c r="R748" s="4" t="n"/>
      <c r="S748" s="4" t="n"/>
      <c r="T748" s="5" t="n"/>
      <c r="U748" s="8">
        <f>IF(AND(V748=1,D748&lt;&gt;""),IF(D748&gt;=corte,TODAY()-D748,""),"")</f>
        <v/>
      </c>
      <c r="V748" s="8">
        <f>IF(D748="",0,IF(OR(AND(P748&lt;&gt;"",S748=""),AND(N(J748)&gt;0,N(K748)&lt;J748),OR(M748="PENDENTE",M748="PARCIAL"),OR(N748="PENDENTE",N748="PARCIAL")),1,0))</f>
        <v/>
      </c>
      <c r="W748" s="8">
        <f>IF(AND(V748=1,D748&lt;&gt;""),IF(D748&gt;=corte,(B748="CRÍTICO")*1E9+(100000-D748)*10000+10000-ROW(),""),"")</f>
        <v/>
      </c>
      <c r="X748" s="8">
        <f>IF(AND(V748=1,D748=pas_data,E748=pas_turno),10000-ROW(),"")</f>
        <v/>
      </c>
    </row>
    <row r="749">
      <c r="A749" s="3">
        <f>IF(D749="","","TT-"&amp;TEXT(ROW()-1,"00000"))</f>
        <v/>
      </c>
      <c r="B749" s="3">
        <f>IF(D749="","",IF(V749=0,"CONCLUÍDO",IF(D749&lt;corte,"HISTÓRICO",IF(OR(AND(ISNUMBER(R749),R749&lt;TODAY()),AND(OR(N749="PENDENTE",N749="PARCIAL"),D749&lt;TODAY()-1)),"CRÍTICO",IF(OR(AND(P749&lt;&gt;"",S749=""),AND(N749="REALIZADO",M749="PENDENTE"),AND(ISNUMBER(R749),R749=TODAY())),"ATENÇÃO",IF(N(K749)=0,"PENDENTE","EM ANDAMENTO"))))))</f>
        <v/>
      </c>
      <c r="C749" s="3">
        <f>IF(D749="","",IF(V749=0,"🟢 OK",IF(D749&lt;corte,"⚪ HISTÓRICO (sem baixa)",IF(AND(ISNUMBER(R749),R749&lt;TODAY()),"🔴 PRAZO VENCIDO",IF(AND(OR(N749="PENDENTE",N749="PARCIAL"),D749&lt;TODAY()-1),"🔴 EMBARQUE ATRASADO",IF(AND(N749="REALIZADO",M749="PENDENTE"),"🟡 EMBARCADO SEM FATURAR",IF(AND(P749&lt;&gt;"",S749="",OR(Q749="",R749="")),"🟡 PENDÊNCIA SEM RESPONSÁVEL/PRAZO",IF(AND(ISNUMBER(R749),R749=TODAY()),"🟡 VENCE HOJE",IF(AND(P749&lt;&gt;"",S749=""),"🟡 PENDÊNCIA ABERTA",IF(AND(N(J749)&gt;0,N(K749)&lt;J749),"🟡 FALTA EXECUTAR",IF(OR(M749="PENDENTE",M749="PARCIAL"),"🟡 FATURAMENTO PENDENTE","🟡 EMBARQUE PENDENTE")))))))))))</f>
        <v/>
      </c>
      <c r="D749" s="4" t="n">
        <v>46279</v>
      </c>
      <c r="E749" s="5" t="inlineStr">
        <is>
          <t>A</t>
        </is>
      </c>
      <c r="F749" s="5" t="inlineStr">
        <is>
          <t>TATIANE</t>
        </is>
      </c>
      <c r="G749" s="5" t="inlineStr">
        <is>
          <t>FLOOR</t>
        </is>
      </c>
      <c r="H749" s="5" t="inlineStr">
        <is>
          <t>FABRICA</t>
        </is>
      </c>
      <c r="I749" s="5" t="inlineStr">
        <is>
          <t>PALETE</t>
        </is>
      </c>
      <c r="J749" s="6" t="n">
        <v>110</v>
      </c>
      <c r="K749" s="6" t="n">
        <v>110</v>
      </c>
      <c r="L749" s="7">
        <f>IF(OR(D749="",N(J749)=0),"",MIN(1,N(K749)/J749))</f>
        <v/>
      </c>
      <c r="M749" s="5" t="n"/>
      <c r="N749" s="5" t="n"/>
      <c r="O749" s="5" t="n"/>
      <c r="P749" s="5" t="n"/>
      <c r="Q749" s="5" t="n"/>
      <c r="R749" s="4" t="n"/>
      <c r="S749" s="4" t="n"/>
      <c r="T749" s="5" t="n"/>
      <c r="U749" s="8">
        <f>IF(AND(V749=1,D749&lt;&gt;""),IF(D749&gt;=corte,TODAY()-D749,""),"")</f>
        <v/>
      </c>
      <c r="V749" s="8">
        <f>IF(D749="",0,IF(OR(AND(P749&lt;&gt;"",S749=""),AND(N(J749)&gt;0,N(K749)&lt;J749),OR(M749="PENDENTE",M749="PARCIAL"),OR(N749="PENDENTE",N749="PARCIAL")),1,0))</f>
        <v/>
      </c>
      <c r="W749" s="8">
        <f>IF(AND(V749=1,D749&lt;&gt;""),IF(D749&gt;=corte,(B749="CRÍTICO")*1E9+(100000-D749)*10000+10000-ROW(),""),"")</f>
        <v/>
      </c>
      <c r="X749" s="8">
        <f>IF(AND(V749=1,D749=pas_data,E749=pas_turno),10000-ROW(),"")</f>
        <v/>
      </c>
    </row>
    <row r="750">
      <c r="A750" s="3">
        <f>IF(D750="","","TT-"&amp;TEXT(ROW()-1,"00000"))</f>
        <v/>
      </c>
      <c r="B750" s="3">
        <f>IF(D750="","",IF(V750=0,"CONCLUÍDO",IF(D750&lt;corte,"HISTÓRICO",IF(OR(AND(ISNUMBER(R750),R750&lt;TODAY()),AND(OR(N750="PENDENTE",N750="PARCIAL"),D750&lt;TODAY()-1)),"CRÍTICO",IF(OR(AND(P750&lt;&gt;"",S750=""),AND(N750="REALIZADO",M750="PENDENTE"),AND(ISNUMBER(R750),R750=TODAY())),"ATENÇÃO",IF(N(K750)=0,"PENDENTE","EM ANDAMENTO"))))))</f>
        <v/>
      </c>
      <c r="C750" s="3">
        <f>IF(D750="","",IF(V750=0,"🟢 OK",IF(D750&lt;corte,"⚪ HISTÓRICO (sem baixa)",IF(AND(ISNUMBER(R750),R750&lt;TODAY()),"🔴 PRAZO VENCIDO",IF(AND(OR(N750="PENDENTE",N750="PARCIAL"),D750&lt;TODAY()-1),"🔴 EMBARQUE ATRASADO",IF(AND(N750="REALIZADO",M750="PENDENTE"),"🟡 EMBARCADO SEM FATURAR",IF(AND(P750&lt;&gt;"",S750="",OR(Q750="",R750="")),"🟡 PENDÊNCIA SEM RESPONSÁVEL/PRAZO",IF(AND(ISNUMBER(R750),R750=TODAY()),"🟡 VENCE HOJE",IF(AND(P750&lt;&gt;"",S750=""),"🟡 PENDÊNCIA ABERTA",IF(AND(N(J750)&gt;0,N(K750)&lt;J750),"🟡 FALTA EXECUTAR",IF(OR(M750="PENDENTE",M750="PARCIAL"),"🟡 FATURAMENTO PENDENTE","🟡 EMBARQUE PENDENTE")))))))))))</f>
        <v/>
      </c>
      <c r="D750" s="4" t="n">
        <v>46279</v>
      </c>
      <c r="E750" s="5" t="inlineStr">
        <is>
          <t>A</t>
        </is>
      </c>
      <c r="F750" s="5" t="inlineStr">
        <is>
          <t>TATIANE</t>
        </is>
      </c>
      <c r="G750" s="5" t="inlineStr">
        <is>
          <t>CACAU</t>
        </is>
      </c>
      <c r="H750" s="5" t="inlineStr">
        <is>
          <t>SEPARAÇÃO</t>
        </is>
      </c>
      <c r="I750" s="5" t="inlineStr">
        <is>
          <t>TON</t>
        </is>
      </c>
      <c r="J750" s="6" t="n">
        <v>11.283</v>
      </c>
      <c r="K750" s="6" t="n">
        <v>11.283</v>
      </c>
      <c r="L750" s="7">
        <f>IF(OR(D750="",N(J750)=0),"",MIN(1,N(K750)/J750))</f>
        <v/>
      </c>
      <c r="M750" s="5" t="inlineStr">
        <is>
          <t>PENDENTE</t>
        </is>
      </c>
      <c r="N750" s="5" t="inlineStr">
        <is>
          <t>PENDENTE</t>
        </is>
      </c>
      <c r="O750" s="5" t="inlineStr">
        <is>
          <t>SMARTLOG</t>
        </is>
      </c>
      <c r="P750" s="5" t="n"/>
      <c r="Q750" s="5" t="n"/>
      <c r="R750" s="4" t="n"/>
      <c r="S750" s="4" t="n"/>
      <c r="T750" s="5" t="n"/>
      <c r="U750" s="8">
        <f>IF(AND(V750=1,D750&lt;&gt;""),IF(D750&gt;=corte,TODAY()-D750,""),"")</f>
        <v/>
      </c>
      <c r="V750" s="8">
        <f>IF(D750="",0,IF(OR(AND(P750&lt;&gt;"",S750=""),AND(N(J750)&gt;0,N(K750)&lt;J750),OR(M750="PENDENTE",M750="PARCIAL"),OR(N750="PENDENTE",N750="PARCIAL")),1,0))</f>
        <v/>
      </c>
      <c r="W750" s="8">
        <f>IF(AND(V750=1,D750&lt;&gt;""),IF(D750&gt;=corte,(B750="CRÍTICO")*1E9+(100000-D750)*10000+10000-ROW(),""),"")</f>
        <v/>
      </c>
      <c r="X750" s="8">
        <f>IF(AND(V750=1,D750=pas_data,E750=pas_turno),10000-ROW(),"")</f>
        <v/>
      </c>
    </row>
    <row r="751">
      <c r="A751" s="3">
        <f>IF(D751="","","TT-"&amp;TEXT(ROW()-1,"00000"))</f>
        <v/>
      </c>
      <c r="B751" s="3">
        <f>IF(D751="","",IF(V751=0,"CONCLUÍDO",IF(D751&lt;corte,"HISTÓRICO",IF(OR(AND(ISNUMBER(R751),R751&lt;TODAY()),AND(OR(N751="PENDENTE",N751="PARCIAL"),D751&lt;TODAY()-1)),"CRÍTICO",IF(OR(AND(P751&lt;&gt;"",S751=""),AND(N751="REALIZADO",M751="PENDENTE"),AND(ISNUMBER(R751),R751=TODAY())),"ATENÇÃO",IF(N(K751)=0,"PENDENTE","EM ANDAMENTO"))))))</f>
        <v/>
      </c>
      <c r="C751" s="3">
        <f>IF(D751="","",IF(V751=0,"🟢 OK",IF(D751&lt;corte,"⚪ HISTÓRICO (sem baixa)",IF(AND(ISNUMBER(R751),R751&lt;TODAY()),"🔴 PRAZO VENCIDO",IF(AND(OR(N751="PENDENTE",N751="PARCIAL"),D751&lt;TODAY()-1),"🔴 EMBARQUE ATRASADO",IF(AND(N751="REALIZADO",M751="PENDENTE"),"🟡 EMBARCADO SEM FATURAR",IF(AND(P751&lt;&gt;"",S751="",OR(Q751="",R751="")),"🟡 PENDÊNCIA SEM RESPONSÁVEL/PRAZO",IF(AND(ISNUMBER(R751),R751=TODAY()),"🟡 VENCE HOJE",IF(AND(P751&lt;&gt;"",S751=""),"🟡 PENDÊNCIA ABERTA",IF(AND(N(J751)&gt;0,N(K751)&lt;J751),"🟡 FALTA EXECUTAR",IF(OR(M751="PENDENTE",M751="PARCIAL"),"🟡 FATURAMENTO PENDENTE","🟡 EMBARQUE PENDENTE")))))))))))</f>
        <v/>
      </c>
      <c r="D751" s="4" t="n">
        <v>46279</v>
      </c>
      <c r="E751" s="5" t="inlineStr">
        <is>
          <t>A</t>
        </is>
      </c>
      <c r="F751" s="5" t="inlineStr">
        <is>
          <t>TATIANE</t>
        </is>
      </c>
      <c r="G751" s="5" t="inlineStr">
        <is>
          <t>GM</t>
        </is>
      </c>
      <c r="H751" s="5" t="inlineStr">
        <is>
          <t>AGENDAS 16/09</t>
        </is>
      </c>
      <c r="I751" s="5" t="inlineStr">
        <is>
          <t>TON</t>
        </is>
      </c>
      <c r="J751" s="6" t="n">
        <v>55.755</v>
      </c>
      <c r="K751" s="6" t="n"/>
      <c r="L751" s="7">
        <f>IF(OR(D751="",N(J751)=0),"",MIN(1,N(K751)/J751))</f>
        <v/>
      </c>
      <c r="M751" s="5" t="inlineStr">
        <is>
          <t>FATURADO</t>
        </is>
      </c>
      <c r="N751" s="5" t="inlineStr">
        <is>
          <t>PENDENTE</t>
        </is>
      </c>
      <c r="O751" s="5" t="inlineStr">
        <is>
          <t>SMARTLOG</t>
        </is>
      </c>
      <c r="P751" s="5" t="n"/>
      <c r="Q751" s="5" t="n"/>
      <c r="R751" s="4" t="n"/>
      <c r="S751" s="4" t="n"/>
      <c r="T751" s="5" t="n"/>
      <c r="U751" s="8">
        <f>IF(AND(V751=1,D751&lt;&gt;""),IF(D751&gt;=corte,TODAY()-D751,""),"")</f>
        <v/>
      </c>
      <c r="V751" s="8">
        <f>IF(D751="",0,IF(OR(AND(P751&lt;&gt;"",S751=""),AND(N(J751)&gt;0,N(K751)&lt;J751),OR(M751="PENDENTE",M751="PARCIAL"),OR(N751="PENDENTE",N751="PARCIAL")),1,0))</f>
        <v/>
      </c>
      <c r="W751" s="8">
        <f>IF(AND(V751=1,D751&lt;&gt;""),IF(D751&gt;=corte,(B751="CRÍTICO")*1E9+(100000-D751)*10000+10000-ROW(),""),"")</f>
        <v/>
      </c>
      <c r="X751" s="8">
        <f>IF(AND(V751=1,D751=pas_data,E751=pas_turno),10000-ROW(),"")</f>
        <v/>
      </c>
    </row>
    <row r="752">
      <c r="A752" s="3">
        <f>IF(D752="","","TT-"&amp;TEXT(ROW()-1,"00000"))</f>
        <v/>
      </c>
      <c r="B752" s="3">
        <f>IF(D752="","",IF(V752=0,"CONCLUÍDO",IF(D752&lt;corte,"HISTÓRICO",IF(OR(AND(ISNUMBER(R752),R752&lt;TODAY()),AND(OR(N752="PENDENTE",N752="PARCIAL"),D752&lt;TODAY()-1)),"CRÍTICO",IF(OR(AND(P752&lt;&gt;"",S752=""),AND(N752="REALIZADO",M752="PENDENTE"),AND(ISNUMBER(R752),R752=TODAY())),"ATENÇÃO",IF(N(K752)=0,"PENDENTE","EM ANDAMENTO"))))))</f>
        <v/>
      </c>
      <c r="C752" s="3">
        <f>IF(D752="","",IF(V752=0,"🟢 OK",IF(D752&lt;corte,"⚪ HISTÓRICO (sem baixa)",IF(AND(ISNUMBER(R752),R752&lt;TODAY()),"🔴 PRAZO VENCIDO",IF(AND(OR(N752="PENDENTE",N752="PARCIAL"),D752&lt;TODAY()-1),"🔴 EMBARQUE ATRASADO",IF(AND(N752="REALIZADO",M752="PENDENTE"),"🟡 EMBARCADO SEM FATURAR",IF(AND(P752&lt;&gt;"",S752="",OR(Q752="",R752="")),"🟡 PENDÊNCIA SEM RESPONSÁVEL/PRAZO",IF(AND(ISNUMBER(R752),R752=TODAY()),"🟡 VENCE HOJE",IF(AND(P752&lt;&gt;"",S752=""),"🟡 PENDÊNCIA ABERTA",IF(AND(N(J752)&gt;0,N(K752)&lt;J752),"🟡 FALTA EXECUTAR",IF(OR(M752="PENDENTE",M752="PARCIAL"),"🟡 FATURAMENTO PENDENTE","🟡 EMBARQUE PENDENTE")))))))))))</f>
        <v/>
      </c>
      <c r="D752" s="4" t="n">
        <v>46279</v>
      </c>
      <c r="E752" s="5" t="inlineStr">
        <is>
          <t>B</t>
        </is>
      </c>
      <c r="F752" s="5" t="inlineStr">
        <is>
          <t>THIAGO</t>
        </is>
      </c>
      <c r="G752" s="5" t="inlineStr">
        <is>
          <t>RECEBIMENTO</t>
        </is>
      </c>
      <c r="H752" s="5" t="inlineStr">
        <is>
          <t>DGRX</t>
        </is>
      </c>
      <c r="I752" s="5" t="inlineStr">
        <is>
          <t>TON</t>
        </is>
      </c>
      <c r="J752" s="6" t="n">
        <v>25.896</v>
      </c>
      <c r="K752" s="6" t="n">
        <v>25.896</v>
      </c>
      <c r="L752" s="7">
        <f>IF(OR(D752="",N(J752)=0),"",MIN(1,N(K752)/J752))</f>
        <v/>
      </c>
      <c r="M752" s="5" t="inlineStr">
        <is>
          <t>FATURADO</t>
        </is>
      </c>
      <c r="N752" s="5" t="n"/>
      <c r="O752" s="5" t="n"/>
      <c r="P752" s="5" t="n"/>
      <c r="Q752" s="5" t="n"/>
      <c r="R752" s="4" t="n"/>
      <c r="S752" s="4" t="n"/>
      <c r="T752" s="5" t="inlineStr">
        <is>
          <t>[MIGRAÇÃO: programação original: IMPORTAÇÃO]</t>
        </is>
      </c>
      <c r="U752" s="8">
        <f>IF(AND(V752=1,D752&lt;&gt;""),IF(D752&gt;=corte,TODAY()-D752,""),"")</f>
        <v/>
      </c>
      <c r="V752" s="8">
        <f>IF(D752="",0,IF(OR(AND(P752&lt;&gt;"",S752=""),AND(N(J752)&gt;0,N(K752)&lt;J752),OR(M752="PENDENTE",M752="PARCIAL"),OR(N752="PENDENTE",N752="PARCIAL")),1,0))</f>
        <v/>
      </c>
      <c r="W752" s="8">
        <f>IF(AND(V752=1,D752&lt;&gt;""),IF(D752&gt;=corte,(B752="CRÍTICO")*1E9+(100000-D752)*10000+10000-ROW(),""),"")</f>
        <v/>
      </c>
      <c r="X752" s="8">
        <f>IF(AND(V752=1,D752=pas_data,E752=pas_turno),10000-ROW(),"")</f>
        <v/>
      </c>
    </row>
    <row r="753">
      <c r="A753" s="3">
        <f>IF(D753="","","TT-"&amp;TEXT(ROW()-1,"00000"))</f>
        <v/>
      </c>
      <c r="B753" s="3">
        <f>IF(D753="","",IF(V753=0,"CONCLUÍDO",IF(D753&lt;corte,"HISTÓRICO",IF(OR(AND(ISNUMBER(R753),R753&lt;TODAY()),AND(OR(N753="PENDENTE",N753="PARCIAL"),D753&lt;TODAY()-1)),"CRÍTICO",IF(OR(AND(P753&lt;&gt;"",S753=""),AND(N753="REALIZADO",M753="PENDENTE"),AND(ISNUMBER(R753),R753=TODAY())),"ATENÇÃO",IF(N(K753)=0,"PENDENTE","EM ANDAMENTO"))))))</f>
        <v/>
      </c>
      <c r="C753" s="3">
        <f>IF(D753="","",IF(V753=0,"🟢 OK",IF(D753&lt;corte,"⚪ HISTÓRICO (sem baixa)",IF(AND(ISNUMBER(R753),R753&lt;TODAY()),"🔴 PRAZO VENCIDO",IF(AND(OR(N753="PENDENTE",N753="PARCIAL"),D753&lt;TODAY()-1),"🔴 EMBARQUE ATRASADO",IF(AND(N753="REALIZADO",M753="PENDENTE"),"🟡 EMBARCADO SEM FATURAR",IF(AND(P753&lt;&gt;"",S753="",OR(Q753="",R753="")),"🟡 PENDÊNCIA SEM RESPONSÁVEL/PRAZO",IF(AND(ISNUMBER(R753),R753=TODAY()),"🟡 VENCE HOJE",IF(AND(P753&lt;&gt;"",S753=""),"🟡 PENDÊNCIA ABERTA",IF(AND(N(J753)&gt;0,N(K753)&lt;J753),"🟡 FALTA EXECUTAR",IF(OR(M753="PENDENTE",M753="PARCIAL"),"🟡 FATURAMENTO PENDENTE","🟡 EMBARQUE PENDENTE")))))))))))</f>
        <v/>
      </c>
      <c r="D753" s="4" t="n">
        <v>46279</v>
      </c>
      <c r="E753" s="5" t="inlineStr">
        <is>
          <t>B</t>
        </is>
      </c>
      <c r="F753" s="5" t="inlineStr">
        <is>
          <t>THIAGO</t>
        </is>
      </c>
      <c r="G753" s="5" t="inlineStr">
        <is>
          <t>FOB</t>
        </is>
      </c>
      <c r="H753" s="5" t="inlineStr">
        <is>
          <t>MARILSA BASSETO</t>
        </is>
      </c>
      <c r="I753" s="5" t="inlineStr">
        <is>
          <t>TON</t>
        </is>
      </c>
      <c r="J753" s="6" t="n">
        <v>12.251</v>
      </c>
      <c r="K753" s="6" t="n">
        <v>12.251</v>
      </c>
      <c r="L753" s="7">
        <f>IF(OR(D753="",N(J753)=0),"",MIN(1,N(K753)/J753))</f>
        <v/>
      </c>
      <c r="M753" s="5" t="inlineStr">
        <is>
          <t>FATURADO</t>
        </is>
      </c>
      <c r="N753" s="5" t="n"/>
      <c r="O753" s="5" t="n"/>
      <c r="P753" s="5" t="n"/>
      <c r="Q753" s="5" t="n"/>
      <c r="R753" s="4" t="n"/>
      <c r="S753" s="4" t="n"/>
      <c r="T753" s="5" t="n"/>
      <c r="U753" s="8">
        <f>IF(AND(V753=1,D753&lt;&gt;""),IF(D753&gt;=corte,TODAY()-D753,""),"")</f>
        <v/>
      </c>
      <c r="V753" s="8">
        <f>IF(D753="",0,IF(OR(AND(P753&lt;&gt;"",S753=""),AND(N(J753)&gt;0,N(K753)&lt;J753),OR(M753="PENDENTE",M753="PARCIAL"),OR(N753="PENDENTE",N753="PARCIAL")),1,0))</f>
        <v/>
      </c>
      <c r="W753" s="8">
        <f>IF(AND(V753=1,D753&lt;&gt;""),IF(D753&gt;=corte,(B753="CRÍTICO")*1E9+(100000-D753)*10000+10000-ROW(),""),"")</f>
        <v/>
      </c>
      <c r="X753" s="8">
        <f>IF(AND(V753=1,D753=pas_data,E753=pas_turno),10000-ROW(),"")</f>
        <v/>
      </c>
    </row>
    <row r="754">
      <c r="A754" s="3">
        <f>IF(D754="","","TT-"&amp;TEXT(ROW()-1,"00000"))</f>
        <v/>
      </c>
      <c r="B754" s="3">
        <f>IF(D754="","",IF(V754=0,"CONCLUÍDO",IF(D754&lt;corte,"HISTÓRICO",IF(OR(AND(ISNUMBER(R754),R754&lt;TODAY()),AND(OR(N754="PENDENTE",N754="PARCIAL"),D754&lt;TODAY()-1)),"CRÍTICO",IF(OR(AND(P754&lt;&gt;"",S754=""),AND(N754="REALIZADO",M754="PENDENTE"),AND(ISNUMBER(R754),R754=TODAY())),"ATENÇÃO",IF(N(K754)=0,"PENDENTE","EM ANDAMENTO"))))))</f>
        <v/>
      </c>
      <c r="C754" s="3">
        <f>IF(D754="","",IF(V754=0,"🟢 OK",IF(D754&lt;corte,"⚪ HISTÓRICO (sem baixa)",IF(AND(ISNUMBER(R754),R754&lt;TODAY()),"🔴 PRAZO VENCIDO",IF(AND(OR(N754="PENDENTE",N754="PARCIAL"),D754&lt;TODAY()-1),"🔴 EMBARQUE ATRASADO",IF(AND(N754="REALIZADO",M754="PENDENTE"),"🟡 EMBARCADO SEM FATURAR",IF(AND(P754&lt;&gt;"",S754="",OR(Q754="",R754="")),"🟡 PENDÊNCIA SEM RESPONSÁVEL/PRAZO",IF(AND(ISNUMBER(R754),R754=TODAY()),"🟡 VENCE HOJE",IF(AND(P754&lt;&gt;"",S754=""),"🟡 PENDÊNCIA ABERTA",IF(AND(N(J754)&gt;0,N(K754)&lt;J754),"🟡 FALTA EXECUTAR",IF(OR(M754="PENDENTE",M754="PARCIAL"),"🟡 FATURAMENTO PENDENTE","🟡 EMBARQUE PENDENTE")))))))))))</f>
        <v/>
      </c>
      <c r="D754" s="4" t="n">
        <v>46279</v>
      </c>
      <c r="E754" s="5" t="inlineStr">
        <is>
          <t>B</t>
        </is>
      </c>
      <c r="F754" s="5" t="inlineStr">
        <is>
          <t>THIAGO</t>
        </is>
      </c>
      <c r="G754" s="5" t="inlineStr">
        <is>
          <t>FM</t>
        </is>
      </c>
      <c r="H754" s="5" t="inlineStr">
        <is>
          <t>PANDURATA</t>
        </is>
      </c>
      <c r="I754" s="5" t="inlineStr">
        <is>
          <t>TON</t>
        </is>
      </c>
      <c r="J754" s="6" t="n">
        <v>28.054</v>
      </c>
      <c r="K754" s="6" t="n">
        <v>28.054</v>
      </c>
      <c r="L754" s="7">
        <f>IF(OR(D754="",N(J754)=0),"",MIN(1,N(K754)/J754))</f>
        <v/>
      </c>
      <c r="M754" s="5" t="inlineStr">
        <is>
          <t>FATURADO</t>
        </is>
      </c>
      <c r="N754" s="5" t="n"/>
      <c r="O754" s="5" t="n"/>
      <c r="P754" s="5" t="n"/>
      <c r="Q754" s="5" t="n"/>
      <c r="R754" s="4" t="n"/>
      <c r="S754" s="4" t="n"/>
      <c r="T754" s="5" t="n"/>
      <c r="U754" s="8">
        <f>IF(AND(V754=1,D754&lt;&gt;""),IF(D754&gt;=corte,TODAY()-D754,""),"")</f>
        <v/>
      </c>
      <c r="V754" s="8">
        <f>IF(D754="",0,IF(OR(AND(P754&lt;&gt;"",S754=""),AND(N(J754)&gt;0,N(K754)&lt;J754),OR(M754="PENDENTE",M754="PARCIAL"),OR(N754="PENDENTE",N754="PARCIAL")),1,0))</f>
        <v/>
      </c>
      <c r="W754" s="8">
        <f>IF(AND(V754=1,D754&lt;&gt;""),IF(D754&gt;=corte,(B754="CRÍTICO")*1E9+(100000-D754)*10000+10000-ROW(),""),"")</f>
        <v/>
      </c>
      <c r="X754" s="8">
        <f>IF(AND(V754=1,D754=pas_data,E754=pas_turno),10000-ROW(),"")</f>
        <v/>
      </c>
    </row>
    <row r="755">
      <c r="A755" s="3">
        <f>IF(D755="","","TT-"&amp;TEXT(ROW()-1,"00000"))</f>
        <v/>
      </c>
      <c r="B755" s="3">
        <f>IF(D755="","",IF(V755=0,"CONCLUÍDO",IF(D755&lt;corte,"HISTÓRICO",IF(OR(AND(ISNUMBER(R755),R755&lt;TODAY()),AND(OR(N755="PENDENTE",N755="PARCIAL"),D755&lt;TODAY()-1)),"CRÍTICO",IF(OR(AND(P755&lt;&gt;"",S755=""),AND(N755="REALIZADO",M755="PENDENTE"),AND(ISNUMBER(R755),R755=TODAY())),"ATENÇÃO",IF(N(K755)=0,"PENDENTE","EM ANDAMENTO"))))))</f>
        <v/>
      </c>
      <c r="C755" s="3">
        <f>IF(D755="","",IF(V755=0,"🟢 OK",IF(D755&lt;corte,"⚪ HISTÓRICO (sem baixa)",IF(AND(ISNUMBER(R755),R755&lt;TODAY()),"🔴 PRAZO VENCIDO",IF(AND(OR(N755="PENDENTE",N755="PARCIAL"),D755&lt;TODAY()-1),"🔴 EMBARQUE ATRASADO",IF(AND(N755="REALIZADO",M755="PENDENTE"),"🟡 EMBARCADO SEM FATURAR",IF(AND(P755&lt;&gt;"",S755="",OR(Q755="",R755="")),"🟡 PENDÊNCIA SEM RESPONSÁVEL/PRAZO",IF(AND(ISNUMBER(R755),R755=TODAY()),"🟡 VENCE HOJE",IF(AND(P755&lt;&gt;"",S755=""),"🟡 PENDÊNCIA ABERTA",IF(AND(N(J755)&gt;0,N(K755)&lt;J755),"🟡 FALTA EXECUTAR",IF(OR(M755="PENDENTE",M755="PARCIAL"),"🟡 FATURAMENTO PENDENTE","🟡 EMBARQUE PENDENTE")))))))))))</f>
        <v/>
      </c>
      <c r="D755" s="4" t="n">
        <v>46279</v>
      </c>
      <c r="E755" s="5" t="inlineStr">
        <is>
          <t>B</t>
        </is>
      </c>
      <c r="F755" s="5" t="inlineStr">
        <is>
          <t>THIAGO</t>
        </is>
      </c>
      <c r="G755" s="5" t="inlineStr">
        <is>
          <t>FM</t>
        </is>
      </c>
      <c r="H755" s="5" t="inlineStr">
        <is>
          <t>PANDURATA</t>
        </is>
      </c>
      <c r="I755" s="5" t="inlineStr">
        <is>
          <t>TON</t>
        </is>
      </c>
      <c r="J755" s="6" t="n">
        <v>27.34</v>
      </c>
      <c r="K755" s="6" t="n"/>
      <c r="L755" s="7">
        <f>IF(OR(D755="",N(J755)=0),"",MIN(1,N(K755)/J755))</f>
        <v/>
      </c>
      <c r="M755" s="5" t="inlineStr">
        <is>
          <t>FATURADO</t>
        </is>
      </c>
      <c r="N755" s="5" t="n"/>
      <c r="O755" s="5" t="n"/>
      <c r="P755" s="5" t="n"/>
      <c r="Q755" s="5" t="n"/>
      <c r="R755" s="4" t="n"/>
      <c r="S755" s="4" t="n"/>
      <c r="T755" s="5" t="n"/>
      <c r="U755" s="8">
        <f>IF(AND(V755=1,D755&lt;&gt;""),IF(D755&gt;=corte,TODAY()-D755,""),"")</f>
        <v/>
      </c>
      <c r="V755" s="8">
        <f>IF(D755="",0,IF(OR(AND(P755&lt;&gt;"",S755=""),AND(N(J755)&gt;0,N(K755)&lt;J755),OR(M755="PENDENTE",M755="PARCIAL"),OR(N755="PENDENTE",N755="PARCIAL")),1,0))</f>
        <v/>
      </c>
      <c r="W755" s="8">
        <f>IF(AND(V755=1,D755&lt;&gt;""),IF(D755&gt;=corte,(B755="CRÍTICO")*1E9+(100000-D755)*10000+10000-ROW(),""),"")</f>
        <v/>
      </c>
      <c r="X755" s="8">
        <f>IF(AND(V755=1,D755=pas_data,E755=pas_turno),10000-ROW(),"")</f>
        <v/>
      </c>
    </row>
    <row r="756">
      <c r="A756" s="3">
        <f>IF(D756="","","TT-"&amp;TEXT(ROW()-1,"00000"))</f>
        <v/>
      </c>
      <c r="B756" s="3">
        <f>IF(D756="","",IF(V756=0,"CONCLUÍDO",IF(D756&lt;corte,"HISTÓRICO",IF(OR(AND(ISNUMBER(R756),R756&lt;TODAY()),AND(OR(N756="PENDENTE",N756="PARCIAL"),D756&lt;TODAY()-1)),"CRÍTICO",IF(OR(AND(P756&lt;&gt;"",S756=""),AND(N756="REALIZADO",M756="PENDENTE"),AND(ISNUMBER(R756),R756=TODAY())),"ATENÇÃO",IF(N(K756)=0,"PENDENTE","EM ANDAMENTO"))))))</f>
        <v/>
      </c>
      <c r="C756" s="3">
        <f>IF(D756="","",IF(V756=0,"🟢 OK",IF(D756&lt;corte,"⚪ HISTÓRICO (sem baixa)",IF(AND(ISNUMBER(R756),R756&lt;TODAY()),"🔴 PRAZO VENCIDO",IF(AND(OR(N756="PENDENTE",N756="PARCIAL"),D756&lt;TODAY()-1),"🔴 EMBARQUE ATRASADO",IF(AND(N756="REALIZADO",M756="PENDENTE"),"🟡 EMBARCADO SEM FATURAR",IF(AND(P756&lt;&gt;"",S756="",OR(Q756="",R756="")),"🟡 PENDÊNCIA SEM RESPONSÁVEL/PRAZO",IF(AND(ISNUMBER(R756),R756=TODAY()),"🟡 VENCE HOJE",IF(AND(P756&lt;&gt;"",S756=""),"🟡 PENDÊNCIA ABERTA",IF(AND(N(J756)&gt;0,N(K756)&lt;J756),"🟡 FALTA EXECUTAR",IF(OR(M756="PENDENTE",M756="PARCIAL"),"🟡 FATURAMENTO PENDENTE","🟡 EMBARQUE PENDENTE")))))))))))</f>
        <v/>
      </c>
      <c r="D756" s="4" t="n">
        <v>46279</v>
      </c>
      <c r="E756" s="5" t="inlineStr">
        <is>
          <t>B</t>
        </is>
      </c>
      <c r="F756" s="5" t="inlineStr">
        <is>
          <t>THIAGO</t>
        </is>
      </c>
      <c r="G756" s="5" t="inlineStr">
        <is>
          <t>FM</t>
        </is>
      </c>
      <c r="H756" s="5" t="inlineStr">
        <is>
          <t>NESTLE</t>
        </is>
      </c>
      <c r="I756" s="5" t="inlineStr">
        <is>
          <t>TON</t>
        </is>
      </c>
      <c r="J756" s="6" t="n">
        <v>10.515</v>
      </c>
      <c r="K756" s="6" t="n"/>
      <c r="L756" s="7">
        <f>IF(OR(D756="",N(J756)=0),"",MIN(1,N(K756)/J756))</f>
        <v/>
      </c>
      <c r="M756" s="5" t="inlineStr">
        <is>
          <t>FATURADO</t>
        </is>
      </c>
      <c r="N756" s="5" t="n"/>
      <c r="O756" s="5" t="n"/>
      <c r="P756" s="5" t="n"/>
      <c r="Q756" s="5" t="n"/>
      <c r="R756" s="4" t="n"/>
      <c r="S756" s="4" t="n"/>
      <c r="T756" s="5" t="n"/>
      <c r="U756" s="8">
        <f>IF(AND(V756=1,D756&lt;&gt;""),IF(D756&gt;=corte,TODAY()-D756,""),"")</f>
        <v/>
      </c>
      <c r="V756" s="8">
        <f>IF(D756="",0,IF(OR(AND(P756&lt;&gt;"",S756=""),AND(N(J756)&gt;0,N(K756)&lt;J756),OR(M756="PENDENTE",M756="PARCIAL"),OR(N756="PENDENTE",N756="PARCIAL")),1,0))</f>
        <v/>
      </c>
      <c r="W756" s="8">
        <f>IF(AND(V756=1,D756&lt;&gt;""),IF(D756&gt;=corte,(B756="CRÍTICO")*1E9+(100000-D756)*10000+10000-ROW(),""),"")</f>
        <v/>
      </c>
      <c r="X756" s="8">
        <f>IF(AND(V756=1,D756=pas_data,E756=pas_turno),10000-ROW(),"")</f>
        <v/>
      </c>
    </row>
    <row r="757">
      <c r="A757" s="3">
        <f>IF(D757="","","TT-"&amp;TEXT(ROW()-1,"00000"))</f>
        <v/>
      </c>
      <c r="B757" s="3">
        <f>IF(D757="","",IF(V757=0,"CONCLUÍDO",IF(D757&lt;corte,"HISTÓRICO",IF(OR(AND(ISNUMBER(R757),R757&lt;TODAY()),AND(OR(N757="PENDENTE",N757="PARCIAL"),D757&lt;TODAY()-1)),"CRÍTICO",IF(OR(AND(P757&lt;&gt;"",S757=""),AND(N757="REALIZADO",M757="PENDENTE"),AND(ISNUMBER(R757),R757=TODAY())),"ATENÇÃO",IF(N(K757)=0,"PENDENTE","EM ANDAMENTO"))))))</f>
        <v/>
      </c>
      <c r="C757" s="3">
        <f>IF(D757="","",IF(V757=0,"🟢 OK",IF(D757&lt;corte,"⚪ HISTÓRICO (sem baixa)",IF(AND(ISNUMBER(R757),R757&lt;TODAY()),"🔴 PRAZO VENCIDO",IF(AND(OR(N757="PENDENTE",N757="PARCIAL"),D757&lt;TODAY()-1),"🔴 EMBARQUE ATRASADO",IF(AND(N757="REALIZADO",M757="PENDENTE"),"🟡 EMBARCADO SEM FATURAR",IF(AND(P757&lt;&gt;"",S757="",OR(Q757="",R757="")),"🟡 PENDÊNCIA SEM RESPONSÁVEL/PRAZO",IF(AND(ISNUMBER(R757),R757=TODAY()),"🟡 VENCE HOJE",IF(AND(P757&lt;&gt;"",S757=""),"🟡 PENDÊNCIA ABERTA",IF(AND(N(J757)&gt;0,N(K757)&lt;J757),"🟡 FALTA EXECUTAR",IF(OR(M757="PENDENTE",M757="PARCIAL"),"🟡 FATURAMENTO PENDENTE","🟡 EMBARQUE PENDENTE")))))))))))</f>
        <v/>
      </c>
      <c r="D757" s="4" t="n">
        <v>46279</v>
      </c>
      <c r="E757" s="5" t="inlineStr">
        <is>
          <t>B</t>
        </is>
      </c>
      <c r="F757" s="5" t="inlineStr">
        <is>
          <t>THIAGO</t>
        </is>
      </c>
      <c r="G757" s="5" t="inlineStr">
        <is>
          <t>FLOOR</t>
        </is>
      </c>
      <c r="H757" s="5" t="n"/>
      <c r="I757" s="5" t="inlineStr">
        <is>
          <t>PALETE</t>
        </is>
      </c>
      <c r="J757" s="6" t="n">
        <v>52</v>
      </c>
      <c r="K757" s="6" t="n">
        <v>52</v>
      </c>
      <c r="L757" s="7">
        <f>IF(OR(D757="",N(J757)=0),"",MIN(1,N(K757)/J757))</f>
        <v/>
      </c>
      <c r="M757" s="5" t="n"/>
      <c r="N757" s="5" t="n"/>
      <c r="O757" s="5" t="n"/>
      <c r="P757" s="5" t="n"/>
      <c r="Q757" s="5" t="n"/>
      <c r="R757" s="4" t="n"/>
      <c r="S757" s="4" t="n"/>
      <c r="T757" s="5" t="n"/>
      <c r="U757" s="8">
        <f>IF(AND(V757=1,D757&lt;&gt;""),IF(D757&gt;=corte,TODAY()-D757,""),"")</f>
        <v/>
      </c>
      <c r="V757" s="8">
        <f>IF(D757="",0,IF(OR(AND(P757&lt;&gt;"",S757=""),AND(N(J757)&gt;0,N(K757)&lt;J757),OR(M757="PENDENTE",M757="PARCIAL"),OR(N757="PENDENTE",N757="PARCIAL")),1,0))</f>
        <v/>
      </c>
      <c r="W757" s="8">
        <f>IF(AND(V757=1,D757&lt;&gt;""),IF(D757&gt;=corte,(B757="CRÍTICO")*1E9+(100000-D757)*10000+10000-ROW(),""),"")</f>
        <v/>
      </c>
      <c r="X757" s="8">
        <f>IF(AND(V757=1,D757=pas_data,E757=pas_turno),10000-ROW(),"")</f>
        <v/>
      </c>
    </row>
    <row r="758">
      <c r="A758" s="3">
        <f>IF(D758="","","TT-"&amp;TEXT(ROW()-1,"00000"))</f>
        <v/>
      </c>
      <c r="B758" s="3">
        <f>IF(D758="","",IF(V758=0,"CONCLUÍDO",IF(D758&lt;corte,"HISTÓRICO",IF(OR(AND(ISNUMBER(R758),R758&lt;TODAY()),AND(OR(N758="PENDENTE",N758="PARCIAL"),D758&lt;TODAY()-1)),"CRÍTICO",IF(OR(AND(P758&lt;&gt;"",S758=""),AND(N758="REALIZADO",M758="PENDENTE"),AND(ISNUMBER(R758),R758=TODAY())),"ATENÇÃO",IF(N(K758)=0,"PENDENTE","EM ANDAMENTO"))))))</f>
        <v/>
      </c>
      <c r="C758" s="3">
        <f>IF(D758="","",IF(V758=0,"🟢 OK",IF(D758&lt;corte,"⚪ HISTÓRICO (sem baixa)",IF(AND(ISNUMBER(R758),R758&lt;TODAY()),"🔴 PRAZO VENCIDO",IF(AND(OR(N758="PENDENTE",N758="PARCIAL"),D758&lt;TODAY()-1),"🔴 EMBARQUE ATRASADO",IF(AND(N758="REALIZADO",M758="PENDENTE"),"🟡 EMBARCADO SEM FATURAR",IF(AND(P758&lt;&gt;"",S758="",OR(Q758="",R758="")),"🟡 PENDÊNCIA SEM RESPONSÁVEL/PRAZO",IF(AND(ISNUMBER(R758),R758=TODAY()),"🟡 VENCE HOJE",IF(AND(P758&lt;&gt;"",S758=""),"🟡 PENDÊNCIA ABERTA",IF(AND(N(J758)&gt;0,N(K758)&lt;J758),"🟡 FALTA EXECUTAR",IF(OR(M758="PENDENTE",M758="PARCIAL"),"🟡 FATURAMENTO PENDENTE","🟡 EMBARQUE PENDENTE")))))))))))</f>
        <v/>
      </c>
      <c r="D758" s="4" t="n">
        <v>46280</v>
      </c>
      <c r="E758" s="5" t="inlineStr">
        <is>
          <t>A</t>
        </is>
      </c>
      <c r="F758" s="5" t="inlineStr">
        <is>
          <t>TATIANE</t>
        </is>
      </c>
      <c r="G758" s="5" t="inlineStr">
        <is>
          <t>FM</t>
        </is>
      </c>
      <c r="H758" s="5" t="inlineStr">
        <is>
          <t>PANDURATA</t>
        </is>
      </c>
      <c r="I758" s="5" t="inlineStr">
        <is>
          <t>TON</t>
        </is>
      </c>
      <c r="J758" s="6" t="n">
        <v>24.3</v>
      </c>
      <c r="K758" s="6" t="n">
        <v>24.3</v>
      </c>
      <c r="L758" s="7">
        <f>IF(OR(D758="",N(J758)=0),"",MIN(1,N(K758)/J758))</f>
        <v/>
      </c>
      <c r="M758" s="5" t="inlineStr">
        <is>
          <t>PENDENTE</t>
        </is>
      </c>
      <c r="N758" s="5" t="inlineStr">
        <is>
          <t>PENDENTE</t>
        </is>
      </c>
      <c r="O758" s="5" t="inlineStr">
        <is>
          <t>SPEEDYLOG</t>
        </is>
      </c>
      <c r="P758" s="5" t="n"/>
      <c r="Q758" s="5" t="n"/>
      <c r="R758" s="4" t="n"/>
      <c r="S758" s="4" t="n"/>
      <c r="T758" s="5" t="n"/>
      <c r="U758" s="8">
        <f>IF(AND(V758=1,D758&lt;&gt;""),IF(D758&gt;=corte,TODAY()-D758,""),"")</f>
        <v/>
      </c>
      <c r="V758" s="8">
        <f>IF(D758="",0,IF(OR(AND(P758&lt;&gt;"",S758=""),AND(N(J758)&gt;0,N(K758)&lt;J758),OR(M758="PENDENTE",M758="PARCIAL"),OR(N758="PENDENTE",N758="PARCIAL")),1,0))</f>
        <v/>
      </c>
      <c r="W758" s="8">
        <f>IF(AND(V758=1,D758&lt;&gt;""),IF(D758&gt;=corte,(B758="CRÍTICO")*1E9+(100000-D758)*10000+10000-ROW(),""),"")</f>
        <v/>
      </c>
      <c r="X758" s="8">
        <f>IF(AND(V758=1,D758=pas_data,E758=pas_turno),10000-ROW(),"")</f>
        <v/>
      </c>
    </row>
    <row r="759">
      <c r="A759" s="3">
        <f>IF(D759="","","TT-"&amp;TEXT(ROW()-1,"00000"))</f>
        <v/>
      </c>
      <c r="B759" s="3">
        <f>IF(D759="","",IF(V759=0,"CONCLUÍDO",IF(D759&lt;corte,"HISTÓRICO",IF(OR(AND(ISNUMBER(R759),R759&lt;TODAY()),AND(OR(N759="PENDENTE",N759="PARCIAL"),D759&lt;TODAY()-1)),"CRÍTICO",IF(OR(AND(P759&lt;&gt;"",S759=""),AND(N759="REALIZADO",M759="PENDENTE"),AND(ISNUMBER(R759),R759=TODAY())),"ATENÇÃO",IF(N(K759)=0,"PENDENTE","EM ANDAMENTO"))))))</f>
        <v/>
      </c>
      <c r="C759" s="3">
        <f>IF(D759="","",IF(V759=0,"🟢 OK",IF(D759&lt;corte,"⚪ HISTÓRICO (sem baixa)",IF(AND(ISNUMBER(R759),R759&lt;TODAY()),"🔴 PRAZO VENCIDO",IF(AND(OR(N759="PENDENTE",N759="PARCIAL"),D759&lt;TODAY()-1),"🔴 EMBARQUE ATRASADO",IF(AND(N759="REALIZADO",M759="PENDENTE"),"🟡 EMBARCADO SEM FATURAR",IF(AND(P759&lt;&gt;"",S759="",OR(Q759="",R759="")),"🟡 PENDÊNCIA SEM RESPONSÁVEL/PRAZO",IF(AND(ISNUMBER(R759),R759=TODAY()),"🟡 VENCE HOJE",IF(AND(P759&lt;&gt;"",S759=""),"🟡 PENDÊNCIA ABERTA",IF(AND(N(J759)&gt;0,N(K759)&lt;J759),"🟡 FALTA EXECUTAR",IF(OR(M759="PENDENTE",M759="PARCIAL"),"🟡 FATURAMENTO PENDENTE","🟡 EMBARQUE PENDENTE")))))))))))</f>
        <v/>
      </c>
      <c r="D759" s="4" t="n">
        <v>46280</v>
      </c>
      <c r="E759" s="5" t="inlineStr">
        <is>
          <t>A</t>
        </is>
      </c>
      <c r="F759" s="5" t="inlineStr">
        <is>
          <t>TATIANE</t>
        </is>
      </c>
      <c r="G759" s="5" t="inlineStr">
        <is>
          <t>FM</t>
        </is>
      </c>
      <c r="H759" s="5" t="inlineStr">
        <is>
          <t>MARGOSSIAM</t>
        </is>
      </c>
      <c r="I759" s="5" t="inlineStr">
        <is>
          <t>TON</t>
        </is>
      </c>
      <c r="J759" s="6" t="n"/>
      <c r="K759" s="6" t="n"/>
      <c r="L759" s="7">
        <f>IF(OR(D759="",N(J759)=0),"",MIN(1,N(K759)/J759))</f>
        <v/>
      </c>
      <c r="M759" s="5" t="n"/>
      <c r="N759" s="5" t="n"/>
      <c r="O759" s="5" t="n"/>
      <c r="P759" s="5" t="n"/>
      <c r="Q759" s="5" t="n"/>
      <c r="R759" s="4" t="n"/>
      <c r="S759" s="4" t="n"/>
      <c r="T759" s="5" t="n"/>
      <c r="U759" s="8">
        <f>IF(AND(V759=1,D759&lt;&gt;""),IF(D759&gt;=corte,TODAY()-D759,""),"")</f>
        <v/>
      </c>
      <c r="V759" s="8">
        <f>IF(D759="",0,IF(OR(AND(P759&lt;&gt;"",S759=""),AND(N(J759)&gt;0,N(K759)&lt;J759),OR(M759="PENDENTE",M759="PARCIAL"),OR(N759="PENDENTE",N759="PARCIAL")),1,0))</f>
        <v/>
      </c>
      <c r="W759" s="8">
        <f>IF(AND(V759=1,D759&lt;&gt;""),IF(D759&gt;=corte,(B759="CRÍTICO")*1E9+(100000-D759)*10000+10000-ROW(),""),"")</f>
        <v/>
      </c>
      <c r="X759" s="8">
        <f>IF(AND(V759=1,D759=pas_data,E759=pas_turno),10000-ROW(),"")</f>
        <v/>
      </c>
    </row>
    <row r="760">
      <c r="A760" s="3">
        <f>IF(D760="","","TT-"&amp;TEXT(ROW()-1,"00000"))</f>
        <v/>
      </c>
      <c r="B760" s="3">
        <f>IF(D760="","",IF(V760=0,"CONCLUÍDO",IF(D760&lt;corte,"HISTÓRICO",IF(OR(AND(ISNUMBER(R760),R760&lt;TODAY()),AND(OR(N760="PENDENTE",N760="PARCIAL"),D760&lt;TODAY()-1)),"CRÍTICO",IF(OR(AND(P760&lt;&gt;"",S760=""),AND(N760="REALIZADO",M760="PENDENTE"),AND(ISNUMBER(R760),R760=TODAY())),"ATENÇÃO",IF(N(K760)=0,"PENDENTE","EM ANDAMENTO"))))))</f>
        <v/>
      </c>
      <c r="C760" s="3">
        <f>IF(D760="","",IF(V760=0,"🟢 OK",IF(D760&lt;corte,"⚪ HISTÓRICO (sem baixa)",IF(AND(ISNUMBER(R760),R760&lt;TODAY()),"🔴 PRAZO VENCIDO",IF(AND(OR(N760="PENDENTE",N760="PARCIAL"),D760&lt;TODAY()-1),"🔴 EMBARQUE ATRASADO",IF(AND(N760="REALIZADO",M760="PENDENTE"),"🟡 EMBARCADO SEM FATURAR",IF(AND(P760&lt;&gt;"",S760="",OR(Q760="",R760="")),"🟡 PENDÊNCIA SEM RESPONSÁVEL/PRAZO",IF(AND(ISNUMBER(R760),R760=TODAY()),"🟡 VENCE HOJE",IF(AND(P760&lt;&gt;"",S760=""),"🟡 PENDÊNCIA ABERTA",IF(AND(N(J760)&gt;0,N(K760)&lt;J760),"🟡 FALTA EXECUTAR",IF(OR(M760="PENDENTE",M760="PARCIAL"),"🟡 FATURAMENTO PENDENTE","🟡 EMBARQUE PENDENTE")))))))))))</f>
        <v/>
      </c>
      <c r="D760" s="4" t="n">
        <v>46280</v>
      </c>
      <c r="E760" s="5" t="inlineStr">
        <is>
          <t>A</t>
        </is>
      </c>
      <c r="F760" s="5" t="inlineStr">
        <is>
          <t>TATIANE</t>
        </is>
      </c>
      <c r="G760" s="5" t="inlineStr">
        <is>
          <t>FM</t>
        </is>
      </c>
      <c r="H760" s="5" t="inlineStr">
        <is>
          <t>SUPERFRIO</t>
        </is>
      </c>
      <c r="I760" s="5" t="inlineStr">
        <is>
          <t>TON</t>
        </is>
      </c>
      <c r="J760" s="6" t="n">
        <v>25.393</v>
      </c>
      <c r="K760" s="6" t="n">
        <v>25.393</v>
      </c>
      <c r="L760" s="7">
        <f>IF(OR(D760="",N(J760)=0),"",MIN(1,N(K760)/J760))</f>
        <v/>
      </c>
      <c r="M760" s="5" t="inlineStr">
        <is>
          <t>PENDENTE</t>
        </is>
      </c>
      <c r="N760" s="5" t="inlineStr">
        <is>
          <t>PENDENTE</t>
        </is>
      </c>
      <c r="O760" s="5" t="inlineStr">
        <is>
          <t>SPEEDYLOG</t>
        </is>
      </c>
      <c r="P760" s="5" t="n"/>
      <c r="Q760" s="5" t="n"/>
      <c r="R760" s="4" t="n"/>
      <c r="S760" s="4" t="n"/>
      <c r="T760" s="5" t="n"/>
      <c r="U760" s="8">
        <f>IF(AND(V760=1,D760&lt;&gt;""),IF(D760&gt;=corte,TODAY()-D760,""),"")</f>
        <v/>
      </c>
      <c r="V760" s="8">
        <f>IF(D760="",0,IF(OR(AND(P760&lt;&gt;"",S760=""),AND(N(J760)&gt;0,N(K760)&lt;J760),OR(M760="PENDENTE",M760="PARCIAL"),OR(N760="PENDENTE",N760="PARCIAL")),1,0))</f>
        <v/>
      </c>
      <c r="W760" s="8">
        <f>IF(AND(V760=1,D760&lt;&gt;""),IF(D760&gt;=corte,(B760="CRÍTICO")*1E9+(100000-D760)*10000+10000-ROW(),""),"")</f>
        <v/>
      </c>
      <c r="X760" s="8">
        <f>IF(AND(V760=1,D760=pas_data,E760=pas_turno),10000-ROW(),"")</f>
        <v/>
      </c>
    </row>
    <row r="761">
      <c r="A761" s="3">
        <f>IF(D761="","","TT-"&amp;TEXT(ROW()-1,"00000"))</f>
        <v/>
      </c>
      <c r="B761" s="3">
        <f>IF(D761="","",IF(V761=0,"CONCLUÍDO",IF(D761&lt;corte,"HISTÓRICO",IF(OR(AND(ISNUMBER(R761),R761&lt;TODAY()),AND(OR(N761="PENDENTE",N761="PARCIAL"),D761&lt;TODAY()-1)),"CRÍTICO",IF(OR(AND(P761&lt;&gt;"",S761=""),AND(N761="REALIZADO",M761="PENDENTE"),AND(ISNUMBER(R761),R761=TODAY())),"ATENÇÃO",IF(N(K761)=0,"PENDENTE","EM ANDAMENTO"))))))</f>
        <v/>
      </c>
      <c r="C761" s="3">
        <f>IF(D761="","",IF(V761=0,"🟢 OK",IF(D761&lt;corte,"⚪ HISTÓRICO (sem baixa)",IF(AND(ISNUMBER(R761),R761&lt;TODAY()),"🔴 PRAZO VENCIDO",IF(AND(OR(N761="PENDENTE",N761="PARCIAL"),D761&lt;TODAY()-1),"🔴 EMBARQUE ATRASADO",IF(AND(N761="REALIZADO",M761="PENDENTE"),"🟡 EMBARCADO SEM FATURAR",IF(AND(P761&lt;&gt;"",S761="",OR(Q761="",R761="")),"🟡 PENDÊNCIA SEM RESPONSÁVEL/PRAZO",IF(AND(ISNUMBER(R761),R761=TODAY()),"🟡 VENCE HOJE",IF(AND(P761&lt;&gt;"",S761=""),"🟡 PENDÊNCIA ABERTA",IF(AND(N(J761)&gt;0,N(K761)&lt;J761),"🟡 FALTA EXECUTAR",IF(OR(M761="PENDENTE",M761="PARCIAL"),"🟡 FATURAMENTO PENDENTE","🟡 EMBARQUE PENDENTE")))))))))))</f>
        <v/>
      </c>
      <c r="D761" s="4" t="n">
        <v>46280</v>
      </c>
      <c r="E761" s="5" t="inlineStr">
        <is>
          <t>A</t>
        </is>
      </c>
      <c r="F761" s="5" t="inlineStr">
        <is>
          <t>TATIANE</t>
        </is>
      </c>
      <c r="G761" s="5" t="inlineStr">
        <is>
          <t>GM</t>
        </is>
      </c>
      <c r="H761" s="5" t="inlineStr">
        <is>
          <t>DISPAN</t>
        </is>
      </c>
      <c r="I761" s="5" t="inlineStr">
        <is>
          <t>TON</t>
        </is>
      </c>
      <c r="J761" s="6" t="n">
        <v>11.312</v>
      </c>
      <c r="K761" s="6" t="n">
        <v>11.312</v>
      </c>
      <c r="L761" s="7">
        <f>IF(OR(D761="",N(J761)=0),"",MIN(1,N(K761)/J761))</f>
        <v/>
      </c>
      <c r="M761" s="5" t="inlineStr">
        <is>
          <t>PENDENTE</t>
        </is>
      </c>
      <c r="N761" s="5" t="inlineStr">
        <is>
          <t>PENDENTE</t>
        </is>
      </c>
      <c r="O761" s="5" t="inlineStr">
        <is>
          <t>SPEEDYLOG</t>
        </is>
      </c>
      <c r="P761" s="5" t="n"/>
      <c r="Q761" s="5" t="n"/>
      <c r="R761" s="4" t="n"/>
      <c r="S761" s="4" t="n"/>
      <c r="T761" s="5" t="n"/>
      <c r="U761" s="8">
        <f>IF(AND(V761=1,D761&lt;&gt;""),IF(D761&gt;=corte,TODAY()-D761,""),"")</f>
        <v/>
      </c>
      <c r="V761" s="8">
        <f>IF(D761="",0,IF(OR(AND(P761&lt;&gt;"",S761=""),AND(N(J761)&gt;0,N(K761)&lt;J761),OR(M761="PENDENTE",M761="PARCIAL"),OR(N761="PENDENTE",N761="PARCIAL")),1,0))</f>
        <v/>
      </c>
      <c r="W761" s="8">
        <f>IF(AND(V761=1,D761&lt;&gt;""),IF(D761&gt;=corte,(B761="CRÍTICO")*1E9+(100000-D761)*10000+10000-ROW(),""),"")</f>
        <v/>
      </c>
      <c r="X761" s="8">
        <f>IF(AND(V761=1,D761=pas_data,E761=pas_turno),10000-ROW(),"")</f>
        <v/>
      </c>
    </row>
    <row r="762">
      <c r="A762" s="3">
        <f>IF(D762="","","TT-"&amp;TEXT(ROW()-1,"00000"))</f>
        <v/>
      </c>
      <c r="B762" s="3">
        <f>IF(D762="","",IF(V762=0,"CONCLUÍDO",IF(D762&lt;corte,"HISTÓRICO",IF(OR(AND(ISNUMBER(R762),R762&lt;TODAY()),AND(OR(N762="PENDENTE",N762="PARCIAL"),D762&lt;TODAY()-1)),"CRÍTICO",IF(OR(AND(P762&lt;&gt;"",S762=""),AND(N762="REALIZADO",M762="PENDENTE"),AND(ISNUMBER(R762),R762=TODAY())),"ATENÇÃO",IF(N(K762)=0,"PENDENTE","EM ANDAMENTO"))))))</f>
        <v/>
      </c>
      <c r="C762" s="3">
        <f>IF(D762="","",IF(V762=0,"🟢 OK",IF(D762&lt;corte,"⚪ HISTÓRICO (sem baixa)",IF(AND(ISNUMBER(R762),R762&lt;TODAY()),"🔴 PRAZO VENCIDO",IF(AND(OR(N762="PENDENTE",N762="PARCIAL"),D762&lt;TODAY()-1),"🔴 EMBARQUE ATRASADO",IF(AND(N762="REALIZADO",M762="PENDENTE"),"🟡 EMBARCADO SEM FATURAR",IF(AND(P762&lt;&gt;"",S762="",OR(Q762="",R762="")),"🟡 PENDÊNCIA SEM RESPONSÁVEL/PRAZO",IF(AND(ISNUMBER(R762),R762=TODAY()),"🟡 VENCE HOJE",IF(AND(P762&lt;&gt;"",S762=""),"🟡 PENDÊNCIA ABERTA",IF(AND(N(J762)&gt;0,N(K762)&lt;J762),"🟡 FALTA EXECUTAR",IF(OR(M762="PENDENTE",M762="PARCIAL"),"🟡 FATURAMENTO PENDENTE","🟡 EMBARQUE PENDENTE")))))))))))</f>
        <v/>
      </c>
      <c r="D762" s="4" t="n">
        <v>46280</v>
      </c>
      <c r="E762" s="5" t="inlineStr">
        <is>
          <t>A</t>
        </is>
      </c>
      <c r="F762" s="5" t="inlineStr">
        <is>
          <t>TATIANE</t>
        </is>
      </c>
      <c r="G762" s="5" t="inlineStr">
        <is>
          <t>FOB</t>
        </is>
      </c>
      <c r="H762" s="5" t="inlineStr">
        <is>
          <t>INDUSTRIA DE PÃES</t>
        </is>
      </c>
      <c r="I762" s="5" t="inlineStr">
        <is>
          <t>TON</t>
        </is>
      </c>
      <c r="J762" s="6" t="n">
        <v>20.419</v>
      </c>
      <c r="K762" s="6" t="n">
        <v>20.419</v>
      </c>
      <c r="L762" s="7">
        <f>IF(OR(D762="",N(J762)=0),"",MIN(1,N(K762)/J762))</f>
        <v/>
      </c>
      <c r="M762" s="5" t="inlineStr">
        <is>
          <t>PENDENTE</t>
        </is>
      </c>
      <c r="N762" s="5" t="inlineStr">
        <is>
          <t>PENDENTE</t>
        </is>
      </c>
      <c r="O762" s="5" t="inlineStr">
        <is>
          <t>PRÓPRIO</t>
        </is>
      </c>
      <c r="P762" s="5" t="n"/>
      <c r="Q762" s="5" t="n"/>
      <c r="R762" s="4" t="n"/>
      <c r="S762" s="4" t="n"/>
      <c r="T762" s="5" t="n"/>
      <c r="U762" s="8">
        <f>IF(AND(V762=1,D762&lt;&gt;""),IF(D762&gt;=corte,TODAY()-D762,""),"")</f>
        <v/>
      </c>
      <c r="V762" s="8">
        <f>IF(D762="",0,IF(OR(AND(P762&lt;&gt;"",S762=""),AND(N(J762)&gt;0,N(K762)&lt;J762),OR(M762="PENDENTE",M762="PARCIAL"),OR(N762="PENDENTE",N762="PARCIAL")),1,0))</f>
        <v/>
      </c>
      <c r="W762" s="8">
        <f>IF(AND(V762=1,D762&lt;&gt;""),IF(D762&gt;=corte,(B762="CRÍTICO")*1E9+(100000-D762)*10000+10000-ROW(),""),"")</f>
        <v/>
      </c>
      <c r="X762" s="8">
        <f>IF(AND(V762=1,D762=pas_data,E762=pas_turno),10000-ROW(),"")</f>
        <v/>
      </c>
    </row>
    <row r="763">
      <c r="A763" s="3">
        <f>IF(D763="","","TT-"&amp;TEXT(ROW()-1,"00000"))</f>
        <v/>
      </c>
      <c r="B763" s="3">
        <f>IF(D763="","",IF(V763=0,"CONCLUÍDO",IF(D763&lt;corte,"HISTÓRICO",IF(OR(AND(ISNUMBER(R763),R763&lt;TODAY()),AND(OR(N763="PENDENTE",N763="PARCIAL"),D763&lt;TODAY()-1)),"CRÍTICO",IF(OR(AND(P763&lt;&gt;"",S763=""),AND(N763="REALIZADO",M763="PENDENTE"),AND(ISNUMBER(R763),R763=TODAY())),"ATENÇÃO",IF(N(K763)=0,"PENDENTE","EM ANDAMENTO"))))))</f>
        <v/>
      </c>
      <c r="C763" s="3">
        <f>IF(D763="","",IF(V763=0,"🟢 OK",IF(D763&lt;corte,"⚪ HISTÓRICO (sem baixa)",IF(AND(ISNUMBER(R763),R763&lt;TODAY()),"🔴 PRAZO VENCIDO",IF(AND(OR(N763="PENDENTE",N763="PARCIAL"),D763&lt;TODAY()-1),"🔴 EMBARQUE ATRASADO",IF(AND(N763="REALIZADO",M763="PENDENTE"),"🟡 EMBARCADO SEM FATURAR",IF(AND(P763&lt;&gt;"",S763="",OR(Q763="",R763="")),"🟡 PENDÊNCIA SEM RESPONSÁVEL/PRAZO",IF(AND(ISNUMBER(R763),R763=TODAY()),"🟡 VENCE HOJE",IF(AND(P763&lt;&gt;"",S763=""),"🟡 PENDÊNCIA ABERTA",IF(AND(N(J763)&gt;0,N(K763)&lt;J763),"🟡 FALTA EXECUTAR",IF(OR(M763="PENDENTE",M763="PARCIAL"),"🟡 FATURAMENTO PENDENTE","🟡 EMBARQUE PENDENTE")))))))))))</f>
        <v/>
      </c>
      <c r="D763" s="4" t="n">
        <v>46280</v>
      </c>
      <c r="E763" s="5" t="inlineStr">
        <is>
          <t>A</t>
        </is>
      </c>
      <c r="F763" s="5" t="inlineStr">
        <is>
          <t>TATIANE</t>
        </is>
      </c>
      <c r="G763" s="5" t="inlineStr">
        <is>
          <t>CACAU</t>
        </is>
      </c>
      <c r="H763" s="5" t="inlineStr">
        <is>
          <t>CACAU SEPARAÇÃO</t>
        </is>
      </c>
      <c r="I763" s="5" t="inlineStr">
        <is>
          <t>TON</t>
        </is>
      </c>
      <c r="J763" s="6" t="n">
        <v>2.15</v>
      </c>
      <c r="K763" s="6" t="n">
        <v>2.15</v>
      </c>
      <c r="L763" s="7">
        <f>IF(OR(D763="",N(J763)=0),"",MIN(1,N(K763)/J763))</f>
        <v/>
      </c>
      <c r="M763" s="5" t="n"/>
      <c r="N763" s="5" t="n"/>
      <c r="O763" s="5" t="n"/>
      <c r="P763" s="5" t="n"/>
      <c r="Q763" s="5" t="n"/>
      <c r="R763" s="4" t="n"/>
      <c r="S763" s="4" t="n"/>
      <c r="T763" s="5" t="n"/>
      <c r="U763" s="8">
        <f>IF(AND(V763=1,D763&lt;&gt;""),IF(D763&gt;=corte,TODAY()-D763,""),"")</f>
        <v/>
      </c>
      <c r="V763" s="8">
        <f>IF(D763="",0,IF(OR(AND(P763&lt;&gt;"",S763=""),AND(N(J763)&gt;0,N(K763)&lt;J763),OR(M763="PENDENTE",M763="PARCIAL"),OR(N763="PENDENTE",N763="PARCIAL")),1,0))</f>
        <v/>
      </c>
      <c r="W763" s="8">
        <f>IF(AND(V763=1,D763&lt;&gt;""),IF(D763&gt;=corte,(B763="CRÍTICO")*1E9+(100000-D763)*10000+10000-ROW(),""),"")</f>
        <v/>
      </c>
      <c r="X763" s="8">
        <f>IF(AND(V763=1,D763=pas_data,E763=pas_turno),10000-ROW(),"")</f>
        <v/>
      </c>
    </row>
    <row r="764">
      <c r="A764" s="3">
        <f>IF(D764="","","TT-"&amp;TEXT(ROW()-1,"00000"))</f>
        <v/>
      </c>
      <c r="B764" s="3">
        <f>IF(D764="","",IF(V764=0,"CONCLUÍDO",IF(D764&lt;corte,"HISTÓRICO",IF(OR(AND(ISNUMBER(R764),R764&lt;TODAY()),AND(OR(N764="PENDENTE",N764="PARCIAL"),D764&lt;TODAY()-1)),"CRÍTICO",IF(OR(AND(P764&lt;&gt;"",S764=""),AND(N764="REALIZADO",M764="PENDENTE"),AND(ISNUMBER(R764),R764=TODAY())),"ATENÇÃO",IF(N(K764)=0,"PENDENTE","EM ANDAMENTO"))))))</f>
        <v/>
      </c>
      <c r="C764" s="3">
        <f>IF(D764="","",IF(V764=0,"🟢 OK",IF(D764&lt;corte,"⚪ HISTÓRICO (sem baixa)",IF(AND(ISNUMBER(R764),R764&lt;TODAY()),"🔴 PRAZO VENCIDO",IF(AND(OR(N764="PENDENTE",N764="PARCIAL"),D764&lt;TODAY()-1),"🔴 EMBARQUE ATRASADO",IF(AND(N764="REALIZADO",M764="PENDENTE"),"🟡 EMBARCADO SEM FATURAR",IF(AND(P764&lt;&gt;"",S764="",OR(Q764="",R764="")),"🟡 PENDÊNCIA SEM RESPONSÁVEL/PRAZO",IF(AND(ISNUMBER(R764),R764=TODAY()),"🟡 VENCE HOJE",IF(AND(P764&lt;&gt;"",S764=""),"🟡 PENDÊNCIA ABERTA",IF(AND(N(J764)&gt;0,N(K764)&lt;J764),"🟡 FALTA EXECUTAR",IF(OR(M764="PENDENTE",M764="PARCIAL"),"🟡 FATURAMENTO PENDENTE","🟡 EMBARQUE PENDENTE")))))))))))</f>
        <v/>
      </c>
      <c r="D764" s="4" t="n">
        <v>46280</v>
      </c>
      <c r="E764" s="5" t="inlineStr">
        <is>
          <t>A</t>
        </is>
      </c>
      <c r="F764" s="5" t="inlineStr">
        <is>
          <t>TATIANE</t>
        </is>
      </c>
      <c r="G764" s="5" t="inlineStr">
        <is>
          <t>GM</t>
        </is>
      </c>
      <c r="H764" s="5" t="inlineStr">
        <is>
          <t>SUL RENOVAÇÃO</t>
        </is>
      </c>
      <c r="I764" s="5" t="inlineStr">
        <is>
          <t>TON</t>
        </is>
      </c>
      <c r="J764" s="6" t="n">
        <v>19.707</v>
      </c>
      <c r="K764" s="6" t="n"/>
      <c r="L764" s="7">
        <f>IF(OR(D764="",N(J764)=0),"",MIN(1,N(K764)/J764))</f>
        <v/>
      </c>
      <c r="M764" s="5" t="inlineStr">
        <is>
          <t>PENDENTE</t>
        </is>
      </c>
      <c r="N764" s="5" t="inlineStr">
        <is>
          <t>PENDENTE</t>
        </is>
      </c>
      <c r="O764" s="5" t="inlineStr">
        <is>
          <t>RENOVAÇÃO</t>
        </is>
      </c>
      <c r="P764" s="5" t="inlineStr">
        <is>
          <t>LOTES TRATADOS -FALTA ABASTECER E GERAR</t>
        </is>
      </c>
      <c r="Q764" s="5" t="n"/>
      <c r="R764" s="4" t="n"/>
      <c r="S764" s="4" t="n"/>
      <c r="T764" s="5" t="inlineStr">
        <is>
          <t>LOTES TRATADOS -FALTA ABASTECER E GERAR</t>
        </is>
      </c>
      <c r="U764" s="8">
        <f>IF(AND(V764=1,D764&lt;&gt;""),IF(D764&gt;=corte,TODAY()-D764,""),"")</f>
        <v/>
      </c>
      <c r="V764" s="8">
        <f>IF(D764="",0,IF(OR(AND(P764&lt;&gt;"",S764=""),AND(N(J764)&gt;0,N(K764)&lt;J764),OR(M764="PENDENTE",M764="PARCIAL"),OR(N764="PENDENTE",N764="PARCIAL")),1,0))</f>
        <v/>
      </c>
      <c r="W764" s="8">
        <f>IF(AND(V764=1,D764&lt;&gt;""),IF(D764&gt;=corte,(B764="CRÍTICO")*1E9+(100000-D764)*10000+10000-ROW(),""),"")</f>
        <v/>
      </c>
      <c r="X764" s="8">
        <f>IF(AND(V764=1,D764=pas_data,E764=pas_turno),10000-ROW(),"")</f>
        <v/>
      </c>
    </row>
    <row r="765">
      <c r="A765" s="3">
        <f>IF(D765="","","TT-"&amp;TEXT(ROW()-1,"00000"))</f>
        <v/>
      </c>
      <c r="B765" s="3">
        <f>IF(D765="","",IF(V765=0,"CONCLUÍDO",IF(D765&lt;corte,"HISTÓRICO",IF(OR(AND(ISNUMBER(R765),R765&lt;TODAY()),AND(OR(N765="PENDENTE",N765="PARCIAL"),D765&lt;TODAY()-1)),"CRÍTICO",IF(OR(AND(P765&lt;&gt;"",S765=""),AND(N765="REALIZADO",M765="PENDENTE"),AND(ISNUMBER(R765),R765=TODAY())),"ATENÇÃO",IF(N(K765)=0,"PENDENTE","EM ANDAMENTO"))))))</f>
        <v/>
      </c>
      <c r="C765" s="3">
        <f>IF(D765="","",IF(V765=0,"🟢 OK",IF(D765&lt;corte,"⚪ HISTÓRICO (sem baixa)",IF(AND(ISNUMBER(R765),R765&lt;TODAY()),"🔴 PRAZO VENCIDO",IF(AND(OR(N765="PENDENTE",N765="PARCIAL"),D765&lt;TODAY()-1),"🔴 EMBARQUE ATRASADO",IF(AND(N765="REALIZADO",M765="PENDENTE"),"🟡 EMBARCADO SEM FATURAR",IF(AND(P765&lt;&gt;"",S765="",OR(Q765="",R765="")),"🟡 PENDÊNCIA SEM RESPONSÁVEL/PRAZO",IF(AND(ISNUMBER(R765),R765=TODAY()),"🟡 VENCE HOJE",IF(AND(P765&lt;&gt;"",S765=""),"🟡 PENDÊNCIA ABERTA",IF(AND(N(J765)&gt;0,N(K765)&lt;J765),"🟡 FALTA EXECUTAR",IF(OR(M765="PENDENTE",M765="PARCIAL"),"🟡 FATURAMENTO PENDENTE","🟡 EMBARQUE PENDENTE")))))))))))</f>
        <v/>
      </c>
      <c r="D765" s="4" t="n">
        <v>46280</v>
      </c>
      <c r="E765" s="5" t="inlineStr">
        <is>
          <t>A</t>
        </is>
      </c>
      <c r="F765" s="5" t="inlineStr">
        <is>
          <t>TATIANE</t>
        </is>
      </c>
      <c r="G765" s="5" t="inlineStr">
        <is>
          <t>FM</t>
        </is>
      </c>
      <c r="H765" s="5" t="inlineStr">
        <is>
          <t>MAGUM</t>
        </is>
      </c>
      <c r="I765" s="5" t="inlineStr">
        <is>
          <t>TON</t>
        </is>
      </c>
      <c r="J765" s="6" t="n">
        <v>18.057</v>
      </c>
      <c r="K765" s="6" t="n">
        <v>18.057</v>
      </c>
      <c r="L765" s="7">
        <f>IF(OR(D765="",N(J765)=0),"",MIN(1,N(K765)/J765))</f>
        <v/>
      </c>
      <c r="M765" s="5" t="n"/>
      <c r="N765" s="5" t="n"/>
      <c r="O765" s="5" t="n"/>
      <c r="P765" s="5" t="n"/>
      <c r="Q765" s="5" t="n"/>
      <c r="R765" s="4" t="n"/>
      <c r="S765" s="4" t="n"/>
      <c r="T765" s="5" t="n"/>
      <c r="U765" s="8">
        <f>IF(AND(V765=1,D765&lt;&gt;""),IF(D765&gt;=corte,TODAY()-D765,""),"")</f>
        <v/>
      </c>
      <c r="V765" s="8">
        <f>IF(D765="",0,IF(OR(AND(P765&lt;&gt;"",S765=""),AND(N(J765)&gt;0,N(K765)&lt;J765),OR(M765="PENDENTE",M765="PARCIAL"),OR(N765="PENDENTE",N765="PARCIAL")),1,0))</f>
        <v/>
      </c>
      <c r="W765" s="8">
        <f>IF(AND(V765=1,D765&lt;&gt;""),IF(D765&gt;=corte,(B765="CRÍTICO")*1E9+(100000-D765)*10000+10000-ROW(),""),"")</f>
        <v/>
      </c>
      <c r="X765" s="8">
        <f>IF(AND(V765=1,D765=pas_data,E765=pas_turno),10000-ROW(),"")</f>
        <v/>
      </c>
    </row>
    <row r="766">
      <c r="A766" s="3">
        <f>IF(D766="","","TT-"&amp;TEXT(ROW()-1,"00000"))</f>
        <v/>
      </c>
      <c r="B766" s="3">
        <f>IF(D766="","",IF(V766=0,"CONCLUÍDO",IF(D766&lt;corte,"HISTÓRICO",IF(OR(AND(ISNUMBER(R766),R766&lt;TODAY()),AND(OR(N766="PENDENTE",N766="PARCIAL"),D766&lt;TODAY()-1)),"CRÍTICO",IF(OR(AND(P766&lt;&gt;"",S766=""),AND(N766="REALIZADO",M766="PENDENTE"),AND(ISNUMBER(R766),R766=TODAY())),"ATENÇÃO",IF(N(K766)=0,"PENDENTE","EM ANDAMENTO"))))))</f>
        <v/>
      </c>
      <c r="C766" s="3">
        <f>IF(D766="","",IF(V766=0,"🟢 OK",IF(D766&lt;corte,"⚪ HISTÓRICO (sem baixa)",IF(AND(ISNUMBER(R766),R766&lt;TODAY()),"🔴 PRAZO VENCIDO",IF(AND(OR(N766="PENDENTE",N766="PARCIAL"),D766&lt;TODAY()-1),"🔴 EMBARQUE ATRASADO",IF(AND(N766="REALIZADO",M766="PENDENTE"),"🟡 EMBARCADO SEM FATURAR",IF(AND(P766&lt;&gt;"",S766="",OR(Q766="",R766="")),"🟡 PENDÊNCIA SEM RESPONSÁVEL/PRAZO",IF(AND(ISNUMBER(R766),R766=TODAY()),"🟡 VENCE HOJE",IF(AND(P766&lt;&gt;"",S766=""),"🟡 PENDÊNCIA ABERTA",IF(AND(N(J766)&gt;0,N(K766)&lt;J766),"🟡 FALTA EXECUTAR",IF(OR(M766="PENDENTE",M766="PARCIAL"),"🟡 FATURAMENTO PENDENTE","🟡 EMBARQUE PENDENTE")))))))))))</f>
        <v/>
      </c>
      <c r="D766" s="4" t="n">
        <v>46280</v>
      </c>
      <c r="E766" s="5" t="inlineStr">
        <is>
          <t>B</t>
        </is>
      </c>
      <c r="F766" s="5" t="inlineStr">
        <is>
          <t>THIAGO</t>
        </is>
      </c>
      <c r="G766" s="5" t="inlineStr">
        <is>
          <t>FOB</t>
        </is>
      </c>
      <c r="H766" s="5" t="inlineStr">
        <is>
          <t>SORVETE JUNDIA</t>
        </is>
      </c>
      <c r="I766" s="5" t="inlineStr">
        <is>
          <t>TON</t>
        </is>
      </c>
      <c r="J766" s="6" t="n">
        <v>12.852</v>
      </c>
      <c r="K766" s="6" t="n">
        <v>12.852</v>
      </c>
      <c r="L766" s="7">
        <f>IF(OR(D766="",N(J766)=0),"",MIN(1,N(K766)/J766))</f>
        <v/>
      </c>
      <c r="M766" s="5" t="n"/>
      <c r="N766" s="5" t="n"/>
      <c r="O766" s="5" t="n"/>
      <c r="P766" s="5" t="n"/>
      <c r="Q766" s="5" t="n"/>
      <c r="R766" s="4" t="n"/>
      <c r="S766" s="4" t="n"/>
      <c r="T766" s="5" t="n"/>
      <c r="U766" s="8">
        <f>IF(AND(V766=1,D766&lt;&gt;""),IF(D766&gt;=corte,TODAY()-D766,""),"")</f>
        <v/>
      </c>
      <c r="V766" s="8">
        <f>IF(D766="",0,IF(OR(AND(P766&lt;&gt;"",S766=""),AND(N(J766)&gt;0,N(K766)&lt;J766),OR(M766="PENDENTE",M766="PARCIAL"),OR(N766="PENDENTE",N766="PARCIAL")),1,0))</f>
        <v/>
      </c>
      <c r="W766" s="8">
        <f>IF(AND(V766=1,D766&lt;&gt;""),IF(D766&gt;=corte,(B766="CRÍTICO")*1E9+(100000-D766)*10000+10000-ROW(),""),"")</f>
        <v/>
      </c>
      <c r="X766" s="8">
        <f>IF(AND(V766=1,D766=pas_data,E766=pas_turno),10000-ROW(),"")</f>
        <v/>
      </c>
    </row>
    <row r="767">
      <c r="A767" s="3">
        <f>IF(D767="","","TT-"&amp;TEXT(ROW()-1,"00000"))</f>
        <v/>
      </c>
      <c r="B767" s="3">
        <f>IF(D767="","",IF(V767=0,"CONCLUÍDO",IF(D767&lt;corte,"HISTÓRICO",IF(OR(AND(ISNUMBER(R767),R767&lt;TODAY()),AND(OR(N767="PENDENTE",N767="PARCIAL"),D767&lt;TODAY()-1)),"CRÍTICO",IF(OR(AND(P767&lt;&gt;"",S767=""),AND(N767="REALIZADO",M767="PENDENTE"),AND(ISNUMBER(R767),R767=TODAY())),"ATENÇÃO",IF(N(K767)=0,"PENDENTE","EM ANDAMENTO"))))))</f>
        <v/>
      </c>
      <c r="C767" s="3">
        <f>IF(D767="","",IF(V767=0,"🟢 OK",IF(D767&lt;corte,"⚪ HISTÓRICO (sem baixa)",IF(AND(ISNUMBER(R767),R767&lt;TODAY()),"🔴 PRAZO VENCIDO",IF(AND(OR(N767="PENDENTE",N767="PARCIAL"),D767&lt;TODAY()-1),"🔴 EMBARQUE ATRASADO",IF(AND(N767="REALIZADO",M767="PENDENTE"),"🟡 EMBARCADO SEM FATURAR",IF(AND(P767&lt;&gt;"",S767="",OR(Q767="",R767="")),"🟡 PENDÊNCIA SEM RESPONSÁVEL/PRAZO",IF(AND(ISNUMBER(R767),R767=TODAY()),"🟡 VENCE HOJE",IF(AND(P767&lt;&gt;"",S767=""),"🟡 PENDÊNCIA ABERTA",IF(AND(N(J767)&gt;0,N(K767)&lt;J767),"🟡 FALTA EXECUTAR",IF(OR(M767="PENDENTE",M767="PARCIAL"),"🟡 FATURAMENTO PENDENTE","🟡 EMBARQUE PENDENTE")))))))))))</f>
        <v/>
      </c>
      <c r="D767" s="4" t="n">
        <v>46280</v>
      </c>
      <c r="E767" s="5" t="inlineStr">
        <is>
          <t>B</t>
        </is>
      </c>
      <c r="F767" s="5" t="inlineStr">
        <is>
          <t>THIAGO</t>
        </is>
      </c>
      <c r="G767" s="5" t="inlineStr">
        <is>
          <t>FM</t>
        </is>
      </c>
      <c r="H767" s="5" t="inlineStr">
        <is>
          <t>SUPERFRIO</t>
        </is>
      </c>
      <c r="I767" s="5" t="inlineStr">
        <is>
          <t>TON</t>
        </is>
      </c>
      <c r="J767" s="6" t="n">
        <v>24.393</v>
      </c>
      <c r="K767" s="6" t="n">
        <v>24.393</v>
      </c>
      <c r="L767" s="7">
        <f>IF(OR(D767="",N(J767)=0),"",MIN(1,N(K767)/J767))</f>
        <v/>
      </c>
      <c r="M767" s="5" t="n"/>
      <c r="N767" s="5" t="n"/>
      <c r="O767" s="5" t="n"/>
      <c r="P767" s="5" t="n"/>
      <c r="Q767" s="5" t="n"/>
      <c r="R767" s="4" t="n"/>
      <c r="S767" s="4" t="n"/>
      <c r="T767" s="5" t="n"/>
      <c r="U767" s="8">
        <f>IF(AND(V767=1,D767&lt;&gt;""),IF(D767&gt;=corte,TODAY()-D767,""),"")</f>
        <v/>
      </c>
      <c r="V767" s="8">
        <f>IF(D767="",0,IF(OR(AND(P767&lt;&gt;"",S767=""),AND(N(J767)&gt;0,N(K767)&lt;J767),OR(M767="PENDENTE",M767="PARCIAL"),OR(N767="PENDENTE",N767="PARCIAL")),1,0))</f>
        <v/>
      </c>
      <c r="W767" s="8">
        <f>IF(AND(V767=1,D767&lt;&gt;""),IF(D767&gt;=corte,(B767="CRÍTICO")*1E9+(100000-D767)*10000+10000-ROW(),""),"")</f>
        <v/>
      </c>
      <c r="X767" s="8">
        <f>IF(AND(V767=1,D767=pas_data,E767=pas_turno),10000-ROW(),"")</f>
        <v/>
      </c>
    </row>
    <row r="768">
      <c r="A768" s="3">
        <f>IF(D768="","","TT-"&amp;TEXT(ROW()-1,"00000"))</f>
        <v/>
      </c>
      <c r="B768" s="3">
        <f>IF(D768="","",IF(V768=0,"CONCLUÍDO",IF(D768&lt;corte,"HISTÓRICO",IF(OR(AND(ISNUMBER(R768),R768&lt;TODAY()),AND(OR(N768="PENDENTE",N768="PARCIAL"),D768&lt;TODAY()-1)),"CRÍTICO",IF(OR(AND(P768&lt;&gt;"",S768=""),AND(N768="REALIZADO",M768="PENDENTE"),AND(ISNUMBER(R768),R768=TODAY())),"ATENÇÃO",IF(N(K768)=0,"PENDENTE","EM ANDAMENTO"))))))</f>
        <v/>
      </c>
      <c r="C768" s="3">
        <f>IF(D768="","",IF(V768=0,"🟢 OK",IF(D768&lt;corte,"⚪ HISTÓRICO (sem baixa)",IF(AND(ISNUMBER(R768),R768&lt;TODAY()),"🔴 PRAZO VENCIDO",IF(AND(OR(N768="PENDENTE",N768="PARCIAL"),D768&lt;TODAY()-1),"🔴 EMBARQUE ATRASADO",IF(AND(N768="REALIZADO",M768="PENDENTE"),"🟡 EMBARCADO SEM FATURAR",IF(AND(P768&lt;&gt;"",S768="",OR(Q768="",R768="")),"🟡 PENDÊNCIA SEM RESPONSÁVEL/PRAZO",IF(AND(ISNUMBER(R768),R768=TODAY()),"🟡 VENCE HOJE",IF(AND(P768&lt;&gt;"",S768=""),"🟡 PENDÊNCIA ABERTA",IF(AND(N(J768)&gt;0,N(K768)&lt;J768),"🟡 FALTA EXECUTAR",IF(OR(M768="PENDENTE",M768="PARCIAL"),"🟡 FATURAMENTO PENDENTE","🟡 EMBARQUE PENDENTE")))))))))))</f>
        <v/>
      </c>
      <c r="D768" s="4" t="n">
        <v>46280</v>
      </c>
      <c r="E768" s="5" t="inlineStr">
        <is>
          <t>B</t>
        </is>
      </c>
      <c r="F768" s="5" t="inlineStr">
        <is>
          <t>THIAGO</t>
        </is>
      </c>
      <c r="G768" s="5" t="inlineStr">
        <is>
          <t>FM</t>
        </is>
      </c>
      <c r="H768" s="5" t="inlineStr">
        <is>
          <t>NESTLE</t>
        </is>
      </c>
      <c r="I768" s="5" t="inlineStr">
        <is>
          <t>TON</t>
        </is>
      </c>
      <c r="J768" s="6" t="n">
        <v>10.515</v>
      </c>
      <c r="K768" s="6" t="n">
        <v>10.515</v>
      </c>
      <c r="L768" s="7">
        <f>IF(OR(D768="",N(J768)=0),"",MIN(1,N(K768)/J768))</f>
        <v/>
      </c>
      <c r="M768" s="5" t="n"/>
      <c r="N768" s="5" t="n"/>
      <c r="O768" s="5" t="n"/>
      <c r="P768" s="5" t="n"/>
      <c r="Q768" s="5" t="n"/>
      <c r="R768" s="4" t="n"/>
      <c r="S768" s="4" t="n"/>
      <c r="T768" s="5" t="n"/>
      <c r="U768" s="8">
        <f>IF(AND(V768=1,D768&lt;&gt;""),IF(D768&gt;=corte,TODAY()-D768,""),"")</f>
        <v/>
      </c>
      <c r="V768" s="8">
        <f>IF(D768="",0,IF(OR(AND(P768&lt;&gt;"",S768=""),AND(N(J768)&gt;0,N(K768)&lt;J768),OR(M768="PENDENTE",M768="PARCIAL"),OR(N768="PENDENTE",N768="PARCIAL")),1,0))</f>
        <v/>
      </c>
      <c r="W768" s="8">
        <f>IF(AND(V768=1,D768&lt;&gt;""),IF(D768&gt;=corte,(B768="CRÍTICO")*1E9+(100000-D768)*10000+10000-ROW(),""),"")</f>
        <v/>
      </c>
      <c r="X768" s="8">
        <f>IF(AND(V768=1,D768=pas_data,E768=pas_turno),10000-ROW(),"")</f>
        <v/>
      </c>
    </row>
    <row r="769">
      <c r="A769" s="3">
        <f>IF(D769="","","TT-"&amp;TEXT(ROW()-1,"00000"))</f>
        <v/>
      </c>
      <c r="B769" s="3">
        <f>IF(D769="","",IF(V769=0,"CONCLUÍDO",IF(D769&lt;corte,"HISTÓRICO",IF(OR(AND(ISNUMBER(R769),R769&lt;TODAY()),AND(OR(N769="PENDENTE",N769="PARCIAL"),D769&lt;TODAY()-1)),"CRÍTICO",IF(OR(AND(P769&lt;&gt;"",S769=""),AND(N769="REALIZADO",M769="PENDENTE"),AND(ISNUMBER(R769),R769=TODAY())),"ATENÇÃO",IF(N(K769)=0,"PENDENTE","EM ANDAMENTO"))))))</f>
        <v/>
      </c>
      <c r="C769" s="3">
        <f>IF(D769="","",IF(V769=0,"🟢 OK",IF(D769&lt;corte,"⚪ HISTÓRICO (sem baixa)",IF(AND(ISNUMBER(R769),R769&lt;TODAY()),"🔴 PRAZO VENCIDO",IF(AND(OR(N769="PENDENTE",N769="PARCIAL"),D769&lt;TODAY()-1),"🔴 EMBARQUE ATRASADO",IF(AND(N769="REALIZADO",M769="PENDENTE"),"🟡 EMBARCADO SEM FATURAR",IF(AND(P769&lt;&gt;"",S769="",OR(Q769="",R769="")),"🟡 PENDÊNCIA SEM RESPONSÁVEL/PRAZO",IF(AND(ISNUMBER(R769),R769=TODAY()),"🟡 VENCE HOJE",IF(AND(P769&lt;&gt;"",S769=""),"🟡 PENDÊNCIA ABERTA",IF(AND(N(J769)&gt;0,N(K769)&lt;J769),"🟡 FALTA EXECUTAR",IF(OR(M769="PENDENTE",M769="PARCIAL"),"🟡 FATURAMENTO PENDENTE","🟡 EMBARQUE PENDENTE")))))))))))</f>
        <v/>
      </c>
      <c r="D769" s="4" t="n">
        <v>46280</v>
      </c>
      <c r="E769" s="5" t="inlineStr">
        <is>
          <t>B</t>
        </is>
      </c>
      <c r="F769" s="5" t="inlineStr">
        <is>
          <t>THIAGO</t>
        </is>
      </c>
      <c r="G769" s="5" t="inlineStr">
        <is>
          <t>FLOOR</t>
        </is>
      </c>
      <c r="H769" s="5" t="n"/>
      <c r="I769" s="5" t="inlineStr">
        <is>
          <t>PALETE</t>
        </is>
      </c>
      <c r="J769" s="6" t="n">
        <v>37</v>
      </c>
      <c r="K769" s="6" t="n"/>
      <c r="L769" s="7">
        <f>IF(OR(D769="",N(J769)=0),"",MIN(1,N(K769)/J769))</f>
        <v/>
      </c>
      <c r="M769" s="5" t="n"/>
      <c r="N769" s="5" t="n"/>
      <c r="O769" s="5" t="n"/>
      <c r="P769" s="5" t="n"/>
      <c r="Q769" s="5" t="n"/>
      <c r="R769" s="4" t="n"/>
      <c r="S769" s="4" t="n"/>
      <c r="T769" s="5" t="n"/>
      <c r="U769" s="8">
        <f>IF(AND(V769=1,D769&lt;&gt;""),IF(D769&gt;=corte,TODAY()-D769,""),"")</f>
        <v/>
      </c>
      <c r="V769" s="8">
        <f>IF(D769="",0,IF(OR(AND(P769&lt;&gt;"",S769=""),AND(N(J769)&gt;0,N(K769)&lt;J769),OR(M769="PENDENTE",M769="PARCIAL"),OR(N769="PENDENTE",N769="PARCIAL")),1,0))</f>
        <v/>
      </c>
      <c r="W769" s="8">
        <f>IF(AND(V769=1,D769&lt;&gt;""),IF(D769&gt;=corte,(B769="CRÍTICO")*1E9+(100000-D769)*10000+10000-ROW(),""),"")</f>
        <v/>
      </c>
      <c r="X769" s="8">
        <f>IF(AND(V769=1,D769=pas_data,E769=pas_turno),10000-ROW(),"")</f>
        <v/>
      </c>
    </row>
    <row r="770">
      <c r="A770" s="3">
        <f>IF(D770="","","TT-"&amp;TEXT(ROW()-1,"00000"))</f>
        <v/>
      </c>
      <c r="B770" s="3">
        <f>IF(D770="","",IF(V770=0,"CONCLUÍDO",IF(D770&lt;corte,"HISTÓRICO",IF(OR(AND(ISNUMBER(R770),R770&lt;TODAY()),AND(OR(N770="PENDENTE",N770="PARCIAL"),D770&lt;TODAY()-1)),"CRÍTICO",IF(OR(AND(P770&lt;&gt;"",S770=""),AND(N770="REALIZADO",M770="PENDENTE"),AND(ISNUMBER(R770),R770=TODAY())),"ATENÇÃO",IF(N(K770)=0,"PENDENTE","EM ANDAMENTO"))))))</f>
        <v/>
      </c>
      <c r="C770" s="3">
        <f>IF(D770="","",IF(V770=0,"🟢 OK",IF(D770&lt;corte,"⚪ HISTÓRICO (sem baixa)",IF(AND(ISNUMBER(R770),R770&lt;TODAY()),"🔴 PRAZO VENCIDO",IF(AND(OR(N770="PENDENTE",N770="PARCIAL"),D770&lt;TODAY()-1),"🔴 EMBARQUE ATRASADO",IF(AND(N770="REALIZADO",M770="PENDENTE"),"🟡 EMBARCADO SEM FATURAR",IF(AND(P770&lt;&gt;"",S770="",OR(Q770="",R770="")),"🟡 PENDÊNCIA SEM RESPONSÁVEL/PRAZO",IF(AND(ISNUMBER(R770),R770=TODAY()),"🟡 VENCE HOJE",IF(AND(P770&lt;&gt;"",S770=""),"🟡 PENDÊNCIA ABERTA",IF(AND(N(J770)&gt;0,N(K770)&lt;J770),"🟡 FALTA EXECUTAR",IF(OR(M770="PENDENTE",M770="PARCIAL"),"🟡 FATURAMENTO PENDENTE","🟡 EMBARQUE PENDENTE")))))))))))</f>
        <v/>
      </c>
      <c r="D770" s="4" t="n">
        <v>46281</v>
      </c>
      <c r="E770" s="5" t="inlineStr">
        <is>
          <t>D</t>
        </is>
      </c>
      <c r="F770" s="5" t="inlineStr">
        <is>
          <t>VINICIUS</t>
        </is>
      </c>
      <c r="G770" s="5" t="inlineStr">
        <is>
          <t>FM</t>
        </is>
      </c>
      <c r="H770" s="5" t="inlineStr">
        <is>
          <t>MARILAN</t>
        </is>
      </c>
      <c r="I770" s="5" t="inlineStr">
        <is>
          <t>TON</t>
        </is>
      </c>
      <c r="J770" s="6" t="n">
        <v>21.03</v>
      </c>
      <c r="K770" s="6" t="n">
        <v>21.03</v>
      </c>
      <c r="L770" s="7">
        <f>IF(OR(D770="",N(J770)=0),"",MIN(1,N(K770)/J770))</f>
        <v/>
      </c>
      <c r="M770" s="5" t="inlineStr">
        <is>
          <t>FATURADO</t>
        </is>
      </c>
      <c r="N770" s="5" t="inlineStr">
        <is>
          <t>REALIZADO</t>
        </is>
      </c>
      <c r="O770" s="5" t="n"/>
      <c r="P770" s="5" t="n"/>
      <c r="Q770" s="5" t="n"/>
      <c r="R770" s="4" t="n"/>
      <c r="S770" s="4" t="n"/>
      <c r="T770" s="5" t="inlineStr">
        <is>
          <t>EMBARCADO E LIBERADO</t>
        </is>
      </c>
      <c r="U770" s="8">
        <f>IF(AND(V770=1,D770&lt;&gt;""),IF(D770&gt;=corte,TODAY()-D770,""),"")</f>
        <v/>
      </c>
      <c r="V770" s="8">
        <f>IF(D770="",0,IF(OR(AND(P770&lt;&gt;"",S770=""),AND(N(J770)&gt;0,N(K770)&lt;J770),OR(M770="PENDENTE",M770="PARCIAL"),OR(N770="PENDENTE",N770="PARCIAL")),1,0))</f>
        <v/>
      </c>
      <c r="W770" s="8">
        <f>IF(AND(V770=1,D770&lt;&gt;""),IF(D770&gt;=corte,(B770="CRÍTICO")*1E9+(100000-D770)*10000+10000-ROW(),""),"")</f>
        <v/>
      </c>
      <c r="X770" s="8">
        <f>IF(AND(V770=1,D770=pas_data,E770=pas_turno),10000-ROW(),"")</f>
        <v/>
      </c>
    </row>
    <row r="771">
      <c r="A771" s="3">
        <f>IF(D771="","","TT-"&amp;TEXT(ROW()-1,"00000"))</f>
        <v/>
      </c>
      <c r="B771" s="3">
        <f>IF(D771="","",IF(V771=0,"CONCLUÍDO",IF(D771&lt;corte,"HISTÓRICO",IF(OR(AND(ISNUMBER(R771),R771&lt;TODAY()),AND(OR(N771="PENDENTE",N771="PARCIAL"),D771&lt;TODAY()-1)),"CRÍTICO",IF(OR(AND(P771&lt;&gt;"",S771=""),AND(N771="REALIZADO",M771="PENDENTE"),AND(ISNUMBER(R771),R771=TODAY())),"ATENÇÃO",IF(N(K771)=0,"PENDENTE","EM ANDAMENTO"))))))</f>
        <v/>
      </c>
      <c r="C771" s="3">
        <f>IF(D771="","",IF(V771=0,"🟢 OK",IF(D771&lt;corte,"⚪ HISTÓRICO (sem baixa)",IF(AND(ISNUMBER(R771),R771&lt;TODAY()),"🔴 PRAZO VENCIDO",IF(AND(OR(N771="PENDENTE",N771="PARCIAL"),D771&lt;TODAY()-1),"🔴 EMBARQUE ATRASADO",IF(AND(N771="REALIZADO",M771="PENDENTE"),"🟡 EMBARCADO SEM FATURAR",IF(AND(P771&lt;&gt;"",S771="",OR(Q771="",R771="")),"🟡 PENDÊNCIA SEM RESPONSÁVEL/PRAZO",IF(AND(ISNUMBER(R771),R771=TODAY()),"🟡 VENCE HOJE",IF(AND(P771&lt;&gt;"",S771=""),"🟡 PENDÊNCIA ABERTA",IF(AND(N(J771)&gt;0,N(K771)&lt;J771),"🟡 FALTA EXECUTAR",IF(OR(M771="PENDENTE",M771="PARCIAL"),"🟡 FATURAMENTO PENDENTE","🟡 EMBARQUE PENDENTE")))))))))))</f>
        <v/>
      </c>
      <c r="D771" s="4" t="n">
        <v>46281</v>
      </c>
      <c r="E771" s="5" t="inlineStr">
        <is>
          <t>D</t>
        </is>
      </c>
      <c r="F771" s="5" t="inlineStr">
        <is>
          <t>VINICIUS</t>
        </is>
      </c>
      <c r="G771" s="5" t="inlineStr">
        <is>
          <t>FM</t>
        </is>
      </c>
      <c r="H771" s="5" t="inlineStr">
        <is>
          <t>PERFETTO</t>
        </is>
      </c>
      <c r="I771" s="5" t="inlineStr">
        <is>
          <t>TON</t>
        </is>
      </c>
      <c r="J771" s="6" t="n">
        <v>12.72</v>
      </c>
      <c r="K771" s="6" t="n">
        <v>12.72</v>
      </c>
      <c r="L771" s="7">
        <f>IF(OR(D771="",N(J771)=0),"",MIN(1,N(K771)/J771))</f>
        <v/>
      </c>
      <c r="M771" s="5" t="inlineStr">
        <is>
          <t>FATURADO</t>
        </is>
      </c>
      <c r="N771" s="5" t="inlineStr">
        <is>
          <t>REALIZADO</t>
        </is>
      </c>
      <c r="O771" s="5" t="n"/>
      <c r="P771" s="5" t="n"/>
      <c r="Q771" s="5" t="n"/>
      <c r="R771" s="4" t="n"/>
      <c r="S771" s="4" t="n"/>
      <c r="T771" s="5" t="inlineStr">
        <is>
          <t>EMBARCADO E LIBERADO</t>
        </is>
      </c>
      <c r="U771" s="8">
        <f>IF(AND(V771=1,D771&lt;&gt;""),IF(D771&gt;=corte,TODAY()-D771,""),"")</f>
        <v/>
      </c>
      <c r="V771" s="8">
        <f>IF(D771="",0,IF(OR(AND(P771&lt;&gt;"",S771=""),AND(N(J771)&gt;0,N(K771)&lt;J771),OR(M771="PENDENTE",M771="PARCIAL"),OR(N771="PENDENTE",N771="PARCIAL")),1,0))</f>
        <v/>
      </c>
      <c r="W771" s="8">
        <f>IF(AND(V771=1,D771&lt;&gt;""),IF(D771&gt;=corte,(B771="CRÍTICO")*1E9+(100000-D771)*10000+10000-ROW(),""),"")</f>
        <v/>
      </c>
      <c r="X771" s="8">
        <f>IF(AND(V771=1,D771=pas_data,E771=pas_turno),10000-ROW(),"")</f>
        <v/>
      </c>
    </row>
    <row r="772">
      <c r="A772" s="3">
        <f>IF(D772="","","TT-"&amp;TEXT(ROW()-1,"00000"))</f>
        <v/>
      </c>
      <c r="B772" s="3">
        <f>IF(D772="","",IF(V772=0,"CONCLUÍDO",IF(D772&lt;corte,"HISTÓRICO",IF(OR(AND(ISNUMBER(R772),R772&lt;TODAY()),AND(OR(N772="PENDENTE",N772="PARCIAL"),D772&lt;TODAY()-1)),"CRÍTICO",IF(OR(AND(P772&lt;&gt;"",S772=""),AND(N772="REALIZADO",M772="PENDENTE"),AND(ISNUMBER(R772),R772=TODAY())),"ATENÇÃO",IF(N(K772)=0,"PENDENTE","EM ANDAMENTO"))))))</f>
        <v/>
      </c>
      <c r="C772" s="3">
        <f>IF(D772="","",IF(V772=0,"🟢 OK",IF(D772&lt;corte,"⚪ HISTÓRICO (sem baixa)",IF(AND(ISNUMBER(R772),R772&lt;TODAY()),"🔴 PRAZO VENCIDO",IF(AND(OR(N772="PENDENTE",N772="PARCIAL"),D772&lt;TODAY()-1),"🔴 EMBARQUE ATRASADO",IF(AND(N772="REALIZADO",M772="PENDENTE"),"🟡 EMBARCADO SEM FATURAR",IF(AND(P772&lt;&gt;"",S772="",OR(Q772="",R772="")),"🟡 PENDÊNCIA SEM RESPONSÁVEL/PRAZO",IF(AND(ISNUMBER(R772),R772=TODAY()),"🟡 VENCE HOJE",IF(AND(P772&lt;&gt;"",S772=""),"🟡 PENDÊNCIA ABERTA",IF(AND(N(J772)&gt;0,N(K772)&lt;J772),"🟡 FALTA EXECUTAR",IF(OR(M772="PENDENTE",M772="PARCIAL"),"🟡 FATURAMENTO PENDENTE","🟡 EMBARQUE PENDENTE")))))))))))</f>
        <v/>
      </c>
      <c r="D772" s="4" t="n">
        <v>46281</v>
      </c>
      <c r="E772" s="5" t="inlineStr">
        <is>
          <t>D</t>
        </is>
      </c>
      <c r="F772" s="5" t="inlineStr">
        <is>
          <t>VINICIUS</t>
        </is>
      </c>
      <c r="G772" s="5" t="inlineStr">
        <is>
          <t>FM</t>
        </is>
      </c>
      <c r="H772" s="5" t="inlineStr">
        <is>
          <t>MAGNUM ICC BRASIL SUPPLY LTDA</t>
        </is>
      </c>
      <c r="I772" s="5" t="inlineStr">
        <is>
          <t>TON</t>
        </is>
      </c>
      <c r="J772" s="6" t="n">
        <v>24.077</v>
      </c>
      <c r="K772" s="6" t="n"/>
      <c r="L772" s="7">
        <f>IF(OR(D772="",N(J772)=0),"",MIN(1,N(K772)/J772))</f>
        <v/>
      </c>
      <c r="M772" s="5" t="inlineStr">
        <is>
          <t>FATURADO</t>
        </is>
      </c>
      <c r="N772" s="5" t="inlineStr">
        <is>
          <t>PENDENTE</t>
        </is>
      </c>
      <c r="O772" s="5" t="n"/>
      <c r="P772" s="5" t="n"/>
      <c r="Q772" s="5" t="n"/>
      <c r="R772" s="4" t="n"/>
      <c r="S772" s="4" t="n"/>
      <c r="T772" s="5" t="inlineStr">
        <is>
          <t>FATURADO</t>
        </is>
      </c>
      <c r="U772" s="8">
        <f>IF(AND(V772=1,D772&lt;&gt;""),IF(D772&gt;=corte,TODAY()-D772,""),"")</f>
        <v/>
      </c>
      <c r="V772" s="8">
        <f>IF(D772="",0,IF(OR(AND(P772&lt;&gt;"",S772=""),AND(N(J772)&gt;0,N(K772)&lt;J772),OR(M772="PENDENTE",M772="PARCIAL"),OR(N772="PENDENTE",N772="PARCIAL")),1,0))</f>
        <v/>
      </c>
      <c r="W772" s="8">
        <f>IF(AND(V772=1,D772&lt;&gt;""),IF(D772&gt;=corte,(B772="CRÍTICO")*1E9+(100000-D772)*10000+10000-ROW(),""),"")</f>
        <v/>
      </c>
      <c r="X772" s="8">
        <f>IF(AND(V772=1,D772=pas_data,E772=pas_turno),10000-ROW(),"")</f>
        <v/>
      </c>
    </row>
    <row r="773">
      <c r="A773" s="3">
        <f>IF(D773="","","TT-"&amp;TEXT(ROW()-1,"00000"))</f>
        <v/>
      </c>
      <c r="B773" s="3">
        <f>IF(D773="","",IF(V773=0,"CONCLUÍDO",IF(D773&lt;corte,"HISTÓRICO",IF(OR(AND(ISNUMBER(R773),R773&lt;TODAY()),AND(OR(N773="PENDENTE",N773="PARCIAL"),D773&lt;TODAY()-1)),"CRÍTICO",IF(OR(AND(P773&lt;&gt;"",S773=""),AND(N773="REALIZADO",M773="PENDENTE"),AND(ISNUMBER(R773),R773=TODAY())),"ATENÇÃO",IF(N(K773)=0,"PENDENTE","EM ANDAMENTO"))))))</f>
        <v/>
      </c>
      <c r="C773" s="3">
        <f>IF(D773="","",IF(V773=0,"🟢 OK",IF(D773&lt;corte,"⚪ HISTÓRICO (sem baixa)",IF(AND(ISNUMBER(R773),R773&lt;TODAY()),"🔴 PRAZO VENCIDO",IF(AND(OR(N773="PENDENTE",N773="PARCIAL"),D773&lt;TODAY()-1),"🔴 EMBARQUE ATRASADO",IF(AND(N773="REALIZADO",M773="PENDENTE"),"🟡 EMBARCADO SEM FATURAR",IF(AND(P773&lt;&gt;"",S773="",OR(Q773="",R773="")),"🟡 PENDÊNCIA SEM RESPONSÁVEL/PRAZO",IF(AND(ISNUMBER(R773),R773=TODAY()),"🟡 VENCE HOJE",IF(AND(P773&lt;&gt;"",S773=""),"🟡 PENDÊNCIA ABERTA",IF(AND(N(J773)&gt;0,N(K773)&lt;J773),"🟡 FALTA EXECUTAR",IF(OR(M773="PENDENTE",M773="PARCIAL"),"🟡 FATURAMENTO PENDENTE","🟡 EMBARQUE PENDENTE")))))))))))</f>
        <v/>
      </c>
      <c r="D773" s="4" t="n">
        <v>46281</v>
      </c>
      <c r="E773" s="5" t="inlineStr">
        <is>
          <t>D</t>
        </is>
      </c>
      <c r="F773" s="5" t="inlineStr">
        <is>
          <t>VINICIUS</t>
        </is>
      </c>
      <c r="G773" s="5" t="inlineStr">
        <is>
          <t>GM</t>
        </is>
      </c>
      <c r="H773" s="5" t="inlineStr">
        <is>
          <t>CREAM COLOR IND. COM. DE SORV</t>
        </is>
      </c>
      <c r="I773" s="5" t="inlineStr">
        <is>
          <t>TON</t>
        </is>
      </c>
      <c r="J773" s="6" t="n">
        <v>6.845</v>
      </c>
      <c r="K773" s="6" t="n">
        <v>6.845</v>
      </c>
      <c r="L773" s="7">
        <f>IF(OR(D773="",N(J773)=0),"",MIN(1,N(K773)/J773))</f>
        <v/>
      </c>
      <c r="M773" s="5" t="inlineStr">
        <is>
          <t>FATURADO</t>
        </is>
      </c>
      <c r="N773" s="5" t="inlineStr">
        <is>
          <t>PENDENTE</t>
        </is>
      </c>
      <c r="O773" s="5" t="n"/>
      <c r="P773" s="5" t="n"/>
      <c r="Q773" s="5" t="n"/>
      <c r="R773" s="4" t="n"/>
      <c r="S773" s="4" t="n"/>
      <c r="T773" s="5" t="inlineStr">
        <is>
          <t>FATURADO</t>
        </is>
      </c>
      <c r="U773" s="8">
        <f>IF(AND(V773=1,D773&lt;&gt;""),IF(D773&gt;=corte,TODAY()-D773,""),"")</f>
        <v/>
      </c>
      <c r="V773" s="8">
        <f>IF(D773="",0,IF(OR(AND(P773&lt;&gt;"",S773=""),AND(N(J773)&gt;0,N(K773)&lt;J773),OR(M773="PENDENTE",M773="PARCIAL"),OR(N773="PENDENTE",N773="PARCIAL")),1,0))</f>
        <v/>
      </c>
      <c r="W773" s="8">
        <f>IF(AND(V773=1,D773&lt;&gt;""),IF(D773&gt;=corte,(B773="CRÍTICO")*1E9+(100000-D773)*10000+10000-ROW(),""),"")</f>
        <v/>
      </c>
      <c r="X773" s="8">
        <f>IF(AND(V773=1,D773=pas_data,E773=pas_turno),10000-ROW(),"")</f>
        <v/>
      </c>
    </row>
    <row r="774">
      <c r="A774" s="3">
        <f>IF(D774="","","TT-"&amp;TEXT(ROW()-1,"00000"))</f>
        <v/>
      </c>
      <c r="B774" s="3">
        <f>IF(D774="","",IF(V774=0,"CONCLUÍDO",IF(D774&lt;corte,"HISTÓRICO",IF(OR(AND(ISNUMBER(R774),R774&lt;TODAY()),AND(OR(N774="PENDENTE",N774="PARCIAL"),D774&lt;TODAY()-1)),"CRÍTICO",IF(OR(AND(P774&lt;&gt;"",S774=""),AND(N774="REALIZADO",M774="PENDENTE"),AND(ISNUMBER(R774),R774=TODAY())),"ATENÇÃO",IF(N(K774)=0,"PENDENTE","EM ANDAMENTO"))))))</f>
        <v/>
      </c>
      <c r="C774" s="3">
        <f>IF(D774="","",IF(V774=0,"🟢 OK",IF(D774&lt;corte,"⚪ HISTÓRICO (sem baixa)",IF(AND(ISNUMBER(R774),R774&lt;TODAY()),"🔴 PRAZO VENCIDO",IF(AND(OR(N774="PENDENTE",N774="PARCIAL"),D774&lt;TODAY()-1),"🔴 EMBARQUE ATRASADO",IF(AND(N774="REALIZADO",M774="PENDENTE"),"🟡 EMBARCADO SEM FATURAR",IF(AND(P774&lt;&gt;"",S774="",OR(Q774="",R774="")),"🟡 PENDÊNCIA SEM RESPONSÁVEL/PRAZO",IF(AND(ISNUMBER(R774),R774=TODAY()),"🟡 VENCE HOJE",IF(AND(P774&lt;&gt;"",S774=""),"🟡 PENDÊNCIA ABERTA",IF(AND(N(J774)&gt;0,N(K774)&lt;J774),"🟡 FALTA EXECUTAR",IF(OR(M774="PENDENTE",M774="PARCIAL"),"🟡 FATURAMENTO PENDENTE","🟡 EMBARQUE PENDENTE")))))))))))</f>
        <v/>
      </c>
      <c r="D774" s="4" t="n">
        <v>46281</v>
      </c>
      <c r="E774" s="5" t="inlineStr">
        <is>
          <t>D</t>
        </is>
      </c>
      <c r="F774" s="5" t="inlineStr">
        <is>
          <t>VINICIUS</t>
        </is>
      </c>
      <c r="G774" s="5" t="inlineStr">
        <is>
          <t>GM</t>
        </is>
      </c>
      <c r="H774" s="5" t="inlineStr">
        <is>
          <t>SUL - RS</t>
        </is>
      </c>
      <c r="I774" s="5" t="inlineStr">
        <is>
          <t>TON</t>
        </is>
      </c>
      <c r="J774" s="6" t="n">
        <v>12.24</v>
      </c>
      <c r="K774" s="6" t="n">
        <v>12.24</v>
      </c>
      <c r="L774" s="7">
        <f>IF(OR(D774="",N(J774)=0),"",MIN(1,N(K774)/J774))</f>
        <v/>
      </c>
      <c r="M774" s="5" t="inlineStr">
        <is>
          <t>FATURADO</t>
        </is>
      </c>
      <c r="N774" s="5" t="inlineStr">
        <is>
          <t>PENDENTE</t>
        </is>
      </c>
      <c r="O774" s="5" t="n"/>
      <c r="P774" s="5" t="n"/>
      <c r="Q774" s="5" t="n"/>
      <c r="R774" s="4" t="n"/>
      <c r="S774" s="4" t="n"/>
      <c r="T774" s="5" t="inlineStr">
        <is>
          <t>FATURADO</t>
        </is>
      </c>
      <c r="U774" s="8">
        <f>IF(AND(V774=1,D774&lt;&gt;""),IF(D774&gt;=corte,TODAY()-D774,""),"")</f>
        <v/>
      </c>
      <c r="V774" s="8">
        <f>IF(D774="",0,IF(OR(AND(P774&lt;&gt;"",S774=""),AND(N(J774)&gt;0,N(K774)&lt;J774),OR(M774="PENDENTE",M774="PARCIAL"),OR(N774="PENDENTE",N774="PARCIAL")),1,0))</f>
        <v/>
      </c>
      <c r="W774" s="8">
        <f>IF(AND(V774=1,D774&lt;&gt;""),IF(D774&gt;=corte,(B774="CRÍTICO")*1E9+(100000-D774)*10000+10000-ROW(),""),"")</f>
        <v/>
      </c>
      <c r="X774" s="8">
        <f>IF(AND(V774=1,D774=pas_data,E774=pas_turno),10000-ROW(),"")</f>
        <v/>
      </c>
    </row>
    <row r="775">
      <c r="A775" s="3">
        <f>IF(D775="","","TT-"&amp;TEXT(ROW()-1,"00000"))</f>
        <v/>
      </c>
      <c r="B775" s="3">
        <f>IF(D775="","",IF(V775=0,"CONCLUÍDO",IF(D775&lt;corte,"HISTÓRICO",IF(OR(AND(ISNUMBER(R775),R775&lt;TODAY()),AND(OR(N775="PENDENTE",N775="PARCIAL"),D775&lt;TODAY()-1)),"CRÍTICO",IF(OR(AND(P775&lt;&gt;"",S775=""),AND(N775="REALIZADO",M775="PENDENTE"),AND(ISNUMBER(R775),R775=TODAY())),"ATENÇÃO",IF(N(K775)=0,"PENDENTE","EM ANDAMENTO"))))))</f>
        <v/>
      </c>
      <c r="C775" s="3">
        <f>IF(D775="","",IF(V775=0,"🟢 OK",IF(D775&lt;corte,"⚪ HISTÓRICO (sem baixa)",IF(AND(ISNUMBER(R775),R775&lt;TODAY()),"🔴 PRAZO VENCIDO",IF(AND(OR(N775="PENDENTE",N775="PARCIAL"),D775&lt;TODAY()-1),"🔴 EMBARQUE ATRASADO",IF(AND(N775="REALIZADO",M775="PENDENTE"),"🟡 EMBARCADO SEM FATURAR",IF(AND(P775&lt;&gt;"",S775="",OR(Q775="",R775="")),"🟡 PENDÊNCIA SEM RESPONSÁVEL/PRAZO",IF(AND(ISNUMBER(R775),R775=TODAY()),"🟡 VENCE HOJE",IF(AND(P775&lt;&gt;"",S775=""),"🟡 PENDÊNCIA ABERTA",IF(AND(N(J775)&gt;0,N(K775)&lt;J775),"🟡 FALTA EXECUTAR",IF(OR(M775="PENDENTE",M775="PARCIAL"),"🟡 FATURAMENTO PENDENTE","🟡 EMBARQUE PENDENTE")))))))))))</f>
        <v/>
      </c>
      <c r="D775" s="4" t="n">
        <v>46281</v>
      </c>
      <c r="E775" s="5" t="inlineStr">
        <is>
          <t>D</t>
        </is>
      </c>
      <c r="F775" s="5" t="inlineStr">
        <is>
          <t>VINICIUS</t>
        </is>
      </c>
      <c r="G775" s="5" t="inlineStr">
        <is>
          <t>GM</t>
        </is>
      </c>
      <c r="H775" s="5" t="inlineStr">
        <is>
          <t>SUL - PR</t>
        </is>
      </c>
      <c r="I775" s="5" t="inlineStr">
        <is>
          <t>TON</t>
        </is>
      </c>
      <c r="J775" s="6" t="n">
        <v>6.845</v>
      </c>
      <c r="K775" s="6" t="n">
        <v>6.845</v>
      </c>
      <c r="L775" s="7">
        <f>IF(OR(D775="",N(J775)=0),"",MIN(1,N(K775)/J775))</f>
        <v/>
      </c>
      <c r="M775" s="5" t="inlineStr">
        <is>
          <t>FATURADO</t>
        </is>
      </c>
      <c r="N775" s="5" t="inlineStr">
        <is>
          <t>PENDENTE</t>
        </is>
      </c>
      <c r="O775" s="5" t="n"/>
      <c r="P775" s="5" t="n"/>
      <c r="Q775" s="5" t="n"/>
      <c r="R775" s="4" t="n"/>
      <c r="S775" s="4" t="n"/>
      <c r="T775" s="5" t="inlineStr">
        <is>
          <t>FATURADO</t>
        </is>
      </c>
      <c r="U775" s="8">
        <f>IF(AND(V775=1,D775&lt;&gt;""),IF(D775&gt;=corte,TODAY()-D775,""),"")</f>
        <v/>
      </c>
      <c r="V775" s="8">
        <f>IF(D775="",0,IF(OR(AND(P775&lt;&gt;"",S775=""),AND(N(J775)&gt;0,N(K775)&lt;J775),OR(M775="PENDENTE",M775="PARCIAL"),OR(N775="PENDENTE",N775="PARCIAL")),1,0))</f>
        <v/>
      </c>
      <c r="W775" s="8">
        <f>IF(AND(V775=1,D775&lt;&gt;""),IF(D775&gt;=corte,(B775="CRÍTICO")*1E9+(100000-D775)*10000+10000-ROW(),""),"")</f>
        <v/>
      </c>
      <c r="X775" s="8">
        <f>IF(AND(V775=1,D775=pas_data,E775=pas_turno),10000-ROW(),"")</f>
        <v/>
      </c>
    </row>
    <row r="776">
      <c r="A776" s="3">
        <f>IF(D776="","","TT-"&amp;TEXT(ROW()-1,"00000"))</f>
        <v/>
      </c>
      <c r="B776" s="3">
        <f>IF(D776="","",IF(V776=0,"CONCLUÍDO",IF(D776&lt;corte,"HISTÓRICO",IF(OR(AND(ISNUMBER(R776),R776&lt;TODAY()),AND(OR(N776="PENDENTE",N776="PARCIAL"),D776&lt;TODAY()-1)),"CRÍTICO",IF(OR(AND(P776&lt;&gt;"",S776=""),AND(N776="REALIZADO",M776="PENDENTE"),AND(ISNUMBER(R776),R776=TODAY())),"ATENÇÃO",IF(N(K776)=0,"PENDENTE","EM ANDAMENTO"))))))</f>
        <v/>
      </c>
      <c r="C776" s="3">
        <f>IF(D776="","",IF(V776=0,"🟢 OK",IF(D776&lt;corte,"⚪ HISTÓRICO (sem baixa)",IF(AND(ISNUMBER(R776),R776&lt;TODAY()),"🔴 PRAZO VENCIDO",IF(AND(OR(N776="PENDENTE",N776="PARCIAL"),D776&lt;TODAY()-1),"🔴 EMBARQUE ATRASADO",IF(AND(N776="REALIZADO",M776="PENDENTE"),"🟡 EMBARCADO SEM FATURAR",IF(AND(P776&lt;&gt;"",S776="",OR(Q776="",R776="")),"🟡 PENDÊNCIA SEM RESPONSÁVEL/PRAZO",IF(AND(ISNUMBER(R776),R776=TODAY()),"🟡 VENCE HOJE",IF(AND(P776&lt;&gt;"",S776=""),"🟡 PENDÊNCIA ABERTA",IF(AND(N(J776)&gt;0,N(K776)&lt;J776),"🟡 FALTA EXECUTAR",IF(OR(M776="PENDENTE",M776="PARCIAL"),"🟡 FATURAMENTO PENDENTE","🟡 EMBARQUE PENDENTE")))))))))))</f>
        <v/>
      </c>
      <c r="D776" s="4" t="n">
        <v>46281</v>
      </c>
      <c r="E776" s="5" t="inlineStr">
        <is>
          <t>D</t>
        </is>
      </c>
      <c r="F776" s="5" t="inlineStr">
        <is>
          <t>VINICIUS</t>
        </is>
      </c>
      <c r="G776" s="5" t="inlineStr">
        <is>
          <t>GRANEL</t>
        </is>
      </c>
      <c r="H776" s="5" t="inlineStr">
        <is>
          <t>TOP CAU IND E COMERCIO DE CHO</t>
        </is>
      </c>
      <c r="I776" s="5" t="inlineStr">
        <is>
          <t>TON</t>
        </is>
      </c>
      <c r="J776" s="6" t="n">
        <v>1.824</v>
      </c>
      <c r="K776" s="6" t="n">
        <v>1.824</v>
      </c>
      <c r="L776" s="7">
        <f>IF(OR(D776="",N(J776)=0),"",MIN(1,N(K776)/J776))</f>
        <v/>
      </c>
      <c r="M776" s="5" t="inlineStr">
        <is>
          <t>FATURADO</t>
        </is>
      </c>
      <c r="N776" s="5" t="inlineStr">
        <is>
          <t>REALIZADO</t>
        </is>
      </c>
      <c r="O776" s="5" t="n"/>
      <c r="P776" s="5" t="n"/>
      <c r="Q776" s="5" t="n"/>
      <c r="R776" s="4" t="n"/>
      <c r="S776" s="4" t="n"/>
      <c r="T776" s="5" t="inlineStr">
        <is>
          <t>EMBARCADO E LIBERADO</t>
        </is>
      </c>
      <c r="U776" s="8">
        <f>IF(AND(V776=1,D776&lt;&gt;""),IF(D776&gt;=corte,TODAY()-D776,""),"")</f>
        <v/>
      </c>
      <c r="V776" s="8">
        <f>IF(D776="",0,IF(OR(AND(P776&lt;&gt;"",S776=""),AND(N(J776)&gt;0,N(K776)&lt;J776),OR(M776="PENDENTE",M776="PARCIAL"),OR(N776="PENDENTE",N776="PARCIAL")),1,0))</f>
        <v/>
      </c>
      <c r="W776" s="8">
        <f>IF(AND(V776=1,D776&lt;&gt;""),IF(D776&gt;=corte,(B776="CRÍTICO")*1E9+(100000-D776)*10000+10000-ROW(),""),"")</f>
        <v/>
      </c>
      <c r="X776" s="8">
        <f>IF(AND(V776=1,D776=pas_data,E776=pas_turno),10000-ROW(),"")</f>
        <v/>
      </c>
    </row>
    <row r="777">
      <c r="A777" s="3">
        <f>IF(D777="","","TT-"&amp;TEXT(ROW()-1,"00000"))</f>
        <v/>
      </c>
      <c r="B777" s="3">
        <f>IF(D777="","",IF(V777=0,"CONCLUÍDO",IF(D777&lt;corte,"HISTÓRICO",IF(OR(AND(ISNUMBER(R777),R777&lt;TODAY()),AND(OR(N777="PENDENTE",N777="PARCIAL"),D777&lt;TODAY()-1)),"CRÍTICO",IF(OR(AND(P777&lt;&gt;"",S777=""),AND(N777="REALIZADO",M777="PENDENTE"),AND(ISNUMBER(R777),R777=TODAY())),"ATENÇÃO",IF(N(K777)=0,"PENDENTE","EM ANDAMENTO"))))))</f>
        <v/>
      </c>
      <c r="C777" s="3">
        <f>IF(D777="","",IF(V777=0,"🟢 OK",IF(D777&lt;corte,"⚪ HISTÓRICO (sem baixa)",IF(AND(ISNUMBER(R777),R777&lt;TODAY()),"🔴 PRAZO VENCIDO",IF(AND(OR(N777="PENDENTE",N777="PARCIAL"),D777&lt;TODAY()-1),"🔴 EMBARQUE ATRASADO",IF(AND(N777="REALIZADO",M777="PENDENTE"),"🟡 EMBARCADO SEM FATURAR",IF(AND(P777&lt;&gt;"",S777="",OR(Q777="",R777="")),"🟡 PENDÊNCIA SEM RESPONSÁVEL/PRAZO",IF(AND(ISNUMBER(R777),R777=TODAY()),"🟡 VENCE HOJE",IF(AND(P777&lt;&gt;"",S777=""),"🟡 PENDÊNCIA ABERTA",IF(AND(N(J777)&gt;0,N(K777)&lt;J777),"🟡 FALTA EXECUTAR",IF(OR(M777="PENDENTE",M777="PARCIAL"),"🟡 FATURAMENTO PENDENTE","🟡 EMBARQUE PENDENTE")))))))))))</f>
        <v/>
      </c>
      <c r="D777" s="4" t="n">
        <v>46282</v>
      </c>
      <c r="E777" s="5" t="inlineStr">
        <is>
          <t>C</t>
        </is>
      </c>
      <c r="F777" s="5" t="inlineStr">
        <is>
          <t>ADIB</t>
        </is>
      </c>
      <c r="G777" s="5" t="inlineStr">
        <is>
          <t>CACAU</t>
        </is>
      </c>
      <c r="H777" s="5" t="inlineStr">
        <is>
          <t>CACAU BR15</t>
        </is>
      </c>
      <c r="I777" s="5" t="inlineStr">
        <is>
          <t>TON</t>
        </is>
      </c>
      <c r="J777" s="6" t="n">
        <v>15.421</v>
      </c>
      <c r="K777" s="6" t="n">
        <v>15.421</v>
      </c>
      <c r="L777" s="7">
        <f>IF(OR(D777="",N(J777)=0),"",MIN(1,N(K777)/J777))</f>
        <v/>
      </c>
      <c r="M777" s="5" t="inlineStr">
        <is>
          <t>FATURADO</t>
        </is>
      </c>
      <c r="N777" s="5" t="inlineStr">
        <is>
          <t>PARCIAL</t>
        </is>
      </c>
      <c r="O777" s="5" t="n"/>
      <c r="P777" s="5" t="n"/>
      <c r="Q777" s="5" t="n"/>
      <c r="R777" s="4" t="n"/>
      <c r="S777" s="4" t="n"/>
      <c r="T777" s="5" t="n"/>
      <c r="U777" s="8">
        <f>IF(AND(V777=1,D777&lt;&gt;""),IF(D777&gt;=corte,TODAY()-D777,""),"")</f>
        <v/>
      </c>
      <c r="V777" s="8">
        <f>IF(D777="",0,IF(OR(AND(P777&lt;&gt;"",S777=""),AND(N(J777)&gt;0,N(K777)&lt;J777),OR(M777="PENDENTE",M777="PARCIAL"),OR(N777="PENDENTE",N777="PARCIAL")),1,0))</f>
        <v/>
      </c>
      <c r="W777" s="8">
        <f>IF(AND(V777=1,D777&lt;&gt;""),IF(D777&gt;=corte,(B777="CRÍTICO")*1E9+(100000-D777)*10000+10000-ROW(),""),"")</f>
        <v/>
      </c>
      <c r="X777" s="8">
        <f>IF(AND(V777=1,D777=pas_data,E777=pas_turno),10000-ROW(),"")</f>
        <v/>
      </c>
    </row>
    <row r="778">
      <c r="A778" s="3">
        <f>IF(D778="","","TT-"&amp;TEXT(ROW()-1,"00000"))</f>
        <v/>
      </c>
      <c r="B778" s="3">
        <f>IF(D778="","",IF(V778=0,"CONCLUÍDO",IF(D778&lt;corte,"HISTÓRICO",IF(OR(AND(ISNUMBER(R778),R778&lt;TODAY()),AND(OR(N778="PENDENTE",N778="PARCIAL"),D778&lt;TODAY()-1)),"CRÍTICO",IF(OR(AND(P778&lt;&gt;"",S778=""),AND(N778="REALIZADO",M778="PENDENTE"),AND(ISNUMBER(R778),R778=TODAY())),"ATENÇÃO",IF(N(K778)=0,"PENDENTE","EM ANDAMENTO"))))))</f>
        <v/>
      </c>
      <c r="C778" s="3">
        <f>IF(D778="","",IF(V778=0,"🟢 OK",IF(D778&lt;corte,"⚪ HISTÓRICO (sem baixa)",IF(AND(ISNUMBER(R778),R778&lt;TODAY()),"🔴 PRAZO VENCIDO",IF(AND(OR(N778="PENDENTE",N778="PARCIAL"),D778&lt;TODAY()-1),"🔴 EMBARQUE ATRASADO",IF(AND(N778="REALIZADO",M778="PENDENTE"),"🟡 EMBARCADO SEM FATURAR",IF(AND(P778&lt;&gt;"",S778="",OR(Q778="",R778="")),"🟡 PENDÊNCIA SEM RESPONSÁVEL/PRAZO",IF(AND(ISNUMBER(R778),R778=TODAY()),"🟡 VENCE HOJE",IF(AND(P778&lt;&gt;"",S778=""),"🟡 PENDÊNCIA ABERTA",IF(AND(N(J778)&gt;0,N(K778)&lt;J778),"🟡 FALTA EXECUTAR",IF(OR(M778="PENDENTE",M778="PARCIAL"),"🟡 FATURAMENTO PENDENTE","🟡 EMBARQUE PENDENTE")))))))))))</f>
        <v/>
      </c>
      <c r="D778" s="4" t="n">
        <v>46282</v>
      </c>
      <c r="E778" s="5" t="inlineStr">
        <is>
          <t>C</t>
        </is>
      </c>
      <c r="F778" s="5" t="inlineStr">
        <is>
          <t>ADIB</t>
        </is>
      </c>
      <c r="G778" s="5" t="inlineStr">
        <is>
          <t>GM</t>
        </is>
      </c>
      <c r="H778" s="5" t="inlineStr">
        <is>
          <t>C.OESTE ( CARRO 1 )</t>
        </is>
      </c>
      <c r="I778" s="5" t="inlineStr">
        <is>
          <t>TON</t>
        </is>
      </c>
      <c r="J778" s="6" t="n">
        <v>23.527</v>
      </c>
      <c r="K778" s="6" t="n">
        <v>23.527</v>
      </c>
      <c r="L778" s="7">
        <f>IF(OR(D778="",N(J778)=0),"",MIN(1,N(K778)/J778))</f>
        <v/>
      </c>
      <c r="M778" s="5" t="inlineStr">
        <is>
          <t>FATURADO</t>
        </is>
      </c>
      <c r="N778" s="5" t="inlineStr">
        <is>
          <t>REALIZADO</t>
        </is>
      </c>
      <c r="O778" s="5" t="n"/>
      <c r="P778" s="5" t="inlineStr">
        <is>
          <t>AGUARDANDO CARRO</t>
        </is>
      </c>
      <c r="Q778" s="5" t="n"/>
      <c r="R778" s="4" t="n"/>
      <c r="S778" s="4" t="n"/>
      <c r="T778" s="5" t="inlineStr">
        <is>
          <t>AGUARDANDO CARRO</t>
        </is>
      </c>
      <c r="U778" s="8">
        <f>IF(AND(V778=1,D778&lt;&gt;""),IF(D778&gt;=corte,TODAY()-D778,""),"")</f>
        <v/>
      </c>
      <c r="V778" s="8">
        <f>IF(D778="",0,IF(OR(AND(P778&lt;&gt;"",S778=""),AND(N(J778)&gt;0,N(K778)&lt;J778),OR(M778="PENDENTE",M778="PARCIAL"),OR(N778="PENDENTE",N778="PARCIAL")),1,0))</f>
        <v/>
      </c>
      <c r="W778" s="8">
        <f>IF(AND(V778=1,D778&lt;&gt;""),IF(D778&gt;=corte,(B778="CRÍTICO")*1E9+(100000-D778)*10000+10000-ROW(),""),"")</f>
        <v/>
      </c>
      <c r="X778" s="8">
        <f>IF(AND(V778=1,D778=pas_data,E778=pas_turno),10000-ROW(),"")</f>
        <v/>
      </c>
    </row>
    <row r="779">
      <c r="A779" s="3">
        <f>IF(D779="","","TT-"&amp;TEXT(ROW()-1,"00000"))</f>
        <v/>
      </c>
      <c r="B779" s="3">
        <f>IF(D779="","",IF(V779=0,"CONCLUÍDO",IF(D779&lt;corte,"HISTÓRICO",IF(OR(AND(ISNUMBER(R779),R779&lt;TODAY()),AND(OR(N779="PENDENTE",N779="PARCIAL"),D779&lt;TODAY()-1)),"CRÍTICO",IF(OR(AND(P779&lt;&gt;"",S779=""),AND(N779="REALIZADO",M779="PENDENTE"),AND(ISNUMBER(R779),R779=TODAY())),"ATENÇÃO",IF(N(K779)=0,"PENDENTE","EM ANDAMENTO"))))))</f>
        <v/>
      </c>
      <c r="C779" s="3">
        <f>IF(D779="","",IF(V779=0,"🟢 OK",IF(D779&lt;corte,"⚪ HISTÓRICO (sem baixa)",IF(AND(ISNUMBER(R779),R779&lt;TODAY()),"🔴 PRAZO VENCIDO",IF(AND(OR(N779="PENDENTE",N779="PARCIAL"),D779&lt;TODAY()-1),"🔴 EMBARQUE ATRASADO",IF(AND(N779="REALIZADO",M779="PENDENTE"),"🟡 EMBARCADO SEM FATURAR",IF(AND(P779&lt;&gt;"",S779="",OR(Q779="",R779="")),"🟡 PENDÊNCIA SEM RESPONSÁVEL/PRAZO",IF(AND(ISNUMBER(R779),R779=TODAY()),"🟡 VENCE HOJE",IF(AND(P779&lt;&gt;"",S779=""),"🟡 PENDÊNCIA ABERTA",IF(AND(N(J779)&gt;0,N(K779)&lt;J779),"🟡 FALTA EXECUTAR",IF(OR(M779="PENDENTE",M779="PARCIAL"),"🟡 FATURAMENTO PENDENTE","🟡 EMBARQUE PENDENTE")))))))))))</f>
        <v/>
      </c>
      <c r="D779" s="4" t="n">
        <v>46282</v>
      </c>
      <c r="E779" s="5" t="inlineStr">
        <is>
          <t>C</t>
        </is>
      </c>
      <c r="F779" s="5" t="inlineStr">
        <is>
          <t>ADIB</t>
        </is>
      </c>
      <c r="G779" s="5" t="inlineStr">
        <is>
          <t>GM</t>
        </is>
      </c>
      <c r="H779" s="5" t="inlineStr">
        <is>
          <t>C.OESTE ( CARRO 2 )</t>
        </is>
      </c>
      <c r="I779" s="5" t="inlineStr">
        <is>
          <t>TON</t>
        </is>
      </c>
      <c r="J779" s="6" t="n">
        <v>20.494</v>
      </c>
      <c r="K779" s="6" t="n">
        <v>5.578</v>
      </c>
      <c r="L779" s="7">
        <f>IF(OR(D779="",N(J779)=0),"",MIN(1,N(K779)/J779))</f>
        <v/>
      </c>
      <c r="M779" s="5" t="inlineStr">
        <is>
          <t>PENDENTE</t>
        </is>
      </c>
      <c r="N779" s="5" t="inlineStr">
        <is>
          <t>PENDENTE</t>
        </is>
      </c>
      <c r="O779" s="5" t="n"/>
      <c r="P779" s="5" t="inlineStr">
        <is>
          <t>FINALIZAR AS SEPARAÇÕES</t>
        </is>
      </c>
      <c r="Q779" s="5" t="n"/>
      <c r="R779" s="4" t="n"/>
      <c r="S779" s="4" t="n"/>
      <c r="T779" s="5" t="inlineStr">
        <is>
          <t>FINALIZAR AS SEPARAÇÕES</t>
        </is>
      </c>
      <c r="U779" s="8">
        <f>IF(AND(V779=1,D779&lt;&gt;""),IF(D779&gt;=corte,TODAY()-D779,""),"")</f>
        <v/>
      </c>
      <c r="V779" s="8">
        <f>IF(D779="",0,IF(OR(AND(P779&lt;&gt;"",S779=""),AND(N(J779)&gt;0,N(K779)&lt;J779),OR(M779="PENDENTE",M779="PARCIAL"),OR(N779="PENDENTE",N779="PARCIAL")),1,0))</f>
        <v/>
      </c>
      <c r="W779" s="8">
        <f>IF(AND(V779=1,D779&lt;&gt;""),IF(D779&gt;=corte,(B779="CRÍTICO")*1E9+(100000-D779)*10000+10000-ROW(),""),"")</f>
        <v/>
      </c>
      <c r="X779" s="8">
        <f>IF(AND(V779=1,D779=pas_data,E779=pas_turno),10000-ROW(),"")</f>
        <v/>
      </c>
    </row>
    <row r="780">
      <c r="A780" s="3">
        <f>IF(D780="","","TT-"&amp;TEXT(ROW()-1,"00000"))</f>
        <v/>
      </c>
      <c r="B780" s="3">
        <f>IF(D780="","",IF(V780=0,"CONCLUÍDO",IF(D780&lt;corte,"HISTÓRICO",IF(OR(AND(ISNUMBER(R780),R780&lt;TODAY()),AND(OR(N780="PENDENTE",N780="PARCIAL"),D780&lt;TODAY()-1)),"CRÍTICO",IF(OR(AND(P780&lt;&gt;"",S780=""),AND(N780="REALIZADO",M780="PENDENTE"),AND(ISNUMBER(R780),R780=TODAY())),"ATENÇÃO",IF(N(K780)=0,"PENDENTE","EM ANDAMENTO"))))))</f>
        <v/>
      </c>
      <c r="C780" s="3">
        <f>IF(D780="","",IF(V780=0,"🟢 OK",IF(D780&lt;corte,"⚪ HISTÓRICO (sem baixa)",IF(AND(ISNUMBER(R780),R780&lt;TODAY()),"🔴 PRAZO VENCIDO",IF(AND(OR(N780="PENDENTE",N780="PARCIAL"),D780&lt;TODAY()-1),"🔴 EMBARQUE ATRASADO",IF(AND(N780="REALIZADO",M780="PENDENTE"),"🟡 EMBARCADO SEM FATURAR",IF(AND(P780&lt;&gt;"",S780="",OR(Q780="",R780="")),"🟡 PENDÊNCIA SEM RESPONSÁVEL/PRAZO",IF(AND(ISNUMBER(R780),R780=TODAY()),"🟡 VENCE HOJE",IF(AND(P780&lt;&gt;"",S780=""),"🟡 PENDÊNCIA ABERTA",IF(AND(N(J780)&gt;0,N(K780)&lt;J780),"🟡 FALTA EXECUTAR",IF(OR(M780="PENDENTE",M780="PARCIAL"),"🟡 FATURAMENTO PENDENTE","🟡 EMBARQUE PENDENTE")))))))))))</f>
        <v/>
      </c>
      <c r="D780" s="4" t="n">
        <v>46282</v>
      </c>
      <c r="E780" s="5" t="inlineStr">
        <is>
          <t>C</t>
        </is>
      </c>
      <c r="F780" s="5" t="inlineStr">
        <is>
          <t>ADIB</t>
        </is>
      </c>
      <c r="G780" s="5" t="inlineStr">
        <is>
          <t>TRANSFERÊNCIA</t>
        </is>
      </c>
      <c r="H780" s="5" t="inlineStr">
        <is>
          <t>TRANSF OMEGA X</t>
        </is>
      </c>
      <c r="I780" s="5" t="inlineStr">
        <is>
          <t>TON</t>
        </is>
      </c>
      <c r="J780" s="6" t="n">
        <v>14.753</v>
      </c>
      <c r="K780" s="6" t="n">
        <v>14.753</v>
      </c>
      <c r="L780" s="7">
        <f>IF(OR(D780="",N(J780)=0),"",MIN(1,N(K780)/J780))</f>
        <v/>
      </c>
      <c r="M780" s="5" t="inlineStr">
        <is>
          <t>PENDENTE</t>
        </is>
      </c>
      <c r="N780" s="5" t="inlineStr">
        <is>
          <t>PENDENTE</t>
        </is>
      </c>
      <c r="O780" s="5" t="n"/>
      <c r="P780" s="5" t="inlineStr">
        <is>
          <t>VAMOS CARREGAR CARRO SMARTLOG</t>
        </is>
      </c>
      <c r="Q780" s="5" t="n"/>
      <c r="R780" s="4" t="n"/>
      <c r="S780" s="4" t="n"/>
      <c r="T780" s="5" t="inlineStr">
        <is>
          <t>VAMOS CARREGAR CARRO SMARTLOG [MIGRAÇÃO: programação original: TRANSF OMEGA X]</t>
        </is>
      </c>
      <c r="U780" s="8">
        <f>IF(AND(V780=1,D780&lt;&gt;""),IF(D780&gt;=corte,TODAY()-D780,""),"")</f>
        <v/>
      </c>
      <c r="V780" s="8">
        <f>IF(D780="",0,IF(OR(AND(P780&lt;&gt;"",S780=""),AND(N(J780)&gt;0,N(K780)&lt;J780),OR(M780="PENDENTE",M780="PARCIAL"),OR(N780="PENDENTE",N780="PARCIAL")),1,0))</f>
        <v/>
      </c>
      <c r="W780" s="8">
        <f>IF(AND(V780=1,D780&lt;&gt;""),IF(D780&gt;=corte,(B780="CRÍTICO")*1E9+(100000-D780)*10000+10000-ROW(),""),"")</f>
        <v/>
      </c>
      <c r="X780" s="8">
        <f>IF(AND(V780=1,D780=pas_data,E780=pas_turno),10000-ROW(),"")</f>
        <v/>
      </c>
    </row>
    <row r="781">
      <c r="A781" s="3">
        <f>IF(D781="","","TT-"&amp;TEXT(ROW()-1,"00000"))</f>
        <v/>
      </c>
      <c r="B781" s="3">
        <f>IF(D781="","",IF(V781=0,"CONCLUÍDO",IF(D781&lt;corte,"HISTÓRICO",IF(OR(AND(ISNUMBER(R781),R781&lt;TODAY()),AND(OR(N781="PENDENTE",N781="PARCIAL"),D781&lt;TODAY()-1)),"CRÍTICO",IF(OR(AND(P781&lt;&gt;"",S781=""),AND(N781="REALIZADO",M781="PENDENTE"),AND(ISNUMBER(R781),R781=TODAY())),"ATENÇÃO",IF(N(K781)=0,"PENDENTE","EM ANDAMENTO"))))))</f>
        <v/>
      </c>
      <c r="C781" s="3">
        <f>IF(D781="","",IF(V781=0,"🟢 OK",IF(D781&lt;corte,"⚪ HISTÓRICO (sem baixa)",IF(AND(ISNUMBER(R781),R781&lt;TODAY()),"🔴 PRAZO VENCIDO",IF(AND(OR(N781="PENDENTE",N781="PARCIAL"),D781&lt;TODAY()-1),"🔴 EMBARQUE ATRASADO",IF(AND(N781="REALIZADO",M781="PENDENTE"),"🟡 EMBARCADO SEM FATURAR",IF(AND(P781&lt;&gt;"",S781="",OR(Q781="",R781="")),"🟡 PENDÊNCIA SEM RESPONSÁVEL/PRAZO",IF(AND(ISNUMBER(R781),R781=TODAY()),"🟡 VENCE HOJE",IF(AND(P781&lt;&gt;"",S781=""),"🟡 PENDÊNCIA ABERTA",IF(AND(N(J781)&gt;0,N(K781)&lt;J781),"🟡 FALTA EXECUTAR",IF(OR(M781="PENDENTE",M781="PARCIAL"),"🟡 FATURAMENTO PENDENTE","🟡 EMBARQUE PENDENTE")))))))))))</f>
        <v/>
      </c>
      <c r="D781" s="4" t="n">
        <v>46282</v>
      </c>
      <c r="E781" s="5" t="inlineStr">
        <is>
          <t>D</t>
        </is>
      </c>
      <c r="F781" s="5" t="inlineStr">
        <is>
          <t>VINICIUS</t>
        </is>
      </c>
      <c r="G781" s="5" t="inlineStr">
        <is>
          <t>GM</t>
        </is>
      </c>
      <c r="H781" s="5" t="inlineStr">
        <is>
          <t>C.OESTE ( CARRO 2 ) CONTINUAÇÃO</t>
        </is>
      </c>
      <c r="I781" s="5" t="inlineStr">
        <is>
          <t>TON</t>
        </is>
      </c>
      <c r="J781" s="6" t="n">
        <v>14.916</v>
      </c>
      <c r="K781" s="6" t="n">
        <v>14.916</v>
      </c>
      <c r="L781" s="7">
        <f>IF(OR(D781="",N(J781)=0),"",MIN(1,N(K781)/J781))</f>
        <v/>
      </c>
      <c r="M781" s="5" t="inlineStr">
        <is>
          <t>PARCIAL</t>
        </is>
      </c>
      <c r="N781" s="5" t="inlineStr">
        <is>
          <t>PENDENTE</t>
        </is>
      </c>
      <c r="O781" s="5" t="n"/>
      <c r="P781" s="5" t="inlineStr">
        <is>
          <t>PENDENTE FATURAR</t>
        </is>
      </c>
      <c r="Q781" s="5" t="n"/>
      <c r="R781" s="4" t="n"/>
      <c r="S781" s="4" t="n"/>
      <c r="T781" s="5" t="inlineStr">
        <is>
          <t>PENDENTE FATURAR</t>
        </is>
      </c>
      <c r="U781" s="8">
        <f>IF(AND(V781=1,D781&lt;&gt;""),IF(D781&gt;=corte,TODAY()-D781,""),"")</f>
        <v/>
      </c>
      <c r="V781" s="8">
        <f>IF(D781="",0,IF(OR(AND(P781&lt;&gt;"",S781=""),AND(N(J781)&gt;0,N(K781)&lt;J781),OR(M781="PENDENTE",M781="PARCIAL"),OR(N781="PENDENTE",N781="PARCIAL")),1,0))</f>
        <v/>
      </c>
      <c r="W781" s="8">
        <f>IF(AND(V781=1,D781&lt;&gt;""),IF(D781&gt;=corte,(B781="CRÍTICO")*1E9+(100000-D781)*10000+10000-ROW(),""),"")</f>
        <v/>
      </c>
      <c r="X781" s="8">
        <f>IF(AND(V781=1,D781=pas_data,E781=pas_turno),10000-ROW(),"")</f>
        <v/>
      </c>
    </row>
    <row r="782">
      <c r="A782" s="3">
        <f>IF(D782="","","TT-"&amp;TEXT(ROW()-1,"00000"))</f>
        <v/>
      </c>
      <c r="B782" s="3">
        <f>IF(D782="","",IF(V782=0,"CONCLUÍDO",IF(D782&lt;corte,"HISTÓRICO",IF(OR(AND(ISNUMBER(R782),R782&lt;TODAY()),AND(OR(N782="PENDENTE",N782="PARCIAL"),D782&lt;TODAY()-1)),"CRÍTICO",IF(OR(AND(P782&lt;&gt;"",S782=""),AND(N782="REALIZADO",M782="PENDENTE"),AND(ISNUMBER(R782),R782=TODAY())),"ATENÇÃO",IF(N(K782)=0,"PENDENTE","EM ANDAMENTO"))))))</f>
        <v/>
      </c>
      <c r="C782" s="3">
        <f>IF(D782="","",IF(V782=0,"🟢 OK",IF(D782&lt;corte,"⚪ HISTÓRICO (sem baixa)",IF(AND(ISNUMBER(R782),R782&lt;TODAY()),"🔴 PRAZO VENCIDO",IF(AND(OR(N782="PENDENTE",N782="PARCIAL"),D782&lt;TODAY()-1),"🔴 EMBARQUE ATRASADO",IF(AND(N782="REALIZADO",M782="PENDENTE"),"🟡 EMBARCADO SEM FATURAR",IF(AND(P782&lt;&gt;"",S782="",OR(Q782="",R782="")),"🟡 PENDÊNCIA SEM RESPONSÁVEL/PRAZO",IF(AND(ISNUMBER(R782),R782=TODAY()),"🟡 VENCE HOJE",IF(AND(P782&lt;&gt;"",S782=""),"🟡 PENDÊNCIA ABERTA",IF(AND(N(J782)&gt;0,N(K782)&lt;J782),"🟡 FALTA EXECUTAR",IF(OR(M782="PENDENTE",M782="PARCIAL"),"🟡 FATURAMENTO PENDENTE","🟡 EMBARQUE PENDENTE")))))))))))</f>
        <v/>
      </c>
      <c r="D782" s="4" t="n">
        <v>46282</v>
      </c>
      <c r="E782" s="5" t="inlineStr">
        <is>
          <t>D</t>
        </is>
      </c>
      <c r="F782" s="5" t="inlineStr">
        <is>
          <t>VINICIUS</t>
        </is>
      </c>
      <c r="G782" s="5" t="inlineStr">
        <is>
          <t>GM</t>
        </is>
      </c>
      <c r="H782" s="5" t="inlineStr">
        <is>
          <t>SMART AGING</t>
        </is>
      </c>
      <c r="I782" s="5" t="inlineStr">
        <is>
          <t>TON</t>
        </is>
      </c>
      <c r="J782" s="6" t="n">
        <v>0.654</v>
      </c>
      <c r="K782" s="6" t="n">
        <v>0.654</v>
      </c>
      <c r="L782" s="7">
        <f>IF(OR(D782="",N(J782)=0),"",MIN(1,N(K782)/J782))</f>
        <v/>
      </c>
      <c r="M782" s="5" t="inlineStr">
        <is>
          <t>FATURADO</t>
        </is>
      </c>
      <c r="N782" s="5" t="inlineStr">
        <is>
          <t>PENDENTE</t>
        </is>
      </c>
      <c r="O782" s="5" t="n"/>
      <c r="P782" s="5" t="inlineStr">
        <is>
          <t>AGUARDANDO CARRO</t>
        </is>
      </c>
      <c r="Q782" s="5" t="n"/>
      <c r="R782" s="4" t="n"/>
      <c r="S782" s="4" t="n"/>
      <c r="T782" s="5" t="inlineStr">
        <is>
          <t>AGUARDANDO CARRO</t>
        </is>
      </c>
      <c r="U782" s="8">
        <f>IF(AND(V782=1,D782&lt;&gt;""),IF(D782&gt;=corte,TODAY()-D782,""),"")</f>
        <v/>
      </c>
      <c r="V782" s="8">
        <f>IF(D782="",0,IF(OR(AND(P782&lt;&gt;"",S782=""),AND(N(J782)&gt;0,N(K782)&lt;J782),OR(M782="PENDENTE",M782="PARCIAL"),OR(N782="PENDENTE",N782="PARCIAL")),1,0))</f>
        <v/>
      </c>
      <c r="W782" s="8">
        <f>IF(AND(V782=1,D782&lt;&gt;""),IF(D782&gt;=corte,(B782="CRÍTICO")*1E9+(100000-D782)*10000+10000-ROW(),""),"")</f>
        <v/>
      </c>
      <c r="X782" s="8">
        <f>IF(AND(V782=1,D782=pas_data,E782=pas_turno),10000-ROW(),"")</f>
        <v/>
      </c>
    </row>
    <row r="783">
      <c r="A783" s="3">
        <f>IF(D783="","","TT-"&amp;TEXT(ROW()-1,"00000"))</f>
        <v/>
      </c>
      <c r="B783" s="3">
        <f>IF(D783="","",IF(V783=0,"CONCLUÍDO",IF(D783&lt;corte,"HISTÓRICO",IF(OR(AND(ISNUMBER(R783),R783&lt;TODAY()),AND(OR(N783="PENDENTE",N783="PARCIAL"),D783&lt;TODAY()-1)),"CRÍTICO",IF(OR(AND(P783&lt;&gt;"",S783=""),AND(N783="REALIZADO",M783="PENDENTE"),AND(ISNUMBER(R783),R783=TODAY())),"ATENÇÃO",IF(N(K783)=0,"PENDENTE","EM ANDAMENTO"))))))</f>
        <v/>
      </c>
      <c r="C783" s="3">
        <f>IF(D783="","",IF(V783=0,"🟢 OK",IF(D783&lt;corte,"⚪ HISTÓRICO (sem baixa)",IF(AND(ISNUMBER(R783),R783&lt;TODAY()),"🔴 PRAZO VENCIDO",IF(AND(OR(N783="PENDENTE",N783="PARCIAL"),D783&lt;TODAY()-1),"🔴 EMBARQUE ATRASADO",IF(AND(N783="REALIZADO",M783="PENDENTE"),"🟡 EMBARCADO SEM FATURAR",IF(AND(P783&lt;&gt;"",S783="",OR(Q783="",R783="")),"🟡 PENDÊNCIA SEM RESPONSÁVEL/PRAZO",IF(AND(ISNUMBER(R783),R783=TODAY()),"🟡 VENCE HOJE",IF(AND(P783&lt;&gt;"",S783=""),"🟡 PENDÊNCIA ABERTA",IF(AND(N(J783)&gt;0,N(K783)&lt;J783),"🟡 FALTA EXECUTAR",IF(OR(M783="PENDENTE",M783="PARCIAL"),"🟡 FATURAMENTO PENDENTE","🟡 EMBARQUE PENDENTE")))))))))))</f>
        <v/>
      </c>
      <c r="D783" s="4" t="n">
        <v>46282</v>
      </c>
      <c r="E783" s="5" t="inlineStr">
        <is>
          <t>D</t>
        </is>
      </c>
      <c r="F783" s="5" t="inlineStr">
        <is>
          <t>VINICIUS</t>
        </is>
      </c>
      <c r="G783" s="5" t="inlineStr">
        <is>
          <t>GM</t>
        </is>
      </c>
      <c r="H783" s="5" t="inlineStr">
        <is>
          <t>SMART</t>
        </is>
      </c>
      <c r="I783" s="5" t="inlineStr">
        <is>
          <t>TON</t>
        </is>
      </c>
      <c r="J783" s="6" t="n">
        <v>3.851</v>
      </c>
      <c r="K783" s="6" t="n"/>
      <c r="L783" s="7">
        <f>IF(OR(D783="",N(J783)=0),"",MIN(1,N(K783)/J783))</f>
        <v/>
      </c>
      <c r="M783" s="5" t="inlineStr">
        <is>
          <t>FATURADO</t>
        </is>
      </c>
      <c r="N783" s="5" t="inlineStr">
        <is>
          <t>PENDENTE</t>
        </is>
      </c>
      <c r="O783" s="5" t="n"/>
      <c r="P783" s="5" t="inlineStr">
        <is>
          <t>AGUARDANDO CARRO</t>
        </is>
      </c>
      <c r="Q783" s="5" t="n"/>
      <c r="R783" s="4" t="n"/>
      <c r="S783" s="4" t="n"/>
      <c r="T783" s="5" t="inlineStr">
        <is>
          <t>AGUARDANDO CARRO</t>
        </is>
      </c>
      <c r="U783" s="8">
        <f>IF(AND(V783=1,D783&lt;&gt;""),IF(D783&gt;=corte,TODAY()-D783,""),"")</f>
        <v/>
      </c>
      <c r="V783" s="8">
        <f>IF(D783="",0,IF(OR(AND(P783&lt;&gt;"",S783=""),AND(N(J783)&gt;0,N(K783)&lt;J783),OR(M783="PENDENTE",M783="PARCIAL"),OR(N783="PENDENTE",N783="PARCIAL")),1,0))</f>
        <v/>
      </c>
      <c r="W783" s="8">
        <f>IF(AND(V783=1,D783&lt;&gt;""),IF(D783&gt;=corte,(B783="CRÍTICO")*1E9+(100000-D783)*10000+10000-ROW(),""),"")</f>
        <v/>
      </c>
      <c r="X783" s="8">
        <f>IF(AND(V783=1,D783=pas_data,E783=pas_turno),10000-ROW(),"")</f>
        <v/>
      </c>
    </row>
    <row r="784">
      <c r="A784" s="3">
        <f>IF(D784="","","TT-"&amp;TEXT(ROW()-1,"00000"))</f>
        <v/>
      </c>
      <c r="B784" s="3">
        <f>IF(D784="","",IF(V784=0,"CONCLUÍDO",IF(D784&lt;corte,"HISTÓRICO",IF(OR(AND(ISNUMBER(R784),R784&lt;TODAY()),AND(OR(N784="PENDENTE",N784="PARCIAL"),D784&lt;TODAY()-1)),"CRÍTICO",IF(OR(AND(P784&lt;&gt;"",S784=""),AND(N784="REALIZADO",M784="PENDENTE"),AND(ISNUMBER(R784),R784=TODAY())),"ATENÇÃO",IF(N(K784)=0,"PENDENTE","EM ANDAMENTO"))))))</f>
        <v/>
      </c>
      <c r="C784" s="3">
        <f>IF(D784="","",IF(V784=0,"🟢 OK",IF(D784&lt;corte,"⚪ HISTÓRICO (sem baixa)",IF(AND(ISNUMBER(R784),R784&lt;TODAY()),"🔴 PRAZO VENCIDO",IF(AND(OR(N784="PENDENTE",N784="PARCIAL"),D784&lt;TODAY()-1),"🔴 EMBARQUE ATRASADO",IF(AND(N784="REALIZADO",M784="PENDENTE"),"🟡 EMBARCADO SEM FATURAR",IF(AND(P784&lt;&gt;"",S784="",OR(Q784="",R784="")),"🟡 PENDÊNCIA SEM RESPONSÁVEL/PRAZO",IF(AND(ISNUMBER(R784),R784=TODAY()),"🟡 VENCE HOJE",IF(AND(P784&lt;&gt;"",S784=""),"🟡 PENDÊNCIA ABERTA",IF(AND(N(J784)&gt;0,N(K784)&lt;J784),"🟡 FALTA EXECUTAR",IF(OR(M784="PENDENTE",M784="PARCIAL"),"🟡 FATURAMENTO PENDENTE","🟡 EMBARQUE PENDENTE")))))))))))</f>
        <v/>
      </c>
      <c r="D784" s="4" t="n">
        <v>46282</v>
      </c>
      <c r="E784" s="5" t="inlineStr">
        <is>
          <t>D</t>
        </is>
      </c>
      <c r="F784" s="5" t="inlineStr">
        <is>
          <t>VINICIUS</t>
        </is>
      </c>
      <c r="G784" s="5" t="inlineStr">
        <is>
          <t>FM</t>
        </is>
      </c>
      <c r="H784" s="5" t="inlineStr">
        <is>
          <t>PANDURATA ALIMENTOS LTDA</t>
        </is>
      </c>
      <c r="I784" s="5" t="inlineStr">
        <is>
          <t>TON</t>
        </is>
      </c>
      <c r="J784" s="6" t="n">
        <v>27.339</v>
      </c>
      <c r="K784" s="6" t="n">
        <v>27.339</v>
      </c>
      <c r="L784" s="7">
        <f>IF(OR(D784="",N(J784)=0),"",MIN(1,N(K784)/J784))</f>
        <v/>
      </c>
      <c r="M784" s="5" t="inlineStr">
        <is>
          <t>FATURADO</t>
        </is>
      </c>
      <c r="N784" s="5" t="inlineStr">
        <is>
          <t>PENDENTE</t>
        </is>
      </c>
      <c r="O784" s="5" t="n"/>
      <c r="P784" s="5" t="inlineStr">
        <is>
          <t>AGUARDANDO CARRO</t>
        </is>
      </c>
      <c r="Q784" s="5" t="n"/>
      <c r="R784" s="4" t="n"/>
      <c r="S784" s="4" t="n"/>
      <c r="T784" s="5" t="inlineStr">
        <is>
          <t>AGUARDANDO CARRO</t>
        </is>
      </c>
      <c r="U784" s="8">
        <f>IF(AND(V784=1,D784&lt;&gt;""),IF(D784&gt;=corte,TODAY()-D784,""),"")</f>
        <v/>
      </c>
      <c r="V784" s="8">
        <f>IF(D784="",0,IF(OR(AND(P784&lt;&gt;"",S784=""),AND(N(J784)&gt;0,N(K784)&lt;J784),OR(M784="PENDENTE",M784="PARCIAL"),OR(N784="PENDENTE",N784="PARCIAL")),1,0))</f>
        <v/>
      </c>
      <c r="W784" s="8">
        <f>IF(AND(V784=1,D784&lt;&gt;""),IF(D784&gt;=corte,(B784="CRÍTICO")*1E9+(100000-D784)*10000+10000-ROW(),""),"")</f>
        <v/>
      </c>
      <c r="X784" s="8">
        <f>IF(AND(V784=1,D784=pas_data,E784=pas_turno),10000-ROW(),"")</f>
        <v/>
      </c>
    </row>
    <row r="785">
      <c r="A785" s="3">
        <f>IF(D785="","","TT-"&amp;TEXT(ROW()-1,"00000"))</f>
        <v/>
      </c>
      <c r="B785" s="3">
        <f>IF(D785="","",IF(V785=0,"CONCLUÍDO",IF(D785&lt;corte,"HISTÓRICO",IF(OR(AND(ISNUMBER(R785),R785&lt;TODAY()),AND(OR(N785="PENDENTE",N785="PARCIAL"),D785&lt;TODAY()-1)),"CRÍTICO",IF(OR(AND(P785&lt;&gt;"",S785=""),AND(N785="REALIZADO",M785="PENDENTE"),AND(ISNUMBER(R785),R785=TODAY())),"ATENÇÃO",IF(N(K785)=0,"PENDENTE","EM ANDAMENTO"))))))</f>
        <v/>
      </c>
      <c r="C785" s="3">
        <f>IF(D785="","",IF(V785=0,"🟢 OK",IF(D785&lt;corte,"⚪ HISTÓRICO (sem baixa)",IF(AND(ISNUMBER(R785),R785&lt;TODAY()),"🔴 PRAZO VENCIDO",IF(AND(OR(N785="PENDENTE",N785="PARCIAL"),D785&lt;TODAY()-1),"🔴 EMBARQUE ATRASADO",IF(AND(N785="REALIZADO",M785="PENDENTE"),"🟡 EMBARCADO SEM FATURAR",IF(AND(P785&lt;&gt;"",S785="",OR(Q785="",R785="")),"🟡 PENDÊNCIA SEM RESPONSÁVEL/PRAZO",IF(AND(ISNUMBER(R785),R785=TODAY()),"🟡 VENCE HOJE",IF(AND(P785&lt;&gt;"",S785=""),"🟡 PENDÊNCIA ABERTA",IF(AND(N(J785)&gt;0,N(K785)&lt;J785),"🟡 FALTA EXECUTAR",IF(OR(M785="PENDENTE",M785="PARCIAL"),"🟡 FATURAMENTO PENDENTE","🟡 EMBARQUE PENDENTE")))))))))))</f>
        <v/>
      </c>
      <c r="D785" s="4" t="n">
        <v>46282</v>
      </c>
      <c r="E785" s="5" t="inlineStr">
        <is>
          <t>D</t>
        </is>
      </c>
      <c r="F785" s="5" t="inlineStr">
        <is>
          <t>VINICIUS</t>
        </is>
      </c>
      <c r="G785" s="5" t="inlineStr">
        <is>
          <t>BR15</t>
        </is>
      </c>
      <c r="H785" s="5" t="inlineStr">
        <is>
          <t>TIROL</t>
        </is>
      </c>
      <c r="I785" s="5" t="inlineStr">
        <is>
          <t>TON</t>
        </is>
      </c>
      <c r="J785" s="6" t="n">
        <v>19.947</v>
      </c>
      <c r="K785" s="6" t="n">
        <v>19.947</v>
      </c>
      <c r="L785" s="7">
        <f>IF(OR(D785="",N(J785)=0),"",MIN(1,N(K785)/J785))</f>
        <v/>
      </c>
      <c r="M785" s="5" t="inlineStr">
        <is>
          <t>FATURADO</t>
        </is>
      </c>
      <c r="N785" s="5" t="inlineStr">
        <is>
          <t>PENDENTE</t>
        </is>
      </c>
      <c r="O785" s="5" t="n"/>
      <c r="P785" s="5" t="inlineStr">
        <is>
          <t>AGUARDANDO CARRO</t>
        </is>
      </c>
      <c r="Q785" s="5" t="n"/>
      <c r="R785" s="4" t="n"/>
      <c r="S785" s="4" t="n"/>
      <c r="T785" s="5" t="inlineStr">
        <is>
          <t>AGUARDANDO CARRO</t>
        </is>
      </c>
      <c r="U785" s="8">
        <f>IF(AND(V785=1,D785&lt;&gt;""),IF(D785&gt;=corte,TODAY()-D785,""),"")</f>
        <v/>
      </c>
      <c r="V785" s="8">
        <f>IF(D785="",0,IF(OR(AND(P785&lt;&gt;"",S785=""),AND(N(J785)&gt;0,N(K785)&lt;J785),OR(M785="PENDENTE",M785="PARCIAL"),OR(N785="PENDENTE",N785="PARCIAL")),1,0))</f>
        <v/>
      </c>
      <c r="W785" s="8">
        <f>IF(AND(V785=1,D785&lt;&gt;""),IF(D785&gt;=corte,(B785="CRÍTICO")*1E9+(100000-D785)*10000+10000-ROW(),""),"")</f>
        <v/>
      </c>
      <c r="X785" s="8">
        <f>IF(AND(V785=1,D785=pas_data,E785=pas_turno),10000-ROW(),"")</f>
        <v/>
      </c>
    </row>
    <row r="786">
      <c r="A786" s="3">
        <f>IF(D786="","","TT-"&amp;TEXT(ROW()-1,"00000"))</f>
        <v/>
      </c>
      <c r="B786" s="3">
        <f>IF(D786="","",IF(V786=0,"CONCLUÍDO",IF(D786&lt;corte,"HISTÓRICO",IF(OR(AND(ISNUMBER(R786),R786&lt;TODAY()),AND(OR(N786="PENDENTE",N786="PARCIAL"),D786&lt;TODAY()-1)),"CRÍTICO",IF(OR(AND(P786&lt;&gt;"",S786=""),AND(N786="REALIZADO",M786="PENDENTE"),AND(ISNUMBER(R786),R786=TODAY())),"ATENÇÃO",IF(N(K786)=0,"PENDENTE","EM ANDAMENTO"))))))</f>
        <v/>
      </c>
      <c r="C786" s="3">
        <f>IF(D786="","",IF(V786=0,"🟢 OK",IF(D786&lt;corte,"⚪ HISTÓRICO (sem baixa)",IF(AND(ISNUMBER(R786),R786&lt;TODAY()),"🔴 PRAZO VENCIDO",IF(AND(OR(N786="PENDENTE",N786="PARCIAL"),D786&lt;TODAY()-1),"🔴 EMBARQUE ATRASADO",IF(AND(N786="REALIZADO",M786="PENDENTE"),"🟡 EMBARCADO SEM FATURAR",IF(AND(P786&lt;&gt;"",S786="",OR(Q786="",R786="")),"🟡 PENDÊNCIA SEM RESPONSÁVEL/PRAZO",IF(AND(ISNUMBER(R786),R786=TODAY()),"🟡 VENCE HOJE",IF(AND(P786&lt;&gt;"",S786=""),"🟡 PENDÊNCIA ABERTA",IF(AND(N(J786)&gt;0,N(K786)&lt;J786),"🟡 FALTA EXECUTAR",IF(OR(M786="PENDENTE",M786="PARCIAL"),"🟡 FATURAMENTO PENDENTE","🟡 EMBARQUE PENDENTE")))))))))))</f>
        <v/>
      </c>
      <c r="D786" s="4" t="n">
        <v>46282</v>
      </c>
      <c r="E786" s="5" t="inlineStr">
        <is>
          <t>D</t>
        </is>
      </c>
      <c r="F786" s="5" t="inlineStr">
        <is>
          <t>VINICIUS</t>
        </is>
      </c>
      <c r="G786" s="5" t="inlineStr">
        <is>
          <t>MOVIMENTAÇÃO</t>
        </is>
      </c>
      <c r="H786" s="5" t="inlineStr">
        <is>
          <t>MARGOSSIAN FERRERO</t>
        </is>
      </c>
      <c r="I786" s="5" t="inlineStr">
        <is>
          <t>PALETE</t>
        </is>
      </c>
      <c r="J786" s="6" t="n">
        <v>24</v>
      </c>
      <c r="K786" s="6" t="n">
        <v>24</v>
      </c>
      <c r="L786" s="7">
        <f>IF(OR(D786="",N(J786)=0),"",MIN(1,N(K786)/J786))</f>
        <v/>
      </c>
      <c r="M786" s="5" t="n"/>
      <c r="N786" s="5" t="n"/>
      <c r="O786" s="5" t="n"/>
      <c r="P786" s="5" t="n"/>
      <c r="Q786" s="5" t="n"/>
      <c r="R786" s="4" t="n"/>
      <c r="S786" s="4" t="n"/>
      <c r="T786" s="5" t="inlineStr">
        <is>
          <t>DIRECIONADO NAS POSIÇÕES DE OFF</t>
        </is>
      </c>
      <c r="U786" s="8">
        <f>IF(AND(V786=1,D786&lt;&gt;""),IF(D786&gt;=corte,TODAY()-D786,""),"")</f>
        <v/>
      </c>
      <c r="V786" s="8">
        <f>IF(D786="",0,IF(OR(AND(P786&lt;&gt;"",S786=""),AND(N(J786)&gt;0,N(K786)&lt;J786),OR(M786="PENDENTE",M786="PARCIAL"),OR(N786="PENDENTE",N786="PARCIAL")),1,0))</f>
        <v/>
      </c>
      <c r="W786" s="8">
        <f>IF(AND(V786=1,D786&lt;&gt;""),IF(D786&gt;=corte,(B786="CRÍTICO")*1E9+(100000-D786)*10000+10000-ROW(),""),"")</f>
        <v/>
      </c>
      <c r="X786" s="8">
        <f>IF(AND(V786=1,D786=pas_data,E786=pas_turno),10000-ROW(),"")</f>
        <v/>
      </c>
    </row>
    <row r="787">
      <c r="A787" s="3">
        <f>IF(D787="","","TT-"&amp;TEXT(ROW()-1,"00000"))</f>
        <v/>
      </c>
      <c r="B787" s="3">
        <f>IF(D787="","",IF(V787=0,"CONCLUÍDO",IF(D787&lt;corte,"HISTÓRICO",IF(OR(AND(ISNUMBER(R787),R787&lt;TODAY()),AND(OR(N787="PENDENTE",N787="PARCIAL"),D787&lt;TODAY()-1)),"CRÍTICO",IF(OR(AND(P787&lt;&gt;"",S787=""),AND(N787="REALIZADO",M787="PENDENTE"),AND(ISNUMBER(R787),R787=TODAY())),"ATENÇÃO",IF(N(K787)=0,"PENDENTE","EM ANDAMENTO"))))))</f>
        <v/>
      </c>
      <c r="C787" s="3">
        <f>IF(D787="","",IF(V787=0,"🟢 OK",IF(D787&lt;corte,"⚪ HISTÓRICO (sem baixa)",IF(AND(ISNUMBER(R787),R787&lt;TODAY()),"🔴 PRAZO VENCIDO",IF(AND(OR(N787="PENDENTE",N787="PARCIAL"),D787&lt;TODAY()-1),"🔴 EMBARQUE ATRASADO",IF(AND(N787="REALIZADO",M787="PENDENTE"),"🟡 EMBARCADO SEM FATURAR",IF(AND(P787&lt;&gt;"",S787="",OR(Q787="",R787="")),"🟡 PENDÊNCIA SEM RESPONSÁVEL/PRAZO",IF(AND(ISNUMBER(R787),R787=TODAY()),"🟡 VENCE HOJE",IF(AND(P787&lt;&gt;"",S787=""),"🟡 PENDÊNCIA ABERTA",IF(AND(N(J787)&gt;0,N(K787)&lt;J787),"🟡 FALTA EXECUTAR",IF(OR(M787="PENDENTE",M787="PARCIAL"),"🟡 FATURAMENTO PENDENTE","🟡 EMBARQUE PENDENTE")))))))))))</f>
        <v/>
      </c>
      <c r="D787" s="4" t="n">
        <v>46283</v>
      </c>
      <c r="E787" s="5" t="inlineStr">
        <is>
          <t>B</t>
        </is>
      </c>
      <c r="F787" s="5" t="inlineStr">
        <is>
          <t>THIAGO</t>
        </is>
      </c>
      <c r="G787" s="5" t="inlineStr">
        <is>
          <t>FOB</t>
        </is>
      </c>
      <c r="H787" s="5" t="inlineStr">
        <is>
          <t>DISCPANCHOC</t>
        </is>
      </c>
      <c r="I787" s="5" t="inlineStr">
        <is>
          <t>TON</t>
        </is>
      </c>
      <c r="J787" s="6" t="n">
        <v>10.92</v>
      </c>
      <c r="K787" s="6" t="n">
        <v>10.92</v>
      </c>
      <c r="L787" s="7">
        <f>IF(OR(D787="",N(J787)=0),"",MIN(1,N(K787)/J787))</f>
        <v/>
      </c>
      <c r="M787" s="5" t="n"/>
      <c r="N787" s="5" t="n"/>
      <c r="O787" s="5" t="n"/>
      <c r="P787" s="5" t="n"/>
      <c r="Q787" s="5" t="n"/>
      <c r="R787" s="4" t="n"/>
      <c r="S787" s="4" t="n"/>
      <c r="T787" s="5" t="n"/>
      <c r="U787" s="8">
        <f>IF(AND(V787=1,D787&lt;&gt;""),IF(D787&gt;=corte,TODAY()-D787,""),"")</f>
        <v/>
      </c>
      <c r="V787" s="8">
        <f>IF(D787="",0,IF(OR(AND(P787&lt;&gt;"",S787=""),AND(N(J787)&gt;0,N(K787)&lt;J787),OR(M787="PENDENTE",M787="PARCIAL"),OR(N787="PENDENTE",N787="PARCIAL")),1,0))</f>
        <v/>
      </c>
      <c r="W787" s="8">
        <f>IF(AND(V787=1,D787&lt;&gt;""),IF(D787&gt;=corte,(B787="CRÍTICO")*1E9+(100000-D787)*10000+10000-ROW(),""),"")</f>
        <v/>
      </c>
      <c r="X787" s="8">
        <f>IF(AND(V787=1,D787=pas_data,E787=pas_turno),10000-ROW(),"")</f>
        <v/>
      </c>
    </row>
    <row r="788">
      <c r="A788" s="3">
        <f>IF(D788="","","TT-"&amp;TEXT(ROW()-1,"00000"))</f>
        <v/>
      </c>
      <c r="B788" s="3">
        <f>IF(D788="","",IF(V788=0,"CONCLUÍDO",IF(D788&lt;corte,"HISTÓRICO",IF(OR(AND(ISNUMBER(R788),R788&lt;TODAY()),AND(OR(N788="PENDENTE",N788="PARCIAL"),D788&lt;TODAY()-1)),"CRÍTICO",IF(OR(AND(P788&lt;&gt;"",S788=""),AND(N788="REALIZADO",M788="PENDENTE"),AND(ISNUMBER(R788),R788=TODAY())),"ATENÇÃO",IF(N(K788)=0,"PENDENTE","EM ANDAMENTO"))))))</f>
        <v/>
      </c>
      <c r="C788" s="3">
        <f>IF(D788="","",IF(V788=0,"🟢 OK",IF(D788&lt;corte,"⚪ HISTÓRICO (sem baixa)",IF(AND(ISNUMBER(R788),R788&lt;TODAY()),"🔴 PRAZO VENCIDO",IF(AND(OR(N788="PENDENTE",N788="PARCIAL"),D788&lt;TODAY()-1),"🔴 EMBARQUE ATRASADO",IF(AND(N788="REALIZADO",M788="PENDENTE"),"🟡 EMBARCADO SEM FATURAR",IF(AND(P788&lt;&gt;"",S788="",OR(Q788="",R788="")),"🟡 PENDÊNCIA SEM RESPONSÁVEL/PRAZO",IF(AND(ISNUMBER(R788),R788=TODAY()),"🟡 VENCE HOJE",IF(AND(P788&lt;&gt;"",S788=""),"🟡 PENDÊNCIA ABERTA",IF(AND(N(J788)&gt;0,N(K788)&lt;J788),"🟡 FALTA EXECUTAR",IF(OR(M788="PENDENTE",M788="PARCIAL"),"🟡 FATURAMENTO PENDENTE","🟡 EMBARQUE PENDENTE")))))))))))</f>
        <v/>
      </c>
      <c r="D788" s="4" t="n">
        <v>46283</v>
      </c>
      <c r="E788" s="5" t="inlineStr">
        <is>
          <t>B</t>
        </is>
      </c>
      <c r="F788" s="5" t="inlineStr">
        <is>
          <t>THIAGO</t>
        </is>
      </c>
      <c r="G788" s="5" t="inlineStr">
        <is>
          <t>FM</t>
        </is>
      </c>
      <c r="H788" s="5" t="inlineStr">
        <is>
          <t>MAGNUN</t>
        </is>
      </c>
      <c r="I788" s="5" t="inlineStr">
        <is>
          <t>TON</t>
        </is>
      </c>
      <c r="J788" s="6" t="n">
        <v>12.253</v>
      </c>
      <c r="K788" s="6" t="n">
        <v>12.253</v>
      </c>
      <c r="L788" s="7">
        <f>IF(OR(D788="",N(J788)=0),"",MIN(1,N(K788)/J788))</f>
        <v/>
      </c>
      <c r="M788" s="5" t="n"/>
      <c r="N788" s="5" t="n"/>
      <c r="O788" s="5" t="n"/>
      <c r="P788" s="5" t="n"/>
      <c r="Q788" s="5" t="n"/>
      <c r="R788" s="4" t="n"/>
      <c r="S788" s="4" t="n"/>
      <c r="T788" s="5" t="n"/>
      <c r="U788" s="8">
        <f>IF(AND(V788=1,D788&lt;&gt;""),IF(D788&gt;=corte,TODAY()-D788,""),"")</f>
        <v/>
      </c>
      <c r="V788" s="8">
        <f>IF(D788="",0,IF(OR(AND(P788&lt;&gt;"",S788=""),AND(N(J788)&gt;0,N(K788)&lt;J788),OR(M788="PENDENTE",M788="PARCIAL"),OR(N788="PENDENTE",N788="PARCIAL")),1,0))</f>
        <v/>
      </c>
      <c r="W788" s="8">
        <f>IF(AND(V788=1,D788&lt;&gt;""),IF(D788&gt;=corte,(B788="CRÍTICO")*1E9+(100000-D788)*10000+10000-ROW(),""),"")</f>
        <v/>
      </c>
      <c r="X788" s="8">
        <f>IF(AND(V788=1,D788=pas_data,E788=pas_turno),10000-ROW(),"")</f>
        <v/>
      </c>
    </row>
    <row r="789">
      <c r="A789" s="3">
        <f>IF(D789="","","TT-"&amp;TEXT(ROW()-1,"00000"))</f>
        <v/>
      </c>
      <c r="B789" s="3">
        <f>IF(D789="","",IF(V789=0,"CONCLUÍDO",IF(D789&lt;corte,"HISTÓRICO",IF(OR(AND(ISNUMBER(R789),R789&lt;TODAY()),AND(OR(N789="PENDENTE",N789="PARCIAL"),D789&lt;TODAY()-1)),"CRÍTICO",IF(OR(AND(P789&lt;&gt;"",S789=""),AND(N789="REALIZADO",M789="PENDENTE"),AND(ISNUMBER(R789),R789=TODAY())),"ATENÇÃO",IF(N(K789)=0,"PENDENTE","EM ANDAMENTO"))))))</f>
        <v/>
      </c>
      <c r="C789" s="3">
        <f>IF(D789="","",IF(V789=0,"🟢 OK",IF(D789&lt;corte,"⚪ HISTÓRICO (sem baixa)",IF(AND(ISNUMBER(R789),R789&lt;TODAY()),"🔴 PRAZO VENCIDO",IF(AND(OR(N789="PENDENTE",N789="PARCIAL"),D789&lt;TODAY()-1),"🔴 EMBARQUE ATRASADO",IF(AND(N789="REALIZADO",M789="PENDENTE"),"🟡 EMBARCADO SEM FATURAR",IF(AND(P789&lt;&gt;"",S789="",OR(Q789="",R789="")),"🟡 PENDÊNCIA SEM RESPONSÁVEL/PRAZO",IF(AND(ISNUMBER(R789),R789=TODAY()),"🟡 VENCE HOJE",IF(AND(P789&lt;&gt;"",S789=""),"🟡 PENDÊNCIA ABERTA",IF(AND(N(J789)&gt;0,N(K789)&lt;J789),"🟡 FALTA EXECUTAR",IF(OR(M789="PENDENTE",M789="PARCIAL"),"🟡 FATURAMENTO PENDENTE","🟡 EMBARQUE PENDENTE")))))))))))</f>
        <v/>
      </c>
      <c r="D789" s="4" t="n">
        <v>46283</v>
      </c>
      <c r="E789" s="5" t="inlineStr">
        <is>
          <t>B</t>
        </is>
      </c>
      <c r="F789" s="5" t="inlineStr">
        <is>
          <t>THIAGO</t>
        </is>
      </c>
      <c r="G789" s="5" t="inlineStr">
        <is>
          <t>CACAU</t>
        </is>
      </c>
      <c r="H789" s="5" t="n"/>
      <c r="I789" s="5" t="inlineStr">
        <is>
          <t>TON</t>
        </is>
      </c>
      <c r="J789" s="6" t="n">
        <v>1.3</v>
      </c>
      <c r="K789" s="6" t="n">
        <v>1.3</v>
      </c>
      <c r="L789" s="7">
        <f>IF(OR(D789="",N(J789)=0),"",MIN(1,N(K789)/J789))</f>
        <v/>
      </c>
      <c r="M789" s="5" t="n"/>
      <c r="N789" s="5" t="n"/>
      <c r="O789" s="5" t="n"/>
      <c r="P789" s="5" t="n"/>
      <c r="Q789" s="5" t="n"/>
      <c r="R789" s="4" t="n"/>
      <c r="S789" s="4" t="n"/>
      <c r="T789" s="5" t="n"/>
      <c r="U789" s="8">
        <f>IF(AND(V789=1,D789&lt;&gt;""),IF(D789&gt;=corte,TODAY()-D789,""),"")</f>
        <v/>
      </c>
      <c r="V789" s="8">
        <f>IF(D789="",0,IF(OR(AND(P789&lt;&gt;"",S789=""),AND(N(J789)&gt;0,N(K789)&lt;J789),OR(M789="PENDENTE",M789="PARCIAL"),OR(N789="PENDENTE",N789="PARCIAL")),1,0))</f>
        <v/>
      </c>
      <c r="W789" s="8">
        <f>IF(AND(V789=1,D789&lt;&gt;""),IF(D789&gt;=corte,(B789="CRÍTICO")*1E9+(100000-D789)*10000+10000-ROW(),""),"")</f>
        <v/>
      </c>
      <c r="X789" s="8">
        <f>IF(AND(V789=1,D789=pas_data,E789=pas_turno),10000-ROW(),"")</f>
        <v/>
      </c>
    </row>
    <row r="790">
      <c r="A790" s="3">
        <f>IF(D790="","","TT-"&amp;TEXT(ROW()-1,"00000"))</f>
        <v/>
      </c>
      <c r="B790" s="3">
        <f>IF(D790="","",IF(V790=0,"CONCLUÍDO",IF(D790&lt;corte,"HISTÓRICO",IF(OR(AND(ISNUMBER(R790),R790&lt;TODAY()),AND(OR(N790="PENDENTE",N790="PARCIAL"),D790&lt;TODAY()-1)),"CRÍTICO",IF(OR(AND(P790&lt;&gt;"",S790=""),AND(N790="REALIZADO",M790="PENDENTE"),AND(ISNUMBER(R790),R790=TODAY())),"ATENÇÃO",IF(N(K790)=0,"PENDENTE","EM ANDAMENTO"))))))</f>
        <v/>
      </c>
      <c r="C790" s="3">
        <f>IF(D790="","",IF(V790=0,"🟢 OK",IF(D790&lt;corte,"⚪ HISTÓRICO (sem baixa)",IF(AND(ISNUMBER(R790),R790&lt;TODAY()),"🔴 PRAZO VENCIDO",IF(AND(OR(N790="PENDENTE",N790="PARCIAL"),D790&lt;TODAY()-1),"🔴 EMBARQUE ATRASADO",IF(AND(N790="REALIZADO",M790="PENDENTE"),"🟡 EMBARCADO SEM FATURAR",IF(AND(P790&lt;&gt;"",S790="",OR(Q790="",R790="")),"🟡 PENDÊNCIA SEM RESPONSÁVEL/PRAZO",IF(AND(ISNUMBER(R790),R790=TODAY()),"🟡 VENCE HOJE",IF(AND(P790&lt;&gt;"",S790=""),"🟡 PENDÊNCIA ABERTA",IF(AND(N(J790)&gt;0,N(K790)&lt;J790),"🟡 FALTA EXECUTAR",IF(OR(M790="PENDENTE",M790="PARCIAL"),"🟡 FATURAMENTO PENDENTE","🟡 EMBARQUE PENDENTE")))))))))))</f>
        <v/>
      </c>
      <c r="D790" s="4" t="n">
        <v>46283</v>
      </c>
      <c r="E790" s="5" t="inlineStr">
        <is>
          <t>B</t>
        </is>
      </c>
      <c r="F790" s="5" t="inlineStr">
        <is>
          <t>THIAGO</t>
        </is>
      </c>
      <c r="G790" s="5" t="inlineStr">
        <is>
          <t>FLOOR</t>
        </is>
      </c>
      <c r="H790" s="5" t="inlineStr">
        <is>
          <t>ARMAZENAMENTO</t>
        </is>
      </c>
      <c r="I790" s="5" t="inlineStr">
        <is>
          <t>PALETE</t>
        </is>
      </c>
      <c r="J790" s="6" t="n">
        <v>79</v>
      </c>
      <c r="K790" s="6" t="n">
        <v>79</v>
      </c>
      <c r="L790" s="7">
        <f>IF(OR(D790="",N(J790)=0),"",MIN(1,N(K790)/J790))</f>
        <v/>
      </c>
      <c r="M790" s="5" t="n"/>
      <c r="N790" s="5" t="n"/>
      <c r="O790" s="5" t="n"/>
      <c r="P790" s="5" t="n"/>
      <c r="Q790" s="5" t="n"/>
      <c r="R790" s="4" t="n"/>
      <c r="S790" s="4" t="n"/>
      <c r="T790" s="5" t="inlineStr">
        <is>
          <t>[MIGRAÇÃO: programação original: FLOOR/ CACAU]</t>
        </is>
      </c>
      <c r="U790" s="8">
        <f>IF(AND(V790=1,D790&lt;&gt;""),IF(D790&gt;=corte,TODAY()-D790,""),"")</f>
        <v/>
      </c>
      <c r="V790" s="8">
        <f>IF(D790="",0,IF(OR(AND(P790&lt;&gt;"",S790=""),AND(N(J790)&gt;0,N(K790)&lt;J790),OR(M790="PENDENTE",M790="PARCIAL"),OR(N790="PENDENTE",N790="PARCIAL")),1,0))</f>
        <v/>
      </c>
      <c r="W790" s="8">
        <f>IF(AND(V790=1,D790&lt;&gt;""),IF(D790&gt;=corte,(B790="CRÍTICO")*1E9+(100000-D790)*10000+10000-ROW(),""),"")</f>
        <v/>
      </c>
      <c r="X790" s="8">
        <f>IF(AND(V790=1,D790=pas_data,E790=pas_turno),10000-ROW(),"")</f>
        <v/>
      </c>
    </row>
    <row r="791">
      <c r="A791" s="3">
        <f>IF(D791="","","TT-"&amp;TEXT(ROW()-1,"00000"))</f>
        <v/>
      </c>
      <c r="B791" s="3">
        <f>IF(D791="","",IF(V791=0,"CONCLUÍDO",IF(D791&lt;corte,"HISTÓRICO",IF(OR(AND(ISNUMBER(R791),R791&lt;TODAY()),AND(OR(N791="PENDENTE",N791="PARCIAL"),D791&lt;TODAY()-1)),"CRÍTICO",IF(OR(AND(P791&lt;&gt;"",S791=""),AND(N791="REALIZADO",M791="PENDENTE"),AND(ISNUMBER(R791),R791=TODAY())),"ATENÇÃO",IF(N(K791)=0,"PENDENTE","EM ANDAMENTO"))))))</f>
        <v/>
      </c>
      <c r="C791" s="3">
        <f>IF(D791="","",IF(V791=0,"🟢 OK",IF(D791&lt;corte,"⚪ HISTÓRICO (sem baixa)",IF(AND(ISNUMBER(R791),R791&lt;TODAY()),"🔴 PRAZO VENCIDO",IF(AND(OR(N791="PENDENTE",N791="PARCIAL"),D791&lt;TODAY()-1),"🔴 EMBARQUE ATRASADO",IF(AND(N791="REALIZADO",M791="PENDENTE"),"🟡 EMBARCADO SEM FATURAR",IF(AND(P791&lt;&gt;"",S791="",OR(Q791="",R791="")),"🟡 PENDÊNCIA SEM RESPONSÁVEL/PRAZO",IF(AND(ISNUMBER(R791),R791=TODAY()),"🟡 VENCE HOJE",IF(AND(P791&lt;&gt;"",S791=""),"🟡 PENDÊNCIA ABERTA",IF(AND(N(J791)&gt;0,N(K791)&lt;J791),"🟡 FALTA EXECUTAR",IF(OR(M791="PENDENTE",M791="PARCIAL"),"🟡 FATURAMENTO PENDENTE","🟡 EMBARQUE PENDENTE")))))))))))</f>
        <v/>
      </c>
      <c r="D791" s="4" t="n">
        <v>46283</v>
      </c>
      <c r="E791" s="5" t="inlineStr">
        <is>
          <t>B</t>
        </is>
      </c>
      <c r="F791" s="5" t="inlineStr">
        <is>
          <t>THIAGO</t>
        </is>
      </c>
      <c r="G791" s="5" t="inlineStr">
        <is>
          <t>GM</t>
        </is>
      </c>
      <c r="H791" s="5" t="inlineStr">
        <is>
          <t>RS</t>
        </is>
      </c>
      <c r="I791" s="5" t="inlineStr">
        <is>
          <t>TON</t>
        </is>
      </c>
      <c r="J791" s="6" t="n">
        <v>10.621</v>
      </c>
      <c r="K791" s="6" t="n">
        <v>10.621</v>
      </c>
      <c r="L791" s="7">
        <f>IF(OR(D791="",N(J791)=0),"",MIN(1,N(K791)/J791))</f>
        <v/>
      </c>
      <c r="M791" s="5" t="n"/>
      <c r="N791" s="5" t="n"/>
      <c r="O791" s="5" t="n"/>
      <c r="P791" s="5" t="n"/>
      <c r="Q791" s="5" t="n"/>
      <c r="R791" s="4" t="n"/>
      <c r="S791" s="4" t="n"/>
      <c r="T791" s="5" t="inlineStr">
        <is>
          <t>[MIGRAÇÃO: programação original: SUL]</t>
        </is>
      </c>
      <c r="U791" s="8">
        <f>IF(AND(V791=1,D791&lt;&gt;""),IF(D791&gt;=corte,TODAY()-D791,""),"")</f>
        <v/>
      </c>
      <c r="V791" s="8">
        <f>IF(D791="",0,IF(OR(AND(P791&lt;&gt;"",S791=""),AND(N(J791)&gt;0,N(K791)&lt;J791),OR(M791="PENDENTE",M791="PARCIAL"),OR(N791="PENDENTE",N791="PARCIAL")),1,0))</f>
        <v/>
      </c>
      <c r="W791" s="8">
        <f>IF(AND(V791=1,D791&lt;&gt;""),IF(D791&gt;=corte,(B791="CRÍTICO")*1E9+(100000-D791)*10000+10000-ROW(),""),"")</f>
        <v/>
      </c>
      <c r="X791" s="8">
        <f>IF(AND(V791=1,D791=pas_data,E791=pas_turno),10000-ROW(),"")</f>
        <v/>
      </c>
    </row>
    <row r="792">
      <c r="A792" s="3">
        <f>IF(D792="","","TT-"&amp;TEXT(ROW()-1,"00000"))</f>
        <v/>
      </c>
      <c r="B792" s="3">
        <f>IF(D792="","",IF(V792=0,"CONCLUÍDO",IF(D792&lt;corte,"HISTÓRICO",IF(OR(AND(ISNUMBER(R792),R792&lt;TODAY()),AND(OR(N792="PENDENTE",N792="PARCIAL"),D792&lt;TODAY()-1)),"CRÍTICO",IF(OR(AND(P792&lt;&gt;"",S792=""),AND(N792="REALIZADO",M792="PENDENTE"),AND(ISNUMBER(R792),R792=TODAY())),"ATENÇÃO",IF(N(K792)=0,"PENDENTE","EM ANDAMENTO"))))))</f>
        <v/>
      </c>
      <c r="C792" s="3">
        <f>IF(D792="","",IF(V792=0,"🟢 OK",IF(D792&lt;corte,"⚪ HISTÓRICO (sem baixa)",IF(AND(ISNUMBER(R792),R792&lt;TODAY()),"🔴 PRAZO VENCIDO",IF(AND(OR(N792="PENDENTE",N792="PARCIAL"),D792&lt;TODAY()-1),"🔴 EMBARQUE ATRASADO",IF(AND(N792="REALIZADO",M792="PENDENTE"),"🟡 EMBARCADO SEM FATURAR",IF(AND(P792&lt;&gt;"",S792="",OR(Q792="",R792="")),"🟡 PENDÊNCIA SEM RESPONSÁVEL/PRAZO",IF(AND(ISNUMBER(R792),R792=TODAY()),"🟡 VENCE HOJE",IF(AND(P792&lt;&gt;"",S792=""),"🟡 PENDÊNCIA ABERTA",IF(AND(N(J792)&gt;0,N(K792)&lt;J792),"🟡 FALTA EXECUTAR",IF(OR(M792="PENDENTE",M792="PARCIAL"),"🟡 FATURAMENTO PENDENTE","🟡 EMBARQUE PENDENTE")))))))))))</f>
        <v/>
      </c>
      <c r="D792" s="4" t="n">
        <v>46284</v>
      </c>
      <c r="E792" s="5" t="inlineStr">
        <is>
          <t>B</t>
        </is>
      </c>
      <c r="F792" s="5" t="inlineStr">
        <is>
          <t>THIAGO</t>
        </is>
      </c>
      <c r="G792" s="5" t="inlineStr">
        <is>
          <t>FM</t>
        </is>
      </c>
      <c r="H792" s="5" t="inlineStr">
        <is>
          <t>SORVETE JUNDIA</t>
        </is>
      </c>
      <c r="I792" s="5" t="inlineStr">
        <is>
          <t>TON</t>
        </is>
      </c>
      <c r="J792" s="6" t="n">
        <v>12</v>
      </c>
      <c r="K792" s="6" t="n">
        <v>12</v>
      </c>
      <c r="L792" s="7">
        <f>IF(OR(D792="",N(J792)=0),"",MIN(1,N(K792)/J792))</f>
        <v/>
      </c>
      <c r="M792" s="5" t="n"/>
      <c r="N792" s="5" t="n"/>
      <c r="O792" s="5" t="n"/>
      <c r="P792" s="5" t="n"/>
      <c r="Q792" s="5" t="n"/>
      <c r="R792" s="4" t="n"/>
      <c r="S792" s="4" t="n"/>
      <c r="T792" s="5" t="n"/>
      <c r="U792" s="8">
        <f>IF(AND(V792=1,D792&lt;&gt;""),IF(D792&gt;=corte,TODAY()-D792,""),"")</f>
        <v/>
      </c>
      <c r="V792" s="8">
        <f>IF(D792="",0,IF(OR(AND(P792&lt;&gt;"",S792=""),AND(N(J792)&gt;0,N(K792)&lt;J792),OR(M792="PENDENTE",M792="PARCIAL"),OR(N792="PENDENTE",N792="PARCIAL")),1,0))</f>
        <v/>
      </c>
      <c r="W792" s="8">
        <f>IF(AND(V792=1,D792&lt;&gt;""),IF(D792&gt;=corte,(B792="CRÍTICO")*1E9+(100000-D792)*10000+10000-ROW(),""),"")</f>
        <v/>
      </c>
      <c r="X792" s="8">
        <f>IF(AND(V792=1,D792=pas_data,E792=pas_turno),10000-ROW(),"")</f>
        <v/>
      </c>
    </row>
    <row r="793">
      <c r="A793" s="3">
        <f>IF(D793="","","TT-"&amp;TEXT(ROW()-1,"00000"))</f>
        <v/>
      </c>
      <c r="B793" s="3">
        <f>IF(D793="","",IF(V793=0,"CONCLUÍDO",IF(D793&lt;corte,"HISTÓRICO",IF(OR(AND(ISNUMBER(R793),R793&lt;TODAY()),AND(OR(N793="PENDENTE",N793="PARCIAL"),D793&lt;TODAY()-1)),"CRÍTICO",IF(OR(AND(P793&lt;&gt;"",S793=""),AND(N793="REALIZADO",M793="PENDENTE"),AND(ISNUMBER(R793),R793=TODAY())),"ATENÇÃO",IF(N(K793)=0,"PENDENTE","EM ANDAMENTO"))))))</f>
        <v/>
      </c>
      <c r="C793" s="3">
        <f>IF(D793="","",IF(V793=0,"🟢 OK",IF(D793&lt;corte,"⚪ HISTÓRICO (sem baixa)",IF(AND(ISNUMBER(R793),R793&lt;TODAY()),"🔴 PRAZO VENCIDO",IF(AND(OR(N793="PENDENTE",N793="PARCIAL"),D793&lt;TODAY()-1),"🔴 EMBARQUE ATRASADO",IF(AND(N793="REALIZADO",M793="PENDENTE"),"🟡 EMBARCADO SEM FATURAR",IF(AND(P793&lt;&gt;"",S793="",OR(Q793="",R793="")),"🟡 PENDÊNCIA SEM RESPONSÁVEL/PRAZO",IF(AND(ISNUMBER(R793),R793=TODAY()),"🟡 VENCE HOJE",IF(AND(P793&lt;&gt;"",S793=""),"🟡 PENDÊNCIA ABERTA",IF(AND(N(J793)&gt;0,N(K793)&lt;J793),"🟡 FALTA EXECUTAR",IF(OR(M793="PENDENTE",M793="PARCIAL"),"🟡 FATURAMENTO PENDENTE","🟡 EMBARQUE PENDENTE")))))))))))</f>
        <v/>
      </c>
      <c r="D793" s="4" t="n">
        <v>46284</v>
      </c>
      <c r="E793" s="5" t="inlineStr">
        <is>
          <t>B</t>
        </is>
      </c>
      <c r="F793" s="5" t="inlineStr">
        <is>
          <t>THIAGO</t>
        </is>
      </c>
      <c r="G793" s="5" t="inlineStr">
        <is>
          <t>FM</t>
        </is>
      </c>
      <c r="H793" s="5" t="inlineStr">
        <is>
          <t>PANDURATA ALIMENTOS LTDA</t>
        </is>
      </c>
      <c r="I793" s="5" t="inlineStr">
        <is>
          <t>TON</t>
        </is>
      </c>
      <c r="J793" s="6" t="n">
        <v>28.054</v>
      </c>
      <c r="K793" s="6" t="n">
        <v>28.054</v>
      </c>
      <c r="L793" s="7">
        <f>IF(OR(D793="",N(J793)=0),"",MIN(1,N(K793)/J793))</f>
        <v/>
      </c>
      <c r="M793" s="5" t="n"/>
      <c r="N793" s="5" t="n"/>
      <c r="O793" s="5" t="n"/>
      <c r="P793" s="5" t="n"/>
      <c r="Q793" s="5" t="n"/>
      <c r="R793" s="4" t="n"/>
      <c r="S793" s="4" t="n"/>
      <c r="T793" s="5" t="n"/>
      <c r="U793" s="8">
        <f>IF(AND(V793=1,D793&lt;&gt;""),IF(D793&gt;=corte,TODAY()-D793,""),"")</f>
        <v/>
      </c>
      <c r="V793" s="8">
        <f>IF(D793="",0,IF(OR(AND(P793&lt;&gt;"",S793=""),AND(N(J793)&gt;0,N(K793)&lt;J793),OR(M793="PENDENTE",M793="PARCIAL"),OR(N793="PENDENTE",N793="PARCIAL")),1,0))</f>
        <v/>
      </c>
      <c r="W793" s="8">
        <f>IF(AND(V793=1,D793&lt;&gt;""),IF(D793&gt;=corte,(B793="CRÍTICO")*1E9+(100000-D793)*10000+10000-ROW(),""),"")</f>
        <v/>
      </c>
      <c r="X793" s="8">
        <f>IF(AND(V793=1,D793=pas_data,E793=pas_turno),10000-ROW(),"")</f>
        <v/>
      </c>
    </row>
    <row r="794">
      <c r="A794" s="3">
        <f>IF(D794="","","TT-"&amp;TEXT(ROW()-1,"00000"))</f>
        <v/>
      </c>
      <c r="B794" s="3">
        <f>IF(D794="","",IF(V794=0,"CONCLUÍDO",IF(D794&lt;corte,"HISTÓRICO",IF(OR(AND(ISNUMBER(R794),R794&lt;TODAY()),AND(OR(N794="PENDENTE",N794="PARCIAL"),D794&lt;TODAY()-1)),"CRÍTICO",IF(OR(AND(P794&lt;&gt;"",S794=""),AND(N794="REALIZADO",M794="PENDENTE"),AND(ISNUMBER(R794),R794=TODAY())),"ATENÇÃO",IF(N(K794)=0,"PENDENTE","EM ANDAMENTO"))))))</f>
        <v/>
      </c>
      <c r="C794" s="3">
        <f>IF(D794="","",IF(V794=0,"🟢 OK",IF(D794&lt;corte,"⚪ HISTÓRICO (sem baixa)",IF(AND(ISNUMBER(R794),R794&lt;TODAY()),"🔴 PRAZO VENCIDO",IF(AND(OR(N794="PENDENTE",N794="PARCIAL"),D794&lt;TODAY()-1),"🔴 EMBARQUE ATRASADO",IF(AND(N794="REALIZADO",M794="PENDENTE"),"🟡 EMBARCADO SEM FATURAR",IF(AND(P794&lt;&gt;"",S794="",OR(Q794="",R794="")),"🟡 PENDÊNCIA SEM RESPONSÁVEL/PRAZO",IF(AND(ISNUMBER(R794),R794=TODAY()),"🟡 VENCE HOJE",IF(AND(P794&lt;&gt;"",S794=""),"🟡 PENDÊNCIA ABERTA",IF(AND(N(J794)&gt;0,N(K794)&lt;J794),"🟡 FALTA EXECUTAR",IF(OR(M794="PENDENTE",M794="PARCIAL"),"🟡 FATURAMENTO PENDENTE","🟡 EMBARQUE PENDENTE")))))))))))</f>
        <v/>
      </c>
      <c r="D794" s="4" t="n">
        <v>46284</v>
      </c>
      <c r="E794" s="5" t="inlineStr">
        <is>
          <t>B</t>
        </is>
      </c>
      <c r="F794" s="5" t="inlineStr">
        <is>
          <t>THIAGO</t>
        </is>
      </c>
      <c r="G794" s="5" t="inlineStr">
        <is>
          <t>FOB</t>
        </is>
      </c>
      <c r="H794" s="5" t="inlineStr">
        <is>
          <t>TTF</t>
        </is>
      </c>
      <c r="I794" s="5" t="inlineStr">
        <is>
          <t>TON</t>
        </is>
      </c>
      <c r="J794" s="6" t="n">
        <v>10.911</v>
      </c>
      <c r="K794" s="6" t="n">
        <v>10.911</v>
      </c>
      <c r="L794" s="7">
        <f>IF(OR(D794="",N(J794)=0),"",MIN(1,N(K794)/J794))</f>
        <v/>
      </c>
      <c r="M794" s="5" t="n"/>
      <c r="N794" s="5" t="n"/>
      <c r="O794" s="5" t="n"/>
      <c r="P794" s="5" t="n"/>
      <c r="Q794" s="5" t="n"/>
      <c r="R794" s="4" t="n"/>
      <c r="S794" s="4" t="n"/>
      <c r="T794" s="5" t="n"/>
      <c r="U794" s="8">
        <f>IF(AND(V794=1,D794&lt;&gt;""),IF(D794&gt;=corte,TODAY()-D794,""),"")</f>
        <v/>
      </c>
      <c r="V794" s="8">
        <f>IF(D794="",0,IF(OR(AND(P794&lt;&gt;"",S794=""),AND(N(J794)&gt;0,N(K794)&lt;J794),OR(M794="PENDENTE",M794="PARCIAL"),OR(N794="PENDENTE",N794="PARCIAL")),1,0))</f>
        <v/>
      </c>
      <c r="W794" s="8">
        <f>IF(AND(V794=1,D794&lt;&gt;""),IF(D794&gt;=corte,(B794="CRÍTICO")*1E9+(100000-D794)*10000+10000-ROW(),""),"")</f>
        <v/>
      </c>
      <c r="X794" s="8">
        <f>IF(AND(V794=1,D794=pas_data,E794=pas_turno),10000-ROW(),"")</f>
        <v/>
      </c>
    </row>
    <row r="795">
      <c r="A795" s="3">
        <f>IF(D795="","","TT-"&amp;TEXT(ROW()-1,"00000"))</f>
        <v/>
      </c>
      <c r="B795" s="3">
        <f>IF(D795="","",IF(V795=0,"CONCLUÍDO",IF(D795&lt;corte,"HISTÓRICO",IF(OR(AND(ISNUMBER(R795),R795&lt;TODAY()),AND(OR(N795="PENDENTE",N795="PARCIAL"),D795&lt;TODAY()-1)),"CRÍTICO",IF(OR(AND(P795&lt;&gt;"",S795=""),AND(N795="REALIZADO",M795="PENDENTE"),AND(ISNUMBER(R795),R795=TODAY())),"ATENÇÃO",IF(N(K795)=0,"PENDENTE","EM ANDAMENTO"))))))</f>
        <v/>
      </c>
      <c r="C795" s="3">
        <f>IF(D795="","",IF(V795=0,"🟢 OK",IF(D795&lt;corte,"⚪ HISTÓRICO (sem baixa)",IF(AND(ISNUMBER(R795),R795&lt;TODAY()),"🔴 PRAZO VENCIDO",IF(AND(OR(N795="PENDENTE",N795="PARCIAL"),D795&lt;TODAY()-1),"🔴 EMBARQUE ATRASADO",IF(AND(N795="REALIZADO",M795="PENDENTE"),"🟡 EMBARCADO SEM FATURAR",IF(AND(P795&lt;&gt;"",S795="",OR(Q795="",R795="")),"🟡 PENDÊNCIA SEM RESPONSÁVEL/PRAZO",IF(AND(ISNUMBER(R795),R795=TODAY()),"🟡 VENCE HOJE",IF(AND(P795&lt;&gt;"",S795=""),"🟡 PENDÊNCIA ABERTA",IF(AND(N(J795)&gt;0,N(K795)&lt;J795),"🟡 FALTA EXECUTAR",IF(OR(M795="PENDENTE",M795="PARCIAL"),"🟡 FATURAMENTO PENDENTE","🟡 EMBARQUE PENDENTE")))))))))))</f>
        <v/>
      </c>
      <c r="D795" s="4" t="n">
        <v>46284</v>
      </c>
      <c r="E795" s="5" t="inlineStr">
        <is>
          <t>B</t>
        </is>
      </c>
      <c r="F795" s="5" t="inlineStr">
        <is>
          <t>THIAGO</t>
        </is>
      </c>
      <c r="G795" s="5" t="inlineStr">
        <is>
          <t>CACAU</t>
        </is>
      </c>
      <c r="H795" s="5" t="inlineStr">
        <is>
          <t>CACAU</t>
        </is>
      </c>
      <c r="I795" s="5" t="inlineStr">
        <is>
          <t>TON</t>
        </is>
      </c>
      <c r="J795" s="6" t="n">
        <v>15.52</v>
      </c>
      <c r="K795" s="6" t="n">
        <v>15.52</v>
      </c>
      <c r="L795" s="7">
        <f>IF(OR(D795="",N(J795)=0),"",MIN(1,N(K795)/J795))</f>
        <v/>
      </c>
      <c r="M795" s="5" t="n"/>
      <c r="N795" s="5" t="n"/>
      <c r="O795" s="5" t="n"/>
      <c r="P795" s="5" t="n"/>
      <c r="Q795" s="5" t="n"/>
      <c r="R795" s="4" t="n"/>
      <c r="S795" s="4" t="n"/>
      <c r="T795" s="5" t="n"/>
      <c r="U795" s="8">
        <f>IF(AND(V795=1,D795&lt;&gt;""),IF(D795&gt;=corte,TODAY()-D795,""),"")</f>
        <v/>
      </c>
      <c r="V795" s="8">
        <f>IF(D795="",0,IF(OR(AND(P795&lt;&gt;"",S795=""),AND(N(J795)&gt;0,N(K795)&lt;J795),OR(M795="PENDENTE",M795="PARCIAL"),OR(N795="PENDENTE",N795="PARCIAL")),1,0))</f>
        <v/>
      </c>
      <c r="W795" s="8">
        <f>IF(AND(V795=1,D795&lt;&gt;""),IF(D795&gt;=corte,(B795="CRÍTICO")*1E9+(100000-D795)*10000+10000-ROW(),""),"")</f>
        <v/>
      </c>
      <c r="X795" s="8">
        <f>IF(AND(V795=1,D795=pas_data,E795=pas_turno),10000-ROW(),"")</f>
        <v/>
      </c>
    </row>
    <row r="796">
      <c r="A796" s="3">
        <f>IF(D796="","","TT-"&amp;TEXT(ROW()-1,"00000"))</f>
        <v/>
      </c>
      <c r="B796" s="3">
        <f>IF(D796="","",IF(V796=0,"CONCLUÍDO",IF(D796&lt;corte,"HISTÓRICO",IF(OR(AND(ISNUMBER(R796),R796&lt;TODAY()),AND(OR(N796="PENDENTE",N796="PARCIAL"),D796&lt;TODAY()-1)),"CRÍTICO",IF(OR(AND(P796&lt;&gt;"",S796=""),AND(N796="REALIZADO",M796="PENDENTE"),AND(ISNUMBER(R796),R796=TODAY())),"ATENÇÃO",IF(N(K796)=0,"PENDENTE","EM ANDAMENTO"))))))</f>
        <v/>
      </c>
      <c r="C796" s="3">
        <f>IF(D796="","",IF(V796=0,"🟢 OK",IF(D796&lt;corte,"⚪ HISTÓRICO (sem baixa)",IF(AND(ISNUMBER(R796),R796&lt;TODAY()),"🔴 PRAZO VENCIDO",IF(AND(OR(N796="PENDENTE",N796="PARCIAL"),D796&lt;TODAY()-1),"🔴 EMBARQUE ATRASADO",IF(AND(N796="REALIZADO",M796="PENDENTE"),"🟡 EMBARCADO SEM FATURAR",IF(AND(P796&lt;&gt;"",S796="",OR(Q796="",R796="")),"🟡 PENDÊNCIA SEM RESPONSÁVEL/PRAZO",IF(AND(ISNUMBER(R796),R796=TODAY()),"🟡 VENCE HOJE",IF(AND(P796&lt;&gt;"",S796=""),"🟡 PENDÊNCIA ABERTA",IF(AND(N(J796)&gt;0,N(K796)&lt;J796),"🟡 FALTA EXECUTAR",IF(OR(M796="PENDENTE",M796="PARCIAL"),"🟡 FATURAMENTO PENDENTE","🟡 EMBARQUE PENDENTE")))))))))))</f>
        <v/>
      </c>
      <c r="D796" s="4" t="n">
        <v>46284</v>
      </c>
      <c r="E796" s="5" t="inlineStr">
        <is>
          <t>B</t>
        </is>
      </c>
      <c r="F796" s="5" t="inlineStr">
        <is>
          <t>THIAGO</t>
        </is>
      </c>
      <c r="G796" s="5" t="n"/>
      <c r="H796" s="5" t="inlineStr">
        <is>
          <t>SMT</t>
        </is>
      </c>
      <c r="I796" s="5" t="inlineStr">
        <is>
          <t>TON</t>
        </is>
      </c>
      <c r="J796" s="6" t="n">
        <v>15.947</v>
      </c>
      <c r="K796" s="6" t="n">
        <v>15.947</v>
      </c>
      <c r="L796" s="7">
        <f>IF(OR(D796="",N(J796)=0),"",MIN(1,N(K796)/J796))</f>
        <v/>
      </c>
      <c r="M796" s="5" t="n"/>
      <c r="N796" s="5" t="n"/>
      <c r="O796" s="5" t="n"/>
      <c r="P796" s="5" t="n"/>
      <c r="Q796" s="5" t="n"/>
      <c r="R796" s="4" t="n"/>
      <c r="S796" s="4" t="n"/>
      <c r="T796" s="5" t="n"/>
      <c r="U796" s="8">
        <f>IF(AND(V796=1,D796&lt;&gt;""),IF(D796&gt;=corte,TODAY()-D796,""),"")</f>
        <v/>
      </c>
      <c r="V796" s="8">
        <f>IF(D796="",0,IF(OR(AND(P796&lt;&gt;"",S796=""),AND(N(J796)&gt;0,N(K796)&lt;J796),OR(M796="PENDENTE",M796="PARCIAL"),OR(N796="PENDENTE",N796="PARCIAL")),1,0))</f>
        <v/>
      </c>
      <c r="W796" s="8">
        <f>IF(AND(V796=1,D796&lt;&gt;""),IF(D796&gt;=corte,(B796="CRÍTICO")*1E9+(100000-D796)*10000+10000-ROW(),""),"")</f>
        <v/>
      </c>
      <c r="X796" s="8">
        <f>IF(AND(V796=1,D796=pas_data,E796=pas_turno),10000-ROW(),"")</f>
        <v/>
      </c>
    </row>
    <row r="797">
      <c r="A797" s="3">
        <f>IF(D797="","","TT-"&amp;TEXT(ROW()-1,"00000"))</f>
        <v/>
      </c>
      <c r="B797" s="3">
        <f>IF(D797="","",IF(V797=0,"CONCLUÍDO",IF(D797&lt;corte,"HISTÓRICO",IF(OR(AND(ISNUMBER(R797),R797&lt;TODAY()),AND(OR(N797="PENDENTE",N797="PARCIAL"),D797&lt;TODAY()-1)),"CRÍTICO",IF(OR(AND(P797&lt;&gt;"",S797=""),AND(N797="REALIZADO",M797="PENDENTE"),AND(ISNUMBER(R797),R797=TODAY())),"ATENÇÃO",IF(N(K797)=0,"PENDENTE","EM ANDAMENTO"))))))</f>
        <v/>
      </c>
      <c r="C797" s="3">
        <f>IF(D797="","",IF(V797=0,"🟢 OK",IF(D797&lt;corte,"⚪ HISTÓRICO (sem baixa)",IF(AND(ISNUMBER(R797),R797&lt;TODAY()),"🔴 PRAZO VENCIDO",IF(AND(OR(N797="PENDENTE",N797="PARCIAL"),D797&lt;TODAY()-1),"🔴 EMBARQUE ATRASADO",IF(AND(N797="REALIZADO",M797="PENDENTE"),"🟡 EMBARCADO SEM FATURAR",IF(AND(P797&lt;&gt;"",S797="",OR(Q797="",R797="")),"🟡 PENDÊNCIA SEM RESPONSÁVEL/PRAZO",IF(AND(ISNUMBER(R797),R797=TODAY()),"🟡 VENCE HOJE",IF(AND(P797&lt;&gt;"",S797=""),"🟡 PENDÊNCIA ABERTA",IF(AND(N(J797)&gt;0,N(K797)&lt;J797),"🟡 FALTA EXECUTAR",IF(OR(M797="PENDENTE",M797="PARCIAL"),"🟡 FATURAMENTO PENDENTE","🟡 EMBARQUE PENDENTE")))))))))))</f>
        <v/>
      </c>
      <c r="D797" s="4" t="n">
        <v>46284</v>
      </c>
      <c r="E797" s="5" t="inlineStr">
        <is>
          <t>B</t>
        </is>
      </c>
      <c r="F797" s="5" t="inlineStr">
        <is>
          <t>THIAGO</t>
        </is>
      </c>
      <c r="G797" s="5" t="n"/>
      <c r="H797" s="5" t="inlineStr">
        <is>
          <t>NORDESTE</t>
        </is>
      </c>
      <c r="I797" s="5" t="inlineStr">
        <is>
          <t>TON</t>
        </is>
      </c>
      <c r="J797" s="6" t="n">
        <v>5.838</v>
      </c>
      <c r="K797" s="6" t="n">
        <v>5.838</v>
      </c>
      <c r="L797" s="7">
        <f>IF(OR(D797="",N(J797)=0),"",MIN(1,N(K797)/J797))</f>
        <v/>
      </c>
      <c r="M797" s="5" t="n"/>
      <c r="N797" s="5" t="n"/>
      <c r="O797" s="5" t="n"/>
      <c r="P797" s="5" t="n"/>
      <c r="Q797" s="5" t="n"/>
      <c r="R797" s="4" t="n"/>
      <c r="S797" s="4" t="n"/>
      <c r="T797" s="5" t="n"/>
      <c r="U797" s="8">
        <f>IF(AND(V797=1,D797&lt;&gt;""),IF(D797&gt;=corte,TODAY()-D797,""),"")</f>
        <v/>
      </c>
      <c r="V797" s="8">
        <f>IF(D797="",0,IF(OR(AND(P797&lt;&gt;"",S797=""),AND(N(J797)&gt;0,N(K797)&lt;J797),OR(M797="PENDENTE",M797="PARCIAL"),OR(N797="PENDENTE",N797="PARCIAL")),1,0))</f>
        <v/>
      </c>
      <c r="W797" s="8">
        <f>IF(AND(V797=1,D797&lt;&gt;""),IF(D797&gt;=corte,(B797="CRÍTICO")*1E9+(100000-D797)*10000+10000-ROW(),""),"")</f>
        <v/>
      </c>
      <c r="X797" s="8">
        <f>IF(AND(V797=1,D797=pas_data,E797=pas_turno),10000-ROW(),"")</f>
        <v/>
      </c>
    </row>
    <row r="798">
      <c r="A798" s="3">
        <f>IF(D798="","","TT-"&amp;TEXT(ROW()-1,"00000"))</f>
        <v/>
      </c>
      <c r="B798" s="3">
        <f>IF(D798="","",IF(V798=0,"CONCLUÍDO",IF(D798&lt;corte,"HISTÓRICO",IF(OR(AND(ISNUMBER(R798),R798&lt;TODAY()),AND(OR(N798="PENDENTE",N798="PARCIAL"),D798&lt;TODAY()-1)),"CRÍTICO",IF(OR(AND(P798&lt;&gt;"",S798=""),AND(N798="REALIZADO",M798="PENDENTE"),AND(ISNUMBER(R798),R798=TODAY())),"ATENÇÃO",IF(N(K798)=0,"PENDENTE","EM ANDAMENTO"))))))</f>
        <v/>
      </c>
      <c r="C798" s="3">
        <f>IF(D798="","",IF(V798=0,"🟢 OK",IF(D798&lt;corte,"⚪ HISTÓRICO (sem baixa)",IF(AND(ISNUMBER(R798),R798&lt;TODAY()),"🔴 PRAZO VENCIDO",IF(AND(OR(N798="PENDENTE",N798="PARCIAL"),D798&lt;TODAY()-1),"🔴 EMBARQUE ATRASADO",IF(AND(N798="REALIZADO",M798="PENDENTE"),"🟡 EMBARCADO SEM FATURAR",IF(AND(P798&lt;&gt;"",S798="",OR(Q798="",R798="")),"🟡 PENDÊNCIA SEM RESPONSÁVEL/PRAZO",IF(AND(ISNUMBER(R798),R798=TODAY()),"🟡 VENCE HOJE",IF(AND(P798&lt;&gt;"",S798=""),"🟡 PENDÊNCIA ABERTA",IF(AND(N(J798)&gt;0,N(K798)&lt;J798),"🟡 FALTA EXECUTAR",IF(OR(M798="PENDENTE",M798="PARCIAL"),"🟡 FATURAMENTO PENDENTE","🟡 EMBARQUE PENDENTE")))))))))))</f>
        <v/>
      </c>
      <c r="D798" s="4" t="n">
        <v>46284</v>
      </c>
      <c r="E798" s="5" t="inlineStr">
        <is>
          <t>B</t>
        </is>
      </c>
      <c r="F798" s="5" t="inlineStr">
        <is>
          <t>THIAGO</t>
        </is>
      </c>
      <c r="G798" s="5" t="inlineStr">
        <is>
          <t>ABASTECIMENTO</t>
        </is>
      </c>
      <c r="H798" s="5" t="n"/>
      <c r="I798" s="5" t="inlineStr">
        <is>
          <t>PALETE</t>
        </is>
      </c>
      <c r="J798" s="6" t="n">
        <v>8</v>
      </c>
      <c r="K798" s="6" t="n">
        <v>8</v>
      </c>
      <c r="L798" s="7">
        <f>IF(OR(D798="",N(J798)=0),"",MIN(1,N(K798)/J798))</f>
        <v/>
      </c>
      <c r="M798" s="5" t="n"/>
      <c r="N798" s="5" t="n"/>
      <c r="O798" s="5" t="n"/>
      <c r="P798" s="5" t="n"/>
      <c r="Q798" s="5" t="n"/>
      <c r="R798" s="4" t="n"/>
      <c r="S798" s="4" t="n"/>
      <c r="T798" s="5" t="n"/>
      <c r="U798" s="8">
        <f>IF(AND(V798=1,D798&lt;&gt;""),IF(D798&gt;=corte,TODAY()-D798,""),"")</f>
        <v/>
      </c>
      <c r="V798" s="8">
        <f>IF(D798="",0,IF(OR(AND(P798&lt;&gt;"",S798=""),AND(N(J798)&gt;0,N(K798)&lt;J798),OR(M798="PENDENTE",M798="PARCIAL"),OR(N798="PENDENTE",N798="PARCIAL")),1,0))</f>
        <v/>
      </c>
      <c r="W798" s="8">
        <f>IF(AND(V798=1,D798&lt;&gt;""),IF(D798&gt;=corte,(B798="CRÍTICO")*1E9+(100000-D798)*10000+10000-ROW(),""),"")</f>
        <v/>
      </c>
      <c r="X798" s="8">
        <f>IF(AND(V798=1,D798=pas_data,E798=pas_turno),10000-ROW(),"")</f>
        <v/>
      </c>
    </row>
    <row r="799">
      <c r="A799" s="3">
        <f>IF(D799="","","TT-"&amp;TEXT(ROW()-1,"00000"))</f>
        <v/>
      </c>
      <c r="B799" s="3">
        <f>IF(D799="","",IF(V799=0,"CONCLUÍDO",IF(D799&lt;corte,"HISTÓRICO",IF(OR(AND(ISNUMBER(R799),R799&lt;TODAY()),AND(OR(N799="PENDENTE",N799="PARCIAL"),D799&lt;TODAY()-1)),"CRÍTICO",IF(OR(AND(P799&lt;&gt;"",S799=""),AND(N799="REALIZADO",M799="PENDENTE"),AND(ISNUMBER(R799),R799=TODAY())),"ATENÇÃO",IF(N(K799)=0,"PENDENTE","EM ANDAMENTO"))))))</f>
        <v/>
      </c>
      <c r="C799" s="3">
        <f>IF(D799="","",IF(V799=0,"🟢 OK",IF(D799&lt;corte,"⚪ HISTÓRICO (sem baixa)",IF(AND(ISNUMBER(R799),R799&lt;TODAY()),"🔴 PRAZO VENCIDO",IF(AND(OR(N799="PENDENTE",N799="PARCIAL"),D799&lt;TODAY()-1),"🔴 EMBARQUE ATRASADO",IF(AND(N799="REALIZADO",M799="PENDENTE"),"🟡 EMBARCADO SEM FATURAR",IF(AND(P799&lt;&gt;"",S799="",OR(Q799="",R799="")),"🟡 PENDÊNCIA SEM RESPONSÁVEL/PRAZO",IF(AND(ISNUMBER(R799),R799=TODAY()),"🟡 VENCE HOJE",IF(AND(P799&lt;&gt;"",S799=""),"🟡 PENDÊNCIA ABERTA",IF(AND(N(J799)&gt;0,N(K799)&lt;J799),"🟡 FALTA EXECUTAR",IF(OR(M799="PENDENTE",M799="PARCIAL"),"🟡 FATURAMENTO PENDENTE","🟡 EMBARQUE PENDENTE")))))))))))</f>
        <v/>
      </c>
      <c r="D799" s="4" t="n">
        <v>46284</v>
      </c>
      <c r="E799" s="5" t="inlineStr">
        <is>
          <t>B</t>
        </is>
      </c>
      <c r="F799" s="5" t="inlineStr">
        <is>
          <t>THIAGO</t>
        </is>
      </c>
      <c r="G799" s="5" t="inlineStr">
        <is>
          <t>FLOOR</t>
        </is>
      </c>
      <c r="H799" s="5" t="n"/>
      <c r="I799" s="5" t="inlineStr">
        <is>
          <t>PALETE</t>
        </is>
      </c>
      <c r="J799" s="6" t="n">
        <v>132</v>
      </c>
      <c r="K799" s="6" t="n">
        <v>132</v>
      </c>
      <c r="L799" s="7">
        <f>IF(OR(D799="",N(J799)=0),"",MIN(1,N(K799)/J799))</f>
        <v/>
      </c>
      <c r="M799" s="5" t="n"/>
      <c r="N799" s="5" t="n"/>
      <c r="O799" s="5" t="n"/>
      <c r="P799" s="5" t="n"/>
      <c r="Q799" s="5" t="n"/>
      <c r="R799" s="4" t="n"/>
      <c r="S799" s="4" t="n"/>
      <c r="T799" s="5" t="inlineStr">
        <is>
          <t>[MIGRAÇÃO: programação original: FLOOR/ CACAU]</t>
        </is>
      </c>
      <c r="U799" s="8">
        <f>IF(AND(V799=1,D799&lt;&gt;""),IF(D799&gt;=corte,TODAY()-D799,""),"")</f>
        <v/>
      </c>
      <c r="V799" s="8">
        <f>IF(D799="",0,IF(OR(AND(P799&lt;&gt;"",S799=""),AND(N(J799)&gt;0,N(K799)&lt;J799),OR(M799="PENDENTE",M799="PARCIAL"),OR(N799="PENDENTE",N799="PARCIAL")),1,0))</f>
        <v/>
      </c>
      <c r="W799" s="8">
        <f>IF(AND(V799=1,D799&lt;&gt;""),IF(D799&gt;=corte,(B799="CRÍTICO")*1E9+(100000-D799)*10000+10000-ROW(),""),"")</f>
        <v/>
      </c>
      <c r="X799" s="8">
        <f>IF(AND(V799=1,D799=pas_data,E799=pas_turno),10000-ROW(),"")</f>
        <v/>
      </c>
    </row>
    <row r="800">
      <c r="A800" s="3">
        <f>IF(D800="","","TT-"&amp;TEXT(ROW()-1,"00000"))</f>
        <v/>
      </c>
      <c r="B800" s="3">
        <f>IF(D800="","",IF(V800=0,"CONCLUÍDO",IF(D800&lt;corte,"HISTÓRICO",IF(OR(AND(ISNUMBER(R800),R800&lt;TODAY()),AND(OR(N800="PENDENTE",N800="PARCIAL"),D800&lt;TODAY()-1)),"CRÍTICO",IF(OR(AND(P800&lt;&gt;"",S800=""),AND(N800="REALIZADO",M800="PENDENTE"),AND(ISNUMBER(R800),R800=TODAY())),"ATENÇÃO",IF(N(K800)=0,"PENDENTE","EM ANDAMENTO"))))))</f>
        <v/>
      </c>
      <c r="C800" s="3">
        <f>IF(D800="","",IF(V800=0,"🟢 OK",IF(D800&lt;corte,"⚪ HISTÓRICO (sem baixa)",IF(AND(ISNUMBER(R800),R800&lt;TODAY()),"🔴 PRAZO VENCIDO",IF(AND(OR(N800="PENDENTE",N800="PARCIAL"),D800&lt;TODAY()-1),"🔴 EMBARQUE ATRASADO",IF(AND(N800="REALIZADO",M800="PENDENTE"),"🟡 EMBARCADO SEM FATURAR",IF(AND(P800&lt;&gt;"",S800="",OR(Q800="",R800="")),"🟡 PENDÊNCIA SEM RESPONSÁVEL/PRAZO",IF(AND(ISNUMBER(R800),R800=TODAY()),"🟡 VENCE HOJE",IF(AND(P800&lt;&gt;"",S800=""),"🟡 PENDÊNCIA ABERTA",IF(AND(N(J800)&gt;0,N(K800)&lt;J800),"🟡 FALTA EXECUTAR",IF(OR(M800="PENDENTE",M800="PARCIAL"),"🟡 FATURAMENTO PENDENTE","🟡 EMBARQUE PENDENTE")))))))))))</f>
        <v/>
      </c>
      <c r="D800" s="4" t="n">
        <v>46285</v>
      </c>
      <c r="E800" s="5" t="inlineStr">
        <is>
          <t>C</t>
        </is>
      </c>
      <c r="F800" s="5" t="inlineStr">
        <is>
          <t>ADIB</t>
        </is>
      </c>
      <c r="G800" s="5" t="inlineStr">
        <is>
          <t>GM</t>
        </is>
      </c>
      <c r="H800" s="5" t="inlineStr">
        <is>
          <t>MG / NORDESTE</t>
        </is>
      </c>
      <c r="I800" s="5" t="inlineStr">
        <is>
          <t>TON</t>
        </is>
      </c>
      <c r="J800" s="6" t="n">
        <v>12.711</v>
      </c>
      <c r="K800" s="6" t="n">
        <v>12.711</v>
      </c>
      <c r="L800" s="7">
        <f>IF(OR(D800="",N(J800)=0),"",MIN(1,N(K800)/J800))</f>
        <v/>
      </c>
      <c r="M800" s="5" t="inlineStr">
        <is>
          <t>FATURADO</t>
        </is>
      </c>
      <c r="N800" s="5" t="inlineStr">
        <is>
          <t>PENDENTE</t>
        </is>
      </c>
      <c r="O800" s="5" t="inlineStr">
        <is>
          <t>BORA</t>
        </is>
      </c>
      <c r="P800" s="5" t="n"/>
      <c r="Q800" s="5" t="n"/>
      <c r="R800" s="4" t="n"/>
      <c r="S800" s="4" t="n"/>
      <c r="T800" s="5" t="inlineStr">
        <is>
          <t>REALIZAMOS AS CONFERENCIAS E FATURAMENTOS</t>
        </is>
      </c>
      <c r="U800" s="8">
        <f>IF(AND(V800=1,D800&lt;&gt;""),IF(D800&gt;=corte,TODAY()-D800,""),"")</f>
        <v/>
      </c>
      <c r="V800" s="8">
        <f>IF(D800="",0,IF(OR(AND(P800&lt;&gt;"",S800=""),AND(N(J800)&gt;0,N(K800)&lt;J800),OR(M800="PENDENTE",M800="PARCIAL"),OR(N800="PENDENTE",N800="PARCIAL")),1,0))</f>
        <v/>
      </c>
      <c r="W800" s="8">
        <f>IF(AND(V800=1,D800&lt;&gt;""),IF(D800&gt;=corte,(B800="CRÍTICO")*1E9+(100000-D800)*10000+10000-ROW(),""),"")</f>
        <v/>
      </c>
      <c r="X800" s="8">
        <f>IF(AND(V800=1,D800=pas_data,E800=pas_turno),10000-ROW(),"")</f>
        <v/>
      </c>
    </row>
    <row r="801">
      <c r="A801" s="3">
        <f>IF(D801="","","TT-"&amp;TEXT(ROW()-1,"00000"))</f>
        <v/>
      </c>
      <c r="B801" s="3">
        <f>IF(D801="","",IF(V801=0,"CONCLUÍDO",IF(D801&lt;corte,"HISTÓRICO",IF(OR(AND(ISNUMBER(R801),R801&lt;TODAY()),AND(OR(N801="PENDENTE",N801="PARCIAL"),D801&lt;TODAY()-1)),"CRÍTICO",IF(OR(AND(P801&lt;&gt;"",S801=""),AND(N801="REALIZADO",M801="PENDENTE"),AND(ISNUMBER(R801),R801=TODAY())),"ATENÇÃO",IF(N(K801)=0,"PENDENTE","EM ANDAMENTO"))))))</f>
        <v/>
      </c>
      <c r="C801" s="3">
        <f>IF(D801="","",IF(V801=0,"🟢 OK",IF(D801&lt;corte,"⚪ HISTÓRICO (sem baixa)",IF(AND(ISNUMBER(R801),R801&lt;TODAY()),"🔴 PRAZO VENCIDO",IF(AND(OR(N801="PENDENTE",N801="PARCIAL"),D801&lt;TODAY()-1),"🔴 EMBARQUE ATRASADO",IF(AND(N801="REALIZADO",M801="PENDENTE"),"🟡 EMBARCADO SEM FATURAR",IF(AND(P801&lt;&gt;"",S801="",OR(Q801="",R801="")),"🟡 PENDÊNCIA SEM RESPONSÁVEL/PRAZO",IF(AND(ISNUMBER(R801),R801=TODAY()),"🟡 VENCE HOJE",IF(AND(P801&lt;&gt;"",S801=""),"🟡 PENDÊNCIA ABERTA",IF(AND(N(J801)&gt;0,N(K801)&lt;J801),"🟡 FALTA EXECUTAR",IF(OR(M801="PENDENTE",M801="PARCIAL"),"🟡 FATURAMENTO PENDENTE","🟡 EMBARQUE PENDENTE")))))))))))</f>
        <v/>
      </c>
      <c r="D801" s="4" t="n">
        <v>46285</v>
      </c>
      <c r="E801" s="5" t="inlineStr">
        <is>
          <t>C</t>
        </is>
      </c>
      <c r="F801" s="5" t="inlineStr">
        <is>
          <t>ADIB</t>
        </is>
      </c>
      <c r="G801" s="5" t="inlineStr">
        <is>
          <t>GRANEL</t>
        </is>
      </c>
      <c r="H801" s="5" t="inlineStr">
        <is>
          <t>FRONERI</t>
        </is>
      </c>
      <c r="I801" s="5" t="inlineStr">
        <is>
          <t>TON</t>
        </is>
      </c>
      <c r="J801" s="6" t="n">
        <v>17.86</v>
      </c>
      <c r="K801" s="6" t="n">
        <v>17.86</v>
      </c>
      <c r="L801" s="7">
        <f>IF(OR(D801="",N(J801)=0),"",MIN(1,N(K801)/J801))</f>
        <v/>
      </c>
      <c r="M801" s="5" t="inlineStr">
        <is>
          <t>FATURADO</t>
        </is>
      </c>
      <c r="N801" s="5" t="inlineStr">
        <is>
          <t>REALIZADO</t>
        </is>
      </c>
      <c r="O801" s="5" t="inlineStr">
        <is>
          <t>JSL</t>
        </is>
      </c>
      <c r="P801" s="5" t="n"/>
      <c r="Q801" s="5" t="n"/>
      <c r="R801" s="4" t="n"/>
      <c r="S801" s="4" t="n"/>
      <c r="T801" s="5" t="inlineStr">
        <is>
          <t>GRANEL FATURADO</t>
        </is>
      </c>
      <c r="U801" s="8">
        <f>IF(AND(V801=1,D801&lt;&gt;""),IF(D801&gt;=corte,TODAY()-D801,""),"")</f>
        <v/>
      </c>
      <c r="V801" s="8">
        <f>IF(D801="",0,IF(OR(AND(P801&lt;&gt;"",S801=""),AND(N(J801)&gt;0,N(K801)&lt;J801),OR(M801="PENDENTE",M801="PARCIAL"),OR(N801="PENDENTE",N801="PARCIAL")),1,0))</f>
        <v/>
      </c>
      <c r="W801" s="8">
        <f>IF(AND(V801=1,D801&lt;&gt;""),IF(D801&gt;=corte,(B801="CRÍTICO")*1E9+(100000-D801)*10000+10000-ROW(),""),"")</f>
        <v/>
      </c>
      <c r="X801" s="8">
        <f>IF(AND(V801=1,D801=pas_data,E801=pas_turno),10000-ROW(),"")</f>
        <v/>
      </c>
    </row>
    <row r="802">
      <c r="A802" s="3">
        <f>IF(D802="","","TT-"&amp;TEXT(ROW()-1,"00000"))</f>
        <v/>
      </c>
      <c r="B802" s="3">
        <f>IF(D802="","",IF(V802=0,"CONCLUÍDO",IF(D802&lt;corte,"HISTÓRICO",IF(OR(AND(ISNUMBER(R802),R802&lt;TODAY()),AND(OR(N802="PENDENTE",N802="PARCIAL"),D802&lt;TODAY()-1)),"CRÍTICO",IF(OR(AND(P802&lt;&gt;"",S802=""),AND(N802="REALIZADO",M802="PENDENTE"),AND(ISNUMBER(R802),R802=TODAY())),"ATENÇÃO",IF(N(K802)=0,"PENDENTE","EM ANDAMENTO"))))))</f>
        <v/>
      </c>
      <c r="C802" s="3">
        <f>IF(D802="","",IF(V802=0,"🟢 OK",IF(D802&lt;corte,"⚪ HISTÓRICO (sem baixa)",IF(AND(ISNUMBER(R802),R802&lt;TODAY()),"🔴 PRAZO VENCIDO",IF(AND(OR(N802="PENDENTE",N802="PARCIAL"),D802&lt;TODAY()-1),"🔴 EMBARQUE ATRASADO",IF(AND(N802="REALIZADO",M802="PENDENTE"),"🟡 EMBARCADO SEM FATURAR",IF(AND(P802&lt;&gt;"",S802="",OR(Q802="",R802="")),"🟡 PENDÊNCIA SEM RESPONSÁVEL/PRAZO",IF(AND(ISNUMBER(R802),R802=TODAY()),"🟡 VENCE HOJE",IF(AND(P802&lt;&gt;"",S802=""),"🟡 PENDÊNCIA ABERTA",IF(AND(N(J802)&gt;0,N(K802)&lt;J802),"🟡 FALTA EXECUTAR",IF(OR(M802="PENDENTE",M802="PARCIAL"),"🟡 FATURAMENTO PENDENTE","🟡 EMBARQUE PENDENTE")))))))))))</f>
        <v/>
      </c>
      <c r="D802" s="4" t="n">
        <v>46285</v>
      </c>
      <c r="E802" s="5" t="inlineStr">
        <is>
          <t>C</t>
        </is>
      </c>
      <c r="F802" s="5" t="inlineStr">
        <is>
          <t>ADIB</t>
        </is>
      </c>
      <c r="G802" s="5" t="inlineStr">
        <is>
          <t>GM</t>
        </is>
      </c>
      <c r="H802" s="5" t="inlineStr">
        <is>
          <t>SMARTLOG DIRETAS 17/09</t>
        </is>
      </c>
      <c r="I802" s="5" t="inlineStr">
        <is>
          <t>TON</t>
        </is>
      </c>
      <c r="J802" s="6" t="n">
        <v>26.915</v>
      </c>
      <c r="K802" s="6" t="n">
        <v>9.801</v>
      </c>
      <c r="L802" s="7">
        <f>IF(OR(D802="",N(J802)=0),"",MIN(1,N(K802)/J802))</f>
        <v/>
      </c>
      <c r="M802" s="5" t="inlineStr">
        <is>
          <t>PARCIAL</t>
        </is>
      </c>
      <c r="N802" s="5" t="inlineStr">
        <is>
          <t>PENDENTE</t>
        </is>
      </c>
      <c r="O802" s="5" t="inlineStr">
        <is>
          <t>SMARTLOG</t>
        </is>
      </c>
      <c r="P802" s="5" t="n"/>
      <c r="Q802" s="5" t="n"/>
      <c r="R802" s="4" t="n"/>
      <c r="S802" s="4" t="n"/>
      <c r="T802" s="5" t="inlineStr">
        <is>
          <t>REALIZAMOS AS SEPARAÇÕES E CONFERENCIAS - FATURAMENTOS EM ANDAMENTOS</t>
        </is>
      </c>
      <c r="U802" s="8">
        <f>IF(AND(V802=1,D802&lt;&gt;""),IF(D802&gt;=corte,TODAY()-D802,""),"")</f>
        <v/>
      </c>
      <c r="V802" s="8">
        <f>IF(D802="",0,IF(OR(AND(P802&lt;&gt;"",S802=""),AND(N(J802)&gt;0,N(K802)&lt;J802),OR(M802="PENDENTE",M802="PARCIAL"),OR(N802="PENDENTE",N802="PARCIAL")),1,0))</f>
        <v/>
      </c>
      <c r="W802" s="8">
        <f>IF(AND(V802=1,D802&lt;&gt;""),IF(D802&gt;=corte,(B802="CRÍTICO")*1E9+(100000-D802)*10000+10000-ROW(),""),"")</f>
        <v/>
      </c>
      <c r="X802" s="8">
        <f>IF(AND(V802=1,D802=pas_data,E802=pas_turno),10000-ROW(),"")</f>
        <v/>
      </c>
    </row>
    <row r="803">
      <c r="A803" s="3">
        <f>IF(D803="","","TT-"&amp;TEXT(ROW()-1,"00000"))</f>
        <v/>
      </c>
      <c r="B803" s="3">
        <f>IF(D803="","",IF(V803=0,"CONCLUÍDO",IF(D803&lt;corte,"HISTÓRICO",IF(OR(AND(ISNUMBER(R803),R803&lt;TODAY()),AND(OR(N803="PENDENTE",N803="PARCIAL"),D803&lt;TODAY()-1)),"CRÍTICO",IF(OR(AND(P803&lt;&gt;"",S803=""),AND(N803="REALIZADO",M803="PENDENTE"),AND(ISNUMBER(R803),R803=TODAY())),"ATENÇÃO",IF(N(K803)=0,"PENDENTE","EM ANDAMENTO"))))))</f>
        <v/>
      </c>
      <c r="C803" s="3">
        <f>IF(D803="","",IF(V803=0,"🟢 OK",IF(D803&lt;corte,"⚪ HISTÓRICO (sem baixa)",IF(AND(ISNUMBER(R803),R803&lt;TODAY()),"🔴 PRAZO VENCIDO",IF(AND(OR(N803="PENDENTE",N803="PARCIAL"),D803&lt;TODAY()-1),"🔴 EMBARQUE ATRASADO",IF(AND(N803="REALIZADO",M803="PENDENTE"),"🟡 EMBARCADO SEM FATURAR",IF(AND(P803&lt;&gt;"",S803="",OR(Q803="",R803="")),"🟡 PENDÊNCIA SEM RESPONSÁVEL/PRAZO",IF(AND(ISNUMBER(R803),R803=TODAY()),"🟡 VENCE HOJE",IF(AND(P803&lt;&gt;"",S803=""),"🟡 PENDÊNCIA ABERTA",IF(AND(N(J803)&gt;0,N(K803)&lt;J803),"🟡 FALTA EXECUTAR",IF(OR(M803="PENDENTE",M803="PARCIAL"),"🟡 FATURAMENTO PENDENTE","🟡 EMBARQUE PENDENTE")))))))))))</f>
        <v/>
      </c>
      <c r="D803" s="4" t="n">
        <v>46285</v>
      </c>
      <c r="E803" s="5" t="inlineStr">
        <is>
          <t>D</t>
        </is>
      </c>
      <c r="F803" s="5" t="inlineStr">
        <is>
          <t>VINICIUS</t>
        </is>
      </c>
      <c r="G803" s="5" t="inlineStr">
        <is>
          <t>GM</t>
        </is>
      </c>
      <c r="H803" s="5" t="inlineStr">
        <is>
          <t>SMARTLOG DIRETAS 20/09</t>
        </is>
      </c>
      <c r="I803" s="5" t="inlineStr">
        <is>
          <t>TON</t>
        </is>
      </c>
      <c r="J803" s="6" t="n">
        <v>23.204</v>
      </c>
      <c r="K803" s="6" t="n">
        <v>23.204</v>
      </c>
      <c r="L803" s="7">
        <f>IF(OR(D803="",N(J803)=0),"",MIN(1,N(K803)/J803))</f>
        <v/>
      </c>
      <c r="M803" s="5" t="inlineStr">
        <is>
          <t>PENDENTE</t>
        </is>
      </c>
      <c r="N803" s="5" t="inlineStr">
        <is>
          <t>PENDENTE</t>
        </is>
      </c>
      <c r="O803" s="5" t="inlineStr">
        <is>
          <t>SMARTLOG</t>
        </is>
      </c>
      <c r="P803" s="5" t="inlineStr">
        <is>
          <t>AGUARDANDO FATURAMENTO</t>
        </is>
      </c>
      <c r="Q803" s="5" t="n"/>
      <c r="R803" s="4" t="n"/>
      <c r="S803" s="4" t="n"/>
      <c r="T803" s="5" t="inlineStr">
        <is>
          <t>AGUARDANDO FATURAMENTO</t>
        </is>
      </c>
      <c r="U803" s="8">
        <f>IF(AND(V803=1,D803&lt;&gt;""),IF(D803&gt;=corte,TODAY()-D803,""),"")</f>
        <v/>
      </c>
      <c r="V803" s="8">
        <f>IF(D803="",0,IF(OR(AND(P803&lt;&gt;"",S803=""),AND(N(J803)&gt;0,N(K803)&lt;J803),OR(M803="PENDENTE",M803="PARCIAL"),OR(N803="PENDENTE",N803="PARCIAL")),1,0))</f>
        <v/>
      </c>
      <c r="W803" s="8">
        <f>IF(AND(V803=1,D803&lt;&gt;""),IF(D803&gt;=corte,(B803="CRÍTICO")*1E9+(100000-D803)*10000+10000-ROW(),""),"")</f>
        <v/>
      </c>
      <c r="X803" s="8">
        <f>IF(AND(V803=1,D803=pas_data,E803=pas_turno),10000-ROW(),"")</f>
        <v/>
      </c>
    </row>
    <row r="804">
      <c r="A804" s="3">
        <f>IF(D804="","","TT-"&amp;TEXT(ROW()-1,"00000"))</f>
        <v/>
      </c>
      <c r="B804" s="3">
        <f>IF(D804="","",IF(V804=0,"CONCLUÍDO",IF(D804&lt;corte,"HISTÓRICO",IF(OR(AND(ISNUMBER(R804),R804&lt;TODAY()),AND(OR(N804="PENDENTE",N804="PARCIAL"),D804&lt;TODAY()-1)),"CRÍTICO",IF(OR(AND(P804&lt;&gt;"",S804=""),AND(N804="REALIZADO",M804="PENDENTE"),AND(ISNUMBER(R804),R804=TODAY())),"ATENÇÃO",IF(N(K804)=0,"PENDENTE","EM ANDAMENTO"))))))</f>
        <v/>
      </c>
      <c r="C804" s="3">
        <f>IF(D804="","",IF(V804=0,"🟢 OK",IF(D804&lt;corte,"⚪ HISTÓRICO (sem baixa)",IF(AND(ISNUMBER(R804),R804&lt;TODAY()),"🔴 PRAZO VENCIDO",IF(AND(OR(N804="PENDENTE",N804="PARCIAL"),D804&lt;TODAY()-1),"🔴 EMBARQUE ATRASADO",IF(AND(N804="REALIZADO",M804="PENDENTE"),"🟡 EMBARCADO SEM FATURAR",IF(AND(P804&lt;&gt;"",S804="",OR(Q804="",R804="")),"🟡 PENDÊNCIA SEM RESPONSÁVEL/PRAZO",IF(AND(ISNUMBER(R804),R804=TODAY()),"🟡 VENCE HOJE",IF(AND(P804&lt;&gt;"",S804=""),"🟡 PENDÊNCIA ABERTA",IF(AND(N(J804)&gt;0,N(K804)&lt;J804),"🟡 FALTA EXECUTAR",IF(OR(M804="PENDENTE",M804="PARCIAL"),"🟡 FATURAMENTO PENDENTE","🟡 EMBARQUE PENDENTE")))))))))))</f>
        <v/>
      </c>
      <c r="D804" s="4" t="n">
        <v>46285</v>
      </c>
      <c r="E804" s="5" t="inlineStr">
        <is>
          <t>D</t>
        </is>
      </c>
      <c r="F804" s="5" t="inlineStr">
        <is>
          <t>VINICIUS</t>
        </is>
      </c>
      <c r="G804" s="5" t="inlineStr">
        <is>
          <t>GM</t>
        </is>
      </c>
      <c r="H804" s="5" t="inlineStr">
        <is>
          <t>SMARTLOG DIRETAS 17/09 PENDENTES</t>
        </is>
      </c>
      <c r="I804" s="5" t="inlineStr">
        <is>
          <t>TON</t>
        </is>
      </c>
      <c r="J804" s="6" t="n">
        <v>12.081</v>
      </c>
      <c r="K804" s="6" t="n">
        <v>12.081</v>
      </c>
      <c r="L804" s="7">
        <f>IF(OR(D804="",N(J804)=0),"",MIN(1,N(K804)/J804))</f>
        <v/>
      </c>
      <c r="M804" s="5" t="inlineStr">
        <is>
          <t>PENDENTE</t>
        </is>
      </c>
      <c r="N804" s="5" t="inlineStr">
        <is>
          <t>PENDENTE</t>
        </is>
      </c>
      <c r="O804" s="5" t="inlineStr">
        <is>
          <t>SMARTLOG</t>
        </is>
      </c>
      <c r="P804" s="5" t="inlineStr">
        <is>
          <t>AGUARDANDO FATURAMENTO</t>
        </is>
      </c>
      <c r="Q804" s="5" t="n"/>
      <c r="R804" s="4" t="n"/>
      <c r="S804" s="4" t="n"/>
      <c r="T804" s="5" t="inlineStr">
        <is>
          <t>AGUARDANDO FATURAMENTO</t>
        </is>
      </c>
      <c r="U804" s="8">
        <f>IF(AND(V804=1,D804&lt;&gt;""),IF(D804&gt;=corte,TODAY()-D804,""),"")</f>
        <v/>
      </c>
      <c r="V804" s="8">
        <f>IF(D804="",0,IF(OR(AND(P804&lt;&gt;"",S804=""),AND(N(J804)&gt;0,N(K804)&lt;J804),OR(M804="PENDENTE",M804="PARCIAL"),OR(N804="PENDENTE",N804="PARCIAL")),1,0))</f>
        <v/>
      </c>
      <c r="W804" s="8">
        <f>IF(AND(V804=1,D804&lt;&gt;""),IF(D804&gt;=corte,(B804="CRÍTICO")*1E9+(100000-D804)*10000+10000-ROW(),""),"")</f>
        <v/>
      </c>
      <c r="X804" s="8">
        <f>IF(AND(V804=1,D804=pas_data,E804=pas_turno),10000-ROW(),"")</f>
        <v/>
      </c>
    </row>
    <row r="805">
      <c r="A805" s="3">
        <f>IF(D805="","","TT-"&amp;TEXT(ROW()-1,"00000"))</f>
        <v/>
      </c>
      <c r="B805" s="3">
        <f>IF(D805="","",IF(V805=0,"CONCLUÍDO",IF(D805&lt;corte,"HISTÓRICO",IF(OR(AND(ISNUMBER(R805),R805&lt;TODAY()),AND(OR(N805="PENDENTE",N805="PARCIAL"),D805&lt;TODAY()-1)),"CRÍTICO",IF(OR(AND(P805&lt;&gt;"",S805=""),AND(N805="REALIZADO",M805="PENDENTE"),AND(ISNUMBER(R805),R805=TODAY())),"ATENÇÃO",IF(N(K805)=0,"PENDENTE","EM ANDAMENTO"))))))</f>
        <v/>
      </c>
      <c r="C805" s="3">
        <f>IF(D805="","",IF(V805=0,"🟢 OK",IF(D805&lt;corte,"⚪ HISTÓRICO (sem baixa)",IF(AND(ISNUMBER(R805),R805&lt;TODAY()),"🔴 PRAZO VENCIDO",IF(AND(OR(N805="PENDENTE",N805="PARCIAL"),D805&lt;TODAY()-1),"🔴 EMBARQUE ATRASADO",IF(AND(N805="REALIZADO",M805="PENDENTE"),"🟡 EMBARCADO SEM FATURAR",IF(AND(P805&lt;&gt;"",S805="",OR(Q805="",R805="")),"🟡 PENDÊNCIA SEM RESPONSÁVEL/PRAZO",IF(AND(ISNUMBER(R805),R805=TODAY()),"🟡 VENCE HOJE",IF(AND(P805&lt;&gt;"",S805=""),"🟡 PENDÊNCIA ABERTA",IF(AND(N(J805)&gt;0,N(K805)&lt;J805),"🟡 FALTA EXECUTAR",IF(OR(M805="PENDENTE",M805="PARCIAL"),"🟡 FATURAMENTO PENDENTE","🟡 EMBARQUE PENDENTE")))))))))))</f>
        <v/>
      </c>
      <c r="D805" s="4" t="n">
        <v>46285</v>
      </c>
      <c r="E805" s="5" t="inlineStr">
        <is>
          <t>D</t>
        </is>
      </c>
      <c r="F805" s="5" t="inlineStr">
        <is>
          <t>VINICIUS</t>
        </is>
      </c>
      <c r="G805" s="5" t="inlineStr">
        <is>
          <t>FM</t>
        </is>
      </c>
      <c r="H805" s="5" t="inlineStr">
        <is>
          <t>NESTLE</t>
        </is>
      </c>
      <c r="I805" s="5" t="inlineStr">
        <is>
          <t>TON</t>
        </is>
      </c>
      <c r="J805" s="6" t="n">
        <v>14.721</v>
      </c>
      <c r="K805" s="6" t="n">
        <v>14.721</v>
      </c>
      <c r="L805" s="7">
        <f>IF(OR(D805="",N(J805)=0),"",MIN(1,N(K805)/J805))</f>
        <v/>
      </c>
      <c r="M805" s="5" t="inlineStr">
        <is>
          <t>FATURADO</t>
        </is>
      </c>
      <c r="N805" s="5" t="inlineStr">
        <is>
          <t>REALIZADO</t>
        </is>
      </c>
      <c r="O805" s="5" t="inlineStr">
        <is>
          <t>SPEEDYLOG</t>
        </is>
      </c>
      <c r="P805" s="5" t="n"/>
      <c r="Q805" s="5" t="n"/>
      <c r="R805" s="4" t="n"/>
      <c r="S805" s="4" t="n"/>
      <c r="T805" s="5" t="inlineStr">
        <is>
          <t>EMBARCADO E LIBERADO</t>
        </is>
      </c>
      <c r="U805" s="8">
        <f>IF(AND(V805=1,D805&lt;&gt;""),IF(D805&gt;=corte,TODAY()-D805,""),"")</f>
        <v/>
      </c>
      <c r="V805" s="8">
        <f>IF(D805="",0,IF(OR(AND(P805&lt;&gt;"",S805=""),AND(N(J805)&gt;0,N(K805)&lt;J805),OR(M805="PENDENTE",M805="PARCIAL"),OR(N805="PENDENTE",N805="PARCIAL")),1,0))</f>
        <v/>
      </c>
      <c r="W805" s="8">
        <f>IF(AND(V805=1,D805&lt;&gt;""),IF(D805&gt;=corte,(B805="CRÍTICO")*1E9+(100000-D805)*10000+10000-ROW(),""),"")</f>
        <v/>
      </c>
      <c r="X805" s="8">
        <f>IF(AND(V805=1,D805=pas_data,E805=pas_turno),10000-ROW(),"")</f>
        <v/>
      </c>
    </row>
    <row r="806">
      <c r="A806" s="3">
        <f>IF(D806="","","TT-"&amp;TEXT(ROW()-1,"00000"))</f>
        <v/>
      </c>
      <c r="B806" s="3">
        <f>IF(D806="","",IF(V806=0,"CONCLUÍDO",IF(D806&lt;corte,"HISTÓRICO",IF(OR(AND(ISNUMBER(R806),R806&lt;TODAY()),AND(OR(N806="PENDENTE",N806="PARCIAL"),D806&lt;TODAY()-1)),"CRÍTICO",IF(OR(AND(P806&lt;&gt;"",S806=""),AND(N806="REALIZADO",M806="PENDENTE"),AND(ISNUMBER(R806),R806=TODAY())),"ATENÇÃO",IF(N(K806)=0,"PENDENTE","EM ANDAMENTO"))))))</f>
        <v/>
      </c>
      <c r="C806" s="3">
        <f>IF(D806="","",IF(V806=0,"🟢 OK",IF(D806&lt;corte,"⚪ HISTÓRICO (sem baixa)",IF(AND(ISNUMBER(R806),R806&lt;TODAY()),"🔴 PRAZO VENCIDO",IF(AND(OR(N806="PENDENTE",N806="PARCIAL"),D806&lt;TODAY()-1),"🔴 EMBARQUE ATRASADO",IF(AND(N806="REALIZADO",M806="PENDENTE"),"🟡 EMBARCADO SEM FATURAR",IF(AND(P806&lt;&gt;"",S806="",OR(Q806="",R806="")),"🟡 PENDÊNCIA SEM RESPONSÁVEL/PRAZO",IF(AND(ISNUMBER(R806),R806=TODAY()),"🟡 VENCE HOJE",IF(AND(P806&lt;&gt;"",S806=""),"🟡 PENDÊNCIA ABERTA",IF(AND(N(J806)&gt;0,N(K806)&lt;J806),"🟡 FALTA EXECUTAR",IF(OR(M806="PENDENTE",M806="PARCIAL"),"🟡 FATURAMENTO PENDENTE","🟡 EMBARQUE PENDENTE")))))))))))</f>
        <v/>
      </c>
      <c r="D806" s="4" t="n">
        <v>46285</v>
      </c>
      <c r="E806" s="5" t="inlineStr">
        <is>
          <t>D</t>
        </is>
      </c>
      <c r="F806" s="5" t="inlineStr">
        <is>
          <t>VINICIUS</t>
        </is>
      </c>
      <c r="G806" s="5" t="inlineStr">
        <is>
          <t>BR15</t>
        </is>
      </c>
      <c r="H806" s="5" t="inlineStr">
        <is>
          <t>SINERGY</t>
        </is>
      </c>
      <c r="I806" s="5" t="inlineStr">
        <is>
          <t>TON</t>
        </is>
      </c>
      <c r="J806" s="6" t="n">
        <v>12</v>
      </c>
      <c r="K806" s="6" t="n">
        <v>12</v>
      </c>
      <c r="L806" s="7">
        <f>IF(OR(D806="",N(J806)=0),"",MIN(1,N(K806)/J806))</f>
        <v/>
      </c>
      <c r="M806" s="5" t="inlineStr">
        <is>
          <t>FATURADO</t>
        </is>
      </c>
      <c r="N806" s="5" t="inlineStr">
        <is>
          <t>PENDENTE</t>
        </is>
      </c>
      <c r="O806" s="5" t="inlineStr">
        <is>
          <t>SMARTLOG</t>
        </is>
      </c>
      <c r="P806" s="5" t="inlineStr">
        <is>
          <t>AGUARDANDO FATURAMENTO</t>
        </is>
      </c>
      <c r="Q806" s="5" t="n"/>
      <c r="R806" s="4" t="n"/>
      <c r="S806" s="4" t="n"/>
      <c r="T806" s="5" t="inlineStr">
        <is>
          <t>AGUARDANDO FATURAMENTO</t>
        </is>
      </c>
      <c r="U806" s="8">
        <f>IF(AND(V806=1,D806&lt;&gt;""),IF(D806&gt;=corte,TODAY()-D806,""),"")</f>
        <v/>
      </c>
      <c r="V806" s="8">
        <f>IF(D806="",0,IF(OR(AND(P806&lt;&gt;"",S806=""),AND(N(J806)&gt;0,N(K806)&lt;J806),OR(M806="PENDENTE",M806="PARCIAL"),OR(N806="PENDENTE",N806="PARCIAL")),1,0))</f>
        <v/>
      </c>
      <c r="W806" s="8">
        <f>IF(AND(V806=1,D806&lt;&gt;""),IF(D806&gt;=corte,(B806="CRÍTICO")*1E9+(100000-D806)*10000+10000-ROW(),""),"")</f>
        <v/>
      </c>
      <c r="X806" s="8">
        <f>IF(AND(V806=1,D806=pas_data,E806=pas_turno),10000-ROW(),"")</f>
        <v/>
      </c>
    </row>
    <row r="807">
      <c r="A807" s="3">
        <f>IF(D807="","","TT-"&amp;TEXT(ROW()-1,"00000"))</f>
        <v/>
      </c>
      <c r="B807" s="3">
        <f>IF(D807="","",IF(V807=0,"CONCLUÍDO",IF(D807&lt;corte,"HISTÓRICO",IF(OR(AND(ISNUMBER(R807),R807&lt;TODAY()),AND(OR(N807="PENDENTE",N807="PARCIAL"),D807&lt;TODAY()-1)),"CRÍTICO",IF(OR(AND(P807&lt;&gt;"",S807=""),AND(N807="REALIZADO",M807="PENDENTE"),AND(ISNUMBER(R807),R807=TODAY())),"ATENÇÃO",IF(N(K807)=0,"PENDENTE","EM ANDAMENTO"))))))</f>
        <v/>
      </c>
      <c r="C807" s="3">
        <f>IF(D807="","",IF(V807=0,"🟢 OK",IF(D807&lt;corte,"⚪ HISTÓRICO (sem baixa)",IF(AND(ISNUMBER(R807),R807&lt;TODAY()),"🔴 PRAZO VENCIDO",IF(AND(OR(N807="PENDENTE",N807="PARCIAL"),D807&lt;TODAY()-1),"🔴 EMBARQUE ATRASADO",IF(AND(N807="REALIZADO",M807="PENDENTE"),"🟡 EMBARCADO SEM FATURAR",IF(AND(P807&lt;&gt;"",S807="",OR(Q807="",R807="")),"🟡 PENDÊNCIA SEM RESPONSÁVEL/PRAZO",IF(AND(ISNUMBER(R807),R807=TODAY()),"🟡 VENCE HOJE",IF(AND(P807&lt;&gt;"",S807=""),"🟡 PENDÊNCIA ABERTA",IF(AND(N(J807)&gt;0,N(K807)&lt;J807),"🟡 FALTA EXECUTAR",IF(OR(M807="PENDENTE",M807="PARCIAL"),"🟡 FATURAMENTO PENDENTE","🟡 EMBARQUE PENDENTE")))))))))))</f>
        <v/>
      </c>
      <c r="D807" s="4" t="n">
        <v>46286</v>
      </c>
      <c r="E807" s="5" t="inlineStr">
        <is>
          <t>C</t>
        </is>
      </c>
      <c r="F807" s="5" t="inlineStr">
        <is>
          <t>ADIB</t>
        </is>
      </c>
      <c r="G807" s="5" t="inlineStr">
        <is>
          <t>GM</t>
        </is>
      </c>
      <c r="H807" s="5" t="inlineStr">
        <is>
          <t>SMARTLOG DIRETAS 17/09</t>
        </is>
      </c>
      <c r="I807" s="5" t="inlineStr">
        <is>
          <t>TON</t>
        </is>
      </c>
      <c r="J807" s="6" t="n">
        <v>2.865</v>
      </c>
      <c r="K807" s="6" t="n">
        <v>2.865</v>
      </c>
      <c r="L807" s="7">
        <f>IF(OR(D807="",N(J807)=0),"",MIN(1,N(K807)/J807))</f>
        <v/>
      </c>
      <c r="M807" s="5" t="inlineStr">
        <is>
          <t>FATURADO</t>
        </is>
      </c>
      <c r="N807" s="5" t="inlineStr">
        <is>
          <t>PENDENTE</t>
        </is>
      </c>
      <c r="O807" s="5" t="inlineStr">
        <is>
          <t>SMARTLOG</t>
        </is>
      </c>
      <c r="P807" s="5" t="inlineStr">
        <is>
          <t>AGUARDANDO CARRO</t>
        </is>
      </c>
      <c r="Q807" s="5" t="n"/>
      <c r="R807" s="4" t="n"/>
      <c r="S807" s="4" t="n"/>
      <c r="T807" s="5" t="inlineStr">
        <is>
          <t>AGUARDANDO CARRO</t>
        </is>
      </c>
      <c r="U807" s="8">
        <f>IF(AND(V807=1,D807&lt;&gt;""),IF(D807&gt;=corte,TODAY()-D807,""),"")</f>
        <v/>
      </c>
      <c r="V807" s="8">
        <f>IF(D807="",0,IF(OR(AND(P807&lt;&gt;"",S807=""),AND(N(J807)&gt;0,N(K807)&lt;J807),OR(M807="PENDENTE",M807="PARCIAL"),OR(N807="PENDENTE",N807="PARCIAL")),1,0))</f>
        <v/>
      </c>
      <c r="W807" s="8">
        <f>IF(AND(V807=1,D807&lt;&gt;""),IF(D807&gt;=corte,(B807="CRÍTICO")*1E9+(100000-D807)*10000+10000-ROW(),""),"")</f>
        <v/>
      </c>
      <c r="X807" s="8">
        <f>IF(AND(V807=1,D807=pas_data,E807=pas_turno),10000-ROW(),"")</f>
        <v/>
      </c>
    </row>
    <row r="808">
      <c r="A808" s="3">
        <f>IF(D808="","","TT-"&amp;TEXT(ROW()-1,"00000"))</f>
        <v/>
      </c>
      <c r="B808" s="3">
        <f>IF(D808="","",IF(V808=0,"CONCLUÍDO",IF(D808&lt;corte,"HISTÓRICO",IF(OR(AND(ISNUMBER(R808),R808&lt;TODAY()),AND(OR(N808="PENDENTE",N808="PARCIAL"),D808&lt;TODAY()-1)),"CRÍTICO",IF(OR(AND(P808&lt;&gt;"",S808=""),AND(N808="REALIZADO",M808="PENDENTE"),AND(ISNUMBER(R808),R808=TODAY())),"ATENÇÃO",IF(N(K808)=0,"PENDENTE","EM ANDAMENTO"))))))</f>
        <v/>
      </c>
      <c r="C808" s="3">
        <f>IF(D808="","",IF(V808=0,"🟢 OK",IF(D808&lt;corte,"⚪ HISTÓRICO (sem baixa)",IF(AND(ISNUMBER(R808),R808&lt;TODAY()),"🔴 PRAZO VENCIDO",IF(AND(OR(N808="PENDENTE",N808="PARCIAL"),D808&lt;TODAY()-1),"🔴 EMBARQUE ATRASADO",IF(AND(N808="REALIZADO",M808="PENDENTE"),"🟡 EMBARCADO SEM FATURAR",IF(AND(P808&lt;&gt;"",S808="",OR(Q808="",R808="")),"🟡 PENDÊNCIA SEM RESPONSÁVEL/PRAZO",IF(AND(ISNUMBER(R808),R808=TODAY()),"🟡 VENCE HOJE",IF(AND(P808&lt;&gt;"",S808=""),"🟡 PENDÊNCIA ABERTA",IF(AND(N(J808)&gt;0,N(K808)&lt;J808),"🟡 FALTA EXECUTAR",IF(OR(M808="PENDENTE",M808="PARCIAL"),"🟡 FATURAMENTO PENDENTE","🟡 EMBARQUE PENDENTE")))))))))))</f>
        <v/>
      </c>
      <c r="D808" s="4" t="n">
        <v>46286</v>
      </c>
      <c r="E808" s="5" t="inlineStr">
        <is>
          <t>C</t>
        </is>
      </c>
      <c r="F808" s="5" t="inlineStr">
        <is>
          <t>ADIB</t>
        </is>
      </c>
      <c r="G808" s="5" t="inlineStr">
        <is>
          <t>GM</t>
        </is>
      </c>
      <c r="H808" s="5" t="inlineStr">
        <is>
          <t>RJ</t>
        </is>
      </c>
      <c r="I808" s="5" t="inlineStr">
        <is>
          <t>TON</t>
        </is>
      </c>
      <c r="J808" s="6" t="n">
        <v>10.424</v>
      </c>
      <c r="K808" s="6" t="n">
        <v>10.424</v>
      </c>
      <c r="L808" s="7">
        <f>IF(OR(D808="",N(J808)=0),"",MIN(1,N(K808)/J808))</f>
        <v/>
      </c>
      <c r="M808" s="5" t="n"/>
      <c r="N808" s="5" t="inlineStr">
        <is>
          <t>PENDENTE</t>
        </is>
      </c>
      <c r="O808" s="5" t="inlineStr">
        <is>
          <t>OMEGA X</t>
        </is>
      </c>
      <c r="P808" s="5" t="inlineStr">
        <is>
          <t>CARRO NA PORTARIA</t>
        </is>
      </c>
      <c r="Q808" s="5" t="n"/>
      <c r="R808" s="4" t="n"/>
      <c r="S808" s="4" t="n"/>
      <c r="T808" s="5" t="inlineStr">
        <is>
          <t>CARRO NA PORTARIA</t>
        </is>
      </c>
      <c r="U808" s="8">
        <f>IF(AND(V808=1,D808&lt;&gt;""),IF(D808&gt;=corte,TODAY()-D808,""),"")</f>
        <v/>
      </c>
      <c r="V808" s="8">
        <f>IF(D808="",0,IF(OR(AND(P808&lt;&gt;"",S808=""),AND(N(J808)&gt;0,N(K808)&lt;J808),OR(M808="PENDENTE",M808="PARCIAL"),OR(N808="PENDENTE",N808="PARCIAL")),1,0))</f>
        <v/>
      </c>
      <c r="W808" s="8">
        <f>IF(AND(V808=1,D808&lt;&gt;""),IF(D808&gt;=corte,(B808="CRÍTICO")*1E9+(100000-D808)*10000+10000-ROW(),""),"")</f>
        <v/>
      </c>
      <c r="X808" s="8">
        <f>IF(AND(V808=1,D808=pas_data,E808=pas_turno),10000-ROW(),"")</f>
        <v/>
      </c>
    </row>
    <row r="809">
      <c r="A809" s="3">
        <f>IF(D809="","","TT-"&amp;TEXT(ROW()-1,"00000"))</f>
        <v/>
      </c>
      <c r="B809" s="3">
        <f>IF(D809="","",IF(V809=0,"CONCLUÍDO",IF(D809&lt;corte,"HISTÓRICO",IF(OR(AND(ISNUMBER(R809),R809&lt;TODAY()),AND(OR(N809="PENDENTE",N809="PARCIAL"),D809&lt;TODAY()-1)),"CRÍTICO",IF(OR(AND(P809&lt;&gt;"",S809=""),AND(N809="REALIZADO",M809="PENDENTE"),AND(ISNUMBER(R809),R809=TODAY())),"ATENÇÃO",IF(N(K809)=0,"PENDENTE","EM ANDAMENTO"))))))</f>
        <v/>
      </c>
      <c r="C809" s="3">
        <f>IF(D809="","",IF(V809=0,"🟢 OK",IF(D809&lt;corte,"⚪ HISTÓRICO (sem baixa)",IF(AND(ISNUMBER(R809),R809&lt;TODAY()),"🔴 PRAZO VENCIDO",IF(AND(OR(N809="PENDENTE",N809="PARCIAL"),D809&lt;TODAY()-1),"🔴 EMBARQUE ATRASADO",IF(AND(N809="REALIZADO",M809="PENDENTE"),"🟡 EMBARCADO SEM FATURAR",IF(AND(P809&lt;&gt;"",S809="",OR(Q809="",R809="")),"🟡 PENDÊNCIA SEM RESPONSÁVEL/PRAZO",IF(AND(ISNUMBER(R809),R809=TODAY()),"🟡 VENCE HOJE",IF(AND(P809&lt;&gt;"",S809=""),"🟡 PENDÊNCIA ABERTA",IF(AND(N(J809)&gt;0,N(K809)&lt;J809),"🟡 FALTA EXECUTAR",IF(OR(M809="PENDENTE",M809="PARCIAL"),"🟡 FATURAMENTO PENDENTE","🟡 EMBARQUE PENDENTE")))))))))))</f>
        <v/>
      </c>
      <c r="D809" s="4" t="n">
        <v>46286</v>
      </c>
      <c r="E809" s="5" t="inlineStr">
        <is>
          <t>C</t>
        </is>
      </c>
      <c r="F809" s="5" t="inlineStr">
        <is>
          <t>ADIB</t>
        </is>
      </c>
      <c r="G809" s="5" t="inlineStr">
        <is>
          <t>FM</t>
        </is>
      </c>
      <c r="H809" s="5" t="inlineStr">
        <is>
          <t>PANDURATA</t>
        </is>
      </c>
      <c r="I809" s="5" t="inlineStr">
        <is>
          <t>TON</t>
        </is>
      </c>
      <c r="J809" s="6" t="n">
        <v>28.054</v>
      </c>
      <c r="K809" s="6" t="n">
        <v>28.054</v>
      </c>
      <c r="L809" s="7">
        <f>IF(OR(D809="",N(J809)=0),"",MIN(1,N(K809)/J809))</f>
        <v/>
      </c>
      <c r="M809" s="5" t="inlineStr">
        <is>
          <t>FATURADO</t>
        </is>
      </c>
      <c r="N809" s="5" t="inlineStr">
        <is>
          <t>REALIZADO</t>
        </is>
      </c>
      <c r="O809" s="5" t="inlineStr">
        <is>
          <t>SMARTLOG</t>
        </is>
      </c>
      <c r="P809" s="5" t="n"/>
      <c r="Q809" s="5" t="n"/>
      <c r="R809" s="4" t="n"/>
      <c r="S809" s="4" t="n"/>
      <c r="T809" s="5" t="inlineStr">
        <is>
          <t>SEPARADO CARREGADO E LIBERADO</t>
        </is>
      </c>
      <c r="U809" s="8">
        <f>IF(AND(V809=1,D809&lt;&gt;""),IF(D809&gt;=corte,TODAY()-D809,""),"")</f>
        <v/>
      </c>
      <c r="V809" s="8">
        <f>IF(D809="",0,IF(OR(AND(P809&lt;&gt;"",S809=""),AND(N(J809)&gt;0,N(K809)&lt;J809),OR(M809="PENDENTE",M809="PARCIAL"),OR(N809="PENDENTE",N809="PARCIAL")),1,0))</f>
        <v/>
      </c>
      <c r="W809" s="8">
        <f>IF(AND(V809=1,D809&lt;&gt;""),IF(D809&gt;=corte,(B809="CRÍTICO")*1E9+(100000-D809)*10000+10000-ROW(),""),"")</f>
        <v/>
      </c>
      <c r="X809" s="8">
        <f>IF(AND(V809=1,D809=pas_data,E809=pas_turno),10000-ROW(),"")</f>
        <v/>
      </c>
    </row>
    <row r="810">
      <c r="A810" s="3">
        <f>IF(D810="","","TT-"&amp;TEXT(ROW()-1,"00000"))</f>
        <v/>
      </c>
      <c r="B810" s="3">
        <f>IF(D810="","",IF(V810=0,"CONCLUÍDO",IF(D810&lt;corte,"HISTÓRICO",IF(OR(AND(ISNUMBER(R810),R810&lt;TODAY()),AND(OR(N810="PENDENTE",N810="PARCIAL"),D810&lt;TODAY()-1)),"CRÍTICO",IF(OR(AND(P810&lt;&gt;"",S810=""),AND(N810="REALIZADO",M810="PENDENTE"),AND(ISNUMBER(R810),R810=TODAY())),"ATENÇÃO",IF(N(K810)=0,"PENDENTE","EM ANDAMENTO"))))))</f>
        <v/>
      </c>
      <c r="C810" s="3">
        <f>IF(D810="","",IF(V810=0,"🟢 OK",IF(D810&lt;corte,"⚪ HISTÓRICO (sem baixa)",IF(AND(ISNUMBER(R810),R810&lt;TODAY()),"🔴 PRAZO VENCIDO",IF(AND(OR(N810="PENDENTE",N810="PARCIAL"),D810&lt;TODAY()-1),"🔴 EMBARQUE ATRASADO",IF(AND(N810="REALIZADO",M810="PENDENTE"),"🟡 EMBARCADO SEM FATURAR",IF(AND(P810&lt;&gt;"",S810="",OR(Q810="",R810="")),"🟡 PENDÊNCIA SEM RESPONSÁVEL/PRAZO",IF(AND(ISNUMBER(R810),R810=TODAY()),"🟡 VENCE HOJE",IF(AND(P810&lt;&gt;"",S810=""),"🟡 PENDÊNCIA ABERTA",IF(AND(N(J810)&gt;0,N(K810)&lt;J810),"🟡 FALTA EXECUTAR",IF(OR(M810="PENDENTE",M810="PARCIAL"),"🟡 FATURAMENTO PENDENTE","🟡 EMBARQUE PENDENTE")))))))))))</f>
        <v/>
      </c>
      <c r="D810" s="4" t="n">
        <v>46286</v>
      </c>
      <c r="E810" s="5" t="inlineStr">
        <is>
          <t>C</t>
        </is>
      </c>
      <c r="F810" s="5" t="inlineStr">
        <is>
          <t>ADIB</t>
        </is>
      </c>
      <c r="G810" s="5" t="inlineStr">
        <is>
          <t>FM</t>
        </is>
      </c>
      <c r="H810" s="5" t="inlineStr">
        <is>
          <t>PANDURATA GUARULHOS</t>
        </is>
      </c>
      <c r="I810" s="5" t="inlineStr">
        <is>
          <t>TON</t>
        </is>
      </c>
      <c r="J810" s="6" t="n">
        <v>28.054</v>
      </c>
      <c r="K810" s="6" t="n">
        <v>28.054</v>
      </c>
      <c r="L810" s="7">
        <f>IF(OR(D810="",N(J810)=0),"",MIN(1,N(K810)/J810))</f>
        <v/>
      </c>
      <c r="M810" s="5" t="inlineStr">
        <is>
          <t>FATURADO</t>
        </is>
      </c>
      <c r="N810" s="5" t="inlineStr">
        <is>
          <t>PENDENTE</t>
        </is>
      </c>
      <c r="O810" s="5" t="inlineStr">
        <is>
          <t>SPEEDYLOG</t>
        </is>
      </c>
      <c r="P810" s="5" t="inlineStr">
        <is>
          <t>AGUARDANDO CARRO</t>
        </is>
      </c>
      <c r="Q810" s="5" t="n"/>
      <c r="R810" s="4" t="n"/>
      <c r="S810" s="4" t="n"/>
      <c r="T810" s="5" t="inlineStr">
        <is>
          <t>AGUARDANDO CARRO</t>
        </is>
      </c>
      <c r="U810" s="8">
        <f>IF(AND(V810=1,D810&lt;&gt;""),IF(D810&gt;=corte,TODAY()-D810,""),"")</f>
        <v/>
      </c>
      <c r="V810" s="8">
        <f>IF(D810="",0,IF(OR(AND(P810&lt;&gt;"",S810=""),AND(N(J810)&gt;0,N(K810)&lt;J810),OR(M810="PENDENTE",M810="PARCIAL"),OR(N810="PENDENTE",N810="PARCIAL")),1,0))</f>
        <v/>
      </c>
      <c r="W810" s="8">
        <f>IF(AND(V810=1,D810&lt;&gt;""),IF(D810&gt;=corte,(B810="CRÍTICO")*1E9+(100000-D810)*10000+10000-ROW(),""),"")</f>
        <v/>
      </c>
      <c r="X810" s="8">
        <f>IF(AND(V810=1,D810=pas_data,E810=pas_turno),10000-ROW(),"")</f>
        <v/>
      </c>
    </row>
    <row r="811">
      <c r="A811" s="3">
        <f>IF(D811="","","TT-"&amp;TEXT(ROW()-1,"00000"))</f>
        <v/>
      </c>
      <c r="B811" s="3">
        <f>IF(D811="","",IF(V811=0,"CONCLUÍDO",IF(D811&lt;corte,"HISTÓRICO",IF(OR(AND(ISNUMBER(R811),R811&lt;TODAY()),AND(OR(N811="PENDENTE",N811="PARCIAL"),D811&lt;TODAY()-1)),"CRÍTICO",IF(OR(AND(P811&lt;&gt;"",S811=""),AND(N811="REALIZADO",M811="PENDENTE"),AND(ISNUMBER(R811),R811=TODAY())),"ATENÇÃO",IF(N(K811)=0,"PENDENTE","EM ANDAMENTO"))))))</f>
        <v/>
      </c>
      <c r="C811" s="3">
        <f>IF(D811="","",IF(V811=0,"🟢 OK",IF(D811&lt;corte,"⚪ HISTÓRICO (sem baixa)",IF(AND(ISNUMBER(R811),R811&lt;TODAY()),"🔴 PRAZO VENCIDO",IF(AND(OR(N811="PENDENTE",N811="PARCIAL"),D811&lt;TODAY()-1),"🔴 EMBARQUE ATRASADO",IF(AND(N811="REALIZADO",M811="PENDENTE"),"🟡 EMBARCADO SEM FATURAR",IF(AND(P811&lt;&gt;"",S811="",OR(Q811="",R811="")),"🟡 PENDÊNCIA SEM RESPONSÁVEL/PRAZO",IF(AND(ISNUMBER(R811),R811=TODAY()),"🟡 VENCE HOJE",IF(AND(P811&lt;&gt;"",S811=""),"🟡 PENDÊNCIA ABERTA",IF(AND(N(J811)&gt;0,N(K811)&lt;J811),"🟡 FALTA EXECUTAR",IF(OR(M811="PENDENTE",M811="PARCIAL"),"🟡 FATURAMENTO PENDENTE","🟡 EMBARQUE PENDENTE")))))))))))</f>
        <v/>
      </c>
      <c r="D811" s="4" t="n">
        <v>46286</v>
      </c>
      <c r="E811" s="5" t="inlineStr">
        <is>
          <t>C</t>
        </is>
      </c>
      <c r="F811" s="5" t="inlineStr">
        <is>
          <t>ADIB</t>
        </is>
      </c>
      <c r="G811" s="5" t="inlineStr">
        <is>
          <t>GM</t>
        </is>
      </c>
      <c r="H811" s="5" t="inlineStr">
        <is>
          <t>OESA COMERCIO</t>
        </is>
      </c>
      <c r="I811" s="5" t="inlineStr">
        <is>
          <t>TON</t>
        </is>
      </c>
      <c r="J811" s="6" t="n">
        <v>10.977</v>
      </c>
      <c r="K811" s="6" t="n">
        <v>10.977</v>
      </c>
      <c r="L811" s="7">
        <f>IF(OR(D811="",N(J811)=0),"",MIN(1,N(K811)/J811))</f>
        <v/>
      </c>
      <c r="M811" s="5" t="n"/>
      <c r="N811" s="5" t="n"/>
      <c r="O811" s="5" t="n"/>
      <c r="P811" s="5" t="inlineStr">
        <is>
          <t>RESTANTE GERADO FALTA SEPARAR</t>
        </is>
      </c>
      <c r="Q811" s="5" t="n"/>
      <c r="R811" s="4" t="n"/>
      <c r="S811" s="4" t="n"/>
      <c r="T811" s="5" t="inlineStr">
        <is>
          <t>RESTANTE GERADO FALTA SEPARAR</t>
        </is>
      </c>
      <c r="U811" s="8">
        <f>IF(AND(V811=1,D811&lt;&gt;""),IF(D811&gt;=corte,TODAY()-D811,""),"")</f>
        <v/>
      </c>
      <c r="V811" s="8">
        <f>IF(D811="",0,IF(OR(AND(P811&lt;&gt;"",S811=""),AND(N(J811)&gt;0,N(K811)&lt;J811),OR(M811="PENDENTE",M811="PARCIAL"),OR(N811="PENDENTE",N811="PARCIAL")),1,0))</f>
        <v/>
      </c>
      <c r="W811" s="8">
        <f>IF(AND(V811=1,D811&lt;&gt;""),IF(D811&gt;=corte,(B811="CRÍTICO")*1E9+(100000-D811)*10000+10000-ROW(),""),"")</f>
        <v/>
      </c>
      <c r="X811" s="8">
        <f>IF(AND(V811=1,D811=pas_data,E811=pas_turno),10000-ROW(),"")</f>
        <v/>
      </c>
    </row>
    <row r="812">
      <c r="A812" s="3">
        <f>IF(D812="","","TT-"&amp;TEXT(ROW()-1,"00000"))</f>
        <v/>
      </c>
      <c r="B812" s="3">
        <f>IF(D812="","",IF(V812=0,"CONCLUÍDO",IF(D812&lt;corte,"HISTÓRICO",IF(OR(AND(ISNUMBER(R812),R812&lt;TODAY()),AND(OR(N812="PENDENTE",N812="PARCIAL"),D812&lt;TODAY()-1)),"CRÍTICO",IF(OR(AND(P812&lt;&gt;"",S812=""),AND(N812="REALIZADO",M812="PENDENTE"),AND(ISNUMBER(R812),R812=TODAY())),"ATENÇÃO",IF(N(K812)=0,"PENDENTE","EM ANDAMENTO"))))))</f>
        <v/>
      </c>
      <c r="C812" s="3">
        <f>IF(D812="","",IF(V812=0,"🟢 OK",IF(D812&lt;corte,"⚪ HISTÓRICO (sem baixa)",IF(AND(ISNUMBER(R812),R812&lt;TODAY()),"🔴 PRAZO VENCIDO",IF(AND(OR(N812="PENDENTE",N812="PARCIAL"),D812&lt;TODAY()-1),"🔴 EMBARQUE ATRASADO",IF(AND(N812="REALIZADO",M812="PENDENTE"),"🟡 EMBARCADO SEM FATURAR",IF(AND(P812&lt;&gt;"",S812="",OR(Q812="",R812="")),"🟡 PENDÊNCIA SEM RESPONSÁVEL/PRAZO",IF(AND(ISNUMBER(R812),R812=TODAY()),"🟡 VENCE HOJE",IF(AND(P812&lt;&gt;"",S812=""),"🟡 PENDÊNCIA ABERTA",IF(AND(N(J812)&gt;0,N(K812)&lt;J812),"🟡 FALTA EXECUTAR",IF(OR(M812="PENDENTE",M812="PARCIAL"),"🟡 FATURAMENTO PENDENTE","🟡 EMBARQUE PENDENTE")))))))))))</f>
        <v/>
      </c>
      <c r="D812" s="4" t="n">
        <v>46286</v>
      </c>
      <c r="E812" s="5" t="inlineStr">
        <is>
          <t>C</t>
        </is>
      </c>
      <c r="F812" s="5" t="inlineStr">
        <is>
          <t>ADIB</t>
        </is>
      </c>
      <c r="G812" s="5" t="inlineStr">
        <is>
          <t>CACAU</t>
        </is>
      </c>
      <c r="H812" s="5" t="inlineStr">
        <is>
          <t>CACAU BR 15</t>
        </is>
      </c>
      <c r="I812" s="5" t="inlineStr">
        <is>
          <t>TON</t>
        </is>
      </c>
      <c r="J812" s="6" t="n">
        <v>8.17</v>
      </c>
      <c r="K812" s="6" t="n">
        <v>8.17</v>
      </c>
      <c r="L812" s="7">
        <f>IF(OR(D812="",N(J812)=0),"",MIN(1,N(K812)/J812))</f>
        <v/>
      </c>
      <c r="M812" s="5" t="inlineStr">
        <is>
          <t>FATURADO</t>
        </is>
      </c>
      <c r="N812" s="5" t="inlineStr">
        <is>
          <t>PENDENTE</t>
        </is>
      </c>
      <c r="O812" s="5" t="n"/>
      <c r="P812" s="5" t="n"/>
      <c r="Q812" s="5" t="n"/>
      <c r="R812" s="4" t="n"/>
      <c r="S812" s="4" t="n"/>
      <c r="T812" s="5" t="inlineStr">
        <is>
          <t>FATURADO</t>
        </is>
      </c>
      <c r="U812" s="8">
        <f>IF(AND(V812=1,D812&lt;&gt;""),IF(D812&gt;=corte,TODAY()-D812,""),"")</f>
        <v/>
      </c>
      <c r="V812" s="8">
        <f>IF(D812="",0,IF(OR(AND(P812&lt;&gt;"",S812=""),AND(N(J812)&gt;0,N(K812)&lt;J812),OR(M812="PENDENTE",M812="PARCIAL"),OR(N812="PENDENTE",N812="PARCIAL")),1,0))</f>
        <v/>
      </c>
      <c r="W812" s="8">
        <f>IF(AND(V812=1,D812&lt;&gt;""),IF(D812&gt;=corte,(B812="CRÍTICO")*1E9+(100000-D812)*10000+10000-ROW(),""),"")</f>
        <v/>
      </c>
      <c r="X812" s="8">
        <f>IF(AND(V812=1,D812=pas_data,E812=pas_turno),10000-ROW(),"")</f>
        <v/>
      </c>
    </row>
    <row r="813">
      <c r="A813" s="3">
        <f>IF(D813="","","TT-"&amp;TEXT(ROW()-1,"00000"))</f>
        <v/>
      </c>
      <c r="B813" s="3">
        <f>IF(D813="","",IF(V813=0,"CONCLUÍDO",IF(D813&lt;corte,"HISTÓRICO",IF(OR(AND(ISNUMBER(R813),R813&lt;TODAY()),AND(OR(N813="PENDENTE",N813="PARCIAL"),D813&lt;TODAY()-1)),"CRÍTICO",IF(OR(AND(P813&lt;&gt;"",S813=""),AND(N813="REALIZADO",M813="PENDENTE"),AND(ISNUMBER(R813),R813=TODAY())),"ATENÇÃO",IF(N(K813)=0,"PENDENTE","EM ANDAMENTO"))))))</f>
        <v/>
      </c>
      <c r="C813" s="3">
        <f>IF(D813="","",IF(V813=0,"🟢 OK",IF(D813&lt;corte,"⚪ HISTÓRICO (sem baixa)",IF(AND(ISNUMBER(R813),R813&lt;TODAY()),"🔴 PRAZO VENCIDO",IF(AND(OR(N813="PENDENTE",N813="PARCIAL"),D813&lt;TODAY()-1),"🔴 EMBARQUE ATRASADO",IF(AND(N813="REALIZADO",M813="PENDENTE"),"🟡 EMBARCADO SEM FATURAR",IF(AND(P813&lt;&gt;"",S813="",OR(Q813="",R813="")),"🟡 PENDÊNCIA SEM RESPONSÁVEL/PRAZO",IF(AND(ISNUMBER(R813),R813=TODAY()),"🟡 VENCE HOJE",IF(AND(P813&lt;&gt;"",S813=""),"🟡 PENDÊNCIA ABERTA",IF(AND(N(J813)&gt;0,N(K813)&lt;J813),"🟡 FALTA EXECUTAR",IF(OR(M813="PENDENTE",M813="PARCIAL"),"🟡 FATURAMENTO PENDENTE","🟡 EMBARQUE PENDENTE")))))))))))</f>
        <v/>
      </c>
      <c r="D813" s="4" t="n">
        <v>46286</v>
      </c>
      <c r="E813" s="5" t="inlineStr">
        <is>
          <t>D</t>
        </is>
      </c>
      <c r="F813" s="5" t="inlineStr">
        <is>
          <t>VINICIUS</t>
        </is>
      </c>
      <c r="G813" s="5" t="inlineStr">
        <is>
          <t>GM</t>
        </is>
      </c>
      <c r="H813" s="5" t="inlineStr">
        <is>
          <t>SMARTLOG DIRETAS 17/09</t>
        </is>
      </c>
      <c r="I813" s="5" t="inlineStr">
        <is>
          <t>TON</t>
        </is>
      </c>
      <c r="J813" s="6" t="n">
        <v>5.806</v>
      </c>
      <c r="K813" s="6" t="n">
        <v>5.806</v>
      </c>
      <c r="L813" s="7">
        <f>IF(OR(D813="",N(J813)=0),"",MIN(1,N(K813)/J813))</f>
        <v/>
      </c>
      <c r="M813" s="5" t="inlineStr">
        <is>
          <t>PENDENTE</t>
        </is>
      </c>
      <c r="N813" s="5" t="inlineStr">
        <is>
          <t>PENDENTE</t>
        </is>
      </c>
      <c r="O813" s="5" t="inlineStr">
        <is>
          <t>SMARTLOG</t>
        </is>
      </c>
      <c r="P813" s="5" t="inlineStr">
        <is>
          <t>AGUARDANDO FATURAMENTO</t>
        </is>
      </c>
      <c r="Q813" s="5" t="n"/>
      <c r="R813" s="4" t="n"/>
      <c r="S813" s="4" t="n"/>
      <c r="T813" s="5" t="inlineStr">
        <is>
          <t>AGUARDANDO FATURAMENTO</t>
        </is>
      </c>
      <c r="U813" s="8">
        <f>IF(AND(V813=1,D813&lt;&gt;""),IF(D813&gt;=corte,TODAY()-D813,""),"")</f>
        <v/>
      </c>
      <c r="V813" s="8">
        <f>IF(D813="",0,IF(OR(AND(P813&lt;&gt;"",S813=""),AND(N(J813)&gt;0,N(K813)&lt;J813),OR(M813="PENDENTE",M813="PARCIAL"),OR(N813="PENDENTE",N813="PARCIAL")),1,0))</f>
        <v/>
      </c>
      <c r="W813" s="8">
        <f>IF(AND(V813=1,D813&lt;&gt;""),IF(D813&gt;=corte,(B813="CRÍTICO")*1E9+(100000-D813)*10000+10000-ROW(),""),"")</f>
        <v/>
      </c>
      <c r="X813" s="8">
        <f>IF(AND(V813=1,D813=pas_data,E813=pas_turno),10000-ROW(),"")</f>
        <v/>
      </c>
    </row>
    <row r="814">
      <c r="A814" s="3">
        <f>IF(D814="","","TT-"&amp;TEXT(ROW()-1,"00000"))</f>
        <v/>
      </c>
      <c r="B814" s="3">
        <f>IF(D814="","",IF(V814=0,"CONCLUÍDO",IF(D814&lt;corte,"HISTÓRICO",IF(OR(AND(ISNUMBER(R814),R814&lt;TODAY()),AND(OR(N814="PENDENTE",N814="PARCIAL"),D814&lt;TODAY()-1)),"CRÍTICO",IF(OR(AND(P814&lt;&gt;"",S814=""),AND(N814="REALIZADO",M814="PENDENTE"),AND(ISNUMBER(R814),R814=TODAY())),"ATENÇÃO",IF(N(K814)=0,"PENDENTE","EM ANDAMENTO"))))))</f>
        <v/>
      </c>
      <c r="C814" s="3">
        <f>IF(D814="","",IF(V814=0,"🟢 OK",IF(D814&lt;corte,"⚪ HISTÓRICO (sem baixa)",IF(AND(ISNUMBER(R814),R814&lt;TODAY()),"🔴 PRAZO VENCIDO",IF(AND(OR(N814="PENDENTE",N814="PARCIAL"),D814&lt;TODAY()-1),"🔴 EMBARQUE ATRASADO",IF(AND(N814="REALIZADO",M814="PENDENTE"),"🟡 EMBARCADO SEM FATURAR",IF(AND(P814&lt;&gt;"",S814="",OR(Q814="",R814="")),"🟡 PENDÊNCIA SEM RESPONSÁVEL/PRAZO",IF(AND(ISNUMBER(R814),R814=TODAY()),"🟡 VENCE HOJE",IF(AND(P814&lt;&gt;"",S814=""),"🟡 PENDÊNCIA ABERTA",IF(AND(N(J814)&gt;0,N(K814)&lt;J814),"🟡 FALTA EXECUTAR",IF(OR(M814="PENDENTE",M814="PARCIAL"),"🟡 FATURAMENTO PENDENTE","🟡 EMBARQUE PENDENTE")))))))))))</f>
        <v/>
      </c>
      <c r="D814" s="4" t="n">
        <v>46286</v>
      </c>
      <c r="E814" s="5" t="inlineStr">
        <is>
          <t>D</t>
        </is>
      </c>
      <c r="F814" s="5" t="inlineStr">
        <is>
          <t>VINICIUS</t>
        </is>
      </c>
      <c r="G814" s="5" t="inlineStr">
        <is>
          <t>GM</t>
        </is>
      </c>
      <c r="H814" s="5" t="inlineStr">
        <is>
          <t>OESA COMERCIO</t>
        </is>
      </c>
      <c r="I814" s="5" t="inlineStr">
        <is>
          <t>TON</t>
        </is>
      </c>
      <c r="J814" s="6" t="n">
        <v>13.378</v>
      </c>
      <c r="K814" s="6" t="n">
        <v>13.378</v>
      </c>
      <c r="L814" s="7">
        <f>IF(OR(D814="",N(J814)=0),"",MIN(1,N(K814)/J814))</f>
        <v/>
      </c>
      <c r="M814" s="5" t="inlineStr">
        <is>
          <t>FATURADO</t>
        </is>
      </c>
      <c r="N814" s="5" t="inlineStr">
        <is>
          <t>PENDENTE</t>
        </is>
      </c>
      <c r="O814" s="5" t="inlineStr">
        <is>
          <t>PRÓPRIO</t>
        </is>
      </c>
      <c r="P814" s="5" t="inlineStr">
        <is>
          <t>AGUARDANDO COLETA</t>
        </is>
      </c>
      <c r="Q814" s="5" t="n"/>
      <c r="R814" s="4" t="n"/>
      <c r="S814" s="4" t="n"/>
      <c r="T814" s="5" t="inlineStr">
        <is>
          <t>AGUARDANDO COLETA</t>
        </is>
      </c>
      <c r="U814" s="8">
        <f>IF(AND(V814=1,D814&lt;&gt;""),IF(D814&gt;=corte,TODAY()-D814,""),"")</f>
        <v/>
      </c>
      <c r="V814" s="8">
        <f>IF(D814="",0,IF(OR(AND(P814&lt;&gt;"",S814=""),AND(N(J814)&gt;0,N(K814)&lt;J814),OR(M814="PENDENTE",M814="PARCIAL"),OR(N814="PENDENTE",N814="PARCIAL")),1,0))</f>
        <v/>
      </c>
      <c r="W814" s="8">
        <f>IF(AND(V814=1,D814&lt;&gt;""),IF(D814&gt;=corte,(B814="CRÍTICO")*1E9+(100000-D814)*10000+10000-ROW(),""),"")</f>
        <v/>
      </c>
      <c r="X814" s="8">
        <f>IF(AND(V814=1,D814=pas_data,E814=pas_turno),10000-ROW(),"")</f>
        <v/>
      </c>
    </row>
    <row r="815">
      <c r="A815" s="3">
        <f>IF(D815="","","TT-"&amp;TEXT(ROW()-1,"00000"))</f>
        <v/>
      </c>
      <c r="B815" s="3">
        <f>IF(D815="","",IF(V815=0,"CONCLUÍDO",IF(D815&lt;corte,"HISTÓRICO",IF(OR(AND(ISNUMBER(R815),R815&lt;TODAY()),AND(OR(N815="PENDENTE",N815="PARCIAL"),D815&lt;TODAY()-1)),"CRÍTICO",IF(OR(AND(P815&lt;&gt;"",S815=""),AND(N815="REALIZADO",M815="PENDENTE"),AND(ISNUMBER(R815),R815=TODAY())),"ATENÇÃO",IF(N(K815)=0,"PENDENTE","EM ANDAMENTO"))))))</f>
        <v/>
      </c>
      <c r="C815" s="3">
        <f>IF(D815="","",IF(V815=0,"🟢 OK",IF(D815&lt;corte,"⚪ HISTÓRICO (sem baixa)",IF(AND(ISNUMBER(R815),R815&lt;TODAY()),"🔴 PRAZO VENCIDO",IF(AND(OR(N815="PENDENTE",N815="PARCIAL"),D815&lt;TODAY()-1),"🔴 EMBARQUE ATRASADO",IF(AND(N815="REALIZADO",M815="PENDENTE"),"🟡 EMBARCADO SEM FATURAR",IF(AND(P815&lt;&gt;"",S815="",OR(Q815="",R815="")),"🟡 PENDÊNCIA SEM RESPONSÁVEL/PRAZO",IF(AND(ISNUMBER(R815),R815=TODAY()),"🟡 VENCE HOJE",IF(AND(P815&lt;&gt;"",S815=""),"🟡 PENDÊNCIA ABERTA",IF(AND(N(J815)&gt;0,N(K815)&lt;J815),"🟡 FALTA EXECUTAR",IF(OR(M815="PENDENTE",M815="PARCIAL"),"🟡 FATURAMENTO PENDENTE","🟡 EMBARQUE PENDENTE")))))))))))</f>
        <v/>
      </c>
      <c r="D815" s="4" t="n">
        <v>46286</v>
      </c>
      <c r="E815" s="5" t="inlineStr">
        <is>
          <t>D</t>
        </is>
      </c>
      <c r="F815" s="5" t="inlineStr">
        <is>
          <t>VINICIUS</t>
        </is>
      </c>
      <c r="G815" s="5" t="inlineStr">
        <is>
          <t>FM</t>
        </is>
      </c>
      <c r="H815" s="5" t="inlineStr">
        <is>
          <t>PANDURATA 17873988</t>
        </is>
      </c>
      <c r="I815" s="5" t="inlineStr">
        <is>
          <t>TON</t>
        </is>
      </c>
      <c r="J815" s="6" t="n">
        <v>27.339</v>
      </c>
      <c r="K815" s="6" t="n">
        <v>27.339</v>
      </c>
      <c r="L815" s="7">
        <f>IF(OR(D815="",N(J815)=0),"",MIN(1,N(K815)/J815))</f>
        <v/>
      </c>
      <c r="M815" s="5" t="inlineStr">
        <is>
          <t>FATURADO</t>
        </is>
      </c>
      <c r="N815" s="5" t="inlineStr">
        <is>
          <t>PENDENTE</t>
        </is>
      </c>
      <c r="O815" s="5" t="inlineStr">
        <is>
          <t>SPEEDYLOG</t>
        </is>
      </c>
      <c r="P815" s="5" t="inlineStr">
        <is>
          <t>AGUARDANDO COLETA</t>
        </is>
      </c>
      <c r="Q815" s="5" t="n"/>
      <c r="R815" s="4" t="n"/>
      <c r="S815" s="4" t="n"/>
      <c r="T815" s="5" t="inlineStr">
        <is>
          <t>AGUARDANDO COLETA</t>
        </is>
      </c>
      <c r="U815" s="8">
        <f>IF(AND(V815=1,D815&lt;&gt;""),IF(D815&gt;=corte,TODAY()-D815,""),"")</f>
        <v/>
      </c>
      <c r="V815" s="8">
        <f>IF(D815="",0,IF(OR(AND(P815&lt;&gt;"",S815=""),AND(N(J815)&gt;0,N(K815)&lt;J815),OR(M815="PENDENTE",M815="PARCIAL"),OR(N815="PENDENTE",N815="PARCIAL")),1,0))</f>
        <v/>
      </c>
      <c r="W815" s="8">
        <f>IF(AND(V815=1,D815&lt;&gt;""),IF(D815&gt;=corte,(B815="CRÍTICO")*1E9+(100000-D815)*10000+10000-ROW(),""),"")</f>
        <v/>
      </c>
      <c r="X815" s="8">
        <f>IF(AND(V815=1,D815=pas_data,E815=pas_turno),10000-ROW(),"")</f>
        <v/>
      </c>
    </row>
    <row r="816">
      <c r="A816" s="3">
        <f>IF(D816="","","TT-"&amp;TEXT(ROW()-1,"00000"))</f>
        <v/>
      </c>
      <c r="B816" s="3">
        <f>IF(D816="","",IF(V816=0,"CONCLUÍDO",IF(D816&lt;corte,"HISTÓRICO",IF(OR(AND(ISNUMBER(R816),R816&lt;TODAY()),AND(OR(N816="PENDENTE",N816="PARCIAL"),D816&lt;TODAY()-1)),"CRÍTICO",IF(OR(AND(P816&lt;&gt;"",S816=""),AND(N816="REALIZADO",M816="PENDENTE"),AND(ISNUMBER(R816),R816=TODAY())),"ATENÇÃO",IF(N(K816)=0,"PENDENTE","EM ANDAMENTO"))))))</f>
        <v/>
      </c>
      <c r="C816" s="3">
        <f>IF(D816="","",IF(V816=0,"🟢 OK",IF(D816&lt;corte,"⚪ HISTÓRICO (sem baixa)",IF(AND(ISNUMBER(R816),R816&lt;TODAY()),"🔴 PRAZO VENCIDO",IF(AND(OR(N816="PENDENTE",N816="PARCIAL"),D816&lt;TODAY()-1),"🔴 EMBARQUE ATRASADO",IF(AND(N816="REALIZADO",M816="PENDENTE"),"🟡 EMBARCADO SEM FATURAR",IF(AND(P816&lt;&gt;"",S816="",OR(Q816="",R816="")),"🟡 PENDÊNCIA SEM RESPONSÁVEL/PRAZO",IF(AND(ISNUMBER(R816),R816=TODAY()),"🟡 VENCE HOJE",IF(AND(P816&lt;&gt;"",S816=""),"🟡 PENDÊNCIA ABERTA",IF(AND(N(J816)&gt;0,N(K816)&lt;J816),"🟡 FALTA EXECUTAR",IF(OR(M816="PENDENTE",M816="PARCIAL"),"🟡 FATURAMENTO PENDENTE","🟡 EMBARQUE PENDENTE")))))))))))</f>
        <v/>
      </c>
      <c r="D816" s="4" t="n">
        <v>46286</v>
      </c>
      <c r="E816" s="5" t="inlineStr">
        <is>
          <t>D</t>
        </is>
      </c>
      <c r="F816" s="5" t="inlineStr">
        <is>
          <t>VINICIUS</t>
        </is>
      </c>
      <c r="G816" s="5" t="inlineStr">
        <is>
          <t>TRANSFERÊNCIA</t>
        </is>
      </c>
      <c r="H816" s="5" t="inlineStr">
        <is>
          <t>RECEBIMENTO TRANSF. OMX</t>
        </is>
      </c>
      <c r="I816" s="5" t="inlineStr">
        <is>
          <t>TON</t>
        </is>
      </c>
      <c r="J816" s="6" t="n">
        <v>18.871</v>
      </c>
      <c r="K816" s="6" t="n">
        <v>18.871</v>
      </c>
      <c r="L816" s="7">
        <f>IF(OR(D816="",N(J816)=0),"",MIN(1,N(K816)/J816))</f>
        <v/>
      </c>
      <c r="M816" s="5" t="n"/>
      <c r="N816" s="5" t="n"/>
      <c r="O816" s="5" t="n"/>
      <c r="P816" s="5" t="inlineStr">
        <is>
          <t>PENDENTE DAR ENTRADA</t>
        </is>
      </c>
      <c r="Q816" s="5" t="n"/>
      <c r="R816" s="4" t="n"/>
      <c r="S816" s="4" t="n"/>
      <c r="T816" s="5" t="inlineStr">
        <is>
          <t>PENDENTE DAR ENTRADA [MIGRAÇÃO: programação original: TRANSFERENCIA]</t>
        </is>
      </c>
      <c r="U816" s="8">
        <f>IF(AND(V816=1,D816&lt;&gt;""),IF(D816&gt;=corte,TODAY()-D816,""),"")</f>
        <v/>
      </c>
      <c r="V816" s="8">
        <f>IF(D816="",0,IF(OR(AND(P816&lt;&gt;"",S816=""),AND(N(J816)&gt;0,N(K816)&lt;J816),OR(M816="PENDENTE",M816="PARCIAL"),OR(N816="PENDENTE",N816="PARCIAL")),1,0))</f>
        <v/>
      </c>
      <c r="W816" s="8">
        <f>IF(AND(V816=1,D816&lt;&gt;""),IF(D816&gt;=corte,(B816="CRÍTICO")*1E9+(100000-D816)*10000+10000-ROW(),""),"")</f>
        <v/>
      </c>
      <c r="X816" s="8">
        <f>IF(AND(V816=1,D816=pas_data,E816=pas_turno),10000-ROW(),"")</f>
        <v/>
      </c>
    </row>
    <row r="817">
      <c r="A817" s="3">
        <f>IF(D817="","","TT-"&amp;TEXT(ROW()-1,"00000"))</f>
        <v/>
      </c>
      <c r="B817" s="3">
        <f>IF(D817="","",IF(V817=0,"CONCLUÍDO",IF(D817&lt;corte,"HISTÓRICO",IF(OR(AND(ISNUMBER(R817),R817&lt;TODAY()),AND(OR(N817="PENDENTE",N817="PARCIAL"),D817&lt;TODAY()-1)),"CRÍTICO",IF(OR(AND(P817&lt;&gt;"",S817=""),AND(N817="REALIZADO",M817="PENDENTE"),AND(ISNUMBER(R817),R817=TODAY())),"ATENÇÃO",IF(N(K817)=0,"PENDENTE","EM ANDAMENTO"))))))</f>
        <v/>
      </c>
      <c r="C817" s="3">
        <f>IF(D817="","",IF(V817=0,"🟢 OK",IF(D817&lt;corte,"⚪ HISTÓRICO (sem baixa)",IF(AND(ISNUMBER(R817),R817&lt;TODAY()),"🔴 PRAZO VENCIDO",IF(AND(OR(N817="PENDENTE",N817="PARCIAL"),D817&lt;TODAY()-1),"🔴 EMBARQUE ATRASADO",IF(AND(N817="REALIZADO",M817="PENDENTE"),"🟡 EMBARCADO SEM FATURAR",IF(AND(P817&lt;&gt;"",S817="",OR(Q817="",R817="")),"🟡 PENDÊNCIA SEM RESPONSÁVEL/PRAZO",IF(AND(ISNUMBER(R817),R817=TODAY()),"🟡 VENCE HOJE",IF(AND(P817&lt;&gt;"",S817=""),"🟡 PENDÊNCIA ABERTA",IF(AND(N(J817)&gt;0,N(K817)&lt;J817),"🟡 FALTA EXECUTAR",IF(OR(M817="PENDENTE",M817="PARCIAL"),"🟡 FATURAMENTO PENDENTE","🟡 EMBARQUE PENDENTE")))))))))))</f>
        <v/>
      </c>
      <c r="D817" s="4" t="n">
        <v>46286</v>
      </c>
      <c r="E817" s="5" t="inlineStr">
        <is>
          <t>D</t>
        </is>
      </c>
      <c r="F817" s="5" t="inlineStr">
        <is>
          <t>VINICIUS</t>
        </is>
      </c>
      <c r="G817" s="5" t="inlineStr">
        <is>
          <t>FM</t>
        </is>
      </c>
      <c r="H817" s="5" t="inlineStr">
        <is>
          <t>PANDURATA 17870319</t>
        </is>
      </c>
      <c r="I817" s="5" t="inlineStr">
        <is>
          <t>TON</t>
        </is>
      </c>
      <c r="J817" s="6" t="n">
        <v>28.054</v>
      </c>
      <c r="K817" s="6" t="n">
        <v>28.054</v>
      </c>
      <c r="L817" s="7">
        <f>IF(OR(D817="",N(J817)=0),"",MIN(1,N(K817)/J817))</f>
        <v/>
      </c>
      <c r="M817" s="5" t="inlineStr">
        <is>
          <t>FATURADO</t>
        </is>
      </c>
      <c r="N817" s="5" t="inlineStr">
        <is>
          <t>PENDENTE</t>
        </is>
      </c>
      <c r="O817" s="5" t="inlineStr">
        <is>
          <t>SPEEDYLOG</t>
        </is>
      </c>
      <c r="P817" s="5" t="inlineStr">
        <is>
          <t>AGUARDANDO COLETA</t>
        </is>
      </c>
      <c r="Q817" s="5" t="n"/>
      <c r="R817" s="4" t="n"/>
      <c r="S817" s="4" t="n"/>
      <c r="T817" s="5" t="inlineStr">
        <is>
          <t>AGUARDANDO COLETA</t>
        </is>
      </c>
      <c r="U817" s="8">
        <f>IF(AND(V817=1,D817&lt;&gt;""),IF(D817&gt;=corte,TODAY()-D817,""),"")</f>
        <v/>
      </c>
      <c r="V817" s="8">
        <f>IF(D817="",0,IF(OR(AND(P817&lt;&gt;"",S817=""),AND(N(J817)&gt;0,N(K817)&lt;J817),OR(M817="PENDENTE",M817="PARCIAL"),OR(N817="PENDENTE",N817="PARCIAL")),1,0))</f>
        <v/>
      </c>
      <c r="W817" s="8">
        <f>IF(AND(V817=1,D817&lt;&gt;""),IF(D817&gt;=corte,(B817="CRÍTICO")*1E9+(100000-D817)*10000+10000-ROW(),""),"")</f>
        <v/>
      </c>
      <c r="X817" s="8">
        <f>IF(AND(V817=1,D817=pas_data,E817=pas_turno),10000-ROW(),"")</f>
        <v/>
      </c>
    </row>
    <row r="818">
      <c r="A818" s="3">
        <f>IF(D818="","","TT-"&amp;TEXT(ROW()-1,"00000"))</f>
        <v/>
      </c>
      <c r="B818" s="3">
        <f>IF(D818="","",IF(V818=0,"CONCLUÍDO",IF(D818&lt;corte,"HISTÓRICO",IF(OR(AND(ISNUMBER(R818),R818&lt;TODAY()),AND(OR(N818="PENDENTE",N818="PARCIAL"),D818&lt;TODAY()-1)),"CRÍTICO",IF(OR(AND(P818&lt;&gt;"",S818=""),AND(N818="REALIZADO",M818="PENDENTE"),AND(ISNUMBER(R818),R818=TODAY())),"ATENÇÃO",IF(N(K818)=0,"PENDENTE","EM ANDAMENTO"))))))</f>
        <v/>
      </c>
      <c r="C818" s="3">
        <f>IF(D818="","",IF(V818=0,"🟢 OK",IF(D818&lt;corte,"⚪ HISTÓRICO (sem baixa)",IF(AND(ISNUMBER(R818),R818&lt;TODAY()),"🔴 PRAZO VENCIDO",IF(AND(OR(N818="PENDENTE",N818="PARCIAL"),D818&lt;TODAY()-1),"🔴 EMBARQUE ATRASADO",IF(AND(N818="REALIZADO",M818="PENDENTE"),"🟡 EMBARCADO SEM FATURAR",IF(AND(P818&lt;&gt;"",S818="",OR(Q818="",R818="")),"🟡 PENDÊNCIA SEM RESPONSÁVEL/PRAZO",IF(AND(ISNUMBER(R818),R818=TODAY()),"🟡 VENCE HOJE",IF(AND(P818&lt;&gt;"",S818=""),"🟡 PENDÊNCIA ABERTA",IF(AND(N(J818)&gt;0,N(K818)&lt;J818),"🟡 FALTA EXECUTAR",IF(OR(M818="PENDENTE",M818="PARCIAL"),"🟡 FATURAMENTO PENDENTE","🟡 EMBARQUE PENDENTE")))))))))))</f>
        <v/>
      </c>
      <c r="D818" s="4" t="n">
        <v>46286</v>
      </c>
      <c r="E818" s="5" t="inlineStr">
        <is>
          <t>D</t>
        </is>
      </c>
      <c r="F818" s="5" t="inlineStr">
        <is>
          <t>VINICIUS</t>
        </is>
      </c>
      <c r="G818" s="5" t="inlineStr">
        <is>
          <t>GM</t>
        </is>
      </c>
      <c r="H818" s="5" t="inlineStr">
        <is>
          <t>M DIAS</t>
        </is>
      </c>
      <c r="I818" s="5" t="inlineStr">
        <is>
          <t>TON</t>
        </is>
      </c>
      <c r="J818" s="6" t="n">
        <v>24.126</v>
      </c>
      <c r="K818" s="6" t="n">
        <v>24.126</v>
      </c>
      <c r="L818" s="7">
        <f>IF(OR(D818="",N(J818)=0),"",MIN(1,N(K818)/J818))</f>
        <v/>
      </c>
      <c r="M818" s="5" t="inlineStr">
        <is>
          <t>FATURADO</t>
        </is>
      </c>
      <c r="N818" s="5" t="inlineStr">
        <is>
          <t>REALIZADO</t>
        </is>
      </c>
      <c r="O818" s="5" t="inlineStr">
        <is>
          <t>SPEEDYLOG</t>
        </is>
      </c>
      <c r="P818" s="5" t="n"/>
      <c r="Q818" s="5" t="n"/>
      <c r="R818" s="4" t="n"/>
      <c r="S818" s="4" t="n"/>
      <c r="T818" s="5" t="inlineStr">
        <is>
          <t>EMBARCADO E LIBERADO</t>
        </is>
      </c>
      <c r="U818" s="8">
        <f>IF(AND(V818=1,D818&lt;&gt;""),IF(D818&gt;=corte,TODAY()-D818,""),"")</f>
        <v/>
      </c>
      <c r="V818" s="8">
        <f>IF(D818="",0,IF(OR(AND(P818&lt;&gt;"",S818=""),AND(N(J818)&gt;0,N(K818)&lt;J818),OR(M818="PENDENTE",M818="PARCIAL"),OR(N818="PENDENTE",N818="PARCIAL")),1,0))</f>
        <v/>
      </c>
      <c r="W818" s="8">
        <f>IF(AND(V818=1,D818&lt;&gt;""),IF(D818&gt;=corte,(B818="CRÍTICO")*1E9+(100000-D818)*10000+10000-ROW(),""),"")</f>
        <v/>
      </c>
      <c r="X818" s="8">
        <f>IF(AND(V818=1,D818=pas_data,E818=pas_turno),10000-ROW(),"")</f>
        <v/>
      </c>
    </row>
    <row r="819">
      <c r="A819" s="3">
        <f>IF(D819="","","TT-"&amp;TEXT(ROW()-1,"00000"))</f>
        <v/>
      </c>
      <c r="B819" s="3">
        <f>IF(D819="","",IF(V819=0,"CONCLUÍDO",IF(D819&lt;corte,"HISTÓRICO",IF(OR(AND(ISNUMBER(R819),R819&lt;TODAY()),AND(OR(N819="PENDENTE",N819="PARCIAL"),D819&lt;TODAY()-1)),"CRÍTICO",IF(OR(AND(P819&lt;&gt;"",S819=""),AND(N819="REALIZADO",M819="PENDENTE"),AND(ISNUMBER(R819),R819=TODAY())),"ATENÇÃO",IF(N(K819)=0,"PENDENTE","EM ANDAMENTO"))))))</f>
        <v/>
      </c>
      <c r="C819" s="3">
        <f>IF(D819="","",IF(V819=0,"🟢 OK",IF(D819&lt;corte,"⚪ HISTÓRICO (sem baixa)",IF(AND(ISNUMBER(R819),R819&lt;TODAY()),"🔴 PRAZO VENCIDO",IF(AND(OR(N819="PENDENTE",N819="PARCIAL"),D819&lt;TODAY()-1),"🔴 EMBARQUE ATRASADO",IF(AND(N819="REALIZADO",M819="PENDENTE"),"🟡 EMBARCADO SEM FATURAR",IF(AND(P819&lt;&gt;"",S819="",OR(Q819="",R819="")),"🟡 PENDÊNCIA SEM RESPONSÁVEL/PRAZO",IF(AND(ISNUMBER(R819),R819=TODAY()),"🟡 VENCE HOJE",IF(AND(P819&lt;&gt;"",S819=""),"🟡 PENDÊNCIA ABERTA",IF(AND(N(J819)&gt;0,N(K819)&lt;J819),"🟡 FALTA EXECUTAR",IF(OR(M819="PENDENTE",M819="PARCIAL"),"🟡 FATURAMENTO PENDENTE","🟡 EMBARQUE PENDENTE")))))))))))</f>
        <v/>
      </c>
      <c r="D819" s="4" t="n">
        <v>46286</v>
      </c>
      <c r="E819" s="5" t="inlineStr">
        <is>
          <t>D</t>
        </is>
      </c>
      <c r="F819" s="5" t="inlineStr">
        <is>
          <t>VINICIUS</t>
        </is>
      </c>
      <c r="G819" s="5" t="inlineStr">
        <is>
          <t>GM</t>
        </is>
      </c>
      <c r="H819" s="5" t="inlineStr">
        <is>
          <t>ROTA MG</t>
        </is>
      </c>
      <c r="I819" s="5" t="inlineStr">
        <is>
          <t>TON</t>
        </is>
      </c>
      <c r="J819" s="6" t="n">
        <v>0.486</v>
      </c>
      <c r="K819" s="6" t="n">
        <v>0.486</v>
      </c>
      <c r="L819" s="7">
        <f>IF(OR(D819="",N(J819)=0),"",MIN(1,N(K819)/J819))</f>
        <v/>
      </c>
      <c r="M819" s="5" t="inlineStr">
        <is>
          <t>FATURADO</t>
        </is>
      </c>
      <c r="N819" s="5" t="inlineStr">
        <is>
          <t>PENDENTE</t>
        </is>
      </c>
      <c r="O819" s="5" t="inlineStr">
        <is>
          <t>BORA</t>
        </is>
      </c>
      <c r="P819" s="5" t="inlineStr">
        <is>
          <t>AGUARDANDO COLETA</t>
        </is>
      </c>
      <c r="Q819" s="5" t="n"/>
      <c r="R819" s="4" t="n"/>
      <c r="S819" s="4" t="n"/>
      <c r="T819" s="5" t="inlineStr">
        <is>
          <t>AGUARDANDO COLETA</t>
        </is>
      </c>
      <c r="U819" s="8">
        <f>IF(AND(V819=1,D819&lt;&gt;""),IF(D819&gt;=corte,TODAY()-D819,""),"")</f>
        <v/>
      </c>
      <c r="V819" s="8">
        <f>IF(D819="",0,IF(OR(AND(P819&lt;&gt;"",S819=""),AND(N(J819)&gt;0,N(K819)&lt;J819),OR(M819="PENDENTE",M819="PARCIAL"),OR(N819="PENDENTE",N819="PARCIAL")),1,0))</f>
        <v/>
      </c>
      <c r="W819" s="8">
        <f>IF(AND(V819=1,D819&lt;&gt;""),IF(D819&gt;=corte,(B819="CRÍTICO")*1E9+(100000-D819)*10000+10000-ROW(),""),"")</f>
        <v/>
      </c>
      <c r="X819" s="8">
        <f>IF(AND(V819=1,D819=pas_data,E819=pas_turno),10000-ROW(),"")</f>
        <v/>
      </c>
    </row>
    <row r="820">
      <c r="A820" s="3">
        <f>IF(D820="","","TT-"&amp;TEXT(ROW()-1,"00000"))</f>
        <v/>
      </c>
      <c r="B820" s="3">
        <f>IF(D820="","",IF(V820=0,"CONCLUÍDO",IF(D820&lt;corte,"HISTÓRICO",IF(OR(AND(ISNUMBER(R820),R820&lt;TODAY()),AND(OR(N820="PENDENTE",N820="PARCIAL"),D820&lt;TODAY()-1)),"CRÍTICO",IF(OR(AND(P820&lt;&gt;"",S820=""),AND(N820="REALIZADO",M820="PENDENTE"),AND(ISNUMBER(R820),R820=TODAY())),"ATENÇÃO",IF(N(K820)=0,"PENDENTE","EM ANDAMENTO"))))))</f>
        <v/>
      </c>
      <c r="C820" s="3">
        <f>IF(D820="","",IF(V820=0,"🟢 OK",IF(D820&lt;corte,"⚪ HISTÓRICO (sem baixa)",IF(AND(ISNUMBER(R820),R820&lt;TODAY()),"🔴 PRAZO VENCIDO",IF(AND(OR(N820="PENDENTE",N820="PARCIAL"),D820&lt;TODAY()-1),"🔴 EMBARQUE ATRASADO",IF(AND(N820="REALIZADO",M820="PENDENTE"),"🟡 EMBARCADO SEM FATURAR",IF(AND(P820&lt;&gt;"",S820="",OR(Q820="",R820="")),"🟡 PENDÊNCIA SEM RESPONSÁVEL/PRAZO",IF(AND(ISNUMBER(R820),R820=TODAY()),"🟡 VENCE HOJE",IF(AND(P820&lt;&gt;"",S820=""),"🟡 PENDÊNCIA ABERTA",IF(AND(N(J820)&gt;0,N(K820)&lt;J820),"🟡 FALTA EXECUTAR",IF(OR(M820="PENDENTE",M820="PARCIAL"),"🟡 FATURAMENTO PENDENTE","🟡 EMBARQUE PENDENTE")))))))))))</f>
        <v/>
      </c>
      <c r="D820" s="4" t="n">
        <v>46286</v>
      </c>
      <c r="E820" s="5" t="inlineStr">
        <is>
          <t>D</t>
        </is>
      </c>
      <c r="F820" s="5" t="inlineStr">
        <is>
          <t>VINICIUS</t>
        </is>
      </c>
      <c r="G820" s="5" t="inlineStr">
        <is>
          <t>BR15</t>
        </is>
      </c>
      <c r="H820" s="5" t="inlineStr">
        <is>
          <t>BARRIND IND E COM DE AL LTDA</t>
        </is>
      </c>
      <c r="I820" s="5" t="inlineStr">
        <is>
          <t>TON</t>
        </is>
      </c>
      <c r="J820" s="6" t="n">
        <v>1.038</v>
      </c>
      <c r="K820" s="6" t="n">
        <v>1.038</v>
      </c>
      <c r="L820" s="7">
        <f>IF(OR(D820="",N(J820)=0),"",MIN(1,N(K820)/J820))</f>
        <v/>
      </c>
      <c r="M820" s="5" t="inlineStr">
        <is>
          <t>FATURADO</t>
        </is>
      </c>
      <c r="N820" s="5" t="inlineStr">
        <is>
          <t>PENDENTE</t>
        </is>
      </c>
      <c r="O820" s="5" t="inlineStr">
        <is>
          <t>SMARTLOG</t>
        </is>
      </c>
      <c r="P820" s="5" t="inlineStr">
        <is>
          <t>AGUARDANDO COLETA</t>
        </is>
      </c>
      <c r="Q820" s="5" t="n"/>
      <c r="R820" s="4" t="n"/>
      <c r="S820" s="4" t="n"/>
      <c r="T820" s="5" t="inlineStr">
        <is>
          <t>AGUARDANDO COLETA</t>
        </is>
      </c>
      <c r="U820" s="8">
        <f>IF(AND(V820=1,D820&lt;&gt;""),IF(D820&gt;=corte,TODAY()-D820,""),"")</f>
        <v/>
      </c>
      <c r="V820" s="8">
        <f>IF(D820="",0,IF(OR(AND(P820&lt;&gt;"",S820=""),AND(N(J820)&gt;0,N(K820)&lt;J820),OR(M820="PENDENTE",M820="PARCIAL"),OR(N820="PENDENTE",N820="PARCIAL")),1,0))</f>
        <v/>
      </c>
      <c r="W820" s="8">
        <f>IF(AND(V820=1,D820&lt;&gt;""),IF(D820&gt;=corte,(B820="CRÍTICO")*1E9+(100000-D820)*10000+10000-ROW(),""),"")</f>
        <v/>
      </c>
      <c r="X820" s="8">
        <f>IF(AND(V820=1,D820=pas_data,E820=pas_turno),10000-ROW(),"")</f>
        <v/>
      </c>
    </row>
    <row r="821">
      <c r="A821" s="3">
        <f>IF(D821="","","TT-"&amp;TEXT(ROW()-1,"00000"))</f>
        <v/>
      </c>
      <c r="B821" s="3">
        <f>IF(D821="","",IF(V821=0,"CONCLUÍDO",IF(D821&lt;corte,"HISTÓRICO",IF(OR(AND(ISNUMBER(R821),R821&lt;TODAY()),AND(OR(N821="PENDENTE",N821="PARCIAL"),D821&lt;TODAY()-1)),"CRÍTICO",IF(OR(AND(P821&lt;&gt;"",S821=""),AND(N821="REALIZADO",M821="PENDENTE"),AND(ISNUMBER(R821),R821=TODAY())),"ATENÇÃO",IF(N(K821)=0,"PENDENTE","EM ANDAMENTO"))))))</f>
        <v/>
      </c>
      <c r="C821" s="3">
        <f>IF(D821="","",IF(V821=0,"🟢 OK",IF(D821&lt;corte,"⚪ HISTÓRICO (sem baixa)",IF(AND(ISNUMBER(R821),R821&lt;TODAY()),"🔴 PRAZO VENCIDO",IF(AND(OR(N821="PENDENTE",N821="PARCIAL"),D821&lt;TODAY()-1),"🔴 EMBARQUE ATRASADO",IF(AND(N821="REALIZADO",M821="PENDENTE"),"🟡 EMBARCADO SEM FATURAR",IF(AND(P821&lt;&gt;"",S821="",OR(Q821="",R821="")),"🟡 PENDÊNCIA SEM RESPONSÁVEL/PRAZO",IF(AND(ISNUMBER(R821),R821=TODAY()),"🟡 VENCE HOJE",IF(AND(P821&lt;&gt;"",S821=""),"🟡 PENDÊNCIA ABERTA",IF(AND(N(J821)&gt;0,N(K821)&lt;J821),"🟡 FALTA EXECUTAR",IF(OR(M821="PENDENTE",M821="PARCIAL"),"🟡 FATURAMENTO PENDENTE","🟡 EMBARQUE PENDENTE")))))))))))</f>
        <v/>
      </c>
      <c r="D821" s="4" t="n">
        <v>46286</v>
      </c>
      <c r="E821" s="5" t="inlineStr">
        <is>
          <t>D</t>
        </is>
      </c>
      <c r="F821" s="5" t="inlineStr">
        <is>
          <t>VINICIUS</t>
        </is>
      </c>
      <c r="G821" s="5" t="inlineStr">
        <is>
          <t>BR15</t>
        </is>
      </c>
      <c r="H821" s="5" t="inlineStr">
        <is>
          <t>DISCAMPCHOC COMERCIO DE</t>
        </is>
      </c>
      <c r="I821" s="5" t="inlineStr">
        <is>
          <t>TON</t>
        </is>
      </c>
      <c r="J821" s="6" t="n">
        <v>0.208</v>
      </c>
      <c r="K821" s="6" t="n">
        <v>0.208</v>
      </c>
      <c r="L821" s="7">
        <f>IF(OR(D821="",N(J821)=0),"",MIN(1,N(K821)/J821))</f>
        <v/>
      </c>
      <c r="M821" s="5" t="inlineStr">
        <is>
          <t>FATURADO</t>
        </is>
      </c>
      <c r="N821" s="5" t="inlineStr">
        <is>
          <t>PENDENTE</t>
        </is>
      </c>
      <c r="O821" s="5" t="inlineStr">
        <is>
          <t>SMARTLOG</t>
        </is>
      </c>
      <c r="P821" s="5" t="inlineStr">
        <is>
          <t>AGUARDANDO COLETA</t>
        </is>
      </c>
      <c r="Q821" s="5" t="n"/>
      <c r="R821" s="4" t="n"/>
      <c r="S821" s="4" t="n"/>
      <c r="T821" s="5" t="inlineStr">
        <is>
          <t>AGUARDANDO COLETA</t>
        </is>
      </c>
      <c r="U821" s="8">
        <f>IF(AND(V821=1,D821&lt;&gt;""),IF(D821&gt;=corte,TODAY()-D821,""),"")</f>
        <v/>
      </c>
      <c r="V821" s="8">
        <f>IF(D821="",0,IF(OR(AND(P821&lt;&gt;"",S821=""),AND(N(J821)&gt;0,N(K821)&lt;J821),OR(M821="PENDENTE",M821="PARCIAL"),OR(N821="PENDENTE",N821="PARCIAL")),1,0))</f>
        <v/>
      </c>
      <c r="W821" s="8">
        <f>IF(AND(V821=1,D821&lt;&gt;""),IF(D821&gt;=corte,(B821="CRÍTICO")*1E9+(100000-D821)*10000+10000-ROW(),""),"")</f>
        <v/>
      </c>
      <c r="X821" s="8">
        <f>IF(AND(V821=1,D821=pas_data,E821=pas_turno),10000-ROW(),"")</f>
        <v/>
      </c>
    </row>
    <row r="822">
      <c r="A822" s="3">
        <f>IF(D822="","","TT-"&amp;TEXT(ROW()-1,"00000"))</f>
        <v/>
      </c>
      <c r="B822" s="3">
        <f>IF(D822="","",IF(V822=0,"CONCLUÍDO",IF(D822&lt;corte,"HISTÓRICO",IF(OR(AND(ISNUMBER(R822),R822&lt;TODAY()),AND(OR(N822="PENDENTE",N822="PARCIAL"),D822&lt;TODAY()-1)),"CRÍTICO",IF(OR(AND(P822&lt;&gt;"",S822=""),AND(N822="REALIZADO",M822="PENDENTE"),AND(ISNUMBER(R822),R822=TODAY())),"ATENÇÃO",IF(N(K822)=0,"PENDENTE","EM ANDAMENTO"))))))</f>
        <v/>
      </c>
      <c r="C822" s="3">
        <f>IF(D822="","",IF(V822=0,"🟢 OK",IF(D822&lt;corte,"⚪ HISTÓRICO (sem baixa)",IF(AND(ISNUMBER(R822),R822&lt;TODAY()),"🔴 PRAZO VENCIDO",IF(AND(OR(N822="PENDENTE",N822="PARCIAL"),D822&lt;TODAY()-1),"🔴 EMBARQUE ATRASADO",IF(AND(N822="REALIZADO",M822="PENDENTE"),"🟡 EMBARCADO SEM FATURAR",IF(AND(P822&lt;&gt;"",S822="",OR(Q822="",R822="")),"🟡 PENDÊNCIA SEM RESPONSÁVEL/PRAZO",IF(AND(ISNUMBER(R822),R822=TODAY()),"🟡 VENCE HOJE",IF(AND(P822&lt;&gt;"",S822=""),"🟡 PENDÊNCIA ABERTA",IF(AND(N(J822)&gt;0,N(K822)&lt;J822),"🟡 FALTA EXECUTAR",IF(OR(M822="PENDENTE",M822="PARCIAL"),"🟡 FATURAMENTO PENDENTE","🟡 EMBARQUE PENDENTE")))))))))))</f>
        <v/>
      </c>
      <c r="D822" s="4" t="n">
        <v>46286</v>
      </c>
      <c r="E822" s="5" t="inlineStr">
        <is>
          <t>D</t>
        </is>
      </c>
      <c r="F822" s="5" t="inlineStr">
        <is>
          <t>VINICIUS</t>
        </is>
      </c>
      <c r="G822" s="5" t="inlineStr">
        <is>
          <t>BR15</t>
        </is>
      </c>
      <c r="H822" s="5" t="inlineStr">
        <is>
          <t>INTERBRANDS FOODS LTDA</t>
        </is>
      </c>
      <c r="I822" s="5" t="inlineStr">
        <is>
          <t>TON</t>
        </is>
      </c>
      <c r="J822" s="6" t="n">
        <v>0.524</v>
      </c>
      <c r="K822" s="6" t="n">
        <v>0.524</v>
      </c>
      <c r="L822" s="7">
        <f>IF(OR(D822="",N(J822)=0),"",MIN(1,N(K822)/J822))</f>
        <v/>
      </c>
      <c r="M822" s="5" t="inlineStr">
        <is>
          <t>PENDENTE</t>
        </is>
      </c>
      <c r="N822" s="5" t="inlineStr">
        <is>
          <t>PENDENTE</t>
        </is>
      </c>
      <c r="O822" s="5" t="inlineStr">
        <is>
          <t>SMARTLOG</t>
        </is>
      </c>
      <c r="P822" s="5" t="inlineStr">
        <is>
          <t>AGUARDANDO FATURAMENTO</t>
        </is>
      </c>
      <c r="Q822" s="5" t="n"/>
      <c r="R822" s="4" t="n"/>
      <c r="S822" s="4" t="n"/>
      <c r="T822" s="5" t="inlineStr">
        <is>
          <t>AGUARDANDO FATURAMENTO</t>
        </is>
      </c>
      <c r="U822" s="8">
        <f>IF(AND(V822=1,D822&lt;&gt;""),IF(D822&gt;=corte,TODAY()-D822,""),"")</f>
        <v/>
      </c>
      <c r="V822" s="8">
        <f>IF(D822="",0,IF(OR(AND(P822&lt;&gt;"",S822=""),AND(N(J822)&gt;0,N(K822)&lt;J822),OR(M822="PENDENTE",M822="PARCIAL"),OR(N822="PENDENTE",N822="PARCIAL")),1,0))</f>
        <v/>
      </c>
      <c r="W822" s="8">
        <f>IF(AND(V822=1,D822&lt;&gt;""),IF(D822&gt;=corte,(B822="CRÍTICO")*1E9+(100000-D822)*10000+10000-ROW(),""),"")</f>
        <v/>
      </c>
      <c r="X822" s="8">
        <f>IF(AND(V822=1,D822=pas_data,E822=pas_turno),10000-ROW(),"")</f>
        <v/>
      </c>
    </row>
    <row r="823">
      <c r="A823" s="3">
        <f>IF(D823="","","TT-"&amp;TEXT(ROW()-1,"00000"))</f>
        <v/>
      </c>
      <c r="B823" s="3">
        <f>IF(D823="","",IF(V823=0,"CONCLUÍDO",IF(D823&lt;corte,"HISTÓRICO",IF(OR(AND(ISNUMBER(R823),R823&lt;TODAY()),AND(OR(N823="PENDENTE",N823="PARCIAL"),D823&lt;TODAY()-1)),"CRÍTICO",IF(OR(AND(P823&lt;&gt;"",S823=""),AND(N823="REALIZADO",M823="PENDENTE"),AND(ISNUMBER(R823),R823=TODAY())),"ATENÇÃO",IF(N(K823)=0,"PENDENTE","EM ANDAMENTO"))))))</f>
        <v/>
      </c>
      <c r="C823" s="3">
        <f>IF(D823="","",IF(V823=0,"🟢 OK",IF(D823&lt;corte,"⚪ HISTÓRICO (sem baixa)",IF(AND(ISNUMBER(R823),R823&lt;TODAY()),"🔴 PRAZO VENCIDO",IF(AND(OR(N823="PENDENTE",N823="PARCIAL"),D823&lt;TODAY()-1),"🔴 EMBARQUE ATRASADO",IF(AND(N823="REALIZADO",M823="PENDENTE"),"🟡 EMBARCADO SEM FATURAR",IF(AND(P823&lt;&gt;"",S823="",OR(Q823="",R823="")),"🟡 PENDÊNCIA SEM RESPONSÁVEL/PRAZO",IF(AND(ISNUMBER(R823),R823=TODAY()),"🟡 VENCE HOJE",IF(AND(P823&lt;&gt;"",S823=""),"🟡 PENDÊNCIA ABERTA",IF(AND(N(J823)&gt;0,N(K823)&lt;J823),"🟡 FALTA EXECUTAR",IF(OR(M823="PENDENTE",M823="PARCIAL"),"🟡 FATURAMENTO PENDENTE","🟡 EMBARQUE PENDENTE")))))))))))</f>
        <v/>
      </c>
      <c r="D823" s="4" t="n">
        <v>46286</v>
      </c>
      <c r="E823" s="5" t="inlineStr">
        <is>
          <t>D</t>
        </is>
      </c>
      <c r="F823" s="5" t="inlineStr">
        <is>
          <t>VINICIUS</t>
        </is>
      </c>
      <c r="G823" s="5" t="inlineStr">
        <is>
          <t>GRANEL</t>
        </is>
      </c>
      <c r="H823" s="5" t="inlineStr">
        <is>
          <t>TOP CAU</t>
        </is>
      </c>
      <c r="I823" s="5" t="inlineStr">
        <is>
          <t>TON</t>
        </is>
      </c>
      <c r="J823" s="6" t="n">
        <v>26.15</v>
      </c>
      <c r="K823" s="6" t="n">
        <v>26.15</v>
      </c>
      <c r="L823" s="7">
        <f>IF(OR(D823="",N(J823)=0),"",MIN(1,N(K823)/J823))</f>
        <v/>
      </c>
      <c r="M823" s="5" t="inlineStr">
        <is>
          <t>FATURADO</t>
        </is>
      </c>
      <c r="N823" s="5" t="inlineStr">
        <is>
          <t>REALIZADO</t>
        </is>
      </c>
      <c r="O823" s="5" t="n"/>
      <c r="P823" s="5" t="n"/>
      <c r="Q823" s="5" t="n"/>
      <c r="R823" s="4" t="n"/>
      <c r="S823" s="4" t="n"/>
      <c r="T823" s="5" t="inlineStr">
        <is>
          <t>EMBARCADO E LIBERADO</t>
        </is>
      </c>
      <c r="U823" s="8">
        <f>IF(AND(V823=1,D823&lt;&gt;""),IF(D823&gt;=corte,TODAY()-D823,""),"")</f>
        <v/>
      </c>
      <c r="V823" s="8">
        <f>IF(D823="",0,IF(OR(AND(P823&lt;&gt;"",S823=""),AND(N(J823)&gt;0,N(K823)&lt;J823),OR(M823="PENDENTE",M823="PARCIAL"),OR(N823="PENDENTE",N823="PARCIAL")),1,0))</f>
        <v/>
      </c>
      <c r="W823" s="8">
        <f>IF(AND(V823=1,D823&lt;&gt;""),IF(D823&gt;=corte,(B823="CRÍTICO")*1E9+(100000-D823)*10000+10000-ROW(),""),"")</f>
        <v/>
      </c>
      <c r="X823" s="8">
        <f>IF(AND(V823=1,D823=pas_data,E823=pas_turno),10000-ROW(),"")</f>
        <v/>
      </c>
    </row>
    <row r="824">
      <c r="A824" s="3">
        <f>IF(D824="","","TT-"&amp;TEXT(ROW()-1,"00000"))</f>
        <v/>
      </c>
      <c r="B824" s="3">
        <f>IF(D824="","",IF(V824=0,"CONCLUÍDO",IF(D824&lt;corte,"HISTÓRICO",IF(OR(AND(ISNUMBER(R824),R824&lt;TODAY()),AND(OR(N824="PENDENTE",N824="PARCIAL"),D824&lt;TODAY()-1)),"CRÍTICO",IF(OR(AND(P824&lt;&gt;"",S824=""),AND(N824="REALIZADO",M824="PENDENTE"),AND(ISNUMBER(R824),R824=TODAY())),"ATENÇÃO",IF(N(K824)=0,"PENDENTE","EM ANDAMENTO"))))))</f>
        <v/>
      </c>
      <c r="C824" s="3">
        <f>IF(D824="","",IF(V824=0,"🟢 OK",IF(D824&lt;corte,"⚪ HISTÓRICO (sem baixa)",IF(AND(ISNUMBER(R824),R824&lt;TODAY()),"🔴 PRAZO VENCIDO",IF(AND(OR(N824="PENDENTE",N824="PARCIAL"),D824&lt;TODAY()-1),"🔴 EMBARQUE ATRASADO",IF(AND(N824="REALIZADO",M824="PENDENTE"),"🟡 EMBARCADO SEM FATURAR",IF(AND(P824&lt;&gt;"",S824="",OR(Q824="",R824="")),"🟡 PENDÊNCIA SEM RESPONSÁVEL/PRAZO",IF(AND(ISNUMBER(R824),R824=TODAY()),"🟡 VENCE HOJE",IF(AND(P824&lt;&gt;"",S824=""),"🟡 PENDÊNCIA ABERTA",IF(AND(N(J824)&gt;0,N(K824)&lt;J824),"🟡 FALTA EXECUTAR",IF(OR(M824="PENDENTE",M824="PARCIAL"),"🟡 FATURAMENTO PENDENTE","🟡 EMBARQUE PENDENTE")))))))))))</f>
        <v/>
      </c>
      <c r="D824" s="4" t="n">
        <v>46286</v>
      </c>
      <c r="E824" s="5" t="inlineStr">
        <is>
          <t>D</t>
        </is>
      </c>
      <c r="F824" s="5" t="inlineStr">
        <is>
          <t>VINICIUS</t>
        </is>
      </c>
      <c r="G824" s="5" t="inlineStr">
        <is>
          <t>FM</t>
        </is>
      </c>
      <c r="H824" s="5" t="inlineStr">
        <is>
          <t>IBAE IND. DE ALIM. ESP. LTDA</t>
        </is>
      </c>
      <c r="I824" s="5" t="inlineStr">
        <is>
          <t>TON</t>
        </is>
      </c>
      <c r="J824" s="6" t="n">
        <v>27.339</v>
      </c>
      <c r="K824" s="6" t="n">
        <v>27.339</v>
      </c>
      <c r="L824" s="7">
        <f>IF(OR(D824="",N(J824)=0),"",MIN(1,N(K824)/J824))</f>
        <v/>
      </c>
      <c r="M824" s="5" t="inlineStr">
        <is>
          <t>FATURADO</t>
        </is>
      </c>
      <c r="N824" s="5" t="inlineStr">
        <is>
          <t>PENDENTE</t>
        </is>
      </c>
      <c r="O824" s="5" t="n"/>
      <c r="P824" s="5" t="inlineStr">
        <is>
          <t>AGUARDANDO COLETA</t>
        </is>
      </c>
      <c r="Q824" s="5" t="n"/>
      <c r="R824" s="4" t="n"/>
      <c r="S824" s="4" t="n"/>
      <c r="T824" s="5" t="inlineStr">
        <is>
          <t>AGUARDANDO COLETA</t>
        </is>
      </c>
      <c r="U824" s="8">
        <f>IF(AND(V824=1,D824&lt;&gt;""),IF(D824&gt;=corte,TODAY()-D824,""),"")</f>
        <v/>
      </c>
      <c r="V824" s="8">
        <f>IF(D824="",0,IF(OR(AND(P824&lt;&gt;"",S824=""),AND(N(J824)&gt;0,N(K824)&lt;J824),OR(M824="PENDENTE",M824="PARCIAL"),OR(N824="PENDENTE",N824="PARCIAL")),1,0))</f>
        <v/>
      </c>
      <c r="W824" s="8">
        <f>IF(AND(V824=1,D824&lt;&gt;""),IF(D824&gt;=corte,(B824="CRÍTICO")*1E9+(100000-D824)*10000+10000-ROW(),""),"")</f>
        <v/>
      </c>
      <c r="X824" s="8">
        <f>IF(AND(V824=1,D824=pas_data,E824=pas_turno),10000-ROW(),"")</f>
        <v/>
      </c>
    </row>
    <row r="825">
      <c r="A825" s="3">
        <f>IF(D825="","","TT-"&amp;TEXT(ROW()-1,"00000"))</f>
        <v/>
      </c>
      <c r="B825" s="3">
        <f>IF(D825="","",IF(V825=0,"CONCLUÍDO",IF(D825&lt;corte,"HISTÓRICO",IF(OR(AND(ISNUMBER(R825),R825&lt;TODAY()),AND(OR(N825="PENDENTE",N825="PARCIAL"),D825&lt;TODAY()-1)),"CRÍTICO",IF(OR(AND(P825&lt;&gt;"",S825=""),AND(N825="REALIZADO",M825="PENDENTE"),AND(ISNUMBER(R825),R825=TODAY())),"ATENÇÃO",IF(N(K825)=0,"PENDENTE","EM ANDAMENTO"))))))</f>
        <v/>
      </c>
      <c r="C825" s="3">
        <f>IF(D825="","",IF(V825=0,"🟢 OK",IF(D825&lt;corte,"⚪ HISTÓRICO (sem baixa)",IF(AND(ISNUMBER(R825),R825&lt;TODAY()),"🔴 PRAZO VENCIDO",IF(AND(OR(N825="PENDENTE",N825="PARCIAL"),D825&lt;TODAY()-1),"🔴 EMBARQUE ATRASADO",IF(AND(N825="REALIZADO",M825="PENDENTE"),"🟡 EMBARCADO SEM FATURAR",IF(AND(P825&lt;&gt;"",S825="",OR(Q825="",R825="")),"🟡 PENDÊNCIA SEM RESPONSÁVEL/PRAZO",IF(AND(ISNUMBER(R825),R825=TODAY()),"🟡 VENCE HOJE",IF(AND(P825&lt;&gt;"",S825=""),"🟡 PENDÊNCIA ABERTA",IF(AND(N(J825)&gt;0,N(K825)&lt;J825),"🟡 FALTA EXECUTAR",IF(OR(M825="PENDENTE",M825="PARCIAL"),"🟡 FATURAMENTO PENDENTE","🟡 EMBARQUE PENDENTE")))))))))))</f>
        <v/>
      </c>
      <c r="D825" s="4" t="n">
        <v>46287</v>
      </c>
      <c r="E825" s="5" t="inlineStr">
        <is>
          <t>B</t>
        </is>
      </c>
      <c r="F825" s="5" t="inlineStr">
        <is>
          <t>THIAGO</t>
        </is>
      </c>
      <c r="G825" s="5" t="inlineStr">
        <is>
          <t>FOB</t>
        </is>
      </c>
      <c r="H825" s="5" t="inlineStr">
        <is>
          <t>TOC MIX</t>
        </is>
      </c>
      <c r="I825" s="5" t="inlineStr">
        <is>
          <t>TON</t>
        </is>
      </c>
      <c r="J825" s="6" t="n">
        <v>25</v>
      </c>
      <c r="K825" s="6" t="n">
        <v>25</v>
      </c>
      <c r="L825" s="7">
        <f>IF(OR(D825="",N(J825)=0),"",MIN(1,N(K825)/J825))</f>
        <v/>
      </c>
      <c r="M825" s="5" t="n"/>
      <c r="N825" s="5" t="n"/>
      <c r="O825" s="5" t="n"/>
      <c r="P825" s="5" t="n"/>
      <c r="Q825" s="5" t="n"/>
      <c r="R825" s="4" t="n"/>
      <c r="S825" s="4" t="n"/>
      <c r="T825" s="5" t="n"/>
      <c r="U825" s="8">
        <f>IF(AND(V825=1,D825&lt;&gt;""),IF(D825&gt;=corte,TODAY()-D825,""),"")</f>
        <v/>
      </c>
      <c r="V825" s="8">
        <f>IF(D825="",0,IF(OR(AND(P825&lt;&gt;"",S825=""),AND(N(J825)&gt;0,N(K825)&lt;J825),OR(M825="PENDENTE",M825="PARCIAL"),OR(N825="PENDENTE",N825="PARCIAL")),1,0))</f>
        <v/>
      </c>
      <c r="W825" s="8">
        <f>IF(AND(V825=1,D825&lt;&gt;""),IF(D825&gt;=corte,(B825="CRÍTICO")*1E9+(100000-D825)*10000+10000-ROW(),""),"")</f>
        <v/>
      </c>
      <c r="X825" s="8">
        <f>IF(AND(V825=1,D825=pas_data,E825=pas_turno),10000-ROW(),"")</f>
        <v/>
      </c>
    </row>
    <row r="826">
      <c r="A826" s="3">
        <f>IF(D826="","","TT-"&amp;TEXT(ROW()-1,"00000"))</f>
        <v/>
      </c>
      <c r="B826" s="3">
        <f>IF(D826="","",IF(V826=0,"CONCLUÍDO",IF(D826&lt;corte,"HISTÓRICO",IF(OR(AND(ISNUMBER(R826),R826&lt;TODAY()),AND(OR(N826="PENDENTE",N826="PARCIAL"),D826&lt;TODAY()-1)),"CRÍTICO",IF(OR(AND(P826&lt;&gt;"",S826=""),AND(N826="REALIZADO",M826="PENDENTE"),AND(ISNUMBER(R826),R826=TODAY())),"ATENÇÃO",IF(N(K826)=0,"PENDENTE","EM ANDAMENTO"))))))</f>
        <v/>
      </c>
      <c r="C826" s="3">
        <f>IF(D826="","",IF(V826=0,"🟢 OK",IF(D826&lt;corte,"⚪ HISTÓRICO (sem baixa)",IF(AND(ISNUMBER(R826),R826&lt;TODAY()),"🔴 PRAZO VENCIDO",IF(AND(OR(N826="PENDENTE",N826="PARCIAL"),D826&lt;TODAY()-1),"🔴 EMBARQUE ATRASADO",IF(AND(N826="REALIZADO",M826="PENDENTE"),"🟡 EMBARCADO SEM FATURAR",IF(AND(P826&lt;&gt;"",S826="",OR(Q826="",R826="")),"🟡 PENDÊNCIA SEM RESPONSÁVEL/PRAZO",IF(AND(ISNUMBER(R826),R826=TODAY()),"🟡 VENCE HOJE",IF(AND(P826&lt;&gt;"",S826=""),"🟡 PENDÊNCIA ABERTA",IF(AND(N(J826)&gt;0,N(K826)&lt;J826),"🟡 FALTA EXECUTAR",IF(OR(M826="PENDENTE",M826="PARCIAL"),"🟡 FATURAMENTO PENDENTE","🟡 EMBARQUE PENDENTE")))))))))))</f>
        <v/>
      </c>
      <c r="D826" s="4" t="n">
        <v>46287</v>
      </c>
      <c r="E826" s="5" t="inlineStr">
        <is>
          <t>B</t>
        </is>
      </c>
      <c r="F826" s="5" t="inlineStr">
        <is>
          <t>THIAGO</t>
        </is>
      </c>
      <c r="G826" s="5" t="inlineStr">
        <is>
          <t>GM</t>
        </is>
      </c>
      <c r="H826" s="5" t="inlineStr">
        <is>
          <t>SMARTLOG</t>
        </is>
      </c>
      <c r="I826" s="5" t="inlineStr">
        <is>
          <t>TON</t>
        </is>
      </c>
      <c r="J826" s="6" t="n">
        <v>12.616</v>
      </c>
      <c r="K826" s="6" t="n"/>
      <c r="L826" s="7">
        <f>IF(OR(D826="",N(J826)=0),"",MIN(1,N(K826)/J826))</f>
        <v/>
      </c>
      <c r="M826" s="5" t="n"/>
      <c r="N826" s="5" t="n"/>
      <c r="O826" s="5" t="n"/>
      <c r="P826" s="5" t="n"/>
      <c r="Q826" s="5" t="n"/>
      <c r="R826" s="4" t="n"/>
      <c r="S826" s="4" t="n"/>
      <c r="T826" s="5" t="n"/>
      <c r="U826" s="8">
        <f>IF(AND(V826=1,D826&lt;&gt;""),IF(D826&gt;=corte,TODAY()-D826,""),"")</f>
        <v/>
      </c>
      <c r="V826" s="8">
        <f>IF(D826="",0,IF(OR(AND(P826&lt;&gt;"",S826=""),AND(N(J826)&gt;0,N(K826)&lt;J826),OR(M826="PENDENTE",M826="PARCIAL"),OR(N826="PENDENTE",N826="PARCIAL")),1,0))</f>
        <v/>
      </c>
      <c r="W826" s="8">
        <f>IF(AND(V826=1,D826&lt;&gt;""),IF(D826&gt;=corte,(B826="CRÍTICO")*1E9+(100000-D826)*10000+10000-ROW(),""),"")</f>
        <v/>
      </c>
      <c r="X826" s="8">
        <f>IF(AND(V826=1,D826=pas_data,E826=pas_turno),10000-ROW(),"")</f>
        <v/>
      </c>
    </row>
    <row r="827">
      <c r="A827" s="3">
        <f>IF(D827="","","TT-"&amp;TEXT(ROW()-1,"00000"))</f>
        <v/>
      </c>
      <c r="B827" s="3">
        <f>IF(D827="","",IF(V827=0,"CONCLUÍDO",IF(D827&lt;corte,"HISTÓRICO",IF(OR(AND(ISNUMBER(R827),R827&lt;TODAY()),AND(OR(N827="PENDENTE",N827="PARCIAL"),D827&lt;TODAY()-1)),"CRÍTICO",IF(OR(AND(P827&lt;&gt;"",S827=""),AND(N827="REALIZADO",M827="PENDENTE"),AND(ISNUMBER(R827),R827=TODAY())),"ATENÇÃO",IF(N(K827)=0,"PENDENTE","EM ANDAMENTO"))))))</f>
        <v/>
      </c>
      <c r="C827" s="3">
        <f>IF(D827="","",IF(V827=0,"🟢 OK",IF(D827&lt;corte,"⚪ HISTÓRICO (sem baixa)",IF(AND(ISNUMBER(R827),R827&lt;TODAY()),"🔴 PRAZO VENCIDO",IF(AND(OR(N827="PENDENTE",N827="PARCIAL"),D827&lt;TODAY()-1),"🔴 EMBARQUE ATRASADO",IF(AND(N827="REALIZADO",M827="PENDENTE"),"🟡 EMBARCADO SEM FATURAR",IF(AND(P827&lt;&gt;"",S827="",OR(Q827="",R827="")),"🟡 PENDÊNCIA SEM RESPONSÁVEL/PRAZO",IF(AND(ISNUMBER(R827),R827=TODAY()),"🟡 VENCE HOJE",IF(AND(P827&lt;&gt;"",S827=""),"🟡 PENDÊNCIA ABERTA",IF(AND(N(J827)&gt;0,N(K827)&lt;J827),"🟡 FALTA EXECUTAR",IF(OR(M827="PENDENTE",M827="PARCIAL"),"🟡 FATURAMENTO PENDENTE","🟡 EMBARQUE PENDENTE")))))))))))</f>
        <v/>
      </c>
      <c r="D827" s="4" t="n">
        <v>46287</v>
      </c>
      <c r="E827" s="5" t="inlineStr">
        <is>
          <t>B</t>
        </is>
      </c>
      <c r="F827" s="5" t="inlineStr">
        <is>
          <t>THIAGO</t>
        </is>
      </c>
      <c r="G827" s="5" t="inlineStr">
        <is>
          <t>FOB</t>
        </is>
      </c>
      <c r="H827" s="5" t="inlineStr">
        <is>
          <t>DISPAN</t>
        </is>
      </c>
      <c r="I827" s="5" t="inlineStr">
        <is>
          <t>TON</t>
        </is>
      </c>
      <c r="J827" s="6" t="n">
        <v>27.3</v>
      </c>
      <c r="K827" s="6" t="n"/>
      <c r="L827" s="7">
        <f>IF(OR(D827="",N(J827)=0),"",MIN(1,N(K827)/J827))</f>
        <v/>
      </c>
      <c r="M827" s="5" t="n"/>
      <c r="N827" s="5" t="n"/>
      <c r="O827" s="5" t="n"/>
      <c r="P827" s="5" t="n"/>
      <c r="Q827" s="5" t="n"/>
      <c r="R827" s="4" t="n"/>
      <c r="S827" s="4" t="n"/>
      <c r="T827" s="5" t="n"/>
      <c r="U827" s="8">
        <f>IF(AND(V827=1,D827&lt;&gt;""),IF(D827&gt;=corte,TODAY()-D827,""),"")</f>
        <v/>
      </c>
      <c r="V827" s="8">
        <f>IF(D827="",0,IF(OR(AND(P827&lt;&gt;"",S827=""),AND(N(J827)&gt;0,N(K827)&lt;J827),OR(M827="PENDENTE",M827="PARCIAL"),OR(N827="PENDENTE",N827="PARCIAL")),1,0))</f>
        <v/>
      </c>
      <c r="W827" s="8">
        <f>IF(AND(V827=1,D827&lt;&gt;""),IF(D827&gt;=corte,(B827="CRÍTICO")*1E9+(100000-D827)*10000+10000-ROW(),""),"")</f>
        <v/>
      </c>
      <c r="X827" s="8">
        <f>IF(AND(V827=1,D827=pas_data,E827=pas_turno),10000-ROW(),"")</f>
        <v/>
      </c>
    </row>
    <row r="828">
      <c r="A828" s="3">
        <f>IF(D828="","","TT-"&amp;TEXT(ROW()-1,"00000"))</f>
        <v/>
      </c>
      <c r="B828" s="3">
        <f>IF(D828="","",IF(V828=0,"CONCLUÍDO",IF(D828&lt;corte,"HISTÓRICO",IF(OR(AND(ISNUMBER(R828),R828&lt;TODAY()),AND(OR(N828="PENDENTE",N828="PARCIAL"),D828&lt;TODAY()-1)),"CRÍTICO",IF(OR(AND(P828&lt;&gt;"",S828=""),AND(N828="REALIZADO",M828="PENDENTE"),AND(ISNUMBER(R828),R828=TODAY())),"ATENÇÃO",IF(N(K828)=0,"PENDENTE","EM ANDAMENTO"))))))</f>
        <v/>
      </c>
      <c r="C828" s="3">
        <f>IF(D828="","",IF(V828=0,"🟢 OK",IF(D828&lt;corte,"⚪ HISTÓRICO (sem baixa)",IF(AND(ISNUMBER(R828),R828&lt;TODAY()),"🔴 PRAZO VENCIDO",IF(AND(OR(N828="PENDENTE",N828="PARCIAL"),D828&lt;TODAY()-1),"🔴 EMBARQUE ATRASADO",IF(AND(N828="REALIZADO",M828="PENDENTE"),"🟡 EMBARCADO SEM FATURAR",IF(AND(P828&lt;&gt;"",S828="",OR(Q828="",R828="")),"🟡 PENDÊNCIA SEM RESPONSÁVEL/PRAZO",IF(AND(ISNUMBER(R828),R828=TODAY()),"🟡 VENCE HOJE",IF(AND(P828&lt;&gt;"",S828=""),"🟡 PENDÊNCIA ABERTA",IF(AND(N(J828)&gt;0,N(K828)&lt;J828),"🟡 FALTA EXECUTAR",IF(OR(M828="PENDENTE",M828="PARCIAL"),"🟡 FATURAMENTO PENDENTE","🟡 EMBARQUE PENDENTE")))))))))))</f>
        <v/>
      </c>
      <c r="D828" s="4" t="n"/>
      <c r="E828" s="5" t="n"/>
      <c r="F828" s="5" t="n"/>
      <c r="G828" s="5" t="n"/>
      <c r="H828" s="5" t="n"/>
      <c r="I828" s="5" t="n"/>
      <c r="J828" s="6" t="n"/>
      <c r="K828" s="6" t="n"/>
      <c r="L828" s="7">
        <f>IF(OR(D828="",N(J828)=0),"",MIN(1,N(K828)/J828))</f>
        <v/>
      </c>
      <c r="M828" s="5" t="n"/>
      <c r="N828" s="5" t="n"/>
      <c r="O828" s="5" t="n"/>
      <c r="P828" s="5" t="n"/>
      <c r="Q828" s="5" t="n"/>
      <c r="R828" s="4" t="n"/>
      <c r="S828" s="4" t="n"/>
      <c r="T828" s="5" t="n"/>
      <c r="U828" s="8">
        <f>IF(AND(V828=1,D828&lt;&gt;""),IF(D828&gt;=corte,TODAY()-D828,""),"")</f>
        <v/>
      </c>
      <c r="V828" s="8">
        <f>IF(D828="",0,IF(OR(AND(P828&lt;&gt;"",S828=""),AND(N(J828)&gt;0,N(K828)&lt;J828),OR(M828="PENDENTE",M828="PARCIAL"),OR(N828="PENDENTE",N828="PARCIAL")),1,0))</f>
        <v/>
      </c>
      <c r="W828" s="8">
        <f>IF(AND(V828=1,D828&lt;&gt;""),IF(D828&gt;=corte,(B828="CRÍTICO")*1E9+(100000-D828)*10000+10000-ROW(),""),"")</f>
        <v/>
      </c>
      <c r="X828" s="8">
        <f>IF(AND(V828=1,D828=pas_data,E828=pas_turno),10000-ROW(),"")</f>
        <v/>
      </c>
    </row>
    <row r="829">
      <c r="A829" s="3">
        <f>IF(D829="","","TT-"&amp;TEXT(ROW()-1,"00000"))</f>
        <v/>
      </c>
      <c r="B829" s="3">
        <f>IF(D829="","",IF(V829=0,"CONCLUÍDO",IF(D829&lt;corte,"HISTÓRICO",IF(OR(AND(ISNUMBER(R829),R829&lt;TODAY()),AND(OR(N829="PENDENTE",N829="PARCIAL"),D829&lt;TODAY()-1)),"CRÍTICO",IF(OR(AND(P829&lt;&gt;"",S829=""),AND(N829="REALIZADO",M829="PENDENTE"),AND(ISNUMBER(R829),R829=TODAY())),"ATENÇÃO",IF(N(K829)=0,"PENDENTE","EM ANDAMENTO"))))))</f>
        <v/>
      </c>
      <c r="C829" s="3">
        <f>IF(D829="","",IF(V829=0,"🟢 OK",IF(D829&lt;corte,"⚪ HISTÓRICO (sem baixa)",IF(AND(ISNUMBER(R829),R829&lt;TODAY()),"🔴 PRAZO VENCIDO",IF(AND(OR(N829="PENDENTE",N829="PARCIAL"),D829&lt;TODAY()-1),"🔴 EMBARQUE ATRASADO",IF(AND(N829="REALIZADO",M829="PENDENTE"),"🟡 EMBARCADO SEM FATURAR",IF(AND(P829&lt;&gt;"",S829="",OR(Q829="",R829="")),"🟡 PENDÊNCIA SEM RESPONSÁVEL/PRAZO",IF(AND(ISNUMBER(R829),R829=TODAY()),"🟡 VENCE HOJE",IF(AND(P829&lt;&gt;"",S829=""),"🟡 PENDÊNCIA ABERTA",IF(AND(N(J829)&gt;0,N(K829)&lt;J829),"🟡 FALTA EXECUTAR",IF(OR(M829="PENDENTE",M829="PARCIAL"),"🟡 FATURAMENTO PENDENTE","🟡 EMBARQUE PENDENTE")))))))))))</f>
        <v/>
      </c>
      <c r="D829" s="4" t="n"/>
      <c r="E829" s="5" t="n"/>
      <c r="F829" s="5" t="n"/>
      <c r="G829" s="5" t="n"/>
      <c r="H829" s="5" t="n"/>
      <c r="I829" s="5" t="n"/>
      <c r="J829" s="6" t="n"/>
      <c r="K829" s="6" t="n"/>
      <c r="L829" s="7">
        <f>IF(OR(D829="",N(J829)=0),"",MIN(1,N(K829)/J829))</f>
        <v/>
      </c>
      <c r="M829" s="5" t="n"/>
      <c r="N829" s="5" t="n"/>
      <c r="O829" s="5" t="n"/>
      <c r="P829" s="5" t="n"/>
      <c r="Q829" s="5" t="n"/>
      <c r="R829" s="4" t="n"/>
      <c r="S829" s="4" t="n"/>
      <c r="T829" s="5" t="n"/>
      <c r="U829" s="8">
        <f>IF(AND(V829=1,D829&lt;&gt;""),IF(D829&gt;=corte,TODAY()-D829,""),"")</f>
        <v/>
      </c>
      <c r="V829" s="8">
        <f>IF(D829="",0,IF(OR(AND(P829&lt;&gt;"",S829=""),AND(N(J829)&gt;0,N(K829)&lt;J829),OR(M829="PENDENTE",M829="PARCIAL"),OR(N829="PENDENTE",N829="PARCIAL")),1,0))</f>
        <v/>
      </c>
      <c r="W829" s="8">
        <f>IF(AND(V829=1,D829&lt;&gt;""),IF(D829&gt;=corte,(B829="CRÍTICO")*1E9+(100000-D829)*10000+10000-ROW(),""),"")</f>
        <v/>
      </c>
      <c r="X829" s="8">
        <f>IF(AND(V829=1,D829=pas_data,E829=pas_turno),10000-ROW(),"")</f>
        <v/>
      </c>
    </row>
    <row r="830">
      <c r="A830" s="3">
        <f>IF(D830="","","TT-"&amp;TEXT(ROW()-1,"00000"))</f>
        <v/>
      </c>
      <c r="B830" s="3">
        <f>IF(D830="","",IF(V830=0,"CONCLUÍDO",IF(D830&lt;corte,"HISTÓRICO",IF(OR(AND(ISNUMBER(R830),R830&lt;TODAY()),AND(OR(N830="PENDENTE",N830="PARCIAL"),D830&lt;TODAY()-1)),"CRÍTICO",IF(OR(AND(P830&lt;&gt;"",S830=""),AND(N830="REALIZADO",M830="PENDENTE"),AND(ISNUMBER(R830),R830=TODAY())),"ATENÇÃO",IF(N(K830)=0,"PENDENTE","EM ANDAMENTO"))))))</f>
        <v/>
      </c>
      <c r="C830" s="3">
        <f>IF(D830="","",IF(V830=0,"🟢 OK",IF(D830&lt;corte,"⚪ HISTÓRICO (sem baixa)",IF(AND(ISNUMBER(R830),R830&lt;TODAY()),"🔴 PRAZO VENCIDO",IF(AND(OR(N830="PENDENTE",N830="PARCIAL"),D830&lt;TODAY()-1),"🔴 EMBARQUE ATRASADO",IF(AND(N830="REALIZADO",M830="PENDENTE"),"🟡 EMBARCADO SEM FATURAR",IF(AND(P830&lt;&gt;"",S830="",OR(Q830="",R830="")),"🟡 PENDÊNCIA SEM RESPONSÁVEL/PRAZO",IF(AND(ISNUMBER(R830),R830=TODAY()),"🟡 VENCE HOJE",IF(AND(P830&lt;&gt;"",S830=""),"🟡 PENDÊNCIA ABERTA",IF(AND(N(J830)&gt;0,N(K830)&lt;J830),"🟡 FALTA EXECUTAR",IF(OR(M830="PENDENTE",M830="PARCIAL"),"🟡 FATURAMENTO PENDENTE","🟡 EMBARQUE PENDENTE")))))))))))</f>
        <v/>
      </c>
      <c r="D830" s="4" t="n"/>
      <c r="E830" s="5" t="n"/>
      <c r="F830" s="5" t="n"/>
      <c r="G830" s="5" t="n"/>
      <c r="H830" s="5" t="n"/>
      <c r="I830" s="5" t="n"/>
      <c r="J830" s="6" t="n"/>
      <c r="K830" s="6" t="n"/>
      <c r="L830" s="7">
        <f>IF(OR(D830="",N(J830)=0),"",MIN(1,N(K830)/J830))</f>
        <v/>
      </c>
      <c r="M830" s="5" t="n"/>
      <c r="N830" s="5" t="n"/>
      <c r="O830" s="5" t="n"/>
      <c r="P830" s="5" t="n"/>
      <c r="Q830" s="5" t="n"/>
      <c r="R830" s="4" t="n"/>
      <c r="S830" s="4" t="n"/>
      <c r="T830" s="5" t="n"/>
      <c r="U830" s="8">
        <f>IF(AND(V830=1,D830&lt;&gt;""),IF(D830&gt;=corte,TODAY()-D830,""),"")</f>
        <v/>
      </c>
      <c r="V830" s="8">
        <f>IF(D830="",0,IF(OR(AND(P830&lt;&gt;"",S830=""),AND(N(J830)&gt;0,N(K830)&lt;J830),OR(M830="PENDENTE",M830="PARCIAL"),OR(N830="PENDENTE",N830="PARCIAL")),1,0))</f>
        <v/>
      </c>
      <c r="W830" s="8">
        <f>IF(AND(V830=1,D830&lt;&gt;""),IF(D830&gt;=corte,(B830="CRÍTICO")*1E9+(100000-D830)*10000+10000-ROW(),""),"")</f>
        <v/>
      </c>
      <c r="X830" s="8">
        <f>IF(AND(V830=1,D830=pas_data,E830=pas_turno),10000-ROW(),"")</f>
        <v/>
      </c>
    </row>
    <row r="831">
      <c r="A831" s="3">
        <f>IF(D831="","","TT-"&amp;TEXT(ROW()-1,"00000"))</f>
        <v/>
      </c>
      <c r="B831" s="3">
        <f>IF(D831="","",IF(V831=0,"CONCLUÍDO",IF(D831&lt;corte,"HISTÓRICO",IF(OR(AND(ISNUMBER(R831),R831&lt;TODAY()),AND(OR(N831="PENDENTE",N831="PARCIAL"),D831&lt;TODAY()-1)),"CRÍTICO",IF(OR(AND(P831&lt;&gt;"",S831=""),AND(N831="REALIZADO",M831="PENDENTE"),AND(ISNUMBER(R831),R831=TODAY())),"ATENÇÃO",IF(N(K831)=0,"PENDENTE","EM ANDAMENTO"))))))</f>
        <v/>
      </c>
      <c r="C831" s="3">
        <f>IF(D831="","",IF(V831=0,"🟢 OK",IF(D831&lt;corte,"⚪ HISTÓRICO (sem baixa)",IF(AND(ISNUMBER(R831),R831&lt;TODAY()),"🔴 PRAZO VENCIDO",IF(AND(OR(N831="PENDENTE",N831="PARCIAL"),D831&lt;TODAY()-1),"🔴 EMBARQUE ATRASADO",IF(AND(N831="REALIZADO",M831="PENDENTE"),"🟡 EMBARCADO SEM FATURAR",IF(AND(P831&lt;&gt;"",S831="",OR(Q831="",R831="")),"🟡 PENDÊNCIA SEM RESPONSÁVEL/PRAZO",IF(AND(ISNUMBER(R831),R831=TODAY()),"🟡 VENCE HOJE",IF(AND(P831&lt;&gt;"",S831=""),"🟡 PENDÊNCIA ABERTA",IF(AND(N(J831)&gt;0,N(K831)&lt;J831),"🟡 FALTA EXECUTAR",IF(OR(M831="PENDENTE",M831="PARCIAL"),"🟡 FATURAMENTO PENDENTE","🟡 EMBARQUE PENDENTE")))))))))))</f>
        <v/>
      </c>
      <c r="D831" s="4" t="n"/>
      <c r="E831" s="5" t="n"/>
      <c r="F831" s="5" t="n"/>
      <c r="G831" s="5" t="n"/>
      <c r="H831" s="5" t="n"/>
      <c r="I831" s="5" t="n"/>
      <c r="J831" s="6" t="n"/>
      <c r="K831" s="6" t="n"/>
      <c r="L831" s="7">
        <f>IF(OR(D831="",N(J831)=0),"",MIN(1,N(K831)/J831))</f>
        <v/>
      </c>
      <c r="M831" s="5" t="n"/>
      <c r="N831" s="5" t="n"/>
      <c r="O831" s="5" t="n"/>
      <c r="P831" s="5" t="n"/>
      <c r="Q831" s="5" t="n"/>
      <c r="R831" s="4" t="n"/>
      <c r="S831" s="4" t="n"/>
      <c r="T831" s="5" t="n"/>
      <c r="U831" s="8">
        <f>IF(AND(V831=1,D831&lt;&gt;""),IF(D831&gt;=corte,TODAY()-D831,""),"")</f>
        <v/>
      </c>
      <c r="V831" s="8">
        <f>IF(D831="",0,IF(OR(AND(P831&lt;&gt;"",S831=""),AND(N(J831)&gt;0,N(K831)&lt;J831),OR(M831="PENDENTE",M831="PARCIAL"),OR(N831="PENDENTE",N831="PARCIAL")),1,0))</f>
        <v/>
      </c>
      <c r="W831" s="8">
        <f>IF(AND(V831=1,D831&lt;&gt;""),IF(D831&gt;=corte,(B831="CRÍTICO")*1E9+(100000-D831)*10000+10000-ROW(),""),"")</f>
        <v/>
      </c>
      <c r="X831" s="8">
        <f>IF(AND(V831=1,D831=pas_data,E831=pas_turno),10000-ROW(),"")</f>
        <v/>
      </c>
    </row>
    <row r="832">
      <c r="A832" s="3">
        <f>IF(D832="","","TT-"&amp;TEXT(ROW()-1,"00000"))</f>
        <v/>
      </c>
      <c r="B832" s="3">
        <f>IF(D832="","",IF(V832=0,"CONCLUÍDO",IF(D832&lt;corte,"HISTÓRICO",IF(OR(AND(ISNUMBER(R832),R832&lt;TODAY()),AND(OR(N832="PENDENTE",N832="PARCIAL"),D832&lt;TODAY()-1)),"CRÍTICO",IF(OR(AND(P832&lt;&gt;"",S832=""),AND(N832="REALIZADO",M832="PENDENTE"),AND(ISNUMBER(R832),R832=TODAY())),"ATENÇÃO",IF(N(K832)=0,"PENDENTE","EM ANDAMENTO"))))))</f>
        <v/>
      </c>
      <c r="C832" s="3">
        <f>IF(D832="","",IF(V832=0,"🟢 OK",IF(D832&lt;corte,"⚪ HISTÓRICO (sem baixa)",IF(AND(ISNUMBER(R832),R832&lt;TODAY()),"🔴 PRAZO VENCIDO",IF(AND(OR(N832="PENDENTE",N832="PARCIAL"),D832&lt;TODAY()-1),"🔴 EMBARQUE ATRASADO",IF(AND(N832="REALIZADO",M832="PENDENTE"),"🟡 EMBARCADO SEM FATURAR",IF(AND(P832&lt;&gt;"",S832="",OR(Q832="",R832="")),"🟡 PENDÊNCIA SEM RESPONSÁVEL/PRAZO",IF(AND(ISNUMBER(R832),R832=TODAY()),"🟡 VENCE HOJE",IF(AND(P832&lt;&gt;"",S832=""),"🟡 PENDÊNCIA ABERTA",IF(AND(N(J832)&gt;0,N(K832)&lt;J832),"🟡 FALTA EXECUTAR",IF(OR(M832="PENDENTE",M832="PARCIAL"),"🟡 FATURAMENTO PENDENTE","🟡 EMBARQUE PENDENTE")))))))))))</f>
        <v/>
      </c>
      <c r="D832" s="4" t="n"/>
      <c r="E832" s="5" t="n"/>
      <c r="F832" s="5" t="n"/>
      <c r="G832" s="5" t="n"/>
      <c r="H832" s="5" t="n"/>
      <c r="I832" s="5" t="n"/>
      <c r="J832" s="6" t="n"/>
      <c r="K832" s="6" t="n"/>
      <c r="L832" s="7">
        <f>IF(OR(D832="",N(J832)=0),"",MIN(1,N(K832)/J832))</f>
        <v/>
      </c>
      <c r="M832" s="5" t="n"/>
      <c r="N832" s="5" t="n"/>
      <c r="O832" s="5" t="n"/>
      <c r="P832" s="5" t="n"/>
      <c r="Q832" s="5" t="n"/>
      <c r="R832" s="4" t="n"/>
      <c r="S832" s="4" t="n"/>
      <c r="T832" s="5" t="n"/>
      <c r="U832" s="8">
        <f>IF(AND(V832=1,D832&lt;&gt;""),IF(D832&gt;=corte,TODAY()-D832,""),"")</f>
        <v/>
      </c>
      <c r="V832" s="8">
        <f>IF(D832="",0,IF(OR(AND(P832&lt;&gt;"",S832=""),AND(N(J832)&gt;0,N(K832)&lt;J832),OR(M832="PENDENTE",M832="PARCIAL"),OR(N832="PENDENTE",N832="PARCIAL")),1,0))</f>
        <v/>
      </c>
      <c r="W832" s="8">
        <f>IF(AND(V832=1,D832&lt;&gt;""),IF(D832&gt;=corte,(B832="CRÍTICO")*1E9+(100000-D832)*10000+10000-ROW(),""),"")</f>
        <v/>
      </c>
      <c r="X832" s="8">
        <f>IF(AND(V832=1,D832=pas_data,E832=pas_turno),10000-ROW(),"")</f>
        <v/>
      </c>
    </row>
    <row r="833">
      <c r="A833" s="3">
        <f>IF(D833="","","TT-"&amp;TEXT(ROW()-1,"00000"))</f>
        <v/>
      </c>
      <c r="B833" s="3">
        <f>IF(D833="","",IF(V833=0,"CONCLUÍDO",IF(D833&lt;corte,"HISTÓRICO",IF(OR(AND(ISNUMBER(R833),R833&lt;TODAY()),AND(OR(N833="PENDENTE",N833="PARCIAL"),D833&lt;TODAY()-1)),"CRÍTICO",IF(OR(AND(P833&lt;&gt;"",S833=""),AND(N833="REALIZADO",M833="PENDENTE"),AND(ISNUMBER(R833),R833=TODAY())),"ATENÇÃO",IF(N(K833)=0,"PENDENTE","EM ANDAMENTO"))))))</f>
        <v/>
      </c>
      <c r="C833" s="3">
        <f>IF(D833="","",IF(V833=0,"🟢 OK",IF(D833&lt;corte,"⚪ HISTÓRICO (sem baixa)",IF(AND(ISNUMBER(R833),R833&lt;TODAY()),"🔴 PRAZO VENCIDO",IF(AND(OR(N833="PENDENTE",N833="PARCIAL"),D833&lt;TODAY()-1),"🔴 EMBARQUE ATRASADO",IF(AND(N833="REALIZADO",M833="PENDENTE"),"🟡 EMBARCADO SEM FATURAR",IF(AND(P833&lt;&gt;"",S833="",OR(Q833="",R833="")),"🟡 PENDÊNCIA SEM RESPONSÁVEL/PRAZO",IF(AND(ISNUMBER(R833),R833=TODAY()),"🟡 VENCE HOJE",IF(AND(P833&lt;&gt;"",S833=""),"🟡 PENDÊNCIA ABERTA",IF(AND(N(J833)&gt;0,N(K833)&lt;J833),"🟡 FALTA EXECUTAR",IF(OR(M833="PENDENTE",M833="PARCIAL"),"🟡 FATURAMENTO PENDENTE","🟡 EMBARQUE PENDENTE")))))))))))</f>
        <v/>
      </c>
      <c r="D833" s="4" t="n"/>
      <c r="E833" s="5" t="n"/>
      <c r="F833" s="5" t="n"/>
      <c r="G833" s="5" t="n"/>
      <c r="H833" s="5" t="n"/>
      <c r="I833" s="5" t="n"/>
      <c r="J833" s="6" t="n"/>
      <c r="K833" s="6" t="n"/>
      <c r="L833" s="7">
        <f>IF(OR(D833="",N(J833)=0),"",MIN(1,N(K833)/J833))</f>
        <v/>
      </c>
      <c r="M833" s="5" t="n"/>
      <c r="N833" s="5" t="n"/>
      <c r="O833" s="5" t="n"/>
      <c r="P833" s="5" t="n"/>
      <c r="Q833" s="5" t="n"/>
      <c r="R833" s="4" t="n"/>
      <c r="S833" s="4" t="n"/>
      <c r="T833" s="5" t="n"/>
      <c r="U833" s="8">
        <f>IF(AND(V833=1,D833&lt;&gt;""),IF(D833&gt;=corte,TODAY()-D833,""),"")</f>
        <v/>
      </c>
      <c r="V833" s="8">
        <f>IF(D833="",0,IF(OR(AND(P833&lt;&gt;"",S833=""),AND(N(J833)&gt;0,N(K833)&lt;J833),OR(M833="PENDENTE",M833="PARCIAL"),OR(N833="PENDENTE",N833="PARCIAL")),1,0))</f>
        <v/>
      </c>
      <c r="W833" s="8">
        <f>IF(AND(V833=1,D833&lt;&gt;""),IF(D833&gt;=corte,(B833="CRÍTICO")*1E9+(100000-D833)*10000+10000-ROW(),""),"")</f>
        <v/>
      </c>
      <c r="X833" s="8">
        <f>IF(AND(V833=1,D833=pas_data,E833=pas_turno),10000-ROW(),"")</f>
        <v/>
      </c>
    </row>
    <row r="834">
      <c r="A834" s="3">
        <f>IF(D834="","","TT-"&amp;TEXT(ROW()-1,"00000"))</f>
        <v/>
      </c>
      <c r="B834" s="3">
        <f>IF(D834="","",IF(V834=0,"CONCLUÍDO",IF(D834&lt;corte,"HISTÓRICO",IF(OR(AND(ISNUMBER(R834),R834&lt;TODAY()),AND(OR(N834="PENDENTE",N834="PARCIAL"),D834&lt;TODAY()-1)),"CRÍTICO",IF(OR(AND(P834&lt;&gt;"",S834=""),AND(N834="REALIZADO",M834="PENDENTE"),AND(ISNUMBER(R834),R834=TODAY())),"ATENÇÃO",IF(N(K834)=0,"PENDENTE","EM ANDAMENTO"))))))</f>
        <v/>
      </c>
      <c r="C834" s="3">
        <f>IF(D834="","",IF(V834=0,"🟢 OK",IF(D834&lt;corte,"⚪ HISTÓRICO (sem baixa)",IF(AND(ISNUMBER(R834),R834&lt;TODAY()),"🔴 PRAZO VENCIDO",IF(AND(OR(N834="PENDENTE",N834="PARCIAL"),D834&lt;TODAY()-1),"🔴 EMBARQUE ATRASADO",IF(AND(N834="REALIZADO",M834="PENDENTE"),"🟡 EMBARCADO SEM FATURAR",IF(AND(P834&lt;&gt;"",S834="",OR(Q834="",R834="")),"🟡 PENDÊNCIA SEM RESPONSÁVEL/PRAZO",IF(AND(ISNUMBER(R834),R834=TODAY()),"🟡 VENCE HOJE",IF(AND(P834&lt;&gt;"",S834=""),"🟡 PENDÊNCIA ABERTA",IF(AND(N(J834)&gt;0,N(K834)&lt;J834),"🟡 FALTA EXECUTAR",IF(OR(M834="PENDENTE",M834="PARCIAL"),"🟡 FATURAMENTO PENDENTE","🟡 EMBARQUE PENDENTE")))))))))))</f>
        <v/>
      </c>
      <c r="D834" s="4" t="n"/>
      <c r="E834" s="5" t="n"/>
      <c r="F834" s="5" t="n"/>
      <c r="G834" s="5" t="n"/>
      <c r="H834" s="5" t="n"/>
      <c r="I834" s="5" t="n"/>
      <c r="J834" s="6" t="n"/>
      <c r="K834" s="6" t="n"/>
      <c r="L834" s="7">
        <f>IF(OR(D834="",N(J834)=0),"",MIN(1,N(K834)/J834))</f>
        <v/>
      </c>
      <c r="M834" s="5" t="n"/>
      <c r="N834" s="5" t="n"/>
      <c r="O834" s="5" t="n"/>
      <c r="P834" s="5" t="n"/>
      <c r="Q834" s="5" t="n"/>
      <c r="R834" s="4" t="n"/>
      <c r="S834" s="4" t="n"/>
      <c r="T834" s="5" t="n"/>
      <c r="U834" s="8">
        <f>IF(AND(V834=1,D834&lt;&gt;""),IF(D834&gt;=corte,TODAY()-D834,""),"")</f>
        <v/>
      </c>
      <c r="V834" s="8">
        <f>IF(D834="",0,IF(OR(AND(P834&lt;&gt;"",S834=""),AND(N(J834)&gt;0,N(K834)&lt;J834),OR(M834="PENDENTE",M834="PARCIAL"),OR(N834="PENDENTE",N834="PARCIAL")),1,0))</f>
        <v/>
      </c>
      <c r="W834" s="8">
        <f>IF(AND(V834=1,D834&lt;&gt;""),IF(D834&gt;=corte,(B834="CRÍTICO")*1E9+(100000-D834)*10000+10000-ROW(),""),"")</f>
        <v/>
      </c>
      <c r="X834" s="8">
        <f>IF(AND(V834=1,D834=pas_data,E834=pas_turno),10000-ROW(),"")</f>
        <v/>
      </c>
    </row>
    <row r="835">
      <c r="A835" s="3">
        <f>IF(D835="","","TT-"&amp;TEXT(ROW()-1,"00000"))</f>
        <v/>
      </c>
      <c r="B835" s="3">
        <f>IF(D835="","",IF(V835=0,"CONCLUÍDO",IF(D835&lt;corte,"HISTÓRICO",IF(OR(AND(ISNUMBER(R835),R835&lt;TODAY()),AND(OR(N835="PENDENTE",N835="PARCIAL"),D835&lt;TODAY()-1)),"CRÍTICO",IF(OR(AND(P835&lt;&gt;"",S835=""),AND(N835="REALIZADO",M835="PENDENTE"),AND(ISNUMBER(R835),R835=TODAY())),"ATENÇÃO",IF(N(K835)=0,"PENDENTE","EM ANDAMENTO"))))))</f>
        <v/>
      </c>
      <c r="C835" s="3">
        <f>IF(D835="","",IF(V835=0,"🟢 OK",IF(D835&lt;corte,"⚪ HISTÓRICO (sem baixa)",IF(AND(ISNUMBER(R835),R835&lt;TODAY()),"🔴 PRAZO VENCIDO",IF(AND(OR(N835="PENDENTE",N835="PARCIAL"),D835&lt;TODAY()-1),"🔴 EMBARQUE ATRASADO",IF(AND(N835="REALIZADO",M835="PENDENTE"),"🟡 EMBARCADO SEM FATURAR",IF(AND(P835&lt;&gt;"",S835="",OR(Q835="",R835="")),"🟡 PENDÊNCIA SEM RESPONSÁVEL/PRAZO",IF(AND(ISNUMBER(R835),R835=TODAY()),"🟡 VENCE HOJE",IF(AND(P835&lt;&gt;"",S835=""),"🟡 PENDÊNCIA ABERTA",IF(AND(N(J835)&gt;0,N(K835)&lt;J835),"🟡 FALTA EXECUTAR",IF(OR(M835="PENDENTE",M835="PARCIAL"),"🟡 FATURAMENTO PENDENTE","🟡 EMBARQUE PENDENTE")))))))))))</f>
        <v/>
      </c>
      <c r="D835" s="4" t="n"/>
      <c r="E835" s="5" t="n"/>
      <c r="F835" s="5" t="n"/>
      <c r="G835" s="5" t="n"/>
      <c r="H835" s="5" t="n"/>
      <c r="I835" s="5" t="n"/>
      <c r="J835" s="6" t="n"/>
      <c r="K835" s="6" t="n"/>
      <c r="L835" s="7">
        <f>IF(OR(D835="",N(J835)=0),"",MIN(1,N(K835)/J835))</f>
        <v/>
      </c>
      <c r="M835" s="5" t="n"/>
      <c r="N835" s="5" t="n"/>
      <c r="O835" s="5" t="n"/>
      <c r="P835" s="5" t="n"/>
      <c r="Q835" s="5" t="n"/>
      <c r="R835" s="4" t="n"/>
      <c r="S835" s="4" t="n"/>
      <c r="T835" s="5" t="n"/>
      <c r="U835" s="8">
        <f>IF(AND(V835=1,D835&lt;&gt;""),IF(D835&gt;=corte,TODAY()-D835,""),"")</f>
        <v/>
      </c>
      <c r="V835" s="8">
        <f>IF(D835="",0,IF(OR(AND(P835&lt;&gt;"",S835=""),AND(N(J835)&gt;0,N(K835)&lt;J835),OR(M835="PENDENTE",M835="PARCIAL"),OR(N835="PENDENTE",N835="PARCIAL")),1,0))</f>
        <v/>
      </c>
      <c r="W835" s="8">
        <f>IF(AND(V835=1,D835&lt;&gt;""),IF(D835&gt;=corte,(B835="CRÍTICO")*1E9+(100000-D835)*10000+10000-ROW(),""),"")</f>
        <v/>
      </c>
      <c r="X835" s="8">
        <f>IF(AND(V835=1,D835=pas_data,E835=pas_turno),10000-ROW(),"")</f>
        <v/>
      </c>
    </row>
    <row r="836">
      <c r="A836" s="3">
        <f>IF(D836="","","TT-"&amp;TEXT(ROW()-1,"00000"))</f>
        <v/>
      </c>
      <c r="B836" s="3">
        <f>IF(D836="","",IF(V836=0,"CONCLUÍDO",IF(D836&lt;corte,"HISTÓRICO",IF(OR(AND(ISNUMBER(R836),R836&lt;TODAY()),AND(OR(N836="PENDENTE",N836="PARCIAL"),D836&lt;TODAY()-1)),"CRÍTICO",IF(OR(AND(P836&lt;&gt;"",S836=""),AND(N836="REALIZADO",M836="PENDENTE"),AND(ISNUMBER(R836),R836=TODAY())),"ATENÇÃO",IF(N(K836)=0,"PENDENTE","EM ANDAMENTO"))))))</f>
        <v/>
      </c>
      <c r="C836" s="3">
        <f>IF(D836="","",IF(V836=0,"🟢 OK",IF(D836&lt;corte,"⚪ HISTÓRICO (sem baixa)",IF(AND(ISNUMBER(R836),R836&lt;TODAY()),"🔴 PRAZO VENCIDO",IF(AND(OR(N836="PENDENTE",N836="PARCIAL"),D836&lt;TODAY()-1),"🔴 EMBARQUE ATRASADO",IF(AND(N836="REALIZADO",M836="PENDENTE"),"🟡 EMBARCADO SEM FATURAR",IF(AND(P836&lt;&gt;"",S836="",OR(Q836="",R836="")),"🟡 PENDÊNCIA SEM RESPONSÁVEL/PRAZO",IF(AND(ISNUMBER(R836),R836=TODAY()),"🟡 VENCE HOJE",IF(AND(P836&lt;&gt;"",S836=""),"🟡 PENDÊNCIA ABERTA",IF(AND(N(J836)&gt;0,N(K836)&lt;J836),"🟡 FALTA EXECUTAR",IF(OR(M836="PENDENTE",M836="PARCIAL"),"🟡 FATURAMENTO PENDENTE","🟡 EMBARQUE PENDENTE")))))))))))</f>
        <v/>
      </c>
      <c r="D836" s="4" t="n"/>
      <c r="E836" s="5" t="n"/>
      <c r="F836" s="5" t="n"/>
      <c r="G836" s="5" t="n"/>
      <c r="H836" s="5" t="n"/>
      <c r="I836" s="5" t="n"/>
      <c r="J836" s="6" t="n"/>
      <c r="K836" s="6" t="n"/>
      <c r="L836" s="7">
        <f>IF(OR(D836="",N(J836)=0),"",MIN(1,N(K836)/J836))</f>
        <v/>
      </c>
      <c r="M836" s="5" t="n"/>
      <c r="N836" s="5" t="n"/>
      <c r="O836" s="5" t="n"/>
      <c r="P836" s="5" t="n"/>
      <c r="Q836" s="5" t="n"/>
      <c r="R836" s="4" t="n"/>
      <c r="S836" s="4" t="n"/>
      <c r="T836" s="5" t="n"/>
      <c r="U836" s="8">
        <f>IF(AND(V836=1,D836&lt;&gt;""),IF(D836&gt;=corte,TODAY()-D836,""),"")</f>
        <v/>
      </c>
      <c r="V836" s="8">
        <f>IF(D836="",0,IF(OR(AND(P836&lt;&gt;"",S836=""),AND(N(J836)&gt;0,N(K836)&lt;J836),OR(M836="PENDENTE",M836="PARCIAL"),OR(N836="PENDENTE",N836="PARCIAL")),1,0))</f>
        <v/>
      </c>
      <c r="W836" s="8">
        <f>IF(AND(V836=1,D836&lt;&gt;""),IF(D836&gt;=corte,(B836="CRÍTICO")*1E9+(100000-D836)*10000+10000-ROW(),""),"")</f>
        <v/>
      </c>
      <c r="X836" s="8">
        <f>IF(AND(V836=1,D836=pas_data,E836=pas_turno),10000-ROW(),"")</f>
        <v/>
      </c>
    </row>
    <row r="837">
      <c r="A837" s="3">
        <f>IF(D837="","","TT-"&amp;TEXT(ROW()-1,"00000"))</f>
        <v/>
      </c>
      <c r="B837" s="3">
        <f>IF(D837="","",IF(V837=0,"CONCLUÍDO",IF(D837&lt;corte,"HISTÓRICO",IF(OR(AND(ISNUMBER(R837),R837&lt;TODAY()),AND(OR(N837="PENDENTE",N837="PARCIAL"),D837&lt;TODAY()-1)),"CRÍTICO",IF(OR(AND(P837&lt;&gt;"",S837=""),AND(N837="REALIZADO",M837="PENDENTE"),AND(ISNUMBER(R837),R837=TODAY())),"ATENÇÃO",IF(N(K837)=0,"PENDENTE","EM ANDAMENTO"))))))</f>
        <v/>
      </c>
      <c r="C837" s="3">
        <f>IF(D837="","",IF(V837=0,"🟢 OK",IF(D837&lt;corte,"⚪ HISTÓRICO (sem baixa)",IF(AND(ISNUMBER(R837),R837&lt;TODAY()),"🔴 PRAZO VENCIDO",IF(AND(OR(N837="PENDENTE",N837="PARCIAL"),D837&lt;TODAY()-1),"🔴 EMBARQUE ATRASADO",IF(AND(N837="REALIZADO",M837="PENDENTE"),"🟡 EMBARCADO SEM FATURAR",IF(AND(P837&lt;&gt;"",S837="",OR(Q837="",R837="")),"🟡 PENDÊNCIA SEM RESPONSÁVEL/PRAZO",IF(AND(ISNUMBER(R837),R837=TODAY()),"🟡 VENCE HOJE",IF(AND(P837&lt;&gt;"",S837=""),"🟡 PENDÊNCIA ABERTA",IF(AND(N(J837)&gt;0,N(K837)&lt;J837),"🟡 FALTA EXECUTAR",IF(OR(M837="PENDENTE",M837="PARCIAL"),"🟡 FATURAMENTO PENDENTE","🟡 EMBARQUE PENDENTE")))))))))))</f>
        <v/>
      </c>
      <c r="D837" s="4" t="n"/>
      <c r="E837" s="5" t="n"/>
      <c r="F837" s="5" t="n"/>
      <c r="G837" s="5" t="n"/>
      <c r="H837" s="5" t="n"/>
      <c r="I837" s="5" t="n"/>
      <c r="J837" s="6" t="n"/>
      <c r="K837" s="6" t="n"/>
      <c r="L837" s="7">
        <f>IF(OR(D837="",N(J837)=0),"",MIN(1,N(K837)/J837))</f>
        <v/>
      </c>
      <c r="M837" s="5" t="n"/>
      <c r="N837" s="5" t="n"/>
      <c r="O837" s="5" t="n"/>
      <c r="P837" s="5" t="n"/>
      <c r="Q837" s="5" t="n"/>
      <c r="R837" s="4" t="n"/>
      <c r="S837" s="4" t="n"/>
      <c r="T837" s="5" t="n"/>
      <c r="U837" s="8">
        <f>IF(AND(V837=1,D837&lt;&gt;""),IF(D837&gt;=corte,TODAY()-D837,""),"")</f>
        <v/>
      </c>
      <c r="V837" s="8">
        <f>IF(D837="",0,IF(OR(AND(P837&lt;&gt;"",S837=""),AND(N(J837)&gt;0,N(K837)&lt;J837),OR(M837="PENDENTE",M837="PARCIAL"),OR(N837="PENDENTE",N837="PARCIAL")),1,0))</f>
        <v/>
      </c>
      <c r="W837" s="8">
        <f>IF(AND(V837=1,D837&lt;&gt;""),IF(D837&gt;=corte,(B837="CRÍTICO")*1E9+(100000-D837)*10000+10000-ROW(),""),"")</f>
        <v/>
      </c>
      <c r="X837" s="8">
        <f>IF(AND(V837=1,D837=pas_data,E837=pas_turno),10000-ROW(),"")</f>
        <v/>
      </c>
    </row>
    <row r="838">
      <c r="A838" s="3">
        <f>IF(D838="","","TT-"&amp;TEXT(ROW()-1,"00000"))</f>
        <v/>
      </c>
      <c r="B838" s="3">
        <f>IF(D838="","",IF(V838=0,"CONCLUÍDO",IF(D838&lt;corte,"HISTÓRICO",IF(OR(AND(ISNUMBER(R838),R838&lt;TODAY()),AND(OR(N838="PENDENTE",N838="PARCIAL"),D838&lt;TODAY()-1)),"CRÍTICO",IF(OR(AND(P838&lt;&gt;"",S838=""),AND(N838="REALIZADO",M838="PENDENTE"),AND(ISNUMBER(R838),R838=TODAY())),"ATENÇÃO",IF(N(K838)=0,"PENDENTE","EM ANDAMENTO"))))))</f>
        <v/>
      </c>
      <c r="C838" s="3">
        <f>IF(D838="","",IF(V838=0,"🟢 OK",IF(D838&lt;corte,"⚪ HISTÓRICO (sem baixa)",IF(AND(ISNUMBER(R838),R838&lt;TODAY()),"🔴 PRAZO VENCIDO",IF(AND(OR(N838="PENDENTE",N838="PARCIAL"),D838&lt;TODAY()-1),"🔴 EMBARQUE ATRASADO",IF(AND(N838="REALIZADO",M838="PENDENTE"),"🟡 EMBARCADO SEM FATURAR",IF(AND(P838&lt;&gt;"",S838="",OR(Q838="",R838="")),"🟡 PENDÊNCIA SEM RESPONSÁVEL/PRAZO",IF(AND(ISNUMBER(R838),R838=TODAY()),"🟡 VENCE HOJE",IF(AND(P838&lt;&gt;"",S838=""),"🟡 PENDÊNCIA ABERTA",IF(AND(N(J838)&gt;0,N(K838)&lt;J838),"🟡 FALTA EXECUTAR",IF(OR(M838="PENDENTE",M838="PARCIAL"),"🟡 FATURAMENTO PENDENTE","🟡 EMBARQUE PENDENTE")))))))))))</f>
        <v/>
      </c>
      <c r="D838" s="4" t="n"/>
      <c r="E838" s="5" t="n"/>
      <c r="F838" s="5" t="n"/>
      <c r="G838" s="5" t="n"/>
      <c r="H838" s="5" t="n"/>
      <c r="I838" s="5" t="n"/>
      <c r="J838" s="6" t="n"/>
      <c r="K838" s="6" t="n"/>
      <c r="L838" s="7">
        <f>IF(OR(D838="",N(J838)=0),"",MIN(1,N(K838)/J838))</f>
        <v/>
      </c>
      <c r="M838" s="5" t="n"/>
      <c r="N838" s="5" t="n"/>
      <c r="O838" s="5" t="n"/>
      <c r="P838" s="5" t="n"/>
      <c r="Q838" s="5" t="n"/>
      <c r="R838" s="4" t="n"/>
      <c r="S838" s="4" t="n"/>
      <c r="T838" s="5" t="n"/>
      <c r="U838" s="8">
        <f>IF(AND(V838=1,D838&lt;&gt;""),IF(D838&gt;=corte,TODAY()-D838,""),"")</f>
        <v/>
      </c>
      <c r="V838" s="8">
        <f>IF(D838="",0,IF(OR(AND(P838&lt;&gt;"",S838=""),AND(N(J838)&gt;0,N(K838)&lt;J838),OR(M838="PENDENTE",M838="PARCIAL"),OR(N838="PENDENTE",N838="PARCIAL")),1,0))</f>
        <v/>
      </c>
      <c r="W838" s="8">
        <f>IF(AND(V838=1,D838&lt;&gt;""),IF(D838&gt;=corte,(B838="CRÍTICO")*1E9+(100000-D838)*10000+10000-ROW(),""),"")</f>
        <v/>
      </c>
      <c r="X838" s="8">
        <f>IF(AND(V838=1,D838=pas_data,E838=pas_turno),10000-ROW(),"")</f>
        <v/>
      </c>
    </row>
    <row r="839">
      <c r="A839" s="3">
        <f>IF(D839="","","TT-"&amp;TEXT(ROW()-1,"00000"))</f>
        <v/>
      </c>
      <c r="B839" s="3">
        <f>IF(D839="","",IF(V839=0,"CONCLUÍDO",IF(D839&lt;corte,"HISTÓRICO",IF(OR(AND(ISNUMBER(R839),R839&lt;TODAY()),AND(OR(N839="PENDENTE",N839="PARCIAL"),D839&lt;TODAY()-1)),"CRÍTICO",IF(OR(AND(P839&lt;&gt;"",S839=""),AND(N839="REALIZADO",M839="PENDENTE"),AND(ISNUMBER(R839),R839=TODAY())),"ATENÇÃO",IF(N(K839)=0,"PENDENTE","EM ANDAMENTO"))))))</f>
        <v/>
      </c>
      <c r="C839" s="3">
        <f>IF(D839="","",IF(V839=0,"🟢 OK",IF(D839&lt;corte,"⚪ HISTÓRICO (sem baixa)",IF(AND(ISNUMBER(R839),R839&lt;TODAY()),"🔴 PRAZO VENCIDO",IF(AND(OR(N839="PENDENTE",N839="PARCIAL"),D839&lt;TODAY()-1),"🔴 EMBARQUE ATRASADO",IF(AND(N839="REALIZADO",M839="PENDENTE"),"🟡 EMBARCADO SEM FATURAR",IF(AND(P839&lt;&gt;"",S839="",OR(Q839="",R839="")),"🟡 PENDÊNCIA SEM RESPONSÁVEL/PRAZO",IF(AND(ISNUMBER(R839),R839=TODAY()),"🟡 VENCE HOJE",IF(AND(P839&lt;&gt;"",S839=""),"🟡 PENDÊNCIA ABERTA",IF(AND(N(J839)&gt;0,N(K839)&lt;J839),"🟡 FALTA EXECUTAR",IF(OR(M839="PENDENTE",M839="PARCIAL"),"🟡 FATURAMENTO PENDENTE","🟡 EMBARQUE PENDENTE")))))))))))</f>
        <v/>
      </c>
      <c r="D839" s="4" t="n"/>
      <c r="E839" s="5" t="n"/>
      <c r="F839" s="5" t="n"/>
      <c r="G839" s="5" t="n"/>
      <c r="H839" s="5" t="n"/>
      <c r="I839" s="5" t="n"/>
      <c r="J839" s="6" t="n"/>
      <c r="K839" s="6" t="n"/>
      <c r="L839" s="7">
        <f>IF(OR(D839="",N(J839)=0),"",MIN(1,N(K839)/J839))</f>
        <v/>
      </c>
      <c r="M839" s="5" t="n"/>
      <c r="N839" s="5" t="n"/>
      <c r="O839" s="5" t="n"/>
      <c r="P839" s="5" t="n"/>
      <c r="Q839" s="5" t="n"/>
      <c r="R839" s="4" t="n"/>
      <c r="S839" s="4" t="n"/>
      <c r="T839" s="5" t="n"/>
      <c r="U839" s="8">
        <f>IF(AND(V839=1,D839&lt;&gt;""),IF(D839&gt;=corte,TODAY()-D839,""),"")</f>
        <v/>
      </c>
      <c r="V839" s="8">
        <f>IF(D839="",0,IF(OR(AND(P839&lt;&gt;"",S839=""),AND(N(J839)&gt;0,N(K839)&lt;J839),OR(M839="PENDENTE",M839="PARCIAL"),OR(N839="PENDENTE",N839="PARCIAL")),1,0))</f>
        <v/>
      </c>
      <c r="W839" s="8">
        <f>IF(AND(V839=1,D839&lt;&gt;""),IF(D839&gt;=corte,(B839="CRÍTICO")*1E9+(100000-D839)*10000+10000-ROW(),""),"")</f>
        <v/>
      </c>
      <c r="X839" s="8">
        <f>IF(AND(V839=1,D839=pas_data,E839=pas_turno),10000-ROW(),"")</f>
        <v/>
      </c>
    </row>
    <row r="840">
      <c r="A840" s="3">
        <f>IF(D840="","","TT-"&amp;TEXT(ROW()-1,"00000"))</f>
        <v/>
      </c>
      <c r="B840" s="3">
        <f>IF(D840="","",IF(V840=0,"CONCLUÍDO",IF(D840&lt;corte,"HISTÓRICO",IF(OR(AND(ISNUMBER(R840),R840&lt;TODAY()),AND(OR(N840="PENDENTE",N840="PARCIAL"),D840&lt;TODAY()-1)),"CRÍTICO",IF(OR(AND(P840&lt;&gt;"",S840=""),AND(N840="REALIZADO",M840="PENDENTE"),AND(ISNUMBER(R840),R840=TODAY())),"ATENÇÃO",IF(N(K840)=0,"PENDENTE","EM ANDAMENTO"))))))</f>
        <v/>
      </c>
      <c r="C840" s="3">
        <f>IF(D840="","",IF(V840=0,"🟢 OK",IF(D840&lt;corte,"⚪ HISTÓRICO (sem baixa)",IF(AND(ISNUMBER(R840),R840&lt;TODAY()),"🔴 PRAZO VENCIDO",IF(AND(OR(N840="PENDENTE",N840="PARCIAL"),D840&lt;TODAY()-1),"🔴 EMBARQUE ATRASADO",IF(AND(N840="REALIZADO",M840="PENDENTE"),"🟡 EMBARCADO SEM FATURAR",IF(AND(P840&lt;&gt;"",S840="",OR(Q840="",R840="")),"🟡 PENDÊNCIA SEM RESPONSÁVEL/PRAZO",IF(AND(ISNUMBER(R840),R840=TODAY()),"🟡 VENCE HOJE",IF(AND(P840&lt;&gt;"",S840=""),"🟡 PENDÊNCIA ABERTA",IF(AND(N(J840)&gt;0,N(K840)&lt;J840),"🟡 FALTA EXECUTAR",IF(OR(M840="PENDENTE",M840="PARCIAL"),"🟡 FATURAMENTO PENDENTE","🟡 EMBARQUE PENDENTE")))))))))))</f>
        <v/>
      </c>
      <c r="D840" s="4" t="n"/>
      <c r="E840" s="5" t="n"/>
      <c r="F840" s="5" t="n"/>
      <c r="G840" s="5" t="n"/>
      <c r="H840" s="5" t="n"/>
      <c r="I840" s="5" t="n"/>
      <c r="J840" s="6" t="n"/>
      <c r="K840" s="6" t="n"/>
      <c r="L840" s="7">
        <f>IF(OR(D840="",N(J840)=0),"",MIN(1,N(K840)/J840))</f>
        <v/>
      </c>
      <c r="M840" s="5" t="n"/>
      <c r="N840" s="5" t="n"/>
      <c r="O840" s="5" t="n"/>
      <c r="P840" s="5" t="n"/>
      <c r="Q840" s="5" t="n"/>
      <c r="R840" s="4" t="n"/>
      <c r="S840" s="4" t="n"/>
      <c r="T840" s="5" t="n"/>
      <c r="U840" s="8">
        <f>IF(AND(V840=1,D840&lt;&gt;""),IF(D840&gt;=corte,TODAY()-D840,""),"")</f>
        <v/>
      </c>
      <c r="V840" s="8">
        <f>IF(D840="",0,IF(OR(AND(P840&lt;&gt;"",S840=""),AND(N(J840)&gt;0,N(K840)&lt;J840),OR(M840="PENDENTE",M840="PARCIAL"),OR(N840="PENDENTE",N840="PARCIAL")),1,0))</f>
        <v/>
      </c>
      <c r="W840" s="8">
        <f>IF(AND(V840=1,D840&lt;&gt;""),IF(D840&gt;=corte,(B840="CRÍTICO")*1E9+(100000-D840)*10000+10000-ROW(),""),"")</f>
        <v/>
      </c>
      <c r="X840" s="8">
        <f>IF(AND(V840=1,D840=pas_data,E840=pas_turno),10000-ROW(),"")</f>
        <v/>
      </c>
    </row>
    <row r="841">
      <c r="A841" s="3">
        <f>IF(D841="","","TT-"&amp;TEXT(ROW()-1,"00000"))</f>
        <v/>
      </c>
      <c r="B841" s="3">
        <f>IF(D841="","",IF(V841=0,"CONCLUÍDO",IF(D841&lt;corte,"HISTÓRICO",IF(OR(AND(ISNUMBER(R841),R841&lt;TODAY()),AND(OR(N841="PENDENTE",N841="PARCIAL"),D841&lt;TODAY()-1)),"CRÍTICO",IF(OR(AND(P841&lt;&gt;"",S841=""),AND(N841="REALIZADO",M841="PENDENTE"),AND(ISNUMBER(R841),R841=TODAY())),"ATENÇÃO",IF(N(K841)=0,"PENDENTE","EM ANDAMENTO"))))))</f>
        <v/>
      </c>
      <c r="C841" s="3">
        <f>IF(D841="","",IF(V841=0,"🟢 OK",IF(D841&lt;corte,"⚪ HISTÓRICO (sem baixa)",IF(AND(ISNUMBER(R841),R841&lt;TODAY()),"🔴 PRAZO VENCIDO",IF(AND(OR(N841="PENDENTE",N841="PARCIAL"),D841&lt;TODAY()-1),"🔴 EMBARQUE ATRASADO",IF(AND(N841="REALIZADO",M841="PENDENTE"),"🟡 EMBARCADO SEM FATURAR",IF(AND(P841&lt;&gt;"",S841="",OR(Q841="",R841="")),"🟡 PENDÊNCIA SEM RESPONSÁVEL/PRAZO",IF(AND(ISNUMBER(R841),R841=TODAY()),"🟡 VENCE HOJE",IF(AND(P841&lt;&gt;"",S841=""),"🟡 PENDÊNCIA ABERTA",IF(AND(N(J841)&gt;0,N(K841)&lt;J841),"🟡 FALTA EXECUTAR",IF(OR(M841="PENDENTE",M841="PARCIAL"),"🟡 FATURAMENTO PENDENTE","🟡 EMBARQUE PENDENTE")))))))))))</f>
        <v/>
      </c>
      <c r="D841" s="4" t="n"/>
      <c r="E841" s="5" t="n"/>
      <c r="F841" s="5" t="n"/>
      <c r="G841" s="5" t="n"/>
      <c r="H841" s="5" t="n"/>
      <c r="I841" s="5" t="n"/>
      <c r="J841" s="6" t="n"/>
      <c r="K841" s="6" t="n"/>
      <c r="L841" s="7">
        <f>IF(OR(D841="",N(J841)=0),"",MIN(1,N(K841)/J841))</f>
        <v/>
      </c>
      <c r="M841" s="5" t="n"/>
      <c r="N841" s="5" t="n"/>
      <c r="O841" s="5" t="n"/>
      <c r="P841" s="5" t="n"/>
      <c r="Q841" s="5" t="n"/>
      <c r="R841" s="4" t="n"/>
      <c r="S841" s="4" t="n"/>
      <c r="T841" s="5" t="n"/>
      <c r="U841" s="8">
        <f>IF(AND(V841=1,D841&lt;&gt;""),IF(D841&gt;=corte,TODAY()-D841,""),"")</f>
        <v/>
      </c>
      <c r="V841" s="8">
        <f>IF(D841="",0,IF(OR(AND(P841&lt;&gt;"",S841=""),AND(N(J841)&gt;0,N(K841)&lt;J841),OR(M841="PENDENTE",M841="PARCIAL"),OR(N841="PENDENTE",N841="PARCIAL")),1,0))</f>
        <v/>
      </c>
      <c r="W841" s="8">
        <f>IF(AND(V841=1,D841&lt;&gt;""),IF(D841&gt;=corte,(B841="CRÍTICO")*1E9+(100000-D841)*10000+10000-ROW(),""),"")</f>
        <v/>
      </c>
      <c r="X841" s="8">
        <f>IF(AND(V841=1,D841=pas_data,E841=pas_turno),10000-ROW(),"")</f>
        <v/>
      </c>
    </row>
    <row r="842">
      <c r="A842" s="3">
        <f>IF(D842="","","TT-"&amp;TEXT(ROW()-1,"00000"))</f>
        <v/>
      </c>
      <c r="B842" s="3">
        <f>IF(D842="","",IF(V842=0,"CONCLUÍDO",IF(D842&lt;corte,"HISTÓRICO",IF(OR(AND(ISNUMBER(R842),R842&lt;TODAY()),AND(OR(N842="PENDENTE",N842="PARCIAL"),D842&lt;TODAY()-1)),"CRÍTICO",IF(OR(AND(P842&lt;&gt;"",S842=""),AND(N842="REALIZADO",M842="PENDENTE"),AND(ISNUMBER(R842),R842=TODAY())),"ATENÇÃO",IF(N(K842)=0,"PENDENTE","EM ANDAMENTO"))))))</f>
        <v/>
      </c>
      <c r="C842" s="3">
        <f>IF(D842="","",IF(V842=0,"🟢 OK",IF(D842&lt;corte,"⚪ HISTÓRICO (sem baixa)",IF(AND(ISNUMBER(R842),R842&lt;TODAY()),"🔴 PRAZO VENCIDO",IF(AND(OR(N842="PENDENTE",N842="PARCIAL"),D842&lt;TODAY()-1),"🔴 EMBARQUE ATRASADO",IF(AND(N842="REALIZADO",M842="PENDENTE"),"🟡 EMBARCADO SEM FATURAR",IF(AND(P842&lt;&gt;"",S842="",OR(Q842="",R842="")),"🟡 PENDÊNCIA SEM RESPONSÁVEL/PRAZO",IF(AND(ISNUMBER(R842),R842=TODAY()),"🟡 VENCE HOJE",IF(AND(P842&lt;&gt;"",S842=""),"🟡 PENDÊNCIA ABERTA",IF(AND(N(J842)&gt;0,N(K842)&lt;J842),"🟡 FALTA EXECUTAR",IF(OR(M842="PENDENTE",M842="PARCIAL"),"🟡 FATURAMENTO PENDENTE","🟡 EMBARQUE PENDENTE")))))))))))</f>
        <v/>
      </c>
      <c r="D842" s="4" t="n"/>
      <c r="E842" s="5" t="n"/>
      <c r="F842" s="5" t="n"/>
      <c r="G842" s="5" t="n"/>
      <c r="H842" s="5" t="n"/>
      <c r="I842" s="5" t="n"/>
      <c r="J842" s="6" t="n"/>
      <c r="K842" s="6" t="n"/>
      <c r="L842" s="7">
        <f>IF(OR(D842="",N(J842)=0),"",MIN(1,N(K842)/J842))</f>
        <v/>
      </c>
      <c r="M842" s="5" t="n"/>
      <c r="N842" s="5" t="n"/>
      <c r="O842" s="5" t="n"/>
      <c r="P842" s="5" t="n"/>
      <c r="Q842" s="5" t="n"/>
      <c r="R842" s="4" t="n"/>
      <c r="S842" s="4" t="n"/>
      <c r="T842" s="5" t="n"/>
      <c r="U842" s="8">
        <f>IF(AND(V842=1,D842&lt;&gt;""),IF(D842&gt;=corte,TODAY()-D842,""),"")</f>
        <v/>
      </c>
      <c r="V842" s="8">
        <f>IF(D842="",0,IF(OR(AND(P842&lt;&gt;"",S842=""),AND(N(J842)&gt;0,N(K842)&lt;J842),OR(M842="PENDENTE",M842="PARCIAL"),OR(N842="PENDENTE",N842="PARCIAL")),1,0))</f>
        <v/>
      </c>
      <c r="W842" s="8">
        <f>IF(AND(V842=1,D842&lt;&gt;""),IF(D842&gt;=corte,(B842="CRÍTICO")*1E9+(100000-D842)*10000+10000-ROW(),""),"")</f>
        <v/>
      </c>
      <c r="X842" s="8">
        <f>IF(AND(V842=1,D842=pas_data,E842=pas_turno),10000-ROW(),"")</f>
        <v/>
      </c>
    </row>
    <row r="843">
      <c r="A843" s="3">
        <f>IF(D843="","","TT-"&amp;TEXT(ROW()-1,"00000"))</f>
        <v/>
      </c>
      <c r="B843" s="3">
        <f>IF(D843="","",IF(V843=0,"CONCLUÍDO",IF(D843&lt;corte,"HISTÓRICO",IF(OR(AND(ISNUMBER(R843),R843&lt;TODAY()),AND(OR(N843="PENDENTE",N843="PARCIAL"),D843&lt;TODAY()-1)),"CRÍTICO",IF(OR(AND(P843&lt;&gt;"",S843=""),AND(N843="REALIZADO",M843="PENDENTE"),AND(ISNUMBER(R843),R843=TODAY())),"ATENÇÃO",IF(N(K843)=0,"PENDENTE","EM ANDAMENTO"))))))</f>
        <v/>
      </c>
      <c r="C843" s="3">
        <f>IF(D843="","",IF(V843=0,"🟢 OK",IF(D843&lt;corte,"⚪ HISTÓRICO (sem baixa)",IF(AND(ISNUMBER(R843),R843&lt;TODAY()),"🔴 PRAZO VENCIDO",IF(AND(OR(N843="PENDENTE",N843="PARCIAL"),D843&lt;TODAY()-1),"🔴 EMBARQUE ATRASADO",IF(AND(N843="REALIZADO",M843="PENDENTE"),"🟡 EMBARCADO SEM FATURAR",IF(AND(P843&lt;&gt;"",S843="",OR(Q843="",R843="")),"🟡 PENDÊNCIA SEM RESPONSÁVEL/PRAZO",IF(AND(ISNUMBER(R843),R843=TODAY()),"🟡 VENCE HOJE",IF(AND(P843&lt;&gt;"",S843=""),"🟡 PENDÊNCIA ABERTA",IF(AND(N(J843)&gt;0,N(K843)&lt;J843),"🟡 FALTA EXECUTAR",IF(OR(M843="PENDENTE",M843="PARCIAL"),"🟡 FATURAMENTO PENDENTE","🟡 EMBARQUE PENDENTE")))))))))))</f>
        <v/>
      </c>
      <c r="D843" s="4" t="n"/>
      <c r="E843" s="5" t="n"/>
      <c r="F843" s="5" t="n"/>
      <c r="G843" s="5" t="n"/>
      <c r="H843" s="5" t="n"/>
      <c r="I843" s="5" t="n"/>
      <c r="J843" s="6" t="n"/>
      <c r="K843" s="6" t="n"/>
      <c r="L843" s="7">
        <f>IF(OR(D843="",N(J843)=0),"",MIN(1,N(K843)/J843))</f>
        <v/>
      </c>
      <c r="M843" s="5" t="n"/>
      <c r="N843" s="5" t="n"/>
      <c r="O843" s="5" t="n"/>
      <c r="P843" s="5" t="n"/>
      <c r="Q843" s="5" t="n"/>
      <c r="R843" s="4" t="n"/>
      <c r="S843" s="4" t="n"/>
      <c r="T843" s="5" t="n"/>
      <c r="U843" s="8">
        <f>IF(AND(V843=1,D843&lt;&gt;""),IF(D843&gt;=corte,TODAY()-D843,""),"")</f>
        <v/>
      </c>
      <c r="V843" s="8">
        <f>IF(D843="",0,IF(OR(AND(P843&lt;&gt;"",S843=""),AND(N(J843)&gt;0,N(K843)&lt;J843),OR(M843="PENDENTE",M843="PARCIAL"),OR(N843="PENDENTE",N843="PARCIAL")),1,0))</f>
        <v/>
      </c>
      <c r="W843" s="8">
        <f>IF(AND(V843=1,D843&lt;&gt;""),IF(D843&gt;=corte,(B843="CRÍTICO")*1E9+(100000-D843)*10000+10000-ROW(),""),"")</f>
        <v/>
      </c>
      <c r="X843" s="8">
        <f>IF(AND(V843=1,D843=pas_data,E843=pas_turno),10000-ROW(),"")</f>
        <v/>
      </c>
    </row>
    <row r="844">
      <c r="A844" s="3">
        <f>IF(D844="","","TT-"&amp;TEXT(ROW()-1,"00000"))</f>
        <v/>
      </c>
      <c r="B844" s="3">
        <f>IF(D844="","",IF(V844=0,"CONCLUÍDO",IF(D844&lt;corte,"HISTÓRICO",IF(OR(AND(ISNUMBER(R844),R844&lt;TODAY()),AND(OR(N844="PENDENTE",N844="PARCIAL"),D844&lt;TODAY()-1)),"CRÍTICO",IF(OR(AND(P844&lt;&gt;"",S844=""),AND(N844="REALIZADO",M844="PENDENTE"),AND(ISNUMBER(R844),R844=TODAY())),"ATENÇÃO",IF(N(K844)=0,"PENDENTE","EM ANDAMENTO"))))))</f>
        <v/>
      </c>
      <c r="C844" s="3">
        <f>IF(D844="","",IF(V844=0,"🟢 OK",IF(D844&lt;corte,"⚪ HISTÓRICO (sem baixa)",IF(AND(ISNUMBER(R844),R844&lt;TODAY()),"🔴 PRAZO VENCIDO",IF(AND(OR(N844="PENDENTE",N844="PARCIAL"),D844&lt;TODAY()-1),"🔴 EMBARQUE ATRASADO",IF(AND(N844="REALIZADO",M844="PENDENTE"),"🟡 EMBARCADO SEM FATURAR",IF(AND(P844&lt;&gt;"",S844="",OR(Q844="",R844="")),"🟡 PENDÊNCIA SEM RESPONSÁVEL/PRAZO",IF(AND(ISNUMBER(R844),R844=TODAY()),"🟡 VENCE HOJE",IF(AND(P844&lt;&gt;"",S844=""),"🟡 PENDÊNCIA ABERTA",IF(AND(N(J844)&gt;0,N(K844)&lt;J844),"🟡 FALTA EXECUTAR",IF(OR(M844="PENDENTE",M844="PARCIAL"),"🟡 FATURAMENTO PENDENTE","🟡 EMBARQUE PENDENTE")))))))))))</f>
        <v/>
      </c>
      <c r="D844" s="4" t="n"/>
      <c r="E844" s="5" t="n"/>
      <c r="F844" s="5" t="n"/>
      <c r="G844" s="5" t="n"/>
      <c r="H844" s="5" t="n"/>
      <c r="I844" s="5" t="n"/>
      <c r="J844" s="6" t="n"/>
      <c r="K844" s="6" t="n"/>
      <c r="L844" s="7">
        <f>IF(OR(D844="",N(J844)=0),"",MIN(1,N(K844)/J844))</f>
        <v/>
      </c>
      <c r="M844" s="5" t="n"/>
      <c r="N844" s="5" t="n"/>
      <c r="O844" s="5" t="n"/>
      <c r="P844" s="5" t="n"/>
      <c r="Q844" s="5" t="n"/>
      <c r="R844" s="4" t="n"/>
      <c r="S844" s="4" t="n"/>
      <c r="T844" s="5" t="n"/>
      <c r="U844" s="8">
        <f>IF(AND(V844=1,D844&lt;&gt;""),IF(D844&gt;=corte,TODAY()-D844,""),"")</f>
        <v/>
      </c>
      <c r="V844" s="8">
        <f>IF(D844="",0,IF(OR(AND(P844&lt;&gt;"",S844=""),AND(N(J844)&gt;0,N(K844)&lt;J844),OR(M844="PENDENTE",M844="PARCIAL"),OR(N844="PENDENTE",N844="PARCIAL")),1,0))</f>
        <v/>
      </c>
      <c r="W844" s="8">
        <f>IF(AND(V844=1,D844&lt;&gt;""),IF(D844&gt;=corte,(B844="CRÍTICO")*1E9+(100000-D844)*10000+10000-ROW(),""),"")</f>
        <v/>
      </c>
      <c r="X844" s="8">
        <f>IF(AND(V844=1,D844=pas_data,E844=pas_turno),10000-ROW(),"")</f>
        <v/>
      </c>
    </row>
    <row r="845">
      <c r="A845" s="3">
        <f>IF(D845="","","TT-"&amp;TEXT(ROW()-1,"00000"))</f>
        <v/>
      </c>
      <c r="B845" s="3">
        <f>IF(D845="","",IF(V845=0,"CONCLUÍDO",IF(D845&lt;corte,"HISTÓRICO",IF(OR(AND(ISNUMBER(R845),R845&lt;TODAY()),AND(OR(N845="PENDENTE",N845="PARCIAL"),D845&lt;TODAY()-1)),"CRÍTICO",IF(OR(AND(P845&lt;&gt;"",S845=""),AND(N845="REALIZADO",M845="PENDENTE"),AND(ISNUMBER(R845),R845=TODAY())),"ATENÇÃO",IF(N(K845)=0,"PENDENTE","EM ANDAMENTO"))))))</f>
        <v/>
      </c>
      <c r="C845" s="3">
        <f>IF(D845="","",IF(V845=0,"🟢 OK",IF(D845&lt;corte,"⚪ HISTÓRICO (sem baixa)",IF(AND(ISNUMBER(R845),R845&lt;TODAY()),"🔴 PRAZO VENCIDO",IF(AND(OR(N845="PENDENTE",N845="PARCIAL"),D845&lt;TODAY()-1),"🔴 EMBARQUE ATRASADO",IF(AND(N845="REALIZADO",M845="PENDENTE"),"🟡 EMBARCADO SEM FATURAR",IF(AND(P845&lt;&gt;"",S845="",OR(Q845="",R845="")),"🟡 PENDÊNCIA SEM RESPONSÁVEL/PRAZO",IF(AND(ISNUMBER(R845),R845=TODAY()),"🟡 VENCE HOJE",IF(AND(P845&lt;&gt;"",S845=""),"🟡 PENDÊNCIA ABERTA",IF(AND(N(J845)&gt;0,N(K845)&lt;J845),"🟡 FALTA EXECUTAR",IF(OR(M845="PENDENTE",M845="PARCIAL"),"🟡 FATURAMENTO PENDENTE","🟡 EMBARQUE PENDENTE")))))))))))</f>
        <v/>
      </c>
      <c r="D845" s="4" t="n"/>
      <c r="E845" s="5" t="n"/>
      <c r="F845" s="5" t="n"/>
      <c r="G845" s="5" t="n"/>
      <c r="H845" s="5" t="n"/>
      <c r="I845" s="5" t="n"/>
      <c r="J845" s="6" t="n"/>
      <c r="K845" s="6" t="n"/>
      <c r="L845" s="7">
        <f>IF(OR(D845="",N(J845)=0),"",MIN(1,N(K845)/J845))</f>
        <v/>
      </c>
      <c r="M845" s="5" t="n"/>
      <c r="N845" s="5" t="n"/>
      <c r="O845" s="5" t="n"/>
      <c r="P845" s="5" t="n"/>
      <c r="Q845" s="5" t="n"/>
      <c r="R845" s="4" t="n"/>
      <c r="S845" s="4" t="n"/>
      <c r="T845" s="5" t="n"/>
      <c r="U845" s="8">
        <f>IF(AND(V845=1,D845&lt;&gt;""),IF(D845&gt;=corte,TODAY()-D845,""),"")</f>
        <v/>
      </c>
      <c r="V845" s="8">
        <f>IF(D845="",0,IF(OR(AND(P845&lt;&gt;"",S845=""),AND(N(J845)&gt;0,N(K845)&lt;J845),OR(M845="PENDENTE",M845="PARCIAL"),OR(N845="PENDENTE",N845="PARCIAL")),1,0))</f>
        <v/>
      </c>
      <c r="W845" s="8">
        <f>IF(AND(V845=1,D845&lt;&gt;""),IF(D845&gt;=corte,(B845="CRÍTICO")*1E9+(100000-D845)*10000+10000-ROW(),""),"")</f>
        <v/>
      </c>
      <c r="X845" s="8">
        <f>IF(AND(V845=1,D845=pas_data,E845=pas_turno),10000-ROW(),"")</f>
        <v/>
      </c>
    </row>
    <row r="846">
      <c r="A846" s="3">
        <f>IF(D846="","","TT-"&amp;TEXT(ROW()-1,"00000"))</f>
        <v/>
      </c>
      <c r="B846" s="3">
        <f>IF(D846="","",IF(V846=0,"CONCLUÍDO",IF(D846&lt;corte,"HISTÓRICO",IF(OR(AND(ISNUMBER(R846),R846&lt;TODAY()),AND(OR(N846="PENDENTE",N846="PARCIAL"),D846&lt;TODAY()-1)),"CRÍTICO",IF(OR(AND(P846&lt;&gt;"",S846=""),AND(N846="REALIZADO",M846="PENDENTE"),AND(ISNUMBER(R846),R846=TODAY())),"ATENÇÃO",IF(N(K846)=0,"PENDENTE","EM ANDAMENTO"))))))</f>
        <v/>
      </c>
      <c r="C846" s="3">
        <f>IF(D846="","",IF(V846=0,"🟢 OK",IF(D846&lt;corte,"⚪ HISTÓRICO (sem baixa)",IF(AND(ISNUMBER(R846),R846&lt;TODAY()),"🔴 PRAZO VENCIDO",IF(AND(OR(N846="PENDENTE",N846="PARCIAL"),D846&lt;TODAY()-1),"🔴 EMBARQUE ATRASADO",IF(AND(N846="REALIZADO",M846="PENDENTE"),"🟡 EMBARCADO SEM FATURAR",IF(AND(P846&lt;&gt;"",S846="",OR(Q846="",R846="")),"🟡 PENDÊNCIA SEM RESPONSÁVEL/PRAZO",IF(AND(ISNUMBER(R846),R846=TODAY()),"🟡 VENCE HOJE",IF(AND(P846&lt;&gt;"",S846=""),"🟡 PENDÊNCIA ABERTA",IF(AND(N(J846)&gt;0,N(K846)&lt;J846),"🟡 FALTA EXECUTAR",IF(OR(M846="PENDENTE",M846="PARCIAL"),"🟡 FATURAMENTO PENDENTE","🟡 EMBARQUE PENDENTE")))))))))))</f>
        <v/>
      </c>
      <c r="D846" s="4" t="n"/>
      <c r="E846" s="5" t="n"/>
      <c r="F846" s="5" t="n"/>
      <c r="G846" s="5" t="n"/>
      <c r="H846" s="5" t="n"/>
      <c r="I846" s="5" t="n"/>
      <c r="J846" s="6" t="n"/>
      <c r="K846" s="6" t="n"/>
      <c r="L846" s="7">
        <f>IF(OR(D846="",N(J846)=0),"",MIN(1,N(K846)/J846))</f>
        <v/>
      </c>
      <c r="M846" s="5" t="n"/>
      <c r="N846" s="5" t="n"/>
      <c r="O846" s="5" t="n"/>
      <c r="P846" s="5" t="n"/>
      <c r="Q846" s="5" t="n"/>
      <c r="R846" s="4" t="n"/>
      <c r="S846" s="4" t="n"/>
      <c r="T846" s="5" t="n"/>
      <c r="U846" s="8">
        <f>IF(AND(V846=1,D846&lt;&gt;""),IF(D846&gt;=corte,TODAY()-D846,""),"")</f>
        <v/>
      </c>
      <c r="V846" s="8">
        <f>IF(D846="",0,IF(OR(AND(P846&lt;&gt;"",S846=""),AND(N(J846)&gt;0,N(K846)&lt;J846),OR(M846="PENDENTE",M846="PARCIAL"),OR(N846="PENDENTE",N846="PARCIAL")),1,0))</f>
        <v/>
      </c>
      <c r="W846" s="8">
        <f>IF(AND(V846=1,D846&lt;&gt;""),IF(D846&gt;=corte,(B846="CRÍTICO")*1E9+(100000-D846)*10000+10000-ROW(),""),"")</f>
        <v/>
      </c>
      <c r="X846" s="8">
        <f>IF(AND(V846=1,D846=pas_data,E846=pas_turno),10000-ROW(),"")</f>
        <v/>
      </c>
    </row>
    <row r="847">
      <c r="A847" s="3">
        <f>IF(D847="","","TT-"&amp;TEXT(ROW()-1,"00000"))</f>
        <v/>
      </c>
      <c r="B847" s="3">
        <f>IF(D847="","",IF(V847=0,"CONCLUÍDO",IF(D847&lt;corte,"HISTÓRICO",IF(OR(AND(ISNUMBER(R847),R847&lt;TODAY()),AND(OR(N847="PENDENTE",N847="PARCIAL"),D847&lt;TODAY()-1)),"CRÍTICO",IF(OR(AND(P847&lt;&gt;"",S847=""),AND(N847="REALIZADO",M847="PENDENTE"),AND(ISNUMBER(R847),R847=TODAY())),"ATENÇÃO",IF(N(K847)=0,"PENDENTE","EM ANDAMENTO"))))))</f>
        <v/>
      </c>
      <c r="C847" s="3">
        <f>IF(D847="","",IF(V847=0,"🟢 OK",IF(D847&lt;corte,"⚪ HISTÓRICO (sem baixa)",IF(AND(ISNUMBER(R847),R847&lt;TODAY()),"🔴 PRAZO VENCIDO",IF(AND(OR(N847="PENDENTE",N847="PARCIAL"),D847&lt;TODAY()-1),"🔴 EMBARQUE ATRASADO",IF(AND(N847="REALIZADO",M847="PENDENTE"),"🟡 EMBARCADO SEM FATURAR",IF(AND(P847&lt;&gt;"",S847="",OR(Q847="",R847="")),"🟡 PENDÊNCIA SEM RESPONSÁVEL/PRAZO",IF(AND(ISNUMBER(R847),R847=TODAY()),"🟡 VENCE HOJE",IF(AND(P847&lt;&gt;"",S847=""),"🟡 PENDÊNCIA ABERTA",IF(AND(N(J847)&gt;0,N(K847)&lt;J847),"🟡 FALTA EXECUTAR",IF(OR(M847="PENDENTE",M847="PARCIAL"),"🟡 FATURAMENTO PENDENTE","🟡 EMBARQUE PENDENTE")))))))))))</f>
        <v/>
      </c>
      <c r="D847" s="4" t="n"/>
      <c r="E847" s="5" t="n"/>
      <c r="F847" s="5" t="n"/>
      <c r="G847" s="5" t="n"/>
      <c r="H847" s="5" t="n"/>
      <c r="I847" s="5" t="n"/>
      <c r="J847" s="6" t="n"/>
      <c r="K847" s="6" t="n"/>
      <c r="L847" s="7">
        <f>IF(OR(D847="",N(J847)=0),"",MIN(1,N(K847)/J847))</f>
        <v/>
      </c>
      <c r="M847" s="5" t="n"/>
      <c r="N847" s="5" t="n"/>
      <c r="O847" s="5" t="n"/>
      <c r="P847" s="5" t="n"/>
      <c r="Q847" s="5" t="n"/>
      <c r="R847" s="4" t="n"/>
      <c r="S847" s="4" t="n"/>
      <c r="T847" s="5" t="n"/>
      <c r="U847" s="8">
        <f>IF(AND(V847=1,D847&lt;&gt;""),IF(D847&gt;=corte,TODAY()-D847,""),"")</f>
        <v/>
      </c>
      <c r="V847" s="8">
        <f>IF(D847="",0,IF(OR(AND(P847&lt;&gt;"",S847=""),AND(N(J847)&gt;0,N(K847)&lt;J847),OR(M847="PENDENTE",M847="PARCIAL"),OR(N847="PENDENTE",N847="PARCIAL")),1,0))</f>
        <v/>
      </c>
      <c r="W847" s="8">
        <f>IF(AND(V847=1,D847&lt;&gt;""),IF(D847&gt;=corte,(B847="CRÍTICO")*1E9+(100000-D847)*10000+10000-ROW(),""),"")</f>
        <v/>
      </c>
      <c r="X847" s="8">
        <f>IF(AND(V847=1,D847=pas_data,E847=pas_turno),10000-ROW(),"")</f>
        <v/>
      </c>
    </row>
    <row r="848">
      <c r="A848" s="3">
        <f>IF(D848="","","TT-"&amp;TEXT(ROW()-1,"00000"))</f>
        <v/>
      </c>
      <c r="B848" s="3">
        <f>IF(D848="","",IF(V848=0,"CONCLUÍDO",IF(D848&lt;corte,"HISTÓRICO",IF(OR(AND(ISNUMBER(R848),R848&lt;TODAY()),AND(OR(N848="PENDENTE",N848="PARCIAL"),D848&lt;TODAY()-1)),"CRÍTICO",IF(OR(AND(P848&lt;&gt;"",S848=""),AND(N848="REALIZADO",M848="PENDENTE"),AND(ISNUMBER(R848),R848=TODAY())),"ATENÇÃO",IF(N(K848)=0,"PENDENTE","EM ANDAMENTO"))))))</f>
        <v/>
      </c>
      <c r="C848" s="3">
        <f>IF(D848="","",IF(V848=0,"🟢 OK",IF(D848&lt;corte,"⚪ HISTÓRICO (sem baixa)",IF(AND(ISNUMBER(R848),R848&lt;TODAY()),"🔴 PRAZO VENCIDO",IF(AND(OR(N848="PENDENTE",N848="PARCIAL"),D848&lt;TODAY()-1),"🔴 EMBARQUE ATRASADO",IF(AND(N848="REALIZADO",M848="PENDENTE"),"🟡 EMBARCADO SEM FATURAR",IF(AND(P848&lt;&gt;"",S848="",OR(Q848="",R848="")),"🟡 PENDÊNCIA SEM RESPONSÁVEL/PRAZO",IF(AND(ISNUMBER(R848),R848=TODAY()),"🟡 VENCE HOJE",IF(AND(P848&lt;&gt;"",S848=""),"🟡 PENDÊNCIA ABERTA",IF(AND(N(J848)&gt;0,N(K848)&lt;J848),"🟡 FALTA EXECUTAR",IF(OR(M848="PENDENTE",M848="PARCIAL"),"🟡 FATURAMENTO PENDENTE","🟡 EMBARQUE PENDENTE")))))))))))</f>
        <v/>
      </c>
      <c r="D848" s="4" t="n"/>
      <c r="E848" s="5" t="n"/>
      <c r="F848" s="5" t="n"/>
      <c r="G848" s="5" t="n"/>
      <c r="H848" s="5" t="n"/>
      <c r="I848" s="5" t="n"/>
      <c r="J848" s="6" t="n"/>
      <c r="K848" s="6" t="n"/>
      <c r="L848" s="7">
        <f>IF(OR(D848="",N(J848)=0),"",MIN(1,N(K848)/J848))</f>
        <v/>
      </c>
      <c r="M848" s="5" t="n"/>
      <c r="N848" s="5" t="n"/>
      <c r="O848" s="5" t="n"/>
      <c r="P848" s="5" t="n"/>
      <c r="Q848" s="5" t="n"/>
      <c r="R848" s="4" t="n"/>
      <c r="S848" s="4" t="n"/>
      <c r="T848" s="5" t="n"/>
      <c r="U848" s="8">
        <f>IF(AND(V848=1,D848&lt;&gt;""),IF(D848&gt;=corte,TODAY()-D848,""),"")</f>
        <v/>
      </c>
      <c r="V848" s="8">
        <f>IF(D848="",0,IF(OR(AND(P848&lt;&gt;"",S848=""),AND(N(J848)&gt;0,N(K848)&lt;J848),OR(M848="PENDENTE",M848="PARCIAL"),OR(N848="PENDENTE",N848="PARCIAL")),1,0))</f>
        <v/>
      </c>
      <c r="W848" s="8">
        <f>IF(AND(V848=1,D848&lt;&gt;""),IF(D848&gt;=corte,(B848="CRÍTICO")*1E9+(100000-D848)*10000+10000-ROW(),""),"")</f>
        <v/>
      </c>
      <c r="X848" s="8">
        <f>IF(AND(V848=1,D848=pas_data,E848=pas_turno),10000-ROW(),"")</f>
        <v/>
      </c>
    </row>
    <row r="849">
      <c r="A849" s="3">
        <f>IF(D849="","","TT-"&amp;TEXT(ROW()-1,"00000"))</f>
        <v/>
      </c>
      <c r="B849" s="3">
        <f>IF(D849="","",IF(V849=0,"CONCLUÍDO",IF(D849&lt;corte,"HISTÓRICO",IF(OR(AND(ISNUMBER(R849),R849&lt;TODAY()),AND(OR(N849="PENDENTE",N849="PARCIAL"),D849&lt;TODAY()-1)),"CRÍTICO",IF(OR(AND(P849&lt;&gt;"",S849=""),AND(N849="REALIZADO",M849="PENDENTE"),AND(ISNUMBER(R849),R849=TODAY())),"ATENÇÃO",IF(N(K849)=0,"PENDENTE","EM ANDAMENTO"))))))</f>
        <v/>
      </c>
      <c r="C849" s="3">
        <f>IF(D849="","",IF(V849=0,"🟢 OK",IF(D849&lt;corte,"⚪ HISTÓRICO (sem baixa)",IF(AND(ISNUMBER(R849),R849&lt;TODAY()),"🔴 PRAZO VENCIDO",IF(AND(OR(N849="PENDENTE",N849="PARCIAL"),D849&lt;TODAY()-1),"🔴 EMBARQUE ATRASADO",IF(AND(N849="REALIZADO",M849="PENDENTE"),"🟡 EMBARCADO SEM FATURAR",IF(AND(P849&lt;&gt;"",S849="",OR(Q849="",R849="")),"🟡 PENDÊNCIA SEM RESPONSÁVEL/PRAZO",IF(AND(ISNUMBER(R849),R849=TODAY()),"🟡 VENCE HOJE",IF(AND(P849&lt;&gt;"",S849=""),"🟡 PENDÊNCIA ABERTA",IF(AND(N(J849)&gt;0,N(K849)&lt;J849),"🟡 FALTA EXECUTAR",IF(OR(M849="PENDENTE",M849="PARCIAL"),"🟡 FATURAMENTO PENDENTE","🟡 EMBARQUE PENDENTE")))))))))))</f>
        <v/>
      </c>
      <c r="D849" s="4" t="n"/>
      <c r="E849" s="5" t="n"/>
      <c r="F849" s="5" t="n"/>
      <c r="G849" s="5" t="n"/>
      <c r="H849" s="5" t="n"/>
      <c r="I849" s="5" t="n"/>
      <c r="J849" s="6" t="n"/>
      <c r="K849" s="6" t="n"/>
      <c r="L849" s="7">
        <f>IF(OR(D849="",N(J849)=0),"",MIN(1,N(K849)/J849))</f>
        <v/>
      </c>
      <c r="M849" s="5" t="n"/>
      <c r="N849" s="5" t="n"/>
      <c r="O849" s="5" t="n"/>
      <c r="P849" s="5" t="n"/>
      <c r="Q849" s="5" t="n"/>
      <c r="R849" s="4" t="n"/>
      <c r="S849" s="4" t="n"/>
      <c r="T849" s="5" t="n"/>
      <c r="U849" s="8">
        <f>IF(AND(V849=1,D849&lt;&gt;""),IF(D849&gt;=corte,TODAY()-D849,""),"")</f>
        <v/>
      </c>
      <c r="V849" s="8">
        <f>IF(D849="",0,IF(OR(AND(P849&lt;&gt;"",S849=""),AND(N(J849)&gt;0,N(K849)&lt;J849),OR(M849="PENDENTE",M849="PARCIAL"),OR(N849="PENDENTE",N849="PARCIAL")),1,0))</f>
        <v/>
      </c>
      <c r="W849" s="8">
        <f>IF(AND(V849=1,D849&lt;&gt;""),IF(D849&gt;=corte,(B849="CRÍTICO")*1E9+(100000-D849)*10000+10000-ROW(),""),"")</f>
        <v/>
      </c>
      <c r="X849" s="8">
        <f>IF(AND(V849=1,D849=pas_data,E849=pas_turno),10000-ROW(),"")</f>
        <v/>
      </c>
    </row>
    <row r="850">
      <c r="A850" s="3">
        <f>IF(D850="","","TT-"&amp;TEXT(ROW()-1,"00000"))</f>
        <v/>
      </c>
      <c r="B850" s="3">
        <f>IF(D850="","",IF(V850=0,"CONCLUÍDO",IF(D850&lt;corte,"HISTÓRICO",IF(OR(AND(ISNUMBER(R850),R850&lt;TODAY()),AND(OR(N850="PENDENTE",N850="PARCIAL"),D850&lt;TODAY()-1)),"CRÍTICO",IF(OR(AND(P850&lt;&gt;"",S850=""),AND(N850="REALIZADO",M850="PENDENTE"),AND(ISNUMBER(R850),R850=TODAY())),"ATENÇÃO",IF(N(K850)=0,"PENDENTE","EM ANDAMENTO"))))))</f>
        <v/>
      </c>
      <c r="C850" s="3">
        <f>IF(D850="","",IF(V850=0,"🟢 OK",IF(D850&lt;corte,"⚪ HISTÓRICO (sem baixa)",IF(AND(ISNUMBER(R850),R850&lt;TODAY()),"🔴 PRAZO VENCIDO",IF(AND(OR(N850="PENDENTE",N850="PARCIAL"),D850&lt;TODAY()-1),"🔴 EMBARQUE ATRASADO",IF(AND(N850="REALIZADO",M850="PENDENTE"),"🟡 EMBARCADO SEM FATURAR",IF(AND(P850&lt;&gt;"",S850="",OR(Q850="",R850="")),"🟡 PENDÊNCIA SEM RESPONSÁVEL/PRAZO",IF(AND(ISNUMBER(R850),R850=TODAY()),"🟡 VENCE HOJE",IF(AND(P850&lt;&gt;"",S850=""),"🟡 PENDÊNCIA ABERTA",IF(AND(N(J850)&gt;0,N(K850)&lt;J850),"🟡 FALTA EXECUTAR",IF(OR(M850="PENDENTE",M850="PARCIAL"),"🟡 FATURAMENTO PENDENTE","🟡 EMBARQUE PENDENTE")))))))))))</f>
        <v/>
      </c>
      <c r="D850" s="4" t="n"/>
      <c r="E850" s="5" t="n"/>
      <c r="F850" s="5" t="n"/>
      <c r="G850" s="5" t="n"/>
      <c r="H850" s="5" t="n"/>
      <c r="I850" s="5" t="n"/>
      <c r="J850" s="6" t="n"/>
      <c r="K850" s="6" t="n"/>
      <c r="L850" s="7">
        <f>IF(OR(D850="",N(J850)=0),"",MIN(1,N(K850)/J850))</f>
        <v/>
      </c>
      <c r="M850" s="5" t="n"/>
      <c r="N850" s="5" t="n"/>
      <c r="O850" s="5" t="n"/>
      <c r="P850" s="5" t="n"/>
      <c r="Q850" s="5" t="n"/>
      <c r="R850" s="4" t="n"/>
      <c r="S850" s="4" t="n"/>
      <c r="T850" s="5" t="n"/>
      <c r="U850" s="8">
        <f>IF(AND(V850=1,D850&lt;&gt;""),IF(D850&gt;=corte,TODAY()-D850,""),"")</f>
        <v/>
      </c>
      <c r="V850" s="8">
        <f>IF(D850="",0,IF(OR(AND(P850&lt;&gt;"",S850=""),AND(N(J850)&gt;0,N(K850)&lt;J850),OR(M850="PENDENTE",M850="PARCIAL"),OR(N850="PENDENTE",N850="PARCIAL")),1,0))</f>
        <v/>
      </c>
      <c r="W850" s="8">
        <f>IF(AND(V850=1,D850&lt;&gt;""),IF(D850&gt;=corte,(B850="CRÍTICO")*1E9+(100000-D850)*10000+10000-ROW(),""),"")</f>
        <v/>
      </c>
      <c r="X850" s="8">
        <f>IF(AND(V850=1,D850=pas_data,E850=pas_turno),10000-ROW(),"")</f>
        <v/>
      </c>
    </row>
    <row r="851">
      <c r="A851" s="3">
        <f>IF(D851="","","TT-"&amp;TEXT(ROW()-1,"00000"))</f>
        <v/>
      </c>
      <c r="B851" s="3">
        <f>IF(D851="","",IF(V851=0,"CONCLUÍDO",IF(D851&lt;corte,"HISTÓRICO",IF(OR(AND(ISNUMBER(R851),R851&lt;TODAY()),AND(OR(N851="PENDENTE",N851="PARCIAL"),D851&lt;TODAY()-1)),"CRÍTICO",IF(OR(AND(P851&lt;&gt;"",S851=""),AND(N851="REALIZADO",M851="PENDENTE"),AND(ISNUMBER(R851),R851=TODAY())),"ATENÇÃO",IF(N(K851)=0,"PENDENTE","EM ANDAMENTO"))))))</f>
        <v/>
      </c>
      <c r="C851" s="3">
        <f>IF(D851="","",IF(V851=0,"🟢 OK",IF(D851&lt;corte,"⚪ HISTÓRICO (sem baixa)",IF(AND(ISNUMBER(R851),R851&lt;TODAY()),"🔴 PRAZO VENCIDO",IF(AND(OR(N851="PENDENTE",N851="PARCIAL"),D851&lt;TODAY()-1),"🔴 EMBARQUE ATRASADO",IF(AND(N851="REALIZADO",M851="PENDENTE"),"🟡 EMBARCADO SEM FATURAR",IF(AND(P851&lt;&gt;"",S851="",OR(Q851="",R851="")),"🟡 PENDÊNCIA SEM RESPONSÁVEL/PRAZO",IF(AND(ISNUMBER(R851),R851=TODAY()),"🟡 VENCE HOJE",IF(AND(P851&lt;&gt;"",S851=""),"🟡 PENDÊNCIA ABERTA",IF(AND(N(J851)&gt;0,N(K851)&lt;J851),"🟡 FALTA EXECUTAR",IF(OR(M851="PENDENTE",M851="PARCIAL"),"🟡 FATURAMENTO PENDENTE","🟡 EMBARQUE PENDENTE")))))))))))</f>
        <v/>
      </c>
      <c r="D851" s="4" t="n"/>
      <c r="E851" s="5" t="n"/>
      <c r="F851" s="5" t="n"/>
      <c r="G851" s="5" t="n"/>
      <c r="H851" s="5" t="n"/>
      <c r="I851" s="5" t="n"/>
      <c r="J851" s="6" t="n"/>
      <c r="K851" s="6" t="n"/>
      <c r="L851" s="7">
        <f>IF(OR(D851="",N(J851)=0),"",MIN(1,N(K851)/J851))</f>
        <v/>
      </c>
      <c r="M851" s="5" t="n"/>
      <c r="N851" s="5" t="n"/>
      <c r="O851" s="5" t="n"/>
      <c r="P851" s="5" t="n"/>
      <c r="Q851" s="5" t="n"/>
      <c r="R851" s="4" t="n"/>
      <c r="S851" s="4" t="n"/>
      <c r="T851" s="5" t="n"/>
      <c r="U851" s="8">
        <f>IF(AND(V851=1,D851&lt;&gt;""),IF(D851&gt;=corte,TODAY()-D851,""),"")</f>
        <v/>
      </c>
      <c r="V851" s="8">
        <f>IF(D851="",0,IF(OR(AND(P851&lt;&gt;"",S851=""),AND(N(J851)&gt;0,N(K851)&lt;J851),OR(M851="PENDENTE",M851="PARCIAL"),OR(N851="PENDENTE",N851="PARCIAL")),1,0))</f>
        <v/>
      </c>
      <c r="W851" s="8">
        <f>IF(AND(V851=1,D851&lt;&gt;""),IF(D851&gt;=corte,(B851="CRÍTICO")*1E9+(100000-D851)*10000+10000-ROW(),""),"")</f>
        <v/>
      </c>
      <c r="X851" s="8">
        <f>IF(AND(V851=1,D851=pas_data,E851=pas_turno),10000-ROW(),"")</f>
        <v/>
      </c>
    </row>
    <row r="852">
      <c r="A852" s="3">
        <f>IF(D852="","","TT-"&amp;TEXT(ROW()-1,"00000"))</f>
        <v/>
      </c>
      <c r="B852" s="3">
        <f>IF(D852="","",IF(V852=0,"CONCLUÍDO",IF(D852&lt;corte,"HISTÓRICO",IF(OR(AND(ISNUMBER(R852),R852&lt;TODAY()),AND(OR(N852="PENDENTE",N852="PARCIAL"),D852&lt;TODAY()-1)),"CRÍTICO",IF(OR(AND(P852&lt;&gt;"",S852=""),AND(N852="REALIZADO",M852="PENDENTE"),AND(ISNUMBER(R852),R852=TODAY())),"ATENÇÃO",IF(N(K852)=0,"PENDENTE","EM ANDAMENTO"))))))</f>
        <v/>
      </c>
      <c r="C852" s="3">
        <f>IF(D852="","",IF(V852=0,"🟢 OK",IF(D852&lt;corte,"⚪ HISTÓRICO (sem baixa)",IF(AND(ISNUMBER(R852),R852&lt;TODAY()),"🔴 PRAZO VENCIDO",IF(AND(OR(N852="PENDENTE",N852="PARCIAL"),D852&lt;TODAY()-1),"🔴 EMBARQUE ATRASADO",IF(AND(N852="REALIZADO",M852="PENDENTE"),"🟡 EMBARCADO SEM FATURAR",IF(AND(P852&lt;&gt;"",S852="",OR(Q852="",R852="")),"🟡 PENDÊNCIA SEM RESPONSÁVEL/PRAZO",IF(AND(ISNUMBER(R852),R852=TODAY()),"🟡 VENCE HOJE",IF(AND(P852&lt;&gt;"",S852=""),"🟡 PENDÊNCIA ABERTA",IF(AND(N(J852)&gt;0,N(K852)&lt;J852),"🟡 FALTA EXECUTAR",IF(OR(M852="PENDENTE",M852="PARCIAL"),"🟡 FATURAMENTO PENDENTE","🟡 EMBARQUE PENDENTE")))))))))))</f>
        <v/>
      </c>
      <c r="D852" s="4" t="n"/>
      <c r="E852" s="5" t="n"/>
      <c r="F852" s="5" t="n"/>
      <c r="G852" s="5" t="n"/>
      <c r="H852" s="5" t="n"/>
      <c r="I852" s="5" t="n"/>
      <c r="J852" s="6" t="n"/>
      <c r="K852" s="6" t="n"/>
      <c r="L852" s="7">
        <f>IF(OR(D852="",N(J852)=0),"",MIN(1,N(K852)/J852))</f>
        <v/>
      </c>
      <c r="M852" s="5" t="n"/>
      <c r="N852" s="5" t="n"/>
      <c r="O852" s="5" t="n"/>
      <c r="P852" s="5" t="n"/>
      <c r="Q852" s="5" t="n"/>
      <c r="R852" s="4" t="n"/>
      <c r="S852" s="4" t="n"/>
      <c r="T852" s="5" t="n"/>
      <c r="U852" s="8">
        <f>IF(AND(V852=1,D852&lt;&gt;""),IF(D852&gt;=corte,TODAY()-D852,""),"")</f>
        <v/>
      </c>
      <c r="V852" s="8">
        <f>IF(D852="",0,IF(OR(AND(P852&lt;&gt;"",S852=""),AND(N(J852)&gt;0,N(K852)&lt;J852),OR(M852="PENDENTE",M852="PARCIAL"),OR(N852="PENDENTE",N852="PARCIAL")),1,0))</f>
        <v/>
      </c>
      <c r="W852" s="8">
        <f>IF(AND(V852=1,D852&lt;&gt;""),IF(D852&gt;=corte,(B852="CRÍTICO")*1E9+(100000-D852)*10000+10000-ROW(),""),"")</f>
        <v/>
      </c>
      <c r="X852" s="8">
        <f>IF(AND(V852=1,D852=pas_data,E852=pas_turno),10000-ROW(),"")</f>
        <v/>
      </c>
    </row>
    <row r="853">
      <c r="A853" s="3">
        <f>IF(D853="","","TT-"&amp;TEXT(ROW()-1,"00000"))</f>
        <v/>
      </c>
      <c r="B853" s="3">
        <f>IF(D853="","",IF(V853=0,"CONCLUÍDO",IF(D853&lt;corte,"HISTÓRICO",IF(OR(AND(ISNUMBER(R853),R853&lt;TODAY()),AND(OR(N853="PENDENTE",N853="PARCIAL"),D853&lt;TODAY()-1)),"CRÍTICO",IF(OR(AND(P853&lt;&gt;"",S853=""),AND(N853="REALIZADO",M853="PENDENTE"),AND(ISNUMBER(R853),R853=TODAY())),"ATENÇÃO",IF(N(K853)=0,"PENDENTE","EM ANDAMENTO"))))))</f>
        <v/>
      </c>
      <c r="C853" s="3">
        <f>IF(D853="","",IF(V853=0,"🟢 OK",IF(D853&lt;corte,"⚪ HISTÓRICO (sem baixa)",IF(AND(ISNUMBER(R853),R853&lt;TODAY()),"🔴 PRAZO VENCIDO",IF(AND(OR(N853="PENDENTE",N853="PARCIAL"),D853&lt;TODAY()-1),"🔴 EMBARQUE ATRASADO",IF(AND(N853="REALIZADO",M853="PENDENTE"),"🟡 EMBARCADO SEM FATURAR",IF(AND(P853&lt;&gt;"",S853="",OR(Q853="",R853="")),"🟡 PENDÊNCIA SEM RESPONSÁVEL/PRAZO",IF(AND(ISNUMBER(R853),R853=TODAY()),"🟡 VENCE HOJE",IF(AND(P853&lt;&gt;"",S853=""),"🟡 PENDÊNCIA ABERTA",IF(AND(N(J853)&gt;0,N(K853)&lt;J853),"🟡 FALTA EXECUTAR",IF(OR(M853="PENDENTE",M853="PARCIAL"),"🟡 FATURAMENTO PENDENTE","🟡 EMBARQUE PENDENTE")))))))))))</f>
        <v/>
      </c>
      <c r="D853" s="4" t="n"/>
      <c r="E853" s="5" t="n"/>
      <c r="F853" s="5" t="n"/>
      <c r="G853" s="5" t="n"/>
      <c r="H853" s="5" t="n"/>
      <c r="I853" s="5" t="n"/>
      <c r="J853" s="6" t="n"/>
      <c r="K853" s="6" t="n"/>
      <c r="L853" s="7">
        <f>IF(OR(D853="",N(J853)=0),"",MIN(1,N(K853)/J853))</f>
        <v/>
      </c>
      <c r="M853" s="5" t="n"/>
      <c r="N853" s="5" t="n"/>
      <c r="O853" s="5" t="n"/>
      <c r="P853" s="5" t="n"/>
      <c r="Q853" s="5" t="n"/>
      <c r="R853" s="4" t="n"/>
      <c r="S853" s="4" t="n"/>
      <c r="T853" s="5" t="n"/>
      <c r="U853" s="8">
        <f>IF(AND(V853=1,D853&lt;&gt;""),IF(D853&gt;=corte,TODAY()-D853,""),"")</f>
        <v/>
      </c>
      <c r="V853" s="8">
        <f>IF(D853="",0,IF(OR(AND(P853&lt;&gt;"",S853=""),AND(N(J853)&gt;0,N(K853)&lt;J853),OR(M853="PENDENTE",M853="PARCIAL"),OR(N853="PENDENTE",N853="PARCIAL")),1,0))</f>
        <v/>
      </c>
      <c r="W853" s="8">
        <f>IF(AND(V853=1,D853&lt;&gt;""),IF(D853&gt;=corte,(B853="CRÍTICO")*1E9+(100000-D853)*10000+10000-ROW(),""),"")</f>
        <v/>
      </c>
      <c r="X853" s="8">
        <f>IF(AND(V853=1,D853=pas_data,E853=pas_turno),10000-ROW(),"")</f>
        <v/>
      </c>
    </row>
    <row r="854">
      <c r="A854" s="3">
        <f>IF(D854="","","TT-"&amp;TEXT(ROW()-1,"00000"))</f>
        <v/>
      </c>
      <c r="B854" s="3">
        <f>IF(D854="","",IF(V854=0,"CONCLUÍDO",IF(D854&lt;corte,"HISTÓRICO",IF(OR(AND(ISNUMBER(R854),R854&lt;TODAY()),AND(OR(N854="PENDENTE",N854="PARCIAL"),D854&lt;TODAY()-1)),"CRÍTICO",IF(OR(AND(P854&lt;&gt;"",S854=""),AND(N854="REALIZADO",M854="PENDENTE"),AND(ISNUMBER(R854),R854=TODAY())),"ATENÇÃO",IF(N(K854)=0,"PENDENTE","EM ANDAMENTO"))))))</f>
        <v/>
      </c>
      <c r="C854" s="3">
        <f>IF(D854="","",IF(V854=0,"🟢 OK",IF(D854&lt;corte,"⚪ HISTÓRICO (sem baixa)",IF(AND(ISNUMBER(R854),R854&lt;TODAY()),"🔴 PRAZO VENCIDO",IF(AND(OR(N854="PENDENTE",N854="PARCIAL"),D854&lt;TODAY()-1),"🔴 EMBARQUE ATRASADO",IF(AND(N854="REALIZADO",M854="PENDENTE"),"🟡 EMBARCADO SEM FATURAR",IF(AND(P854&lt;&gt;"",S854="",OR(Q854="",R854="")),"🟡 PENDÊNCIA SEM RESPONSÁVEL/PRAZO",IF(AND(ISNUMBER(R854),R854=TODAY()),"🟡 VENCE HOJE",IF(AND(P854&lt;&gt;"",S854=""),"🟡 PENDÊNCIA ABERTA",IF(AND(N(J854)&gt;0,N(K854)&lt;J854),"🟡 FALTA EXECUTAR",IF(OR(M854="PENDENTE",M854="PARCIAL"),"🟡 FATURAMENTO PENDENTE","🟡 EMBARQUE PENDENTE")))))))))))</f>
        <v/>
      </c>
      <c r="D854" s="4" t="n"/>
      <c r="E854" s="5" t="n"/>
      <c r="F854" s="5" t="n"/>
      <c r="G854" s="5" t="n"/>
      <c r="H854" s="5" t="n"/>
      <c r="I854" s="5" t="n"/>
      <c r="J854" s="6" t="n"/>
      <c r="K854" s="6" t="n"/>
      <c r="L854" s="7">
        <f>IF(OR(D854="",N(J854)=0),"",MIN(1,N(K854)/J854))</f>
        <v/>
      </c>
      <c r="M854" s="5" t="n"/>
      <c r="N854" s="5" t="n"/>
      <c r="O854" s="5" t="n"/>
      <c r="P854" s="5" t="n"/>
      <c r="Q854" s="5" t="n"/>
      <c r="R854" s="4" t="n"/>
      <c r="S854" s="4" t="n"/>
      <c r="T854" s="5" t="n"/>
      <c r="U854" s="8">
        <f>IF(AND(V854=1,D854&lt;&gt;""),IF(D854&gt;=corte,TODAY()-D854,""),"")</f>
        <v/>
      </c>
      <c r="V854" s="8">
        <f>IF(D854="",0,IF(OR(AND(P854&lt;&gt;"",S854=""),AND(N(J854)&gt;0,N(K854)&lt;J854),OR(M854="PENDENTE",M854="PARCIAL"),OR(N854="PENDENTE",N854="PARCIAL")),1,0))</f>
        <v/>
      </c>
      <c r="W854" s="8">
        <f>IF(AND(V854=1,D854&lt;&gt;""),IF(D854&gt;=corte,(B854="CRÍTICO")*1E9+(100000-D854)*10000+10000-ROW(),""),"")</f>
        <v/>
      </c>
      <c r="X854" s="8">
        <f>IF(AND(V854=1,D854=pas_data,E854=pas_turno),10000-ROW(),"")</f>
        <v/>
      </c>
    </row>
    <row r="855">
      <c r="A855" s="3">
        <f>IF(D855="","","TT-"&amp;TEXT(ROW()-1,"00000"))</f>
        <v/>
      </c>
      <c r="B855" s="3">
        <f>IF(D855="","",IF(V855=0,"CONCLUÍDO",IF(D855&lt;corte,"HISTÓRICO",IF(OR(AND(ISNUMBER(R855),R855&lt;TODAY()),AND(OR(N855="PENDENTE",N855="PARCIAL"),D855&lt;TODAY()-1)),"CRÍTICO",IF(OR(AND(P855&lt;&gt;"",S855=""),AND(N855="REALIZADO",M855="PENDENTE"),AND(ISNUMBER(R855),R855=TODAY())),"ATENÇÃO",IF(N(K855)=0,"PENDENTE","EM ANDAMENTO"))))))</f>
        <v/>
      </c>
      <c r="C855" s="3">
        <f>IF(D855="","",IF(V855=0,"🟢 OK",IF(D855&lt;corte,"⚪ HISTÓRICO (sem baixa)",IF(AND(ISNUMBER(R855),R855&lt;TODAY()),"🔴 PRAZO VENCIDO",IF(AND(OR(N855="PENDENTE",N855="PARCIAL"),D855&lt;TODAY()-1),"🔴 EMBARQUE ATRASADO",IF(AND(N855="REALIZADO",M855="PENDENTE"),"🟡 EMBARCADO SEM FATURAR",IF(AND(P855&lt;&gt;"",S855="",OR(Q855="",R855="")),"🟡 PENDÊNCIA SEM RESPONSÁVEL/PRAZO",IF(AND(ISNUMBER(R855),R855=TODAY()),"🟡 VENCE HOJE",IF(AND(P855&lt;&gt;"",S855=""),"🟡 PENDÊNCIA ABERTA",IF(AND(N(J855)&gt;0,N(K855)&lt;J855),"🟡 FALTA EXECUTAR",IF(OR(M855="PENDENTE",M855="PARCIAL"),"🟡 FATURAMENTO PENDENTE","🟡 EMBARQUE PENDENTE")))))))))))</f>
        <v/>
      </c>
      <c r="D855" s="4" t="n"/>
      <c r="E855" s="5" t="n"/>
      <c r="F855" s="5" t="n"/>
      <c r="G855" s="5" t="n"/>
      <c r="H855" s="5" t="n"/>
      <c r="I855" s="5" t="n"/>
      <c r="J855" s="6" t="n"/>
      <c r="K855" s="6" t="n"/>
      <c r="L855" s="7">
        <f>IF(OR(D855="",N(J855)=0),"",MIN(1,N(K855)/J855))</f>
        <v/>
      </c>
      <c r="M855" s="5" t="n"/>
      <c r="N855" s="5" t="n"/>
      <c r="O855" s="5" t="n"/>
      <c r="P855" s="5" t="n"/>
      <c r="Q855" s="5" t="n"/>
      <c r="R855" s="4" t="n"/>
      <c r="S855" s="4" t="n"/>
      <c r="T855" s="5" t="n"/>
      <c r="U855" s="8">
        <f>IF(AND(V855=1,D855&lt;&gt;""),IF(D855&gt;=corte,TODAY()-D855,""),"")</f>
        <v/>
      </c>
      <c r="V855" s="8">
        <f>IF(D855="",0,IF(OR(AND(P855&lt;&gt;"",S855=""),AND(N(J855)&gt;0,N(K855)&lt;J855),OR(M855="PENDENTE",M855="PARCIAL"),OR(N855="PENDENTE",N855="PARCIAL")),1,0))</f>
        <v/>
      </c>
      <c r="W855" s="8">
        <f>IF(AND(V855=1,D855&lt;&gt;""),IF(D855&gt;=corte,(B855="CRÍTICO")*1E9+(100000-D855)*10000+10000-ROW(),""),"")</f>
        <v/>
      </c>
      <c r="X855" s="8">
        <f>IF(AND(V855=1,D855=pas_data,E855=pas_turno),10000-ROW(),"")</f>
        <v/>
      </c>
    </row>
    <row r="856">
      <c r="A856" s="3">
        <f>IF(D856="","","TT-"&amp;TEXT(ROW()-1,"00000"))</f>
        <v/>
      </c>
      <c r="B856" s="3">
        <f>IF(D856="","",IF(V856=0,"CONCLUÍDO",IF(D856&lt;corte,"HISTÓRICO",IF(OR(AND(ISNUMBER(R856),R856&lt;TODAY()),AND(OR(N856="PENDENTE",N856="PARCIAL"),D856&lt;TODAY()-1)),"CRÍTICO",IF(OR(AND(P856&lt;&gt;"",S856=""),AND(N856="REALIZADO",M856="PENDENTE"),AND(ISNUMBER(R856),R856=TODAY())),"ATENÇÃO",IF(N(K856)=0,"PENDENTE","EM ANDAMENTO"))))))</f>
        <v/>
      </c>
      <c r="C856" s="3">
        <f>IF(D856="","",IF(V856=0,"🟢 OK",IF(D856&lt;corte,"⚪ HISTÓRICO (sem baixa)",IF(AND(ISNUMBER(R856),R856&lt;TODAY()),"🔴 PRAZO VENCIDO",IF(AND(OR(N856="PENDENTE",N856="PARCIAL"),D856&lt;TODAY()-1),"🔴 EMBARQUE ATRASADO",IF(AND(N856="REALIZADO",M856="PENDENTE"),"🟡 EMBARCADO SEM FATURAR",IF(AND(P856&lt;&gt;"",S856="",OR(Q856="",R856="")),"🟡 PENDÊNCIA SEM RESPONSÁVEL/PRAZO",IF(AND(ISNUMBER(R856),R856=TODAY()),"🟡 VENCE HOJE",IF(AND(P856&lt;&gt;"",S856=""),"🟡 PENDÊNCIA ABERTA",IF(AND(N(J856)&gt;0,N(K856)&lt;J856),"🟡 FALTA EXECUTAR",IF(OR(M856="PENDENTE",M856="PARCIAL"),"🟡 FATURAMENTO PENDENTE","🟡 EMBARQUE PENDENTE")))))))))))</f>
        <v/>
      </c>
      <c r="D856" s="4" t="n"/>
      <c r="E856" s="5" t="n"/>
      <c r="F856" s="5" t="n"/>
      <c r="G856" s="5" t="n"/>
      <c r="H856" s="5" t="n"/>
      <c r="I856" s="5" t="n"/>
      <c r="J856" s="6" t="n"/>
      <c r="K856" s="6" t="n"/>
      <c r="L856" s="7">
        <f>IF(OR(D856="",N(J856)=0),"",MIN(1,N(K856)/J856))</f>
        <v/>
      </c>
      <c r="M856" s="5" t="n"/>
      <c r="N856" s="5" t="n"/>
      <c r="O856" s="5" t="n"/>
      <c r="P856" s="5" t="n"/>
      <c r="Q856" s="5" t="n"/>
      <c r="R856" s="4" t="n"/>
      <c r="S856" s="4" t="n"/>
      <c r="T856" s="5" t="n"/>
      <c r="U856" s="8">
        <f>IF(AND(V856=1,D856&lt;&gt;""),IF(D856&gt;=corte,TODAY()-D856,""),"")</f>
        <v/>
      </c>
      <c r="V856" s="8">
        <f>IF(D856="",0,IF(OR(AND(P856&lt;&gt;"",S856=""),AND(N(J856)&gt;0,N(K856)&lt;J856),OR(M856="PENDENTE",M856="PARCIAL"),OR(N856="PENDENTE",N856="PARCIAL")),1,0))</f>
        <v/>
      </c>
      <c r="W856" s="8">
        <f>IF(AND(V856=1,D856&lt;&gt;""),IF(D856&gt;=corte,(B856="CRÍTICO")*1E9+(100000-D856)*10000+10000-ROW(),""),"")</f>
        <v/>
      </c>
      <c r="X856" s="8">
        <f>IF(AND(V856=1,D856=pas_data,E856=pas_turno),10000-ROW(),"")</f>
        <v/>
      </c>
    </row>
    <row r="857">
      <c r="A857" s="3">
        <f>IF(D857="","","TT-"&amp;TEXT(ROW()-1,"00000"))</f>
        <v/>
      </c>
      <c r="B857" s="3">
        <f>IF(D857="","",IF(V857=0,"CONCLUÍDO",IF(D857&lt;corte,"HISTÓRICO",IF(OR(AND(ISNUMBER(R857),R857&lt;TODAY()),AND(OR(N857="PENDENTE",N857="PARCIAL"),D857&lt;TODAY()-1)),"CRÍTICO",IF(OR(AND(P857&lt;&gt;"",S857=""),AND(N857="REALIZADO",M857="PENDENTE"),AND(ISNUMBER(R857),R857=TODAY())),"ATENÇÃO",IF(N(K857)=0,"PENDENTE","EM ANDAMENTO"))))))</f>
        <v/>
      </c>
      <c r="C857" s="3">
        <f>IF(D857="","",IF(V857=0,"🟢 OK",IF(D857&lt;corte,"⚪ HISTÓRICO (sem baixa)",IF(AND(ISNUMBER(R857),R857&lt;TODAY()),"🔴 PRAZO VENCIDO",IF(AND(OR(N857="PENDENTE",N857="PARCIAL"),D857&lt;TODAY()-1),"🔴 EMBARQUE ATRASADO",IF(AND(N857="REALIZADO",M857="PENDENTE"),"🟡 EMBARCADO SEM FATURAR",IF(AND(P857&lt;&gt;"",S857="",OR(Q857="",R857="")),"🟡 PENDÊNCIA SEM RESPONSÁVEL/PRAZO",IF(AND(ISNUMBER(R857),R857=TODAY()),"🟡 VENCE HOJE",IF(AND(P857&lt;&gt;"",S857=""),"🟡 PENDÊNCIA ABERTA",IF(AND(N(J857)&gt;0,N(K857)&lt;J857),"🟡 FALTA EXECUTAR",IF(OR(M857="PENDENTE",M857="PARCIAL"),"🟡 FATURAMENTO PENDENTE","🟡 EMBARQUE PENDENTE")))))))))))</f>
        <v/>
      </c>
      <c r="D857" s="4" t="n"/>
      <c r="E857" s="5" t="n"/>
      <c r="F857" s="5" t="n"/>
      <c r="G857" s="5" t="n"/>
      <c r="H857" s="5" t="n"/>
      <c r="I857" s="5" t="n"/>
      <c r="J857" s="6" t="n"/>
      <c r="K857" s="6" t="n"/>
      <c r="L857" s="7">
        <f>IF(OR(D857="",N(J857)=0),"",MIN(1,N(K857)/J857))</f>
        <v/>
      </c>
      <c r="M857" s="5" t="n"/>
      <c r="N857" s="5" t="n"/>
      <c r="O857" s="5" t="n"/>
      <c r="P857" s="5" t="n"/>
      <c r="Q857" s="5" t="n"/>
      <c r="R857" s="4" t="n"/>
      <c r="S857" s="4" t="n"/>
      <c r="T857" s="5" t="n"/>
      <c r="U857" s="8">
        <f>IF(AND(V857=1,D857&lt;&gt;""),IF(D857&gt;=corte,TODAY()-D857,""),"")</f>
        <v/>
      </c>
      <c r="V857" s="8">
        <f>IF(D857="",0,IF(OR(AND(P857&lt;&gt;"",S857=""),AND(N(J857)&gt;0,N(K857)&lt;J857),OR(M857="PENDENTE",M857="PARCIAL"),OR(N857="PENDENTE",N857="PARCIAL")),1,0))</f>
        <v/>
      </c>
      <c r="W857" s="8">
        <f>IF(AND(V857=1,D857&lt;&gt;""),IF(D857&gt;=corte,(B857="CRÍTICO")*1E9+(100000-D857)*10000+10000-ROW(),""),"")</f>
        <v/>
      </c>
      <c r="X857" s="8">
        <f>IF(AND(V857=1,D857=pas_data,E857=pas_turno),10000-ROW(),"")</f>
        <v/>
      </c>
    </row>
    <row r="858">
      <c r="A858" s="3">
        <f>IF(D858="","","TT-"&amp;TEXT(ROW()-1,"00000"))</f>
        <v/>
      </c>
      <c r="B858" s="3">
        <f>IF(D858="","",IF(V858=0,"CONCLUÍDO",IF(D858&lt;corte,"HISTÓRICO",IF(OR(AND(ISNUMBER(R858),R858&lt;TODAY()),AND(OR(N858="PENDENTE",N858="PARCIAL"),D858&lt;TODAY()-1)),"CRÍTICO",IF(OR(AND(P858&lt;&gt;"",S858=""),AND(N858="REALIZADO",M858="PENDENTE"),AND(ISNUMBER(R858),R858=TODAY())),"ATENÇÃO",IF(N(K858)=0,"PENDENTE","EM ANDAMENTO"))))))</f>
        <v/>
      </c>
      <c r="C858" s="3">
        <f>IF(D858="","",IF(V858=0,"🟢 OK",IF(D858&lt;corte,"⚪ HISTÓRICO (sem baixa)",IF(AND(ISNUMBER(R858),R858&lt;TODAY()),"🔴 PRAZO VENCIDO",IF(AND(OR(N858="PENDENTE",N858="PARCIAL"),D858&lt;TODAY()-1),"🔴 EMBARQUE ATRASADO",IF(AND(N858="REALIZADO",M858="PENDENTE"),"🟡 EMBARCADO SEM FATURAR",IF(AND(P858&lt;&gt;"",S858="",OR(Q858="",R858="")),"🟡 PENDÊNCIA SEM RESPONSÁVEL/PRAZO",IF(AND(ISNUMBER(R858),R858=TODAY()),"🟡 VENCE HOJE",IF(AND(P858&lt;&gt;"",S858=""),"🟡 PENDÊNCIA ABERTA",IF(AND(N(J858)&gt;0,N(K858)&lt;J858),"🟡 FALTA EXECUTAR",IF(OR(M858="PENDENTE",M858="PARCIAL"),"🟡 FATURAMENTO PENDENTE","🟡 EMBARQUE PENDENTE")))))))))))</f>
        <v/>
      </c>
      <c r="D858" s="4" t="n"/>
      <c r="E858" s="5" t="n"/>
      <c r="F858" s="5" t="n"/>
      <c r="G858" s="5" t="n"/>
      <c r="H858" s="5" t="n"/>
      <c r="I858" s="5" t="n"/>
      <c r="J858" s="6" t="n"/>
      <c r="K858" s="6" t="n"/>
      <c r="L858" s="7">
        <f>IF(OR(D858="",N(J858)=0),"",MIN(1,N(K858)/J858))</f>
        <v/>
      </c>
      <c r="M858" s="5" t="n"/>
      <c r="N858" s="5" t="n"/>
      <c r="O858" s="5" t="n"/>
      <c r="P858" s="5" t="n"/>
      <c r="Q858" s="5" t="n"/>
      <c r="R858" s="4" t="n"/>
      <c r="S858" s="4" t="n"/>
      <c r="T858" s="5" t="n"/>
      <c r="U858" s="8">
        <f>IF(AND(V858=1,D858&lt;&gt;""),IF(D858&gt;=corte,TODAY()-D858,""),"")</f>
        <v/>
      </c>
      <c r="V858" s="8">
        <f>IF(D858="",0,IF(OR(AND(P858&lt;&gt;"",S858=""),AND(N(J858)&gt;0,N(K858)&lt;J858),OR(M858="PENDENTE",M858="PARCIAL"),OR(N858="PENDENTE",N858="PARCIAL")),1,0))</f>
        <v/>
      </c>
      <c r="W858" s="8">
        <f>IF(AND(V858=1,D858&lt;&gt;""),IF(D858&gt;=corte,(B858="CRÍTICO")*1E9+(100000-D858)*10000+10000-ROW(),""),"")</f>
        <v/>
      </c>
      <c r="X858" s="8">
        <f>IF(AND(V858=1,D858=pas_data,E858=pas_turno),10000-ROW(),"")</f>
        <v/>
      </c>
    </row>
    <row r="859">
      <c r="A859" s="3">
        <f>IF(D859="","","TT-"&amp;TEXT(ROW()-1,"00000"))</f>
        <v/>
      </c>
      <c r="B859" s="3">
        <f>IF(D859="","",IF(V859=0,"CONCLUÍDO",IF(D859&lt;corte,"HISTÓRICO",IF(OR(AND(ISNUMBER(R859),R859&lt;TODAY()),AND(OR(N859="PENDENTE",N859="PARCIAL"),D859&lt;TODAY()-1)),"CRÍTICO",IF(OR(AND(P859&lt;&gt;"",S859=""),AND(N859="REALIZADO",M859="PENDENTE"),AND(ISNUMBER(R859),R859=TODAY())),"ATENÇÃO",IF(N(K859)=0,"PENDENTE","EM ANDAMENTO"))))))</f>
        <v/>
      </c>
      <c r="C859" s="3">
        <f>IF(D859="","",IF(V859=0,"🟢 OK",IF(D859&lt;corte,"⚪ HISTÓRICO (sem baixa)",IF(AND(ISNUMBER(R859),R859&lt;TODAY()),"🔴 PRAZO VENCIDO",IF(AND(OR(N859="PENDENTE",N859="PARCIAL"),D859&lt;TODAY()-1),"🔴 EMBARQUE ATRASADO",IF(AND(N859="REALIZADO",M859="PENDENTE"),"🟡 EMBARCADO SEM FATURAR",IF(AND(P859&lt;&gt;"",S859="",OR(Q859="",R859="")),"🟡 PENDÊNCIA SEM RESPONSÁVEL/PRAZO",IF(AND(ISNUMBER(R859),R859=TODAY()),"🟡 VENCE HOJE",IF(AND(P859&lt;&gt;"",S859=""),"🟡 PENDÊNCIA ABERTA",IF(AND(N(J859)&gt;0,N(K859)&lt;J859),"🟡 FALTA EXECUTAR",IF(OR(M859="PENDENTE",M859="PARCIAL"),"🟡 FATURAMENTO PENDENTE","🟡 EMBARQUE PENDENTE")))))))))))</f>
        <v/>
      </c>
      <c r="D859" s="4" t="n"/>
      <c r="E859" s="5" t="n"/>
      <c r="F859" s="5" t="n"/>
      <c r="G859" s="5" t="n"/>
      <c r="H859" s="5" t="n"/>
      <c r="I859" s="5" t="n"/>
      <c r="J859" s="6" t="n"/>
      <c r="K859" s="6" t="n"/>
      <c r="L859" s="7">
        <f>IF(OR(D859="",N(J859)=0),"",MIN(1,N(K859)/J859))</f>
        <v/>
      </c>
      <c r="M859" s="5" t="n"/>
      <c r="N859" s="5" t="n"/>
      <c r="O859" s="5" t="n"/>
      <c r="P859" s="5" t="n"/>
      <c r="Q859" s="5" t="n"/>
      <c r="R859" s="4" t="n"/>
      <c r="S859" s="4" t="n"/>
      <c r="T859" s="5" t="n"/>
      <c r="U859" s="8">
        <f>IF(AND(V859=1,D859&lt;&gt;""),IF(D859&gt;=corte,TODAY()-D859,""),"")</f>
        <v/>
      </c>
      <c r="V859" s="8">
        <f>IF(D859="",0,IF(OR(AND(P859&lt;&gt;"",S859=""),AND(N(J859)&gt;0,N(K859)&lt;J859),OR(M859="PENDENTE",M859="PARCIAL"),OR(N859="PENDENTE",N859="PARCIAL")),1,0))</f>
        <v/>
      </c>
      <c r="W859" s="8">
        <f>IF(AND(V859=1,D859&lt;&gt;""),IF(D859&gt;=corte,(B859="CRÍTICO")*1E9+(100000-D859)*10000+10000-ROW(),""),"")</f>
        <v/>
      </c>
      <c r="X859" s="8">
        <f>IF(AND(V859=1,D859=pas_data,E859=pas_turno),10000-ROW(),"")</f>
        <v/>
      </c>
    </row>
    <row r="860">
      <c r="A860" s="3">
        <f>IF(D860="","","TT-"&amp;TEXT(ROW()-1,"00000"))</f>
        <v/>
      </c>
      <c r="B860" s="3">
        <f>IF(D860="","",IF(V860=0,"CONCLUÍDO",IF(D860&lt;corte,"HISTÓRICO",IF(OR(AND(ISNUMBER(R860),R860&lt;TODAY()),AND(OR(N860="PENDENTE",N860="PARCIAL"),D860&lt;TODAY()-1)),"CRÍTICO",IF(OR(AND(P860&lt;&gt;"",S860=""),AND(N860="REALIZADO",M860="PENDENTE"),AND(ISNUMBER(R860),R860=TODAY())),"ATENÇÃO",IF(N(K860)=0,"PENDENTE","EM ANDAMENTO"))))))</f>
        <v/>
      </c>
      <c r="C860" s="3">
        <f>IF(D860="","",IF(V860=0,"🟢 OK",IF(D860&lt;corte,"⚪ HISTÓRICO (sem baixa)",IF(AND(ISNUMBER(R860),R860&lt;TODAY()),"🔴 PRAZO VENCIDO",IF(AND(OR(N860="PENDENTE",N860="PARCIAL"),D860&lt;TODAY()-1),"🔴 EMBARQUE ATRASADO",IF(AND(N860="REALIZADO",M860="PENDENTE"),"🟡 EMBARCADO SEM FATURAR",IF(AND(P860&lt;&gt;"",S860="",OR(Q860="",R860="")),"🟡 PENDÊNCIA SEM RESPONSÁVEL/PRAZO",IF(AND(ISNUMBER(R860),R860=TODAY()),"🟡 VENCE HOJE",IF(AND(P860&lt;&gt;"",S860=""),"🟡 PENDÊNCIA ABERTA",IF(AND(N(J860)&gt;0,N(K860)&lt;J860),"🟡 FALTA EXECUTAR",IF(OR(M860="PENDENTE",M860="PARCIAL"),"🟡 FATURAMENTO PENDENTE","🟡 EMBARQUE PENDENTE")))))))))))</f>
        <v/>
      </c>
      <c r="D860" s="4" t="n"/>
      <c r="E860" s="5" t="n"/>
      <c r="F860" s="5" t="n"/>
      <c r="G860" s="5" t="n"/>
      <c r="H860" s="5" t="n"/>
      <c r="I860" s="5" t="n"/>
      <c r="J860" s="6" t="n"/>
      <c r="K860" s="6" t="n"/>
      <c r="L860" s="7">
        <f>IF(OR(D860="",N(J860)=0),"",MIN(1,N(K860)/J860))</f>
        <v/>
      </c>
      <c r="M860" s="5" t="n"/>
      <c r="N860" s="5" t="n"/>
      <c r="O860" s="5" t="n"/>
      <c r="P860" s="5" t="n"/>
      <c r="Q860" s="5" t="n"/>
      <c r="R860" s="4" t="n"/>
      <c r="S860" s="4" t="n"/>
      <c r="T860" s="5" t="n"/>
      <c r="U860" s="8">
        <f>IF(AND(V860=1,D860&lt;&gt;""),IF(D860&gt;=corte,TODAY()-D860,""),"")</f>
        <v/>
      </c>
      <c r="V860" s="8">
        <f>IF(D860="",0,IF(OR(AND(P860&lt;&gt;"",S860=""),AND(N(J860)&gt;0,N(K860)&lt;J860),OR(M860="PENDENTE",M860="PARCIAL"),OR(N860="PENDENTE",N860="PARCIAL")),1,0))</f>
        <v/>
      </c>
      <c r="W860" s="8">
        <f>IF(AND(V860=1,D860&lt;&gt;""),IF(D860&gt;=corte,(B860="CRÍTICO")*1E9+(100000-D860)*10000+10000-ROW(),""),"")</f>
        <v/>
      </c>
      <c r="X860" s="8">
        <f>IF(AND(V860=1,D860=pas_data,E860=pas_turno),10000-ROW(),"")</f>
        <v/>
      </c>
    </row>
    <row r="861">
      <c r="A861" s="3">
        <f>IF(D861="","","TT-"&amp;TEXT(ROW()-1,"00000"))</f>
        <v/>
      </c>
      <c r="B861" s="3">
        <f>IF(D861="","",IF(V861=0,"CONCLUÍDO",IF(D861&lt;corte,"HISTÓRICO",IF(OR(AND(ISNUMBER(R861),R861&lt;TODAY()),AND(OR(N861="PENDENTE",N861="PARCIAL"),D861&lt;TODAY()-1)),"CRÍTICO",IF(OR(AND(P861&lt;&gt;"",S861=""),AND(N861="REALIZADO",M861="PENDENTE"),AND(ISNUMBER(R861),R861=TODAY())),"ATENÇÃO",IF(N(K861)=0,"PENDENTE","EM ANDAMENTO"))))))</f>
        <v/>
      </c>
      <c r="C861" s="3">
        <f>IF(D861="","",IF(V861=0,"🟢 OK",IF(D861&lt;corte,"⚪ HISTÓRICO (sem baixa)",IF(AND(ISNUMBER(R861),R861&lt;TODAY()),"🔴 PRAZO VENCIDO",IF(AND(OR(N861="PENDENTE",N861="PARCIAL"),D861&lt;TODAY()-1),"🔴 EMBARQUE ATRASADO",IF(AND(N861="REALIZADO",M861="PENDENTE"),"🟡 EMBARCADO SEM FATURAR",IF(AND(P861&lt;&gt;"",S861="",OR(Q861="",R861="")),"🟡 PENDÊNCIA SEM RESPONSÁVEL/PRAZO",IF(AND(ISNUMBER(R861),R861=TODAY()),"🟡 VENCE HOJE",IF(AND(P861&lt;&gt;"",S861=""),"🟡 PENDÊNCIA ABERTA",IF(AND(N(J861)&gt;0,N(K861)&lt;J861),"🟡 FALTA EXECUTAR",IF(OR(M861="PENDENTE",M861="PARCIAL"),"🟡 FATURAMENTO PENDENTE","🟡 EMBARQUE PENDENTE")))))))))))</f>
        <v/>
      </c>
      <c r="D861" s="4" t="n"/>
      <c r="E861" s="5" t="n"/>
      <c r="F861" s="5" t="n"/>
      <c r="G861" s="5" t="n"/>
      <c r="H861" s="5" t="n"/>
      <c r="I861" s="5" t="n"/>
      <c r="J861" s="6" t="n"/>
      <c r="K861" s="6" t="n"/>
      <c r="L861" s="7">
        <f>IF(OR(D861="",N(J861)=0),"",MIN(1,N(K861)/J861))</f>
        <v/>
      </c>
      <c r="M861" s="5" t="n"/>
      <c r="N861" s="5" t="n"/>
      <c r="O861" s="5" t="n"/>
      <c r="P861" s="5" t="n"/>
      <c r="Q861" s="5" t="n"/>
      <c r="R861" s="4" t="n"/>
      <c r="S861" s="4" t="n"/>
      <c r="T861" s="5" t="n"/>
      <c r="U861" s="8">
        <f>IF(AND(V861=1,D861&lt;&gt;""),IF(D861&gt;=corte,TODAY()-D861,""),"")</f>
        <v/>
      </c>
      <c r="V861" s="8">
        <f>IF(D861="",0,IF(OR(AND(P861&lt;&gt;"",S861=""),AND(N(J861)&gt;0,N(K861)&lt;J861),OR(M861="PENDENTE",M861="PARCIAL"),OR(N861="PENDENTE",N861="PARCIAL")),1,0))</f>
        <v/>
      </c>
      <c r="W861" s="8">
        <f>IF(AND(V861=1,D861&lt;&gt;""),IF(D861&gt;=corte,(B861="CRÍTICO")*1E9+(100000-D861)*10000+10000-ROW(),""),"")</f>
        <v/>
      </c>
      <c r="X861" s="8">
        <f>IF(AND(V861=1,D861=pas_data,E861=pas_turno),10000-ROW(),"")</f>
        <v/>
      </c>
    </row>
    <row r="862">
      <c r="A862" s="3">
        <f>IF(D862="","","TT-"&amp;TEXT(ROW()-1,"00000"))</f>
        <v/>
      </c>
      <c r="B862" s="3">
        <f>IF(D862="","",IF(V862=0,"CONCLUÍDO",IF(D862&lt;corte,"HISTÓRICO",IF(OR(AND(ISNUMBER(R862),R862&lt;TODAY()),AND(OR(N862="PENDENTE",N862="PARCIAL"),D862&lt;TODAY()-1)),"CRÍTICO",IF(OR(AND(P862&lt;&gt;"",S862=""),AND(N862="REALIZADO",M862="PENDENTE"),AND(ISNUMBER(R862),R862=TODAY())),"ATENÇÃO",IF(N(K862)=0,"PENDENTE","EM ANDAMENTO"))))))</f>
        <v/>
      </c>
      <c r="C862" s="3">
        <f>IF(D862="","",IF(V862=0,"🟢 OK",IF(D862&lt;corte,"⚪ HISTÓRICO (sem baixa)",IF(AND(ISNUMBER(R862),R862&lt;TODAY()),"🔴 PRAZO VENCIDO",IF(AND(OR(N862="PENDENTE",N862="PARCIAL"),D862&lt;TODAY()-1),"🔴 EMBARQUE ATRASADO",IF(AND(N862="REALIZADO",M862="PENDENTE"),"🟡 EMBARCADO SEM FATURAR",IF(AND(P862&lt;&gt;"",S862="",OR(Q862="",R862="")),"🟡 PENDÊNCIA SEM RESPONSÁVEL/PRAZO",IF(AND(ISNUMBER(R862),R862=TODAY()),"🟡 VENCE HOJE",IF(AND(P862&lt;&gt;"",S862=""),"🟡 PENDÊNCIA ABERTA",IF(AND(N(J862)&gt;0,N(K862)&lt;J862),"🟡 FALTA EXECUTAR",IF(OR(M862="PENDENTE",M862="PARCIAL"),"🟡 FATURAMENTO PENDENTE","🟡 EMBARQUE PENDENTE")))))))))))</f>
        <v/>
      </c>
      <c r="D862" s="4" t="n"/>
      <c r="E862" s="5" t="n"/>
      <c r="F862" s="5" t="n"/>
      <c r="G862" s="5" t="n"/>
      <c r="H862" s="5" t="n"/>
      <c r="I862" s="5" t="n"/>
      <c r="J862" s="6" t="n"/>
      <c r="K862" s="6" t="n"/>
      <c r="L862" s="7">
        <f>IF(OR(D862="",N(J862)=0),"",MIN(1,N(K862)/J862))</f>
        <v/>
      </c>
      <c r="M862" s="5" t="n"/>
      <c r="N862" s="5" t="n"/>
      <c r="O862" s="5" t="n"/>
      <c r="P862" s="5" t="n"/>
      <c r="Q862" s="5" t="n"/>
      <c r="R862" s="4" t="n"/>
      <c r="S862" s="4" t="n"/>
      <c r="T862" s="5" t="n"/>
      <c r="U862" s="8">
        <f>IF(AND(V862=1,D862&lt;&gt;""),IF(D862&gt;=corte,TODAY()-D862,""),"")</f>
        <v/>
      </c>
      <c r="V862" s="8">
        <f>IF(D862="",0,IF(OR(AND(P862&lt;&gt;"",S862=""),AND(N(J862)&gt;0,N(K862)&lt;J862),OR(M862="PENDENTE",M862="PARCIAL"),OR(N862="PENDENTE",N862="PARCIAL")),1,0))</f>
        <v/>
      </c>
      <c r="W862" s="8">
        <f>IF(AND(V862=1,D862&lt;&gt;""),IF(D862&gt;=corte,(B862="CRÍTICO")*1E9+(100000-D862)*10000+10000-ROW(),""),"")</f>
        <v/>
      </c>
      <c r="X862" s="8">
        <f>IF(AND(V862=1,D862=pas_data,E862=pas_turno),10000-ROW(),"")</f>
        <v/>
      </c>
    </row>
    <row r="863">
      <c r="A863" s="3">
        <f>IF(D863="","","TT-"&amp;TEXT(ROW()-1,"00000"))</f>
        <v/>
      </c>
      <c r="B863" s="3">
        <f>IF(D863="","",IF(V863=0,"CONCLUÍDO",IF(D863&lt;corte,"HISTÓRICO",IF(OR(AND(ISNUMBER(R863),R863&lt;TODAY()),AND(OR(N863="PENDENTE",N863="PARCIAL"),D863&lt;TODAY()-1)),"CRÍTICO",IF(OR(AND(P863&lt;&gt;"",S863=""),AND(N863="REALIZADO",M863="PENDENTE"),AND(ISNUMBER(R863),R863=TODAY())),"ATENÇÃO",IF(N(K863)=0,"PENDENTE","EM ANDAMENTO"))))))</f>
        <v/>
      </c>
      <c r="C863" s="3">
        <f>IF(D863="","",IF(V863=0,"🟢 OK",IF(D863&lt;corte,"⚪ HISTÓRICO (sem baixa)",IF(AND(ISNUMBER(R863),R863&lt;TODAY()),"🔴 PRAZO VENCIDO",IF(AND(OR(N863="PENDENTE",N863="PARCIAL"),D863&lt;TODAY()-1),"🔴 EMBARQUE ATRASADO",IF(AND(N863="REALIZADO",M863="PENDENTE"),"🟡 EMBARCADO SEM FATURAR",IF(AND(P863&lt;&gt;"",S863="",OR(Q863="",R863="")),"🟡 PENDÊNCIA SEM RESPONSÁVEL/PRAZO",IF(AND(ISNUMBER(R863),R863=TODAY()),"🟡 VENCE HOJE",IF(AND(P863&lt;&gt;"",S863=""),"🟡 PENDÊNCIA ABERTA",IF(AND(N(J863)&gt;0,N(K863)&lt;J863),"🟡 FALTA EXECUTAR",IF(OR(M863="PENDENTE",M863="PARCIAL"),"🟡 FATURAMENTO PENDENTE","🟡 EMBARQUE PENDENTE")))))))))))</f>
        <v/>
      </c>
      <c r="D863" s="4" t="n"/>
      <c r="E863" s="5" t="n"/>
      <c r="F863" s="5" t="n"/>
      <c r="G863" s="5" t="n"/>
      <c r="H863" s="5" t="n"/>
      <c r="I863" s="5" t="n"/>
      <c r="J863" s="6" t="n"/>
      <c r="K863" s="6" t="n"/>
      <c r="L863" s="7">
        <f>IF(OR(D863="",N(J863)=0),"",MIN(1,N(K863)/J863))</f>
        <v/>
      </c>
      <c r="M863" s="5" t="n"/>
      <c r="N863" s="5" t="n"/>
      <c r="O863" s="5" t="n"/>
      <c r="P863" s="5" t="n"/>
      <c r="Q863" s="5" t="n"/>
      <c r="R863" s="4" t="n"/>
      <c r="S863" s="4" t="n"/>
      <c r="T863" s="5" t="n"/>
      <c r="U863" s="8">
        <f>IF(AND(V863=1,D863&lt;&gt;""),IF(D863&gt;=corte,TODAY()-D863,""),"")</f>
        <v/>
      </c>
      <c r="V863" s="8">
        <f>IF(D863="",0,IF(OR(AND(P863&lt;&gt;"",S863=""),AND(N(J863)&gt;0,N(K863)&lt;J863),OR(M863="PENDENTE",M863="PARCIAL"),OR(N863="PENDENTE",N863="PARCIAL")),1,0))</f>
        <v/>
      </c>
      <c r="W863" s="8">
        <f>IF(AND(V863=1,D863&lt;&gt;""),IF(D863&gt;=corte,(B863="CRÍTICO")*1E9+(100000-D863)*10000+10000-ROW(),""),"")</f>
        <v/>
      </c>
      <c r="X863" s="8">
        <f>IF(AND(V863=1,D863=pas_data,E863=pas_turno),10000-ROW(),"")</f>
        <v/>
      </c>
    </row>
    <row r="864">
      <c r="A864" s="3">
        <f>IF(D864="","","TT-"&amp;TEXT(ROW()-1,"00000"))</f>
        <v/>
      </c>
      <c r="B864" s="3">
        <f>IF(D864="","",IF(V864=0,"CONCLUÍDO",IF(D864&lt;corte,"HISTÓRICO",IF(OR(AND(ISNUMBER(R864),R864&lt;TODAY()),AND(OR(N864="PENDENTE",N864="PARCIAL"),D864&lt;TODAY()-1)),"CRÍTICO",IF(OR(AND(P864&lt;&gt;"",S864=""),AND(N864="REALIZADO",M864="PENDENTE"),AND(ISNUMBER(R864),R864=TODAY())),"ATENÇÃO",IF(N(K864)=0,"PENDENTE","EM ANDAMENTO"))))))</f>
        <v/>
      </c>
      <c r="C864" s="3">
        <f>IF(D864="","",IF(V864=0,"🟢 OK",IF(D864&lt;corte,"⚪ HISTÓRICO (sem baixa)",IF(AND(ISNUMBER(R864),R864&lt;TODAY()),"🔴 PRAZO VENCIDO",IF(AND(OR(N864="PENDENTE",N864="PARCIAL"),D864&lt;TODAY()-1),"🔴 EMBARQUE ATRASADO",IF(AND(N864="REALIZADO",M864="PENDENTE"),"🟡 EMBARCADO SEM FATURAR",IF(AND(P864&lt;&gt;"",S864="",OR(Q864="",R864="")),"🟡 PENDÊNCIA SEM RESPONSÁVEL/PRAZO",IF(AND(ISNUMBER(R864),R864=TODAY()),"🟡 VENCE HOJE",IF(AND(P864&lt;&gt;"",S864=""),"🟡 PENDÊNCIA ABERTA",IF(AND(N(J864)&gt;0,N(K864)&lt;J864),"🟡 FALTA EXECUTAR",IF(OR(M864="PENDENTE",M864="PARCIAL"),"🟡 FATURAMENTO PENDENTE","🟡 EMBARQUE PENDENTE")))))))))))</f>
        <v/>
      </c>
      <c r="D864" s="4" t="n"/>
      <c r="E864" s="5" t="n"/>
      <c r="F864" s="5" t="n"/>
      <c r="G864" s="5" t="n"/>
      <c r="H864" s="5" t="n"/>
      <c r="I864" s="5" t="n"/>
      <c r="J864" s="6" t="n"/>
      <c r="K864" s="6" t="n"/>
      <c r="L864" s="7">
        <f>IF(OR(D864="",N(J864)=0),"",MIN(1,N(K864)/J864))</f>
        <v/>
      </c>
      <c r="M864" s="5" t="n"/>
      <c r="N864" s="5" t="n"/>
      <c r="O864" s="5" t="n"/>
      <c r="P864" s="5" t="n"/>
      <c r="Q864" s="5" t="n"/>
      <c r="R864" s="4" t="n"/>
      <c r="S864" s="4" t="n"/>
      <c r="T864" s="5" t="n"/>
      <c r="U864" s="8">
        <f>IF(AND(V864=1,D864&lt;&gt;""),IF(D864&gt;=corte,TODAY()-D864,""),"")</f>
        <v/>
      </c>
      <c r="V864" s="8">
        <f>IF(D864="",0,IF(OR(AND(P864&lt;&gt;"",S864=""),AND(N(J864)&gt;0,N(K864)&lt;J864),OR(M864="PENDENTE",M864="PARCIAL"),OR(N864="PENDENTE",N864="PARCIAL")),1,0))</f>
        <v/>
      </c>
      <c r="W864" s="8">
        <f>IF(AND(V864=1,D864&lt;&gt;""),IF(D864&gt;=corte,(B864="CRÍTICO")*1E9+(100000-D864)*10000+10000-ROW(),""),"")</f>
        <v/>
      </c>
      <c r="X864" s="8">
        <f>IF(AND(V864=1,D864=pas_data,E864=pas_turno),10000-ROW(),"")</f>
        <v/>
      </c>
    </row>
    <row r="865">
      <c r="A865" s="3">
        <f>IF(D865="","","TT-"&amp;TEXT(ROW()-1,"00000"))</f>
        <v/>
      </c>
      <c r="B865" s="3">
        <f>IF(D865="","",IF(V865=0,"CONCLUÍDO",IF(D865&lt;corte,"HISTÓRICO",IF(OR(AND(ISNUMBER(R865),R865&lt;TODAY()),AND(OR(N865="PENDENTE",N865="PARCIAL"),D865&lt;TODAY()-1)),"CRÍTICO",IF(OR(AND(P865&lt;&gt;"",S865=""),AND(N865="REALIZADO",M865="PENDENTE"),AND(ISNUMBER(R865),R865=TODAY())),"ATENÇÃO",IF(N(K865)=0,"PENDENTE","EM ANDAMENTO"))))))</f>
        <v/>
      </c>
      <c r="C865" s="3">
        <f>IF(D865="","",IF(V865=0,"🟢 OK",IF(D865&lt;corte,"⚪ HISTÓRICO (sem baixa)",IF(AND(ISNUMBER(R865),R865&lt;TODAY()),"🔴 PRAZO VENCIDO",IF(AND(OR(N865="PENDENTE",N865="PARCIAL"),D865&lt;TODAY()-1),"🔴 EMBARQUE ATRASADO",IF(AND(N865="REALIZADO",M865="PENDENTE"),"🟡 EMBARCADO SEM FATURAR",IF(AND(P865&lt;&gt;"",S865="",OR(Q865="",R865="")),"🟡 PENDÊNCIA SEM RESPONSÁVEL/PRAZO",IF(AND(ISNUMBER(R865),R865=TODAY()),"🟡 VENCE HOJE",IF(AND(P865&lt;&gt;"",S865=""),"🟡 PENDÊNCIA ABERTA",IF(AND(N(J865)&gt;0,N(K865)&lt;J865),"🟡 FALTA EXECUTAR",IF(OR(M865="PENDENTE",M865="PARCIAL"),"🟡 FATURAMENTO PENDENTE","🟡 EMBARQUE PENDENTE")))))))))))</f>
        <v/>
      </c>
      <c r="D865" s="4" t="n"/>
      <c r="E865" s="5" t="n"/>
      <c r="F865" s="5" t="n"/>
      <c r="G865" s="5" t="n"/>
      <c r="H865" s="5" t="n"/>
      <c r="I865" s="5" t="n"/>
      <c r="J865" s="6" t="n"/>
      <c r="K865" s="6" t="n"/>
      <c r="L865" s="7">
        <f>IF(OR(D865="",N(J865)=0),"",MIN(1,N(K865)/J865))</f>
        <v/>
      </c>
      <c r="M865" s="5" t="n"/>
      <c r="N865" s="5" t="n"/>
      <c r="O865" s="5" t="n"/>
      <c r="P865" s="5" t="n"/>
      <c r="Q865" s="5" t="n"/>
      <c r="R865" s="4" t="n"/>
      <c r="S865" s="4" t="n"/>
      <c r="T865" s="5" t="n"/>
      <c r="U865" s="8">
        <f>IF(AND(V865=1,D865&lt;&gt;""),IF(D865&gt;=corte,TODAY()-D865,""),"")</f>
        <v/>
      </c>
      <c r="V865" s="8">
        <f>IF(D865="",0,IF(OR(AND(P865&lt;&gt;"",S865=""),AND(N(J865)&gt;0,N(K865)&lt;J865),OR(M865="PENDENTE",M865="PARCIAL"),OR(N865="PENDENTE",N865="PARCIAL")),1,0))</f>
        <v/>
      </c>
      <c r="W865" s="8">
        <f>IF(AND(V865=1,D865&lt;&gt;""),IF(D865&gt;=corte,(B865="CRÍTICO")*1E9+(100000-D865)*10000+10000-ROW(),""),"")</f>
        <v/>
      </c>
      <c r="X865" s="8">
        <f>IF(AND(V865=1,D865=pas_data,E865=pas_turno),10000-ROW(),"")</f>
        <v/>
      </c>
    </row>
    <row r="866">
      <c r="A866" s="3">
        <f>IF(D866="","","TT-"&amp;TEXT(ROW()-1,"00000"))</f>
        <v/>
      </c>
      <c r="B866" s="3">
        <f>IF(D866="","",IF(V866=0,"CONCLUÍDO",IF(D866&lt;corte,"HISTÓRICO",IF(OR(AND(ISNUMBER(R866),R866&lt;TODAY()),AND(OR(N866="PENDENTE",N866="PARCIAL"),D866&lt;TODAY()-1)),"CRÍTICO",IF(OR(AND(P866&lt;&gt;"",S866=""),AND(N866="REALIZADO",M866="PENDENTE"),AND(ISNUMBER(R866),R866=TODAY())),"ATENÇÃO",IF(N(K866)=0,"PENDENTE","EM ANDAMENTO"))))))</f>
        <v/>
      </c>
      <c r="C866" s="3">
        <f>IF(D866="","",IF(V866=0,"🟢 OK",IF(D866&lt;corte,"⚪ HISTÓRICO (sem baixa)",IF(AND(ISNUMBER(R866),R866&lt;TODAY()),"🔴 PRAZO VENCIDO",IF(AND(OR(N866="PENDENTE",N866="PARCIAL"),D866&lt;TODAY()-1),"🔴 EMBARQUE ATRASADO",IF(AND(N866="REALIZADO",M866="PENDENTE"),"🟡 EMBARCADO SEM FATURAR",IF(AND(P866&lt;&gt;"",S866="",OR(Q866="",R866="")),"🟡 PENDÊNCIA SEM RESPONSÁVEL/PRAZO",IF(AND(ISNUMBER(R866),R866=TODAY()),"🟡 VENCE HOJE",IF(AND(P866&lt;&gt;"",S866=""),"🟡 PENDÊNCIA ABERTA",IF(AND(N(J866)&gt;0,N(K866)&lt;J866),"🟡 FALTA EXECUTAR",IF(OR(M866="PENDENTE",M866="PARCIAL"),"🟡 FATURAMENTO PENDENTE","🟡 EMBARQUE PENDENTE")))))))))))</f>
        <v/>
      </c>
      <c r="D866" s="4" t="n"/>
      <c r="E866" s="5" t="n"/>
      <c r="F866" s="5" t="n"/>
      <c r="G866" s="5" t="n"/>
      <c r="H866" s="5" t="n"/>
      <c r="I866" s="5" t="n"/>
      <c r="J866" s="6" t="n"/>
      <c r="K866" s="6" t="n"/>
      <c r="L866" s="7">
        <f>IF(OR(D866="",N(J866)=0),"",MIN(1,N(K866)/J866))</f>
        <v/>
      </c>
      <c r="M866" s="5" t="n"/>
      <c r="N866" s="5" t="n"/>
      <c r="O866" s="5" t="n"/>
      <c r="P866" s="5" t="n"/>
      <c r="Q866" s="5" t="n"/>
      <c r="R866" s="4" t="n"/>
      <c r="S866" s="4" t="n"/>
      <c r="T866" s="5" t="n"/>
      <c r="U866" s="8">
        <f>IF(AND(V866=1,D866&lt;&gt;""),IF(D866&gt;=corte,TODAY()-D866,""),"")</f>
        <v/>
      </c>
      <c r="V866" s="8">
        <f>IF(D866="",0,IF(OR(AND(P866&lt;&gt;"",S866=""),AND(N(J866)&gt;0,N(K866)&lt;J866),OR(M866="PENDENTE",M866="PARCIAL"),OR(N866="PENDENTE",N866="PARCIAL")),1,0))</f>
        <v/>
      </c>
      <c r="W866" s="8">
        <f>IF(AND(V866=1,D866&lt;&gt;""),IF(D866&gt;=corte,(B866="CRÍTICO")*1E9+(100000-D866)*10000+10000-ROW(),""),"")</f>
        <v/>
      </c>
      <c r="X866" s="8">
        <f>IF(AND(V866=1,D866=pas_data,E866=pas_turno),10000-ROW(),"")</f>
        <v/>
      </c>
    </row>
    <row r="867">
      <c r="A867" s="3">
        <f>IF(D867="","","TT-"&amp;TEXT(ROW()-1,"00000"))</f>
        <v/>
      </c>
      <c r="B867" s="3">
        <f>IF(D867="","",IF(V867=0,"CONCLUÍDO",IF(D867&lt;corte,"HISTÓRICO",IF(OR(AND(ISNUMBER(R867),R867&lt;TODAY()),AND(OR(N867="PENDENTE",N867="PARCIAL"),D867&lt;TODAY()-1)),"CRÍTICO",IF(OR(AND(P867&lt;&gt;"",S867=""),AND(N867="REALIZADO",M867="PENDENTE"),AND(ISNUMBER(R867),R867=TODAY())),"ATENÇÃO",IF(N(K867)=0,"PENDENTE","EM ANDAMENTO"))))))</f>
        <v/>
      </c>
      <c r="C867" s="3">
        <f>IF(D867="","",IF(V867=0,"🟢 OK",IF(D867&lt;corte,"⚪ HISTÓRICO (sem baixa)",IF(AND(ISNUMBER(R867),R867&lt;TODAY()),"🔴 PRAZO VENCIDO",IF(AND(OR(N867="PENDENTE",N867="PARCIAL"),D867&lt;TODAY()-1),"🔴 EMBARQUE ATRASADO",IF(AND(N867="REALIZADO",M867="PENDENTE"),"🟡 EMBARCADO SEM FATURAR",IF(AND(P867&lt;&gt;"",S867="",OR(Q867="",R867="")),"🟡 PENDÊNCIA SEM RESPONSÁVEL/PRAZO",IF(AND(ISNUMBER(R867),R867=TODAY()),"🟡 VENCE HOJE",IF(AND(P867&lt;&gt;"",S867=""),"🟡 PENDÊNCIA ABERTA",IF(AND(N(J867)&gt;0,N(K867)&lt;J867),"🟡 FALTA EXECUTAR",IF(OR(M867="PENDENTE",M867="PARCIAL"),"🟡 FATURAMENTO PENDENTE","🟡 EMBARQUE PENDENTE")))))))))))</f>
        <v/>
      </c>
      <c r="D867" s="4" t="n"/>
      <c r="E867" s="5" t="n"/>
      <c r="F867" s="5" t="n"/>
      <c r="G867" s="5" t="n"/>
      <c r="H867" s="5" t="n"/>
      <c r="I867" s="5" t="n"/>
      <c r="J867" s="6" t="n"/>
      <c r="K867" s="6" t="n"/>
      <c r="L867" s="7">
        <f>IF(OR(D867="",N(J867)=0),"",MIN(1,N(K867)/J867))</f>
        <v/>
      </c>
      <c r="M867" s="5" t="n"/>
      <c r="N867" s="5" t="n"/>
      <c r="O867" s="5" t="n"/>
      <c r="P867" s="5" t="n"/>
      <c r="Q867" s="5" t="n"/>
      <c r="R867" s="4" t="n"/>
      <c r="S867" s="4" t="n"/>
      <c r="T867" s="5" t="n"/>
      <c r="U867" s="8">
        <f>IF(AND(V867=1,D867&lt;&gt;""),IF(D867&gt;=corte,TODAY()-D867,""),"")</f>
        <v/>
      </c>
      <c r="V867" s="8">
        <f>IF(D867="",0,IF(OR(AND(P867&lt;&gt;"",S867=""),AND(N(J867)&gt;0,N(K867)&lt;J867),OR(M867="PENDENTE",M867="PARCIAL"),OR(N867="PENDENTE",N867="PARCIAL")),1,0))</f>
        <v/>
      </c>
      <c r="W867" s="8">
        <f>IF(AND(V867=1,D867&lt;&gt;""),IF(D867&gt;=corte,(B867="CRÍTICO")*1E9+(100000-D867)*10000+10000-ROW(),""),"")</f>
        <v/>
      </c>
      <c r="X867" s="8">
        <f>IF(AND(V867=1,D867=pas_data,E867=pas_turno),10000-ROW(),"")</f>
        <v/>
      </c>
    </row>
    <row r="868">
      <c r="A868" s="3">
        <f>IF(D868="","","TT-"&amp;TEXT(ROW()-1,"00000"))</f>
        <v/>
      </c>
      <c r="B868" s="3">
        <f>IF(D868="","",IF(V868=0,"CONCLUÍDO",IF(D868&lt;corte,"HISTÓRICO",IF(OR(AND(ISNUMBER(R868),R868&lt;TODAY()),AND(OR(N868="PENDENTE",N868="PARCIAL"),D868&lt;TODAY()-1)),"CRÍTICO",IF(OR(AND(P868&lt;&gt;"",S868=""),AND(N868="REALIZADO",M868="PENDENTE"),AND(ISNUMBER(R868),R868=TODAY())),"ATENÇÃO",IF(N(K868)=0,"PENDENTE","EM ANDAMENTO"))))))</f>
        <v/>
      </c>
      <c r="C868" s="3">
        <f>IF(D868="","",IF(V868=0,"🟢 OK",IF(D868&lt;corte,"⚪ HISTÓRICO (sem baixa)",IF(AND(ISNUMBER(R868),R868&lt;TODAY()),"🔴 PRAZO VENCIDO",IF(AND(OR(N868="PENDENTE",N868="PARCIAL"),D868&lt;TODAY()-1),"🔴 EMBARQUE ATRASADO",IF(AND(N868="REALIZADO",M868="PENDENTE"),"🟡 EMBARCADO SEM FATURAR",IF(AND(P868&lt;&gt;"",S868="",OR(Q868="",R868="")),"🟡 PENDÊNCIA SEM RESPONSÁVEL/PRAZO",IF(AND(ISNUMBER(R868),R868=TODAY()),"🟡 VENCE HOJE",IF(AND(P868&lt;&gt;"",S868=""),"🟡 PENDÊNCIA ABERTA",IF(AND(N(J868)&gt;0,N(K868)&lt;J868),"🟡 FALTA EXECUTAR",IF(OR(M868="PENDENTE",M868="PARCIAL"),"🟡 FATURAMENTO PENDENTE","🟡 EMBARQUE PENDENTE")))))))))))</f>
        <v/>
      </c>
      <c r="D868" s="4" t="n"/>
      <c r="E868" s="5" t="n"/>
      <c r="F868" s="5" t="n"/>
      <c r="G868" s="5" t="n"/>
      <c r="H868" s="5" t="n"/>
      <c r="I868" s="5" t="n"/>
      <c r="J868" s="6" t="n"/>
      <c r="K868" s="6" t="n"/>
      <c r="L868" s="7">
        <f>IF(OR(D868="",N(J868)=0),"",MIN(1,N(K868)/J868))</f>
        <v/>
      </c>
      <c r="M868" s="5" t="n"/>
      <c r="N868" s="5" t="n"/>
      <c r="O868" s="5" t="n"/>
      <c r="P868" s="5" t="n"/>
      <c r="Q868" s="5" t="n"/>
      <c r="R868" s="4" t="n"/>
      <c r="S868" s="4" t="n"/>
      <c r="T868" s="5" t="n"/>
      <c r="U868" s="8">
        <f>IF(AND(V868=1,D868&lt;&gt;""),IF(D868&gt;=corte,TODAY()-D868,""),"")</f>
        <v/>
      </c>
      <c r="V868" s="8">
        <f>IF(D868="",0,IF(OR(AND(P868&lt;&gt;"",S868=""),AND(N(J868)&gt;0,N(K868)&lt;J868),OR(M868="PENDENTE",M868="PARCIAL"),OR(N868="PENDENTE",N868="PARCIAL")),1,0))</f>
        <v/>
      </c>
      <c r="W868" s="8">
        <f>IF(AND(V868=1,D868&lt;&gt;""),IF(D868&gt;=corte,(B868="CRÍTICO")*1E9+(100000-D868)*10000+10000-ROW(),""),"")</f>
        <v/>
      </c>
      <c r="X868" s="8">
        <f>IF(AND(V868=1,D868=pas_data,E868=pas_turno),10000-ROW(),"")</f>
        <v/>
      </c>
    </row>
    <row r="869">
      <c r="A869" s="3">
        <f>IF(D869="","","TT-"&amp;TEXT(ROW()-1,"00000"))</f>
        <v/>
      </c>
      <c r="B869" s="3">
        <f>IF(D869="","",IF(V869=0,"CONCLUÍDO",IF(D869&lt;corte,"HISTÓRICO",IF(OR(AND(ISNUMBER(R869),R869&lt;TODAY()),AND(OR(N869="PENDENTE",N869="PARCIAL"),D869&lt;TODAY()-1)),"CRÍTICO",IF(OR(AND(P869&lt;&gt;"",S869=""),AND(N869="REALIZADO",M869="PENDENTE"),AND(ISNUMBER(R869),R869=TODAY())),"ATENÇÃO",IF(N(K869)=0,"PENDENTE","EM ANDAMENTO"))))))</f>
        <v/>
      </c>
      <c r="C869" s="3">
        <f>IF(D869="","",IF(V869=0,"🟢 OK",IF(D869&lt;corte,"⚪ HISTÓRICO (sem baixa)",IF(AND(ISNUMBER(R869),R869&lt;TODAY()),"🔴 PRAZO VENCIDO",IF(AND(OR(N869="PENDENTE",N869="PARCIAL"),D869&lt;TODAY()-1),"🔴 EMBARQUE ATRASADO",IF(AND(N869="REALIZADO",M869="PENDENTE"),"🟡 EMBARCADO SEM FATURAR",IF(AND(P869&lt;&gt;"",S869="",OR(Q869="",R869="")),"🟡 PENDÊNCIA SEM RESPONSÁVEL/PRAZO",IF(AND(ISNUMBER(R869),R869=TODAY()),"🟡 VENCE HOJE",IF(AND(P869&lt;&gt;"",S869=""),"🟡 PENDÊNCIA ABERTA",IF(AND(N(J869)&gt;0,N(K869)&lt;J869),"🟡 FALTA EXECUTAR",IF(OR(M869="PENDENTE",M869="PARCIAL"),"🟡 FATURAMENTO PENDENTE","🟡 EMBARQUE PENDENTE")))))))))))</f>
        <v/>
      </c>
      <c r="D869" s="4" t="n"/>
      <c r="E869" s="5" t="n"/>
      <c r="F869" s="5" t="n"/>
      <c r="G869" s="5" t="n"/>
      <c r="H869" s="5" t="n"/>
      <c r="I869" s="5" t="n"/>
      <c r="J869" s="6" t="n"/>
      <c r="K869" s="6" t="n"/>
      <c r="L869" s="7">
        <f>IF(OR(D869="",N(J869)=0),"",MIN(1,N(K869)/J869))</f>
        <v/>
      </c>
      <c r="M869" s="5" t="n"/>
      <c r="N869" s="5" t="n"/>
      <c r="O869" s="5" t="n"/>
      <c r="P869" s="5" t="n"/>
      <c r="Q869" s="5" t="n"/>
      <c r="R869" s="4" t="n"/>
      <c r="S869" s="4" t="n"/>
      <c r="T869" s="5" t="n"/>
      <c r="U869" s="8">
        <f>IF(AND(V869=1,D869&lt;&gt;""),IF(D869&gt;=corte,TODAY()-D869,""),"")</f>
        <v/>
      </c>
      <c r="V869" s="8">
        <f>IF(D869="",0,IF(OR(AND(P869&lt;&gt;"",S869=""),AND(N(J869)&gt;0,N(K869)&lt;J869),OR(M869="PENDENTE",M869="PARCIAL"),OR(N869="PENDENTE",N869="PARCIAL")),1,0))</f>
        <v/>
      </c>
      <c r="W869" s="8">
        <f>IF(AND(V869=1,D869&lt;&gt;""),IF(D869&gt;=corte,(B869="CRÍTICO")*1E9+(100000-D869)*10000+10000-ROW(),""),"")</f>
        <v/>
      </c>
      <c r="X869" s="8">
        <f>IF(AND(V869=1,D869=pas_data,E869=pas_turno),10000-ROW(),"")</f>
        <v/>
      </c>
    </row>
    <row r="870">
      <c r="A870" s="3">
        <f>IF(D870="","","TT-"&amp;TEXT(ROW()-1,"00000"))</f>
        <v/>
      </c>
      <c r="B870" s="3">
        <f>IF(D870="","",IF(V870=0,"CONCLUÍDO",IF(D870&lt;corte,"HISTÓRICO",IF(OR(AND(ISNUMBER(R870),R870&lt;TODAY()),AND(OR(N870="PENDENTE",N870="PARCIAL"),D870&lt;TODAY()-1)),"CRÍTICO",IF(OR(AND(P870&lt;&gt;"",S870=""),AND(N870="REALIZADO",M870="PENDENTE"),AND(ISNUMBER(R870),R870=TODAY())),"ATENÇÃO",IF(N(K870)=0,"PENDENTE","EM ANDAMENTO"))))))</f>
        <v/>
      </c>
      <c r="C870" s="3">
        <f>IF(D870="","",IF(V870=0,"🟢 OK",IF(D870&lt;corte,"⚪ HISTÓRICO (sem baixa)",IF(AND(ISNUMBER(R870),R870&lt;TODAY()),"🔴 PRAZO VENCIDO",IF(AND(OR(N870="PENDENTE",N870="PARCIAL"),D870&lt;TODAY()-1),"🔴 EMBARQUE ATRASADO",IF(AND(N870="REALIZADO",M870="PENDENTE"),"🟡 EMBARCADO SEM FATURAR",IF(AND(P870&lt;&gt;"",S870="",OR(Q870="",R870="")),"🟡 PENDÊNCIA SEM RESPONSÁVEL/PRAZO",IF(AND(ISNUMBER(R870),R870=TODAY()),"🟡 VENCE HOJE",IF(AND(P870&lt;&gt;"",S870=""),"🟡 PENDÊNCIA ABERTA",IF(AND(N(J870)&gt;0,N(K870)&lt;J870),"🟡 FALTA EXECUTAR",IF(OR(M870="PENDENTE",M870="PARCIAL"),"🟡 FATURAMENTO PENDENTE","🟡 EMBARQUE PENDENTE")))))))))))</f>
        <v/>
      </c>
      <c r="D870" s="4" t="n"/>
      <c r="E870" s="5" t="n"/>
      <c r="F870" s="5" t="n"/>
      <c r="G870" s="5" t="n"/>
      <c r="H870" s="5" t="n"/>
      <c r="I870" s="5" t="n"/>
      <c r="J870" s="6" t="n"/>
      <c r="K870" s="6" t="n"/>
      <c r="L870" s="7">
        <f>IF(OR(D870="",N(J870)=0),"",MIN(1,N(K870)/J870))</f>
        <v/>
      </c>
      <c r="M870" s="5" t="n"/>
      <c r="N870" s="5" t="n"/>
      <c r="O870" s="5" t="n"/>
      <c r="P870" s="5" t="n"/>
      <c r="Q870" s="5" t="n"/>
      <c r="R870" s="4" t="n"/>
      <c r="S870" s="4" t="n"/>
      <c r="T870" s="5" t="n"/>
      <c r="U870" s="8">
        <f>IF(AND(V870=1,D870&lt;&gt;""),IF(D870&gt;=corte,TODAY()-D870,""),"")</f>
        <v/>
      </c>
      <c r="V870" s="8">
        <f>IF(D870="",0,IF(OR(AND(P870&lt;&gt;"",S870=""),AND(N(J870)&gt;0,N(K870)&lt;J870),OR(M870="PENDENTE",M870="PARCIAL"),OR(N870="PENDENTE",N870="PARCIAL")),1,0))</f>
        <v/>
      </c>
      <c r="W870" s="8">
        <f>IF(AND(V870=1,D870&lt;&gt;""),IF(D870&gt;=corte,(B870="CRÍTICO")*1E9+(100000-D870)*10000+10000-ROW(),""),"")</f>
        <v/>
      </c>
      <c r="X870" s="8">
        <f>IF(AND(V870=1,D870=pas_data,E870=pas_turno),10000-ROW(),"")</f>
        <v/>
      </c>
    </row>
    <row r="871">
      <c r="A871" s="3">
        <f>IF(D871="","","TT-"&amp;TEXT(ROW()-1,"00000"))</f>
        <v/>
      </c>
      <c r="B871" s="3">
        <f>IF(D871="","",IF(V871=0,"CONCLUÍDO",IF(D871&lt;corte,"HISTÓRICO",IF(OR(AND(ISNUMBER(R871),R871&lt;TODAY()),AND(OR(N871="PENDENTE",N871="PARCIAL"),D871&lt;TODAY()-1)),"CRÍTICO",IF(OR(AND(P871&lt;&gt;"",S871=""),AND(N871="REALIZADO",M871="PENDENTE"),AND(ISNUMBER(R871),R871=TODAY())),"ATENÇÃO",IF(N(K871)=0,"PENDENTE","EM ANDAMENTO"))))))</f>
        <v/>
      </c>
      <c r="C871" s="3">
        <f>IF(D871="","",IF(V871=0,"🟢 OK",IF(D871&lt;corte,"⚪ HISTÓRICO (sem baixa)",IF(AND(ISNUMBER(R871),R871&lt;TODAY()),"🔴 PRAZO VENCIDO",IF(AND(OR(N871="PENDENTE",N871="PARCIAL"),D871&lt;TODAY()-1),"🔴 EMBARQUE ATRASADO",IF(AND(N871="REALIZADO",M871="PENDENTE"),"🟡 EMBARCADO SEM FATURAR",IF(AND(P871&lt;&gt;"",S871="",OR(Q871="",R871="")),"🟡 PENDÊNCIA SEM RESPONSÁVEL/PRAZO",IF(AND(ISNUMBER(R871),R871=TODAY()),"🟡 VENCE HOJE",IF(AND(P871&lt;&gt;"",S871=""),"🟡 PENDÊNCIA ABERTA",IF(AND(N(J871)&gt;0,N(K871)&lt;J871),"🟡 FALTA EXECUTAR",IF(OR(M871="PENDENTE",M871="PARCIAL"),"🟡 FATURAMENTO PENDENTE","🟡 EMBARQUE PENDENTE")))))))))))</f>
        <v/>
      </c>
      <c r="D871" s="4" t="n"/>
      <c r="E871" s="5" t="n"/>
      <c r="F871" s="5" t="n"/>
      <c r="G871" s="5" t="n"/>
      <c r="H871" s="5" t="n"/>
      <c r="I871" s="5" t="n"/>
      <c r="J871" s="6" t="n"/>
      <c r="K871" s="6" t="n"/>
      <c r="L871" s="7">
        <f>IF(OR(D871="",N(J871)=0),"",MIN(1,N(K871)/J871))</f>
        <v/>
      </c>
      <c r="M871" s="5" t="n"/>
      <c r="N871" s="5" t="n"/>
      <c r="O871" s="5" t="n"/>
      <c r="P871" s="5" t="n"/>
      <c r="Q871" s="5" t="n"/>
      <c r="R871" s="4" t="n"/>
      <c r="S871" s="4" t="n"/>
      <c r="T871" s="5" t="n"/>
      <c r="U871" s="8">
        <f>IF(AND(V871=1,D871&lt;&gt;""),IF(D871&gt;=corte,TODAY()-D871,""),"")</f>
        <v/>
      </c>
      <c r="V871" s="8">
        <f>IF(D871="",0,IF(OR(AND(P871&lt;&gt;"",S871=""),AND(N(J871)&gt;0,N(K871)&lt;J871),OR(M871="PENDENTE",M871="PARCIAL"),OR(N871="PENDENTE",N871="PARCIAL")),1,0))</f>
        <v/>
      </c>
      <c r="W871" s="8">
        <f>IF(AND(V871=1,D871&lt;&gt;""),IF(D871&gt;=corte,(B871="CRÍTICO")*1E9+(100000-D871)*10000+10000-ROW(),""),"")</f>
        <v/>
      </c>
      <c r="X871" s="8">
        <f>IF(AND(V871=1,D871=pas_data,E871=pas_turno),10000-ROW(),"")</f>
        <v/>
      </c>
    </row>
    <row r="872">
      <c r="A872" s="3">
        <f>IF(D872="","","TT-"&amp;TEXT(ROW()-1,"00000"))</f>
        <v/>
      </c>
      <c r="B872" s="3">
        <f>IF(D872="","",IF(V872=0,"CONCLUÍDO",IF(D872&lt;corte,"HISTÓRICO",IF(OR(AND(ISNUMBER(R872),R872&lt;TODAY()),AND(OR(N872="PENDENTE",N872="PARCIAL"),D872&lt;TODAY()-1)),"CRÍTICO",IF(OR(AND(P872&lt;&gt;"",S872=""),AND(N872="REALIZADO",M872="PENDENTE"),AND(ISNUMBER(R872),R872=TODAY())),"ATENÇÃO",IF(N(K872)=0,"PENDENTE","EM ANDAMENTO"))))))</f>
        <v/>
      </c>
      <c r="C872" s="3">
        <f>IF(D872="","",IF(V872=0,"🟢 OK",IF(D872&lt;corte,"⚪ HISTÓRICO (sem baixa)",IF(AND(ISNUMBER(R872),R872&lt;TODAY()),"🔴 PRAZO VENCIDO",IF(AND(OR(N872="PENDENTE",N872="PARCIAL"),D872&lt;TODAY()-1),"🔴 EMBARQUE ATRASADO",IF(AND(N872="REALIZADO",M872="PENDENTE"),"🟡 EMBARCADO SEM FATURAR",IF(AND(P872&lt;&gt;"",S872="",OR(Q872="",R872="")),"🟡 PENDÊNCIA SEM RESPONSÁVEL/PRAZO",IF(AND(ISNUMBER(R872),R872=TODAY()),"🟡 VENCE HOJE",IF(AND(P872&lt;&gt;"",S872=""),"🟡 PENDÊNCIA ABERTA",IF(AND(N(J872)&gt;0,N(K872)&lt;J872),"🟡 FALTA EXECUTAR",IF(OR(M872="PENDENTE",M872="PARCIAL"),"🟡 FATURAMENTO PENDENTE","🟡 EMBARQUE PENDENTE")))))))))))</f>
        <v/>
      </c>
      <c r="D872" s="4" t="n"/>
      <c r="E872" s="5" t="n"/>
      <c r="F872" s="5" t="n"/>
      <c r="G872" s="5" t="n"/>
      <c r="H872" s="5" t="n"/>
      <c r="I872" s="5" t="n"/>
      <c r="J872" s="6" t="n"/>
      <c r="K872" s="6" t="n"/>
      <c r="L872" s="7">
        <f>IF(OR(D872="",N(J872)=0),"",MIN(1,N(K872)/J872))</f>
        <v/>
      </c>
      <c r="M872" s="5" t="n"/>
      <c r="N872" s="5" t="n"/>
      <c r="O872" s="5" t="n"/>
      <c r="P872" s="5" t="n"/>
      <c r="Q872" s="5" t="n"/>
      <c r="R872" s="4" t="n"/>
      <c r="S872" s="4" t="n"/>
      <c r="T872" s="5" t="n"/>
      <c r="U872" s="8">
        <f>IF(AND(V872=1,D872&lt;&gt;""),IF(D872&gt;=corte,TODAY()-D872,""),"")</f>
        <v/>
      </c>
      <c r="V872" s="8">
        <f>IF(D872="",0,IF(OR(AND(P872&lt;&gt;"",S872=""),AND(N(J872)&gt;0,N(K872)&lt;J872),OR(M872="PENDENTE",M872="PARCIAL"),OR(N872="PENDENTE",N872="PARCIAL")),1,0))</f>
        <v/>
      </c>
      <c r="W872" s="8">
        <f>IF(AND(V872=1,D872&lt;&gt;""),IF(D872&gt;=corte,(B872="CRÍTICO")*1E9+(100000-D872)*10000+10000-ROW(),""),"")</f>
        <v/>
      </c>
      <c r="X872" s="8">
        <f>IF(AND(V872=1,D872=pas_data,E872=pas_turno),10000-ROW(),"")</f>
        <v/>
      </c>
    </row>
    <row r="873">
      <c r="A873" s="3">
        <f>IF(D873="","","TT-"&amp;TEXT(ROW()-1,"00000"))</f>
        <v/>
      </c>
      <c r="B873" s="3">
        <f>IF(D873="","",IF(V873=0,"CONCLUÍDO",IF(D873&lt;corte,"HISTÓRICO",IF(OR(AND(ISNUMBER(R873),R873&lt;TODAY()),AND(OR(N873="PENDENTE",N873="PARCIAL"),D873&lt;TODAY()-1)),"CRÍTICO",IF(OR(AND(P873&lt;&gt;"",S873=""),AND(N873="REALIZADO",M873="PENDENTE"),AND(ISNUMBER(R873),R873=TODAY())),"ATENÇÃO",IF(N(K873)=0,"PENDENTE","EM ANDAMENTO"))))))</f>
        <v/>
      </c>
      <c r="C873" s="3">
        <f>IF(D873="","",IF(V873=0,"🟢 OK",IF(D873&lt;corte,"⚪ HISTÓRICO (sem baixa)",IF(AND(ISNUMBER(R873),R873&lt;TODAY()),"🔴 PRAZO VENCIDO",IF(AND(OR(N873="PENDENTE",N873="PARCIAL"),D873&lt;TODAY()-1),"🔴 EMBARQUE ATRASADO",IF(AND(N873="REALIZADO",M873="PENDENTE"),"🟡 EMBARCADO SEM FATURAR",IF(AND(P873&lt;&gt;"",S873="",OR(Q873="",R873="")),"🟡 PENDÊNCIA SEM RESPONSÁVEL/PRAZO",IF(AND(ISNUMBER(R873),R873=TODAY()),"🟡 VENCE HOJE",IF(AND(P873&lt;&gt;"",S873=""),"🟡 PENDÊNCIA ABERTA",IF(AND(N(J873)&gt;0,N(K873)&lt;J873),"🟡 FALTA EXECUTAR",IF(OR(M873="PENDENTE",M873="PARCIAL"),"🟡 FATURAMENTO PENDENTE","🟡 EMBARQUE PENDENTE")))))))))))</f>
        <v/>
      </c>
      <c r="D873" s="4" t="n"/>
      <c r="E873" s="5" t="n"/>
      <c r="F873" s="5" t="n"/>
      <c r="G873" s="5" t="n"/>
      <c r="H873" s="5" t="n"/>
      <c r="I873" s="5" t="n"/>
      <c r="J873" s="6" t="n"/>
      <c r="K873" s="6" t="n"/>
      <c r="L873" s="7">
        <f>IF(OR(D873="",N(J873)=0),"",MIN(1,N(K873)/J873))</f>
        <v/>
      </c>
      <c r="M873" s="5" t="n"/>
      <c r="N873" s="5" t="n"/>
      <c r="O873" s="5" t="n"/>
      <c r="P873" s="5" t="n"/>
      <c r="Q873" s="5" t="n"/>
      <c r="R873" s="4" t="n"/>
      <c r="S873" s="4" t="n"/>
      <c r="T873" s="5" t="n"/>
      <c r="U873" s="8">
        <f>IF(AND(V873=1,D873&lt;&gt;""),IF(D873&gt;=corte,TODAY()-D873,""),"")</f>
        <v/>
      </c>
      <c r="V873" s="8">
        <f>IF(D873="",0,IF(OR(AND(P873&lt;&gt;"",S873=""),AND(N(J873)&gt;0,N(K873)&lt;J873),OR(M873="PENDENTE",M873="PARCIAL"),OR(N873="PENDENTE",N873="PARCIAL")),1,0))</f>
        <v/>
      </c>
      <c r="W873" s="8">
        <f>IF(AND(V873=1,D873&lt;&gt;""),IF(D873&gt;=corte,(B873="CRÍTICO")*1E9+(100000-D873)*10000+10000-ROW(),""),"")</f>
        <v/>
      </c>
      <c r="X873" s="8">
        <f>IF(AND(V873=1,D873=pas_data,E873=pas_turno),10000-ROW(),"")</f>
        <v/>
      </c>
    </row>
    <row r="874">
      <c r="A874" s="3">
        <f>IF(D874="","","TT-"&amp;TEXT(ROW()-1,"00000"))</f>
        <v/>
      </c>
      <c r="B874" s="3">
        <f>IF(D874="","",IF(V874=0,"CONCLUÍDO",IF(D874&lt;corte,"HISTÓRICO",IF(OR(AND(ISNUMBER(R874),R874&lt;TODAY()),AND(OR(N874="PENDENTE",N874="PARCIAL"),D874&lt;TODAY()-1)),"CRÍTICO",IF(OR(AND(P874&lt;&gt;"",S874=""),AND(N874="REALIZADO",M874="PENDENTE"),AND(ISNUMBER(R874),R874=TODAY())),"ATENÇÃO",IF(N(K874)=0,"PENDENTE","EM ANDAMENTO"))))))</f>
        <v/>
      </c>
      <c r="C874" s="3">
        <f>IF(D874="","",IF(V874=0,"🟢 OK",IF(D874&lt;corte,"⚪ HISTÓRICO (sem baixa)",IF(AND(ISNUMBER(R874),R874&lt;TODAY()),"🔴 PRAZO VENCIDO",IF(AND(OR(N874="PENDENTE",N874="PARCIAL"),D874&lt;TODAY()-1),"🔴 EMBARQUE ATRASADO",IF(AND(N874="REALIZADO",M874="PENDENTE"),"🟡 EMBARCADO SEM FATURAR",IF(AND(P874&lt;&gt;"",S874="",OR(Q874="",R874="")),"🟡 PENDÊNCIA SEM RESPONSÁVEL/PRAZO",IF(AND(ISNUMBER(R874),R874=TODAY()),"🟡 VENCE HOJE",IF(AND(P874&lt;&gt;"",S874=""),"🟡 PENDÊNCIA ABERTA",IF(AND(N(J874)&gt;0,N(K874)&lt;J874),"🟡 FALTA EXECUTAR",IF(OR(M874="PENDENTE",M874="PARCIAL"),"🟡 FATURAMENTO PENDENTE","🟡 EMBARQUE PENDENTE")))))))))))</f>
        <v/>
      </c>
      <c r="D874" s="4" t="n"/>
      <c r="E874" s="5" t="n"/>
      <c r="F874" s="5" t="n"/>
      <c r="G874" s="5" t="n"/>
      <c r="H874" s="5" t="n"/>
      <c r="I874" s="5" t="n"/>
      <c r="J874" s="6" t="n"/>
      <c r="K874" s="6" t="n"/>
      <c r="L874" s="7">
        <f>IF(OR(D874="",N(J874)=0),"",MIN(1,N(K874)/J874))</f>
        <v/>
      </c>
      <c r="M874" s="5" t="n"/>
      <c r="N874" s="5" t="n"/>
      <c r="O874" s="5" t="n"/>
      <c r="P874" s="5" t="n"/>
      <c r="Q874" s="5" t="n"/>
      <c r="R874" s="4" t="n"/>
      <c r="S874" s="4" t="n"/>
      <c r="T874" s="5" t="n"/>
      <c r="U874" s="8">
        <f>IF(AND(V874=1,D874&lt;&gt;""),IF(D874&gt;=corte,TODAY()-D874,""),"")</f>
        <v/>
      </c>
      <c r="V874" s="8">
        <f>IF(D874="",0,IF(OR(AND(P874&lt;&gt;"",S874=""),AND(N(J874)&gt;0,N(K874)&lt;J874),OR(M874="PENDENTE",M874="PARCIAL"),OR(N874="PENDENTE",N874="PARCIAL")),1,0))</f>
        <v/>
      </c>
      <c r="W874" s="8">
        <f>IF(AND(V874=1,D874&lt;&gt;""),IF(D874&gt;=corte,(B874="CRÍTICO")*1E9+(100000-D874)*10000+10000-ROW(),""),"")</f>
        <v/>
      </c>
      <c r="X874" s="8">
        <f>IF(AND(V874=1,D874=pas_data,E874=pas_turno),10000-ROW(),"")</f>
        <v/>
      </c>
    </row>
    <row r="875">
      <c r="A875" s="3">
        <f>IF(D875="","","TT-"&amp;TEXT(ROW()-1,"00000"))</f>
        <v/>
      </c>
      <c r="B875" s="3">
        <f>IF(D875="","",IF(V875=0,"CONCLUÍDO",IF(D875&lt;corte,"HISTÓRICO",IF(OR(AND(ISNUMBER(R875),R875&lt;TODAY()),AND(OR(N875="PENDENTE",N875="PARCIAL"),D875&lt;TODAY()-1)),"CRÍTICO",IF(OR(AND(P875&lt;&gt;"",S875=""),AND(N875="REALIZADO",M875="PENDENTE"),AND(ISNUMBER(R875),R875=TODAY())),"ATENÇÃO",IF(N(K875)=0,"PENDENTE","EM ANDAMENTO"))))))</f>
        <v/>
      </c>
      <c r="C875" s="3">
        <f>IF(D875="","",IF(V875=0,"🟢 OK",IF(D875&lt;corte,"⚪ HISTÓRICO (sem baixa)",IF(AND(ISNUMBER(R875),R875&lt;TODAY()),"🔴 PRAZO VENCIDO",IF(AND(OR(N875="PENDENTE",N875="PARCIAL"),D875&lt;TODAY()-1),"🔴 EMBARQUE ATRASADO",IF(AND(N875="REALIZADO",M875="PENDENTE"),"🟡 EMBARCADO SEM FATURAR",IF(AND(P875&lt;&gt;"",S875="",OR(Q875="",R875="")),"🟡 PENDÊNCIA SEM RESPONSÁVEL/PRAZO",IF(AND(ISNUMBER(R875),R875=TODAY()),"🟡 VENCE HOJE",IF(AND(P875&lt;&gt;"",S875=""),"🟡 PENDÊNCIA ABERTA",IF(AND(N(J875)&gt;0,N(K875)&lt;J875),"🟡 FALTA EXECUTAR",IF(OR(M875="PENDENTE",M875="PARCIAL"),"🟡 FATURAMENTO PENDENTE","🟡 EMBARQUE PENDENTE")))))))))))</f>
        <v/>
      </c>
      <c r="D875" s="4" t="n"/>
      <c r="E875" s="5" t="n"/>
      <c r="F875" s="5" t="n"/>
      <c r="G875" s="5" t="n"/>
      <c r="H875" s="5" t="n"/>
      <c r="I875" s="5" t="n"/>
      <c r="J875" s="6" t="n"/>
      <c r="K875" s="6" t="n"/>
      <c r="L875" s="7">
        <f>IF(OR(D875="",N(J875)=0),"",MIN(1,N(K875)/J875))</f>
        <v/>
      </c>
      <c r="M875" s="5" t="n"/>
      <c r="N875" s="5" t="n"/>
      <c r="O875" s="5" t="n"/>
      <c r="P875" s="5" t="n"/>
      <c r="Q875" s="5" t="n"/>
      <c r="R875" s="4" t="n"/>
      <c r="S875" s="4" t="n"/>
      <c r="T875" s="5" t="n"/>
      <c r="U875" s="8">
        <f>IF(AND(V875=1,D875&lt;&gt;""),IF(D875&gt;=corte,TODAY()-D875,""),"")</f>
        <v/>
      </c>
      <c r="V875" s="8">
        <f>IF(D875="",0,IF(OR(AND(P875&lt;&gt;"",S875=""),AND(N(J875)&gt;0,N(K875)&lt;J875),OR(M875="PENDENTE",M875="PARCIAL"),OR(N875="PENDENTE",N875="PARCIAL")),1,0))</f>
        <v/>
      </c>
      <c r="W875" s="8">
        <f>IF(AND(V875=1,D875&lt;&gt;""),IF(D875&gt;=corte,(B875="CRÍTICO")*1E9+(100000-D875)*10000+10000-ROW(),""),"")</f>
        <v/>
      </c>
      <c r="X875" s="8">
        <f>IF(AND(V875=1,D875=pas_data,E875=pas_turno),10000-ROW(),"")</f>
        <v/>
      </c>
    </row>
    <row r="876">
      <c r="A876" s="3">
        <f>IF(D876="","","TT-"&amp;TEXT(ROW()-1,"00000"))</f>
        <v/>
      </c>
      <c r="B876" s="3">
        <f>IF(D876="","",IF(V876=0,"CONCLUÍDO",IF(D876&lt;corte,"HISTÓRICO",IF(OR(AND(ISNUMBER(R876),R876&lt;TODAY()),AND(OR(N876="PENDENTE",N876="PARCIAL"),D876&lt;TODAY()-1)),"CRÍTICO",IF(OR(AND(P876&lt;&gt;"",S876=""),AND(N876="REALIZADO",M876="PENDENTE"),AND(ISNUMBER(R876),R876=TODAY())),"ATENÇÃO",IF(N(K876)=0,"PENDENTE","EM ANDAMENTO"))))))</f>
        <v/>
      </c>
      <c r="C876" s="3">
        <f>IF(D876="","",IF(V876=0,"🟢 OK",IF(D876&lt;corte,"⚪ HISTÓRICO (sem baixa)",IF(AND(ISNUMBER(R876),R876&lt;TODAY()),"🔴 PRAZO VENCIDO",IF(AND(OR(N876="PENDENTE",N876="PARCIAL"),D876&lt;TODAY()-1),"🔴 EMBARQUE ATRASADO",IF(AND(N876="REALIZADO",M876="PENDENTE"),"🟡 EMBARCADO SEM FATURAR",IF(AND(P876&lt;&gt;"",S876="",OR(Q876="",R876="")),"🟡 PENDÊNCIA SEM RESPONSÁVEL/PRAZO",IF(AND(ISNUMBER(R876),R876=TODAY()),"🟡 VENCE HOJE",IF(AND(P876&lt;&gt;"",S876=""),"🟡 PENDÊNCIA ABERTA",IF(AND(N(J876)&gt;0,N(K876)&lt;J876),"🟡 FALTA EXECUTAR",IF(OR(M876="PENDENTE",M876="PARCIAL"),"🟡 FATURAMENTO PENDENTE","🟡 EMBARQUE PENDENTE")))))))))))</f>
        <v/>
      </c>
      <c r="D876" s="4" t="n"/>
      <c r="E876" s="5" t="n"/>
      <c r="F876" s="5" t="n"/>
      <c r="G876" s="5" t="n"/>
      <c r="H876" s="5" t="n"/>
      <c r="I876" s="5" t="n"/>
      <c r="J876" s="6" t="n"/>
      <c r="K876" s="6" t="n"/>
      <c r="L876" s="7">
        <f>IF(OR(D876="",N(J876)=0),"",MIN(1,N(K876)/J876))</f>
        <v/>
      </c>
      <c r="M876" s="5" t="n"/>
      <c r="N876" s="5" t="n"/>
      <c r="O876" s="5" t="n"/>
      <c r="P876" s="5" t="n"/>
      <c r="Q876" s="5" t="n"/>
      <c r="R876" s="4" t="n"/>
      <c r="S876" s="4" t="n"/>
      <c r="T876" s="5" t="n"/>
      <c r="U876" s="8">
        <f>IF(AND(V876=1,D876&lt;&gt;""),IF(D876&gt;=corte,TODAY()-D876,""),"")</f>
        <v/>
      </c>
      <c r="V876" s="8">
        <f>IF(D876="",0,IF(OR(AND(P876&lt;&gt;"",S876=""),AND(N(J876)&gt;0,N(K876)&lt;J876),OR(M876="PENDENTE",M876="PARCIAL"),OR(N876="PENDENTE",N876="PARCIAL")),1,0))</f>
        <v/>
      </c>
      <c r="W876" s="8">
        <f>IF(AND(V876=1,D876&lt;&gt;""),IF(D876&gt;=corte,(B876="CRÍTICO")*1E9+(100000-D876)*10000+10000-ROW(),""),"")</f>
        <v/>
      </c>
      <c r="X876" s="8">
        <f>IF(AND(V876=1,D876=pas_data,E876=pas_turno),10000-ROW(),"")</f>
        <v/>
      </c>
    </row>
    <row r="877">
      <c r="A877" s="3">
        <f>IF(D877="","","TT-"&amp;TEXT(ROW()-1,"00000"))</f>
        <v/>
      </c>
      <c r="B877" s="3">
        <f>IF(D877="","",IF(V877=0,"CONCLUÍDO",IF(D877&lt;corte,"HISTÓRICO",IF(OR(AND(ISNUMBER(R877),R877&lt;TODAY()),AND(OR(N877="PENDENTE",N877="PARCIAL"),D877&lt;TODAY()-1)),"CRÍTICO",IF(OR(AND(P877&lt;&gt;"",S877=""),AND(N877="REALIZADO",M877="PENDENTE"),AND(ISNUMBER(R877),R877=TODAY())),"ATENÇÃO",IF(N(K877)=0,"PENDENTE","EM ANDAMENTO"))))))</f>
        <v/>
      </c>
      <c r="C877" s="3">
        <f>IF(D877="","",IF(V877=0,"🟢 OK",IF(D877&lt;corte,"⚪ HISTÓRICO (sem baixa)",IF(AND(ISNUMBER(R877),R877&lt;TODAY()),"🔴 PRAZO VENCIDO",IF(AND(OR(N877="PENDENTE",N877="PARCIAL"),D877&lt;TODAY()-1),"🔴 EMBARQUE ATRASADO",IF(AND(N877="REALIZADO",M877="PENDENTE"),"🟡 EMBARCADO SEM FATURAR",IF(AND(P877&lt;&gt;"",S877="",OR(Q877="",R877="")),"🟡 PENDÊNCIA SEM RESPONSÁVEL/PRAZO",IF(AND(ISNUMBER(R877),R877=TODAY()),"🟡 VENCE HOJE",IF(AND(P877&lt;&gt;"",S877=""),"🟡 PENDÊNCIA ABERTA",IF(AND(N(J877)&gt;0,N(K877)&lt;J877),"🟡 FALTA EXECUTAR",IF(OR(M877="PENDENTE",M877="PARCIAL"),"🟡 FATURAMENTO PENDENTE","🟡 EMBARQUE PENDENTE")))))))))))</f>
        <v/>
      </c>
      <c r="D877" s="4" t="n"/>
      <c r="E877" s="5" t="n"/>
      <c r="F877" s="5" t="n"/>
      <c r="G877" s="5" t="n"/>
      <c r="H877" s="5" t="n"/>
      <c r="I877" s="5" t="n"/>
      <c r="J877" s="6" t="n"/>
      <c r="K877" s="6" t="n"/>
      <c r="L877" s="7">
        <f>IF(OR(D877="",N(J877)=0),"",MIN(1,N(K877)/J877))</f>
        <v/>
      </c>
      <c r="M877" s="5" t="n"/>
      <c r="N877" s="5" t="n"/>
      <c r="O877" s="5" t="n"/>
      <c r="P877" s="5" t="n"/>
      <c r="Q877" s="5" t="n"/>
      <c r="R877" s="4" t="n"/>
      <c r="S877" s="4" t="n"/>
      <c r="T877" s="5" t="n"/>
      <c r="U877" s="8">
        <f>IF(AND(V877=1,D877&lt;&gt;""),IF(D877&gt;=corte,TODAY()-D877,""),"")</f>
        <v/>
      </c>
      <c r="V877" s="8">
        <f>IF(D877="",0,IF(OR(AND(P877&lt;&gt;"",S877=""),AND(N(J877)&gt;0,N(K877)&lt;J877),OR(M877="PENDENTE",M877="PARCIAL"),OR(N877="PENDENTE",N877="PARCIAL")),1,0))</f>
        <v/>
      </c>
      <c r="W877" s="8">
        <f>IF(AND(V877=1,D877&lt;&gt;""),IF(D877&gt;=corte,(B877="CRÍTICO")*1E9+(100000-D877)*10000+10000-ROW(),""),"")</f>
        <v/>
      </c>
      <c r="X877" s="8">
        <f>IF(AND(V877=1,D877=pas_data,E877=pas_turno),10000-ROW(),"")</f>
        <v/>
      </c>
    </row>
    <row r="878">
      <c r="A878" s="3">
        <f>IF(D878="","","TT-"&amp;TEXT(ROW()-1,"00000"))</f>
        <v/>
      </c>
      <c r="B878" s="3">
        <f>IF(D878="","",IF(V878=0,"CONCLUÍDO",IF(D878&lt;corte,"HISTÓRICO",IF(OR(AND(ISNUMBER(R878),R878&lt;TODAY()),AND(OR(N878="PENDENTE",N878="PARCIAL"),D878&lt;TODAY()-1)),"CRÍTICO",IF(OR(AND(P878&lt;&gt;"",S878=""),AND(N878="REALIZADO",M878="PENDENTE"),AND(ISNUMBER(R878),R878=TODAY())),"ATENÇÃO",IF(N(K878)=0,"PENDENTE","EM ANDAMENTO"))))))</f>
        <v/>
      </c>
      <c r="C878" s="3">
        <f>IF(D878="","",IF(V878=0,"🟢 OK",IF(D878&lt;corte,"⚪ HISTÓRICO (sem baixa)",IF(AND(ISNUMBER(R878),R878&lt;TODAY()),"🔴 PRAZO VENCIDO",IF(AND(OR(N878="PENDENTE",N878="PARCIAL"),D878&lt;TODAY()-1),"🔴 EMBARQUE ATRASADO",IF(AND(N878="REALIZADO",M878="PENDENTE"),"🟡 EMBARCADO SEM FATURAR",IF(AND(P878&lt;&gt;"",S878="",OR(Q878="",R878="")),"🟡 PENDÊNCIA SEM RESPONSÁVEL/PRAZO",IF(AND(ISNUMBER(R878),R878=TODAY()),"🟡 VENCE HOJE",IF(AND(P878&lt;&gt;"",S878=""),"🟡 PENDÊNCIA ABERTA",IF(AND(N(J878)&gt;0,N(K878)&lt;J878),"🟡 FALTA EXECUTAR",IF(OR(M878="PENDENTE",M878="PARCIAL"),"🟡 FATURAMENTO PENDENTE","🟡 EMBARQUE PENDENTE")))))))))))</f>
        <v/>
      </c>
      <c r="D878" s="4" t="n"/>
      <c r="E878" s="5" t="n"/>
      <c r="F878" s="5" t="n"/>
      <c r="G878" s="5" t="n"/>
      <c r="H878" s="5" t="n"/>
      <c r="I878" s="5" t="n"/>
      <c r="J878" s="6" t="n"/>
      <c r="K878" s="6" t="n"/>
      <c r="L878" s="7">
        <f>IF(OR(D878="",N(J878)=0),"",MIN(1,N(K878)/J878))</f>
        <v/>
      </c>
      <c r="M878" s="5" t="n"/>
      <c r="N878" s="5" t="n"/>
      <c r="O878" s="5" t="n"/>
      <c r="P878" s="5" t="n"/>
      <c r="Q878" s="5" t="n"/>
      <c r="R878" s="4" t="n"/>
      <c r="S878" s="4" t="n"/>
      <c r="T878" s="5" t="n"/>
      <c r="U878" s="8">
        <f>IF(AND(V878=1,D878&lt;&gt;""),IF(D878&gt;=corte,TODAY()-D878,""),"")</f>
        <v/>
      </c>
      <c r="V878" s="8">
        <f>IF(D878="",0,IF(OR(AND(P878&lt;&gt;"",S878=""),AND(N(J878)&gt;0,N(K878)&lt;J878),OR(M878="PENDENTE",M878="PARCIAL"),OR(N878="PENDENTE",N878="PARCIAL")),1,0))</f>
        <v/>
      </c>
      <c r="W878" s="8">
        <f>IF(AND(V878=1,D878&lt;&gt;""),IF(D878&gt;=corte,(B878="CRÍTICO")*1E9+(100000-D878)*10000+10000-ROW(),""),"")</f>
        <v/>
      </c>
      <c r="X878" s="8">
        <f>IF(AND(V878=1,D878=pas_data,E878=pas_turno),10000-ROW(),"")</f>
        <v/>
      </c>
    </row>
    <row r="879">
      <c r="A879" s="3">
        <f>IF(D879="","","TT-"&amp;TEXT(ROW()-1,"00000"))</f>
        <v/>
      </c>
      <c r="B879" s="3">
        <f>IF(D879="","",IF(V879=0,"CONCLUÍDO",IF(D879&lt;corte,"HISTÓRICO",IF(OR(AND(ISNUMBER(R879),R879&lt;TODAY()),AND(OR(N879="PENDENTE",N879="PARCIAL"),D879&lt;TODAY()-1)),"CRÍTICO",IF(OR(AND(P879&lt;&gt;"",S879=""),AND(N879="REALIZADO",M879="PENDENTE"),AND(ISNUMBER(R879),R879=TODAY())),"ATENÇÃO",IF(N(K879)=0,"PENDENTE","EM ANDAMENTO"))))))</f>
        <v/>
      </c>
      <c r="C879" s="3">
        <f>IF(D879="","",IF(V879=0,"🟢 OK",IF(D879&lt;corte,"⚪ HISTÓRICO (sem baixa)",IF(AND(ISNUMBER(R879),R879&lt;TODAY()),"🔴 PRAZO VENCIDO",IF(AND(OR(N879="PENDENTE",N879="PARCIAL"),D879&lt;TODAY()-1),"🔴 EMBARQUE ATRASADO",IF(AND(N879="REALIZADO",M879="PENDENTE"),"🟡 EMBARCADO SEM FATURAR",IF(AND(P879&lt;&gt;"",S879="",OR(Q879="",R879="")),"🟡 PENDÊNCIA SEM RESPONSÁVEL/PRAZO",IF(AND(ISNUMBER(R879),R879=TODAY()),"🟡 VENCE HOJE",IF(AND(P879&lt;&gt;"",S879=""),"🟡 PENDÊNCIA ABERTA",IF(AND(N(J879)&gt;0,N(K879)&lt;J879),"🟡 FALTA EXECUTAR",IF(OR(M879="PENDENTE",M879="PARCIAL"),"🟡 FATURAMENTO PENDENTE","🟡 EMBARQUE PENDENTE")))))))))))</f>
        <v/>
      </c>
      <c r="D879" s="4" t="n"/>
      <c r="E879" s="5" t="n"/>
      <c r="F879" s="5" t="n"/>
      <c r="G879" s="5" t="n"/>
      <c r="H879" s="5" t="n"/>
      <c r="I879" s="5" t="n"/>
      <c r="J879" s="6" t="n"/>
      <c r="K879" s="6" t="n"/>
      <c r="L879" s="7">
        <f>IF(OR(D879="",N(J879)=0),"",MIN(1,N(K879)/J879))</f>
        <v/>
      </c>
      <c r="M879" s="5" t="n"/>
      <c r="N879" s="5" t="n"/>
      <c r="O879" s="5" t="n"/>
      <c r="P879" s="5" t="n"/>
      <c r="Q879" s="5" t="n"/>
      <c r="R879" s="4" t="n"/>
      <c r="S879" s="4" t="n"/>
      <c r="T879" s="5" t="n"/>
      <c r="U879" s="8">
        <f>IF(AND(V879=1,D879&lt;&gt;""),IF(D879&gt;=corte,TODAY()-D879,""),"")</f>
        <v/>
      </c>
      <c r="V879" s="8">
        <f>IF(D879="",0,IF(OR(AND(P879&lt;&gt;"",S879=""),AND(N(J879)&gt;0,N(K879)&lt;J879),OR(M879="PENDENTE",M879="PARCIAL"),OR(N879="PENDENTE",N879="PARCIAL")),1,0))</f>
        <v/>
      </c>
      <c r="W879" s="8">
        <f>IF(AND(V879=1,D879&lt;&gt;""),IF(D879&gt;=corte,(B879="CRÍTICO")*1E9+(100000-D879)*10000+10000-ROW(),""),"")</f>
        <v/>
      </c>
      <c r="X879" s="8">
        <f>IF(AND(V879=1,D879=pas_data,E879=pas_turno),10000-ROW(),"")</f>
        <v/>
      </c>
    </row>
    <row r="880">
      <c r="A880" s="3">
        <f>IF(D880="","","TT-"&amp;TEXT(ROW()-1,"00000"))</f>
        <v/>
      </c>
      <c r="B880" s="3">
        <f>IF(D880="","",IF(V880=0,"CONCLUÍDO",IF(D880&lt;corte,"HISTÓRICO",IF(OR(AND(ISNUMBER(R880),R880&lt;TODAY()),AND(OR(N880="PENDENTE",N880="PARCIAL"),D880&lt;TODAY()-1)),"CRÍTICO",IF(OR(AND(P880&lt;&gt;"",S880=""),AND(N880="REALIZADO",M880="PENDENTE"),AND(ISNUMBER(R880),R880=TODAY())),"ATENÇÃO",IF(N(K880)=0,"PENDENTE","EM ANDAMENTO"))))))</f>
        <v/>
      </c>
      <c r="C880" s="3">
        <f>IF(D880="","",IF(V880=0,"🟢 OK",IF(D880&lt;corte,"⚪ HISTÓRICO (sem baixa)",IF(AND(ISNUMBER(R880),R880&lt;TODAY()),"🔴 PRAZO VENCIDO",IF(AND(OR(N880="PENDENTE",N880="PARCIAL"),D880&lt;TODAY()-1),"🔴 EMBARQUE ATRASADO",IF(AND(N880="REALIZADO",M880="PENDENTE"),"🟡 EMBARCADO SEM FATURAR",IF(AND(P880&lt;&gt;"",S880="",OR(Q880="",R880="")),"🟡 PENDÊNCIA SEM RESPONSÁVEL/PRAZO",IF(AND(ISNUMBER(R880),R880=TODAY()),"🟡 VENCE HOJE",IF(AND(P880&lt;&gt;"",S880=""),"🟡 PENDÊNCIA ABERTA",IF(AND(N(J880)&gt;0,N(K880)&lt;J880),"🟡 FALTA EXECUTAR",IF(OR(M880="PENDENTE",M880="PARCIAL"),"🟡 FATURAMENTO PENDENTE","🟡 EMBARQUE PENDENTE")))))))))))</f>
        <v/>
      </c>
      <c r="D880" s="4" t="n"/>
      <c r="E880" s="5" t="n"/>
      <c r="F880" s="5" t="n"/>
      <c r="G880" s="5" t="n"/>
      <c r="H880" s="5" t="n"/>
      <c r="I880" s="5" t="n"/>
      <c r="J880" s="6" t="n"/>
      <c r="K880" s="6" t="n"/>
      <c r="L880" s="7">
        <f>IF(OR(D880="",N(J880)=0),"",MIN(1,N(K880)/J880))</f>
        <v/>
      </c>
      <c r="M880" s="5" t="n"/>
      <c r="N880" s="5" t="n"/>
      <c r="O880" s="5" t="n"/>
      <c r="P880" s="5" t="n"/>
      <c r="Q880" s="5" t="n"/>
      <c r="R880" s="4" t="n"/>
      <c r="S880" s="4" t="n"/>
      <c r="T880" s="5" t="n"/>
      <c r="U880" s="8">
        <f>IF(AND(V880=1,D880&lt;&gt;""),IF(D880&gt;=corte,TODAY()-D880,""),"")</f>
        <v/>
      </c>
      <c r="V880" s="8">
        <f>IF(D880="",0,IF(OR(AND(P880&lt;&gt;"",S880=""),AND(N(J880)&gt;0,N(K880)&lt;J880),OR(M880="PENDENTE",M880="PARCIAL"),OR(N880="PENDENTE",N880="PARCIAL")),1,0))</f>
        <v/>
      </c>
      <c r="W880" s="8">
        <f>IF(AND(V880=1,D880&lt;&gt;""),IF(D880&gt;=corte,(B880="CRÍTICO")*1E9+(100000-D880)*10000+10000-ROW(),""),"")</f>
        <v/>
      </c>
      <c r="X880" s="8">
        <f>IF(AND(V880=1,D880=pas_data,E880=pas_turno),10000-ROW(),"")</f>
        <v/>
      </c>
    </row>
    <row r="881">
      <c r="A881" s="3">
        <f>IF(D881="","","TT-"&amp;TEXT(ROW()-1,"00000"))</f>
        <v/>
      </c>
      <c r="B881" s="3">
        <f>IF(D881="","",IF(V881=0,"CONCLUÍDO",IF(D881&lt;corte,"HISTÓRICO",IF(OR(AND(ISNUMBER(R881),R881&lt;TODAY()),AND(OR(N881="PENDENTE",N881="PARCIAL"),D881&lt;TODAY()-1)),"CRÍTICO",IF(OR(AND(P881&lt;&gt;"",S881=""),AND(N881="REALIZADO",M881="PENDENTE"),AND(ISNUMBER(R881),R881=TODAY())),"ATENÇÃO",IF(N(K881)=0,"PENDENTE","EM ANDAMENTO"))))))</f>
        <v/>
      </c>
      <c r="C881" s="3">
        <f>IF(D881="","",IF(V881=0,"🟢 OK",IF(D881&lt;corte,"⚪ HISTÓRICO (sem baixa)",IF(AND(ISNUMBER(R881),R881&lt;TODAY()),"🔴 PRAZO VENCIDO",IF(AND(OR(N881="PENDENTE",N881="PARCIAL"),D881&lt;TODAY()-1),"🔴 EMBARQUE ATRASADO",IF(AND(N881="REALIZADO",M881="PENDENTE"),"🟡 EMBARCADO SEM FATURAR",IF(AND(P881&lt;&gt;"",S881="",OR(Q881="",R881="")),"🟡 PENDÊNCIA SEM RESPONSÁVEL/PRAZO",IF(AND(ISNUMBER(R881),R881=TODAY()),"🟡 VENCE HOJE",IF(AND(P881&lt;&gt;"",S881=""),"🟡 PENDÊNCIA ABERTA",IF(AND(N(J881)&gt;0,N(K881)&lt;J881),"🟡 FALTA EXECUTAR",IF(OR(M881="PENDENTE",M881="PARCIAL"),"🟡 FATURAMENTO PENDENTE","🟡 EMBARQUE PENDENTE")))))))))))</f>
        <v/>
      </c>
      <c r="D881" s="4" t="n"/>
      <c r="E881" s="5" t="n"/>
      <c r="F881" s="5" t="n"/>
      <c r="G881" s="5" t="n"/>
      <c r="H881" s="5" t="n"/>
      <c r="I881" s="5" t="n"/>
      <c r="J881" s="6" t="n"/>
      <c r="K881" s="6" t="n"/>
      <c r="L881" s="7">
        <f>IF(OR(D881="",N(J881)=0),"",MIN(1,N(K881)/J881))</f>
        <v/>
      </c>
      <c r="M881" s="5" t="n"/>
      <c r="N881" s="5" t="n"/>
      <c r="O881" s="5" t="n"/>
      <c r="P881" s="5" t="n"/>
      <c r="Q881" s="5" t="n"/>
      <c r="R881" s="4" t="n"/>
      <c r="S881" s="4" t="n"/>
      <c r="T881" s="5" t="n"/>
      <c r="U881" s="8">
        <f>IF(AND(V881=1,D881&lt;&gt;""),IF(D881&gt;=corte,TODAY()-D881,""),"")</f>
        <v/>
      </c>
      <c r="V881" s="8">
        <f>IF(D881="",0,IF(OR(AND(P881&lt;&gt;"",S881=""),AND(N(J881)&gt;0,N(K881)&lt;J881),OR(M881="PENDENTE",M881="PARCIAL"),OR(N881="PENDENTE",N881="PARCIAL")),1,0))</f>
        <v/>
      </c>
      <c r="W881" s="8">
        <f>IF(AND(V881=1,D881&lt;&gt;""),IF(D881&gt;=corte,(B881="CRÍTICO")*1E9+(100000-D881)*10000+10000-ROW(),""),"")</f>
        <v/>
      </c>
      <c r="X881" s="8">
        <f>IF(AND(V881=1,D881=pas_data,E881=pas_turno),10000-ROW(),"")</f>
        <v/>
      </c>
    </row>
    <row r="882">
      <c r="A882" s="3">
        <f>IF(D882="","","TT-"&amp;TEXT(ROW()-1,"00000"))</f>
        <v/>
      </c>
      <c r="B882" s="3">
        <f>IF(D882="","",IF(V882=0,"CONCLUÍDO",IF(D882&lt;corte,"HISTÓRICO",IF(OR(AND(ISNUMBER(R882),R882&lt;TODAY()),AND(OR(N882="PENDENTE",N882="PARCIAL"),D882&lt;TODAY()-1)),"CRÍTICO",IF(OR(AND(P882&lt;&gt;"",S882=""),AND(N882="REALIZADO",M882="PENDENTE"),AND(ISNUMBER(R882),R882=TODAY())),"ATENÇÃO",IF(N(K882)=0,"PENDENTE","EM ANDAMENTO"))))))</f>
        <v/>
      </c>
      <c r="C882" s="3">
        <f>IF(D882="","",IF(V882=0,"🟢 OK",IF(D882&lt;corte,"⚪ HISTÓRICO (sem baixa)",IF(AND(ISNUMBER(R882),R882&lt;TODAY()),"🔴 PRAZO VENCIDO",IF(AND(OR(N882="PENDENTE",N882="PARCIAL"),D882&lt;TODAY()-1),"🔴 EMBARQUE ATRASADO",IF(AND(N882="REALIZADO",M882="PENDENTE"),"🟡 EMBARCADO SEM FATURAR",IF(AND(P882&lt;&gt;"",S882="",OR(Q882="",R882="")),"🟡 PENDÊNCIA SEM RESPONSÁVEL/PRAZO",IF(AND(ISNUMBER(R882),R882=TODAY()),"🟡 VENCE HOJE",IF(AND(P882&lt;&gt;"",S882=""),"🟡 PENDÊNCIA ABERTA",IF(AND(N(J882)&gt;0,N(K882)&lt;J882),"🟡 FALTA EXECUTAR",IF(OR(M882="PENDENTE",M882="PARCIAL"),"🟡 FATURAMENTO PENDENTE","🟡 EMBARQUE PENDENTE")))))))))))</f>
        <v/>
      </c>
      <c r="D882" s="4" t="n"/>
      <c r="E882" s="5" t="n"/>
      <c r="F882" s="5" t="n"/>
      <c r="G882" s="5" t="n"/>
      <c r="H882" s="5" t="n"/>
      <c r="I882" s="5" t="n"/>
      <c r="J882" s="6" t="n"/>
      <c r="K882" s="6" t="n"/>
      <c r="L882" s="7">
        <f>IF(OR(D882="",N(J882)=0),"",MIN(1,N(K882)/J882))</f>
        <v/>
      </c>
      <c r="M882" s="5" t="n"/>
      <c r="N882" s="5" t="n"/>
      <c r="O882" s="5" t="n"/>
      <c r="P882" s="5" t="n"/>
      <c r="Q882" s="5" t="n"/>
      <c r="R882" s="4" t="n"/>
      <c r="S882" s="4" t="n"/>
      <c r="T882" s="5" t="n"/>
      <c r="U882" s="8">
        <f>IF(AND(V882=1,D882&lt;&gt;""),IF(D882&gt;=corte,TODAY()-D882,""),"")</f>
        <v/>
      </c>
      <c r="V882" s="8">
        <f>IF(D882="",0,IF(OR(AND(P882&lt;&gt;"",S882=""),AND(N(J882)&gt;0,N(K882)&lt;J882),OR(M882="PENDENTE",M882="PARCIAL"),OR(N882="PENDENTE",N882="PARCIAL")),1,0))</f>
        <v/>
      </c>
      <c r="W882" s="8">
        <f>IF(AND(V882=1,D882&lt;&gt;""),IF(D882&gt;=corte,(B882="CRÍTICO")*1E9+(100000-D882)*10000+10000-ROW(),""),"")</f>
        <v/>
      </c>
      <c r="X882" s="8">
        <f>IF(AND(V882=1,D882=pas_data,E882=pas_turno),10000-ROW(),"")</f>
        <v/>
      </c>
    </row>
    <row r="883">
      <c r="A883" s="3">
        <f>IF(D883="","","TT-"&amp;TEXT(ROW()-1,"00000"))</f>
        <v/>
      </c>
      <c r="B883" s="3">
        <f>IF(D883="","",IF(V883=0,"CONCLUÍDO",IF(D883&lt;corte,"HISTÓRICO",IF(OR(AND(ISNUMBER(R883),R883&lt;TODAY()),AND(OR(N883="PENDENTE",N883="PARCIAL"),D883&lt;TODAY()-1)),"CRÍTICO",IF(OR(AND(P883&lt;&gt;"",S883=""),AND(N883="REALIZADO",M883="PENDENTE"),AND(ISNUMBER(R883),R883=TODAY())),"ATENÇÃO",IF(N(K883)=0,"PENDENTE","EM ANDAMENTO"))))))</f>
        <v/>
      </c>
      <c r="C883" s="3">
        <f>IF(D883="","",IF(V883=0,"🟢 OK",IF(D883&lt;corte,"⚪ HISTÓRICO (sem baixa)",IF(AND(ISNUMBER(R883),R883&lt;TODAY()),"🔴 PRAZO VENCIDO",IF(AND(OR(N883="PENDENTE",N883="PARCIAL"),D883&lt;TODAY()-1),"🔴 EMBARQUE ATRASADO",IF(AND(N883="REALIZADO",M883="PENDENTE"),"🟡 EMBARCADO SEM FATURAR",IF(AND(P883&lt;&gt;"",S883="",OR(Q883="",R883="")),"🟡 PENDÊNCIA SEM RESPONSÁVEL/PRAZO",IF(AND(ISNUMBER(R883),R883=TODAY()),"🟡 VENCE HOJE",IF(AND(P883&lt;&gt;"",S883=""),"🟡 PENDÊNCIA ABERTA",IF(AND(N(J883)&gt;0,N(K883)&lt;J883),"🟡 FALTA EXECUTAR",IF(OR(M883="PENDENTE",M883="PARCIAL"),"🟡 FATURAMENTO PENDENTE","🟡 EMBARQUE PENDENTE")))))))))))</f>
        <v/>
      </c>
      <c r="D883" s="4" t="n"/>
      <c r="E883" s="5" t="n"/>
      <c r="F883" s="5" t="n"/>
      <c r="G883" s="5" t="n"/>
      <c r="H883" s="5" t="n"/>
      <c r="I883" s="5" t="n"/>
      <c r="J883" s="6" t="n"/>
      <c r="K883" s="6" t="n"/>
      <c r="L883" s="7">
        <f>IF(OR(D883="",N(J883)=0),"",MIN(1,N(K883)/J883))</f>
        <v/>
      </c>
      <c r="M883" s="5" t="n"/>
      <c r="N883" s="5" t="n"/>
      <c r="O883" s="5" t="n"/>
      <c r="P883" s="5" t="n"/>
      <c r="Q883" s="5" t="n"/>
      <c r="R883" s="4" t="n"/>
      <c r="S883" s="4" t="n"/>
      <c r="T883" s="5" t="n"/>
      <c r="U883" s="8">
        <f>IF(AND(V883=1,D883&lt;&gt;""),IF(D883&gt;=corte,TODAY()-D883,""),"")</f>
        <v/>
      </c>
      <c r="V883" s="8">
        <f>IF(D883="",0,IF(OR(AND(P883&lt;&gt;"",S883=""),AND(N(J883)&gt;0,N(K883)&lt;J883),OR(M883="PENDENTE",M883="PARCIAL"),OR(N883="PENDENTE",N883="PARCIAL")),1,0))</f>
        <v/>
      </c>
      <c r="W883" s="8">
        <f>IF(AND(V883=1,D883&lt;&gt;""),IF(D883&gt;=corte,(B883="CRÍTICO")*1E9+(100000-D883)*10000+10000-ROW(),""),"")</f>
        <v/>
      </c>
      <c r="X883" s="8">
        <f>IF(AND(V883=1,D883=pas_data,E883=pas_turno),10000-ROW(),"")</f>
        <v/>
      </c>
    </row>
    <row r="884">
      <c r="A884" s="3">
        <f>IF(D884="","","TT-"&amp;TEXT(ROW()-1,"00000"))</f>
        <v/>
      </c>
      <c r="B884" s="3">
        <f>IF(D884="","",IF(V884=0,"CONCLUÍDO",IF(D884&lt;corte,"HISTÓRICO",IF(OR(AND(ISNUMBER(R884),R884&lt;TODAY()),AND(OR(N884="PENDENTE",N884="PARCIAL"),D884&lt;TODAY()-1)),"CRÍTICO",IF(OR(AND(P884&lt;&gt;"",S884=""),AND(N884="REALIZADO",M884="PENDENTE"),AND(ISNUMBER(R884),R884=TODAY())),"ATENÇÃO",IF(N(K884)=0,"PENDENTE","EM ANDAMENTO"))))))</f>
        <v/>
      </c>
      <c r="C884" s="3">
        <f>IF(D884="","",IF(V884=0,"🟢 OK",IF(D884&lt;corte,"⚪ HISTÓRICO (sem baixa)",IF(AND(ISNUMBER(R884),R884&lt;TODAY()),"🔴 PRAZO VENCIDO",IF(AND(OR(N884="PENDENTE",N884="PARCIAL"),D884&lt;TODAY()-1),"🔴 EMBARQUE ATRASADO",IF(AND(N884="REALIZADO",M884="PENDENTE"),"🟡 EMBARCADO SEM FATURAR",IF(AND(P884&lt;&gt;"",S884="",OR(Q884="",R884="")),"🟡 PENDÊNCIA SEM RESPONSÁVEL/PRAZO",IF(AND(ISNUMBER(R884),R884=TODAY()),"🟡 VENCE HOJE",IF(AND(P884&lt;&gt;"",S884=""),"🟡 PENDÊNCIA ABERTA",IF(AND(N(J884)&gt;0,N(K884)&lt;J884),"🟡 FALTA EXECUTAR",IF(OR(M884="PENDENTE",M884="PARCIAL"),"🟡 FATURAMENTO PENDENTE","🟡 EMBARQUE PENDENTE")))))))))))</f>
        <v/>
      </c>
      <c r="D884" s="4" t="n"/>
      <c r="E884" s="5" t="n"/>
      <c r="F884" s="5" t="n"/>
      <c r="G884" s="5" t="n"/>
      <c r="H884" s="5" t="n"/>
      <c r="I884" s="5" t="n"/>
      <c r="J884" s="6" t="n"/>
      <c r="K884" s="6" t="n"/>
      <c r="L884" s="7">
        <f>IF(OR(D884="",N(J884)=0),"",MIN(1,N(K884)/J884))</f>
        <v/>
      </c>
      <c r="M884" s="5" t="n"/>
      <c r="N884" s="5" t="n"/>
      <c r="O884" s="5" t="n"/>
      <c r="P884" s="5" t="n"/>
      <c r="Q884" s="5" t="n"/>
      <c r="R884" s="4" t="n"/>
      <c r="S884" s="4" t="n"/>
      <c r="T884" s="5" t="n"/>
      <c r="U884" s="8">
        <f>IF(AND(V884=1,D884&lt;&gt;""),IF(D884&gt;=corte,TODAY()-D884,""),"")</f>
        <v/>
      </c>
      <c r="V884" s="8">
        <f>IF(D884="",0,IF(OR(AND(P884&lt;&gt;"",S884=""),AND(N(J884)&gt;0,N(K884)&lt;J884),OR(M884="PENDENTE",M884="PARCIAL"),OR(N884="PENDENTE",N884="PARCIAL")),1,0))</f>
        <v/>
      </c>
      <c r="W884" s="8">
        <f>IF(AND(V884=1,D884&lt;&gt;""),IF(D884&gt;=corte,(B884="CRÍTICO")*1E9+(100000-D884)*10000+10000-ROW(),""),"")</f>
        <v/>
      </c>
      <c r="X884" s="8">
        <f>IF(AND(V884=1,D884=pas_data,E884=pas_turno),10000-ROW(),"")</f>
        <v/>
      </c>
    </row>
    <row r="885">
      <c r="A885" s="3">
        <f>IF(D885="","","TT-"&amp;TEXT(ROW()-1,"00000"))</f>
        <v/>
      </c>
      <c r="B885" s="3">
        <f>IF(D885="","",IF(V885=0,"CONCLUÍDO",IF(D885&lt;corte,"HISTÓRICO",IF(OR(AND(ISNUMBER(R885),R885&lt;TODAY()),AND(OR(N885="PENDENTE",N885="PARCIAL"),D885&lt;TODAY()-1)),"CRÍTICO",IF(OR(AND(P885&lt;&gt;"",S885=""),AND(N885="REALIZADO",M885="PENDENTE"),AND(ISNUMBER(R885),R885=TODAY())),"ATENÇÃO",IF(N(K885)=0,"PENDENTE","EM ANDAMENTO"))))))</f>
        <v/>
      </c>
      <c r="C885" s="3">
        <f>IF(D885="","",IF(V885=0,"🟢 OK",IF(D885&lt;corte,"⚪ HISTÓRICO (sem baixa)",IF(AND(ISNUMBER(R885),R885&lt;TODAY()),"🔴 PRAZO VENCIDO",IF(AND(OR(N885="PENDENTE",N885="PARCIAL"),D885&lt;TODAY()-1),"🔴 EMBARQUE ATRASADO",IF(AND(N885="REALIZADO",M885="PENDENTE"),"🟡 EMBARCADO SEM FATURAR",IF(AND(P885&lt;&gt;"",S885="",OR(Q885="",R885="")),"🟡 PENDÊNCIA SEM RESPONSÁVEL/PRAZO",IF(AND(ISNUMBER(R885),R885=TODAY()),"🟡 VENCE HOJE",IF(AND(P885&lt;&gt;"",S885=""),"🟡 PENDÊNCIA ABERTA",IF(AND(N(J885)&gt;0,N(K885)&lt;J885),"🟡 FALTA EXECUTAR",IF(OR(M885="PENDENTE",M885="PARCIAL"),"🟡 FATURAMENTO PENDENTE","🟡 EMBARQUE PENDENTE")))))))))))</f>
        <v/>
      </c>
      <c r="D885" s="4" t="n"/>
      <c r="E885" s="5" t="n"/>
      <c r="F885" s="5" t="n"/>
      <c r="G885" s="5" t="n"/>
      <c r="H885" s="5" t="n"/>
      <c r="I885" s="5" t="n"/>
      <c r="J885" s="6" t="n"/>
      <c r="K885" s="6" t="n"/>
      <c r="L885" s="7">
        <f>IF(OR(D885="",N(J885)=0),"",MIN(1,N(K885)/J885))</f>
        <v/>
      </c>
      <c r="M885" s="5" t="n"/>
      <c r="N885" s="5" t="n"/>
      <c r="O885" s="5" t="n"/>
      <c r="P885" s="5" t="n"/>
      <c r="Q885" s="5" t="n"/>
      <c r="R885" s="4" t="n"/>
      <c r="S885" s="4" t="n"/>
      <c r="T885" s="5" t="n"/>
      <c r="U885" s="8">
        <f>IF(AND(V885=1,D885&lt;&gt;""),IF(D885&gt;=corte,TODAY()-D885,""),"")</f>
        <v/>
      </c>
      <c r="V885" s="8">
        <f>IF(D885="",0,IF(OR(AND(P885&lt;&gt;"",S885=""),AND(N(J885)&gt;0,N(K885)&lt;J885),OR(M885="PENDENTE",M885="PARCIAL"),OR(N885="PENDENTE",N885="PARCIAL")),1,0))</f>
        <v/>
      </c>
      <c r="W885" s="8">
        <f>IF(AND(V885=1,D885&lt;&gt;""),IF(D885&gt;=corte,(B885="CRÍTICO")*1E9+(100000-D885)*10000+10000-ROW(),""),"")</f>
        <v/>
      </c>
      <c r="X885" s="8">
        <f>IF(AND(V885=1,D885=pas_data,E885=pas_turno),10000-ROW(),"")</f>
        <v/>
      </c>
    </row>
    <row r="886">
      <c r="A886" s="3">
        <f>IF(D886="","","TT-"&amp;TEXT(ROW()-1,"00000"))</f>
        <v/>
      </c>
      <c r="B886" s="3">
        <f>IF(D886="","",IF(V886=0,"CONCLUÍDO",IF(D886&lt;corte,"HISTÓRICO",IF(OR(AND(ISNUMBER(R886),R886&lt;TODAY()),AND(OR(N886="PENDENTE",N886="PARCIAL"),D886&lt;TODAY()-1)),"CRÍTICO",IF(OR(AND(P886&lt;&gt;"",S886=""),AND(N886="REALIZADO",M886="PENDENTE"),AND(ISNUMBER(R886),R886=TODAY())),"ATENÇÃO",IF(N(K886)=0,"PENDENTE","EM ANDAMENTO"))))))</f>
        <v/>
      </c>
      <c r="C886" s="3">
        <f>IF(D886="","",IF(V886=0,"🟢 OK",IF(D886&lt;corte,"⚪ HISTÓRICO (sem baixa)",IF(AND(ISNUMBER(R886),R886&lt;TODAY()),"🔴 PRAZO VENCIDO",IF(AND(OR(N886="PENDENTE",N886="PARCIAL"),D886&lt;TODAY()-1),"🔴 EMBARQUE ATRASADO",IF(AND(N886="REALIZADO",M886="PENDENTE"),"🟡 EMBARCADO SEM FATURAR",IF(AND(P886&lt;&gt;"",S886="",OR(Q886="",R886="")),"🟡 PENDÊNCIA SEM RESPONSÁVEL/PRAZO",IF(AND(ISNUMBER(R886),R886=TODAY()),"🟡 VENCE HOJE",IF(AND(P886&lt;&gt;"",S886=""),"🟡 PENDÊNCIA ABERTA",IF(AND(N(J886)&gt;0,N(K886)&lt;J886),"🟡 FALTA EXECUTAR",IF(OR(M886="PENDENTE",M886="PARCIAL"),"🟡 FATURAMENTO PENDENTE","🟡 EMBARQUE PENDENTE")))))))))))</f>
        <v/>
      </c>
      <c r="D886" s="4" t="n"/>
      <c r="E886" s="5" t="n"/>
      <c r="F886" s="5" t="n"/>
      <c r="G886" s="5" t="n"/>
      <c r="H886" s="5" t="n"/>
      <c r="I886" s="5" t="n"/>
      <c r="J886" s="6" t="n"/>
      <c r="K886" s="6" t="n"/>
      <c r="L886" s="7">
        <f>IF(OR(D886="",N(J886)=0),"",MIN(1,N(K886)/J886))</f>
        <v/>
      </c>
      <c r="M886" s="5" t="n"/>
      <c r="N886" s="5" t="n"/>
      <c r="O886" s="5" t="n"/>
      <c r="P886" s="5" t="n"/>
      <c r="Q886" s="5" t="n"/>
      <c r="R886" s="4" t="n"/>
      <c r="S886" s="4" t="n"/>
      <c r="T886" s="5" t="n"/>
      <c r="U886" s="8">
        <f>IF(AND(V886=1,D886&lt;&gt;""),IF(D886&gt;=corte,TODAY()-D886,""),"")</f>
        <v/>
      </c>
      <c r="V886" s="8">
        <f>IF(D886="",0,IF(OR(AND(P886&lt;&gt;"",S886=""),AND(N(J886)&gt;0,N(K886)&lt;J886),OR(M886="PENDENTE",M886="PARCIAL"),OR(N886="PENDENTE",N886="PARCIAL")),1,0))</f>
        <v/>
      </c>
      <c r="W886" s="8">
        <f>IF(AND(V886=1,D886&lt;&gt;""),IF(D886&gt;=corte,(B886="CRÍTICO")*1E9+(100000-D886)*10000+10000-ROW(),""),"")</f>
        <v/>
      </c>
      <c r="X886" s="8">
        <f>IF(AND(V886=1,D886=pas_data,E886=pas_turno),10000-ROW(),"")</f>
        <v/>
      </c>
    </row>
    <row r="887">
      <c r="A887" s="3">
        <f>IF(D887="","","TT-"&amp;TEXT(ROW()-1,"00000"))</f>
        <v/>
      </c>
      <c r="B887" s="3">
        <f>IF(D887="","",IF(V887=0,"CONCLUÍDO",IF(D887&lt;corte,"HISTÓRICO",IF(OR(AND(ISNUMBER(R887),R887&lt;TODAY()),AND(OR(N887="PENDENTE",N887="PARCIAL"),D887&lt;TODAY()-1)),"CRÍTICO",IF(OR(AND(P887&lt;&gt;"",S887=""),AND(N887="REALIZADO",M887="PENDENTE"),AND(ISNUMBER(R887),R887=TODAY())),"ATENÇÃO",IF(N(K887)=0,"PENDENTE","EM ANDAMENTO"))))))</f>
        <v/>
      </c>
      <c r="C887" s="3">
        <f>IF(D887="","",IF(V887=0,"🟢 OK",IF(D887&lt;corte,"⚪ HISTÓRICO (sem baixa)",IF(AND(ISNUMBER(R887),R887&lt;TODAY()),"🔴 PRAZO VENCIDO",IF(AND(OR(N887="PENDENTE",N887="PARCIAL"),D887&lt;TODAY()-1),"🔴 EMBARQUE ATRASADO",IF(AND(N887="REALIZADO",M887="PENDENTE"),"🟡 EMBARCADO SEM FATURAR",IF(AND(P887&lt;&gt;"",S887="",OR(Q887="",R887="")),"🟡 PENDÊNCIA SEM RESPONSÁVEL/PRAZO",IF(AND(ISNUMBER(R887),R887=TODAY()),"🟡 VENCE HOJE",IF(AND(P887&lt;&gt;"",S887=""),"🟡 PENDÊNCIA ABERTA",IF(AND(N(J887)&gt;0,N(K887)&lt;J887),"🟡 FALTA EXECUTAR",IF(OR(M887="PENDENTE",M887="PARCIAL"),"🟡 FATURAMENTO PENDENTE","🟡 EMBARQUE PENDENTE")))))))))))</f>
        <v/>
      </c>
      <c r="D887" s="4" t="n"/>
      <c r="E887" s="5" t="n"/>
      <c r="F887" s="5" t="n"/>
      <c r="G887" s="5" t="n"/>
      <c r="H887" s="5" t="n"/>
      <c r="I887" s="5" t="n"/>
      <c r="J887" s="6" t="n"/>
      <c r="K887" s="6" t="n"/>
      <c r="L887" s="7">
        <f>IF(OR(D887="",N(J887)=0),"",MIN(1,N(K887)/J887))</f>
        <v/>
      </c>
      <c r="M887" s="5" t="n"/>
      <c r="N887" s="5" t="n"/>
      <c r="O887" s="5" t="n"/>
      <c r="P887" s="5" t="n"/>
      <c r="Q887" s="5" t="n"/>
      <c r="R887" s="4" t="n"/>
      <c r="S887" s="4" t="n"/>
      <c r="T887" s="5" t="n"/>
      <c r="U887" s="8">
        <f>IF(AND(V887=1,D887&lt;&gt;""),IF(D887&gt;=corte,TODAY()-D887,""),"")</f>
        <v/>
      </c>
      <c r="V887" s="8">
        <f>IF(D887="",0,IF(OR(AND(P887&lt;&gt;"",S887=""),AND(N(J887)&gt;0,N(K887)&lt;J887),OR(M887="PENDENTE",M887="PARCIAL"),OR(N887="PENDENTE",N887="PARCIAL")),1,0))</f>
        <v/>
      </c>
      <c r="W887" s="8">
        <f>IF(AND(V887=1,D887&lt;&gt;""),IF(D887&gt;=corte,(B887="CRÍTICO")*1E9+(100000-D887)*10000+10000-ROW(),""),"")</f>
        <v/>
      </c>
      <c r="X887" s="8">
        <f>IF(AND(V887=1,D887=pas_data,E887=pas_turno),10000-ROW(),"")</f>
        <v/>
      </c>
    </row>
    <row r="888">
      <c r="A888" s="3">
        <f>IF(D888="","","TT-"&amp;TEXT(ROW()-1,"00000"))</f>
        <v/>
      </c>
      <c r="B888" s="3">
        <f>IF(D888="","",IF(V888=0,"CONCLUÍDO",IF(D888&lt;corte,"HISTÓRICO",IF(OR(AND(ISNUMBER(R888),R888&lt;TODAY()),AND(OR(N888="PENDENTE",N888="PARCIAL"),D888&lt;TODAY()-1)),"CRÍTICO",IF(OR(AND(P888&lt;&gt;"",S888=""),AND(N888="REALIZADO",M888="PENDENTE"),AND(ISNUMBER(R888),R888=TODAY())),"ATENÇÃO",IF(N(K888)=0,"PENDENTE","EM ANDAMENTO"))))))</f>
        <v/>
      </c>
      <c r="C888" s="3">
        <f>IF(D888="","",IF(V888=0,"🟢 OK",IF(D888&lt;corte,"⚪ HISTÓRICO (sem baixa)",IF(AND(ISNUMBER(R888),R888&lt;TODAY()),"🔴 PRAZO VENCIDO",IF(AND(OR(N888="PENDENTE",N888="PARCIAL"),D888&lt;TODAY()-1),"🔴 EMBARQUE ATRASADO",IF(AND(N888="REALIZADO",M888="PENDENTE"),"🟡 EMBARCADO SEM FATURAR",IF(AND(P888&lt;&gt;"",S888="",OR(Q888="",R888="")),"🟡 PENDÊNCIA SEM RESPONSÁVEL/PRAZO",IF(AND(ISNUMBER(R888),R888=TODAY()),"🟡 VENCE HOJE",IF(AND(P888&lt;&gt;"",S888=""),"🟡 PENDÊNCIA ABERTA",IF(AND(N(J888)&gt;0,N(K888)&lt;J888),"🟡 FALTA EXECUTAR",IF(OR(M888="PENDENTE",M888="PARCIAL"),"🟡 FATURAMENTO PENDENTE","🟡 EMBARQUE PENDENTE")))))))))))</f>
        <v/>
      </c>
      <c r="D888" s="4" t="n"/>
      <c r="E888" s="5" t="n"/>
      <c r="F888" s="5" t="n"/>
      <c r="G888" s="5" t="n"/>
      <c r="H888" s="5" t="n"/>
      <c r="I888" s="5" t="n"/>
      <c r="J888" s="6" t="n"/>
      <c r="K888" s="6" t="n"/>
      <c r="L888" s="7">
        <f>IF(OR(D888="",N(J888)=0),"",MIN(1,N(K888)/J888))</f>
        <v/>
      </c>
      <c r="M888" s="5" t="n"/>
      <c r="N888" s="5" t="n"/>
      <c r="O888" s="5" t="n"/>
      <c r="P888" s="5" t="n"/>
      <c r="Q888" s="5" t="n"/>
      <c r="R888" s="4" t="n"/>
      <c r="S888" s="4" t="n"/>
      <c r="T888" s="5" t="n"/>
      <c r="U888" s="8">
        <f>IF(AND(V888=1,D888&lt;&gt;""),IF(D888&gt;=corte,TODAY()-D888,""),"")</f>
        <v/>
      </c>
      <c r="V888" s="8">
        <f>IF(D888="",0,IF(OR(AND(P888&lt;&gt;"",S888=""),AND(N(J888)&gt;0,N(K888)&lt;J888),OR(M888="PENDENTE",M888="PARCIAL"),OR(N888="PENDENTE",N888="PARCIAL")),1,0))</f>
        <v/>
      </c>
      <c r="W888" s="8">
        <f>IF(AND(V888=1,D888&lt;&gt;""),IF(D888&gt;=corte,(B888="CRÍTICO")*1E9+(100000-D888)*10000+10000-ROW(),""),"")</f>
        <v/>
      </c>
      <c r="X888" s="8">
        <f>IF(AND(V888=1,D888=pas_data,E888=pas_turno),10000-ROW(),"")</f>
        <v/>
      </c>
    </row>
    <row r="889">
      <c r="A889" s="3">
        <f>IF(D889="","","TT-"&amp;TEXT(ROW()-1,"00000"))</f>
        <v/>
      </c>
      <c r="B889" s="3">
        <f>IF(D889="","",IF(V889=0,"CONCLUÍDO",IF(D889&lt;corte,"HISTÓRICO",IF(OR(AND(ISNUMBER(R889),R889&lt;TODAY()),AND(OR(N889="PENDENTE",N889="PARCIAL"),D889&lt;TODAY()-1)),"CRÍTICO",IF(OR(AND(P889&lt;&gt;"",S889=""),AND(N889="REALIZADO",M889="PENDENTE"),AND(ISNUMBER(R889),R889=TODAY())),"ATENÇÃO",IF(N(K889)=0,"PENDENTE","EM ANDAMENTO"))))))</f>
        <v/>
      </c>
      <c r="C889" s="3">
        <f>IF(D889="","",IF(V889=0,"🟢 OK",IF(D889&lt;corte,"⚪ HISTÓRICO (sem baixa)",IF(AND(ISNUMBER(R889),R889&lt;TODAY()),"🔴 PRAZO VENCIDO",IF(AND(OR(N889="PENDENTE",N889="PARCIAL"),D889&lt;TODAY()-1),"🔴 EMBARQUE ATRASADO",IF(AND(N889="REALIZADO",M889="PENDENTE"),"🟡 EMBARCADO SEM FATURAR",IF(AND(P889&lt;&gt;"",S889="",OR(Q889="",R889="")),"🟡 PENDÊNCIA SEM RESPONSÁVEL/PRAZO",IF(AND(ISNUMBER(R889),R889=TODAY()),"🟡 VENCE HOJE",IF(AND(P889&lt;&gt;"",S889=""),"🟡 PENDÊNCIA ABERTA",IF(AND(N(J889)&gt;0,N(K889)&lt;J889),"🟡 FALTA EXECUTAR",IF(OR(M889="PENDENTE",M889="PARCIAL"),"🟡 FATURAMENTO PENDENTE","🟡 EMBARQUE PENDENTE")))))))))))</f>
        <v/>
      </c>
      <c r="D889" s="4" t="n"/>
      <c r="E889" s="5" t="n"/>
      <c r="F889" s="5" t="n"/>
      <c r="G889" s="5" t="n"/>
      <c r="H889" s="5" t="n"/>
      <c r="I889" s="5" t="n"/>
      <c r="J889" s="6" t="n"/>
      <c r="K889" s="6" t="n"/>
      <c r="L889" s="7">
        <f>IF(OR(D889="",N(J889)=0),"",MIN(1,N(K889)/J889))</f>
        <v/>
      </c>
      <c r="M889" s="5" t="n"/>
      <c r="N889" s="5" t="n"/>
      <c r="O889" s="5" t="n"/>
      <c r="P889" s="5" t="n"/>
      <c r="Q889" s="5" t="n"/>
      <c r="R889" s="4" t="n"/>
      <c r="S889" s="4" t="n"/>
      <c r="T889" s="5" t="n"/>
      <c r="U889" s="8">
        <f>IF(AND(V889=1,D889&lt;&gt;""),IF(D889&gt;=corte,TODAY()-D889,""),"")</f>
        <v/>
      </c>
      <c r="V889" s="8">
        <f>IF(D889="",0,IF(OR(AND(P889&lt;&gt;"",S889=""),AND(N(J889)&gt;0,N(K889)&lt;J889),OR(M889="PENDENTE",M889="PARCIAL"),OR(N889="PENDENTE",N889="PARCIAL")),1,0))</f>
        <v/>
      </c>
      <c r="W889" s="8">
        <f>IF(AND(V889=1,D889&lt;&gt;""),IF(D889&gt;=corte,(B889="CRÍTICO")*1E9+(100000-D889)*10000+10000-ROW(),""),"")</f>
        <v/>
      </c>
      <c r="X889" s="8">
        <f>IF(AND(V889=1,D889=pas_data,E889=pas_turno),10000-ROW(),"")</f>
        <v/>
      </c>
    </row>
    <row r="890">
      <c r="A890" s="3">
        <f>IF(D890="","","TT-"&amp;TEXT(ROW()-1,"00000"))</f>
        <v/>
      </c>
      <c r="B890" s="3">
        <f>IF(D890="","",IF(V890=0,"CONCLUÍDO",IF(D890&lt;corte,"HISTÓRICO",IF(OR(AND(ISNUMBER(R890),R890&lt;TODAY()),AND(OR(N890="PENDENTE",N890="PARCIAL"),D890&lt;TODAY()-1)),"CRÍTICO",IF(OR(AND(P890&lt;&gt;"",S890=""),AND(N890="REALIZADO",M890="PENDENTE"),AND(ISNUMBER(R890),R890=TODAY())),"ATENÇÃO",IF(N(K890)=0,"PENDENTE","EM ANDAMENTO"))))))</f>
        <v/>
      </c>
      <c r="C890" s="3">
        <f>IF(D890="","",IF(V890=0,"🟢 OK",IF(D890&lt;corte,"⚪ HISTÓRICO (sem baixa)",IF(AND(ISNUMBER(R890),R890&lt;TODAY()),"🔴 PRAZO VENCIDO",IF(AND(OR(N890="PENDENTE",N890="PARCIAL"),D890&lt;TODAY()-1),"🔴 EMBARQUE ATRASADO",IF(AND(N890="REALIZADO",M890="PENDENTE"),"🟡 EMBARCADO SEM FATURAR",IF(AND(P890&lt;&gt;"",S890="",OR(Q890="",R890="")),"🟡 PENDÊNCIA SEM RESPONSÁVEL/PRAZO",IF(AND(ISNUMBER(R890),R890=TODAY()),"🟡 VENCE HOJE",IF(AND(P890&lt;&gt;"",S890=""),"🟡 PENDÊNCIA ABERTA",IF(AND(N(J890)&gt;0,N(K890)&lt;J890),"🟡 FALTA EXECUTAR",IF(OR(M890="PENDENTE",M890="PARCIAL"),"🟡 FATURAMENTO PENDENTE","🟡 EMBARQUE PENDENTE")))))))))))</f>
        <v/>
      </c>
      <c r="D890" s="4" t="n"/>
      <c r="E890" s="5" t="n"/>
      <c r="F890" s="5" t="n"/>
      <c r="G890" s="5" t="n"/>
      <c r="H890" s="5" t="n"/>
      <c r="I890" s="5" t="n"/>
      <c r="J890" s="6" t="n"/>
      <c r="K890" s="6" t="n"/>
      <c r="L890" s="7">
        <f>IF(OR(D890="",N(J890)=0),"",MIN(1,N(K890)/J890))</f>
        <v/>
      </c>
      <c r="M890" s="5" t="n"/>
      <c r="N890" s="5" t="n"/>
      <c r="O890" s="5" t="n"/>
      <c r="P890" s="5" t="n"/>
      <c r="Q890" s="5" t="n"/>
      <c r="R890" s="4" t="n"/>
      <c r="S890" s="4" t="n"/>
      <c r="T890" s="5" t="n"/>
      <c r="U890" s="8">
        <f>IF(AND(V890=1,D890&lt;&gt;""),IF(D890&gt;=corte,TODAY()-D890,""),"")</f>
        <v/>
      </c>
      <c r="V890" s="8">
        <f>IF(D890="",0,IF(OR(AND(P890&lt;&gt;"",S890=""),AND(N(J890)&gt;0,N(K890)&lt;J890),OR(M890="PENDENTE",M890="PARCIAL"),OR(N890="PENDENTE",N890="PARCIAL")),1,0))</f>
        <v/>
      </c>
      <c r="W890" s="8">
        <f>IF(AND(V890=1,D890&lt;&gt;""),IF(D890&gt;=corte,(B890="CRÍTICO")*1E9+(100000-D890)*10000+10000-ROW(),""),"")</f>
        <v/>
      </c>
      <c r="X890" s="8">
        <f>IF(AND(V890=1,D890=pas_data,E890=pas_turno),10000-ROW(),"")</f>
        <v/>
      </c>
    </row>
    <row r="891">
      <c r="A891" s="3">
        <f>IF(D891="","","TT-"&amp;TEXT(ROW()-1,"00000"))</f>
        <v/>
      </c>
      <c r="B891" s="3">
        <f>IF(D891="","",IF(V891=0,"CONCLUÍDO",IF(D891&lt;corte,"HISTÓRICO",IF(OR(AND(ISNUMBER(R891),R891&lt;TODAY()),AND(OR(N891="PENDENTE",N891="PARCIAL"),D891&lt;TODAY()-1)),"CRÍTICO",IF(OR(AND(P891&lt;&gt;"",S891=""),AND(N891="REALIZADO",M891="PENDENTE"),AND(ISNUMBER(R891),R891=TODAY())),"ATENÇÃO",IF(N(K891)=0,"PENDENTE","EM ANDAMENTO"))))))</f>
        <v/>
      </c>
      <c r="C891" s="3">
        <f>IF(D891="","",IF(V891=0,"🟢 OK",IF(D891&lt;corte,"⚪ HISTÓRICO (sem baixa)",IF(AND(ISNUMBER(R891),R891&lt;TODAY()),"🔴 PRAZO VENCIDO",IF(AND(OR(N891="PENDENTE",N891="PARCIAL"),D891&lt;TODAY()-1),"🔴 EMBARQUE ATRASADO",IF(AND(N891="REALIZADO",M891="PENDENTE"),"🟡 EMBARCADO SEM FATURAR",IF(AND(P891&lt;&gt;"",S891="",OR(Q891="",R891="")),"🟡 PENDÊNCIA SEM RESPONSÁVEL/PRAZO",IF(AND(ISNUMBER(R891),R891=TODAY()),"🟡 VENCE HOJE",IF(AND(P891&lt;&gt;"",S891=""),"🟡 PENDÊNCIA ABERTA",IF(AND(N(J891)&gt;0,N(K891)&lt;J891),"🟡 FALTA EXECUTAR",IF(OR(M891="PENDENTE",M891="PARCIAL"),"🟡 FATURAMENTO PENDENTE","🟡 EMBARQUE PENDENTE")))))))))))</f>
        <v/>
      </c>
      <c r="D891" s="4" t="n"/>
      <c r="E891" s="5" t="n"/>
      <c r="F891" s="5" t="n"/>
      <c r="G891" s="5" t="n"/>
      <c r="H891" s="5" t="n"/>
      <c r="I891" s="5" t="n"/>
      <c r="J891" s="6" t="n"/>
      <c r="K891" s="6" t="n"/>
      <c r="L891" s="7">
        <f>IF(OR(D891="",N(J891)=0),"",MIN(1,N(K891)/J891))</f>
        <v/>
      </c>
      <c r="M891" s="5" t="n"/>
      <c r="N891" s="5" t="n"/>
      <c r="O891" s="5" t="n"/>
      <c r="P891" s="5" t="n"/>
      <c r="Q891" s="5" t="n"/>
      <c r="R891" s="4" t="n"/>
      <c r="S891" s="4" t="n"/>
      <c r="T891" s="5" t="n"/>
      <c r="U891" s="8">
        <f>IF(AND(V891=1,D891&lt;&gt;""),IF(D891&gt;=corte,TODAY()-D891,""),"")</f>
        <v/>
      </c>
      <c r="V891" s="8">
        <f>IF(D891="",0,IF(OR(AND(P891&lt;&gt;"",S891=""),AND(N(J891)&gt;0,N(K891)&lt;J891),OR(M891="PENDENTE",M891="PARCIAL"),OR(N891="PENDENTE",N891="PARCIAL")),1,0))</f>
        <v/>
      </c>
      <c r="W891" s="8">
        <f>IF(AND(V891=1,D891&lt;&gt;""),IF(D891&gt;=corte,(B891="CRÍTICO")*1E9+(100000-D891)*10000+10000-ROW(),""),"")</f>
        <v/>
      </c>
      <c r="X891" s="8">
        <f>IF(AND(V891=1,D891=pas_data,E891=pas_turno),10000-ROW(),"")</f>
        <v/>
      </c>
    </row>
    <row r="892">
      <c r="A892" s="3">
        <f>IF(D892="","","TT-"&amp;TEXT(ROW()-1,"00000"))</f>
        <v/>
      </c>
      <c r="B892" s="3">
        <f>IF(D892="","",IF(V892=0,"CONCLUÍDO",IF(D892&lt;corte,"HISTÓRICO",IF(OR(AND(ISNUMBER(R892),R892&lt;TODAY()),AND(OR(N892="PENDENTE",N892="PARCIAL"),D892&lt;TODAY()-1)),"CRÍTICO",IF(OR(AND(P892&lt;&gt;"",S892=""),AND(N892="REALIZADO",M892="PENDENTE"),AND(ISNUMBER(R892),R892=TODAY())),"ATENÇÃO",IF(N(K892)=0,"PENDENTE","EM ANDAMENTO"))))))</f>
        <v/>
      </c>
      <c r="C892" s="3">
        <f>IF(D892="","",IF(V892=0,"🟢 OK",IF(D892&lt;corte,"⚪ HISTÓRICO (sem baixa)",IF(AND(ISNUMBER(R892),R892&lt;TODAY()),"🔴 PRAZO VENCIDO",IF(AND(OR(N892="PENDENTE",N892="PARCIAL"),D892&lt;TODAY()-1),"🔴 EMBARQUE ATRASADO",IF(AND(N892="REALIZADO",M892="PENDENTE"),"🟡 EMBARCADO SEM FATURAR",IF(AND(P892&lt;&gt;"",S892="",OR(Q892="",R892="")),"🟡 PENDÊNCIA SEM RESPONSÁVEL/PRAZO",IF(AND(ISNUMBER(R892),R892=TODAY()),"🟡 VENCE HOJE",IF(AND(P892&lt;&gt;"",S892=""),"🟡 PENDÊNCIA ABERTA",IF(AND(N(J892)&gt;0,N(K892)&lt;J892),"🟡 FALTA EXECUTAR",IF(OR(M892="PENDENTE",M892="PARCIAL"),"🟡 FATURAMENTO PENDENTE","🟡 EMBARQUE PENDENTE")))))))))))</f>
        <v/>
      </c>
      <c r="D892" s="4" t="n"/>
      <c r="E892" s="5" t="n"/>
      <c r="F892" s="5" t="n"/>
      <c r="G892" s="5" t="n"/>
      <c r="H892" s="5" t="n"/>
      <c r="I892" s="5" t="n"/>
      <c r="J892" s="6" t="n"/>
      <c r="K892" s="6" t="n"/>
      <c r="L892" s="7">
        <f>IF(OR(D892="",N(J892)=0),"",MIN(1,N(K892)/J892))</f>
        <v/>
      </c>
      <c r="M892" s="5" t="n"/>
      <c r="N892" s="5" t="n"/>
      <c r="O892" s="5" t="n"/>
      <c r="P892" s="5" t="n"/>
      <c r="Q892" s="5" t="n"/>
      <c r="R892" s="4" t="n"/>
      <c r="S892" s="4" t="n"/>
      <c r="T892" s="5" t="n"/>
      <c r="U892" s="8">
        <f>IF(AND(V892=1,D892&lt;&gt;""),IF(D892&gt;=corte,TODAY()-D892,""),"")</f>
        <v/>
      </c>
      <c r="V892" s="8">
        <f>IF(D892="",0,IF(OR(AND(P892&lt;&gt;"",S892=""),AND(N(J892)&gt;0,N(K892)&lt;J892),OR(M892="PENDENTE",M892="PARCIAL"),OR(N892="PENDENTE",N892="PARCIAL")),1,0))</f>
        <v/>
      </c>
      <c r="W892" s="8">
        <f>IF(AND(V892=1,D892&lt;&gt;""),IF(D892&gt;=corte,(B892="CRÍTICO")*1E9+(100000-D892)*10000+10000-ROW(),""),"")</f>
        <v/>
      </c>
      <c r="X892" s="8">
        <f>IF(AND(V892=1,D892=pas_data,E892=pas_turno),10000-ROW(),"")</f>
        <v/>
      </c>
    </row>
    <row r="893">
      <c r="A893" s="3">
        <f>IF(D893="","","TT-"&amp;TEXT(ROW()-1,"00000"))</f>
        <v/>
      </c>
      <c r="B893" s="3">
        <f>IF(D893="","",IF(V893=0,"CONCLUÍDO",IF(D893&lt;corte,"HISTÓRICO",IF(OR(AND(ISNUMBER(R893),R893&lt;TODAY()),AND(OR(N893="PENDENTE",N893="PARCIAL"),D893&lt;TODAY()-1)),"CRÍTICO",IF(OR(AND(P893&lt;&gt;"",S893=""),AND(N893="REALIZADO",M893="PENDENTE"),AND(ISNUMBER(R893),R893=TODAY())),"ATENÇÃO",IF(N(K893)=0,"PENDENTE","EM ANDAMENTO"))))))</f>
        <v/>
      </c>
      <c r="C893" s="3">
        <f>IF(D893="","",IF(V893=0,"🟢 OK",IF(D893&lt;corte,"⚪ HISTÓRICO (sem baixa)",IF(AND(ISNUMBER(R893),R893&lt;TODAY()),"🔴 PRAZO VENCIDO",IF(AND(OR(N893="PENDENTE",N893="PARCIAL"),D893&lt;TODAY()-1),"🔴 EMBARQUE ATRASADO",IF(AND(N893="REALIZADO",M893="PENDENTE"),"🟡 EMBARCADO SEM FATURAR",IF(AND(P893&lt;&gt;"",S893="",OR(Q893="",R893="")),"🟡 PENDÊNCIA SEM RESPONSÁVEL/PRAZO",IF(AND(ISNUMBER(R893),R893=TODAY()),"🟡 VENCE HOJE",IF(AND(P893&lt;&gt;"",S893=""),"🟡 PENDÊNCIA ABERTA",IF(AND(N(J893)&gt;0,N(K893)&lt;J893),"🟡 FALTA EXECUTAR",IF(OR(M893="PENDENTE",M893="PARCIAL"),"🟡 FATURAMENTO PENDENTE","🟡 EMBARQUE PENDENTE")))))))))))</f>
        <v/>
      </c>
      <c r="D893" s="4" t="n"/>
      <c r="E893" s="5" t="n"/>
      <c r="F893" s="5" t="n"/>
      <c r="G893" s="5" t="n"/>
      <c r="H893" s="5" t="n"/>
      <c r="I893" s="5" t="n"/>
      <c r="J893" s="6" t="n"/>
      <c r="K893" s="6" t="n"/>
      <c r="L893" s="7">
        <f>IF(OR(D893="",N(J893)=0),"",MIN(1,N(K893)/J893))</f>
        <v/>
      </c>
      <c r="M893" s="5" t="n"/>
      <c r="N893" s="5" t="n"/>
      <c r="O893" s="5" t="n"/>
      <c r="P893" s="5" t="n"/>
      <c r="Q893" s="5" t="n"/>
      <c r="R893" s="4" t="n"/>
      <c r="S893" s="4" t="n"/>
      <c r="T893" s="5" t="n"/>
      <c r="U893" s="8">
        <f>IF(AND(V893=1,D893&lt;&gt;""),IF(D893&gt;=corte,TODAY()-D893,""),"")</f>
        <v/>
      </c>
      <c r="V893" s="8">
        <f>IF(D893="",0,IF(OR(AND(P893&lt;&gt;"",S893=""),AND(N(J893)&gt;0,N(K893)&lt;J893),OR(M893="PENDENTE",M893="PARCIAL"),OR(N893="PENDENTE",N893="PARCIAL")),1,0))</f>
        <v/>
      </c>
      <c r="W893" s="8">
        <f>IF(AND(V893=1,D893&lt;&gt;""),IF(D893&gt;=corte,(B893="CRÍTICO")*1E9+(100000-D893)*10000+10000-ROW(),""),"")</f>
        <v/>
      </c>
      <c r="X893" s="8">
        <f>IF(AND(V893=1,D893=pas_data,E893=pas_turno),10000-ROW(),"")</f>
        <v/>
      </c>
    </row>
    <row r="894">
      <c r="A894" s="3">
        <f>IF(D894="","","TT-"&amp;TEXT(ROW()-1,"00000"))</f>
        <v/>
      </c>
      <c r="B894" s="3">
        <f>IF(D894="","",IF(V894=0,"CONCLUÍDO",IF(D894&lt;corte,"HISTÓRICO",IF(OR(AND(ISNUMBER(R894),R894&lt;TODAY()),AND(OR(N894="PENDENTE",N894="PARCIAL"),D894&lt;TODAY()-1)),"CRÍTICO",IF(OR(AND(P894&lt;&gt;"",S894=""),AND(N894="REALIZADO",M894="PENDENTE"),AND(ISNUMBER(R894),R894=TODAY())),"ATENÇÃO",IF(N(K894)=0,"PENDENTE","EM ANDAMENTO"))))))</f>
        <v/>
      </c>
      <c r="C894" s="3">
        <f>IF(D894="","",IF(V894=0,"🟢 OK",IF(D894&lt;corte,"⚪ HISTÓRICO (sem baixa)",IF(AND(ISNUMBER(R894),R894&lt;TODAY()),"🔴 PRAZO VENCIDO",IF(AND(OR(N894="PENDENTE",N894="PARCIAL"),D894&lt;TODAY()-1),"🔴 EMBARQUE ATRASADO",IF(AND(N894="REALIZADO",M894="PENDENTE"),"🟡 EMBARCADO SEM FATURAR",IF(AND(P894&lt;&gt;"",S894="",OR(Q894="",R894="")),"🟡 PENDÊNCIA SEM RESPONSÁVEL/PRAZO",IF(AND(ISNUMBER(R894),R894=TODAY()),"🟡 VENCE HOJE",IF(AND(P894&lt;&gt;"",S894=""),"🟡 PENDÊNCIA ABERTA",IF(AND(N(J894)&gt;0,N(K894)&lt;J894),"🟡 FALTA EXECUTAR",IF(OR(M894="PENDENTE",M894="PARCIAL"),"🟡 FATURAMENTO PENDENTE","🟡 EMBARQUE PENDENTE")))))))))))</f>
        <v/>
      </c>
      <c r="D894" s="4" t="n"/>
      <c r="E894" s="5" t="n"/>
      <c r="F894" s="5" t="n"/>
      <c r="G894" s="5" t="n"/>
      <c r="H894" s="5" t="n"/>
      <c r="I894" s="5" t="n"/>
      <c r="J894" s="6" t="n"/>
      <c r="K894" s="6" t="n"/>
      <c r="L894" s="7">
        <f>IF(OR(D894="",N(J894)=0),"",MIN(1,N(K894)/J894))</f>
        <v/>
      </c>
      <c r="M894" s="5" t="n"/>
      <c r="N894" s="5" t="n"/>
      <c r="O894" s="5" t="n"/>
      <c r="P894" s="5" t="n"/>
      <c r="Q894" s="5" t="n"/>
      <c r="R894" s="4" t="n"/>
      <c r="S894" s="4" t="n"/>
      <c r="T894" s="5" t="n"/>
      <c r="U894" s="8">
        <f>IF(AND(V894=1,D894&lt;&gt;""),IF(D894&gt;=corte,TODAY()-D894,""),"")</f>
        <v/>
      </c>
      <c r="V894" s="8">
        <f>IF(D894="",0,IF(OR(AND(P894&lt;&gt;"",S894=""),AND(N(J894)&gt;0,N(K894)&lt;J894),OR(M894="PENDENTE",M894="PARCIAL"),OR(N894="PENDENTE",N894="PARCIAL")),1,0))</f>
        <v/>
      </c>
      <c r="W894" s="8">
        <f>IF(AND(V894=1,D894&lt;&gt;""),IF(D894&gt;=corte,(B894="CRÍTICO")*1E9+(100000-D894)*10000+10000-ROW(),""),"")</f>
        <v/>
      </c>
      <c r="X894" s="8">
        <f>IF(AND(V894=1,D894=pas_data,E894=pas_turno),10000-ROW(),"")</f>
        <v/>
      </c>
    </row>
    <row r="895">
      <c r="A895" s="3">
        <f>IF(D895="","","TT-"&amp;TEXT(ROW()-1,"00000"))</f>
        <v/>
      </c>
      <c r="B895" s="3">
        <f>IF(D895="","",IF(V895=0,"CONCLUÍDO",IF(D895&lt;corte,"HISTÓRICO",IF(OR(AND(ISNUMBER(R895),R895&lt;TODAY()),AND(OR(N895="PENDENTE",N895="PARCIAL"),D895&lt;TODAY()-1)),"CRÍTICO",IF(OR(AND(P895&lt;&gt;"",S895=""),AND(N895="REALIZADO",M895="PENDENTE"),AND(ISNUMBER(R895),R895=TODAY())),"ATENÇÃO",IF(N(K895)=0,"PENDENTE","EM ANDAMENTO"))))))</f>
        <v/>
      </c>
      <c r="C895" s="3">
        <f>IF(D895="","",IF(V895=0,"🟢 OK",IF(D895&lt;corte,"⚪ HISTÓRICO (sem baixa)",IF(AND(ISNUMBER(R895),R895&lt;TODAY()),"🔴 PRAZO VENCIDO",IF(AND(OR(N895="PENDENTE",N895="PARCIAL"),D895&lt;TODAY()-1),"🔴 EMBARQUE ATRASADO",IF(AND(N895="REALIZADO",M895="PENDENTE"),"🟡 EMBARCADO SEM FATURAR",IF(AND(P895&lt;&gt;"",S895="",OR(Q895="",R895="")),"🟡 PENDÊNCIA SEM RESPONSÁVEL/PRAZO",IF(AND(ISNUMBER(R895),R895=TODAY()),"🟡 VENCE HOJE",IF(AND(P895&lt;&gt;"",S895=""),"🟡 PENDÊNCIA ABERTA",IF(AND(N(J895)&gt;0,N(K895)&lt;J895),"🟡 FALTA EXECUTAR",IF(OR(M895="PENDENTE",M895="PARCIAL"),"🟡 FATURAMENTO PENDENTE","🟡 EMBARQUE PENDENTE")))))))))))</f>
        <v/>
      </c>
      <c r="D895" s="4" t="n"/>
      <c r="E895" s="5" t="n"/>
      <c r="F895" s="5" t="n"/>
      <c r="G895" s="5" t="n"/>
      <c r="H895" s="5" t="n"/>
      <c r="I895" s="5" t="n"/>
      <c r="J895" s="6" t="n"/>
      <c r="K895" s="6" t="n"/>
      <c r="L895" s="7">
        <f>IF(OR(D895="",N(J895)=0),"",MIN(1,N(K895)/J895))</f>
        <v/>
      </c>
      <c r="M895" s="5" t="n"/>
      <c r="N895" s="5" t="n"/>
      <c r="O895" s="5" t="n"/>
      <c r="P895" s="5" t="n"/>
      <c r="Q895" s="5" t="n"/>
      <c r="R895" s="4" t="n"/>
      <c r="S895" s="4" t="n"/>
      <c r="T895" s="5" t="n"/>
      <c r="U895" s="8">
        <f>IF(AND(V895=1,D895&lt;&gt;""),IF(D895&gt;=corte,TODAY()-D895,""),"")</f>
        <v/>
      </c>
      <c r="V895" s="8">
        <f>IF(D895="",0,IF(OR(AND(P895&lt;&gt;"",S895=""),AND(N(J895)&gt;0,N(K895)&lt;J895),OR(M895="PENDENTE",M895="PARCIAL"),OR(N895="PENDENTE",N895="PARCIAL")),1,0))</f>
        <v/>
      </c>
      <c r="W895" s="8">
        <f>IF(AND(V895=1,D895&lt;&gt;""),IF(D895&gt;=corte,(B895="CRÍTICO")*1E9+(100000-D895)*10000+10000-ROW(),""),"")</f>
        <v/>
      </c>
      <c r="X895" s="8">
        <f>IF(AND(V895=1,D895=pas_data,E895=pas_turno),10000-ROW(),"")</f>
        <v/>
      </c>
    </row>
    <row r="896">
      <c r="A896" s="3">
        <f>IF(D896="","","TT-"&amp;TEXT(ROW()-1,"00000"))</f>
        <v/>
      </c>
      <c r="B896" s="3">
        <f>IF(D896="","",IF(V896=0,"CONCLUÍDO",IF(D896&lt;corte,"HISTÓRICO",IF(OR(AND(ISNUMBER(R896),R896&lt;TODAY()),AND(OR(N896="PENDENTE",N896="PARCIAL"),D896&lt;TODAY()-1)),"CRÍTICO",IF(OR(AND(P896&lt;&gt;"",S896=""),AND(N896="REALIZADO",M896="PENDENTE"),AND(ISNUMBER(R896),R896=TODAY())),"ATENÇÃO",IF(N(K896)=0,"PENDENTE","EM ANDAMENTO"))))))</f>
        <v/>
      </c>
      <c r="C896" s="3">
        <f>IF(D896="","",IF(V896=0,"🟢 OK",IF(D896&lt;corte,"⚪ HISTÓRICO (sem baixa)",IF(AND(ISNUMBER(R896),R896&lt;TODAY()),"🔴 PRAZO VENCIDO",IF(AND(OR(N896="PENDENTE",N896="PARCIAL"),D896&lt;TODAY()-1),"🔴 EMBARQUE ATRASADO",IF(AND(N896="REALIZADO",M896="PENDENTE"),"🟡 EMBARCADO SEM FATURAR",IF(AND(P896&lt;&gt;"",S896="",OR(Q896="",R896="")),"🟡 PENDÊNCIA SEM RESPONSÁVEL/PRAZO",IF(AND(ISNUMBER(R896),R896=TODAY()),"🟡 VENCE HOJE",IF(AND(P896&lt;&gt;"",S896=""),"🟡 PENDÊNCIA ABERTA",IF(AND(N(J896)&gt;0,N(K896)&lt;J896),"🟡 FALTA EXECUTAR",IF(OR(M896="PENDENTE",M896="PARCIAL"),"🟡 FATURAMENTO PENDENTE","🟡 EMBARQUE PENDENTE")))))))))))</f>
        <v/>
      </c>
      <c r="D896" s="4" t="n"/>
      <c r="E896" s="5" t="n"/>
      <c r="F896" s="5" t="n"/>
      <c r="G896" s="5" t="n"/>
      <c r="H896" s="5" t="n"/>
      <c r="I896" s="5" t="n"/>
      <c r="J896" s="6" t="n"/>
      <c r="K896" s="6" t="n"/>
      <c r="L896" s="7">
        <f>IF(OR(D896="",N(J896)=0),"",MIN(1,N(K896)/J896))</f>
        <v/>
      </c>
      <c r="M896" s="5" t="n"/>
      <c r="N896" s="5" t="n"/>
      <c r="O896" s="5" t="n"/>
      <c r="P896" s="5" t="n"/>
      <c r="Q896" s="5" t="n"/>
      <c r="R896" s="4" t="n"/>
      <c r="S896" s="4" t="n"/>
      <c r="T896" s="5" t="n"/>
      <c r="U896" s="8">
        <f>IF(AND(V896=1,D896&lt;&gt;""),IF(D896&gt;=corte,TODAY()-D896,""),"")</f>
        <v/>
      </c>
      <c r="V896" s="8">
        <f>IF(D896="",0,IF(OR(AND(P896&lt;&gt;"",S896=""),AND(N(J896)&gt;0,N(K896)&lt;J896),OR(M896="PENDENTE",M896="PARCIAL"),OR(N896="PENDENTE",N896="PARCIAL")),1,0))</f>
        <v/>
      </c>
      <c r="W896" s="8">
        <f>IF(AND(V896=1,D896&lt;&gt;""),IF(D896&gt;=corte,(B896="CRÍTICO")*1E9+(100000-D896)*10000+10000-ROW(),""),"")</f>
        <v/>
      </c>
      <c r="X896" s="8">
        <f>IF(AND(V896=1,D896=pas_data,E896=pas_turno),10000-ROW(),"")</f>
        <v/>
      </c>
    </row>
    <row r="897">
      <c r="A897" s="3">
        <f>IF(D897="","","TT-"&amp;TEXT(ROW()-1,"00000"))</f>
        <v/>
      </c>
      <c r="B897" s="3">
        <f>IF(D897="","",IF(V897=0,"CONCLUÍDO",IF(D897&lt;corte,"HISTÓRICO",IF(OR(AND(ISNUMBER(R897),R897&lt;TODAY()),AND(OR(N897="PENDENTE",N897="PARCIAL"),D897&lt;TODAY()-1)),"CRÍTICO",IF(OR(AND(P897&lt;&gt;"",S897=""),AND(N897="REALIZADO",M897="PENDENTE"),AND(ISNUMBER(R897),R897=TODAY())),"ATENÇÃO",IF(N(K897)=0,"PENDENTE","EM ANDAMENTO"))))))</f>
        <v/>
      </c>
      <c r="C897" s="3">
        <f>IF(D897="","",IF(V897=0,"🟢 OK",IF(D897&lt;corte,"⚪ HISTÓRICO (sem baixa)",IF(AND(ISNUMBER(R897),R897&lt;TODAY()),"🔴 PRAZO VENCIDO",IF(AND(OR(N897="PENDENTE",N897="PARCIAL"),D897&lt;TODAY()-1),"🔴 EMBARQUE ATRASADO",IF(AND(N897="REALIZADO",M897="PENDENTE"),"🟡 EMBARCADO SEM FATURAR",IF(AND(P897&lt;&gt;"",S897="",OR(Q897="",R897="")),"🟡 PENDÊNCIA SEM RESPONSÁVEL/PRAZO",IF(AND(ISNUMBER(R897),R897=TODAY()),"🟡 VENCE HOJE",IF(AND(P897&lt;&gt;"",S897=""),"🟡 PENDÊNCIA ABERTA",IF(AND(N(J897)&gt;0,N(K897)&lt;J897),"🟡 FALTA EXECUTAR",IF(OR(M897="PENDENTE",M897="PARCIAL"),"🟡 FATURAMENTO PENDENTE","🟡 EMBARQUE PENDENTE")))))))))))</f>
        <v/>
      </c>
      <c r="D897" s="4" t="n"/>
      <c r="E897" s="5" t="n"/>
      <c r="F897" s="5" t="n"/>
      <c r="G897" s="5" t="n"/>
      <c r="H897" s="5" t="n"/>
      <c r="I897" s="5" t="n"/>
      <c r="J897" s="6" t="n"/>
      <c r="K897" s="6" t="n"/>
      <c r="L897" s="7">
        <f>IF(OR(D897="",N(J897)=0),"",MIN(1,N(K897)/J897))</f>
        <v/>
      </c>
      <c r="M897" s="5" t="n"/>
      <c r="N897" s="5" t="n"/>
      <c r="O897" s="5" t="n"/>
      <c r="P897" s="5" t="n"/>
      <c r="Q897" s="5" t="n"/>
      <c r="R897" s="4" t="n"/>
      <c r="S897" s="4" t="n"/>
      <c r="T897" s="5" t="n"/>
      <c r="U897" s="8">
        <f>IF(AND(V897=1,D897&lt;&gt;""),IF(D897&gt;=corte,TODAY()-D897,""),"")</f>
        <v/>
      </c>
      <c r="V897" s="8">
        <f>IF(D897="",0,IF(OR(AND(P897&lt;&gt;"",S897=""),AND(N(J897)&gt;0,N(K897)&lt;J897),OR(M897="PENDENTE",M897="PARCIAL"),OR(N897="PENDENTE",N897="PARCIAL")),1,0))</f>
        <v/>
      </c>
      <c r="W897" s="8">
        <f>IF(AND(V897=1,D897&lt;&gt;""),IF(D897&gt;=corte,(B897="CRÍTICO")*1E9+(100000-D897)*10000+10000-ROW(),""),"")</f>
        <v/>
      </c>
      <c r="X897" s="8">
        <f>IF(AND(V897=1,D897=pas_data,E897=pas_turno),10000-ROW(),"")</f>
        <v/>
      </c>
    </row>
    <row r="898">
      <c r="A898" s="3">
        <f>IF(D898="","","TT-"&amp;TEXT(ROW()-1,"00000"))</f>
        <v/>
      </c>
      <c r="B898" s="3">
        <f>IF(D898="","",IF(V898=0,"CONCLUÍDO",IF(D898&lt;corte,"HISTÓRICO",IF(OR(AND(ISNUMBER(R898),R898&lt;TODAY()),AND(OR(N898="PENDENTE",N898="PARCIAL"),D898&lt;TODAY()-1)),"CRÍTICO",IF(OR(AND(P898&lt;&gt;"",S898=""),AND(N898="REALIZADO",M898="PENDENTE"),AND(ISNUMBER(R898),R898=TODAY())),"ATENÇÃO",IF(N(K898)=0,"PENDENTE","EM ANDAMENTO"))))))</f>
        <v/>
      </c>
      <c r="C898" s="3">
        <f>IF(D898="","",IF(V898=0,"🟢 OK",IF(D898&lt;corte,"⚪ HISTÓRICO (sem baixa)",IF(AND(ISNUMBER(R898),R898&lt;TODAY()),"🔴 PRAZO VENCIDO",IF(AND(OR(N898="PENDENTE",N898="PARCIAL"),D898&lt;TODAY()-1),"🔴 EMBARQUE ATRASADO",IF(AND(N898="REALIZADO",M898="PENDENTE"),"🟡 EMBARCADO SEM FATURAR",IF(AND(P898&lt;&gt;"",S898="",OR(Q898="",R898="")),"🟡 PENDÊNCIA SEM RESPONSÁVEL/PRAZO",IF(AND(ISNUMBER(R898),R898=TODAY()),"🟡 VENCE HOJE",IF(AND(P898&lt;&gt;"",S898=""),"🟡 PENDÊNCIA ABERTA",IF(AND(N(J898)&gt;0,N(K898)&lt;J898),"🟡 FALTA EXECUTAR",IF(OR(M898="PENDENTE",M898="PARCIAL"),"🟡 FATURAMENTO PENDENTE","🟡 EMBARQUE PENDENTE")))))))))))</f>
        <v/>
      </c>
      <c r="D898" s="4" t="n"/>
      <c r="E898" s="5" t="n"/>
      <c r="F898" s="5" t="n"/>
      <c r="G898" s="5" t="n"/>
      <c r="H898" s="5" t="n"/>
      <c r="I898" s="5" t="n"/>
      <c r="J898" s="6" t="n"/>
      <c r="K898" s="6" t="n"/>
      <c r="L898" s="7">
        <f>IF(OR(D898="",N(J898)=0),"",MIN(1,N(K898)/J898))</f>
        <v/>
      </c>
      <c r="M898" s="5" t="n"/>
      <c r="N898" s="5" t="n"/>
      <c r="O898" s="5" t="n"/>
      <c r="P898" s="5" t="n"/>
      <c r="Q898" s="5" t="n"/>
      <c r="R898" s="4" t="n"/>
      <c r="S898" s="4" t="n"/>
      <c r="T898" s="5" t="n"/>
      <c r="U898" s="8">
        <f>IF(AND(V898=1,D898&lt;&gt;""),IF(D898&gt;=corte,TODAY()-D898,""),"")</f>
        <v/>
      </c>
      <c r="V898" s="8">
        <f>IF(D898="",0,IF(OR(AND(P898&lt;&gt;"",S898=""),AND(N(J898)&gt;0,N(K898)&lt;J898),OR(M898="PENDENTE",M898="PARCIAL"),OR(N898="PENDENTE",N898="PARCIAL")),1,0))</f>
        <v/>
      </c>
      <c r="W898" s="8">
        <f>IF(AND(V898=1,D898&lt;&gt;""),IF(D898&gt;=corte,(B898="CRÍTICO")*1E9+(100000-D898)*10000+10000-ROW(),""),"")</f>
        <v/>
      </c>
      <c r="X898" s="8">
        <f>IF(AND(V898=1,D898=pas_data,E898=pas_turno),10000-ROW(),"")</f>
        <v/>
      </c>
    </row>
    <row r="899">
      <c r="A899" s="3">
        <f>IF(D899="","","TT-"&amp;TEXT(ROW()-1,"00000"))</f>
        <v/>
      </c>
      <c r="B899" s="3">
        <f>IF(D899="","",IF(V899=0,"CONCLUÍDO",IF(D899&lt;corte,"HISTÓRICO",IF(OR(AND(ISNUMBER(R899),R899&lt;TODAY()),AND(OR(N899="PENDENTE",N899="PARCIAL"),D899&lt;TODAY()-1)),"CRÍTICO",IF(OR(AND(P899&lt;&gt;"",S899=""),AND(N899="REALIZADO",M899="PENDENTE"),AND(ISNUMBER(R899),R899=TODAY())),"ATENÇÃO",IF(N(K899)=0,"PENDENTE","EM ANDAMENTO"))))))</f>
        <v/>
      </c>
      <c r="C899" s="3">
        <f>IF(D899="","",IF(V899=0,"🟢 OK",IF(D899&lt;corte,"⚪ HISTÓRICO (sem baixa)",IF(AND(ISNUMBER(R899),R899&lt;TODAY()),"🔴 PRAZO VENCIDO",IF(AND(OR(N899="PENDENTE",N899="PARCIAL"),D899&lt;TODAY()-1),"🔴 EMBARQUE ATRASADO",IF(AND(N899="REALIZADO",M899="PENDENTE"),"🟡 EMBARCADO SEM FATURAR",IF(AND(P899&lt;&gt;"",S899="",OR(Q899="",R899="")),"🟡 PENDÊNCIA SEM RESPONSÁVEL/PRAZO",IF(AND(ISNUMBER(R899),R899=TODAY()),"🟡 VENCE HOJE",IF(AND(P899&lt;&gt;"",S899=""),"🟡 PENDÊNCIA ABERTA",IF(AND(N(J899)&gt;0,N(K899)&lt;J899),"🟡 FALTA EXECUTAR",IF(OR(M899="PENDENTE",M899="PARCIAL"),"🟡 FATURAMENTO PENDENTE","🟡 EMBARQUE PENDENTE")))))))))))</f>
        <v/>
      </c>
      <c r="D899" s="4" t="n"/>
      <c r="E899" s="5" t="n"/>
      <c r="F899" s="5" t="n"/>
      <c r="G899" s="5" t="n"/>
      <c r="H899" s="5" t="n"/>
      <c r="I899" s="5" t="n"/>
      <c r="J899" s="6" t="n"/>
      <c r="K899" s="6" t="n"/>
      <c r="L899" s="7">
        <f>IF(OR(D899="",N(J899)=0),"",MIN(1,N(K899)/J899))</f>
        <v/>
      </c>
      <c r="M899" s="5" t="n"/>
      <c r="N899" s="5" t="n"/>
      <c r="O899" s="5" t="n"/>
      <c r="P899" s="5" t="n"/>
      <c r="Q899" s="5" t="n"/>
      <c r="R899" s="4" t="n"/>
      <c r="S899" s="4" t="n"/>
      <c r="T899" s="5" t="n"/>
      <c r="U899" s="8">
        <f>IF(AND(V899=1,D899&lt;&gt;""),IF(D899&gt;=corte,TODAY()-D899,""),"")</f>
        <v/>
      </c>
      <c r="V899" s="8">
        <f>IF(D899="",0,IF(OR(AND(P899&lt;&gt;"",S899=""),AND(N(J899)&gt;0,N(K899)&lt;J899),OR(M899="PENDENTE",M899="PARCIAL"),OR(N899="PENDENTE",N899="PARCIAL")),1,0))</f>
        <v/>
      </c>
      <c r="W899" s="8">
        <f>IF(AND(V899=1,D899&lt;&gt;""),IF(D899&gt;=corte,(B899="CRÍTICO")*1E9+(100000-D899)*10000+10000-ROW(),""),"")</f>
        <v/>
      </c>
      <c r="X899" s="8">
        <f>IF(AND(V899=1,D899=pas_data,E899=pas_turno),10000-ROW(),"")</f>
        <v/>
      </c>
    </row>
    <row r="900">
      <c r="A900" s="3">
        <f>IF(D900="","","TT-"&amp;TEXT(ROW()-1,"00000"))</f>
        <v/>
      </c>
      <c r="B900" s="3">
        <f>IF(D900="","",IF(V900=0,"CONCLUÍDO",IF(D900&lt;corte,"HISTÓRICO",IF(OR(AND(ISNUMBER(R900),R900&lt;TODAY()),AND(OR(N900="PENDENTE",N900="PARCIAL"),D900&lt;TODAY()-1)),"CRÍTICO",IF(OR(AND(P900&lt;&gt;"",S900=""),AND(N900="REALIZADO",M900="PENDENTE"),AND(ISNUMBER(R900),R900=TODAY())),"ATENÇÃO",IF(N(K900)=0,"PENDENTE","EM ANDAMENTO"))))))</f>
        <v/>
      </c>
      <c r="C900" s="3">
        <f>IF(D900="","",IF(V900=0,"🟢 OK",IF(D900&lt;corte,"⚪ HISTÓRICO (sem baixa)",IF(AND(ISNUMBER(R900),R900&lt;TODAY()),"🔴 PRAZO VENCIDO",IF(AND(OR(N900="PENDENTE",N900="PARCIAL"),D900&lt;TODAY()-1),"🔴 EMBARQUE ATRASADO",IF(AND(N900="REALIZADO",M900="PENDENTE"),"🟡 EMBARCADO SEM FATURAR",IF(AND(P900&lt;&gt;"",S900="",OR(Q900="",R900="")),"🟡 PENDÊNCIA SEM RESPONSÁVEL/PRAZO",IF(AND(ISNUMBER(R900),R900=TODAY()),"🟡 VENCE HOJE",IF(AND(P900&lt;&gt;"",S900=""),"🟡 PENDÊNCIA ABERTA",IF(AND(N(J900)&gt;0,N(K900)&lt;J900),"🟡 FALTA EXECUTAR",IF(OR(M900="PENDENTE",M900="PARCIAL"),"🟡 FATURAMENTO PENDENTE","🟡 EMBARQUE PENDENTE")))))))))))</f>
        <v/>
      </c>
      <c r="D900" s="4" t="n"/>
      <c r="E900" s="5" t="n"/>
      <c r="F900" s="5" t="n"/>
      <c r="G900" s="5" t="n"/>
      <c r="H900" s="5" t="n"/>
      <c r="I900" s="5" t="n"/>
      <c r="J900" s="6" t="n"/>
      <c r="K900" s="6" t="n"/>
      <c r="L900" s="7">
        <f>IF(OR(D900="",N(J900)=0),"",MIN(1,N(K900)/J900))</f>
        <v/>
      </c>
      <c r="M900" s="5" t="n"/>
      <c r="N900" s="5" t="n"/>
      <c r="O900" s="5" t="n"/>
      <c r="P900" s="5" t="n"/>
      <c r="Q900" s="5" t="n"/>
      <c r="R900" s="4" t="n"/>
      <c r="S900" s="4" t="n"/>
      <c r="T900" s="5" t="n"/>
      <c r="U900" s="8">
        <f>IF(AND(V900=1,D900&lt;&gt;""),IF(D900&gt;=corte,TODAY()-D900,""),"")</f>
        <v/>
      </c>
      <c r="V900" s="8">
        <f>IF(D900="",0,IF(OR(AND(P900&lt;&gt;"",S900=""),AND(N(J900)&gt;0,N(K900)&lt;J900),OR(M900="PENDENTE",M900="PARCIAL"),OR(N900="PENDENTE",N900="PARCIAL")),1,0))</f>
        <v/>
      </c>
      <c r="W900" s="8">
        <f>IF(AND(V900=1,D900&lt;&gt;""),IF(D900&gt;=corte,(B900="CRÍTICO")*1E9+(100000-D900)*10000+10000-ROW(),""),"")</f>
        <v/>
      </c>
      <c r="X900" s="8">
        <f>IF(AND(V900=1,D900=pas_data,E900=pas_turno),10000-ROW(),"")</f>
        <v/>
      </c>
    </row>
    <row r="901">
      <c r="A901" s="3">
        <f>IF(D901="","","TT-"&amp;TEXT(ROW()-1,"00000"))</f>
        <v/>
      </c>
      <c r="B901" s="3">
        <f>IF(D901="","",IF(V901=0,"CONCLUÍDO",IF(D901&lt;corte,"HISTÓRICO",IF(OR(AND(ISNUMBER(R901),R901&lt;TODAY()),AND(OR(N901="PENDENTE",N901="PARCIAL"),D901&lt;TODAY()-1)),"CRÍTICO",IF(OR(AND(P901&lt;&gt;"",S901=""),AND(N901="REALIZADO",M901="PENDENTE"),AND(ISNUMBER(R901),R901=TODAY())),"ATENÇÃO",IF(N(K901)=0,"PENDENTE","EM ANDAMENTO"))))))</f>
        <v/>
      </c>
      <c r="C901" s="3">
        <f>IF(D901="","",IF(V901=0,"🟢 OK",IF(D901&lt;corte,"⚪ HISTÓRICO (sem baixa)",IF(AND(ISNUMBER(R901),R901&lt;TODAY()),"🔴 PRAZO VENCIDO",IF(AND(OR(N901="PENDENTE",N901="PARCIAL"),D901&lt;TODAY()-1),"🔴 EMBARQUE ATRASADO",IF(AND(N901="REALIZADO",M901="PENDENTE"),"🟡 EMBARCADO SEM FATURAR",IF(AND(P901&lt;&gt;"",S901="",OR(Q901="",R901="")),"🟡 PENDÊNCIA SEM RESPONSÁVEL/PRAZO",IF(AND(ISNUMBER(R901),R901=TODAY()),"🟡 VENCE HOJE",IF(AND(P901&lt;&gt;"",S901=""),"🟡 PENDÊNCIA ABERTA",IF(AND(N(J901)&gt;0,N(K901)&lt;J901),"🟡 FALTA EXECUTAR",IF(OR(M901="PENDENTE",M901="PARCIAL"),"🟡 FATURAMENTO PENDENTE","🟡 EMBARQUE PENDENTE")))))))))))</f>
        <v/>
      </c>
      <c r="D901" s="4" t="n"/>
      <c r="E901" s="5" t="n"/>
      <c r="F901" s="5" t="n"/>
      <c r="G901" s="5" t="n"/>
      <c r="H901" s="5" t="n"/>
      <c r="I901" s="5" t="n"/>
      <c r="J901" s="6" t="n"/>
      <c r="K901" s="6" t="n"/>
      <c r="L901" s="7">
        <f>IF(OR(D901="",N(J901)=0),"",MIN(1,N(K901)/J901))</f>
        <v/>
      </c>
      <c r="M901" s="5" t="n"/>
      <c r="N901" s="5" t="n"/>
      <c r="O901" s="5" t="n"/>
      <c r="P901" s="5" t="n"/>
      <c r="Q901" s="5" t="n"/>
      <c r="R901" s="4" t="n"/>
      <c r="S901" s="4" t="n"/>
      <c r="T901" s="5" t="n"/>
      <c r="U901" s="8">
        <f>IF(AND(V901=1,D901&lt;&gt;""),IF(D901&gt;=corte,TODAY()-D901,""),"")</f>
        <v/>
      </c>
      <c r="V901" s="8">
        <f>IF(D901="",0,IF(OR(AND(P901&lt;&gt;"",S901=""),AND(N(J901)&gt;0,N(K901)&lt;J901),OR(M901="PENDENTE",M901="PARCIAL"),OR(N901="PENDENTE",N901="PARCIAL")),1,0))</f>
        <v/>
      </c>
      <c r="W901" s="8">
        <f>IF(AND(V901=1,D901&lt;&gt;""),IF(D901&gt;=corte,(B901="CRÍTICO")*1E9+(100000-D901)*10000+10000-ROW(),""),"")</f>
        <v/>
      </c>
      <c r="X901" s="8">
        <f>IF(AND(V901=1,D901=pas_data,E901=pas_turno),10000-ROW(),"")</f>
        <v/>
      </c>
    </row>
    <row r="902">
      <c r="A902" s="3">
        <f>IF(D902="","","TT-"&amp;TEXT(ROW()-1,"00000"))</f>
        <v/>
      </c>
      <c r="B902" s="3">
        <f>IF(D902="","",IF(V902=0,"CONCLUÍDO",IF(D902&lt;corte,"HISTÓRICO",IF(OR(AND(ISNUMBER(R902),R902&lt;TODAY()),AND(OR(N902="PENDENTE",N902="PARCIAL"),D902&lt;TODAY()-1)),"CRÍTICO",IF(OR(AND(P902&lt;&gt;"",S902=""),AND(N902="REALIZADO",M902="PENDENTE"),AND(ISNUMBER(R902),R902=TODAY())),"ATENÇÃO",IF(N(K902)=0,"PENDENTE","EM ANDAMENTO"))))))</f>
        <v/>
      </c>
      <c r="C902" s="3">
        <f>IF(D902="","",IF(V902=0,"🟢 OK",IF(D902&lt;corte,"⚪ HISTÓRICO (sem baixa)",IF(AND(ISNUMBER(R902),R902&lt;TODAY()),"🔴 PRAZO VENCIDO",IF(AND(OR(N902="PENDENTE",N902="PARCIAL"),D902&lt;TODAY()-1),"🔴 EMBARQUE ATRASADO",IF(AND(N902="REALIZADO",M902="PENDENTE"),"🟡 EMBARCADO SEM FATURAR",IF(AND(P902&lt;&gt;"",S902="",OR(Q902="",R902="")),"🟡 PENDÊNCIA SEM RESPONSÁVEL/PRAZO",IF(AND(ISNUMBER(R902),R902=TODAY()),"🟡 VENCE HOJE",IF(AND(P902&lt;&gt;"",S902=""),"🟡 PENDÊNCIA ABERTA",IF(AND(N(J902)&gt;0,N(K902)&lt;J902),"🟡 FALTA EXECUTAR",IF(OR(M902="PENDENTE",M902="PARCIAL"),"🟡 FATURAMENTO PENDENTE","🟡 EMBARQUE PENDENTE")))))))))))</f>
        <v/>
      </c>
      <c r="D902" s="4" t="n"/>
      <c r="E902" s="5" t="n"/>
      <c r="F902" s="5" t="n"/>
      <c r="G902" s="5" t="n"/>
      <c r="H902" s="5" t="n"/>
      <c r="I902" s="5" t="n"/>
      <c r="J902" s="6" t="n"/>
      <c r="K902" s="6" t="n"/>
      <c r="L902" s="7">
        <f>IF(OR(D902="",N(J902)=0),"",MIN(1,N(K902)/J902))</f>
        <v/>
      </c>
      <c r="M902" s="5" t="n"/>
      <c r="N902" s="5" t="n"/>
      <c r="O902" s="5" t="n"/>
      <c r="P902" s="5" t="n"/>
      <c r="Q902" s="5" t="n"/>
      <c r="R902" s="4" t="n"/>
      <c r="S902" s="4" t="n"/>
      <c r="T902" s="5" t="n"/>
      <c r="U902" s="8">
        <f>IF(AND(V902=1,D902&lt;&gt;""),IF(D902&gt;=corte,TODAY()-D902,""),"")</f>
        <v/>
      </c>
      <c r="V902" s="8">
        <f>IF(D902="",0,IF(OR(AND(P902&lt;&gt;"",S902=""),AND(N(J902)&gt;0,N(K902)&lt;J902),OR(M902="PENDENTE",M902="PARCIAL"),OR(N902="PENDENTE",N902="PARCIAL")),1,0))</f>
        <v/>
      </c>
      <c r="W902" s="8">
        <f>IF(AND(V902=1,D902&lt;&gt;""),IF(D902&gt;=corte,(B902="CRÍTICO")*1E9+(100000-D902)*10000+10000-ROW(),""),"")</f>
        <v/>
      </c>
      <c r="X902" s="8">
        <f>IF(AND(V902=1,D902=pas_data,E902=pas_turno),10000-ROW(),"")</f>
        <v/>
      </c>
    </row>
    <row r="903">
      <c r="A903" s="3">
        <f>IF(D903="","","TT-"&amp;TEXT(ROW()-1,"00000"))</f>
        <v/>
      </c>
      <c r="B903" s="3">
        <f>IF(D903="","",IF(V903=0,"CONCLUÍDO",IF(D903&lt;corte,"HISTÓRICO",IF(OR(AND(ISNUMBER(R903),R903&lt;TODAY()),AND(OR(N903="PENDENTE",N903="PARCIAL"),D903&lt;TODAY()-1)),"CRÍTICO",IF(OR(AND(P903&lt;&gt;"",S903=""),AND(N903="REALIZADO",M903="PENDENTE"),AND(ISNUMBER(R903),R903=TODAY())),"ATENÇÃO",IF(N(K903)=0,"PENDENTE","EM ANDAMENTO"))))))</f>
        <v/>
      </c>
      <c r="C903" s="3">
        <f>IF(D903="","",IF(V903=0,"🟢 OK",IF(D903&lt;corte,"⚪ HISTÓRICO (sem baixa)",IF(AND(ISNUMBER(R903),R903&lt;TODAY()),"🔴 PRAZO VENCIDO",IF(AND(OR(N903="PENDENTE",N903="PARCIAL"),D903&lt;TODAY()-1),"🔴 EMBARQUE ATRASADO",IF(AND(N903="REALIZADO",M903="PENDENTE"),"🟡 EMBARCADO SEM FATURAR",IF(AND(P903&lt;&gt;"",S903="",OR(Q903="",R903="")),"🟡 PENDÊNCIA SEM RESPONSÁVEL/PRAZO",IF(AND(ISNUMBER(R903),R903=TODAY()),"🟡 VENCE HOJE",IF(AND(P903&lt;&gt;"",S903=""),"🟡 PENDÊNCIA ABERTA",IF(AND(N(J903)&gt;0,N(K903)&lt;J903),"🟡 FALTA EXECUTAR",IF(OR(M903="PENDENTE",M903="PARCIAL"),"🟡 FATURAMENTO PENDENTE","🟡 EMBARQUE PENDENTE")))))))))))</f>
        <v/>
      </c>
      <c r="D903" s="4" t="n"/>
      <c r="E903" s="5" t="n"/>
      <c r="F903" s="5" t="n"/>
      <c r="G903" s="5" t="n"/>
      <c r="H903" s="5" t="n"/>
      <c r="I903" s="5" t="n"/>
      <c r="J903" s="6" t="n"/>
      <c r="K903" s="6" t="n"/>
      <c r="L903" s="7">
        <f>IF(OR(D903="",N(J903)=0),"",MIN(1,N(K903)/J903))</f>
        <v/>
      </c>
      <c r="M903" s="5" t="n"/>
      <c r="N903" s="5" t="n"/>
      <c r="O903" s="5" t="n"/>
      <c r="P903" s="5" t="n"/>
      <c r="Q903" s="5" t="n"/>
      <c r="R903" s="4" t="n"/>
      <c r="S903" s="4" t="n"/>
      <c r="T903" s="5" t="n"/>
      <c r="U903" s="8">
        <f>IF(AND(V903=1,D903&lt;&gt;""),IF(D903&gt;=corte,TODAY()-D903,""),"")</f>
        <v/>
      </c>
      <c r="V903" s="8">
        <f>IF(D903="",0,IF(OR(AND(P903&lt;&gt;"",S903=""),AND(N(J903)&gt;0,N(K903)&lt;J903),OR(M903="PENDENTE",M903="PARCIAL"),OR(N903="PENDENTE",N903="PARCIAL")),1,0))</f>
        <v/>
      </c>
      <c r="W903" s="8">
        <f>IF(AND(V903=1,D903&lt;&gt;""),IF(D903&gt;=corte,(B903="CRÍTICO")*1E9+(100000-D903)*10000+10000-ROW(),""),"")</f>
        <v/>
      </c>
      <c r="X903" s="8">
        <f>IF(AND(V903=1,D903=pas_data,E903=pas_turno),10000-ROW(),"")</f>
        <v/>
      </c>
    </row>
    <row r="904">
      <c r="A904" s="3">
        <f>IF(D904="","","TT-"&amp;TEXT(ROW()-1,"00000"))</f>
        <v/>
      </c>
      <c r="B904" s="3">
        <f>IF(D904="","",IF(V904=0,"CONCLUÍDO",IF(D904&lt;corte,"HISTÓRICO",IF(OR(AND(ISNUMBER(R904),R904&lt;TODAY()),AND(OR(N904="PENDENTE",N904="PARCIAL"),D904&lt;TODAY()-1)),"CRÍTICO",IF(OR(AND(P904&lt;&gt;"",S904=""),AND(N904="REALIZADO",M904="PENDENTE"),AND(ISNUMBER(R904),R904=TODAY())),"ATENÇÃO",IF(N(K904)=0,"PENDENTE","EM ANDAMENTO"))))))</f>
        <v/>
      </c>
      <c r="C904" s="3">
        <f>IF(D904="","",IF(V904=0,"🟢 OK",IF(D904&lt;corte,"⚪ HISTÓRICO (sem baixa)",IF(AND(ISNUMBER(R904),R904&lt;TODAY()),"🔴 PRAZO VENCIDO",IF(AND(OR(N904="PENDENTE",N904="PARCIAL"),D904&lt;TODAY()-1),"🔴 EMBARQUE ATRASADO",IF(AND(N904="REALIZADO",M904="PENDENTE"),"🟡 EMBARCADO SEM FATURAR",IF(AND(P904&lt;&gt;"",S904="",OR(Q904="",R904="")),"🟡 PENDÊNCIA SEM RESPONSÁVEL/PRAZO",IF(AND(ISNUMBER(R904),R904=TODAY()),"🟡 VENCE HOJE",IF(AND(P904&lt;&gt;"",S904=""),"🟡 PENDÊNCIA ABERTA",IF(AND(N(J904)&gt;0,N(K904)&lt;J904),"🟡 FALTA EXECUTAR",IF(OR(M904="PENDENTE",M904="PARCIAL"),"🟡 FATURAMENTO PENDENTE","🟡 EMBARQUE PENDENTE")))))))))))</f>
        <v/>
      </c>
      <c r="D904" s="4" t="n"/>
      <c r="E904" s="5" t="n"/>
      <c r="F904" s="5" t="n"/>
      <c r="G904" s="5" t="n"/>
      <c r="H904" s="5" t="n"/>
      <c r="I904" s="5" t="n"/>
      <c r="J904" s="6" t="n"/>
      <c r="K904" s="6" t="n"/>
      <c r="L904" s="7">
        <f>IF(OR(D904="",N(J904)=0),"",MIN(1,N(K904)/J904))</f>
        <v/>
      </c>
      <c r="M904" s="5" t="n"/>
      <c r="N904" s="5" t="n"/>
      <c r="O904" s="5" t="n"/>
      <c r="P904" s="5" t="n"/>
      <c r="Q904" s="5" t="n"/>
      <c r="R904" s="4" t="n"/>
      <c r="S904" s="4" t="n"/>
      <c r="T904" s="5" t="n"/>
      <c r="U904" s="8">
        <f>IF(AND(V904=1,D904&lt;&gt;""),IF(D904&gt;=corte,TODAY()-D904,""),"")</f>
        <v/>
      </c>
      <c r="V904" s="8">
        <f>IF(D904="",0,IF(OR(AND(P904&lt;&gt;"",S904=""),AND(N(J904)&gt;0,N(K904)&lt;J904),OR(M904="PENDENTE",M904="PARCIAL"),OR(N904="PENDENTE",N904="PARCIAL")),1,0))</f>
        <v/>
      </c>
      <c r="W904" s="8">
        <f>IF(AND(V904=1,D904&lt;&gt;""),IF(D904&gt;=corte,(B904="CRÍTICO")*1E9+(100000-D904)*10000+10000-ROW(),""),"")</f>
        <v/>
      </c>
      <c r="X904" s="8">
        <f>IF(AND(V904=1,D904=pas_data,E904=pas_turno),10000-ROW(),"")</f>
        <v/>
      </c>
    </row>
    <row r="905">
      <c r="A905" s="3">
        <f>IF(D905="","","TT-"&amp;TEXT(ROW()-1,"00000"))</f>
        <v/>
      </c>
      <c r="B905" s="3">
        <f>IF(D905="","",IF(V905=0,"CONCLUÍDO",IF(D905&lt;corte,"HISTÓRICO",IF(OR(AND(ISNUMBER(R905),R905&lt;TODAY()),AND(OR(N905="PENDENTE",N905="PARCIAL"),D905&lt;TODAY()-1)),"CRÍTICO",IF(OR(AND(P905&lt;&gt;"",S905=""),AND(N905="REALIZADO",M905="PENDENTE"),AND(ISNUMBER(R905),R905=TODAY())),"ATENÇÃO",IF(N(K905)=0,"PENDENTE","EM ANDAMENTO"))))))</f>
        <v/>
      </c>
      <c r="C905" s="3">
        <f>IF(D905="","",IF(V905=0,"🟢 OK",IF(D905&lt;corte,"⚪ HISTÓRICO (sem baixa)",IF(AND(ISNUMBER(R905),R905&lt;TODAY()),"🔴 PRAZO VENCIDO",IF(AND(OR(N905="PENDENTE",N905="PARCIAL"),D905&lt;TODAY()-1),"🔴 EMBARQUE ATRASADO",IF(AND(N905="REALIZADO",M905="PENDENTE"),"🟡 EMBARCADO SEM FATURAR",IF(AND(P905&lt;&gt;"",S905="",OR(Q905="",R905="")),"🟡 PENDÊNCIA SEM RESPONSÁVEL/PRAZO",IF(AND(ISNUMBER(R905),R905=TODAY()),"🟡 VENCE HOJE",IF(AND(P905&lt;&gt;"",S905=""),"🟡 PENDÊNCIA ABERTA",IF(AND(N(J905)&gt;0,N(K905)&lt;J905),"🟡 FALTA EXECUTAR",IF(OR(M905="PENDENTE",M905="PARCIAL"),"🟡 FATURAMENTO PENDENTE","🟡 EMBARQUE PENDENTE")))))))))))</f>
        <v/>
      </c>
      <c r="D905" s="4" t="n"/>
      <c r="E905" s="5" t="n"/>
      <c r="F905" s="5" t="n"/>
      <c r="G905" s="5" t="n"/>
      <c r="H905" s="5" t="n"/>
      <c r="I905" s="5" t="n"/>
      <c r="J905" s="6" t="n"/>
      <c r="K905" s="6" t="n"/>
      <c r="L905" s="7">
        <f>IF(OR(D905="",N(J905)=0),"",MIN(1,N(K905)/J905))</f>
        <v/>
      </c>
      <c r="M905" s="5" t="n"/>
      <c r="N905" s="5" t="n"/>
      <c r="O905" s="5" t="n"/>
      <c r="P905" s="5" t="n"/>
      <c r="Q905" s="5" t="n"/>
      <c r="R905" s="4" t="n"/>
      <c r="S905" s="4" t="n"/>
      <c r="T905" s="5" t="n"/>
      <c r="U905" s="8">
        <f>IF(AND(V905=1,D905&lt;&gt;""),IF(D905&gt;=corte,TODAY()-D905,""),"")</f>
        <v/>
      </c>
      <c r="V905" s="8">
        <f>IF(D905="",0,IF(OR(AND(P905&lt;&gt;"",S905=""),AND(N(J905)&gt;0,N(K905)&lt;J905),OR(M905="PENDENTE",M905="PARCIAL"),OR(N905="PENDENTE",N905="PARCIAL")),1,0))</f>
        <v/>
      </c>
      <c r="W905" s="8">
        <f>IF(AND(V905=1,D905&lt;&gt;""),IF(D905&gt;=corte,(B905="CRÍTICO")*1E9+(100000-D905)*10000+10000-ROW(),""),"")</f>
        <v/>
      </c>
      <c r="X905" s="8">
        <f>IF(AND(V905=1,D905=pas_data,E905=pas_turno),10000-ROW(),"")</f>
        <v/>
      </c>
    </row>
    <row r="906">
      <c r="A906" s="3">
        <f>IF(D906="","","TT-"&amp;TEXT(ROW()-1,"00000"))</f>
        <v/>
      </c>
      <c r="B906" s="3">
        <f>IF(D906="","",IF(V906=0,"CONCLUÍDO",IF(D906&lt;corte,"HISTÓRICO",IF(OR(AND(ISNUMBER(R906),R906&lt;TODAY()),AND(OR(N906="PENDENTE",N906="PARCIAL"),D906&lt;TODAY()-1)),"CRÍTICO",IF(OR(AND(P906&lt;&gt;"",S906=""),AND(N906="REALIZADO",M906="PENDENTE"),AND(ISNUMBER(R906),R906=TODAY())),"ATENÇÃO",IF(N(K906)=0,"PENDENTE","EM ANDAMENTO"))))))</f>
        <v/>
      </c>
      <c r="C906" s="3">
        <f>IF(D906="","",IF(V906=0,"🟢 OK",IF(D906&lt;corte,"⚪ HISTÓRICO (sem baixa)",IF(AND(ISNUMBER(R906),R906&lt;TODAY()),"🔴 PRAZO VENCIDO",IF(AND(OR(N906="PENDENTE",N906="PARCIAL"),D906&lt;TODAY()-1),"🔴 EMBARQUE ATRASADO",IF(AND(N906="REALIZADO",M906="PENDENTE"),"🟡 EMBARCADO SEM FATURAR",IF(AND(P906&lt;&gt;"",S906="",OR(Q906="",R906="")),"🟡 PENDÊNCIA SEM RESPONSÁVEL/PRAZO",IF(AND(ISNUMBER(R906),R906=TODAY()),"🟡 VENCE HOJE",IF(AND(P906&lt;&gt;"",S906=""),"🟡 PENDÊNCIA ABERTA",IF(AND(N(J906)&gt;0,N(K906)&lt;J906),"🟡 FALTA EXECUTAR",IF(OR(M906="PENDENTE",M906="PARCIAL"),"🟡 FATURAMENTO PENDENTE","🟡 EMBARQUE PENDENTE")))))))))))</f>
        <v/>
      </c>
      <c r="D906" s="4" t="n"/>
      <c r="E906" s="5" t="n"/>
      <c r="F906" s="5" t="n"/>
      <c r="G906" s="5" t="n"/>
      <c r="H906" s="5" t="n"/>
      <c r="I906" s="5" t="n"/>
      <c r="J906" s="6" t="n"/>
      <c r="K906" s="6" t="n"/>
      <c r="L906" s="7">
        <f>IF(OR(D906="",N(J906)=0),"",MIN(1,N(K906)/J906))</f>
        <v/>
      </c>
      <c r="M906" s="5" t="n"/>
      <c r="N906" s="5" t="n"/>
      <c r="O906" s="5" t="n"/>
      <c r="P906" s="5" t="n"/>
      <c r="Q906" s="5" t="n"/>
      <c r="R906" s="4" t="n"/>
      <c r="S906" s="4" t="n"/>
      <c r="T906" s="5" t="n"/>
      <c r="U906" s="8">
        <f>IF(AND(V906=1,D906&lt;&gt;""),IF(D906&gt;=corte,TODAY()-D906,""),"")</f>
        <v/>
      </c>
      <c r="V906" s="8">
        <f>IF(D906="",0,IF(OR(AND(P906&lt;&gt;"",S906=""),AND(N(J906)&gt;0,N(K906)&lt;J906),OR(M906="PENDENTE",M906="PARCIAL"),OR(N906="PENDENTE",N906="PARCIAL")),1,0))</f>
        <v/>
      </c>
      <c r="W906" s="8">
        <f>IF(AND(V906=1,D906&lt;&gt;""),IF(D906&gt;=corte,(B906="CRÍTICO")*1E9+(100000-D906)*10000+10000-ROW(),""),"")</f>
        <v/>
      </c>
      <c r="X906" s="8">
        <f>IF(AND(V906=1,D906=pas_data,E906=pas_turno),10000-ROW(),"")</f>
        <v/>
      </c>
    </row>
    <row r="907">
      <c r="A907" s="3">
        <f>IF(D907="","","TT-"&amp;TEXT(ROW()-1,"00000"))</f>
        <v/>
      </c>
      <c r="B907" s="3">
        <f>IF(D907="","",IF(V907=0,"CONCLUÍDO",IF(D907&lt;corte,"HISTÓRICO",IF(OR(AND(ISNUMBER(R907),R907&lt;TODAY()),AND(OR(N907="PENDENTE",N907="PARCIAL"),D907&lt;TODAY()-1)),"CRÍTICO",IF(OR(AND(P907&lt;&gt;"",S907=""),AND(N907="REALIZADO",M907="PENDENTE"),AND(ISNUMBER(R907),R907=TODAY())),"ATENÇÃO",IF(N(K907)=0,"PENDENTE","EM ANDAMENTO"))))))</f>
        <v/>
      </c>
      <c r="C907" s="3">
        <f>IF(D907="","",IF(V907=0,"🟢 OK",IF(D907&lt;corte,"⚪ HISTÓRICO (sem baixa)",IF(AND(ISNUMBER(R907),R907&lt;TODAY()),"🔴 PRAZO VENCIDO",IF(AND(OR(N907="PENDENTE",N907="PARCIAL"),D907&lt;TODAY()-1),"🔴 EMBARQUE ATRASADO",IF(AND(N907="REALIZADO",M907="PENDENTE"),"🟡 EMBARCADO SEM FATURAR",IF(AND(P907&lt;&gt;"",S907="",OR(Q907="",R907="")),"🟡 PENDÊNCIA SEM RESPONSÁVEL/PRAZO",IF(AND(ISNUMBER(R907),R907=TODAY()),"🟡 VENCE HOJE",IF(AND(P907&lt;&gt;"",S907=""),"🟡 PENDÊNCIA ABERTA",IF(AND(N(J907)&gt;0,N(K907)&lt;J907),"🟡 FALTA EXECUTAR",IF(OR(M907="PENDENTE",M907="PARCIAL"),"🟡 FATURAMENTO PENDENTE","🟡 EMBARQUE PENDENTE")))))))))))</f>
        <v/>
      </c>
      <c r="D907" s="4" t="n"/>
      <c r="E907" s="5" t="n"/>
      <c r="F907" s="5" t="n"/>
      <c r="G907" s="5" t="n"/>
      <c r="H907" s="5" t="n"/>
      <c r="I907" s="5" t="n"/>
      <c r="J907" s="6" t="n"/>
      <c r="K907" s="6" t="n"/>
      <c r="L907" s="7">
        <f>IF(OR(D907="",N(J907)=0),"",MIN(1,N(K907)/J907))</f>
        <v/>
      </c>
      <c r="M907" s="5" t="n"/>
      <c r="N907" s="5" t="n"/>
      <c r="O907" s="5" t="n"/>
      <c r="P907" s="5" t="n"/>
      <c r="Q907" s="5" t="n"/>
      <c r="R907" s="4" t="n"/>
      <c r="S907" s="4" t="n"/>
      <c r="T907" s="5" t="n"/>
      <c r="U907" s="8">
        <f>IF(AND(V907=1,D907&lt;&gt;""),IF(D907&gt;=corte,TODAY()-D907,""),"")</f>
        <v/>
      </c>
      <c r="V907" s="8">
        <f>IF(D907="",0,IF(OR(AND(P907&lt;&gt;"",S907=""),AND(N(J907)&gt;0,N(K907)&lt;J907),OR(M907="PENDENTE",M907="PARCIAL"),OR(N907="PENDENTE",N907="PARCIAL")),1,0))</f>
        <v/>
      </c>
      <c r="W907" s="8">
        <f>IF(AND(V907=1,D907&lt;&gt;""),IF(D907&gt;=corte,(B907="CRÍTICO")*1E9+(100000-D907)*10000+10000-ROW(),""),"")</f>
        <v/>
      </c>
      <c r="X907" s="8">
        <f>IF(AND(V907=1,D907=pas_data,E907=pas_turno),10000-ROW(),"")</f>
        <v/>
      </c>
    </row>
    <row r="908">
      <c r="A908" s="3">
        <f>IF(D908="","","TT-"&amp;TEXT(ROW()-1,"00000"))</f>
        <v/>
      </c>
      <c r="B908" s="3">
        <f>IF(D908="","",IF(V908=0,"CONCLUÍDO",IF(D908&lt;corte,"HISTÓRICO",IF(OR(AND(ISNUMBER(R908),R908&lt;TODAY()),AND(OR(N908="PENDENTE",N908="PARCIAL"),D908&lt;TODAY()-1)),"CRÍTICO",IF(OR(AND(P908&lt;&gt;"",S908=""),AND(N908="REALIZADO",M908="PENDENTE"),AND(ISNUMBER(R908),R908=TODAY())),"ATENÇÃO",IF(N(K908)=0,"PENDENTE","EM ANDAMENTO"))))))</f>
        <v/>
      </c>
      <c r="C908" s="3">
        <f>IF(D908="","",IF(V908=0,"🟢 OK",IF(D908&lt;corte,"⚪ HISTÓRICO (sem baixa)",IF(AND(ISNUMBER(R908),R908&lt;TODAY()),"🔴 PRAZO VENCIDO",IF(AND(OR(N908="PENDENTE",N908="PARCIAL"),D908&lt;TODAY()-1),"🔴 EMBARQUE ATRASADO",IF(AND(N908="REALIZADO",M908="PENDENTE"),"🟡 EMBARCADO SEM FATURAR",IF(AND(P908&lt;&gt;"",S908="",OR(Q908="",R908="")),"🟡 PENDÊNCIA SEM RESPONSÁVEL/PRAZO",IF(AND(ISNUMBER(R908),R908=TODAY()),"🟡 VENCE HOJE",IF(AND(P908&lt;&gt;"",S908=""),"🟡 PENDÊNCIA ABERTA",IF(AND(N(J908)&gt;0,N(K908)&lt;J908),"🟡 FALTA EXECUTAR",IF(OR(M908="PENDENTE",M908="PARCIAL"),"🟡 FATURAMENTO PENDENTE","🟡 EMBARQUE PENDENTE")))))))))))</f>
        <v/>
      </c>
      <c r="D908" s="4" t="n"/>
      <c r="E908" s="5" t="n"/>
      <c r="F908" s="5" t="n"/>
      <c r="G908" s="5" t="n"/>
      <c r="H908" s="5" t="n"/>
      <c r="I908" s="5" t="n"/>
      <c r="J908" s="6" t="n"/>
      <c r="K908" s="6" t="n"/>
      <c r="L908" s="7">
        <f>IF(OR(D908="",N(J908)=0),"",MIN(1,N(K908)/J908))</f>
        <v/>
      </c>
      <c r="M908" s="5" t="n"/>
      <c r="N908" s="5" t="n"/>
      <c r="O908" s="5" t="n"/>
      <c r="P908" s="5" t="n"/>
      <c r="Q908" s="5" t="n"/>
      <c r="R908" s="4" t="n"/>
      <c r="S908" s="4" t="n"/>
      <c r="T908" s="5" t="n"/>
      <c r="U908" s="8">
        <f>IF(AND(V908=1,D908&lt;&gt;""),IF(D908&gt;=corte,TODAY()-D908,""),"")</f>
        <v/>
      </c>
      <c r="V908" s="8">
        <f>IF(D908="",0,IF(OR(AND(P908&lt;&gt;"",S908=""),AND(N(J908)&gt;0,N(K908)&lt;J908),OR(M908="PENDENTE",M908="PARCIAL"),OR(N908="PENDENTE",N908="PARCIAL")),1,0))</f>
        <v/>
      </c>
      <c r="W908" s="8">
        <f>IF(AND(V908=1,D908&lt;&gt;""),IF(D908&gt;=corte,(B908="CRÍTICO")*1E9+(100000-D908)*10000+10000-ROW(),""),"")</f>
        <v/>
      </c>
      <c r="X908" s="8">
        <f>IF(AND(V908=1,D908=pas_data,E908=pas_turno),10000-ROW(),"")</f>
        <v/>
      </c>
    </row>
    <row r="909">
      <c r="A909" s="3">
        <f>IF(D909="","","TT-"&amp;TEXT(ROW()-1,"00000"))</f>
        <v/>
      </c>
      <c r="B909" s="3">
        <f>IF(D909="","",IF(V909=0,"CONCLUÍDO",IF(D909&lt;corte,"HISTÓRICO",IF(OR(AND(ISNUMBER(R909),R909&lt;TODAY()),AND(OR(N909="PENDENTE",N909="PARCIAL"),D909&lt;TODAY()-1)),"CRÍTICO",IF(OR(AND(P909&lt;&gt;"",S909=""),AND(N909="REALIZADO",M909="PENDENTE"),AND(ISNUMBER(R909),R909=TODAY())),"ATENÇÃO",IF(N(K909)=0,"PENDENTE","EM ANDAMENTO"))))))</f>
        <v/>
      </c>
      <c r="C909" s="3">
        <f>IF(D909="","",IF(V909=0,"🟢 OK",IF(D909&lt;corte,"⚪ HISTÓRICO (sem baixa)",IF(AND(ISNUMBER(R909),R909&lt;TODAY()),"🔴 PRAZO VENCIDO",IF(AND(OR(N909="PENDENTE",N909="PARCIAL"),D909&lt;TODAY()-1),"🔴 EMBARQUE ATRASADO",IF(AND(N909="REALIZADO",M909="PENDENTE"),"🟡 EMBARCADO SEM FATURAR",IF(AND(P909&lt;&gt;"",S909="",OR(Q909="",R909="")),"🟡 PENDÊNCIA SEM RESPONSÁVEL/PRAZO",IF(AND(ISNUMBER(R909),R909=TODAY()),"🟡 VENCE HOJE",IF(AND(P909&lt;&gt;"",S909=""),"🟡 PENDÊNCIA ABERTA",IF(AND(N(J909)&gt;0,N(K909)&lt;J909),"🟡 FALTA EXECUTAR",IF(OR(M909="PENDENTE",M909="PARCIAL"),"🟡 FATURAMENTO PENDENTE","🟡 EMBARQUE PENDENTE")))))))))))</f>
        <v/>
      </c>
      <c r="D909" s="4" t="n"/>
      <c r="E909" s="5" t="n"/>
      <c r="F909" s="5" t="n"/>
      <c r="G909" s="5" t="n"/>
      <c r="H909" s="5" t="n"/>
      <c r="I909" s="5" t="n"/>
      <c r="J909" s="6" t="n"/>
      <c r="K909" s="6" t="n"/>
      <c r="L909" s="7">
        <f>IF(OR(D909="",N(J909)=0),"",MIN(1,N(K909)/J909))</f>
        <v/>
      </c>
      <c r="M909" s="5" t="n"/>
      <c r="N909" s="5" t="n"/>
      <c r="O909" s="5" t="n"/>
      <c r="P909" s="5" t="n"/>
      <c r="Q909" s="5" t="n"/>
      <c r="R909" s="4" t="n"/>
      <c r="S909" s="4" t="n"/>
      <c r="T909" s="5" t="n"/>
      <c r="U909" s="8">
        <f>IF(AND(V909=1,D909&lt;&gt;""),IF(D909&gt;=corte,TODAY()-D909,""),"")</f>
        <v/>
      </c>
      <c r="V909" s="8">
        <f>IF(D909="",0,IF(OR(AND(P909&lt;&gt;"",S909=""),AND(N(J909)&gt;0,N(K909)&lt;J909),OR(M909="PENDENTE",M909="PARCIAL"),OR(N909="PENDENTE",N909="PARCIAL")),1,0))</f>
        <v/>
      </c>
      <c r="W909" s="8">
        <f>IF(AND(V909=1,D909&lt;&gt;""),IF(D909&gt;=corte,(B909="CRÍTICO")*1E9+(100000-D909)*10000+10000-ROW(),""),"")</f>
        <v/>
      </c>
      <c r="X909" s="8">
        <f>IF(AND(V909=1,D909=pas_data,E909=pas_turno),10000-ROW(),"")</f>
        <v/>
      </c>
    </row>
    <row r="910">
      <c r="A910" s="3">
        <f>IF(D910="","","TT-"&amp;TEXT(ROW()-1,"00000"))</f>
        <v/>
      </c>
      <c r="B910" s="3">
        <f>IF(D910="","",IF(V910=0,"CONCLUÍDO",IF(D910&lt;corte,"HISTÓRICO",IF(OR(AND(ISNUMBER(R910),R910&lt;TODAY()),AND(OR(N910="PENDENTE",N910="PARCIAL"),D910&lt;TODAY()-1)),"CRÍTICO",IF(OR(AND(P910&lt;&gt;"",S910=""),AND(N910="REALIZADO",M910="PENDENTE"),AND(ISNUMBER(R910),R910=TODAY())),"ATENÇÃO",IF(N(K910)=0,"PENDENTE","EM ANDAMENTO"))))))</f>
        <v/>
      </c>
      <c r="C910" s="3">
        <f>IF(D910="","",IF(V910=0,"🟢 OK",IF(D910&lt;corte,"⚪ HISTÓRICO (sem baixa)",IF(AND(ISNUMBER(R910),R910&lt;TODAY()),"🔴 PRAZO VENCIDO",IF(AND(OR(N910="PENDENTE",N910="PARCIAL"),D910&lt;TODAY()-1),"🔴 EMBARQUE ATRASADO",IF(AND(N910="REALIZADO",M910="PENDENTE"),"🟡 EMBARCADO SEM FATURAR",IF(AND(P910&lt;&gt;"",S910="",OR(Q910="",R910="")),"🟡 PENDÊNCIA SEM RESPONSÁVEL/PRAZO",IF(AND(ISNUMBER(R910),R910=TODAY()),"🟡 VENCE HOJE",IF(AND(P910&lt;&gt;"",S910=""),"🟡 PENDÊNCIA ABERTA",IF(AND(N(J910)&gt;0,N(K910)&lt;J910),"🟡 FALTA EXECUTAR",IF(OR(M910="PENDENTE",M910="PARCIAL"),"🟡 FATURAMENTO PENDENTE","🟡 EMBARQUE PENDENTE")))))))))))</f>
        <v/>
      </c>
      <c r="D910" s="4" t="n"/>
      <c r="E910" s="5" t="n"/>
      <c r="F910" s="5" t="n"/>
      <c r="G910" s="5" t="n"/>
      <c r="H910" s="5" t="n"/>
      <c r="I910" s="5" t="n"/>
      <c r="J910" s="6" t="n"/>
      <c r="K910" s="6" t="n"/>
      <c r="L910" s="7">
        <f>IF(OR(D910="",N(J910)=0),"",MIN(1,N(K910)/J910))</f>
        <v/>
      </c>
      <c r="M910" s="5" t="n"/>
      <c r="N910" s="5" t="n"/>
      <c r="O910" s="5" t="n"/>
      <c r="P910" s="5" t="n"/>
      <c r="Q910" s="5" t="n"/>
      <c r="R910" s="4" t="n"/>
      <c r="S910" s="4" t="n"/>
      <c r="T910" s="5" t="n"/>
      <c r="U910" s="8">
        <f>IF(AND(V910=1,D910&lt;&gt;""),IF(D910&gt;=corte,TODAY()-D910,""),"")</f>
        <v/>
      </c>
      <c r="V910" s="8">
        <f>IF(D910="",0,IF(OR(AND(P910&lt;&gt;"",S910=""),AND(N(J910)&gt;0,N(K910)&lt;J910),OR(M910="PENDENTE",M910="PARCIAL"),OR(N910="PENDENTE",N910="PARCIAL")),1,0))</f>
        <v/>
      </c>
      <c r="W910" s="8">
        <f>IF(AND(V910=1,D910&lt;&gt;""),IF(D910&gt;=corte,(B910="CRÍTICO")*1E9+(100000-D910)*10000+10000-ROW(),""),"")</f>
        <v/>
      </c>
      <c r="X910" s="8">
        <f>IF(AND(V910=1,D910=pas_data,E910=pas_turno),10000-ROW(),"")</f>
        <v/>
      </c>
    </row>
    <row r="911">
      <c r="A911" s="3">
        <f>IF(D911="","","TT-"&amp;TEXT(ROW()-1,"00000"))</f>
        <v/>
      </c>
      <c r="B911" s="3">
        <f>IF(D911="","",IF(V911=0,"CONCLUÍDO",IF(D911&lt;corte,"HISTÓRICO",IF(OR(AND(ISNUMBER(R911),R911&lt;TODAY()),AND(OR(N911="PENDENTE",N911="PARCIAL"),D911&lt;TODAY()-1)),"CRÍTICO",IF(OR(AND(P911&lt;&gt;"",S911=""),AND(N911="REALIZADO",M911="PENDENTE"),AND(ISNUMBER(R911),R911=TODAY())),"ATENÇÃO",IF(N(K911)=0,"PENDENTE","EM ANDAMENTO"))))))</f>
        <v/>
      </c>
      <c r="C911" s="3">
        <f>IF(D911="","",IF(V911=0,"🟢 OK",IF(D911&lt;corte,"⚪ HISTÓRICO (sem baixa)",IF(AND(ISNUMBER(R911),R911&lt;TODAY()),"🔴 PRAZO VENCIDO",IF(AND(OR(N911="PENDENTE",N911="PARCIAL"),D911&lt;TODAY()-1),"🔴 EMBARQUE ATRASADO",IF(AND(N911="REALIZADO",M911="PENDENTE"),"🟡 EMBARCADO SEM FATURAR",IF(AND(P911&lt;&gt;"",S911="",OR(Q911="",R911="")),"🟡 PENDÊNCIA SEM RESPONSÁVEL/PRAZO",IF(AND(ISNUMBER(R911),R911=TODAY()),"🟡 VENCE HOJE",IF(AND(P911&lt;&gt;"",S911=""),"🟡 PENDÊNCIA ABERTA",IF(AND(N(J911)&gt;0,N(K911)&lt;J911),"🟡 FALTA EXECUTAR",IF(OR(M911="PENDENTE",M911="PARCIAL"),"🟡 FATURAMENTO PENDENTE","🟡 EMBARQUE PENDENTE")))))))))))</f>
        <v/>
      </c>
      <c r="D911" s="4" t="n"/>
      <c r="E911" s="5" t="n"/>
      <c r="F911" s="5" t="n"/>
      <c r="G911" s="5" t="n"/>
      <c r="H911" s="5" t="n"/>
      <c r="I911" s="5" t="n"/>
      <c r="J911" s="6" t="n"/>
      <c r="K911" s="6" t="n"/>
      <c r="L911" s="7">
        <f>IF(OR(D911="",N(J911)=0),"",MIN(1,N(K911)/J911))</f>
        <v/>
      </c>
      <c r="M911" s="5" t="n"/>
      <c r="N911" s="5" t="n"/>
      <c r="O911" s="5" t="n"/>
      <c r="P911" s="5" t="n"/>
      <c r="Q911" s="5" t="n"/>
      <c r="R911" s="4" t="n"/>
      <c r="S911" s="4" t="n"/>
      <c r="T911" s="5" t="n"/>
      <c r="U911" s="8">
        <f>IF(AND(V911=1,D911&lt;&gt;""),IF(D911&gt;=corte,TODAY()-D911,""),"")</f>
        <v/>
      </c>
      <c r="V911" s="8">
        <f>IF(D911="",0,IF(OR(AND(P911&lt;&gt;"",S911=""),AND(N(J911)&gt;0,N(K911)&lt;J911),OR(M911="PENDENTE",M911="PARCIAL"),OR(N911="PENDENTE",N911="PARCIAL")),1,0))</f>
        <v/>
      </c>
      <c r="W911" s="8">
        <f>IF(AND(V911=1,D911&lt;&gt;""),IF(D911&gt;=corte,(B911="CRÍTICO")*1E9+(100000-D911)*10000+10000-ROW(),""),"")</f>
        <v/>
      </c>
      <c r="X911" s="8">
        <f>IF(AND(V911=1,D911=pas_data,E911=pas_turno),10000-ROW(),"")</f>
        <v/>
      </c>
    </row>
    <row r="912">
      <c r="A912" s="3">
        <f>IF(D912="","","TT-"&amp;TEXT(ROW()-1,"00000"))</f>
        <v/>
      </c>
      <c r="B912" s="3">
        <f>IF(D912="","",IF(V912=0,"CONCLUÍDO",IF(D912&lt;corte,"HISTÓRICO",IF(OR(AND(ISNUMBER(R912),R912&lt;TODAY()),AND(OR(N912="PENDENTE",N912="PARCIAL"),D912&lt;TODAY()-1)),"CRÍTICO",IF(OR(AND(P912&lt;&gt;"",S912=""),AND(N912="REALIZADO",M912="PENDENTE"),AND(ISNUMBER(R912),R912=TODAY())),"ATENÇÃO",IF(N(K912)=0,"PENDENTE","EM ANDAMENTO"))))))</f>
        <v/>
      </c>
      <c r="C912" s="3">
        <f>IF(D912="","",IF(V912=0,"🟢 OK",IF(D912&lt;corte,"⚪ HISTÓRICO (sem baixa)",IF(AND(ISNUMBER(R912),R912&lt;TODAY()),"🔴 PRAZO VENCIDO",IF(AND(OR(N912="PENDENTE",N912="PARCIAL"),D912&lt;TODAY()-1),"🔴 EMBARQUE ATRASADO",IF(AND(N912="REALIZADO",M912="PENDENTE"),"🟡 EMBARCADO SEM FATURAR",IF(AND(P912&lt;&gt;"",S912="",OR(Q912="",R912="")),"🟡 PENDÊNCIA SEM RESPONSÁVEL/PRAZO",IF(AND(ISNUMBER(R912),R912=TODAY()),"🟡 VENCE HOJE",IF(AND(P912&lt;&gt;"",S912=""),"🟡 PENDÊNCIA ABERTA",IF(AND(N(J912)&gt;0,N(K912)&lt;J912),"🟡 FALTA EXECUTAR",IF(OR(M912="PENDENTE",M912="PARCIAL"),"🟡 FATURAMENTO PENDENTE","🟡 EMBARQUE PENDENTE")))))))))))</f>
        <v/>
      </c>
      <c r="D912" s="4" t="n"/>
      <c r="E912" s="5" t="n"/>
      <c r="F912" s="5" t="n"/>
      <c r="G912" s="5" t="n"/>
      <c r="H912" s="5" t="n"/>
      <c r="I912" s="5" t="n"/>
      <c r="J912" s="6" t="n"/>
      <c r="K912" s="6" t="n"/>
      <c r="L912" s="7">
        <f>IF(OR(D912="",N(J912)=0),"",MIN(1,N(K912)/J912))</f>
        <v/>
      </c>
      <c r="M912" s="5" t="n"/>
      <c r="N912" s="5" t="n"/>
      <c r="O912" s="5" t="n"/>
      <c r="P912" s="5" t="n"/>
      <c r="Q912" s="5" t="n"/>
      <c r="R912" s="4" t="n"/>
      <c r="S912" s="4" t="n"/>
      <c r="T912" s="5" t="n"/>
      <c r="U912" s="8">
        <f>IF(AND(V912=1,D912&lt;&gt;""),IF(D912&gt;=corte,TODAY()-D912,""),"")</f>
        <v/>
      </c>
      <c r="V912" s="8">
        <f>IF(D912="",0,IF(OR(AND(P912&lt;&gt;"",S912=""),AND(N(J912)&gt;0,N(K912)&lt;J912),OR(M912="PENDENTE",M912="PARCIAL"),OR(N912="PENDENTE",N912="PARCIAL")),1,0))</f>
        <v/>
      </c>
      <c r="W912" s="8">
        <f>IF(AND(V912=1,D912&lt;&gt;""),IF(D912&gt;=corte,(B912="CRÍTICO")*1E9+(100000-D912)*10000+10000-ROW(),""),"")</f>
        <v/>
      </c>
      <c r="X912" s="8">
        <f>IF(AND(V912=1,D912=pas_data,E912=pas_turno),10000-ROW(),"")</f>
        <v/>
      </c>
    </row>
    <row r="913">
      <c r="A913" s="3">
        <f>IF(D913="","","TT-"&amp;TEXT(ROW()-1,"00000"))</f>
        <v/>
      </c>
      <c r="B913" s="3">
        <f>IF(D913="","",IF(V913=0,"CONCLUÍDO",IF(D913&lt;corte,"HISTÓRICO",IF(OR(AND(ISNUMBER(R913),R913&lt;TODAY()),AND(OR(N913="PENDENTE",N913="PARCIAL"),D913&lt;TODAY()-1)),"CRÍTICO",IF(OR(AND(P913&lt;&gt;"",S913=""),AND(N913="REALIZADO",M913="PENDENTE"),AND(ISNUMBER(R913),R913=TODAY())),"ATENÇÃO",IF(N(K913)=0,"PENDENTE","EM ANDAMENTO"))))))</f>
        <v/>
      </c>
      <c r="C913" s="3">
        <f>IF(D913="","",IF(V913=0,"🟢 OK",IF(D913&lt;corte,"⚪ HISTÓRICO (sem baixa)",IF(AND(ISNUMBER(R913),R913&lt;TODAY()),"🔴 PRAZO VENCIDO",IF(AND(OR(N913="PENDENTE",N913="PARCIAL"),D913&lt;TODAY()-1),"🔴 EMBARQUE ATRASADO",IF(AND(N913="REALIZADO",M913="PENDENTE"),"🟡 EMBARCADO SEM FATURAR",IF(AND(P913&lt;&gt;"",S913="",OR(Q913="",R913="")),"🟡 PENDÊNCIA SEM RESPONSÁVEL/PRAZO",IF(AND(ISNUMBER(R913),R913=TODAY()),"🟡 VENCE HOJE",IF(AND(P913&lt;&gt;"",S913=""),"🟡 PENDÊNCIA ABERTA",IF(AND(N(J913)&gt;0,N(K913)&lt;J913),"🟡 FALTA EXECUTAR",IF(OR(M913="PENDENTE",M913="PARCIAL"),"🟡 FATURAMENTO PENDENTE","🟡 EMBARQUE PENDENTE")))))))))))</f>
        <v/>
      </c>
      <c r="D913" s="4" t="n"/>
      <c r="E913" s="5" t="n"/>
      <c r="F913" s="5" t="n"/>
      <c r="G913" s="5" t="n"/>
      <c r="H913" s="5" t="n"/>
      <c r="I913" s="5" t="n"/>
      <c r="J913" s="6" t="n"/>
      <c r="K913" s="6" t="n"/>
      <c r="L913" s="7">
        <f>IF(OR(D913="",N(J913)=0),"",MIN(1,N(K913)/J913))</f>
        <v/>
      </c>
      <c r="M913" s="5" t="n"/>
      <c r="N913" s="5" t="n"/>
      <c r="O913" s="5" t="n"/>
      <c r="P913" s="5" t="n"/>
      <c r="Q913" s="5" t="n"/>
      <c r="R913" s="4" t="n"/>
      <c r="S913" s="4" t="n"/>
      <c r="T913" s="5" t="n"/>
      <c r="U913" s="8">
        <f>IF(AND(V913=1,D913&lt;&gt;""),IF(D913&gt;=corte,TODAY()-D913,""),"")</f>
        <v/>
      </c>
      <c r="V913" s="8">
        <f>IF(D913="",0,IF(OR(AND(P913&lt;&gt;"",S913=""),AND(N(J913)&gt;0,N(K913)&lt;J913),OR(M913="PENDENTE",M913="PARCIAL"),OR(N913="PENDENTE",N913="PARCIAL")),1,0))</f>
        <v/>
      </c>
      <c r="W913" s="8">
        <f>IF(AND(V913=1,D913&lt;&gt;""),IF(D913&gt;=corte,(B913="CRÍTICO")*1E9+(100000-D913)*10000+10000-ROW(),""),"")</f>
        <v/>
      </c>
      <c r="X913" s="8">
        <f>IF(AND(V913=1,D913=pas_data,E913=pas_turno),10000-ROW(),"")</f>
        <v/>
      </c>
    </row>
    <row r="914">
      <c r="A914" s="3">
        <f>IF(D914="","","TT-"&amp;TEXT(ROW()-1,"00000"))</f>
        <v/>
      </c>
      <c r="B914" s="3">
        <f>IF(D914="","",IF(V914=0,"CONCLUÍDO",IF(D914&lt;corte,"HISTÓRICO",IF(OR(AND(ISNUMBER(R914),R914&lt;TODAY()),AND(OR(N914="PENDENTE",N914="PARCIAL"),D914&lt;TODAY()-1)),"CRÍTICO",IF(OR(AND(P914&lt;&gt;"",S914=""),AND(N914="REALIZADO",M914="PENDENTE"),AND(ISNUMBER(R914),R914=TODAY())),"ATENÇÃO",IF(N(K914)=0,"PENDENTE","EM ANDAMENTO"))))))</f>
        <v/>
      </c>
      <c r="C914" s="3">
        <f>IF(D914="","",IF(V914=0,"🟢 OK",IF(D914&lt;corte,"⚪ HISTÓRICO (sem baixa)",IF(AND(ISNUMBER(R914),R914&lt;TODAY()),"🔴 PRAZO VENCIDO",IF(AND(OR(N914="PENDENTE",N914="PARCIAL"),D914&lt;TODAY()-1),"🔴 EMBARQUE ATRASADO",IF(AND(N914="REALIZADO",M914="PENDENTE"),"🟡 EMBARCADO SEM FATURAR",IF(AND(P914&lt;&gt;"",S914="",OR(Q914="",R914="")),"🟡 PENDÊNCIA SEM RESPONSÁVEL/PRAZO",IF(AND(ISNUMBER(R914),R914=TODAY()),"🟡 VENCE HOJE",IF(AND(P914&lt;&gt;"",S914=""),"🟡 PENDÊNCIA ABERTA",IF(AND(N(J914)&gt;0,N(K914)&lt;J914),"🟡 FALTA EXECUTAR",IF(OR(M914="PENDENTE",M914="PARCIAL"),"🟡 FATURAMENTO PENDENTE","🟡 EMBARQUE PENDENTE")))))))))))</f>
        <v/>
      </c>
      <c r="D914" s="4" t="n"/>
      <c r="E914" s="5" t="n"/>
      <c r="F914" s="5" t="n"/>
      <c r="G914" s="5" t="n"/>
      <c r="H914" s="5" t="n"/>
      <c r="I914" s="5" t="n"/>
      <c r="J914" s="6" t="n"/>
      <c r="K914" s="6" t="n"/>
      <c r="L914" s="7">
        <f>IF(OR(D914="",N(J914)=0),"",MIN(1,N(K914)/J914))</f>
        <v/>
      </c>
      <c r="M914" s="5" t="n"/>
      <c r="N914" s="5" t="n"/>
      <c r="O914" s="5" t="n"/>
      <c r="P914" s="5" t="n"/>
      <c r="Q914" s="5" t="n"/>
      <c r="R914" s="4" t="n"/>
      <c r="S914" s="4" t="n"/>
      <c r="T914" s="5" t="n"/>
      <c r="U914" s="8">
        <f>IF(AND(V914=1,D914&lt;&gt;""),IF(D914&gt;=corte,TODAY()-D914,""),"")</f>
        <v/>
      </c>
      <c r="V914" s="8">
        <f>IF(D914="",0,IF(OR(AND(P914&lt;&gt;"",S914=""),AND(N(J914)&gt;0,N(K914)&lt;J914),OR(M914="PENDENTE",M914="PARCIAL"),OR(N914="PENDENTE",N914="PARCIAL")),1,0))</f>
        <v/>
      </c>
      <c r="W914" s="8">
        <f>IF(AND(V914=1,D914&lt;&gt;""),IF(D914&gt;=corte,(B914="CRÍTICO")*1E9+(100000-D914)*10000+10000-ROW(),""),"")</f>
        <v/>
      </c>
      <c r="X914" s="8">
        <f>IF(AND(V914=1,D914=pas_data,E914=pas_turno),10000-ROW(),"")</f>
        <v/>
      </c>
    </row>
    <row r="915">
      <c r="A915" s="3">
        <f>IF(D915="","","TT-"&amp;TEXT(ROW()-1,"00000"))</f>
        <v/>
      </c>
      <c r="B915" s="3">
        <f>IF(D915="","",IF(V915=0,"CONCLUÍDO",IF(D915&lt;corte,"HISTÓRICO",IF(OR(AND(ISNUMBER(R915),R915&lt;TODAY()),AND(OR(N915="PENDENTE",N915="PARCIAL"),D915&lt;TODAY()-1)),"CRÍTICO",IF(OR(AND(P915&lt;&gt;"",S915=""),AND(N915="REALIZADO",M915="PENDENTE"),AND(ISNUMBER(R915),R915=TODAY())),"ATENÇÃO",IF(N(K915)=0,"PENDENTE","EM ANDAMENTO"))))))</f>
        <v/>
      </c>
      <c r="C915" s="3">
        <f>IF(D915="","",IF(V915=0,"🟢 OK",IF(D915&lt;corte,"⚪ HISTÓRICO (sem baixa)",IF(AND(ISNUMBER(R915),R915&lt;TODAY()),"🔴 PRAZO VENCIDO",IF(AND(OR(N915="PENDENTE",N915="PARCIAL"),D915&lt;TODAY()-1),"🔴 EMBARQUE ATRASADO",IF(AND(N915="REALIZADO",M915="PENDENTE"),"🟡 EMBARCADO SEM FATURAR",IF(AND(P915&lt;&gt;"",S915="",OR(Q915="",R915="")),"🟡 PENDÊNCIA SEM RESPONSÁVEL/PRAZO",IF(AND(ISNUMBER(R915),R915=TODAY()),"🟡 VENCE HOJE",IF(AND(P915&lt;&gt;"",S915=""),"🟡 PENDÊNCIA ABERTA",IF(AND(N(J915)&gt;0,N(K915)&lt;J915),"🟡 FALTA EXECUTAR",IF(OR(M915="PENDENTE",M915="PARCIAL"),"🟡 FATURAMENTO PENDENTE","🟡 EMBARQUE PENDENTE")))))))))))</f>
        <v/>
      </c>
      <c r="D915" s="4" t="n"/>
      <c r="E915" s="5" t="n"/>
      <c r="F915" s="5" t="n"/>
      <c r="G915" s="5" t="n"/>
      <c r="H915" s="5" t="n"/>
      <c r="I915" s="5" t="n"/>
      <c r="J915" s="6" t="n"/>
      <c r="K915" s="6" t="n"/>
      <c r="L915" s="7">
        <f>IF(OR(D915="",N(J915)=0),"",MIN(1,N(K915)/J915))</f>
        <v/>
      </c>
      <c r="M915" s="5" t="n"/>
      <c r="N915" s="5" t="n"/>
      <c r="O915" s="5" t="n"/>
      <c r="P915" s="5" t="n"/>
      <c r="Q915" s="5" t="n"/>
      <c r="R915" s="4" t="n"/>
      <c r="S915" s="4" t="n"/>
      <c r="T915" s="5" t="n"/>
      <c r="U915" s="8">
        <f>IF(AND(V915=1,D915&lt;&gt;""),IF(D915&gt;=corte,TODAY()-D915,""),"")</f>
        <v/>
      </c>
      <c r="V915" s="8">
        <f>IF(D915="",0,IF(OR(AND(P915&lt;&gt;"",S915=""),AND(N(J915)&gt;0,N(K915)&lt;J915),OR(M915="PENDENTE",M915="PARCIAL"),OR(N915="PENDENTE",N915="PARCIAL")),1,0))</f>
        <v/>
      </c>
      <c r="W915" s="8">
        <f>IF(AND(V915=1,D915&lt;&gt;""),IF(D915&gt;=corte,(B915="CRÍTICO")*1E9+(100000-D915)*10000+10000-ROW(),""),"")</f>
        <v/>
      </c>
      <c r="X915" s="8">
        <f>IF(AND(V915=1,D915=pas_data,E915=pas_turno),10000-ROW(),"")</f>
        <v/>
      </c>
    </row>
    <row r="916">
      <c r="A916" s="3">
        <f>IF(D916="","","TT-"&amp;TEXT(ROW()-1,"00000"))</f>
        <v/>
      </c>
      <c r="B916" s="3">
        <f>IF(D916="","",IF(V916=0,"CONCLUÍDO",IF(D916&lt;corte,"HISTÓRICO",IF(OR(AND(ISNUMBER(R916),R916&lt;TODAY()),AND(OR(N916="PENDENTE",N916="PARCIAL"),D916&lt;TODAY()-1)),"CRÍTICO",IF(OR(AND(P916&lt;&gt;"",S916=""),AND(N916="REALIZADO",M916="PENDENTE"),AND(ISNUMBER(R916),R916=TODAY())),"ATENÇÃO",IF(N(K916)=0,"PENDENTE","EM ANDAMENTO"))))))</f>
        <v/>
      </c>
      <c r="C916" s="3">
        <f>IF(D916="","",IF(V916=0,"🟢 OK",IF(D916&lt;corte,"⚪ HISTÓRICO (sem baixa)",IF(AND(ISNUMBER(R916),R916&lt;TODAY()),"🔴 PRAZO VENCIDO",IF(AND(OR(N916="PENDENTE",N916="PARCIAL"),D916&lt;TODAY()-1),"🔴 EMBARQUE ATRASADO",IF(AND(N916="REALIZADO",M916="PENDENTE"),"🟡 EMBARCADO SEM FATURAR",IF(AND(P916&lt;&gt;"",S916="",OR(Q916="",R916="")),"🟡 PENDÊNCIA SEM RESPONSÁVEL/PRAZO",IF(AND(ISNUMBER(R916),R916=TODAY()),"🟡 VENCE HOJE",IF(AND(P916&lt;&gt;"",S916=""),"🟡 PENDÊNCIA ABERTA",IF(AND(N(J916)&gt;0,N(K916)&lt;J916),"🟡 FALTA EXECUTAR",IF(OR(M916="PENDENTE",M916="PARCIAL"),"🟡 FATURAMENTO PENDENTE","🟡 EMBARQUE PENDENTE")))))))))))</f>
        <v/>
      </c>
      <c r="D916" s="4" t="n"/>
      <c r="E916" s="5" t="n"/>
      <c r="F916" s="5" t="n"/>
      <c r="G916" s="5" t="n"/>
      <c r="H916" s="5" t="n"/>
      <c r="I916" s="5" t="n"/>
      <c r="J916" s="6" t="n"/>
      <c r="K916" s="6" t="n"/>
      <c r="L916" s="7">
        <f>IF(OR(D916="",N(J916)=0),"",MIN(1,N(K916)/J916))</f>
        <v/>
      </c>
      <c r="M916" s="5" t="n"/>
      <c r="N916" s="5" t="n"/>
      <c r="O916" s="5" t="n"/>
      <c r="P916" s="5" t="n"/>
      <c r="Q916" s="5" t="n"/>
      <c r="R916" s="4" t="n"/>
      <c r="S916" s="4" t="n"/>
      <c r="T916" s="5" t="n"/>
      <c r="U916" s="8">
        <f>IF(AND(V916=1,D916&lt;&gt;""),IF(D916&gt;=corte,TODAY()-D916,""),"")</f>
        <v/>
      </c>
      <c r="V916" s="8">
        <f>IF(D916="",0,IF(OR(AND(P916&lt;&gt;"",S916=""),AND(N(J916)&gt;0,N(K916)&lt;J916),OR(M916="PENDENTE",M916="PARCIAL"),OR(N916="PENDENTE",N916="PARCIAL")),1,0))</f>
        <v/>
      </c>
      <c r="W916" s="8">
        <f>IF(AND(V916=1,D916&lt;&gt;""),IF(D916&gt;=corte,(B916="CRÍTICO")*1E9+(100000-D916)*10000+10000-ROW(),""),"")</f>
        <v/>
      </c>
      <c r="X916" s="8">
        <f>IF(AND(V916=1,D916=pas_data,E916=pas_turno),10000-ROW(),"")</f>
        <v/>
      </c>
    </row>
    <row r="917">
      <c r="A917" s="3">
        <f>IF(D917="","","TT-"&amp;TEXT(ROW()-1,"00000"))</f>
        <v/>
      </c>
      <c r="B917" s="3">
        <f>IF(D917="","",IF(V917=0,"CONCLUÍDO",IF(D917&lt;corte,"HISTÓRICO",IF(OR(AND(ISNUMBER(R917),R917&lt;TODAY()),AND(OR(N917="PENDENTE",N917="PARCIAL"),D917&lt;TODAY()-1)),"CRÍTICO",IF(OR(AND(P917&lt;&gt;"",S917=""),AND(N917="REALIZADO",M917="PENDENTE"),AND(ISNUMBER(R917),R917=TODAY())),"ATENÇÃO",IF(N(K917)=0,"PENDENTE","EM ANDAMENTO"))))))</f>
        <v/>
      </c>
      <c r="C917" s="3">
        <f>IF(D917="","",IF(V917=0,"🟢 OK",IF(D917&lt;corte,"⚪ HISTÓRICO (sem baixa)",IF(AND(ISNUMBER(R917),R917&lt;TODAY()),"🔴 PRAZO VENCIDO",IF(AND(OR(N917="PENDENTE",N917="PARCIAL"),D917&lt;TODAY()-1),"🔴 EMBARQUE ATRASADO",IF(AND(N917="REALIZADO",M917="PENDENTE"),"🟡 EMBARCADO SEM FATURAR",IF(AND(P917&lt;&gt;"",S917="",OR(Q917="",R917="")),"🟡 PENDÊNCIA SEM RESPONSÁVEL/PRAZO",IF(AND(ISNUMBER(R917),R917=TODAY()),"🟡 VENCE HOJE",IF(AND(P917&lt;&gt;"",S917=""),"🟡 PENDÊNCIA ABERTA",IF(AND(N(J917)&gt;0,N(K917)&lt;J917),"🟡 FALTA EXECUTAR",IF(OR(M917="PENDENTE",M917="PARCIAL"),"🟡 FATURAMENTO PENDENTE","🟡 EMBARQUE PENDENTE")))))))))))</f>
        <v/>
      </c>
      <c r="D917" s="4" t="n"/>
      <c r="E917" s="5" t="n"/>
      <c r="F917" s="5" t="n"/>
      <c r="G917" s="5" t="n"/>
      <c r="H917" s="5" t="n"/>
      <c r="I917" s="5" t="n"/>
      <c r="J917" s="6" t="n"/>
      <c r="K917" s="6" t="n"/>
      <c r="L917" s="7">
        <f>IF(OR(D917="",N(J917)=0),"",MIN(1,N(K917)/J917))</f>
        <v/>
      </c>
      <c r="M917" s="5" t="n"/>
      <c r="N917" s="5" t="n"/>
      <c r="O917" s="5" t="n"/>
      <c r="P917" s="5" t="n"/>
      <c r="Q917" s="5" t="n"/>
      <c r="R917" s="4" t="n"/>
      <c r="S917" s="4" t="n"/>
      <c r="T917" s="5" t="n"/>
      <c r="U917" s="8">
        <f>IF(AND(V917=1,D917&lt;&gt;""),IF(D917&gt;=corte,TODAY()-D917,""),"")</f>
        <v/>
      </c>
      <c r="V917" s="8">
        <f>IF(D917="",0,IF(OR(AND(P917&lt;&gt;"",S917=""),AND(N(J917)&gt;0,N(K917)&lt;J917),OR(M917="PENDENTE",M917="PARCIAL"),OR(N917="PENDENTE",N917="PARCIAL")),1,0))</f>
        <v/>
      </c>
      <c r="W917" s="8">
        <f>IF(AND(V917=1,D917&lt;&gt;""),IF(D917&gt;=corte,(B917="CRÍTICO")*1E9+(100000-D917)*10000+10000-ROW(),""),"")</f>
        <v/>
      </c>
      <c r="X917" s="8">
        <f>IF(AND(V917=1,D917=pas_data,E917=pas_turno),10000-ROW(),"")</f>
        <v/>
      </c>
    </row>
    <row r="918">
      <c r="A918" s="3">
        <f>IF(D918="","","TT-"&amp;TEXT(ROW()-1,"00000"))</f>
        <v/>
      </c>
      <c r="B918" s="3">
        <f>IF(D918="","",IF(V918=0,"CONCLUÍDO",IF(D918&lt;corte,"HISTÓRICO",IF(OR(AND(ISNUMBER(R918),R918&lt;TODAY()),AND(OR(N918="PENDENTE",N918="PARCIAL"),D918&lt;TODAY()-1)),"CRÍTICO",IF(OR(AND(P918&lt;&gt;"",S918=""),AND(N918="REALIZADO",M918="PENDENTE"),AND(ISNUMBER(R918),R918=TODAY())),"ATENÇÃO",IF(N(K918)=0,"PENDENTE","EM ANDAMENTO"))))))</f>
        <v/>
      </c>
      <c r="C918" s="3">
        <f>IF(D918="","",IF(V918=0,"🟢 OK",IF(D918&lt;corte,"⚪ HISTÓRICO (sem baixa)",IF(AND(ISNUMBER(R918),R918&lt;TODAY()),"🔴 PRAZO VENCIDO",IF(AND(OR(N918="PENDENTE",N918="PARCIAL"),D918&lt;TODAY()-1),"🔴 EMBARQUE ATRASADO",IF(AND(N918="REALIZADO",M918="PENDENTE"),"🟡 EMBARCADO SEM FATURAR",IF(AND(P918&lt;&gt;"",S918="",OR(Q918="",R918="")),"🟡 PENDÊNCIA SEM RESPONSÁVEL/PRAZO",IF(AND(ISNUMBER(R918),R918=TODAY()),"🟡 VENCE HOJE",IF(AND(P918&lt;&gt;"",S918=""),"🟡 PENDÊNCIA ABERTA",IF(AND(N(J918)&gt;0,N(K918)&lt;J918),"🟡 FALTA EXECUTAR",IF(OR(M918="PENDENTE",M918="PARCIAL"),"🟡 FATURAMENTO PENDENTE","🟡 EMBARQUE PENDENTE")))))))))))</f>
        <v/>
      </c>
      <c r="D918" s="4" t="n"/>
      <c r="E918" s="5" t="n"/>
      <c r="F918" s="5" t="n"/>
      <c r="G918" s="5" t="n"/>
      <c r="H918" s="5" t="n"/>
      <c r="I918" s="5" t="n"/>
      <c r="J918" s="6" t="n"/>
      <c r="K918" s="6" t="n"/>
      <c r="L918" s="7">
        <f>IF(OR(D918="",N(J918)=0),"",MIN(1,N(K918)/J918))</f>
        <v/>
      </c>
      <c r="M918" s="5" t="n"/>
      <c r="N918" s="5" t="n"/>
      <c r="O918" s="5" t="n"/>
      <c r="P918" s="5" t="n"/>
      <c r="Q918" s="5" t="n"/>
      <c r="R918" s="4" t="n"/>
      <c r="S918" s="4" t="n"/>
      <c r="T918" s="5" t="n"/>
      <c r="U918" s="8">
        <f>IF(AND(V918=1,D918&lt;&gt;""),IF(D918&gt;=corte,TODAY()-D918,""),"")</f>
        <v/>
      </c>
      <c r="V918" s="8">
        <f>IF(D918="",0,IF(OR(AND(P918&lt;&gt;"",S918=""),AND(N(J918)&gt;0,N(K918)&lt;J918),OR(M918="PENDENTE",M918="PARCIAL"),OR(N918="PENDENTE",N918="PARCIAL")),1,0))</f>
        <v/>
      </c>
      <c r="W918" s="8">
        <f>IF(AND(V918=1,D918&lt;&gt;""),IF(D918&gt;=corte,(B918="CRÍTICO")*1E9+(100000-D918)*10000+10000-ROW(),""),"")</f>
        <v/>
      </c>
      <c r="X918" s="8">
        <f>IF(AND(V918=1,D918=pas_data,E918=pas_turno),10000-ROW(),"")</f>
        <v/>
      </c>
    </row>
    <row r="919">
      <c r="A919" s="3">
        <f>IF(D919="","","TT-"&amp;TEXT(ROW()-1,"00000"))</f>
        <v/>
      </c>
      <c r="B919" s="3">
        <f>IF(D919="","",IF(V919=0,"CONCLUÍDO",IF(D919&lt;corte,"HISTÓRICO",IF(OR(AND(ISNUMBER(R919),R919&lt;TODAY()),AND(OR(N919="PENDENTE",N919="PARCIAL"),D919&lt;TODAY()-1)),"CRÍTICO",IF(OR(AND(P919&lt;&gt;"",S919=""),AND(N919="REALIZADO",M919="PENDENTE"),AND(ISNUMBER(R919),R919=TODAY())),"ATENÇÃO",IF(N(K919)=0,"PENDENTE","EM ANDAMENTO"))))))</f>
        <v/>
      </c>
      <c r="C919" s="3">
        <f>IF(D919="","",IF(V919=0,"🟢 OK",IF(D919&lt;corte,"⚪ HISTÓRICO (sem baixa)",IF(AND(ISNUMBER(R919),R919&lt;TODAY()),"🔴 PRAZO VENCIDO",IF(AND(OR(N919="PENDENTE",N919="PARCIAL"),D919&lt;TODAY()-1),"🔴 EMBARQUE ATRASADO",IF(AND(N919="REALIZADO",M919="PENDENTE"),"🟡 EMBARCADO SEM FATURAR",IF(AND(P919&lt;&gt;"",S919="",OR(Q919="",R919="")),"🟡 PENDÊNCIA SEM RESPONSÁVEL/PRAZO",IF(AND(ISNUMBER(R919),R919=TODAY()),"🟡 VENCE HOJE",IF(AND(P919&lt;&gt;"",S919=""),"🟡 PENDÊNCIA ABERTA",IF(AND(N(J919)&gt;0,N(K919)&lt;J919),"🟡 FALTA EXECUTAR",IF(OR(M919="PENDENTE",M919="PARCIAL"),"🟡 FATURAMENTO PENDENTE","🟡 EMBARQUE PENDENTE")))))))))))</f>
        <v/>
      </c>
      <c r="D919" s="4" t="n"/>
      <c r="E919" s="5" t="n"/>
      <c r="F919" s="5" t="n"/>
      <c r="G919" s="5" t="n"/>
      <c r="H919" s="5" t="n"/>
      <c r="I919" s="5" t="n"/>
      <c r="J919" s="6" t="n"/>
      <c r="K919" s="6" t="n"/>
      <c r="L919" s="7">
        <f>IF(OR(D919="",N(J919)=0),"",MIN(1,N(K919)/J919))</f>
        <v/>
      </c>
      <c r="M919" s="5" t="n"/>
      <c r="N919" s="5" t="n"/>
      <c r="O919" s="5" t="n"/>
      <c r="P919" s="5" t="n"/>
      <c r="Q919" s="5" t="n"/>
      <c r="R919" s="4" t="n"/>
      <c r="S919" s="4" t="n"/>
      <c r="T919" s="5" t="n"/>
      <c r="U919" s="8">
        <f>IF(AND(V919=1,D919&lt;&gt;""),IF(D919&gt;=corte,TODAY()-D919,""),"")</f>
        <v/>
      </c>
      <c r="V919" s="8">
        <f>IF(D919="",0,IF(OR(AND(P919&lt;&gt;"",S919=""),AND(N(J919)&gt;0,N(K919)&lt;J919),OR(M919="PENDENTE",M919="PARCIAL"),OR(N919="PENDENTE",N919="PARCIAL")),1,0))</f>
        <v/>
      </c>
      <c r="W919" s="8">
        <f>IF(AND(V919=1,D919&lt;&gt;""),IF(D919&gt;=corte,(B919="CRÍTICO")*1E9+(100000-D919)*10000+10000-ROW(),""),"")</f>
        <v/>
      </c>
      <c r="X919" s="8">
        <f>IF(AND(V919=1,D919=pas_data,E919=pas_turno),10000-ROW(),"")</f>
        <v/>
      </c>
    </row>
    <row r="920">
      <c r="A920" s="3">
        <f>IF(D920="","","TT-"&amp;TEXT(ROW()-1,"00000"))</f>
        <v/>
      </c>
      <c r="B920" s="3">
        <f>IF(D920="","",IF(V920=0,"CONCLUÍDO",IF(D920&lt;corte,"HISTÓRICO",IF(OR(AND(ISNUMBER(R920),R920&lt;TODAY()),AND(OR(N920="PENDENTE",N920="PARCIAL"),D920&lt;TODAY()-1)),"CRÍTICO",IF(OR(AND(P920&lt;&gt;"",S920=""),AND(N920="REALIZADO",M920="PENDENTE"),AND(ISNUMBER(R920),R920=TODAY())),"ATENÇÃO",IF(N(K920)=0,"PENDENTE","EM ANDAMENTO"))))))</f>
        <v/>
      </c>
      <c r="C920" s="3">
        <f>IF(D920="","",IF(V920=0,"🟢 OK",IF(D920&lt;corte,"⚪ HISTÓRICO (sem baixa)",IF(AND(ISNUMBER(R920),R920&lt;TODAY()),"🔴 PRAZO VENCIDO",IF(AND(OR(N920="PENDENTE",N920="PARCIAL"),D920&lt;TODAY()-1),"🔴 EMBARQUE ATRASADO",IF(AND(N920="REALIZADO",M920="PENDENTE"),"🟡 EMBARCADO SEM FATURAR",IF(AND(P920&lt;&gt;"",S920="",OR(Q920="",R920="")),"🟡 PENDÊNCIA SEM RESPONSÁVEL/PRAZO",IF(AND(ISNUMBER(R920),R920=TODAY()),"🟡 VENCE HOJE",IF(AND(P920&lt;&gt;"",S920=""),"🟡 PENDÊNCIA ABERTA",IF(AND(N(J920)&gt;0,N(K920)&lt;J920),"🟡 FALTA EXECUTAR",IF(OR(M920="PENDENTE",M920="PARCIAL"),"🟡 FATURAMENTO PENDENTE","🟡 EMBARQUE PENDENTE")))))))))))</f>
        <v/>
      </c>
      <c r="D920" s="4" t="n"/>
      <c r="E920" s="5" t="n"/>
      <c r="F920" s="5" t="n"/>
      <c r="G920" s="5" t="n"/>
      <c r="H920" s="5" t="n"/>
      <c r="I920" s="5" t="n"/>
      <c r="J920" s="6" t="n"/>
      <c r="K920" s="6" t="n"/>
      <c r="L920" s="7">
        <f>IF(OR(D920="",N(J920)=0),"",MIN(1,N(K920)/J920))</f>
        <v/>
      </c>
      <c r="M920" s="5" t="n"/>
      <c r="N920" s="5" t="n"/>
      <c r="O920" s="5" t="n"/>
      <c r="P920" s="5" t="n"/>
      <c r="Q920" s="5" t="n"/>
      <c r="R920" s="4" t="n"/>
      <c r="S920" s="4" t="n"/>
      <c r="T920" s="5" t="n"/>
      <c r="U920" s="8">
        <f>IF(AND(V920=1,D920&lt;&gt;""),IF(D920&gt;=corte,TODAY()-D920,""),"")</f>
        <v/>
      </c>
      <c r="V920" s="8">
        <f>IF(D920="",0,IF(OR(AND(P920&lt;&gt;"",S920=""),AND(N(J920)&gt;0,N(K920)&lt;J920),OR(M920="PENDENTE",M920="PARCIAL"),OR(N920="PENDENTE",N920="PARCIAL")),1,0))</f>
        <v/>
      </c>
      <c r="W920" s="8">
        <f>IF(AND(V920=1,D920&lt;&gt;""),IF(D920&gt;=corte,(B920="CRÍTICO")*1E9+(100000-D920)*10000+10000-ROW(),""),"")</f>
        <v/>
      </c>
      <c r="X920" s="8">
        <f>IF(AND(V920=1,D920=pas_data,E920=pas_turno),10000-ROW(),"")</f>
        <v/>
      </c>
    </row>
    <row r="921">
      <c r="A921" s="3">
        <f>IF(D921="","","TT-"&amp;TEXT(ROW()-1,"00000"))</f>
        <v/>
      </c>
      <c r="B921" s="3">
        <f>IF(D921="","",IF(V921=0,"CONCLUÍDO",IF(D921&lt;corte,"HISTÓRICO",IF(OR(AND(ISNUMBER(R921),R921&lt;TODAY()),AND(OR(N921="PENDENTE",N921="PARCIAL"),D921&lt;TODAY()-1)),"CRÍTICO",IF(OR(AND(P921&lt;&gt;"",S921=""),AND(N921="REALIZADO",M921="PENDENTE"),AND(ISNUMBER(R921),R921=TODAY())),"ATENÇÃO",IF(N(K921)=0,"PENDENTE","EM ANDAMENTO"))))))</f>
        <v/>
      </c>
      <c r="C921" s="3">
        <f>IF(D921="","",IF(V921=0,"🟢 OK",IF(D921&lt;corte,"⚪ HISTÓRICO (sem baixa)",IF(AND(ISNUMBER(R921),R921&lt;TODAY()),"🔴 PRAZO VENCIDO",IF(AND(OR(N921="PENDENTE",N921="PARCIAL"),D921&lt;TODAY()-1),"🔴 EMBARQUE ATRASADO",IF(AND(N921="REALIZADO",M921="PENDENTE"),"🟡 EMBARCADO SEM FATURAR",IF(AND(P921&lt;&gt;"",S921="",OR(Q921="",R921="")),"🟡 PENDÊNCIA SEM RESPONSÁVEL/PRAZO",IF(AND(ISNUMBER(R921),R921=TODAY()),"🟡 VENCE HOJE",IF(AND(P921&lt;&gt;"",S921=""),"🟡 PENDÊNCIA ABERTA",IF(AND(N(J921)&gt;0,N(K921)&lt;J921),"🟡 FALTA EXECUTAR",IF(OR(M921="PENDENTE",M921="PARCIAL"),"🟡 FATURAMENTO PENDENTE","🟡 EMBARQUE PENDENTE")))))))))))</f>
        <v/>
      </c>
      <c r="D921" s="4" t="n"/>
      <c r="E921" s="5" t="n"/>
      <c r="F921" s="5" t="n"/>
      <c r="G921" s="5" t="n"/>
      <c r="H921" s="5" t="n"/>
      <c r="I921" s="5" t="n"/>
      <c r="J921" s="6" t="n"/>
      <c r="K921" s="6" t="n"/>
      <c r="L921" s="7">
        <f>IF(OR(D921="",N(J921)=0),"",MIN(1,N(K921)/J921))</f>
        <v/>
      </c>
      <c r="M921" s="5" t="n"/>
      <c r="N921" s="5" t="n"/>
      <c r="O921" s="5" t="n"/>
      <c r="P921" s="5" t="n"/>
      <c r="Q921" s="5" t="n"/>
      <c r="R921" s="4" t="n"/>
      <c r="S921" s="4" t="n"/>
      <c r="T921" s="5" t="n"/>
      <c r="U921" s="8">
        <f>IF(AND(V921=1,D921&lt;&gt;""),IF(D921&gt;=corte,TODAY()-D921,""),"")</f>
        <v/>
      </c>
      <c r="V921" s="8">
        <f>IF(D921="",0,IF(OR(AND(P921&lt;&gt;"",S921=""),AND(N(J921)&gt;0,N(K921)&lt;J921),OR(M921="PENDENTE",M921="PARCIAL"),OR(N921="PENDENTE",N921="PARCIAL")),1,0))</f>
        <v/>
      </c>
      <c r="W921" s="8">
        <f>IF(AND(V921=1,D921&lt;&gt;""),IF(D921&gt;=corte,(B921="CRÍTICO")*1E9+(100000-D921)*10000+10000-ROW(),""),"")</f>
        <v/>
      </c>
      <c r="X921" s="8">
        <f>IF(AND(V921=1,D921=pas_data,E921=pas_turno),10000-ROW(),"")</f>
        <v/>
      </c>
    </row>
    <row r="922">
      <c r="A922" s="3">
        <f>IF(D922="","","TT-"&amp;TEXT(ROW()-1,"00000"))</f>
        <v/>
      </c>
      <c r="B922" s="3">
        <f>IF(D922="","",IF(V922=0,"CONCLUÍDO",IF(D922&lt;corte,"HISTÓRICO",IF(OR(AND(ISNUMBER(R922),R922&lt;TODAY()),AND(OR(N922="PENDENTE",N922="PARCIAL"),D922&lt;TODAY()-1)),"CRÍTICO",IF(OR(AND(P922&lt;&gt;"",S922=""),AND(N922="REALIZADO",M922="PENDENTE"),AND(ISNUMBER(R922),R922=TODAY())),"ATENÇÃO",IF(N(K922)=0,"PENDENTE","EM ANDAMENTO"))))))</f>
        <v/>
      </c>
      <c r="C922" s="3">
        <f>IF(D922="","",IF(V922=0,"🟢 OK",IF(D922&lt;corte,"⚪ HISTÓRICO (sem baixa)",IF(AND(ISNUMBER(R922),R922&lt;TODAY()),"🔴 PRAZO VENCIDO",IF(AND(OR(N922="PENDENTE",N922="PARCIAL"),D922&lt;TODAY()-1),"🔴 EMBARQUE ATRASADO",IF(AND(N922="REALIZADO",M922="PENDENTE"),"🟡 EMBARCADO SEM FATURAR",IF(AND(P922&lt;&gt;"",S922="",OR(Q922="",R922="")),"🟡 PENDÊNCIA SEM RESPONSÁVEL/PRAZO",IF(AND(ISNUMBER(R922),R922=TODAY()),"🟡 VENCE HOJE",IF(AND(P922&lt;&gt;"",S922=""),"🟡 PENDÊNCIA ABERTA",IF(AND(N(J922)&gt;0,N(K922)&lt;J922),"🟡 FALTA EXECUTAR",IF(OR(M922="PENDENTE",M922="PARCIAL"),"🟡 FATURAMENTO PENDENTE","🟡 EMBARQUE PENDENTE")))))))))))</f>
        <v/>
      </c>
      <c r="D922" s="4" t="n"/>
      <c r="E922" s="5" t="n"/>
      <c r="F922" s="5" t="n"/>
      <c r="G922" s="5" t="n"/>
      <c r="H922" s="5" t="n"/>
      <c r="I922" s="5" t="n"/>
      <c r="J922" s="6" t="n"/>
      <c r="K922" s="6" t="n"/>
      <c r="L922" s="7">
        <f>IF(OR(D922="",N(J922)=0),"",MIN(1,N(K922)/J922))</f>
        <v/>
      </c>
      <c r="M922" s="5" t="n"/>
      <c r="N922" s="5" t="n"/>
      <c r="O922" s="5" t="n"/>
      <c r="P922" s="5" t="n"/>
      <c r="Q922" s="5" t="n"/>
      <c r="R922" s="4" t="n"/>
      <c r="S922" s="4" t="n"/>
      <c r="T922" s="5" t="n"/>
      <c r="U922" s="8">
        <f>IF(AND(V922=1,D922&lt;&gt;""),IF(D922&gt;=corte,TODAY()-D922,""),"")</f>
        <v/>
      </c>
      <c r="V922" s="8">
        <f>IF(D922="",0,IF(OR(AND(P922&lt;&gt;"",S922=""),AND(N(J922)&gt;0,N(K922)&lt;J922),OR(M922="PENDENTE",M922="PARCIAL"),OR(N922="PENDENTE",N922="PARCIAL")),1,0))</f>
        <v/>
      </c>
      <c r="W922" s="8">
        <f>IF(AND(V922=1,D922&lt;&gt;""),IF(D922&gt;=corte,(B922="CRÍTICO")*1E9+(100000-D922)*10000+10000-ROW(),""),"")</f>
        <v/>
      </c>
      <c r="X922" s="8">
        <f>IF(AND(V922=1,D922=pas_data,E922=pas_turno),10000-ROW(),"")</f>
        <v/>
      </c>
    </row>
    <row r="923">
      <c r="A923" s="3">
        <f>IF(D923="","","TT-"&amp;TEXT(ROW()-1,"00000"))</f>
        <v/>
      </c>
      <c r="B923" s="3">
        <f>IF(D923="","",IF(V923=0,"CONCLUÍDO",IF(D923&lt;corte,"HISTÓRICO",IF(OR(AND(ISNUMBER(R923),R923&lt;TODAY()),AND(OR(N923="PENDENTE",N923="PARCIAL"),D923&lt;TODAY()-1)),"CRÍTICO",IF(OR(AND(P923&lt;&gt;"",S923=""),AND(N923="REALIZADO",M923="PENDENTE"),AND(ISNUMBER(R923),R923=TODAY())),"ATENÇÃO",IF(N(K923)=0,"PENDENTE","EM ANDAMENTO"))))))</f>
        <v/>
      </c>
      <c r="C923" s="3">
        <f>IF(D923="","",IF(V923=0,"🟢 OK",IF(D923&lt;corte,"⚪ HISTÓRICO (sem baixa)",IF(AND(ISNUMBER(R923),R923&lt;TODAY()),"🔴 PRAZO VENCIDO",IF(AND(OR(N923="PENDENTE",N923="PARCIAL"),D923&lt;TODAY()-1),"🔴 EMBARQUE ATRASADO",IF(AND(N923="REALIZADO",M923="PENDENTE"),"🟡 EMBARCADO SEM FATURAR",IF(AND(P923&lt;&gt;"",S923="",OR(Q923="",R923="")),"🟡 PENDÊNCIA SEM RESPONSÁVEL/PRAZO",IF(AND(ISNUMBER(R923),R923=TODAY()),"🟡 VENCE HOJE",IF(AND(P923&lt;&gt;"",S923=""),"🟡 PENDÊNCIA ABERTA",IF(AND(N(J923)&gt;0,N(K923)&lt;J923),"🟡 FALTA EXECUTAR",IF(OR(M923="PENDENTE",M923="PARCIAL"),"🟡 FATURAMENTO PENDENTE","🟡 EMBARQUE PENDENTE")))))))))))</f>
        <v/>
      </c>
      <c r="D923" s="4" t="n"/>
      <c r="E923" s="5" t="n"/>
      <c r="F923" s="5" t="n"/>
      <c r="G923" s="5" t="n"/>
      <c r="H923" s="5" t="n"/>
      <c r="I923" s="5" t="n"/>
      <c r="J923" s="6" t="n"/>
      <c r="K923" s="6" t="n"/>
      <c r="L923" s="7">
        <f>IF(OR(D923="",N(J923)=0),"",MIN(1,N(K923)/J923))</f>
        <v/>
      </c>
      <c r="M923" s="5" t="n"/>
      <c r="N923" s="5" t="n"/>
      <c r="O923" s="5" t="n"/>
      <c r="P923" s="5" t="n"/>
      <c r="Q923" s="5" t="n"/>
      <c r="R923" s="4" t="n"/>
      <c r="S923" s="4" t="n"/>
      <c r="T923" s="5" t="n"/>
      <c r="U923" s="8">
        <f>IF(AND(V923=1,D923&lt;&gt;""),IF(D923&gt;=corte,TODAY()-D923,""),"")</f>
        <v/>
      </c>
      <c r="V923" s="8">
        <f>IF(D923="",0,IF(OR(AND(P923&lt;&gt;"",S923=""),AND(N(J923)&gt;0,N(K923)&lt;J923),OR(M923="PENDENTE",M923="PARCIAL"),OR(N923="PENDENTE",N923="PARCIAL")),1,0))</f>
        <v/>
      </c>
      <c r="W923" s="8">
        <f>IF(AND(V923=1,D923&lt;&gt;""),IF(D923&gt;=corte,(B923="CRÍTICO")*1E9+(100000-D923)*10000+10000-ROW(),""),"")</f>
        <v/>
      </c>
      <c r="X923" s="8">
        <f>IF(AND(V923=1,D923=pas_data,E923=pas_turno),10000-ROW(),"")</f>
        <v/>
      </c>
    </row>
    <row r="924">
      <c r="A924" s="3">
        <f>IF(D924="","","TT-"&amp;TEXT(ROW()-1,"00000"))</f>
        <v/>
      </c>
      <c r="B924" s="3">
        <f>IF(D924="","",IF(V924=0,"CONCLUÍDO",IF(D924&lt;corte,"HISTÓRICO",IF(OR(AND(ISNUMBER(R924),R924&lt;TODAY()),AND(OR(N924="PENDENTE",N924="PARCIAL"),D924&lt;TODAY()-1)),"CRÍTICO",IF(OR(AND(P924&lt;&gt;"",S924=""),AND(N924="REALIZADO",M924="PENDENTE"),AND(ISNUMBER(R924),R924=TODAY())),"ATENÇÃO",IF(N(K924)=0,"PENDENTE","EM ANDAMENTO"))))))</f>
        <v/>
      </c>
      <c r="C924" s="3">
        <f>IF(D924="","",IF(V924=0,"🟢 OK",IF(D924&lt;corte,"⚪ HISTÓRICO (sem baixa)",IF(AND(ISNUMBER(R924),R924&lt;TODAY()),"🔴 PRAZO VENCIDO",IF(AND(OR(N924="PENDENTE",N924="PARCIAL"),D924&lt;TODAY()-1),"🔴 EMBARQUE ATRASADO",IF(AND(N924="REALIZADO",M924="PENDENTE"),"🟡 EMBARCADO SEM FATURAR",IF(AND(P924&lt;&gt;"",S924="",OR(Q924="",R924="")),"🟡 PENDÊNCIA SEM RESPONSÁVEL/PRAZO",IF(AND(ISNUMBER(R924),R924=TODAY()),"🟡 VENCE HOJE",IF(AND(P924&lt;&gt;"",S924=""),"🟡 PENDÊNCIA ABERTA",IF(AND(N(J924)&gt;0,N(K924)&lt;J924),"🟡 FALTA EXECUTAR",IF(OR(M924="PENDENTE",M924="PARCIAL"),"🟡 FATURAMENTO PENDENTE","🟡 EMBARQUE PENDENTE")))))))))))</f>
        <v/>
      </c>
      <c r="D924" s="4" t="n"/>
      <c r="E924" s="5" t="n"/>
      <c r="F924" s="5" t="n"/>
      <c r="G924" s="5" t="n"/>
      <c r="H924" s="5" t="n"/>
      <c r="I924" s="5" t="n"/>
      <c r="J924" s="6" t="n"/>
      <c r="K924" s="6" t="n"/>
      <c r="L924" s="7">
        <f>IF(OR(D924="",N(J924)=0),"",MIN(1,N(K924)/J924))</f>
        <v/>
      </c>
      <c r="M924" s="5" t="n"/>
      <c r="N924" s="5" t="n"/>
      <c r="O924" s="5" t="n"/>
      <c r="P924" s="5" t="n"/>
      <c r="Q924" s="5" t="n"/>
      <c r="R924" s="4" t="n"/>
      <c r="S924" s="4" t="n"/>
      <c r="T924" s="5" t="n"/>
      <c r="U924" s="8">
        <f>IF(AND(V924=1,D924&lt;&gt;""),IF(D924&gt;=corte,TODAY()-D924,""),"")</f>
        <v/>
      </c>
      <c r="V924" s="8">
        <f>IF(D924="",0,IF(OR(AND(P924&lt;&gt;"",S924=""),AND(N(J924)&gt;0,N(K924)&lt;J924),OR(M924="PENDENTE",M924="PARCIAL"),OR(N924="PENDENTE",N924="PARCIAL")),1,0))</f>
        <v/>
      </c>
      <c r="W924" s="8">
        <f>IF(AND(V924=1,D924&lt;&gt;""),IF(D924&gt;=corte,(B924="CRÍTICO")*1E9+(100000-D924)*10000+10000-ROW(),""),"")</f>
        <v/>
      </c>
      <c r="X924" s="8">
        <f>IF(AND(V924=1,D924=pas_data,E924=pas_turno),10000-ROW(),"")</f>
        <v/>
      </c>
    </row>
    <row r="925">
      <c r="A925" s="3">
        <f>IF(D925="","","TT-"&amp;TEXT(ROW()-1,"00000"))</f>
        <v/>
      </c>
      <c r="B925" s="3">
        <f>IF(D925="","",IF(V925=0,"CONCLUÍDO",IF(D925&lt;corte,"HISTÓRICO",IF(OR(AND(ISNUMBER(R925),R925&lt;TODAY()),AND(OR(N925="PENDENTE",N925="PARCIAL"),D925&lt;TODAY()-1)),"CRÍTICO",IF(OR(AND(P925&lt;&gt;"",S925=""),AND(N925="REALIZADO",M925="PENDENTE"),AND(ISNUMBER(R925),R925=TODAY())),"ATENÇÃO",IF(N(K925)=0,"PENDENTE","EM ANDAMENTO"))))))</f>
        <v/>
      </c>
      <c r="C925" s="3">
        <f>IF(D925="","",IF(V925=0,"🟢 OK",IF(D925&lt;corte,"⚪ HISTÓRICO (sem baixa)",IF(AND(ISNUMBER(R925),R925&lt;TODAY()),"🔴 PRAZO VENCIDO",IF(AND(OR(N925="PENDENTE",N925="PARCIAL"),D925&lt;TODAY()-1),"🔴 EMBARQUE ATRASADO",IF(AND(N925="REALIZADO",M925="PENDENTE"),"🟡 EMBARCADO SEM FATURAR",IF(AND(P925&lt;&gt;"",S925="",OR(Q925="",R925="")),"🟡 PENDÊNCIA SEM RESPONSÁVEL/PRAZO",IF(AND(ISNUMBER(R925),R925=TODAY()),"🟡 VENCE HOJE",IF(AND(P925&lt;&gt;"",S925=""),"🟡 PENDÊNCIA ABERTA",IF(AND(N(J925)&gt;0,N(K925)&lt;J925),"🟡 FALTA EXECUTAR",IF(OR(M925="PENDENTE",M925="PARCIAL"),"🟡 FATURAMENTO PENDENTE","🟡 EMBARQUE PENDENTE")))))))))))</f>
        <v/>
      </c>
      <c r="D925" s="4" t="n"/>
      <c r="E925" s="5" t="n"/>
      <c r="F925" s="5" t="n"/>
      <c r="G925" s="5" t="n"/>
      <c r="H925" s="5" t="n"/>
      <c r="I925" s="5" t="n"/>
      <c r="J925" s="6" t="n"/>
      <c r="K925" s="6" t="n"/>
      <c r="L925" s="7">
        <f>IF(OR(D925="",N(J925)=0),"",MIN(1,N(K925)/J925))</f>
        <v/>
      </c>
      <c r="M925" s="5" t="n"/>
      <c r="N925" s="5" t="n"/>
      <c r="O925" s="5" t="n"/>
      <c r="P925" s="5" t="n"/>
      <c r="Q925" s="5" t="n"/>
      <c r="R925" s="4" t="n"/>
      <c r="S925" s="4" t="n"/>
      <c r="T925" s="5" t="n"/>
      <c r="U925" s="8">
        <f>IF(AND(V925=1,D925&lt;&gt;""),IF(D925&gt;=corte,TODAY()-D925,""),"")</f>
        <v/>
      </c>
      <c r="V925" s="8">
        <f>IF(D925="",0,IF(OR(AND(P925&lt;&gt;"",S925=""),AND(N(J925)&gt;0,N(K925)&lt;J925),OR(M925="PENDENTE",M925="PARCIAL"),OR(N925="PENDENTE",N925="PARCIAL")),1,0))</f>
        <v/>
      </c>
      <c r="W925" s="8">
        <f>IF(AND(V925=1,D925&lt;&gt;""),IF(D925&gt;=corte,(B925="CRÍTICO")*1E9+(100000-D925)*10000+10000-ROW(),""),"")</f>
        <v/>
      </c>
      <c r="X925" s="8">
        <f>IF(AND(V925=1,D925=pas_data,E925=pas_turno),10000-ROW(),"")</f>
        <v/>
      </c>
    </row>
    <row r="926">
      <c r="A926" s="3">
        <f>IF(D926="","","TT-"&amp;TEXT(ROW()-1,"00000"))</f>
        <v/>
      </c>
      <c r="B926" s="3">
        <f>IF(D926="","",IF(V926=0,"CONCLUÍDO",IF(D926&lt;corte,"HISTÓRICO",IF(OR(AND(ISNUMBER(R926),R926&lt;TODAY()),AND(OR(N926="PENDENTE",N926="PARCIAL"),D926&lt;TODAY()-1)),"CRÍTICO",IF(OR(AND(P926&lt;&gt;"",S926=""),AND(N926="REALIZADO",M926="PENDENTE"),AND(ISNUMBER(R926),R926=TODAY())),"ATENÇÃO",IF(N(K926)=0,"PENDENTE","EM ANDAMENTO"))))))</f>
        <v/>
      </c>
      <c r="C926" s="3">
        <f>IF(D926="","",IF(V926=0,"🟢 OK",IF(D926&lt;corte,"⚪ HISTÓRICO (sem baixa)",IF(AND(ISNUMBER(R926),R926&lt;TODAY()),"🔴 PRAZO VENCIDO",IF(AND(OR(N926="PENDENTE",N926="PARCIAL"),D926&lt;TODAY()-1),"🔴 EMBARQUE ATRASADO",IF(AND(N926="REALIZADO",M926="PENDENTE"),"🟡 EMBARCADO SEM FATURAR",IF(AND(P926&lt;&gt;"",S926="",OR(Q926="",R926="")),"🟡 PENDÊNCIA SEM RESPONSÁVEL/PRAZO",IF(AND(ISNUMBER(R926),R926=TODAY()),"🟡 VENCE HOJE",IF(AND(P926&lt;&gt;"",S926=""),"🟡 PENDÊNCIA ABERTA",IF(AND(N(J926)&gt;0,N(K926)&lt;J926),"🟡 FALTA EXECUTAR",IF(OR(M926="PENDENTE",M926="PARCIAL"),"🟡 FATURAMENTO PENDENTE","🟡 EMBARQUE PENDENTE")))))))))))</f>
        <v/>
      </c>
      <c r="D926" s="4" t="n"/>
      <c r="E926" s="5" t="n"/>
      <c r="F926" s="5" t="n"/>
      <c r="G926" s="5" t="n"/>
      <c r="H926" s="5" t="n"/>
      <c r="I926" s="5" t="n"/>
      <c r="J926" s="6" t="n"/>
      <c r="K926" s="6" t="n"/>
      <c r="L926" s="7">
        <f>IF(OR(D926="",N(J926)=0),"",MIN(1,N(K926)/J926))</f>
        <v/>
      </c>
      <c r="M926" s="5" t="n"/>
      <c r="N926" s="5" t="n"/>
      <c r="O926" s="5" t="n"/>
      <c r="P926" s="5" t="n"/>
      <c r="Q926" s="5" t="n"/>
      <c r="R926" s="4" t="n"/>
      <c r="S926" s="4" t="n"/>
      <c r="T926" s="5" t="n"/>
      <c r="U926" s="8">
        <f>IF(AND(V926=1,D926&lt;&gt;""),IF(D926&gt;=corte,TODAY()-D926,""),"")</f>
        <v/>
      </c>
      <c r="V926" s="8">
        <f>IF(D926="",0,IF(OR(AND(P926&lt;&gt;"",S926=""),AND(N(J926)&gt;0,N(K926)&lt;J926),OR(M926="PENDENTE",M926="PARCIAL"),OR(N926="PENDENTE",N926="PARCIAL")),1,0))</f>
        <v/>
      </c>
      <c r="W926" s="8">
        <f>IF(AND(V926=1,D926&lt;&gt;""),IF(D926&gt;=corte,(B926="CRÍTICO")*1E9+(100000-D926)*10000+10000-ROW(),""),"")</f>
        <v/>
      </c>
      <c r="X926" s="8">
        <f>IF(AND(V926=1,D926=pas_data,E926=pas_turno),10000-ROW(),"")</f>
        <v/>
      </c>
    </row>
    <row r="927">
      <c r="A927" s="3">
        <f>IF(D927="","","TT-"&amp;TEXT(ROW()-1,"00000"))</f>
        <v/>
      </c>
      <c r="B927" s="3">
        <f>IF(D927="","",IF(V927=0,"CONCLUÍDO",IF(D927&lt;corte,"HISTÓRICO",IF(OR(AND(ISNUMBER(R927),R927&lt;TODAY()),AND(OR(N927="PENDENTE",N927="PARCIAL"),D927&lt;TODAY()-1)),"CRÍTICO",IF(OR(AND(P927&lt;&gt;"",S927=""),AND(N927="REALIZADO",M927="PENDENTE"),AND(ISNUMBER(R927),R927=TODAY())),"ATENÇÃO",IF(N(K927)=0,"PENDENTE","EM ANDAMENTO"))))))</f>
        <v/>
      </c>
      <c r="C927" s="3">
        <f>IF(D927="","",IF(V927=0,"🟢 OK",IF(D927&lt;corte,"⚪ HISTÓRICO (sem baixa)",IF(AND(ISNUMBER(R927),R927&lt;TODAY()),"🔴 PRAZO VENCIDO",IF(AND(OR(N927="PENDENTE",N927="PARCIAL"),D927&lt;TODAY()-1),"🔴 EMBARQUE ATRASADO",IF(AND(N927="REALIZADO",M927="PENDENTE"),"🟡 EMBARCADO SEM FATURAR",IF(AND(P927&lt;&gt;"",S927="",OR(Q927="",R927="")),"🟡 PENDÊNCIA SEM RESPONSÁVEL/PRAZO",IF(AND(ISNUMBER(R927),R927=TODAY()),"🟡 VENCE HOJE",IF(AND(P927&lt;&gt;"",S927=""),"🟡 PENDÊNCIA ABERTA",IF(AND(N(J927)&gt;0,N(K927)&lt;J927),"🟡 FALTA EXECUTAR",IF(OR(M927="PENDENTE",M927="PARCIAL"),"🟡 FATURAMENTO PENDENTE","🟡 EMBARQUE PENDENTE")))))))))))</f>
        <v/>
      </c>
      <c r="D927" s="4" t="n"/>
      <c r="E927" s="5" t="n"/>
      <c r="F927" s="5" t="n"/>
      <c r="G927" s="5" t="n"/>
      <c r="H927" s="5" t="n"/>
      <c r="I927" s="5" t="n"/>
      <c r="J927" s="6" t="n"/>
      <c r="K927" s="6" t="n"/>
      <c r="L927" s="7">
        <f>IF(OR(D927="",N(J927)=0),"",MIN(1,N(K927)/J927))</f>
        <v/>
      </c>
      <c r="M927" s="5" t="n"/>
      <c r="N927" s="5" t="n"/>
      <c r="O927" s="5" t="n"/>
      <c r="P927" s="5" t="n"/>
      <c r="Q927" s="5" t="n"/>
      <c r="R927" s="4" t="n"/>
      <c r="S927" s="4" t="n"/>
      <c r="T927" s="5" t="n"/>
      <c r="U927" s="8">
        <f>IF(AND(V927=1,D927&lt;&gt;""),IF(D927&gt;=corte,TODAY()-D927,""),"")</f>
        <v/>
      </c>
      <c r="V927" s="8">
        <f>IF(D927="",0,IF(OR(AND(P927&lt;&gt;"",S927=""),AND(N(J927)&gt;0,N(K927)&lt;J927),OR(M927="PENDENTE",M927="PARCIAL"),OR(N927="PENDENTE",N927="PARCIAL")),1,0))</f>
        <v/>
      </c>
      <c r="W927" s="8">
        <f>IF(AND(V927=1,D927&lt;&gt;""),IF(D927&gt;=corte,(B927="CRÍTICO")*1E9+(100000-D927)*10000+10000-ROW(),""),"")</f>
        <v/>
      </c>
      <c r="X927" s="8">
        <f>IF(AND(V927=1,D927=pas_data,E927=pas_turno),10000-ROW(),"")</f>
        <v/>
      </c>
    </row>
    <row r="928">
      <c r="A928" s="3">
        <f>IF(D928="","","TT-"&amp;TEXT(ROW()-1,"00000"))</f>
        <v/>
      </c>
      <c r="B928" s="3">
        <f>IF(D928="","",IF(V928=0,"CONCLUÍDO",IF(D928&lt;corte,"HISTÓRICO",IF(OR(AND(ISNUMBER(R928),R928&lt;TODAY()),AND(OR(N928="PENDENTE",N928="PARCIAL"),D928&lt;TODAY()-1)),"CRÍTICO",IF(OR(AND(P928&lt;&gt;"",S928=""),AND(N928="REALIZADO",M928="PENDENTE"),AND(ISNUMBER(R928),R928=TODAY())),"ATENÇÃO",IF(N(K928)=0,"PENDENTE","EM ANDAMENTO"))))))</f>
        <v/>
      </c>
      <c r="C928" s="3">
        <f>IF(D928="","",IF(V928=0,"🟢 OK",IF(D928&lt;corte,"⚪ HISTÓRICO (sem baixa)",IF(AND(ISNUMBER(R928),R928&lt;TODAY()),"🔴 PRAZO VENCIDO",IF(AND(OR(N928="PENDENTE",N928="PARCIAL"),D928&lt;TODAY()-1),"🔴 EMBARQUE ATRASADO",IF(AND(N928="REALIZADO",M928="PENDENTE"),"🟡 EMBARCADO SEM FATURAR",IF(AND(P928&lt;&gt;"",S928="",OR(Q928="",R928="")),"🟡 PENDÊNCIA SEM RESPONSÁVEL/PRAZO",IF(AND(ISNUMBER(R928),R928=TODAY()),"🟡 VENCE HOJE",IF(AND(P928&lt;&gt;"",S928=""),"🟡 PENDÊNCIA ABERTA",IF(AND(N(J928)&gt;0,N(K928)&lt;J928),"🟡 FALTA EXECUTAR",IF(OR(M928="PENDENTE",M928="PARCIAL"),"🟡 FATURAMENTO PENDENTE","🟡 EMBARQUE PENDENTE")))))))))))</f>
        <v/>
      </c>
      <c r="D928" s="4" t="n"/>
      <c r="E928" s="5" t="n"/>
      <c r="F928" s="5" t="n"/>
      <c r="G928" s="5" t="n"/>
      <c r="H928" s="5" t="n"/>
      <c r="I928" s="5" t="n"/>
      <c r="J928" s="6" t="n"/>
      <c r="K928" s="6" t="n"/>
      <c r="L928" s="7">
        <f>IF(OR(D928="",N(J928)=0),"",MIN(1,N(K928)/J928))</f>
        <v/>
      </c>
      <c r="M928" s="5" t="n"/>
      <c r="N928" s="5" t="n"/>
      <c r="O928" s="5" t="n"/>
      <c r="P928" s="5" t="n"/>
      <c r="Q928" s="5" t="n"/>
      <c r="R928" s="4" t="n"/>
      <c r="S928" s="4" t="n"/>
      <c r="T928" s="5" t="n"/>
      <c r="U928" s="8">
        <f>IF(AND(V928=1,D928&lt;&gt;""),IF(D928&gt;=corte,TODAY()-D928,""),"")</f>
        <v/>
      </c>
      <c r="V928" s="8">
        <f>IF(D928="",0,IF(OR(AND(P928&lt;&gt;"",S928=""),AND(N(J928)&gt;0,N(K928)&lt;J928),OR(M928="PENDENTE",M928="PARCIAL"),OR(N928="PENDENTE",N928="PARCIAL")),1,0))</f>
        <v/>
      </c>
      <c r="W928" s="8">
        <f>IF(AND(V928=1,D928&lt;&gt;""),IF(D928&gt;=corte,(B928="CRÍTICO")*1E9+(100000-D928)*10000+10000-ROW(),""),"")</f>
        <v/>
      </c>
      <c r="X928" s="8">
        <f>IF(AND(V928=1,D928=pas_data,E928=pas_turno),10000-ROW(),"")</f>
        <v/>
      </c>
    </row>
    <row r="929">
      <c r="A929" s="3">
        <f>IF(D929="","","TT-"&amp;TEXT(ROW()-1,"00000"))</f>
        <v/>
      </c>
      <c r="B929" s="3">
        <f>IF(D929="","",IF(V929=0,"CONCLUÍDO",IF(D929&lt;corte,"HISTÓRICO",IF(OR(AND(ISNUMBER(R929),R929&lt;TODAY()),AND(OR(N929="PENDENTE",N929="PARCIAL"),D929&lt;TODAY()-1)),"CRÍTICO",IF(OR(AND(P929&lt;&gt;"",S929=""),AND(N929="REALIZADO",M929="PENDENTE"),AND(ISNUMBER(R929),R929=TODAY())),"ATENÇÃO",IF(N(K929)=0,"PENDENTE","EM ANDAMENTO"))))))</f>
        <v/>
      </c>
      <c r="C929" s="3">
        <f>IF(D929="","",IF(V929=0,"🟢 OK",IF(D929&lt;corte,"⚪ HISTÓRICO (sem baixa)",IF(AND(ISNUMBER(R929),R929&lt;TODAY()),"🔴 PRAZO VENCIDO",IF(AND(OR(N929="PENDENTE",N929="PARCIAL"),D929&lt;TODAY()-1),"🔴 EMBARQUE ATRASADO",IF(AND(N929="REALIZADO",M929="PENDENTE"),"🟡 EMBARCADO SEM FATURAR",IF(AND(P929&lt;&gt;"",S929="",OR(Q929="",R929="")),"🟡 PENDÊNCIA SEM RESPONSÁVEL/PRAZO",IF(AND(ISNUMBER(R929),R929=TODAY()),"🟡 VENCE HOJE",IF(AND(P929&lt;&gt;"",S929=""),"🟡 PENDÊNCIA ABERTA",IF(AND(N(J929)&gt;0,N(K929)&lt;J929),"🟡 FALTA EXECUTAR",IF(OR(M929="PENDENTE",M929="PARCIAL"),"🟡 FATURAMENTO PENDENTE","🟡 EMBARQUE PENDENTE")))))))))))</f>
        <v/>
      </c>
      <c r="D929" s="4" t="n"/>
      <c r="E929" s="5" t="n"/>
      <c r="F929" s="5" t="n"/>
      <c r="G929" s="5" t="n"/>
      <c r="H929" s="5" t="n"/>
      <c r="I929" s="5" t="n"/>
      <c r="J929" s="6" t="n"/>
      <c r="K929" s="6" t="n"/>
      <c r="L929" s="7">
        <f>IF(OR(D929="",N(J929)=0),"",MIN(1,N(K929)/J929))</f>
        <v/>
      </c>
      <c r="M929" s="5" t="n"/>
      <c r="N929" s="5" t="n"/>
      <c r="O929" s="5" t="n"/>
      <c r="P929" s="5" t="n"/>
      <c r="Q929" s="5" t="n"/>
      <c r="R929" s="4" t="n"/>
      <c r="S929" s="4" t="n"/>
      <c r="T929" s="5" t="n"/>
      <c r="U929" s="8">
        <f>IF(AND(V929=1,D929&lt;&gt;""),IF(D929&gt;=corte,TODAY()-D929,""),"")</f>
        <v/>
      </c>
      <c r="V929" s="8">
        <f>IF(D929="",0,IF(OR(AND(P929&lt;&gt;"",S929=""),AND(N(J929)&gt;0,N(K929)&lt;J929),OR(M929="PENDENTE",M929="PARCIAL"),OR(N929="PENDENTE",N929="PARCIAL")),1,0))</f>
        <v/>
      </c>
      <c r="W929" s="8">
        <f>IF(AND(V929=1,D929&lt;&gt;""),IF(D929&gt;=corte,(B929="CRÍTICO")*1E9+(100000-D929)*10000+10000-ROW(),""),"")</f>
        <v/>
      </c>
      <c r="X929" s="8">
        <f>IF(AND(V929=1,D929=pas_data,E929=pas_turno),10000-ROW(),"")</f>
        <v/>
      </c>
    </row>
    <row r="930">
      <c r="A930" s="3">
        <f>IF(D930="","","TT-"&amp;TEXT(ROW()-1,"00000"))</f>
        <v/>
      </c>
      <c r="B930" s="3">
        <f>IF(D930="","",IF(V930=0,"CONCLUÍDO",IF(D930&lt;corte,"HISTÓRICO",IF(OR(AND(ISNUMBER(R930),R930&lt;TODAY()),AND(OR(N930="PENDENTE",N930="PARCIAL"),D930&lt;TODAY()-1)),"CRÍTICO",IF(OR(AND(P930&lt;&gt;"",S930=""),AND(N930="REALIZADO",M930="PENDENTE"),AND(ISNUMBER(R930),R930=TODAY())),"ATENÇÃO",IF(N(K930)=0,"PENDENTE","EM ANDAMENTO"))))))</f>
        <v/>
      </c>
      <c r="C930" s="3">
        <f>IF(D930="","",IF(V930=0,"🟢 OK",IF(D930&lt;corte,"⚪ HISTÓRICO (sem baixa)",IF(AND(ISNUMBER(R930),R930&lt;TODAY()),"🔴 PRAZO VENCIDO",IF(AND(OR(N930="PENDENTE",N930="PARCIAL"),D930&lt;TODAY()-1),"🔴 EMBARQUE ATRASADO",IF(AND(N930="REALIZADO",M930="PENDENTE"),"🟡 EMBARCADO SEM FATURAR",IF(AND(P930&lt;&gt;"",S930="",OR(Q930="",R930="")),"🟡 PENDÊNCIA SEM RESPONSÁVEL/PRAZO",IF(AND(ISNUMBER(R930),R930=TODAY()),"🟡 VENCE HOJE",IF(AND(P930&lt;&gt;"",S930=""),"🟡 PENDÊNCIA ABERTA",IF(AND(N(J930)&gt;0,N(K930)&lt;J930),"🟡 FALTA EXECUTAR",IF(OR(M930="PENDENTE",M930="PARCIAL"),"🟡 FATURAMENTO PENDENTE","🟡 EMBARQUE PENDENTE")))))))))))</f>
        <v/>
      </c>
      <c r="D930" s="4" t="n"/>
      <c r="E930" s="5" t="n"/>
      <c r="F930" s="5" t="n"/>
      <c r="G930" s="5" t="n"/>
      <c r="H930" s="5" t="n"/>
      <c r="I930" s="5" t="n"/>
      <c r="J930" s="6" t="n"/>
      <c r="K930" s="6" t="n"/>
      <c r="L930" s="7">
        <f>IF(OR(D930="",N(J930)=0),"",MIN(1,N(K930)/J930))</f>
        <v/>
      </c>
      <c r="M930" s="5" t="n"/>
      <c r="N930" s="5" t="n"/>
      <c r="O930" s="5" t="n"/>
      <c r="P930" s="5" t="n"/>
      <c r="Q930" s="5" t="n"/>
      <c r="R930" s="4" t="n"/>
      <c r="S930" s="4" t="n"/>
      <c r="T930" s="5" t="n"/>
      <c r="U930" s="8">
        <f>IF(AND(V930=1,D930&lt;&gt;""),IF(D930&gt;=corte,TODAY()-D930,""),"")</f>
        <v/>
      </c>
      <c r="V930" s="8">
        <f>IF(D930="",0,IF(OR(AND(P930&lt;&gt;"",S930=""),AND(N(J930)&gt;0,N(K930)&lt;J930),OR(M930="PENDENTE",M930="PARCIAL"),OR(N930="PENDENTE",N930="PARCIAL")),1,0))</f>
        <v/>
      </c>
      <c r="W930" s="8">
        <f>IF(AND(V930=1,D930&lt;&gt;""),IF(D930&gt;=corte,(B930="CRÍTICO")*1E9+(100000-D930)*10000+10000-ROW(),""),"")</f>
        <v/>
      </c>
      <c r="X930" s="8">
        <f>IF(AND(V930=1,D930=pas_data,E930=pas_turno),10000-ROW(),"")</f>
        <v/>
      </c>
    </row>
    <row r="931">
      <c r="A931" s="3">
        <f>IF(D931="","","TT-"&amp;TEXT(ROW()-1,"00000"))</f>
        <v/>
      </c>
      <c r="B931" s="3">
        <f>IF(D931="","",IF(V931=0,"CONCLUÍDO",IF(D931&lt;corte,"HISTÓRICO",IF(OR(AND(ISNUMBER(R931),R931&lt;TODAY()),AND(OR(N931="PENDENTE",N931="PARCIAL"),D931&lt;TODAY()-1)),"CRÍTICO",IF(OR(AND(P931&lt;&gt;"",S931=""),AND(N931="REALIZADO",M931="PENDENTE"),AND(ISNUMBER(R931),R931=TODAY())),"ATENÇÃO",IF(N(K931)=0,"PENDENTE","EM ANDAMENTO"))))))</f>
        <v/>
      </c>
      <c r="C931" s="3">
        <f>IF(D931="","",IF(V931=0,"🟢 OK",IF(D931&lt;corte,"⚪ HISTÓRICO (sem baixa)",IF(AND(ISNUMBER(R931),R931&lt;TODAY()),"🔴 PRAZO VENCIDO",IF(AND(OR(N931="PENDENTE",N931="PARCIAL"),D931&lt;TODAY()-1),"🔴 EMBARQUE ATRASADO",IF(AND(N931="REALIZADO",M931="PENDENTE"),"🟡 EMBARCADO SEM FATURAR",IF(AND(P931&lt;&gt;"",S931="",OR(Q931="",R931="")),"🟡 PENDÊNCIA SEM RESPONSÁVEL/PRAZO",IF(AND(ISNUMBER(R931),R931=TODAY()),"🟡 VENCE HOJE",IF(AND(P931&lt;&gt;"",S931=""),"🟡 PENDÊNCIA ABERTA",IF(AND(N(J931)&gt;0,N(K931)&lt;J931),"🟡 FALTA EXECUTAR",IF(OR(M931="PENDENTE",M931="PARCIAL"),"🟡 FATURAMENTO PENDENTE","🟡 EMBARQUE PENDENTE")))))))))))</f>
        <v/>
      </c>
      <c r="D931" s="4" t="n"/>
      <c r="E931" s="5" t="n"/>
      <c r="F931" s="5" t="n"/>
      <c r="G931" s="5" t="n"/>
      <c r="H931" s="5" t="n"/>
      <c r="I931" s="5" t="n"/>
      <c r="J931" s="6" t="n"/>
      <c r="K931" s="6" t="n"/>
      <c r="L931" s="7">
        <f>IF(OR(D931="",N(J931)=0),"",MIN(1,N(K931)/J931))</f>
        <v/>
      </c>
      <c r="M931" s="5" t="n"/>
      <c r="N931" s="5" t="n"/>
      <c r="O931" s="5" t="n"/>
      <c r="P931" s="5" t="n"/>
      <c r="Q931" s="5" t="n"/>
      <c r="R931" s="4" t="n"/>
      <c r="S931" s="4" t="n"/>
      <c r="T931" s="5" t="n"/>
      <c r="U931" s="8">
        <f>IF(AND(V931=1,D931&lt;&gt;""),IF(D931&gt;=corte,TODAY()-D931,""),"")</f>
        <v/>
      </c>
      <c r="V931" s="8">
        <f>IF(D931="",0,IF(OR(AND(P931&lt;&gt;"",S931=""),AND(N(J931)&gt;0,N(K931)&lt;J931),OR(M931="PENDENTE",M931="PARCIAL"),OR(N931="PENDENTE",N931="PARCIAL")),1,0))</f>
        <v/>
      </c>
      <c r="W931" s="8">
        <f>IF(AND(V931=1,D931&lt;&gt;""),IF(D931&gt;=corte,(B931="CRÍTICO")*1E9+(100000-D931)*10000+10000-ROW(),""),"")</f>
        <v/>
      </c>
      <c r="X931" s="8">
        <f>IF(AND(V931=1,D931=pas_data,E931=pas_turno),10000-ROW(),"")</f>
        <v/>
      </c>
    </row>
    <row r="932">
      <c r="A932" s="3">
        <f>IF(D932="","","TT-"&amp;TEXT(ROW()-1,"00000"))</f>
        <v/>
      </c>
      <c r="B932" s="3">
        <f>IF(D932="","",IF(V932=0,"CONCLUÍDO",IF(D932&lt;corte,"HISTÓRICO",IF(OR(AND(ISNUMBER(R932),R932&lt;TODAY()),AND(OR(N932="PENDENTE",N932="PARCIAL"),D932&lt;TODAY()-1)),"CRÍTICO",IF(OR(AND(P932&lt;&gt;"",S932=""),AND(N932="REALIZADO",M932="PENDENTE"),AND(ISNUMBER(R932),R932=TODAY())),"ATENÇÃO",IF(N(K932)=0,"PENDENTE","EM ANDAMENTO"))))))</f>
        <v/>
      </c>
      <c r="C932" s="3">
        <f>IF(D932="","",IF(V932=0,"🟢 OK",IF(D932&lt;corte,"⚪ HISTÓRICO (sem baixa)",IF(AND(ISNUMBER(R932),R932&lt;TODAY()),"🔴 PRAZO VENCIDO",IF(AND(OR(N932="PENDENTE",N932="PARCIAL"),D932&lt;TODAY()-1),"🔴 EMBARQUE ATRASADO",IF(AND(N932="REALIZADO",M932="PENDENTE"),"🟡 EMBARCADO SEM FATURAR",IF(AND(P932&lt;&gt;"",S932="",OR(Q932="",R932="")),"🟡 PENDÊNCIA SEM RESPONSÁVEL/PRAZO",IF(AND(ISNUMBER(R932),R932=TODAY()),"🟡 VENCE HOJE",IF(AND(P932&lt;&gt;"",S932=""),"🟡 PENDÊNCIA ABERTA",IF(AND(N(J932)&gt;0,N(K932)&lt;J932),"🟡 FALTA EXECUTAR",IF(OR(M932="PENDENTE",M932="PARCIAL"),"🟡 FATURAMENTO PENDENTE","🟡 EMBARQUE PENDENTE")))))))))))</f>
        <v/>
      </c>
      <c r="D932" s="4" t="n"/>
      <c r="E932" s="5" t="n"/>
      <c r="F932" s="5" t="n"/>
      <c r="G932" s="5" t="n"/>
      <c r="H932" s="5" t="n"/>
      <c r="I932" s="5" t="n"/>
      <c r="J932" s="6" t="n"/>
      <c r="K932" s="6" t="n"/>
      <c r="L932" s="7">
        <f>IF(OR(D932="",N(J932)=0),"",MIN(1,N(K932)/J932))</f>
        <v/>
      </c>
      <c r="M932" s="5" t="n"/>
      <c r="N932" s="5" t="n"/>
      <c r="O932" s="5" t="n"/>
      <c r="P932" s="5" t="n"/>
      <c r="Q932" s="5" t="n"/>
      <c r="R932" s="4" t="n"/>
      <c r="S932" s="4" t="n"/>
      <c r="T932" s="5" t="n"/>
      <c r="U932" s="8">
        <f>IF(AND(V932=1,D932&lt;&gt;""),IF(D932&gt;=corte,TODAY()-D932,""),"")</f>
        <v/>
      </c>
      <c r="V932" s="8">
        <f>IF(D932="",0,IF(OR(AND(P932&lt;&gt;"",S932=""),AND(N(J932)&gt;0,N(K932)&lt;J932),OR(M932="PENDENTE",M932="PARCIAL"),OR(N932="PENDENTE",N932="PARCIAL")),1,0))</f>
        <v/>
      </c>
      <c r="W932" s="8">
        <f>IF(AND(V932=1,D932&lt;&gt;""),IF(D932&gt;=corte,(B932="CRÍTICO")*1E9+(100000-D932)*10000+10000-ROW(),""),"")</f>
        <v/>
      </c>
      <c r="X932" s="8">
        <f>IF(AND(V932=1,D932=pas_data,E932=pas_turno),10000-ROW(),"")</f>
        <v/>
      </c>
    </row>
    <row r="933">
      <c r="A933" s="3">
        <f>IF(D933="","","TT-"&amp;TEXT(ROW()-1,"00000"))</f>
        <v/>
      </c>
      <c r="B933" s="3">
        <f>IF(D933="","",IF(V933=0,"CONCLUÍDO",IF(D933&lt;corte,"HISTÓRICO",IF(OR(AND(ISNUMBER(R933),R933&lt;TODAY()),AND(OR(N933="PENDENTE",N933="PARCIAL"),D933&lt;TODAY()-1)),"CRÍTICO",IF(OR(AND(P933&lt;&gt;"",S933=""),AND(N933="REALIZADO",M933="PENDENTE"),AND(ISNUMBER(R933),R933=TODAY())),"ATENÇÃO",IF(N(K933)=0,"PENDENTE","EM ANDAMENTO"))))))</f>
        <v/>
      </c>
      <c r="C933" s="3">
        <f>IF(D933="","",IF(V933=0,"🟢 OK",IF(D933&lt;corte,"⚪ HISTÓRICO (sem baixa)",IF(AND(ISNUMBER(R933),R933&lt;TODAY()),"🔴 PRAZO VENCIDO",IF(AND(OR(N933="PENDENTE",N933="PARCIAL"),D933&lt;TODAY()-1),"🔴 EMBARQUE ATRASADO",IF(AND(N933="REALIZADO",M933="PENDENTE"),"🟡 EMBARCADO SEM FATURAR",IF(AND(P933&lt;&gt;"",S933="",OR(Q933="",R933="")),"🟡 PENDÊNCIA SEM RESPONSÁVEL/PRAZO",IF(AND(ISNUMBER(R933),R933=TODAY()),"🟡 VENCE HOJE",IF(AND(P933&lt;&gt;"",S933=""),"🟡 PENDÊNCIA ABERTA",IF(AND(N(J933)&gt;0,N(K933)&lt;J933),"🟡 FALTA EXECUTAR",IF(OR(M933="PENDENTE",M933="PARCIAL"),"🟡 FATURAMENTO PENDENTE","🟡 EMBARQUE PENDENTE")))))))))))</f>
        <v/>
      </c>
      <c r="D933" s="4" t="n"/>
      <c r="E933" s="5" t="n"/>
      <c r="F933" s="5" t="n"/>
      <c r="G933" s="5" t="n"/>
      <c r="H933" s="5" t="n"/>
      <c r="I933" s="5" t="n"/>
      <c r="J933" s="6" t="n"/>
      <c r="K933" s="6" t="n"/>
      <c r="L933" s="7">
        <f>IF(OR(D933="",N(J933)=0),"",MIN(1,N(K933)/J933))</f>
        <v/>
      </c>
      <c r="M933" s="5" t="n"/>
      <c r="N933" s="5" t="n"/>
      <c r="O933" s="5" t="n"/>
      <c r="P933" s="5" t="n"/>
      <c r="Q933" s="5" t="n"/>
      <c r="R933" s="4" t="n"/>
      <c r="S933" s="4" t="n"/>
      <c r="T933" s="5" t="n"/>
      <c r="U933" s="8">
        <f>IF(AND(V933=1,D933&lt;&gt;""),IF(D933&gt;=corte,TODAY()-D933,""),"")</f>
        <v/>
      </c>
      <c r="V933" s="8">
        <f>IF(D933="",0,IF(OR(AND(P933&lt;&gt;"",S933=""),AND(N(J933)&gt;0,N(K933)&lt;J933),OR(M933="PENDENTE",M933="PARCIAL"),OR(N933="PENDENTE",N933="PARCIAL")),1,0))</f>
        <v/>
      </c>
      <c r="W933" s="8">
        <f>IF(AND(V933=1,D933&lt;&gt;""),IF(D933&gt;=corte,(B933="CRÍTICO")*1E9+(100000-D933)*10000+10000-ROW(),""),"")</f>
        <v/>
      </c>
      <c r="X933" s="8">
        <f>IF(AND(V933=1,D933=pas_data,E933=pas_turno),10000-ROW(),"")</f>
        <v/>
      </c>
    </row>
    <row r="934">
      <c r="A934" s="3">
        <f>IF(D934="","","TT-"&amp;TEXT(ROW()-1,"00000"))</f>
        <v/>
      </c>
      <c r="B934" s="3">
        <f>IF(D934="","",IF(V934=0,"CONCLUÍDO",IF(D934&lt;corte,"HISTÓRICO",IF(OR(AND(ISNUMBER(R934),R934&lt;TODAY()),AND(OR(N934="PENDENTE",N934="PARCIAL"),D934&lt;TODAY()-1)),"CRÍTICO",IF(OR(AND(P934&lt;&gt;"",S934=""),AND(N934="REALIZADO",M934="PENDENTE"),AND(ISNUMBER(R934),R934=TODAY())),"ATENÇÃO",IF(N(K934)=0,"PENDENTE","EM ANDAMENTO"))))))</f>
        <v/>
      </c>
      <c r="C934" s="3">
        <f>IF(D934="","",IF(V934=0,"🟢 OK",IF(D934&lt;corte,"⚪ HISTÓRICO (sem baixa)",IF(AND(ISNUMBER(R934),R934&lt;TODAY()),"🔴 PRAZO VENCIDO",IF(AND(OR(N934="PENDENTE",N934="PARCIAL"),D934&lt;TODAY()-1),"🔴 EMBARQUE ATRASADO",IF(AND(N934="REALIZADO",M934="PENDENTE"),"🟡 EMBARCADO SEM FATURAR",IF(AND(P934&lt;&gt;"",S934="",OR(Q934="",R934="")),"🟡 PENDÊNCIA SEM RESPONSÁVEL/PRAZO",IF(AND(ISNUMBER(R934),R934=TODAY()),"🟡 VENCE HOJE",IF(AND(P934&lt;&gt;"",S934=""),"🟡 PENDÊNCIA ABERTA",IF(AND(N(J934)&gt;0,N(K934)&lt;J934),"🟡 FALTA EXECUTAR",IF(OR(M934="PENDENTE",M934="PARCIAL"),"🟡 FATURAMENTO PENDENTE","🟡 EMBARQUE PENDENTE")))))))))))</f>
        <v/>
      </c>
      <c r="D934" s="4" t="n"/>
      <c r="E934" s="5" t="n"/>
      <c r="F934" s="5" t="n"/>
      <c r="G934" s="5" t="n"/>
      <c r="H934" s="5" t="n"/>
      <c r="I934" s="5" t="n"/>
      <c r="J934" s="6" t="n"/>
      <c r="K934" s="6" t="n"/>
      <c r="L934" s="7">
        <f>IF(OR(D934="",N(J934)=0),"",MIN(1,N(K934)/J934))</f>
        <v/>
      </c>
      <c r="M934" s="5" t="n"/>
      <c r="N934" s="5" t="n"/>
      <c r="O934" s="5" t="n"/>
      <c r="P934" s="5" t="n"/>
      <c r="Q934" s="5" t="n"/>
      <c r="R934" s="4" t="n"/>
      <c r="S934" s="4" t="n"/>
      <c r="T934" s="5" t="n"/>
      <c r="U934" s="8">
        <f>IF(AND(V934=1,D934&lt;&gt;""),IF(D934&gt;=corte,TODAY()-D934,""),"")</f>
        <v/>
      </c>
      <c r="V934" s="8">
        <f>IF(D934="",0,IF(OR(AND(P934&lt;&gt;"",S934=""),AND(N(J934)&gt;0,N(K934)&lt;J934),OR(M934="PENDENTE",M934="PARCIAL"),OR(N934="PENDENTE",N934="PARCIAL")),1,0))</f>
        <v/>
      </c>
      <c r="W934" s="8">
        <f>IF(AND(V934=1,D934&lt;&gt;""),IF(D934&gt;=corte,(B934="CRÍTICO")*1E9+(100000-D934)*10000+10000-ROW(),""),"")</f>
        <v/>
      </c>
      <c r="X934" s="8">
        <f>IF(AND(V934=1,D934=pas_data,E934=pas_turno),10000-ROW(),"")</f>
        <v/>
      </c>
    </row>
    <row r="935">
      <c r="A935" s="3">
        <f>IF(D935="","","TT-"&amp;TEXT(ROW()-1,"00000"))</f>
        <v/>
      </c>
      <c r="B935" s="3">
        <f>IF(D935="","",IF(V935=0,"CONCLUÍDO",IF(D935&lt;corte,"HISTÓRICO",IF(OR(AND(ISNUMBER(R935),R935&lt;TODAY()),AND(OR(N935="PENDENTE",N935="PARCIAL"),D935&lt;TODAY()-1)),"CRÍTICO",IF(OR(AND(P935&lt;&gt;"",S935=""),AND(N935="REALIZADO",M935="PENDENTE"),AND(ISNUMBER(R935),R935=TODAY())),"ATENÇÃO",IF(N(K935)=0,"PENDENTE","EM ANDAMENTO"))))))</f>
        <v/>
      </c>
      <c r="C935" s="3">
        <f>IF(D935="","",IF(V935=0,"🟢 OK",IF(D935&lt;corte,"⚪ HISTÓRICO (sem baixa)",IF(AND(ISNUMBER(R935),R935&lt;TODAY()),"🔴 PRAZO VENCIDO",IF(AND(OR(N935="PENDENTE",N935="PARCIAL"),D935&lt;TODAY()-1),"🔴 EMBARQUE ATRASADO",IF(AND(N935="REALIZADO",M935="PENDENTE"),"🟡 EMBARCADO SEM FATURAR",IF(AND(P935&lt;&gt;"",S935="",OR(Q935="",R935="")),"🟡 PENDÊNCIA SEM RESPONSÁVEL/PRAZO",IF(AND(ISNUMBER(R935),R935=TODAY()),"🟡 VENCE HOJE",IF(AND(P935&lt;&gt;"",S935=""),"🟡 PENDÊNCIA ABERTA",IF(AND(N(J935)&gt;0,N(K935)&lt;J935),"🟡 FALTA EXECUTAR",IF(OR(M935="PENDENTE",M935="PARCIAL"),"🟡 FATURAMENTO PENDENTE","🟡 EMBARQUE PENDENTE")))))))))))</f>
        <v/>
      </c>
      <c r="D935" s="4" t="n"/>
      <c r="E935" s="5" t="n"/>
      <c r="F935" s="5" t="n"/>
      <c r="G935" s="5" t="n"/>
      <c r="H935" s="5" t="n"/>
      <c r="I935" s="5" t="n"/>
      <c r="J935" s="6" t="n"/>
      <c r="K935" s="6" t="n"/>
      <c r="L935" s="7">
        <f>IF(OR(D935="",N(J935)=0),"",MIN(1,N(K935)/J935))</f>
        <v/>
      </c>
      <c r="M935" s="5" t="n"/>
      <c r="N935" s="5" t="n"/>
      <c r="O935" s="5" t="n"/>
      <c r="P935" s="5" t="n"/>
      <c r="Q935" s="5" t="n"/>
      <c r="R935" s="4" t="n"/>
      <c r="S935" s="4" t="n"/>
      <c r="T935" s="5" t="n"/>
      <c r="U935" s="8">
        <f>IF(AND(V935=1,D935&lt;&gt;""),IF(D935&gt;=corte,TODAY()-D935,""),"")</f>
        <v/>
      </c>
      <c r="V935" s="8">
        <f>IF(D935="",0,IF(OR(AND(P935&lt;&gt;"",S935=""),AND(N(J935)&gt;0,N(K935)&lt;J935),OR(M935="PENDENTE",M935="PARCIAL"),OR(N935="PENDENTE",N935="PARCIAL")),1,0))</f>
        <v/>
      </c>
      <c r="W935" s="8">
        <f>IF(AND(V935=1,D935&lt;&gt;""),IF(D935&gt;=corte,(B935="CRÍTICO")*1E9+(100000-D935)*10000+10000-ROW(),""),"")</f>
        <v/>
      </c>
      <c r="X935" s="8">
        <f>IF(AND(V935=1,D935=pas_data,E935=pas_turno),10000-ROW(),"")</f>
        <v/>
      </c>
    </row>
    <row r="936">
      <c r="A936" s="3">
        <f>IF(D936="","","TT-"&amp;TEXT(ROW()-1,"00000"))</f>
        <v/>
      </c>
      <c r="B936" s="3">
        <f>IF(D936="","",IF(V936=0,"CONCLUÍDO",IF(D936&lt;corte,"HISTÓRICO",IF(OR(AND(ISNUMBER(R936),R936&lt;TODAY()),AND(OR(N936="PENDENTE",N936="PARCIAL"),D936&lt;TODAY()-1)),"CRÍTICO",IF(OR(AND(P936&lt;&gt;"",S936=""),AND(N936="REALIZADO",M936="PENDENTE"),AND(ISNUMBER(R936),R936=TODAY())),"ATENÇÃO",IF(N(K936)=0,"PENDENTE","EM ANDAMENTO"))))))</f>
        <v/>
      </c>
      <c r="C936" s="3">
        <f>IF(D936="","",IF(V936=0,"🟢 OK",IF(D936&lt;corte,"⚪ HISTÓRICO (sem baixa)",IF(AND(ISNUMBER(R936),R936&lt;TODAY()),"🔴 PRAZO VENCIDO",IF(AND(OR(N936="PENDENTE",N936="PARCIAL"),D936&lt;TODAY()-1),"🔴 EMBARQUE ATRASADO",IF(AND(N936="REALIZADO",M936="PENDENTE"),"🟡 EMBARCADO SEM FATURAR",IF(AND(P936&lt;&gt;"",S936="",OR(Q936="",R936="")),"🟡 PENDÊNCIA SEM RESPONSÁVEL/PRAZO",IF(AND(ISNUMBER(R936),R936=TODAY()),"🟡 VENCE HOJE",IF(AND(P936&lt;&gt;"",S936=""),"🟡 PENDÊNCIA ABERTA",IF(AND(N(J936)&gt;0,N(K936)&lt;J936),"🟡 FALTA EXECUTAR",IF(OR(M936="PENDENTE",M936="PARCIAL"),"🟡 FATURAMENTO PENDENTE","🟡 EMBARQUE PENDENTE")))))))))))</f>
        <v/>
      </c>
      <c r="D936" s="4" t="n"/>
      <c r="E936" s="5" t="n"/>
      <c r="F936" s="5" t="n"/>
      <c r="G936" s="5" t="n"/>
      <c r="H936" s="5" t="n"/>
      <c r="I936" s="5" t="n"/>
      <c r="J936" s="6" t="n"/>
      <c r="K936" s="6" t="n"/>
      <c r="L936" s="7">
        <f>IF(OR(D936="",N(J936)=0),"",MIN(1,N(K936)/J936))</f>
        <v/>
      </c>
      <c r="M936" s="5" t="n"/>
      <c r="N936" s="5" t="n"/>
      <c r="O936" s="5" t="n"/>
      <c r="P936" s="5" t="n"/>
      <c r="Q936" s="5" t="n"/>
      <c r="R936" s="4" t="n"/>
      <c r="S936" s="4" t="n"/>
      <c r="T936" s="5" t="n"/>
      <c r="U936" s="8">
        <f>IF(AND(V936=1,D936&lt;&gt;""),IF(D936&gt;=corte,TODAY()-D936,""),"")</f>
        <v/>
      </c>
      <c r="V936" s="8">
        <f>IF(D936="",0,IF(OR(AND(P936&lt;&gt;"",S936=""),AND(N(J936)&gt;0,N(K936)&lt;J936),OR(M936="PENDENTE",M936="PARCIAL"),OR(N936="PENDENTE",N936="PARCIAL")),1,0))</f>
        <v/>
      </c>
      <c r="W936" s="8">
        <f>IF(AND(V936=1,D936&lt;&gt;""),IF(D936&gt;=corte,(B936="CRÍTICO")*1E9+(100000-D936)*10000+10000-ROW(),""),"")</f>
        <v/>
      </c>
      <c r="X936" s="8">
        <f>IF(AND(V936=1,D936=pas_data,E936=pas_turno),10000-ROW(),"")</f>
        <v/>
      </c>
    </row>
    <row r="937">
      <c r="A937" s="3">
        <f>IF(D937="","","TT-"&amp;TEXT(ROW()-1,"00000"))</f>
        <v/>
      </c>
      <c r="B937" s="3">
        <f>IF(D937="","",IF(V937=0,"CONCLUÍDO",IF(D937&lt;corte,"HISTÓRICO",IF(OR(AND(ISNUMBER(R937),R937&lt;TODAY()),AND(OR(N937="PENDENTE",N937="PARCIAL"),D937&lt;TODAY()-1)),"CRÍTICO",IF(OR(AND(P937&lt;&gt;"",S937=""),AND(N937="REALIZADO",M937="PENDENTE"),AND(ISNUMBER(R937),R937=TODAY())),"ATENÇÃO",IF(N(K937)=0,"PENDENTE","EM ANDAMENTO"))))))</f>
        <v/>
      </c>
      <c r="C937" s="3">
        <f>IF(D937="","",IF(V937=0,"🟢 OK",IF(D937&lt;corte,"⚪ HISTÓRICO (sem baixa)",IF(AND(ISNUMBER(R937),R937&lt;TODAY()),"🔴 PRAZO VENCIDO",IF(AND(OR(N937="PENDENTE",N937="PARCIAL"),D937&lt;TODAY()-1),"🔴 EMBARQUE ATRASADO",IF(AND(N937="REALIZADO",M937="PENDENTE"),"🟡 EMBARCADO SEM FATURAR",IF(AND(P937&lt;&gt;"",S937="",OR(Q937="",R937="")),"🟡 PENDÊNCIA SEM RESPONSÁVEL/PRAZO",IF(AND(ISNUMBER(R937),R937=TODAY()),"🟡 VENCE HOJE",IF(AND(P937&lt;&gt;"",S937=""),"🟡 PENDÊNCIA ABERTA",IF(AND(N(J937)&gt;0,N(K937)&lt;J937),"🟡 FALTA EXECUTAR",IF(OR(M937="PENDENTE",M937="PARCIAL"),"🟡 FATURAMENTO PENDENTE","🟡 EMBARQUE PENDENTE")))))))))))</f>
        <v/>
      </c>
      <c r="D937" s="4" t="n"/>
      <c r="E937" s="5" t="n"/>
      <c r="F937" s="5" t="n"/>
      <c r="G937" s="5" t="n"/>
      <c r="H937" s="5" t="n"/>
      <c r="I937" s="5" t="n"/>
      <c r="J937" s="6" t="n"/>
      <c r="K937" s="6" t="n"/>
      <c r="L937" s="7">
        <f>IF(OR(D937="",N(J937)=0),"",MIN(1,N(K937)/J937))</f>
        <v/>
      </c>
      <c r="M937" s="5" t="n"/>
      <c r="N937" s="5" t="n"/>
      <c r="O937" s="5" t="n"/>
      <c r="P937" s="5" t="n"/>
      <c r="Q937" s="5" t="n"/>
      <c r="R937" s="4" t="n"/>
      <c r="S937" s="4" t="n"/>
      <c r="T937" s="5" t="n"/>
      <c r="U937" s="8">
        <f>IF(AND(V937=1,D937&lt;&gt;""),IF(D937&gt;=corte,TODAY()-D937,""),"")</f>
        <v/>
      </c>
      <c r="V937" s="8">
        <f>IF(D937="",0,IF(OR(AND(P937&lt;&gt;"",S937=""),AND(N(J937)&gt;0,N(K937)&lt;J937),OR(M937="PENDENTE",M937="PARCIAL"),OR(N937="PENDENTE",N937="PARCIAL")),1,0))</f>
        <v/>
      </c>
      <c r="W937" s="8">
        <f>IF(AND(V937=1,D937&lt;&gt;""),IF(D937&gt;=corte,(B937="CRÍTICO")*1E9+(100000-D937)*10000+10000-ROW(),""),"")</f>
        <v/>
      </c>
      <c r="X937" s="8">
        <f>IF(AND(V937=1,D937=pas_data,E937=pas_turno),10000-ROW(),"")</f>
        <v/>
      </c>
    </row>
    <row r="938">
      <c r="A938" s="3">
        <f>IF(D938="","","TT-"&amp;TEXT(ROW()-1,"00000"))</f>
        <v/>
      </c>
      <c r="B938" s="3">
        <f>IF(D938="","",IF(V938=0,"CONCLUÍDO",IF(D938&lt;corte,"HISTÓRICO",IF(OR(AND(ISNUMBER(R938),R938&lt;TODAY()),AND(OR(N938="PENDENTE",N938="PARCIAL"),D938&lt;TODAY()-1)),"CRÍTICO",IF(OR(AND(P938&lt;&gt;"",S938=""),AND(N938="REALIZADO",M938="PENDENTE"),AND(ISNUMBER(R938),R938=TODAY())),"ATENÇÃO",IF(N(K938)=0,"PENDENTE","EM ANDAMENTO"))))))</f>
        <v/>
      </c>
      <c r="C938" s="3">
        <f>IF(D938="","",IF(V938=0,"🟢 OK",IF(D938&lt;corte,"⚪ HISTÓRICO (sem baixa)",IF(AND(ISNUMBER(R938),R938&lt;TODAY()),"🔴 PRAZO VENCIDO",IF(AND(OR(N938="PENDENTE",N938="PARCIAL"),D938&lt;TODAY()-1),"🔴 EMBARQUE ATRASADO",IF(AND(N938="REALIZADO",M938="PENDENTE"),"🟡 EMBARCADO SEM FATURAR",IF(AND(P938&lt;&gt;"",S938="",OR(Q938="",R938="")),"🟡 PENDÊNCIA SEM RESPONSÁVEL/PRAZO",IF(AND(ISNUMBER(R938),R938=TODAY()),"🟡 VENCE HOJE",IF(AND(P938&lt;&gt;"",S938=""),"🟡 PENDÊNCIA ABERTA",IF(AND(N(J938)&gt;0,N(K938)&lt;J938),"🟡 FALTA EXECUTAR",IF(OR(M938="PENDENTE",M938="PARCIAL"),"🟡 FATURAMENTO PENDENTE","🟡 EMBARQUE PENDENTE")))))))))))</f>
        <v/>
      </c>
      <c r="D938" s="4" t="n"/>
      <c r="E938" s="5" t="n"/>
      <c r="F938" s="5" t="n"/>
      <c r="G938" s="5" t="n"/>
      <c r="H938" s="5" t="n"/>
      <c r="I938" s="5" t="n"/>
      <c r="J938" s="6" t="n"/>
      <c r="K938" s="6" t="n"/>
      <c r="L938" s="7">
        <f>IF(OR(D938="",N(J938)=0),"",MIN(1,N(K938)/J938))</f>
        <v/>
      </c>
      <c r="M938" s="5" t="n"/>
      <c r="N938" s="5" t="n"/>
      <c r="O938" s="5" t="n"/>
      <c r="P938" s="5" t="n"/>
      <c r="Q938" s="5" t="n"/>
      <c r="R938" s="4" t="n"/>
      <c r="S938" s="4" t="n"/>
      <c r="T938" s="5" t="n"/>
      <c r="U938" s="8">
        <f>IF(AND(V938=1,D938&lt;&gt;""),IF(D938&gt;=corte,TODAY()-D938,""),"")</f>
        <v/>
      </c>
      <c r="V938" s="8">
        <f>IF(D938="",0,IF(OR(AND(P938&lt;&gt;"",S938=""),AND(N(J938)&gt;0,N(K938)&lt;J938),OR(M938="PENDENTE",M938="PARCIAL"),OR(N938="PENDENTE",N938="PARCIAL")),1,0))</f>
        <v/>
      </c>
      <c r="W938" s="8">
        <f>IF(AND(V938=1,D938&lt;&gt;""),IF(D938&gt;=corte,(B938="CRÍTICO")*1E9+(100000-D938)*10000+10000-ROW(),""),"")</f>
        <v/>
      </c>
      <c r="X938" s="8">
        <f>IF(AND(V938=1,D938=pas_data,E938=pas_turno),10000-ROW(),"")</f>
        <v/>
      </c>
    </row>
    <row r="939">
      <c r="A939" s="3">
        <f>IF(D939="","","TT-"&amp;TEXT(ROW()-1,"00000"))</f>
        <v/>
      </c>
      <c r="B939" s="3">
        <f>IF(D939="","",IF(V939=0,"CONCLUÍDO",IF(D939&lt;corte,"HISTÓRICO",IF(OR(AND(ISNUMBER(R939),R939&lt;TODAY()),AND(OR(N939="PENDENTE",N939="PARCIAL"),D939&lt;TODAY()-1)),"CRÍTICO",IF(OR(AND(P939&lt;&gt;"",S939=""),AND(N939="REALIZADO",M939="PENDENTE"),AND(ISNUMBER(R939),R939=TODAY())),"ATENÇÃO",IF(N(K939)=0,"PENDENTE","EM ANDAMENTO"))))))</f>
        <v/>
      </c>
      <c r="C939" s="3">
        <f>IF(D939="","",IF(V939=0,"🟢 OK",IF(D939&lt;corte,"⚪ HISTÓRICO (sem baixa)",IF(AND(ISNUMBER(R939),R939&lt;TODAY()),"🔴 PRAZO VENCIDO",IF(AND(OR(N939="PENDENTE",N939="PARCIAL"),D939&lt;TODAY()-1),"🔴 EMBARQUE ATRASADO",IF(AND(N939="REALIZADO",M939="PENDENTE"),"🟡 EMBARCADO SEM FATURAR",IF(AND(P939&lt;&gt;"",S939="",OR(Q939="",R939="")),"🟡 PENDÊNCIA SEM RESPONSÁVEL/PRAZO",IF(AND(ISNUMBER(R939),R939=TODAY()),"🟡 VENCE HOJE",IF(AND(P939&lt;&gt;"",S939=""),"🟡 PENDÊNCIA ABERTA",IF(AND(N(J939)&gt;0,N(K939)&lt;J939),"🟡 FALTA EXECUTAR",IF(OR(M939="PENDENTE",M939="PARCIAL"),"🟡 FATURAMENTO PENDENTE","🟡 EMBARQUE PENDENTE")))))))))))</f>
        <v/>
      </c>
      <c r="D939" s="4" t="n"/>
      <c r="E939" s="5" t="n"/>
      <c r="F939" s="5" t="n"/>
      <c r="G939" s="5" t="n"/>
      <c r="H939" s="5" t="n"/>
      <c r="I939" s="5" t="n"/>
      <c r="J939" s="6" t="n"/>
      <c r="K939" s="6" t="n"/>
      <c r="L939" s="7">
        <f>IF(OR(D939="",N(J939)=0),"",MIN(1,N(K939)/J939))</f>
        <v/>
      </c>
      <c r="M939" s="5" t="n"/>
      <c r="N939" s="5" t="n"/>
      <c r="O939" s="5" t="n"/>
      <c r="P939" s="5" t="n"/>
      <c r="Q939" s="5" t="n"/>
      <c r="R939" s="4" t="n"/>
      <c r="S939" s="4" t="n"/>
      <c r="T939" s="5" t="n"/>
      <c r="U939" s="8">
        <f>IF(AND(V939=1,D939&lt;&gt;""),IF(D939&gt;=corte,TODAY()-D939,""),"")</f>
        <v/>
      </c>
      <c r="V939" s="8">
        <f>IF(D939="",0,IF(OR(AND(P939&lt;&gt;"",S939=""),AND(N(J939)&gt;0,N(K939)&lt;J939),OR(M939="PENDENTE",M939="PARCIAL"),OR(N939="PENDENTE",N939="PARCIAL")),1,0))</f>
        <v/>
      </c>
      <c r="W939" s="8">
        <f>IF(AND(V939=1,D939&lt;&gt;""),IF(D939&gt;=corte,(B939="CRÍTICO")*1E9+(100000-D939)*10000+10000-ROW(),""),"")</f>
        <v/>
      </c>
      <c r="X939" s="8">
        <f>IF(AND(V939=1,D939=pas_data,E939=pas_turno),10000-ROW(),"")</f>
        <v/>
      </c>
    </row>
    <row r="940">
      <c r="A940" s="3">
        <f>IF(D940="","","TT-"&amp;TEXT(ROW()-1,"00000"))</f>
        <v/>
      </c>
      <c r="B940" s="3">
        <f>IF(D940="","",IF(V940=0,"CONCLUÍDO",IF(D940&lt;corte,"HISTÓRICO",IF(OR(AND(ISNUMBER(R940),R940&lt;TODAY()),AND(OR(N940="PENDENTE",N940="PARCIAL"),D940&lt;TODAY()-1)),"CRÍTICO",IF(OR(AND(P940&lt;&gt;"",S940=""),AND(N940="REALIZADO",M940="PENDENTE"),AND(ISNUMBER(R940),R940=TODAY())),"ATENÇÃO",IF(N(K940)=0,"PENDENTE","EM ANDAMENTO"))))))</f>
        <v/>
      </c>
      <c r="C940" s="3">
        <f>IF(D940="","",IF(V940=0,"🟢 OK",IF(D940&lt;corte,"⚪ HISTÓRICO (sem baixa)",IF(AND(ISNUMBER(R940),R940&lt;TODAY()),"🔴 PRAZO VENCIDO",IF(AND(OR(N940="PENDENTE",N940="PARCIAL"),D940&lt;TODAY()-1),"🔴 EMBARQUE ATRASADO",IF(AND(N940="REALIZADO",M940="PENDENTE"),"🟡 EMBARCADO SEM FATURAR",IF(AND(P940&lt;&gt;"",S940="",OR(Q940="",R940="")),"🟡 PENDÊNCIA SEM RESPONSÁVEL/PRAZO",IF(AND(ISNUMBER(R940),R940=TODAY()),"🟡 VENCE HOJE",IF(AND(P940&lt;&gt;"",S940=""),"🟡 PENDÊNCIA ABERTA",IF(AND(N(J940)&gt;0,N(K940)&lt;J940),"🟡 FALTA EXECUTAR",IF(OR(M940="PENDENTE",M940="PARCIAL"),"🟡 FATURAMENTO PENDENTE","🟡 EMBARQUE PENDENTE")))))))))))</f>
        <v/>
      </c>
      <c r="D940" s="4" t="n"/>
      <c r="E940" s="5" t="n"/>
      <c r="F940" s="5" t="n"/>
      <c r="G940" s="5" t="n"/>
      <c r="H940" s="5" t="n"/>
      <c r="I940" s="5" t="n"/>
      <c r="J940" s="6" t="n"/>
      <c r="K940" s="6" t="n"/>
      <c r="L940" s="7">
        <f>IF(OR(D940="",N(J940)=0),"",MIN(1,N(K940)/J940))</f>
        <v/>
      </c>
      <c r="M940" s="5" t="n"/>
      <c r="N940" s="5" t="n"/>
      <c r="O940" s="5" t="n"/>
      <c r="P940" s="5" t="n"/>
      <c r="Q940" s="5" t="n"/>
      <c r="R940" s="4" t="n"/>
      <c r="S940" s="4" t="n"/>
      <c r="T940" s="5" t="n"/>
      <c r="U940" s="8">
        <f>IF(AND(V940=1,D940&lt;&gt;""),IF(D940&gt;=corte,TODAY()-D940,""),"")</f>
        <v/>
      </c>
      <c r="V940" s="8">
        <f>IF(D940="",0,IF(OR(AND(P940&lt;&gt;"",S940=""),AND(N(J940)&gt;0,N(K940)&lt;J940),OR(M940="PENDENTE",M940="PARCIAL"),OR(N940="PENDENTE",N940="PARCIAL")),1,0))</f>
        <v/>
      </c>
      <c r="W940" s="8">
        <f>IF(AND(V940=1,D940&lt;&gt;""),IF(D940&gt;=corte,(B940="CRÍTICO")*1E9+(100000-D940)*10000+10000-ROW(),""),"")</f>
        <v/>
      </c>
      <c r="X940" s="8">
        <f>IF(AND(V940=1,D940=pas_data,E940=pas_turno),10000-ROW(),"")</f>
        <v/>
      </c>
    </row>
    <row r="941">
      <c r="A941" s="3">
        <f>IF(D941="","","TT-"&amp;TEXT(ROW()-1,"00000"))</f>
        <v/>
      </c>
      <c r="B941" s="3">
        <f>IF(D941="","",IF(V941=0,"CONCLUÍDO",IF(D941&lt;corte,"HISTÓRICO",IF(OR(AND(ISNUMBER(R941),R941&lt;TODAY()),AND(OR(N941="PENDENTE",N941="PARCIAL"),D941&lt;TODAY()-1)),"CRÍTICO",IF(OR(AND(P941&lt;&gt;"",S941=""),AND(N941="REALIZADO",M941="PENDENTE"),AND(ISNUMBER(R941),R941=TODAY())),"ATENÇÃO",IF(N(K941)=0,"PENDENTE","EM ANDAMENTO"))))))</f>
        <v/>
      </c>
      <c r="C941" s="3">
        <f>IF(D941="","",IF(V941=0,"🟢 OK",IF(D941&lt;corte,"⚪ HISTÓRICO (sem baixa)",IF(AND(ISNUMBER(R941),R941&lt;TODAY()),"🔴 PRAZO VENCIDO",IF(AND(OR(N941="PENDENTE",N941="PARCIAL"),D941&lt;TODAY()-1),"🔴 EMBARQUE ATRASADO",IF(AND(N941="REALIZADO",M941="PENDENTE"),"🟡 EMBARCADO SEM FATURAR",IF(AND(P941&lt;&gt;"",S941="",OR(Q941="",R941="")),"🟡 PENDÊNCIA SEM RESPONSÁVEL/PRAZO",IF(AND(ISNUMBER(R941),R941=TODAY()),"🟡 VENCE HOJE",IF(AND(P941&lt;&gt;"",S941=""),"🟡 PENDÊNCIA ABERTA",IF(AND(N(J941)&gt;0,N(K941)&lt;J941),"🟡 FALTA EXECUTAR",IF(OR(M941="PENDENTE",M941="PARCIAL"),"🟡 FATURAMENTO PENDENTE","🟡 EMBARQUE PENDENTE")))))))))))</f>
        <v/>
      </c>
      <c r="D941" s="4" t="n"/>
      <c r="E941" s="5" t="n"/>
      <c r="F941" s="5" t="n"/>
      <c r="G941" s="5" t="n"/>
      <c r="H941" s="5" t="n"/>
      <c r="I941" s="5" t="n"/>
      <c r="J941" s="6" t="n"/>
      <c r="K941" s="6" t="n"/>
      <c r="L941" s="7">
        <f>IF(OR(D941="",N(J941)=0),"",MIN(1,N(K941)/J941))</f>
        <v/>
      </c>
      <c r="M941" s="5" t="n"/>
      <c r="N941" s="5" t="n"/>
      <c r="O941" s="5" t="n"/>
      <c r="P941" s="5" t="n"/>
      <c r="Q941" s="5" t="n"/>
      <c r="R941" s="4" t="n"/>
      <c r="S941" s="4" t="n"/>
      <c r="T941" s="5" t="n"/>
      <c r="U941" s="8">
        <f>IF(AND(V941=1,D941&lt;&gt;""),IF(D941&gt;=corte,TODAY()-D941,""),"")</f>
        <v/>
      </c>
      <c r="V941" s="8">
        <f>IF(D941="",0,IF(OR(AND(P941&lt;&gt;"",S941=""),AND(N(J941)&gt;0,N(K941)&lt;J941),OR(M941="PENDENTE",M941="PARCIAL"),OR(N941="PENDENTE",N941="PARCIAL")),1,0))</f>
        <v/>
      </c>
      <c r="W941" s="8">
        <f>IF(AND(V941=1,D941&lt;&gt;""),IF(D941&gt;=corte,(B941="CRÍTICO")*1E9+(100000-D941)*10000+10000-ROW(),""),"")</f>
        <v/>
      </c>
      <c r="X941" s="8">
        <f>IF(AND(V941=1,D941=pas_data,E941=pas_turno),10000-ROW(),"")</f>
        <v/>
      </c>
    </row>
    <row r="942">
      <c r="A942" s="3">
        <f>IF(D942="","","TT-"&amp;TEXT(ROW()-1,"00000"))</f>
        <v/>
      </c>
      <c r="B942" s="3">
        <f>IF(D942="","",IF(V942=0,"CONCLUÍDO",IF(D942&lt;corte,"HISTÓRICO",IF(OR(AND(ISNUMBER(R942),R942&lt;TODAY()),AND(OR(N942="PENDENTE",N942="PARCIAL"),D942&lt;TODAY()-1)),"CRÍTICO",IF(OR(AND(P942&lt;&gt;"",S942=""),AND(N942="REALIZADO",M942="PENDENTE"),AND(ISNUMBER(R942),R942=TODAY())),"ATENÇÃO",IF(N(K942)=0,"PENDENTE","EM ANDAMENTO"))))))</f>
        <v/>
      </c>
      <c r="C942" s="3">
        <f>IF(D942="","",IF(V942=0,"🟢 OK",IF(D942&lt;corte,"⚪ HISTÓRICO (sem baixa)",IF(AND(ISNUMBER(R942),R942&lt;TODAY()),"🔴 PRAZO VENCIDO",IF(AND(OR(N942="PENDENTE",N942="PARCIAL"),D942&lt;TODAY()-1),"🔴 EMBARQUE ATRASADO",IF(AND(N942="REALIZADO",M942="PENDENTE"),"🟡 EMBARCADO SEM FATURAR",IF(AND(P942&lt;&gt;"",S942="",OR(Q942="",R942="")),"🟡 PENDÊNCIA SEM RESPONSÁVEL/PRAZO",IF(AND(ISNUMBER(R942),R942=TODAY()),"🟡 VENCE HOJE",IF(AND(P942&lt;&gt;"",S942=""),"🟡 PENDÊNCIA ABERTA",IF(AND(N(J942)&gt;0,N(K942)&lt;J942),"🟡 FALTA EXECUTAR",IF(OR(M942="PENDENTE",M942="PARCIAL"),"🟡 FATURAMENTO PENDENTE","🟡 EMBARQUE PENDENTE")))))))))))</f>
        <v/>
      </c>
      <c r="D942" s="4" t="n"/>
      <c r="E942" s="5" t="n"/>
      <c r="F942" s="5" t="n"/>
      <c r="G942" s="5" t="n"/>
      <c r="H942" s="5" t="n"/>
      <c r="I942" s="5" t="n"/>
      <c r="J942" s="6" t="n"/>
      <c r="K942" s="6" t="n"/>
      <c r="L942" s="7">
        <f>IF(OR(D942="",N(J942)=0),"",MIN(1,N(K942)/J942))</f>
        <v/>
      </c>
      <c r="M942" s="5" t="n"/>
      <c r="N942" s="5" t="n"/>
      <c r="O942" s="5" t="n"/>
      <c r="P942" s="5" t="n"/>
      <c r="Q942" s="5" t="n"/>
      <c r="R942" s="4" t="n"/>
      <c r="S942" s="4" t="n"/>
      <c r="T942" s="5" t="n"/>
      <c r="U942" s="8">
        <f>IF(AND(V942=1,D942&lt;&gt;""),IF(D942&gt;=corte,TODAY()-D942,""),"")</f>
        <v/>
      </c>
      <c r="V942" s="8">
        <f>IF(D942="",0,IF(OR(AND(P942&lt;&gt;"",S942=""),AND(N(J942)&gt;0,N(K942)&lt;J942),OR(M942="PENDENTE",M942="PARCIAL"),OR(N942="PENDENTE",N942="PARCIAL")),1,0))</f>
        <v/>
      </c>
      <c r="W942" s="8">
        <f>IF(AND(V942=1,D942&lt;&gt;""),IF(D942&gt;=corte,(B942="CRÍTICO")*1E9+(100000-D942)*10000+10000-ROW(),""),"")</f>
        <v/>
      </c>
      <c r="X942" s="8">
        <f>IF(AND(V942=1,D942=pas_data,E942=pas_turno),10000-ROW(),"")</f>
        <v/>
      </c>
    </row>
    <row r="943">
      <c r="A943" s="3">
        <f>IF(D943="","","TT-"&amp;TEXT(ROW()-1,"00000"))</f>
        <v/>
      </c>
      <c r="B943" s="3">
        <f>IF(D943="","",IF(V943=0,"CONCLUÍDO",IF(D943&lt;corte,"HISTÓRICO",IF(OR(AND(ISNUMBER(R943),R943&lt;TODAY()),AND(OR(N943="PENDENTE",N943="PARCIAL"),D943&lt;TODAY()-1)),"CRÍTICO",IF(OR(AND(P943&lt;&gt;"",S943=""),AND(N943="REALIZADO",M943="PENDENTE"),AND(ISNUMBER(R943),R943=TODAY())),"ATENÇÃO",IF(N(K943)=0,"PENDENTE","EM ANDAMENTO"))))))</f>
        <v/>
      </c>
      <c r="C943" s="3">
        <f>IF(D943="","",IF(V943=0,"🟢 OK",IF(D943&lt;corte,"⚪ HISTÓRICO (sem baixa)",IF(AND(ISNUMBER(R943),R943&lt;TODAY()),"🔴 PRAZO VENCIDO",IF(AND(OR(N943="PENDENTE",N943="PARCIAL"),D943&lt;TODAY()-1),"🔴 EMBARQUE ATRASADO",IF(AND(N943="REALIZADO",M943="PENDENTE"),"🟡 EMBARCADO SEM FATURAR",IF(AND(P943&lt;&gt;"",S943="",OR(Q943="",R943="")),"🟡 PENDÊNCIA SEM RESPONSÁVEL/PRAZO",IF(AND(ISNUMBER(R943),R943=TODAY()),"🟡 VENCE HOJE",IF(AND(P943&lt;&gt;"",S943=""),"🟡 PENDÊNCIA ABERTA",IF(AND(N(J943)&gt;0,N(K943)&lt;J943),"🟡 FALTA EXECUTAR",IF(OR(M943="PENDENTE",M943="PARCIAL"),"🟡 FATURAMENTO PENDENTE","🟡 EMBARQUE PENDENTE")))))))))))</f>
        <v/>
      </c>
      <c r="D943" s="4" t="n"/>
      <c r="E943" s="5" t="n"/>
      <c r="F943" s="5" t="n"/>
      <c r="G943" s="5" t="n"/>
      <c r="H943" s="5" t="n"/>
      <c r="I943" s="5" t="n"/>
      <c r="J943" s="6" t="n"/>
      <c r="K943" s="6" t="n"/>
      <c r="L943" s="7">
        <f>IF(OR(D943="",N(J943)=0),"",MIN(1,N(K943)/J943))</f>
        <v/>
      </c>
      <c r="M943" s="5" t="n"/>
      <c r="N943" s="5" t="n"/>
      <c r="O943" s="5" t="n"/>
      <c r="P943" s="5" t="n"/>
      <c r="Q943" s="5" t="n"/>
      <c r="R943" s="4" t="n"/>
      <c r="S943" s="4" t="n"/>
      <c r="T943" s="5" t="n"/>
      <c r="U943" s="8">
        <f>IF(AND(V943=1,D943&lt;&gt;""),IF(D943&gt;=corte,TODAY()-D943,""),"")</f>
        <v/>
      </c>
      <c r="V943" s="8">
        <f>IF(D943="",0,IF(OR(AND(P943&lt;&gt;"",S943=""),AND(N(J943)&gt;0,N(K943)&lt;J943),OR(M943="PENDENTE",M943="PARCIAL"),OR(N943="PENDENTE",N943="PARCIAL")),1,0))</f>
        <v/>
      </c>
      <c r="W943" s="8">
        <f>IF(AND(V943=1,D943&lt;&gt;""),IF(D943&gt;=corte,(B943="CRÍTICO")*1E9+(100000-D943)*10000+10000-ROW(),""),"")</f>
        <v/>
      </c>
      <c r="X943" s="8">
        <f>IF(AND(V943=1,D943=pas_data,E943=pas_turno),10000-ROW(),"")</f>
        <v/>
      </c>
    </row>
    <row r="944">
      <c r="A944" s="3">
        <f>IF(D944="","","TT-"&amp;TEXT(ROW()-1,"00000"))</f>
        <v/>
      </c>
      <c r="B944" s="3">
        <f>IF(D944="","",IF(V944=0,"CONCLUÍDO",IF(D944&lt;corte,"HISTÓRICO",IF(OR(AND(ISNUMBER(R944),R944&lt;TODAY()),AND(OR(N944="PENDENTE",N944="PARCIAL"),D944&lt;TODAY()-1)),"CRÍTICO",IF(OR(AND(P944&lt;&gt;"",S944=""),AND(N944="REALIZADO",M944="PENDENTE"),AND(ISNUMBER(R944),R944=TODAY())),"ATENÇÃO",IF(N(K944)=0,"PENDENTE","EM ANDAMENTO"))))))</f>
        <v/>
      </c>
      <c r="C944" s="3">
        <f>IF(D944="","",IF(V944=0,"🟢 OK",IF(D944&lt;corte,"⚪ HISTÓRICO (sem baixa)",IF(AND(ISNUMBER(R944),R944&lt;TODAY()),"🔴 PRAZO VENCIDO",IF(AND(OR(N944="PENDENTE",N944="PARCIAL"),D944&lt;TODAY()-1),"🔴 EMBARQUE ATRASADO",IF(AND(N944="REALIZADO",M944="PENDENTE"),"🟡 EMBARCADO SEM FATURAR",IF(AND(P944&lt;&gt;"",S944="",OR(Q944="",R944="")),"🟡 PENDÊNCIA SEM RESPONSÁVEL/PRAZO",IF(AND(ISNUMBER(R944),R944=TODAY()),"🟡 VENCE HOJE",IF(AND(P944&lt;&gt;"",S944=""),"🟡 PENDÊNCIA ABERTA",IF(AND(N(J944)&gt;0,N(K944)&lt;J944),"🟡 FALTA EXECUTAR",IF(OR(M944="PENDENTE",M944="PARCIAL"),"🟡 FATURAMENTO PENDENTE","🟡 EMBARQUE PENDENTE")))))))))))</f>
        <v/>
      </c>
      <c r="D944" s="4" t="n"/>
      <c r="E944" s="5" t="n"/>
      <c r="F944" s="5" t="n"/>
      <c r="G944" s="5" t="n"/>
      <c r="H944" s="5" t="n"/>
      <c r="I944" s="5" t="n"/>
      <c r="J944" s="6" t="n"/>
      <c r="K944" s="6" t="n"/>
      <c r="L944" s="7">
        <f>IF(OR(D944="",N(J944)=0),"",MIN(1,N(K944)/J944))</f>
        <v/>
      </c>
      <c r="M944" s="5" t="n"/>
      <c r="N944" s="5" t="n"/>
      <c r="O944" s="5" t="n"/>
      <c r="P944" s="5" t="n"/>
      <c r="Q944" s="5" t="n"/>
      <c r="R944" s="4" t="n"/>
      <c r="S944" s="4" t="n"/>
      <c r="T944" s="5" t="n"/>
      <c r="U944" s="8">
        <f>IF(AND(V944=1,D944&lt;&gt;""),IF(D944&gt;=corte,TODAY()-D944,""),"")</f>
        <v/>
      </c>
      <c r="V944" s="8">
        <f>IF(D944="",0,IF(OR(AND(P944&lt;&gt;"",S944=""),AND(N(J944)&gt;0,N(K944)&lt;J944),OR(M944="PENDENTE",M944="PARCIAL"),OR(N944="PENDENTE",N944="PARCIAL")),1,0))</f>
        <v/>
      </c>
      <c r="W944" s="8">
        <f>IF(AND(V944=1,D944&lt;&gt;""),IF(D944&gt;=corte,(B944="CRÍTICO")*1E9+(100000-D944)*10000+10000-ROW(),""),"")</f>
        <v/>
      </c>
      <c r="X944" s="8">
        <f>IF(AND(V944=1,D944=pas_data,E944=pas_turno),10000-ROW(),"")</f>
        <v/>
      </c>
    </row>
    <row r="945">
      <c r="A945" s="3">
        <f>IF(D945="","","TT-"&amp;TEXT(ROW()-1,"00000"))</f>
        <v/>
      </c>
      <c r="B945" s="3">
        <f>IF(D945="","",IF(V945=0,"CONCLUÍDO",IF(D945&lt;corte,"HISTÓRICO",IF(OR(AND(ISNUMBER(R945),R945&lt;TODAY()),AND(OR(N945="PENDENTE",N945="PARCIAL"),D945&lt;TODAY()-1)),"CRÍTICO",IF(OR(AND(P945&lt;&gt;"",S945=""),AND(N945="REALIZADO",M945="PENDENTE"),AND(ISNUMBER(R945),R945=TODAY())),"ATENÇÃO",IF(N(K945)=0,"PENDENTE","EM ANDAMENTO"))))))</f>
        <v/>
      </c>
      <c r="C945" s="3">
        <f>IF(D945="","",IF(V945=0,"🟢 OK",IF(D945&lt;corte,"⚪ HISTÓRICO (sem baixa)",IF(AND(ISNUMBER(R945),R945&lt;TODAY()),"🔴 PRAZO VENCIDO",IF(AND(OR(N945="PENDENTE",N945="PARCIAL"),D945&lt;TODAY()-1),"🔴 EMBARQUE ATRASADO",IF(AND(N945="REALIZADO",M945="PENDENTE"),"🟡 EMBARCADO SEM FATURAR",IF(AND(P945&lt;&gt;"",S945="",OR(Q945="",R945="")),"🟡 PENDÊNCIA SEM RESPONSÁVEL/PRAZO",IF(AND(ISNUMBER(R945),R945=TODAY()),"🟡 VENCE HOJE",IF(AND(P945&lt;&gt;"",S945=""),"🟡 PENDÊNCIA ABERTA",IF(AND(N(J945)&gt;0,N(K945)&lt;J945),"🟡 FALTA EXECUTAR",IF(OR(M945="PENDENTE",M945="PARCIAL"),"🟡 FATURAMENTO PENDENTE","🟡 EMBARQUE PENDENTE")))))))))))</f>
        <v/>
      </c>
      <c r="D945" s="4" t="n"/>
      <c r="E945" s="5" t="n"/>
      <c r="F945" s="5" t="n"/>
      <c r="G945" s="5" t="n"/>
      <c r="H945" s="5" t="n"/>
      <c r="I945" s="5" t="n"/>
      <c r="J945" s="6" t="n"/>
      <c r="K945" s="6" t="n"/>
      <c r="L945" s="7">
        <f>IF(OR(D945="",N(J945)=0),"",MIN(1,N(K945)/J945))</f>
        <v/>
      </c>
      <c r="M945" s="5" t="n"/>
      <c r="N945" s="5" t="n"/>
      <c r="O945" s="5" t="n"/>
      <c r="P945" s="5" t="n"/>
      <c r="Q945" s="5" t="n"/>
      <c r="R945" s="4" t="n"/>
      <c r="S945" s="4" t="n"/>
      <c r="T945" s="5" t="n"/>
      <c r="U945" s="8">
        <f>IF(AND(V945=1,D945&lt;&gt;""),IF(D945&gt;=corte,TODAY()-D945,""),"")</f>
        <v/>
      </c>
      <c r="V945" s="8">
        <f>IF(D945="",0,IF(OR(AND(P945&lt;&gt;"",S945=""),AND(N(J945)&gt;0,N(K945)&lt;J945),OR(M945="PENDENTE",M945="PARCIAL"),OR(N945="PENDENTE",N945="PARCIAL")),1,0))</f>
        <v/>
      </c>
      <c r="W945" s="8">
        <f>IF(AND(V945=1,D945&lt;&gt;""),IF(D945&gt;=corte,(B945="CRÍTICO")*1E9+(100000-D945)*10000+10000-ROW(),""),"")</f>
        <v/>
      </c>
      <c r="X945" s="8">
        <f>IF(AND(V945=1,D945=pas_data,E945=pas_turno),10000-ROW(),"")</f>
        <v/>
      </c>
    </row>
    <row r="946">
      <c r="A946" s="3">
        <f>IF(D946="","","TT-"&amp;TEXT(ROW()-1,"00000"))</f>
        <v/>
      </c>
      <c r="B946" s="3">
        <f>IF(D946="","",IF(V946=0,"CONCLUÍDO",IF(D946&lt;corte,"HISTÓRICO",IF(OR(AND(ISNUMBER(R946),R946&lt;TODAY()),AND(OR(N946="PENDENTE",N946="PARCIAL"),D946&lt;TODAY()-1)),"CRÍTICO",IF(OR(AND(P946&lt;&gt;"",S946=""),AND(N946="REALIZADO",M946="PENDENTE"),AND(ISNUMBER(R946),R946=TODAY())),"ATENÇÃO",IF(N(K946)=0,"PENDENTE","EM ANDAMENTO"))))))</f>
        <v/>
      </c>
      <c r="C946" s="3">
        <f>IF(D946="","",IF(V946=0,"🟢 OK",IF(D946&lt;corte,"⚪ HISTÓRICO (sem baixa)",IF(AND(ISNUMBER(R946),R946&lt;TODAY()),"🔴 PRAZO VENCIDO",IF(AND(OR(N946="PENDENTE",N946="PARCIAL"),D946&lt;TODAY()-1),"🔴 EMBARQUE ATRASADO",IF(AND(N946="REALIZADO",M946="PENDENTE"),"🟡 EMBARCADO SEM FATURAR",IF(AND(P946&lt;&gt;"",S946="",OR(Q946="",R946="")),"🟡 PENDÊNCIA SEM RESPONSÁVEL/PRAZO",IF(AND(ISNUMBER(R946),R946=TODAY()),"🟡 VENCE HOJE",IF(AND(P946&lt;&gt;"",S946=""),"🟡 PENDÊNCIA ABERTA",IF(AND(N(J946)&gt;0,N(K946)&lt;J946),"🟡 FALTA EXECUTAR",IF(OR(M946="PENDENTE",M946="PARCIAL"),"🟡 FATURAMENTO PENDENTE","🟡 EMBARQUE PENDENTE")))))))))))</f>
        <v/>
      </c>
      <c r="D946" s="4" t="n"/>
      <c r="E946" s="5" t="n"/>
      <c r="F946" s="5" t="n"/>
      <c r="G946" s="5" t="n"/>
      <c r="H946" s="5" t="n"/>
      <c r="I946" s="5" t="n"/>
      <c r="J946" s="6" t="n"/>
      <c r="K946" s="6" t="n"/>
      <c r="L946" s="7">
        <f>IF(OR(D946="",N(J946)=0),"",MIN(1,N(K946)/J946))</f>
        <v/>
      </c>
      <c r="M946" s="5" t="n"/>
      <c r="N946" s="5" t="n"/>
      <c r="O946" s="5" t="n"/>
      <c r="P946" s="5" t="n"/>
      <c r="Q946" s="5" t="n"/>
      <c r="R946" s="4" t="n"/>
      <c r="S946" s="4" t="n"/>
      <c r="T946" s="5" t="n"/>
      <c r="U946" s="8">
        <f>IF(AND(V946=1,D946&lt;&gt;""),IF(D946&gt;=corte,TODAY()-D946,""),"")</f>
        <v/>
      </c>
      <c r="V946" s="8">
        <f>IF(D946="",0,IF(OR(AND(P946&lt;&gt;"",S946=""),AND(N(J946)&gt;0,N(K946)&lt;J946),OR(M946="PENDENTE",M946="PARCIAL"),OR(N946="PENDENTE",N946="PARCIAL")),1,0))</f>
        <v/>
      </c>
      <c r="W946" s="8">
        <f>IF(AND(V946=1,D946&lt;&gt;""),IF(D946&gt;=corte,(B946="CRÍTICO")*1E9+(100000-D946)*10000+10000-ROW(),""),"")</f>
        <v/>
      </c>
      <c r="X946" s="8">
        <f>IF(AND(V946=1,D946=pas_data,E946=pas_turno),10000-ROW(),"")</f>
        <v/>
      </c>
    </row>
    <row r="947">
      <c r="A947" s="3">
        <f>IF(D947="","","TT-"&amp;TEXT(ROW()-1,"00000"))</f>
        <v/>
      </c>
      <c r="B947" s="3">
        <f>IF(D947="","",IF(V947=0,"CONCLUÍDO",IF(D947&lt;corte,"HISTÓRICO",IF(OR(AND(ISNUMBER(R947),R947&lt;TODAY()),AND(OR(N947="PENDENTE",N947="PARCIAL"),D947&lt;TODAY()-1)),"CRÍTICO",IF(OR(AND(P947&lt;&gt;"",S947=""),AND(N947="REALIZADO",M947="PENDENTE"),AND(ISNUMBER(R947),R947=TODAY())),"ATENÇÃO",IF(N(K947)=0,"PENDENTE","EM ANDAMENTO"))))))</f>
        <v/>
      </c>
      <c r="C947" s="3">
        <f>IF(D947="","",IF(V947=0,"🟢 OK",IF(D947&lt;corte,"⚪ HISTÓRICO (sem baixa)",IF(AND(ISNUMBER(R947),R947&lt;TODAY()),"🔴 PRAZO VENCIDO",IF(AND(OR(N947="PENDENTE",N947="PARCIAL"),D947&lt;TODAY()-1),"🔴 EMBARQUE ATRASADO",IF(AND(N947="REALIZADO",M947="PENDENTE"),"🟡 EMBARCADO SEM FATURAR",IF(AND(P947&lt;&gt;"",S947="",OR(Q947="",R947="")),"🟡 PENDÊNCIA SEM RESPONSÁVEL/PRAZO",IF(AND(ISNUMBER(R947),R947=TODAY()),"🟡 VENCE HOJE",IF(AND(P947&lt;&gt;"",S947=""),"🟡 PENDÊNCIA ABERTA",IF(AND(N(J947)&gt;0,N(K947)&lt;J947),"🟡 FALTA EXECUTAR",IF(OR(M947="PENDENTE",M947="PARCIAL"),"🟡 FATURAMENTO PENDENTE","🟡 EMBARQUE PENDENTE")))))))))))</f>
        <v/>
      </c>
      <c r="D947" s="4" t="n"/>
      <c r="E947" s="5" t="n"/>
      <c r="F947" s="5" t="n"/>
      <c r="G947" s="5" t="n"/>
      <c r="H947" s="5" t="n"/>
      <c r="I947" s="5" t="n"/>
      <c r="J947" s="6" t="n"/>
      <c r="K947" s="6" t="n"/>
      <c r="L947" s="7">
        <f>IF(OR(D947="",N(J947)=0),"",MIN(1,N(K947)/J947))</f>
        <v/>
      </c>
      <c r="M947" s="5" t="n"/>
      <c r="N947" s="5" t="n"/>
      <c r="O947" s="5" t="n"/>
      <c r="P947" s="5" t="n"/>
      <c r="Q947" s="5" t="n"/>
      <c r="R947" s="4" t="n"/>
      <c r="S947" s="4" t="n"/>
      <c r="T947" s="5" t="n"/>
      <c r="U947" s="8">
        <f>IF(AND(V947=1,D947&lt;&gt;""),IF(D947&gt;=corte,TODAY()-D947,""),"")</f>
        <v/>
      </c>
      <c r="V947" s="8">
        <f>IF(D947="",0,IF(OR(AND(P947&lt;&gt;"",S947=""),AND(N(J947)&gt;0,N(K947)&lt;J947),OR(M947="PENDENTE",M947="PARCIAL"),OR(N947="PENDENTE",N947="PARCIAL")),1,0))</f>
        <v/>
      </c>
      <c r="W947" s="8">
        <f>IF(AND(V947=1,D947&lt;&gt;""),IF(D947&gt;=corte,(B947="CRÍTICO")*1E9+(100000-D947)*10000+10000-ROW(),""),"")</f>
        <v/>
      </c>
      <c r="X947" s="8">
        <f>IF(AND(V947=1,D947=pas_data,E947=pas_turno),10000-ROW(),"")</f>
        <v/>
      </c>
    </row>
    <row r="948">
      <c r="A948" s="3">
        <f>IF(D948="","","TT-"&amp;TEXT(ROW()-1,"00000"))</f>
        <v/>
      </c>
      <c r="B948" s="3">
        <f>IF(D948="","",IF(V948=0,"CONCLUÍDO",IF(D948&lt;corte,"HISTÓRICO",IF(OR(AND(ISNUMBER(R948),R948&lt;TODAY()),AND(OR(N948="PENDENTE",N948="PARCIAL"),D948&lt;TODAY()-1)),"CRÍTICO",IF(OR(AND(P948&lt;&gt;"",S948=""),AND(N948="REALIZADO",M948="PENDENTE"),AND(ISNUMBER(R948),R948=TODAY())),"ATENÇÃO",IF(N(K948)=0,"PENDENTE","EM ANDAMENTO"))))))</f>
        <v/>
      </c>
      <c r="C948" s="3">
        <f>IF(D948="","",IF(V948=0,"🟢 OK",IF(D948&lt;corte,"⚪ HISTÓRICO (sem baixa)",IF(AND(ISNUMBER(R948),R948&lt;TODAY()),"🔴 PRAZO VENCIDO",IF(AND(OR(N948="PENDENTE",N948="PARCIAL"),D948&lt;TODAY()-1),"🔴 EMBARQUE ATRASADO",IF(AND(N948="REALIZADO",M948="PENDENTE"),"🟡 EMBARCADO SEM FATURAR",IF(AND(P948&lt;&gt;"",S948="",OR(Q948="",R948="")),"🟡 PENDÊNCIA SEM RESPONSÁVEL/PRAZO",IF(AND(ISNUMBER(R948),R948=TODAY()),"🟡 VENCE HOJE",IF(AND(P948&lt;&gt;"",S948=""),"🟡 PENDÊNCIA ABERTA",IF(AND(N(J948)&gt;0,N(K948)&lt;J948),"🟡 FALTA EXECUTAR",IF(OR(M948="PENDENTE",M948="PARCIAL"),"🟡 FATURAMENTO PENDENTE","🟡 EMBARQUE PENDENTE")))))))))))</f>
        <v/>
      </c>
      <c r="D948" s="4" t="n"/>
      <c r="E948" s="5" t="n"/>
      <c r="F948" s="5" t="n"/>
      <c r="G948" s="5" t="n"/>
      <c r="H948" s="5" t="n"/>
      <c r="I948" s="5" t="n"/>
      <c r="J948" s="6" t="n"/>
      <c r="K948" s="6" t="n"/>
      <c r="L948" s="7">
        <f>IF(OR(D948="",N(J948)=0),"",MIN(1,N(K948)/J948))</f>
        <v/>
      </c>
      <c r="M948" s="5" t="n"/>
      <c r="N948" s="5" t="n"/>
      <c r="O948" s="5" t="n"/>
      <c r="P948" s="5" t="n"/>
      <c r="Q948" s="5" t="n"/>
      <c r="R948" s="4" t="n"/>
      <c r="S948" s="4" t="n"/>
      <c r="T948" s="5" t="n"/>
      <c r="U948" s="8">
        <f>IF(AND(V948=1,D948&lt;&gt;""),IF(D948&gt;=corte,TODAY()-D948,""),"")</f>
        <v/>
      </c>
      <c r="V948" s="8">
        <f>IF(D948="",0,IF(OR(AND(P948&lt;&gt;"",S948=""),AND(N(J948)&gt;0,N(K948)&lt;J948),OR(M948="PENDENTE",M948="PARCIAL"),OR(N948="PENDENTE",N948="PARCIAL")),1,0))</f>
        <v/>
      </c>
      <c r="W948" s="8">
        <f>IF(AND(V948=1,D948&lt;&gt;""),IF(D948&gt;=corte,(B948="CRÍTICO")*1E9+(100000-D948)*10000+10000-ROW(),""),"")</f>
        <v/>
      </c>
      <c r="X948" s="8">
        <f>IF(AND(V948=1,D948=pas_data,E948=pas_turno),10000-ROW(),"")</f>
        <v/>
      </c>
    </row>
    <row r="949">
      <c r="A949" s="3">
        <f>IF(D949="","","TT-"&amp;TEXT(ROW()-1,"00000"))</f>
        <v/>
      </c>
      <c r="B949" s="3">
        <f>IF(D949="","",IF(V949=0,"CONCLUÍDO",IF(D949&lt;corte,"HISTÓRICO",IF(OR(AND(ISNUMBER(R949),R949&lt;TODAY()),AND(OR(N949="PENDENTE",N949="PARCIAL"),D949&lt;TODAY()-1)),"CRÍTICO",IF(OR(AND(P949&lt;&gt;"",S949=""),AND(N949="REALIZADO",M949="PENDENTE"),AND(ISNUMBER(R949),R949=TODAY())),"ATENÇÃO",IF(N(K949)=0,"PENDENTE","EM ANDAMENTO"))))))</f>
        <v/>
      </c>
      <c r="C949" s="3">
        <f>IF(D949="","",IF(V949=0,"🟢 OK",IF(D949&lt;corte,"⚪ HISTÓRICO (sem baixa)",IF(AND(ISNUMBER(R949),R949&lt;TODAY()),"🔴 PRAZO VENCIDO",IF(AND(OR(N949="PENDENTE",N949="PARCIAL"),D949&lt;TODAY()-1),"🔴 EMBARQUE ATRASADO",IF(AND(N949="REALIZADO",M949="PENDENTE"),"🟡 EMBARCADO SEM FATURAR",IF(AND(P949&lt;&gt;"",S949="",OR(Q949="",R949="")),"🟡 PENDÊNCIA SEM RESPONSÁVEL/PRAZO",IF(AND(ISNUMBER(R949),R949=TODAY()),"🟡 VENCE HOJE",IF(AND(P949&lt;&gt;"",S949=""),"🟡 PENDÊNCIA ABERTA",IF(AND(N(J949)&gt;0,N(K949)&lt;J949),"🟡 FALTA EXECUTAR",IF(OR(M949="PENDENTE",M949="PARCIAL"),"🟡 FATURAMENTO PENDENTE","🟡 EMBARQUE PENDENTE")))))))))))</f>
        <v/>
      </c>
      <c r="D949" s="4" t="n"/>
      <c r="E949" s="5" t="n"/>
      <c r="F949" s="5" t="n"/>
      <c r="G949" s="5" t="n"/>
      <c r="H949" s="5" t="n"/>
      <c r="I949" s="5" t="n"/>
      <c r="J949" s="6" t="n"/>
      <c r="K949" s="6" t="n"/>
      <c r="L949" s="7">
        <f>IF(OR(D949="",N(J949)=0),"",MIN(1,N(K949)/J949))</f>
        <v/>
      </c>
      <c r="M949" s="5" t="n"/>
      <c r="N949" s="5" t="n"/>
      <c r="O949" s="5" t="n"/>
      <c r="P949" s="5" t="n"/>
      <c r="Q949" s="5" t="n"/>
      <c r="R949" s="4" t="n"/>
      <c r="S949" s="4" t="n"/>
      <c r="T949" s="5" t="n"/>
      <c r="U949" s="8">
        <f>IF(AND(V949=1,D949&lt;&gt;""),IF(D949&gt;=corte,TODAY()-D949,""),"")</f>
        <v/>
      </c>
      <c r="V949" s="8">
        <f>IF(D949="",0,IF(OR(AND(P949&lt;&gt;"",S949=""),AND(N(J949)&gt;0,N(K949)&lt;J949),OR(M949="PENDENTE",M949="PARCIAL"),OR(N949="PENDENTE",N949="PARCIAL")),1,0))</f>
        <v/>
      </c>
      <c r="W949" s="8">
        <f>IF(AND(V949=1,D949&lt;&gt;""),IF(D949&gt;=corte,(B949="CRÍTICO")*1E9+(100000-D949)*10000+10000-ROW(),""),"")</f>
        <v/>
      </c>
      <c r="X949" s="8">
        <f>IF(AND(V949=1,D949=pas_data,E949=pas_turno),10000-ROW(),"")</f>
        <v/>
      </c>
    </row>
    <row r="950">
      <c r="A950" s="3">
        <f>IF(D950="","","TT-"&amp;TEXT(ROW()-1,"00000"))</f>
        <v/>
      </c>
      <c r="B950" s="3">
        <f>IF(D950="","",IF(V950=0,"CONCLUÍDO",IF(D950&lt;corte,"HISTÓRICO",IF(OR(AND(ISNUMBER(R950),R950&lt;TODAY()),AND(OR(N950="PENDENTE",N950="PARCIAL"),D950&lt;TODAY()-1)),"CRÍTICO",IF(OR(AND(P950&lt;&gt;"",S950=""),AND(N950="REALIZADO",M950="PENDENTE"),AND(ISNUMBER(R950),R950=TODAY())),"ATENÇÃO",IF(N(K950)=0,"PENDENTE","EM ANDAMENTO"))))))</f>
        <v/>
      </c>
      <c r="C950" s="3">
        <f>IF(D950="","",IF(V950=0,"🟢 OK",IF(D950&lt;corte,"⚪ HISTÓRICO (sem baixa)",IF(AND(ISNUMBER(R950),R950&lt;TODAY()),"🔴 PRAZO VENCIDO",IF(AND(OR(N950="PENDENTE",N950="PARCIAL"),D950&lt;TODAY()-1),"🔴 EMBARQUE ATRASADO",IF(AND(N950="REALIZADO",M950="PENDENTE"),"🟡 EMBARCADO SEM FATURAR",IF(AND(P950&lt;&gt;"",S950="",OR(Q950="",R950="")),"🟡 PENDÊNCIA SEM RESPONSÁVEL/PRAZO",IF(AND(ISNUMBER(R950),R950=TODAY()),"🟡 VENCE HOJE",IF(AND(P950&lt;&gt;"",S950=""),"🟡 PENDÊNCIA ABERTA",IF(AND(N(J950)&gt;0,N(K950)&lt;J950),"🟡 FALTA EXECUTAR",IF(OR(M950="PENDENTE",M950="PARCIAL"),"🟡 FATURAMENTO PENDENTE","🟡 EMBARQUE PENDENTE")))))))))))</f>
        <v/>
      </c>
      <c r="D950" s="4" t="n"/>
      <c r="E950" s="5" t="n"/>
      <c r="F950" s="5" t="n"/>
      <c r="G950" s="5" t="n"/>
      <c r="H950" s="5" t="n"/>
      <c r="I950" s="5" t="n"/>
      <c r="J950" s="6" t="n"/>
      <c r="K950" s="6" t="n"/>
      <c r="L950" s="7">
        <f>IF(OR(D950="",N(J950)=0),"",MIN(1,N(K950)/J950))</f>
        <v/>
      </c>
      <c r="M950" s="5" t="n"/>
      <c r="N950" s="5" t="n"/>
      <c r="O950" s="5" t="n"/>
      <c r="P950" s="5" t="n"/>
      <c r="Q950" s="5" t="n"/>
      <c r="R950" s="4" t="n"/>
      <c r="S950" s="4" t="n"/>
      <c r="T950" s="5" t="n"/>
      <c r="U950" s="8">
        <f>IF(AND(V950=1,D950&lt;&gt;""),IF(D950&gt;=corte,TODAY()-D950,""),"")</f>
        <v/>
      </c>
      <c r="V950" s="8">
        <f>IF(D950="",0,IF(OR(AND(P950&lt;&gt;"",S950=""),AND(N(J950)&gt;0,N(K950)&lt;J950),OR(M950="PENDENTE",M950="PARCIAL"),OR(N950="PENDENTE",N950="PARCIAL")),1,0))</f>
        <v/>
      </c>
      <c r="W950" s="8">
        <f>IF(AND(V950=1,D950&lt;&gt;""),IF(D950&gt;=corte,(B950="CRÍTICO")*1E9+(100000-D950)*10000+10000-ROW(),""),"")</f>
        <v/>
      </c>
      <c r="X950" s="8">
        <f>IF(AND(V950=1,D950=pas_data,E950=pas_turno),10000-ROW(),"")</f>
        <v/>
      </c>
    </row>
    <row r="951">
      <c r="A951" s="3">
        <f>IF(D951="","","TT-"&amp;TEXT(ROW()-1,"00000"))</f>
        <v/>
      </c>
      <c r="B951" s="3">
        <f>IF(D951="","",IF(V951=0,"CONCLUÍDO",IF(D951&lt;corte,"HISTÓRICO",IF(OR(AND(ISNUMBER(R951),R951&lt;TODAY()),AND(OR(N951="PENDENTE",N951="PARCIAL"),D951&lt;TODAY()-1)),"CRÍTICO",IF(OR(AND(P951&lt;&gt;"",S951=""),AND(N951="REALIZADO",M951="PENDENTE"),AND(ISNUMBER(R951),R951=TODAY())),"ATENÇÃO",IF(N(K951)=0,"PENDENTE","EM ANDAMENTO"))))))</f>
        <v/>
      </c>
      <c r="C951" s="3">
        <f>IF(D951="","",IF(V951=0,"🟢 OK",IF(D951&lt;corte,"⚪ HISTÓRICO (sem baixa)",IF(AND(ISNUMBER(R951),R951&lt;TODAY()),"🔴 PRAZO VENCIDO",IF(AND(OR(N951="PENDENTE",N951="PARCIAL"),D951&lt;TODAY()-1),"🔴 EMBARQUE ATRASADO",IF(AND(N951="REALIZADO",M951="PENDENTE"),"🟡 EMBARCADO SEM FATURAR",IF(AND(P951&lt;&gt;"",S951="",OR(Q951="",R951="")),"🟡 PENDÊNCIA SEM RESPONSÁVEL/PRAZO",IF(AND(ISNUMBER(R951),R951=TODAY()),"🟡 VENCE HOJE",IF(AND(P951&lt;&gt;"",S951=""),"🟡 PENDÊNCIA ABERTA",IF(AND(N(J951)&gt;0,N(K951)&lt;J951),"🟡 FALTA EXECUTAR",IF(OR(M951="PENDENTE",M951="PARCIAL"),"🟡 FATURAMENTO PENDENTE","🟡 EMBARQUE PENDENTE")))))))))))</f>
        <v/>
      </c>
      <c r="D951" s="4" t="n"/>
      <c r="E951" s="5" t="n"/>
      <c r="F951" s="5" t="n"/>
      <c r="G951" s="5" t="n"/>
      <c r="H951" s="5" t="n"/>
      <c r="I951" s="5" t="n"/>
      <c r="J951" s="6" t="n"/>
      <c r="K951" s="6" t="n"/>
      <c r="L951" s="7">
        <f>IF(OR(D951="",N(J951)=0),"",MIN(1,N(K951)/J951))</f>
        <v/>
      </c>
      <c r="M951" s="5" t="n"/>
      <c r="N951" s="5" t="n"/>
      <c r="O951" s="5" t="n"/>
      <c r="P951" s="5" t="n"/>
      <c r="Q951" s="5" t="n"/>
      <c r="R951" s="4" t="n"/>
      <c r="S951" s="4" t="n"/>
      <c r="T951" s="5" t="n"/>
      <c r="U951" s="8">
        <f>IF(AND(V951=1,D951&lt;&gt;""),IF(D951&gt;=corte,TODAY()-D951,""),"")</f>
        <v/>
      </c>
      <c r="V951" s="8">
        <f>IF(D951="",0,IF(OR(AND(P951&lt;&gt;"",S951=""),AND(N(J951)&gt;0,N(K951)&lt;J951),OR(M951="PENDENTE",M951="PARCIAL"),OR(N951="PENDENTE",N951="PARCIAL")),1,0))</f>
        <v/>
      </c>
      <c r="W951" s="8">
        <f>IF(AND(V951=1,D951&lt;&gt;""),IF(D951&gt;=corte,(B951="CRÍTICO")*1E9+(100000-D951)*10000+10000-ROW(),""),"")</f>
        <v/>
      </c>
      <c r="X951" s="8">
        <f>IF(AND(V951=1,D951=pas_data,E951=pas_turno),10000-ROW(),"")</f>
        <v/>
      </c>
    </row>
    <row r="952">
      <c r="A952" s="3">
        <f>IF(D952="","","TT-"&amp;TEXT(ROW()-1,"00000"))</f>
        <v/>
      </c>
      <c r="B952" s="3">
        <f>IF(D952="","",IF(V952=0,"CONCLUÍDO",IF(D952&lt;corte,"HISTÓRICO",IF(OR(AND(ISNUMBER(R952),R952&lt;TODAY()),AND(OR(N952="PENDENTE",N952="PARCIAL"),D952&lt;TODAY()-1)),"CRÍTICO",IF(OR(AND(P952&lt;&gt;"",S952=""),AND(N952="REALIZADO",M952="PENDENTE"),AND(ISNUMBER(R952),R952=TODAY())),"ATENÇÃO",IF(N(K952)=0,"PENDENTE","EM ANDAMENTO"))))))</f>
        <v/>
      </c>
      <c r="C952" s="3">
        <f>IF(D952="","",IF(V952=0,"🟢 OK",IF(D952&lt;corte,"⚪ HISTÓRICO (sem baixa)",IF(AND(ISNUMBER(R952),R952&lt;TODAY()),"🔴 PRAZO VENCIDO",IF(AND(OR(N952="PENDENTE",N952="PARCIAL"),D952&lt;TODAY()-1),"🔴 EMBARQUE ATRASADO",IF(AND(N952="REALIZADO",M952="PENDENTE"),"🟡 EMBARCADO SEM FATURAR",IF(AND(P952&lt;&gt;"",S952="",OR(Q952="",R952="")),"🟡 PENDÊNCIA SEM RESPONSÁVEL/PRAZO",IF(AND(ISNUMBER(R952),R952=TODAY()),"🟡 VENCE HOJE",IF(AND(P952&lt;&gt;"",S952=""),"🟡 PENDÊNCIA ABERTA",IF(AND(N(J952)&gt;0,N(K952)&lt;J952),"🟡 FALTA EXECUTAR",IF(OR(M952="PENDENTE",M952="PARCIAL"),"🟡 FATURAMENTO PENDENTE","🟡 EMBARQUE PENDENTE")))))))))))</f>
        <v/>
      </c>
      <c r="D952" s="4" t="n"/>
      <c r="E952" s="5" t="n"/>
      <c r="F952" s="5" t="n"/>
      <c r="G952" s="5" t="n"/>
      <c r="H952" s="5" t="n"/>
      <c r="I952" s="5" t="n"/>
      <c r="J952" s="6" t="n"/>
      <c r="K952" s="6" t="n"/>
      <c r="L952" s="7">
        <f>IF(OR(D952="",N(J952)=0),"",MIN(1,N(K952)/J952))</f>
        <v/>
      </c>
      <c r="M952" s="5" t="n"/>
      <c r="N952" s="5" t="n"/>
      <c r="O952" s="5" t="n"/>
      <c r="P952" s="5" t="n"/>
      <c r="Q952" s="5" t="n"/>
      <c r="R952" s="4" t="n"/>
      <c r="S952" s="4" t="n"/>
      <c r="T952" s="5" t="n"/>
      <c r="U952" s="8">
        <f>IF(AND(V952=1,D952&lt;&gt;""),IF(D952&gt;=corte,TODAY()-D952,""),"")</f>
        <v/>
      </c>
      <c r="V952" s="8">
        <f>IF(D952="",0,IF(OR(AND(P952&lt;&gt;"",S952=""),AND(N(J952)&gt;0,N(K952)&lt;J952),OR(M952="PENDENTE",M952="PARCIAL"),OR(N952="PENDENTE",N952="PARCIAL")),1,0))</f>
        <v/>
      </c>
      <c r="W952" s="8">
        <f>IF(AND(V952=1,D952&lt;&gt;""),IF(D952&gt;=corte,(B952="CRÍTICO")*1E9+(100000-D952)*10000+10000-ROW(),""),"")</f>
        <v/>
      </c>
      <c r="X952" s="8">
        <f>IF(AND(V952=1,D952=pas_data,E952=pas_turno),10000-ROW(),"")</f>
        <v/>
      </c>
    </row>
    <row r="953">
      <c r="A953" s="3">
        <f>IF(D953="","","TT-"&amp;TEXT(ROW()-1,"00000"))</f>
        <v/>
      </c>
      <c r="B953" s="3">
        <f>IF(D953="","",IF(V953=0,"CONCLUÍDO",IF(D953&lt;corte,"HISTÓRICO",IF(OR(AND(ISNUMBER(R953),R953&lt;TODAY()),AND(OR(N953="PENDENTE",N953="PARCIAL"),D953&lt;TODAY()-1)),"CRÍTICO",IF(OR(AND(P953&lt;&gt;"",S953=""),AND(N953="REALIZADO",M953="PENDENTE"),AND(ISNUMBER(R953),R953=TODAY())),"ATENÇÃO",IF(N(K953)=0,"PENDENTE","EM ANDAMENTO"))))))</f>
        <v/>
      </c>
      <c r="C953" s="3">
        <f>IF(D953="","",IF(V953=0,"🟢 OK",IF(D953&lt;corte,"⚪ HISTÓRICO (sem baixa)",IF(AND(ISNUMBER(R953),R953&lt;TODAY()),"🔴 PRAZO VENCIDO",IF(AND(OR(N953="PENDENTE",N953="PARCIAL"),D953&lt;TODAY()-1),"🔴 EMBARQUE ATRASADO",IF(AND(N953="REALIZADO",M953="PENDENTE"),"🟡 EMBARCADO SEM FATURAR",IF(AND(P953&lt;&gt;"",S953="",OR(Q953="",R953="")),"🟡 PENDÊNCIA SEM RESPONSÁVEL/PRAZO",IF(AND(ISNUMBER(R953),R953=TODAY()),"🟡 VENCE HOJE",IF(AND(P953&lt;&gt;"",S953=""),"🟡 PENDÊNCIA ABERTA",IF(AND(N(J953)&gt;0,N(K953)&lt;J953),"🟡 FALTA EXECUTAR",IF(OR(M953="PENDENTE",M953="PARCIAL"),"🟡 FATURAMENTO PENDENTE","🟡 EMBARQUE PENDENTE")))))))))))</f>
        <v/>
      </c>
      <c r="D953" s="4" t="n"/>
      <c r="E953" s="5" t="n"/>
      <c r="F953" s="5" t="n"/>
      <c r="G953" s="5" t="n"/>
      <c r="H953" s="5" t="n"/>
      <c r="I953" s="5" t="n"/>
      <c r="J953" s="6" t="n"/>
      <c r="K953" s="6" t="n"/>
      <c r="L953" s="7">
        <f>IF(OR(D953="",N(J953)=0),"",MIN(1,N(K953)/J953))</f>
        <v/>
      </c>
      <c r="M953" s="5" t="n"/>
      <c r="N953" s="5" t="n"/>
      <c r="O953" s="5" t="n"/>
      <c r="P953" s="5" t="n"/>
      <c r="Q953" s="5" t="n"/>
      <c r="R953" s="4" t="n"/>
      <c r="S953" s="4" t="n"/>
      <c r="T953" s="5" t="n"/>
      <c r="U953" s="8">
        <f>IF(AND(V953=1,D953&lt;&gt;""),IF(D953&gt;=corte,TODAY()-D953,""),"")</f>
        <v/>
      </c>
      <c r="V953" s="8">
        <f>IF(D953="",0,IF(OR(AND(P953&lt;&gt;"",S953=""),AND(N(J953)&gt;0,N(K953)&lt;J953),OR(M953="PENDENTE",M953="PARCIAL"),OR(N953="PENDENTE",N953="PARCIAL")),1,0))</f>
        <v/>
      </c>
      <c r="W953" s="8">
        <f>IF(AND(V953=1,D953&lt;&gt;""),IF(D953&gt;=corte,(B953="CRÍTICO")*1E9+(100000-D953)*10000+10000-ROW(),""),"")</f>
        <v/>
      </c>
      <c r="X953" s="8">
        <f>IF(AND(V953=1,D953=pas_data,E953=pas_turno),10000-ROW(),"")</f>
        <v/>
      </c>
    </row>
    <row r="954">
      <c r="A954" s="3">
        <f>IF(D954="","","TT-"&amp;TEXT(ROW()-1,"00000"))</f>
        <v/>
      </c>
      <c r="B954" s="3">
        <f>IF(D954="","",IF(V954=0,"CONCLUÍDO",IF(D954&lt;corte,"HISTÓRICO",IF(OR(AND(ISNUMBER(R954),R954&lt;TODAY()),AND(OR(N954="PENDENTE",N954="PARCIAL"),D954&lt;TODAY()-1)),"CRÍTICO",IF(OR(AND(P954&lt;&gt;"",S954=""),AND(N954="REALIZADO",M954="PENDENTE"),AND(ISNUMBER(R954),R954=TODAY())),"ATENÇÃO",IF(N(K954)=0,"PENDENTE","EM ANDAMENTO"))))))</f>
        <v/>
      </c>
      <c r="C954" s="3">
        <f>IF(D954="","",IF(V954=0,"🟢 OK",IF(D954&lt;corte,"⚪ HISTÓRICO (sem baixa)",IF(AND(ISNUMBER(R954),R954&lt;TODAY()),"🔴 PRAZO VENCIDO",IF(AND(OR(N954="PENDENTE",N954="PARCIAL"),D954&lt;TODAY()-1),"🔴 EMBARQUE ATRASADO",IF(AND(N954="REALIZADO",M954="PENDENTE"),"🟡 EMBARCADO SEM FATURAR",IF(AND(P954&lt;&gt;"",S954="",OR(Q954="",R954="")),"🟡 PENDÊNCIA SEM RESPONSÁVEL/PRAZO",IF(AND(ISNUMBER(R954),R954=TODAY()),"🟡 VENCE HOJE",IF(AND(P954&lt;&gt;"",S954=""),"🟡 PENDÊNCIA ABERTA",IF(AND(N(J954)&gt;0,N(K954)&lt;J954),"🟡 FALTA EXECUTAR",IF(OR(M954="PENDENTE",M954="PARCIAL"),"🟡 FATURAMENTO PENDENTE","🟡 EMBARQUE PENDENTE")))))))))))</f>
        <v/>
      </c>
      <c r="D954" s="4" t="n"/>
      <c r="E954" s="5" t="n"/>
      <c r="F954" s="5" t="n"/>
      <c r="G954" s="5" t="n"/>
      <c r="H954" s="5" t="n"/>
      <c r="I954" s="5" t="n"/>
      <c r="J954" s="6" t="n"/>
      <c r="K954" s="6" t="n"/>
      <c r="L954" s="7">
        <f>IF(OR(D954="",N(J954)=0),"",MIN(1,N(K954)/J954))</f>
        <v/>
      </c>
      <c r="M954" s="5" t="n"/>
      <c r="N954" s="5" t="n"/>
      <c r="O954" s="5" t="n"/>
      <c r="P954" s="5" t="n"/>
      <c r="Q954" s="5" t="n"/>
      <c r="R954" s="4" t="n"/>
      <c r="S954" s="4" t="n"/>
      <c r="T954" s="5" t="n"/>
      <c r="U954" s="8">
        <f>IF(AND(V954=1,D954&lt;&gt;""),IF(D954&gt;=corte,TODAY()-D954,""),"")</f>
        <v/>
      </c>
      <c r="V954" s="8">
        <f>IF(D954="",0,IF(OR(AND(P954&lt;&gt;"",S954=""),AND(N(J954)&gt;0,N(K954)&lt;J954),OR(M954="PENDENTE",M954="PARCIAL"),OR(N954="PENDENTE",N954="PARCIAL")),1,0))</f>
        <v/>
      </c>
      <c r="W954" s="8">
        <f>IF(AND(V954=1,D954&lt;&gt;""),IF(D954&gt;=corte,(B954="CRÍTICO")*1E9+(100000-D954)*10000+10000-ROW(),""),"")</f>
        <v/>
      </c>
      <c r="X954" s="8">
        <f>IF(AND(V954=1,D954=pas_data,E954=pas_turno),10000-ROW(),"")</f>
        <v/>
      </c>
    </row>
    <row r="955">
      <c r="A955" s="3">
        <f>IF(D955="","","TT-"&amp;TEXT(ROW()-1,"00000"))</f>
        <v/>
      </c>
      <c r="B955" s="3">
        <f>IF(D955="","",IF(V955=0,"CONCLUÍDO",IF(D955&lt;corte,"HISTÓRICO",IF(OR(AND(ISNUMBER(R955),R955&lt;TODAY()),AND(OR(N955="PENDENTE",N955="PARCIAL"),D955&lt;TODAY()-1)),"CRÍTICO",IF(OR(AND(P955&lt;&gt;"",S955=""),AND(N955="REALIZADO",M955="PENDENTE"),AND(ISNUMBER(R955),R955=TODAY())),"ATENÇÃO",IF(N(K955)=0,"PENDENTE","EM ANDAMENTO"))))))</f>
        <v/>
      </c>
      <c r="C955" s="3">
        <f>IF(D955="","",IF(V955=0,"🟢 OK",IF(D955&lt;corte,"⚪ HISTÓRICO (sem baixa)",IF(AND(ISNUMBER(R955),R955&lt;TODAY()),"🔴 PRAZO VENCIDO",IF(AND(OR(N955="PENDENTE",N955="PARCIAL"),D955&lt;TODAY()-1),"🔴 EMBARQUE ATRASADO",IF(AND(N955="REALIZADO",M955="PENDENTE"),"🟡 EMBARCADO SEM FATURAR",IF(AND(P955&lt;&gt;"",S955="",OR(Q955="",R955="")),"🟡 PENDÊNCIA SEM RESPONSÁVEL/PRAZO",IF(AND(ISNUMBER(R955),R955=TODAY()),"🟡 VENCE HOJE",IF(AND(P955&lt;&gt;"",S955=""),"🟡 PENDÊNCIA ABERTA",IF(AND(N(J955)&gt;0,N(K955)&lt;J955),"🟡 FALTA EXECUTAR",IF(OR(M955="PENDENTE",M955="PARCIAL"),"🟡 FATURAMENTO PENDENTE","🟡 EMBARQUE PENDENTE")))))))))))</f>
        <v/>
      </c>
      <c r="D955" s="4" t="n"/>
      <c r="E955" s="5" t="n"/>
      <c r="F955" s="5" t="n"/>
      <c r="G955" s="5" t="n"/>
      <c r="H955" s="5" t="n"/>
      <c r="I955" s="5" t="n"/>
      <c r="J955" s="6" t="n"/>
      <c r="K955" s="6" t="n"/>
      <c r="L955" s="7">
        <f>IF(OR(D955="",N(J955)=0),"",MIN(1,N(K955)/J955))</f>
        <v/>
      </c>
      <c r="M955" s="5" t="n"/>
      <c r="N955" s="5" t="n"/>
      <c r="O955" s="5" t="n"/>
      <c r="P955" s="5" t="n"/>
      <c r="Q955" s="5" t="n"/>
      <c r="R955" s="4" t="n"/>
      <c r="S955" s="4" t="n"/>
      <c r="T955" s="5" t="n"/>
      <c r="U955" s="8">
        <f>IF(AND(V955=1,D955&lt;&gt;""),IF(D955&gt;=corte,TODAY()-D955,""),"")</f>
        <v/>
      </c>
      <c r="V955" s="8">
        <f>IF(D955="",0,IF(OR(AND(P955&lt;&gt;"",S955=""),AND(N(J955)&gt;0,N(K955)&lt;J955),OR(M955="PENDENTE",M955="PARCIAL"),OR(N955="PENDENTE",N955="PARCIAL")),1,0))</f>
        <v/>
      </c>
      <c r="W955" s="8">
        <f>IF(AND(V955=1,D955&lt;&gt;""),IF(D955&gt;=corte,(B955="CRÍTICO")*1E9+(100000-D955)*10000+10000-ROW(),""),"")</f>
        <v/>
      </c>
      <c r="X955" s="8">
        <f>IF(AND(V955=1,D955=pas_data,E955=pas_turno),10000-ROW(),"")</f>
        <v/>
      </c>
    </row>
    <row r="956">
      <c r="A956" s="3">
        <f>IF(D956="","","TT-"&amp;TEXT(ROW()-1,"00000"))</f>
        <v/>
      </c>
      <c r="B956" s="3">
        <f>IF(D956="","",IF(V956=0,"CONCLUÍDO",IF(D956&lt;corte,"HISTÓRICO",IF(OR(AND(ISNUMBER(R956),R956&lt;TODAY()),AND(OR(N956="PENDENTE",N956="PARCIAL"),D956&lt;TODAY()-1)),"CRÍTICO",IF(OR(AND(P956&lt;&gt;"",S956=""),AND(N956="REALIZADO",M956="PENDENTE"),AND(ISNUMBER(R956),R956=TODAY())),"ATENÇÃO",IF(N(K956)=0,"PENDENTE","EM ANDAMENTO"))))))</f>
        <v/>
      </c>
      <c r="C956" s="3">
        <f>IF(D956="","",IF(V956=0,"🟢 OK",IF(D956&lt;corte,"⚪ HISTÓRICO (sem baixa)",IF(AND(ISNUMBER(R956),R956&lt;TODAY()),"🔴 PRAZO VENCIDO",IF(AND(OR(N956="PENDENTE",N956="PARCIAL"),D956&lt;TODAY()-1),"🔴 EMBARQUE ATRASADO",IF(AND(N956="REALIZADO",M956="PENDENTE"),"🟡 EMBARCADO SEM FATURAR",IF(AND(P956&lt;&gt;"",S956="",OR(Q956="",R956="")),"🟡 PENDÊNCIA SEM RESPONSÁVEL/PRAZO",IF(AND(ISNUMBER(R956),R956=TODAY()),"🟡 VENCE HOJE",IF(AND(P956&lt;&gt;"",S956=""),"🟡 PENDÊNCIA ABERTA",IF(AND(N(J956)&gt;0,N(K956)&lt;J956),"🟡 FALTA EXECUTAR",IF(OR(M956="PENDENTE",M956="PARCIAL"),"🟡 FATURAMENTO PENDENTE","🟡 EMBARQUE PENDENTE")))))))))))</f>
        <v/>
      </c>
      <c r="D956" s="4" t="n"/>
      <c r="E956" s="5" t="n"/>
      <c r="F956" s="5" t="n"/>
      <c r="G956" s="5" t="n"/>
      <c r="H956" s="5" t="n"/>
      <c r="I956" s="5" t="n"/>
      <c r="J956" s="6" t="n"/>
      <c r="K956" s="6" t="n"/>
      <c r="L956" s="7">
        <f>IF(OR(D956="",N(J956)=0),"",MIN(1,N(K956)/J956))</f>
        <v/>
      </c>
      <c r="M956" s="5" t="n"/>
      <c r="N956" s="5" t="n"/>
      <c r="O956" s="5" t="n"/>
      <c r="P956" s="5" t="n"/>
      <c r="Q956" s="5" t="n"/>
      <c r="R956" s="4" t="n"/>
      <c r="S956" s="4" t="n"/>
      <c r="T956" s="5" t="n"/>
      <c r="U956" s="8">
        <f>IF(AND(V956=1,D956&lt;&gt;""),IF(D956&gt;=corte,TODAY()-D956,""),"")</f>
        <v/>
      </c>
      <c r="V956" s="8">
        <f>IF(D956="",0,IF(OR(AND(P956&lt;&gt;"",S956=""),AND(N(J956)&gt;0,N(K956)&lt;J956),OR(M956="PENDENTE",M956="PARCIAL"),OR(N956="PENDENTE",N956="PARCIAL")),1,0))</f>
        <v/>
      </c>
      <c r="W956" s="8">
        <f>IF(AND(V956=1,D956&lt;&gt;""),IF(D956&gt;=corte,(B956="CRÍTICO")*1E9+(100000-D956)*10000+10000-ROW(),""),"")</f>
        <v/>
      </c>
      <c r="X956" s="8">
        <f>IF(AND(V956=1,D956=pas_data,E956=pas_turno),10000-ROW(),"")</f>
        <v/>
      </c>
    </row>
    <row r="957">
      <c r="A957" s="3">
        <f>IF(D957="","","TT-"&amp;TEXT(ROW()-1,"00000"))</f>
        <v/>
      </c>
      <c r="B957" s="3">
        <f>IF(D957="","",IF(V957=0,"CONCLUÍDO",IF(D957&lt;corte,"HISTÓRICO",IF(OR(AND(ISNUMBER(R957),R957&lt;TODAY()),AND(OR(N957="PENDENTE",N957="PARCIAL"),D957&lt;TODAY()-1)),"CRÍTICO",IF(OR(AND(P957&lt;&gt;"",S957=""),AND(N957="REALIZADO",M957="PENDENTE"),AND(ISNUMBER(R957),R957=TODAY())),"ATENÇÃO",IF(N(K957)=0,"PENDENTE","EM ANDAMENTO"))))))</f>
        <v/>
      </c>
      <c r="C957" s="3">
        <f>IF(D957="","",IF(V957=0,"🟢 OK",IF(D957&lt;corte,"⚪ HISTÓRICO (sem baixa)",IF(AND(ISNUMBER(R957),R957&lt;TODAY()),"🔴 PRAZO VENCIDO",IF(AND(OR(N957="PENDENTE",N957="PARCIAL"),D957&lt;TODAY()-1),"🔴 EMBARQUE ATRASADO",IF(AND(N957="REALIZADO",M957="PENDENTE"),"🟡 EMBARCADO SEM FATURAR",IF(AND(P957&lt;&gt;"",S957="",OR(Q957="",R957="")),"🟡 PENDÊNCIA SEM RESPONSÁVEL/PRAZO",IF(AND(ISNUMBER(R957),R957=TODAY()),"🟡 VENCE HOJE",IF(AND(P957&lt;&gt;"",S957=""),"🟡 PENDÊNCIA ABERTA",IF(AND(N(J957)&gt;0,N(K957)&lt;J957),"🟡 FALTA EXECUTAR",IF(OR(M957="PENDENTE",M957="PARCIAL"),"🟡 FATURAMENTO PENDENTE","🟡 EMBARQUE PENDENTE")))))))))))</f>
        <v/>
      </c>
      <c r="D957" s="4" t="n"/>
      <c r="E957" s="5" t="n"/>
      <c r="F957" s="5" t="n"/>
      <c r="G957" s="5" t="n"/>
      <c r="H957" s="5" t="n"/>
      <c r="I957" s="5" t="n"/>
      <c r="J957" s="6" t="n"/>
      <c r="K957" s="6" t="n"/>
      <c r="L957" s="7">
        <f>IF(OR(D957="",N(J957)=0),"",MIN(1,N(K957)/J957))</f>
        <v/>
      </c>
      <c r="M957" s="5" t="n"/>
      <c r="N957" s="5" t="n"/>
      <c r="O957" s="5" t="n"/>
      <c r="P957" s="5" t="n"/>
      <c r="Q957" s="5" t="n"/>
      <c r="R957" s="4" t="n"/>
      <c r="S957" s="4" t="n"/>
      <c r="T957" s="5" t="n"/>
      <c r="U957" s="8">
        <f>IF(AND(V957=1,D957&lt;&gt;""),IF(D957&gt;=corte,TODAY()-D957,""),"")</f>
        <v/>
      </c>
      <c r="V957" s="8">
        <f>IF(D957="",0,IF(OR(AND(P957&lt;&gt;"",S957=""),AND(N(J957)&gt;0,N(K957)&lt;J957),OR(M957="PENDENTE",M957="PARCIAL"),OR(N957="PENDENTE",N957="PARCIAL")),1,0))</f>
        <v/>
      </c>
      <c r="W957" s="8">
        <f>IF(AND(V957=1,D957&lt;&gt;""),IF(D957&gt;=corte,(B957="CRÍTICO")*1E9+(100000-D957)*10000+10000-ROW(),""),"")</f>
        <v/>
      </c>
      <c r="X957" s="8">
        <f>IF(AND(V957=1,D957=pas_data,E957=pas_turno),10000-ROW(),"")</f>
        <v/>
      </c>
    </row>
    <row r="958">
      <c r="A958" s="3">
        <f>IF(D958="","","TT-"&amp;TEXT(ROW()-1,"00000"))</f>
        <v/>
      </c>
      <c r="B958" s="3">
        <f>IF(D958="","",IF(V958=0,"CONCLUÍDO",IF(D958&lt;corte,"HISTÓRICO",IF(OR(AND(ISNUMBER(R958),R958&lt;TODAY()),AND(OR(N958="PENDENTE",N958="PARCIAL"),D958&lt;TODAY()-1)),"CRÍTICO",IF(OR(AND(P958&lt;&gt;"",S958=""),AND(N958="REALIZADO",M958="PENDENTE"),AND(ISNUMBER(R958),R958=TODAY())),"ATENÇÃO",IF(N(K958)=0,"PENDENTE","EM ANDAMENTO"))))))</f>
        <v/>
      </c>
      <c r="C958" s="3">
        <f>IF(D958="","",IF(V958=0,"🟢 OK",IF(D958&lt;corte,"⚪ HISTÓRICO (sem baixa)",IF(AND(ISNUMBER(R958),R958&lt;TODAY()),"🔴 PRAZO VENCIDO",IF(AND(OR(N958="PENDENTE",N958="PARCIAL"),D958&lt;TODAY()-1),"🔴 EMBARQUE ATRASADO",IF(AND(N958="REALIZADO",M958="PENDENTE"),"🟡 EMBARCADO SEM FATURAR",IF(AND(P958&lt;&gt;"",S958="",OR(Q958="",R958="")),"🟡 PENDÊNCIA SEM RESPONSÁVEL/PRAZO",IF(AND(ISNUMBER(R958),R958=TODAY()),"🟡 VENCE HOJE",IF(AND(P958&lt;&gt;"",S958=""),"🟡 PENDÊNCIA ABERTA",IF(AND(N(J958)&gt;0,N(K958)&lt;J958),"🟡 FALTA EXECUTAR",IF(OR(M958="PENDENTE",M958="PARCIAL"),"🟡 FATURAMENTO PENDENTE","🟡 EMBARQUE PENDENTE")))))))))))</f>
        <v/>
      </c>
      <c r="D958" s="4" t="n"/>
      <c r="E958" s="5" t="n"/>
      <c r="F958" s="5" t="n"/>
      <c r="G958" s="5" t="n"/>
      <c r="H958" s="5" t="n"/>
      <c r="I958" s="5" t="n"/>
      <c r="J958" s="6" t="n"/>
      <c r="K958" s="6" t="n"/>
      <c r="L958" s="7">
        <f>IF(OR(D958="",N(J958)=0),"",MIN(1,N(K958)/J958))</f>
        <v/>
      </c>
      <c r="M958" s="5" t="n"/>
      <c r="N958" s="5" t="n"/>
      <c r="O958" s="5" t="n"/>
      <c r="P958" s="5" t="n"/>
      <c r="Q958" s="5" t="n"/>
      <c r="R958" s="4" t="n"/>
      <c r="S958" s="4" t="n"/>
      <c r="T958" s="5" t="n"/>
      <c r="U958" s="8">
        <f>IF(AND(V958=1,D958&lt;&gt;""),IF(D958&gt;=corte,TODAY()-D958,""),"")</f>
        <v/>
      </c>
      <c r="V958" s="8">
        <f>IF(D958="",0,IF(OR(AND(P958&lt;&gt;"",S958=""),AND(N(J958)&gt;0,N(K958)&lt;J958),OR(M958="PENDENTE",M958="PARCIAL"),OR(N958="PENDENTE",N958="PARCIAL")),1,0))</f>
        <v/>
      </c>
      <c r="W958" s="8">
        <f>IF(AND(V958=1,D958&lt;&gt;""),IF(D958&gt;=corte,(B958="CRÍTICO")*1E9+(100000-D958)*10000+10000-ROW(),""),"")</f>
        <v/>
      </c>
      <c r="X958" s="8">
        <f>IF(AND(V958=1,D958=pas_data,E958=pas_turno),10000-ROW(),"")</f>
        <v/>
      </c>
    </row>
    <row r="959">
      <c r="A959" s="3">
        <f>IF(D959="","","TT-"&amp;TEXT(ROW()-1,"00000"))</f>
        <v/>
      </c>
      <c r="B959" s="3">
        <f>IF(D959="","",IF(V959=0,"CONCLUÍDO",IF(D959&lt;corte,"HISTÓRICO",IF(OR(AND(ISNUMBER(R959),R959&lt;TODAY()),AND(OR(N959="PENDENTE",N959="PARCIAL"),D959&lt;TODAY()-1)),"CRÍTICO",IF(OR(AND(P959&lt;&gt;"",S959=""),AND(N959="REALIZADO",M959="PENDENTE"),AND(ISNUMBER(R959),R959=TODAY())),"ATENÇÃO",IF(N(K959)=0,"PENDENTE","EM ANDAMENTO"))))))</f>
        <v/>
      </c>
      <c r="C959" s="3">
        <f>IF(D959="","",IF(V959=0,"🟢 OK",IF(D959&lt;corte,"⚪ HISTÓRICO (sem baixa)",IF(AND(ISNUMBER(R959),R959&lt;TODAY()),"🔴 PRAZO VENCIDO",IF(AND(OR(N959="PENDENTE",N959="PARCIAL"),D959&lt;TODAY()-1),"🔴 EMBARQUE ATRASADO",IF(AND(N959="REALIZADO",M959="PENDENTE"),"🟡 EMBARCADO SEM FATURAR",IF(AND(P959&lt;&gt;"",S959="",OR(Q959="",R959="")),"🟡 PENDÊNCIA SEM RESPONSÁVEL/PRAZO",IF(AND(ISNUMBER(R959),R959=TODAY()),"🟡 VENCE HOJE",IF(AND(P959&lt;&gt;"",S959=""),"🟡 PENDÊNCIA ABERTA",IF(AND(N(J959)&gt;0,N(K959)&lt;J959),"🟡 FALTA EXECUTAR",IF(OR(M959="PENDENTE",M959="PARCIAL"),"🟡 FATURAMENTO PENDENTE","🟡 EMBARQUE PENDENTE")))))))))))</f>
        <v/>
      </c>
      <c r="D959" s="4" t="n"/>
      <c r="E959" s="5" t="n"/>
      <c r="F959" s="5" t="n"/>
      <c r="G959" s="5" t="n"/>
      <c r="H959" s="5" t="n"/>
      <c r="I959" s="5" t="n"/>
      <c r="J959" s="6" t="n"/>
      <c r="K959" s="6" t="n"/>
      <c r="L959" s="7">
        <f>IF(OR(D959="",N(J959)=0),"",MIN(1,N(K959)/J959))</f>
        <v/>
      </c>
      <c r="M959" s="5" t="n"/>
      <c r="N959" s="5" t="n"/>
      <c r="O959" s="5" t="n"/>
      <c r="P959" s="5" t="n"/>
      <c r="Q959" s="5" t="n"/>
      <c r="R959" s="4" t="n"/>
      <c r="S959" s="4" t="n"/>
      <c r="T959" s="5" t="n"/>
      <c r="U959" s="8">
        <f>IF(AND(V959=1,D959&lt;&gt;""),IF(D959&gt;=corte,TODAY()-D959,""),"")</f>
        <v/>
      </c>
      <c r="V959" s="8">
        <f>IF(D959="",0,IF(OR(AND(P959&lt;&gt;"",S959=""),AND(N(J959)&gt;0,N(K959)&lt;J959),OR(M959="PENDENTE",M959="PARCIAL"),OR(N959="PENDENTE",N959="PARCIAL")),1,0))</f>
        <v/>
      </c>
      <c r="W959" s="8">
        <f>IF(AND(V959=1,D959&lt;&gt;""),IF(D959&gt;=corte,(B959="CRÍTICO")*1E9+(100000-D959)*10000+10000-ROW(),""),"")</f>
        <v/>
      </c>
      <c r="X959" s="8">
        <f>IF(AND(V959=1,D959=pas_data,E959=pas_turno),10000-ROW(),"")</f>
        <v/>
      </c>
    </row>
    <row r="960">
      <c r="A960" s="3">
        <f>IF(D960="","","TT-"&amp;TEXT(ROW()-1,"00000"))</f>
        <v/>
      </c>
      <c r="B960" s="3">
        <f>IF(D960="","",IF(V960=0,"CONCLUÍDO",IF(D960&lt;corte,"HISTÓRICO",IF(OR(AND(ISNUMBER(R960),R960&lt;TODAY()),AND(OR(N960="PENDENTE",N960="PARCIAL"),D960&lt;TODAY()-1)),"CRÍTICO",IF(OR(AND(P960&lt;&gt;"",S960=""),AND(N960="REALIZADO",M960="PENDENTE"),AND(ISNUMBER(R960),R960=TODAY())),"ATENÇÃO",IF(N(K960)=0,"PENDENTE","EM ANDAMENTO"))))))</f>
        <v/>
      </c>
      <c r="C960" s="3">
        <f>IF(D960="","",IF(V960=0,"🟢 OK",IF(D960&lt;corte,"⚪ HISTÓRICO (sem baixa)",IF(AND(ISNUMBER(R960),R960&lt;TODAY()),"🔴 PRAZO VENCIDO",IF(AND(OR(N960="PENDENTE",N960="PARCIAL"),D960&lt;TODAY()-1),"🔴 EMBARQUE ATRASADO",IF(AND(N960="REALIZADO",M960="PENDENTE"),"🟡 EMBARCADO SEM FATURAR",IF(AND(P960&lt;&gt;"",S960="",OR(Q960="",R960="")),"🟡 PENDÊNCIA SEM RESPONSÁVEL/PRAZO",IF(AND(ISNUMBER(R960),R960=TODAY()),"🟡 VENCE HOJE",IF(AND(P960&lt;&gt;"",S960=""),"🟡 PENDÊNCIA ABERTA",IF(AND(N(J960)&gt;0,N(K960)&lt;J960),"🟡 FALTA EXECUTAR",IF(OR(M960="PENDENTE",M960="PARCIAL"),"🟡 FATURAMENTO PENDENTE","🟡 EMBARQUE PENDENTE")))))))))))</f>
        <v/>
      </c>
      <c r="D960" s="4" t="n"/>
      <c r="E960" s="5" t="n"/>
      <c r="F960" s="5" t="n"/>
      <c r="G960" s="5" t="n"/>
      <c r="H960" s="5" t="n"/>
      <c r="I960" s="5" t="n"/>
      <c r="J960" s="6" t="n"/>
      <c r="K960" s="6" t="n"/>
      <c r="L960" s="7">
        <f>IF(OR(D960="",N(J960)=0),"",MIN(1,N(K960)/J960))</f>
        <v/>
      </c>
      <c r="M960" s="5" t="n"/>
      <c r="N960" s="5" t="n"/>
      <c r="O960" s="5" t="n"/>
      <c r="P960" s="5" t="n"/>
      <c r="Q960" s="5" t="n"/>
      <c r="R960" s="4" t="n"/>
      <c r="S960" s="4" t="n"/>
      <c r="T960" s="5" t="n"/>
      <c r="U960" s="8">
        <f>IF(AND(V960=1,D960&lt;&gt;""),IF(D960&gt;=corte,TODAY()-D960,""),"")</f>
        <v/>
      </c>
      <c r="V960" s="8">
        <f>IF(D960="",0,IF(OR(AND(P960&lt;&gt;"",S960=""),AND(N(J960)&gt;0,N(K960)&lt;J960),OR(M960="PENDENTE",M960="PARCIAL"),OR(N960="PENDENTE",N960="PARCIAL")),1,0))</f>
        <v/>
      </c>
      <c r="W960" s="8">
        <f>IF(AND(V960=1,D960&lt;&gt;""),IF(D960&gt;=corte,(B960="CRÍTICO")*1E9+(100000-D960)*10000+10000-ROW(),""),"")</f>
        <v/>
      </c>
      <c r="X960" s="8">
        <f>IF(AND(V960=1,D960=pas_data,E960=pas_turno),10000-ROW(),"")</f>
        <v/>
      </c>
    </row>
    <row r="961">
      <c r="A961" s="3">
        <f>IF(D961="","","TT-"&amp;TEXT(ROW()-1,"00000"))</f>
        <v/>
      </c>
      <c r="B961" s="3">
        <f>IF(D961="","",IF(V961=0,"CONCLUÍDO",IF(D961&lt;corte,"HISTÓRICO",IF(OR(AND(ISNUMBER(R961),R961&lt;TODAY()),AND(OR(N961="PENDENTE",N961="PARCIAL"),D961&lt;TODAY()-1)),"CRÍTICO",IF(OR(AND(P961&lt;&gt;"",S961=""),AND(N961="REALIZADO",M961="PENDENTE"),AND(ISNUMBER(R961),R961=TODAY())),"ATENÇÃO",IF(N(K961)=0,"PENDENTE","EM ANDAMENTO"))))))</f>
        <v/>
      </c>
      <c r="C961" s="3">
        <f>IF(D961="","",IF(V961=0,"🟢 OK",IF(D961&lt;corte,"⚪ HISTÓRICO (sem baixa)",IF(AND(ISNUMBER(R961),R961&lt;TODAY()),"🔴 PRAZO VENCIDO",IF(AND(OR(N961="PENDENTE",N961="PARCIAL"),D961&lt;TODAY()-1),"🔴 EMBARQUE ATRASADO",IF(AND(N961="REALIZADO",M961="PENDENTE"),"🟡 EMBARCADO SEM FATURAR",IF(AND(P961&lt;&gt;"",S961="",OR(Q961="",R961="")),"🟡 PENDÊNCIA SEM RESPONSÁVEL/PRAZO",IF(AND(ISNUMBER(R961),R961=TODAY()),"🟡 VENCE HOJE",IF(AND(P961&lt;&gt;"",S961=""),"🟡 PENDÊNCIA ABERTA",IF(AND(N(J961)&gt;0,N(K961)&lt;J961),"🟡 FALTA EXECUTAR",IF(OR(M961="PENDENTE",M961="PARCIAL"),"🟡 FATURAMENTO PENDENTE","🟡 EMBARQUE PENDENTE")))))))))))</f>
        <v/>
      </c>
      <c r="D961" s="4" t="n"/>
      <c r="E961" s="5" t="n"/>
      <c r="F961" s="5" t="n"/>
      <c r="G961" s="5" t="n"/>
      <c r="H961" s="5" t="n"/>
      <c r="I961" s="5" t="n"/>
      <c r="J961" s="6" t="n"/>
      <c r="K961" s="6" t="n"/>
      <c r="L961" s="7">
        <f>IF(OR(D961="",N(J961)=0),"",MIN(1,N(K961)/J961))</f>
        <v/>
      </c>
      <c r="M961" s="5" t="n"/>
      <c r="N961" s="5" t="n"/>
      <c r="O961" s="5" t="n"/>
      <c r="P961" s="5" t="n"/>
      <c r="Q961" s="5" t="n"/>
      <c r="R961" s="4" t="n"/>
      <c r="S961" s="4" t="n"/>
      <c r="T961" s="5" t="n"/>
      <c r="U961" s="8">
        <f>IF(AND(V961=1,D961&lt;&gt;""),IF(D961&gt;=corte,TODAY()-D961,""),"")</f>
        <v/>
      </c>
      <c r="V961" s="8">
        <f>IF(D961="",0,IF(OR(AND(P961&lt;&gt;"",S961=""),AND(N(J961)&gt;0,N(K961)&lt;J961),OR(M961="PENDENTE",M961="PARCIAL"),OR(N961="PENDENTE",N961="PARCIAL")),1,0))</f>
        <v/>
      </c>
      <c r="W961" s="8">
        <f>IF(AND(V961=1,D961&lt;&gt;""),IF(D961&gt;=corte,(B961="CRÍTICO")*1E9+(100000-D961)*10000+10000-ROW(),""),"")</f>
        <v/>
      </c>
      <c r="X961" s="8">
        <f>IF(AND(V961=1,D961=pas_data,E961=pas_turno),10000-ROW(),"")</f>
        <v/>
      </c>
    </row>
    <row r="962">
      <c r="A962" s="3">
        <f>IF(D962="","","TT-"&amp;TEXT(ROW()-1,"00000"))</f>
        <v/>
      </c>
      <c r="B962" s="3">
        <f>IF(D962="","",IF(V962=0,"CONCLUÍDO",IF(D962&lt;corte,"HISTÓRICO",IF(OR(AND(ISNUMBER(R962),R962&lt;TODAY()),AND(OR(N962="PENDENTE",N962="PARCIAL"),D962&lt;TODAY()-1)),"CRÍTICO",IF(OR(AND(P962&lt;&gt;"",S962=""),AND(N962="REALIZADO",M962="PENDENTE"),AND(ISNUMBER(R962),R962=TODAY())),"ATENÇÃO",IF(N(K962)=0,"PENDENTE","EM ANDAMENTO"))))))</f>
        <v/>
      </c>
      <c r="C962" s="3">
        <f>IF(D962="","",IF(V962=0,"🟢 OK",IF(D962&lt;corte,"⚪ HISTÓRICO (sem baixa)",IF(AND(ISNUMBER(R962),R962&lt;TODAY()),"🔴 PRAZO VENCIDO",IF(AND(OR(N962="PENDENTE",N962="PARCIAL"),D962&lt;TODAY()-1),"🔴 EMBARQUE ATRASADO",IF(AND(N962="REALIZADO",M962="PENDENTE"),"🟡 EMBARCADO SEM FATURAR",IF(AND(P962&lt;&gt;"",S962="",OR(Q962="",R962="")),"🟡 PENDÊNCIA SEM RESPONSÁVEL/PRAZO",IF(AND(ISNUMBER(R962),R962=TODAY()),"🟡 VENCE HOJE",IF(AND(P962&lt;&gt;"",S962=""),"🟡 PENDÊNCIA ABERTA",IF(AND(N(J962)&gt;0,N(K962)&lt;J962),"🟡 FALTA EXECUTAR",IF(OR(M962="PENDENTE",M962="PARCIAL"),"🟡 FATURAMENTO PENDENTE","🟡 EMBARQUE PENDENTE")))))))))))</f>
        <v/>
      </c>
      <c r="D962" s="4" t="n"/>
      <c r="E962" s="5" t="n"/>
      <c r="F962" s="5" t="n"/>
      <c r="G962" s="5" t="n"/>
      <c r="H962" s="5" t="n"/>
      <c r="I962" s="5" t="n"/>
      <c r="J962" s="6" t="n"/>
      <c r="K962" s="6" t="n"/>
      <c r="L962" s="7">
        <f>IF(OR(D962="",N(J962)=0),"",MIN(1,N(K962)/J962))</f>
        <v/>
      </c>
      <c r="M962" s="5" t="n"/>
      <c r="N962" s="5" t="n"/>
      <c r="O962" s="5" t="n"/>
      <c r="P962" s="5" t="n"/>
      <c r="Q962" s="5" t="n"/>
      <c r="R962" s="4" t="n"/>
      <c r="S962" s="4" t="n"/>
      <c r="T962" s="5" t="n"/>
      <c r="U962" s="8">
        <f>IF(AND(V962=1,D962&lt;&gt;""),IF(D962&gt;=corte,TODAY()-D962,""),"")</f>
        <v/>
      </c>
      <c r="V962" s="8">
        <f>IF(D962="",0,IF(OR(AND(P962&lt;&gt;"",S962=""),AND(N(J962)&gt;0,N(K962)&lt;J962),OR(M962="PENDENTE",M962="PARCIAL"),OR(N962="PENDENTE",N962="PARCIAL")),1,0))</f>
        <v/>
      </c>
      <c r="W962" s="8">
        <f>IF(AND(V962=1,D962&lt;&gt;""),IF(D962&gt;=corte,(B962="CRÍTICO")*1E9+(100000-D962)*10000+10000-ROW(),""),"")</f>
        <v/>
      </c>
      <c r="X962" s="8">
        <f>IF(AND(V962=1,D962=pas_data,E962=pas_turno),10000-ROW(),"")</f>
        <v/>
      </c>
    </row>
    <row r="963">
      <c r="A963" s="3">
        <f>IF(D963="","","TT-"&amp;TEXT(ROW()-1,"00000"))</f>
        <v/>
      </c>
      <c r="B963" s="3">
        <f>IF(D963="","",IF(V963=0,"CONCLUÍDO",IF(D963&lt;corte,"HISTÓRICO",IF(OR(AND(ISNUMBER(R963),R963&lt;TODAY()),AND(OR(N963="PENDENTE",N963="PARCIAL"),D963&lt;TODAY()-1)),"CRÍTICO",IF(OR(AND(P963&lt;&gt;"",S963=""),AND(N963="REALIZADO",M963="PENDENTE"),AND(ISNUMBER(R963),R963=TODAY())),"ATENÇÃO",IF(N(K963)=0,"PENDENTE","EM ANDAMENTO"))))))</f>
        <v/>
      </c>
      <c r="C963" s="3">
        <f>IF(D963="","",IF(V963=0,"🟢 OK",IF(D963&lt;corte,"⚪ HISTÓRICO (sem baixa)",IF(AND(ISNUMBER(R963),R963&lt;TODAY()),"🔴 PRAZO VENCIDO",IF(AND(OR(N963="PENDENTE",N963="PARCIAL"),D963&lt;TODAY()-1),"🔴 EMBARQUE ATRASADO",IF(AND(N963="REALIZADO",M963="PENDENTE"),"🟡 EMBARCADO SEM FATURAR",IF(AND(P963&lt;&gt;"",S963="",OR(Q963="",R963="")),"🟡 PENDÊNCIA SEM RESPONSÁVEL/PRAZO",IF(AND(ISNUMBER(R963),R963=TODAY()),"🟡 VENCE HOJE",IF(AND(P963&lt;&gt;"",S963=""),"🟡 PENDÊNCIA ABERTA",IF(AND(N(J963)&gt;0,N(K963)&lt;J963),"🟡 FALTA EXECUTAR",IF(OR(M963="PENDENTE",M963="PARCIAL"),"🟡 FATURAMENTO PENDENTE","🟡 EMBARQUE PENDENTE")))))))))))</f>
        <v/>
      </c>
      <c r="D963" s="4" t="n"/>
      <c r="E963" s="5" t="n"/>
      <c r="F963" s="5" t="n"/>
      <c r="G963" s="5" t="n"/>
      <c r="H963" s="5" t="n"/>
      <c r="I963" s="5" t="n"/>
      <c r="J963" s="6" t="n"/>
      <c r="K963" s="6" t="n"/>
      <c r="L963" s="7">
        <f>IF(OR(D963="",N(J963)=0),"",MIN(1,N(K963)/J963))</f>
        <v/>
      </c>
      <c r="M963" s="5" t="n"/>
      <c r="N963" s="5" t="n"/>
      <c r="O963" s="5" t="n"/>
      <c r="P963" s="5" t="n"/>
      <c r="Q963" s="5" t="n"/>
      <c r="R963" s="4" t="n"/>
      <c r="S963" s="4" t="n"/>
      <c r="T963" s="5" t="n"/>
      <c r="U963" s="8">
        <f>IF(AND(V963=1,D963&lt;&gt;""),IF(D963&gt;=corte,TODAY()-D963,""),"")</f>
        <v/>
      </c>
      <c r="V963" s="8">
        <f>IF(D963="",0,IF(OR(AND(P963&lt;&gt;"",S963=""),AND(N(J963)&gt;0,N(K963)&lt;J963),OR(M963="PENDENTE",M963="PARCIAL"),OR(N963="PENDENTE",N963="PARCIAL")),1,0))</f>
        <v/>
      </c>
      <c r="W963" s="8">
        <f>IF(AND(V963=1,D963&lt;&gt;""),IF(D963&gt;=corte,(B963="CRÍTICO")*1E9+(100000-D963)*10000+10000-ROW(),""),"")</f>
        <v/>
      </c>
      <c r="X963" s="8">
        <f>IF(AND(V963=1,D963=pas_data,E963=pas_turno),10000-ROW(),"")</f>
        <v/>
      </c>
    </row>
    <row r="964">
      <c r="A964" s="3">
        <f>IF(D964="","","TT-"&amp;TEXT(ROW()-1,"00000"))</f>
        <v/>
      </c>
      <c r="B964" s="3">
        <f>IF(D964="","",IF(V964=0,"CONCLUÍDO",IF(D964&lt;corte,"HISTÓRICO",IF(OR(AND(ISNUMBER(R964),R964&lt;TODAY()),AND(OR(N964="PENDENTE",N964="PARCIAL"),D964&lt;TODAY()-1)),"CRÍTICO",IF(OR(AND(P964&lt;&gt;"",S964=""),AND(N964="REALIZADO",M964="PENDENTE"),AND(ISNUMBER(R964),R964=TODAY())),"ATENÇÃO",IF(N(K964)=0,"PENDENTE","EM ANDAMENTO"))))))</f>
        <v/>
      </c>
      <c r="C964" s="3">
        <f>IF(D964="","",IF(V964=0,"🟢 OK",IF(D964&lt;corte,"⚪ HISTÓRICO (sem baixa)",IF(AND(ISNUMBER(R964),R964&lt;TODAY()),"🔴 PRAZO VENCIDO",IF(AND(OR(N964="PENDENTE",N964="PARCIAL"),D964&lt;TODAY()-1),"🔴 EMBARQUE ATRASADO",IF(AND(N964="REALIZADO",M964="PENDENTE"),"🟡 EMBARCADO SEM FATURAR",IF(AND(P964&lt;&gt;"",S964="",OR(Q964="",R964="")),"🟡 PENDÊNCIA SEM RESPONSÁVEL/PRAZO",IF(AND(ISNUMBER(R964),R964=TODAY()),"🟡 VENCE HOJE",IF(AND(P964&lt;&gt;"",S964=""),"🟡 PENDÊNCIA ABERTA",IF(AND(N(J964)&gt;0,N(K964)&lt;J964),"🟡 FALTA EXECUTAR",IF(OR(M964="PENDENTE",M964="PARCIAL"),"🟡 FATURAMENTO PENDENTE","🟡 EMBARQUE PENDENTE")))))))))))</f>
        <v/>
      </c>
      <c r="D964" s="4" t="n"/>
      <c r="E964" s="5" t="n"/>
      <c r="F964" s="5" t="n"/>
      <c r="G964" s="5" t="n"/>
      <c r="H964" s="5" t="n"/>
      <c r="I964" s="5" t="n"/>
      <c r="J964" s="6" t="n"/>
      <c r="K964" s="6" t="n"/>
      <c r="L964" s="7">
        <f>IF(OR(D964="",N(J964)=0),"",MIN(1,N(K964)/J964))</f>
        <v/>
      </c>
      <c r="M964" s="5" t="n"/>
      <c r="N964" s="5" t="n"/>
      <c r="O964" s="5" t="n"/>
      <c r="P964" s="5" t="n"/>
      <c r="Q964" s="5" t="n"/>
      <c r="R964" s="4" t="n"/>
      <c r="S964" s="4" t="n"/>
      <c r="T964" s="5" t="n"/>
      <c r="U964" s="8">
        <f>IF(AND(V964=1,D964&lt;&gt;""),IF(D964&gt;=corte,TODAY()-D964,""),"")</f>
        <v/>
      </c>
      <c r="V964" s="8">
        <f>IF(D964="",0,IF(OR(AND(P964&lt;&gt;"",S964=""),AND(N(J964)&gt;0,N(K964)&lt;J964),OR(M964="PENDENTE",M964="PARCIAL"),OR(N964="PENDENTE",N964="PARCIAL")),1,0))</f>
        <v/>
      </c>
      <c r="W964" s="8">
        <f>IF(AND(V964=1,D964&lt;&gt;""),IF(D964&gt;=corte,(B964="CRÍTICO")*1E9+(100000-D964)*10000+10000-ROW(),""),"")</f>
        <v/>
      </c>
      <c r="X964" s="8">
        <f>IF(AND(V964=1,D964=pas_data,E964=pas_turno),10000-ROW(),"")</f>
        <v/>
      </c>
    </row>
    <row r="965">
      <c r="A965" s="3">
        <f>IF(D965="","","TT-"&amp;TEXT(ROW()-1,"00000"))</f>
        <v/>
      </c>
      <c r="B965" s="3">
        <f>IF(D965="","",IF(V965=0,"CONCLUÍDO",IF(D965&lt;corte,"HISTÓRICO",IF(OR(AND(ISNUMBER(R965),R965&lt;TODAY()),AND(OR(N965="PENDENTE",N965="PARCIAL"),D965&lt;TODAY()-1)),"CRÍTICO",IF(OR(AND(P965&lt;&gt;"",S965=""),AND(N965="REALIZADO",M965="PENDENTE"),AND(ISNUMBER(R965),R965=TODAY())),"ATENÇÃO",IF(N(K965)=0,"PENDENTE","EM ANDAMENTO"))))))</f>
        <v/>
      </c>
      <c r="C965" s="3">
        <f>IF(D965="","",IF(V965=0,"🟢 OK",IF(D965&lt;corte,"⚪ HISTÓRICO (sem baixa)",IF(AND(ISNUMBER(R965),R965&lt;TODAY()),"🔴 PRAZO VENCIDO",IF(AND(OR(N965="PENDENTE",N965="PARCIAL"),D965&lt;TODAY()-1),"🔴 EMBARQUE ATRASADO",IF(AND(N965="REALIZADO",M965="PENDENTE"),"🟡 EMBARCADO SEM FATURAR",IF(AND(P965&lt;&gt;"",S965="",OR(Q965="",R965="")),"🟡 PENDÊNCIA SEM RESPONSÁVEL/PRAZO",IF(AND(ISNUMBER(R965),R965=TODAY()),"🟡 VENCE HOJE",IF(AND(P965&lt;&gt;"",S965=""),"🟡 PENDÊNCIA ABERTA",IF(AND(N(J965)&gt;0,N(K965)&lt;J965),"🟡 FALTA EXECUTAR",IF(OR(M965="PENDENTE",M965="PARCIAL"),"🟡 FATURAMENTO PENDENTE","🟡 EMBARQUE PENDENTE")))))))))))</f>
        <v/>
      </c>
      <c r="D965" s="4" t="n"/>
      <c r="E965" s="5" t="n"/>
      <c r="F965" s="5" t="n"/>
      <c r="G965" s="5" t="n"/>
      <c r="H965" s="5" t="n"/>
      <c r="I965" s="5" t="n"/>
      <c r="J965" s="6" t="n"/>
      <c r="K965" s="6" t="n"/>
      <c r="L965" s="7">
        <f>IF(OR(D965="",N(J965)=0),"",MIN(1,N(K965)/J965))</f>
        <v/>
      </c>
      <c r="M965" s="5" t="n"/>
      <c r="N965" s="5" t="n"/>
      <c r="O965" s="5" t="n"/>
      <c r="P965" s="5" t="n"/>
      <c r="Q965" s="5" t="n"/>
      <c r="R965" s="4" t="n"/>
      <c r="S965" s="4" t="n"/>
      <c r="T965" s="5" t="n"/>
      <c r="U965" s="8">
        <f>IF(AND(V965=1,D965&lt;&gt;""),IF(D965&gt;=corte,TODAY()-D965,""),"")</f>
        <v/>
      </c>
      <c r="V965" s="8">
        <f>IF(D965="",0,IF(OR(AND(P965&lt;&gt;"",S965=""),AND(N(J965)&gt;0,N(K965)&lt;J965),OR(M965="PENDENTE",M965="PARCIAL"),OR(N965="PENDENTE",N965="PARCIAL")),1,0))</f>
        <v/>
      </c>
      <c r="W965" s="8">
        <f>IF(AND(V965=1,D965&lt;&gt;""),IF(D965&gt;=corte,(B965="CRÍTICO")*1E9+(100000-D965)*10000+10000-ROW(),""),"")</f>
        <v/>
      </c>
      <c r="X965" s="8">
        <f>IF(AND(V965=1,D965=pas_data,E965=pas_turno),10000-ROW(),"")</f>
        <v/>
      </c>
    </row>
    <row r="966">
      <c r="A966" s="3">
        <f>IF(D966="","","TT-"&amp;TEXT(ROW()-1,"00000"))</f>
        <v/>
      </c>
      <c r="B966" s="3">
        <f>IF(D966="","",IF(V966=0,"CONCLUÍDO",IF(D966&lt;corte,"HISTÓRICO",IF(OR(AND(ISNUMBER(R966),R966&lt;TODAY()),AND(OR(N966="PENDENTE",N966="PARCIAL"),D966&lt;TODAY()-1)),"CRÍTICO",IF(OR(AND(P966&lt;&gt;"",S966=""),AND(N966="REALIZADO",M966="PENDENTE"),AND(ISNUMBER(R966),R966=TODAY())),"ATENÇÃO",IF(N(K966)=0,"PENDENTE","EM ANDAMENTO"))))))</f>
        <v/>
      </c>
      <c r="C966" s="3">
        <f>IF(D966="","",IF(V966=0,"🟢 OK",IF(D966&lt;corte,"⚪ HISTÓRICO (sem baixa)",IF(AND(ISNUMBER(R966),R966&lt;TODAY()),"🔴 PRAZO VENCIDO",IF(AND(OR(N966="PENDENTE",N966="PARCIAL"),D966&lt;TODAY()-1),"🔴 EMBARQUE ATRASADO",IF(AND(N966="REALIZADO",M966="PENDENTE"),"🟡 EMBARCADO SEM FATURAR",IF(AND(P966&lt;&gt;"",S966="",OR(Q966="",R966="")),"🟡 PENDÊNCIA SEM RESPONSÁVEL/PRAZO",IF(AND(ISNUMBER(R966),R966=TODAY()),"🟡 VENCE HOJE",IF(AND(P966&lt;&gt;"",S966=""),"🟡 PENDÊNCIA ABERTA",IF(AND(N(J966)&gt;0,N(K966)&lt;J966),"🟡 FALTA EXECUTAR",IF(OR(M966="PENDENTE",M966="PARCIAL"),"🟡 FATURAMENTO PENDENTE","🟡 EMBARQUE PENDENTE")))))))))))</f>
        <v/>
      </c>
      <c r="D966" s="4" t="n"/>
      <c r="E966" s="5" t="n"/>
      <c r="F966" s="5" t="n"/>
      <c r="G966" s="5" t="n"/>
      <c r="H966" s="5" t="n"/>
      <c r="I966" s="5" t="n"/>
      <c r="J966" s="6" t="n"/>
      <c r="K966" s="6" t="n"/>
      <c r="L966" s="7">
        <f>IF(OR(D966="",N(J966)=0),"",MIN(1,N(K966)/J966))</f>
        <v/>
      </c>
      <c r="M966" s="5" t="n"/>
      <c r="N966" s="5" t="n"/>
      <c r="O966" s="5" t="n"/>
      <c r="P966" s="5" t="n"/>
      <c r="Q966" s="5" t="n"/>
      <c r="R966" s="4" t="n"/>
      <c r="S966" s="4" t="n"/>
      <c r="T966" s="5" t="n"/>
      <c r="U966" s="8">
        <f>IF(AND(V966=1,D966&lt;&gt;""),IF(D966&gt;=corte,TODAY()-D966,""),"")</f>
        <v/>
      </c>
      <c r="V966" s="8">
        <f>IF(D966="",0,IF(OR(AND(P966&lt;&gt;"",S966=""),AND(N(J966)&gt;0,N(K966)&lt;J966),OR(M966="PENDENTE",M966="PARCIAL"),OR(N966="PENDENTE",N966="PARCIAL")),1,0))</f>
        <v/>
      </c>
      <c r="W966" s="8">
        <f>IF(AND(V966=1,D966&lt;&gt;""),IF(D966&gt;=corte,(B966="CRÍTICO")*1E9+(100000-D966)*10000+10000-ROW(),""),"")</f>
        <v/>
      </c>
      <c r="X966" s="8">
        <f>IF(AND(V966=1,D966=pas_data,E966=pas_turno),10000-ROW(),"")</f>
        <v/>
      </c>
    </row>
    <row r="967">
      <c r="A967" s="3">
        <f>IF(D967="","","TT-"&amp;TEXT(ROW()-1,"00000"))</f>
        <v/>
      </c>
      <c r="B967" s="3">
        <f>IF(D967="","",IF(V967=0,"CONCLUÍDO",IF(D967&lt;corte,"HISTÓRICO",IF(OR(AND(ISNUMBER(R967),R967&lt;TODAY()),AND(OR(N967="PENDENTE",N967="PARCIAL"),D967&lt;TODAY()-1)),"CRÍTICO",IF(OR(AND(P967&lt;&gt;"",S967=""),AND(N967="REALIZADO",M967="PENDENTE"),AND(ISNUMBER(R967),R967=TODAY())),"ATENÇÃO",IF(N(K967)=0,"PENDENTE","EM ANDAMENTO"))))))</f>
        <v/>
      </c>
      <c r="C967" s="3">
        <f>IF(D967="","",IF(V967=0,"🟢 OK",IF(D967&lt;corte,"⚪ HISTÓRICO (sem baixa)",IF(AND(ISNUMBER(R967),R967&lt;TODAY()),"🔴 PRAZO VENCIDO",IF(AND(OR(N967="PENDENTE",N967="PARCIAL"),D967&lt;TODAY()-1),"🔴 EMBARQUE ATRASADO",IF(AND(N967="REALIZADO",M967="PENDENTE"),"🟡 EMBARCADO SEM FATURAR",IF(AND(P967&lt;&gt;"",S967="",OR(Q967="",R967="")),"🟡 PENDÊNCIA SEM RESPONSÁVEL/PRAZO",IF(AND(ISNUMBER(R967),R967=TODAY()),"🟡 VENCE HOJE",IF(AND(P967&lt;&gt;"",S967=""),"🟡 PENDÊNCIA ABERTA",IF(AND(N(J967)&gt;0,N(K967)&lt;J967),"🟡 FALTA EXECUTAR",IF(OR(M967="PENDENTE",M967="PARCIAL"),"🟡 FATURAMENTO PENDENTE","🟡 EMBARQUE PENDENTE")))))))))))</f>
        <v/>
      </c>
      <c r="D967" s="4" t="n"/>
      <c r="E967" s="5" t="n"/>
      <c r="F967" s="5" t="n"/>
      <c r="G967" s="5" t="n"/>
      <c r="H967" s="5" t="n"/>
      <c r="I967" s="5" t="n"/>
      <c r="J967" s="6" t="n"/>
      <c r="K967" s="6" t="n"/>
      <c r="L967" s="7">
        <f>IF(OR(D967="",N(J967)=0),"",MIN(1,N(K967)/J967))</f>
        <v/>
      </c>
      <c r="M967" s="5" t="n"/>
      <c r="N967" s="5" t="n"/>
      <c r="O967" s="5" t="n"/>
      <c r="P967" s="5" t="n"/>
      <c r="Q967" s="5" t="n"/>
      <c r="R967" s="4" t="n"/>
      <c r="S967" s="4" t="n"/>
      <c r="T967" s="5" t="n"/>
      <c r="U967" s="8">
        <f>IF(AND(V967=1,D967&lt;&gt;""),IF(D967&gt;=corte,TODAY()-D967,""),"")</f>
        <v/>
      </c>
      <c r="V967" s="8">
        <f>IF(D967="",0,IF(OR(AND(P967&lt;&gt;"",S967=""),AND(N(J967)&gt;0,N(K967)&lt;J967),OR(M967="PENDENTE",M967="PARCIAL"),OR(N967="PENDENTE",N967="PARCIAL")),1,0))</f>
        <v/>
      </c>
      <c r="W967" s="8">
        <f>IF(AND(V967=1,D967&lt;&gt;""),IF(D967&gt;=corte,(B967="CRÍTICO")*1E9+(100000-D967)*10000+10000-ROW(),""),"")</f>
        <v/>
      </c>
      <c r="X967" s="8">
        <f>IF(AND(V967=1,D967=pas_data,E967=pas_turno),10000-ROW(),"")</f>
        <v/>
      </c>
    </row>
    <row r="968">
      <c r="A968" s="3">
        <f>IF(D968="","","TT-"&amp;TEXT(ROW()-1,"00000"))</f>
        <v/>
      </c>
      <c r="B968" s="3">
        <f>IF(D968="","",IF(V968=0,"CONCLUÍDO",IF(D968&lt;corte,"HISTÓRICO",IF(OR(AND(ISNUMBER(R968),R968&lt;TODAY()),AND(OR(N968="PENDENTE",N968="PARCIAL"),D968&lt;TODAY()-1)),"CRÍTICO",IF(OR(AND(P968&lt;&gt;"",S968=""),AND(N968="REALIZADO",M968="PENDENTE"),AND(ISNUMBER(R968),R968=TODAY())),"ATENÇÃO",IF(N(K968)=0,"PENDENTE","EM ANDAMENTO"))))))</f>
        <v/>
      </c>
      <c r="C968" s="3">
        <f>IF(D968="","",IF(V968=0,"🟢 OK",IF(D968&lt;corte,"⚪ HISTÓRICO (sem baixa)",IF(AND(ISNUMBER(R968),R968&lt;TODAY()),"🔴 PRAZO VENCIDO",IF(AND(OR(N968="PENDENTE",N968="PARCIAL"),D968&lt;TODAY()-1),"🔴 EMBARQUE ATRASADO",IF(AND(N968="REALIZADO",M968="PENDENTE"),"🟡 EMBARCADO SEM FATURAR",IF(AND(P968&lt;&gt;"",S968="",OR(Q968="",R968="")),"🟡 PENDÊNCIA SEM RESPONSÁVEL/PRAZO",IF(AND(ISNUMBER(R968),R968=TODAY()),"🟡 VENCE HOJE",IF(AND(P968&lt;&gt;"",S968=""),"🟡 PENDÊNCIA ABERTA",IF(AND(N(J968)&gt;0,N(K968)&lt;J968),"🟡 FALTA EXECUTAR",IF(OR(M968="PENDENTE",M968="PARCIAL"),"🟡 FATURAMENTO PENDENTE","🟡 EMBARQUE PENDENTE")))))))))))</f>
        <v/>
      </c>
      <c r="D968" s="4" t="n"/>
      <c r="E968" s="5" t="n"/>
      <c r="F968" s="5" t="n"/>
      <c r="G968" s="5" t="n"/>
      <c r="H968" s="5" t="n"/>
      <c r="I968" s="5" t="n"/>
      <c r="J968" s="6" t="n"/>
      <c r="K968" s="6" t="n"/>
      <c r="L968" s="7">
        <f>IF(OR(D968="",N(J968)=0),"",MIN(1,N(K968)/J968))</f>
        <v/>
      </c>
      <c r="M968" s="5" t="n"/>
      <c r="N968" s="5" t="n"/>
      <c r="O968" s="5" t="n"/>
      <c r="P968" s="5" t="n"/>
      <c r="Q968" s="5" t="n"/>
      <c r="R968" s="4" t="n"/>
      <c r="S968" s="4" t="n"/>
      <c r="T968" s="5" t="n"/>
      <c r="U968" s="8">
        <f>IF(AND(V968=1,D968&lt;&gt;""),IF(D968&gt;=corte,TODAY()-D968,""),"")</f>
        <v/>
      </c>
      <c r="V968" s="8">
        <f>IF(D968="",0,IF(OR(AND(P968&lt;&gt;"",S968=""),AND(N(J968)&gt;0,N(K968)&lt;J968),OR(M968="PENDENTE",M968="PARCIAL"),OR(N968="PENDENTE",N968="PARCIAL")),1,0))</f>
        <v/>
      </c>
      <c r="W968" s="8">
        <f>IF(AND(V968=1,D968&lt;&gt;""),IF(D968&gt;=corte,(B968="CRÍTICO")*1E9+(100000-D968)*10000+10000-ROW(),""),"")</f>
        <v/>
      </c>
      <c r="X968" s="8">
        <f>IF(AND(V968=1,D968=pas_data,E968=pas_turno),10000-ROW(),"")</f>
        <v/>
      </c>
    </row>
    <row r="969">
      <c r="A969" s="3">
        <f>IF(D969="","","TT-"&amp;TEXT(ROW()-1,"00000"))</f>
        <v/>
      </c>
      <c r="B969" s="3">
        <f>IF(D969="","",IF(V969=0,"CONCLUÍDO",IF(D969&lt;corte,"HISTÓRICO",IF(OR(AND(ISNUMBER(R969),R969&lt;TODAY()),AND(OR(N969="PENDENTE",N969="PARCIAL"),D969&lt;TODAY()-1)),"CRÍTICO",IF(OR(AND(P969&lt;&gt;"",S969=""),AND(N969="REALIZADO",M969="PENDENTE"),AND(ISNUMBER(R969),R969=TODAY())),"ATENÇÃO",IF(N(K969)=0,"PENDENTE","EM ANDAMENTO"))))))</f>
        <v/>
      </c>
      <c r="C969" s="3">
        <f>IF(D969="","",IF(V969=0,"🟢 OK",IF(D969&lt;corte,"⚪ HISTÓRICO (sem baixa)",IF(AND(ISNUMBER(R969),R969&lt;TODAY()),"🔴 PRAZO VENCIDO",IF(AND(OR(N969="PENDENTE",N969="PARCIAL"),D969&lt;TODAY()-1),"🔴 EMBARQUE ATRASADO",IF(AND(N969="REALIZADO",M969="PENDENTE"),"🟡 EMBARCADO SEM FATURAR",IF(AND(P969&lt;&gt;"",S969="",OR(Q969="",R969="")),"🟡 PENDÊNCIA SEM RESPONSÁVEL/PRAZO",IF(AND(ISNUMBER(R969),R969=TODAY()),"🟡 VENCE HOJE",IF(AND(P969&lt;&gt;"",S969=""),"🟡 PENDÊNCIA ABERTA",IF(AND(N(J969)&gt;0,N(K969)&lt;J969),"🟡 FALTA EXECUTAR",IF(OR(M969="PENDENTE",M969="PARCIAL"),"🟡 FATURAMENTO PENDENTE","🟡 EMBARQUE PENDENTE")))))))))))</f>
        <v/>
      </c>
      <c r="D969" s="4" t="n"/>
      <c r="E969" s="5" t="n"/>
      <c r="F969" s="5" t="n"/>
      <c r="G969" s="5" t="n"/>
      <c r="H969" s="5" t="n"/>
      <c r="I969" s="5" t="n"/>
      <c r="J969" s="6" t="n"/>
      <c r="K969" s="6" t="n"/>
      <c r="L969" s="7">
        <f>IF(OR(D969="",N(J969)=0),"",MIN(1,N(K969)/J969))</f>
        <v/>
      </c>
      <c r="M969" s="5" t="n"/>
      <c r="N969" s="5" t="n"/>
      <c r="O969" s="5" t="n"/>
      <c r="P969" s="5" t="n"/>
      <c r="Q969" s="5" t="n"/>
      <c r="R969" s="4" t="n"/>
      <c r="S969" s="4" t="n"/>
      <c r="T969" s="5" t="n"/>
      <c r="U969" s="8">
        <f>IF(AND(V969=1,D969&lt;&gt;""),IF(D969&gt;=corte,TODAY()-D969,""),"")</f>
        <v/>
      </c>
      <c r="V969" s="8">
        <f>IF(D969="",0,IF(OR(AND(P969&lt;&gt;"",S969=""),AND(N(J969)&gt;0,N(K969)&lt;J969),OR(M969="PENDENTE",M969="PARCIAL"),OR(N969="PENDENTE",N969="PARCIAL")),1,0))</f>
        <v/>
      </c>
      <c r="W969" s="8">
        <f>IF(AND(V969=1,D969&lt;&gt;""),IF(D969&gt;=corte,(B969="CRÍTICO")*1E9+(100000-D969)*10000+10000-ROW(),""),"")</f>
        <v/>
      </c>
      <c r="X969" s="8">
        <f>IF(AND(V969=1,D969=pas_data,E969=pas_turno),10000-ROW(),"")</f>
        <v/>
      </c>
    </row>
    <row r="970">
      <c r="A970" s="3">
        <f>IF(D970="","","TT-"&amp;TEXT(ROW()-1,"00000"))</f>
        <v/>
      </c>
      <c r="B970" s="3">
        <f>IF(D970="","",IF(V970=0,"CONCLUÍDO",IF(D970&lt;corte,"HISTÓRICO",IF(OR(AND(ISNUMBER(R970),R970&lt;TODAY()),AND(OR(N970="PENDENTE",N970="PARCIAL"),D970&lt;TODAY()-1)),"CRÍTICO",IF(OR(AND(P970&lt;&gt;"",S970=""),AND(N970="REALIZADO",M970="PENDENTE"),AND(ISNUMBER(R970),R970=TODAY())),"ATENÇÃO",IF(N(K970)=0,"PENDENTE","EM ANDAMENTO"))))))</f>
        <v/>
      </c>
      <c r="C970" s="3">
        <f>IF(D970="","",IF(V970=0,"🟢 OK",IF(D970&lt;corte,"⚪ HISTÓRICO (sem baixa)",IF(AND(ISNUMBER(R970),R970&lt;TODAY()),"🔴 PRAZO VENCIDO",IF(AND(OR(N970="PENDENTE",N970="PARCIAL"),D970&lt;TODAY()-1),"🔴 EMBARQUE ATRASADO",IF(AND(N970="REALIZADO",M970="PENDENTE"),"🟡 EMBARCADO SEM FATURAR",IF(AND(P970&lt;&gt;"",S970="",OR(Q970="",R970="")),"🟡 PENDÊNCIA SEM RESPONSÁVEL/PRAZO",IF(AND(ISNUMBER(R970),R970=TODAY()),"🟡 VENCE HOJE",IF(AND(P970&lt;&gt;"",S970=""),"🟡 PENDÊNCIA ABERTA",IF(AND(N(J970)&gt;0,N(K970)&lt;J970),"🟡 FALTA EXECUTAR",IF(OR(M970="PENDENTE",M970="PARCIAL"),"🟡 FATURAMENTO PENDENTE","🟡 EMBARQUE PENDENTE")))))))))))</f>
        <v/>
      </c>
      <c r="D970" s="4" t="n"/>
      <c r="E970" s="5" t="n"/>
      <c r="F970" s="5" t="n"/>
      <c r="G970" s="5" t="n"/>
      <c r="H970" s="5" t="n"/>
      <c r="I970" s="5" t="n"/>
      <c r="J970" s="6" t="n"/>
      <c r="K970" s="6" t="n"/>
      <c r="L970" s="7">
        <f>IF(OR(D970="",N(J970)=0),"",MIN(1,N(K970)/J970))</f>
        <v/>
      </c>
      <c r="M970" s="5" t="n"/>
      <c r="N970" s="5" t="n"/>
      <c r="O970" s="5" t="n"/>
      <c r="P970" s="5" t="n"/>
      <c r="Q970" s="5" t="n"/>
      <c r="R970" s="4" t="n"/>
      <c r="S970" s="4" t="n"/>
      <c r="T970" s="5" t="n"/>
      <c r="U970" s="8">
        <f>IF(AND(V970=1,D970&lt;&gt;""),IF(D970&gt;=corte,TODAY()-D970,""),"")</f>
        <v/>
      </c>
      <c r="V970" s="8">
        <f>IF(D970="",0,IF(OR(AND(P970&lt;&gt;"",S970=""),AND(N(J970)&gt;0,N(K970)&lt;J970),OR(M970="PENDENTE",M970="PARCIAL"),OR(N970="PENDENTE",N970="PARCIAL")),1,0))</f>
        <v/>
      </c>
      <c r="W970" s="8">
        <f>IF(AND(V970=1,D970&lt;&gt;""),IF(D970&gt;=corte,(B970="CRÍTICO")*1E9+(100000-D970)*10000+10000-ROW(),""),"")</f>
        <v/>
      </c>
      <c r="X970" s="8">
        <f>IF(AND(V970=1,D970=pas_data,E970=pas_turno),10000-ROW(),"")</f>
        <v/>
      </c>
    </row>
    <row r="971">
      <c r="A971" s="3">
        <f>IF(D971="","","TT-"&amp;TEXT(ROW()-1,"00000"))</f>
        <v/>
      </c>
      <c r="B971" s="3">
        <f>IF(D971="","",IF(V971=0,"CONCLUÍDO",IF(D971&lt;corte,"HISTÓRICO",IF(OR(AND(ISNUMBER(R971),R971&lt;TODAY()),AND(OR(N971="PENDENTE",N971="PARCIAL"),D971&lt;TODAY()-1)),"CRÍTICO",IF(OR(AND(P971&lt;&gt;"",S971=""),AND(N971="REALIZADO",M971="PENDENTE"),AND(ISNUMBER(R971),R971=TODAY())),"ATENÇÃO",IF(N(K971)=0,"PENDENTE","EM ANDAMENTO"))))))</f>
        <v/>
      </c>
      <c r="C971" s="3">
        <f>IF(D971="","",IF(V971=0,"🟢 OK",IF(D971&lt;corte,"⚪ HISTÓRICO (sem baixa)",IF(AND(ISNUMBER(R971),R971&lt;TODAY()),"🔴 PRAZO VENCIDO",IF(AND(OR(N971="PENDENTE",N971="PARCIAL"),D971&lt;TODAY()-1),"🔴 EMBARQUE ATRASADO",IF(AND(N971="REALIZADO",M971="PENDENTE"),"🟡 EMBARCADO SEM FATURAR",IF(AND(P971&lt;&gt;"",S971="",OR(Q971="",R971="")),"🟡 PENDÊNCIA SEM RESPONSÁVEL/PRAZO",IF(AND(ISNUMBER(R971),R971=TODAY()),"🟡 VENCE HOJE",IF(AND(P971&lt;&gt;"",S971=""),"🟡 PENDÊNCIA ABERTA",IF(AND(N(J971)&gt;0,N(K971)&lt;J971),"🟡 FALTA EXECUTAR",IF(OR(M971="PENDENTE",M971="PARCIAL"),"🟡 FATURAMENTO PENDENTE","🟡 EMBARQUE PENDENTE")))))))))))</f>
        <v/>
      </c>
      <c r="D971" s="4" t="n"/>
      <c r="E971" s="5" t="n"/>
      <c r="F971" s="5" t="n"/>
      <c r="G971" s="5" t="n"/>
      <c r="H971" s="5" t="n"/>
      <c r="I971" s="5" t="n"/>
      <c r="J971" s="6" t="n"/>
      <c r="K971" s="6" t="n"/>
      <c r="L971" s="7">
        <f>IF(OR(D971="",N(J971)=0),"",MIN(1,N(K971)/J971))</f>
        <v/>
      </c>
      <c r="M971" s="5" t="n"/>
      <c r="N971" s="5" t="n"/>
      <c r="O971" s="5" t="n"/>
      <c r="P971" s="5" t="n"/>
      <c r="Q971" s="5" t="n"/>
      <c r="R971" s="4" t="n"/>
      <c r="S971" s="4" t="n"/>
      <c r="T971" s="5" t="n"/>
      <c r="U971" s="8">
        <f>IF(AND(V971=1,D971&lt;&gt;""),IF(D971&gt;=corte,TODAY()-D971,""),"")</f>
        <v/>
      </c>
      <c r="V971" s="8">
        <f>IF(D971="",0,IF(OR(AND(P971&lt;&gt;"",S971=""),AND(N(J971)&gt;0,N(K971)&lt;J971),OR(M971="PENDENTE",M971="PARCIAL"),OR(N971="PENDENTE",N971="PARCIAL")),1,0))</f>
        <v/>
      </c>
      <c r="W971" s="8">
        <f>IF(AND(V971=1,D971&lt;&gt;""),IF(D971&gt;=corte,(B971="CRÍTICO")*1E9+(100000-D971)*10000+10000-ROW(),""),"")</f>
        <v/>
      </c>
      <c r="X971" s="8">
        <f>IF(AND(V971=1,D971=pas_data,E971=pas_turno),10000-ROW(),"")</f>
        <v/>
      </c>
    </row>
    <row r="972">
      <c r="A972" s="3">
        <f>IF(D972="","","TT-"&amp;TEXT(ROW()-1,"00000"))</f>
        <v/>
      </c>
      <c r="B972" s="3">
        <f>IF(D972="","",IF(V972=0,"CONCLUÍDO",IF(D972&lt;corte,"HISTÓRICO",IF(OR(AND(ISNUMBER(R972),R972&lt;TODAY()),AND(OR(N972="PENDENTE",N972="PARCIAL"),D972&lt;TODAY()-1)),"CRÍTICO",IF(OR(AND(P972&lt;&gt;"",S972=""),AND(N972="REALIZADO",M972="PENDENTE"),AND(ISNUMBER(R972),R972=TODAY())),"ATENÇÃO",IF(N(K972)=0,"PENDENTE","EM ANDAMENTO"))))))</f>
        <v/>
      </c>
      <c r="C972" s="3">
        <f>IF(D972="","",IF(V972=0,"🟢 OK",IF(D972&lt;corte,"⚪ HISTÓRICO (sem baixa)",IF(AND(ISNUMBER(R972),R972&lt;TODAY()),"🔴 PRAZO VENCIDO",IF(AND(OR(N972="PENDENTE",N972="PARCIAL"),D972&lt;TODAY()-1),"🔴 EMBARQUE ATRASADO",IF(AND(N972="REALIZADO",M972="PENDENTE"),"🟡 EMBARCADO SEM FATURAR",IF(AND(P972&lt;&gt;"",S972="",OR(Q972="",R972="")),"🟡 PENDÊNCIA SEM RESPONSÁVEL/PRAZO",IF(AND(ISNUMBER(R972),R972=TODAY()),"🟡 VENCE HOJE",IF(AND(P972&lt;&gt;"",S972=""),"🟡 PENDÊNCIA ABERTA",IF(AND(N(J972)&gt;0,N(K972)&lt;J972),"🟡 FALTA EXECUTAR",IF(OR(M972="PENDENTE",M972="PARCIAL"),"🟡 FATURAMENTO PENDENTE","🟡 EMBARQUE PENDENTE")))))))))))</f>
        <v/>
      </c>
      <c r="D972" s="4" t="n"/>
      <c r="E972" s="5" t="n"/>
      <c r="F972" s="5" t="n"/>
      <c r="G972" s="5" t="n"/>
      <c r="H972" s="5" t="n"/>
      <c r="I972" s="5" t="n"/>
      <c r="J972" s="6" t="n"/>
      <c r="K972" s="6" t="n"/>
      <c r="L972" s="7">
        <f>IF(OR(D972="",N(J972)=0),"",MIN(1,N(K972)/J972))</f>
        <v/>
      </c>
      <c r="M972" s="5" t="n"/>
      <c r="N972" s="5" t="n"/>
      <c r="O972" s="5" t="n"/>
      <c r="P972" s="5" t="n"/>
      <c r="Q972" s="5" t="n"/>
      <c r="R972" s="4" t="n"/>
      <c r="S972" s="4" t="n"/>
      <c r="T972" s="5" t="n"/>
      <c r="U972" s="8">
        <f>IF(AND(V972=1,D972&lt;&gt;""),IF(D972&gt;=corte,TODAY()-D972,""),"")</f>
        <v/>
      </c>
      <c r="V972" s="8">
        <f>IF(D972="",0,IF(OR(AND(P972&lt;&gt;"",S972=""),AND(N(J972)&gt;0,N(K972)&lt;J972),OR(M972="PENDENTE",M972="PARCIAL"),OR(N972="PENDENTE",N972="PARCIAL")),1,0))</f>
        <v/>
      </c>
      <c r="W972" s="8">
        <f>IF(AND(V972=1,D972&lt;&gt;""),IF(D972&gt;=corte,(B972="CRÍTICO")*1E9+(100000-D972)*10000+10000-ROW(),""),"")</f>
        <v/>
      </c>
      <c r="X972" s="8">
        <f>IF(AND(V972=1,D972=pas_data,E972=pas_turno),10000-ROW(),"")</f>
        <v/>
      </c>
    </row>
    <row r="973">
      <c r="A973" s="3">
        <f>IF(D973="","","TT-"&amp;TEXT(ROW()-1,"00000"))</f>
        <v/>
      </c>
      <c r="B973" s="3">
        <f>IF(D973="","",IF(V973=0,"CONCLUÍDO",IF(D973&lt;corte,"HISTÓRICO",IF(OR(AND(ISNUMBER(R973),R973&lt;TODAY()),AND(OR(N973="PENDENTE",N973="PARCIAL"),D973&lt;TODAY()-1)),"CRÍTICO",IF(OR(AND(P973&lt;&gt;"",S973=""),AND(N973="REALIZADO",M973="PENDENTE"),AND(ISNUMBER(R973),R973=TODAY())),"ATENÇÃO",IF(N(K973)=0,"PENDENTE","EM ANDAMENTO"))))))</f>
        <v/>
      </c>
      <c r="C973" s="3">
        <f>IF(D973="","",IF(V973=0,"🟢 OK",IF(D973&lt;corte,"⚪ HISTÓRICO (sem baixa)",IF(AND(ISNUMBER(R973),R973&lt;TODAY()),"🔴 PRAZO VENCIDO",IF(AND(OR(N973="PENDENTE",N973="PARCIAL"),D973&lt;TODAY()-1),"🔴 EMBARQUE ATRASADO",IF(AND(N973="REALIZADO",M973="PENDENTE"),"🟡 EMBARCADO SEM FATURAR",IF(AND(P973&lt;&gt;"",S973="",OR(Q973="",R973="")),"🟡 PENDÊNCIA SEM RESPONSÁVEL/PRAZO",IF(AND(ISNUMBER(R973),R973=TODAY()),"🟡 VENCE HOJE",IF(AND(P973&lt;&gt;"",S973=""),"🟡 PENDÊNCIA ABERTA",IF(AND(N(J973)&gt;0,N(K973)&lt;J973),"🟡 FALTA EXECUTAR",IF(OR(M973="PENDENTE",M973="PARCIAL"),"🟡 FATURAMENTO PENDENTE","🟡 EMBARQUE PENDENTE")))))))))))</f>
        <v/>
      </c>
      <c r="D973" s="4" t="n"/>
      <c r="E973" s="5" t="n"/>
      <c r="F973" s="5" t="n"/>
      <c r="G973" s="5" t="n"/>
      <c r="H973" s="5" t="n"/>
      <c r="I973" s="5" t="n"/>
      <c r="J973" s="6" t="n"/>
      <c r="K973" s="6" t="n"/>
      <c r="L973" s="7">
        <f>IF(OR(D973="",N(J973)=0),"",MIN(1,N(K973)/J973))</f>
        <v/>
      </c>
      <c r="M973" s="5" t="n"/>
      <c r="N973" s="5" t="n"/>
      <c r="O973" s="5" t="n"/>
      <c r="P973" s="5" t="n"/>
      <c r="Q973" s="5" t="n"/>
      <c r="R973" s="4" t="n"/>
      <c r="S973" s="4" t="n"/>
      <c r="T973" s="5" t="n"/>
      <c r="U973" s="8">
        <f>IF(AND(V973=1,D973&lt;&gt;""),IF(D973&gt;=corte,TODAY()-D973,""),"")</f>
        <v/>
      </c>
      <c r="V973" s="8">
        <f>IF(D973="",0,IF(OR(AND(P973&lt;&gt;"",S973=""),AND(N(J973)&gt;0,N(K973)&lt;J973),OR(M973="PENDENTE",M973="PARCIAL"),OR(N973="PENDENTE",N973="PARCIAL")),1,0))</f>
        <v/>
      </c>
      <c r="W973" s="8">
        <f>IF(AND(V973=1,D973&lt;&gt;""),IF(D973&gt;=corte,(B973="CRÍTICO")*1E9+(100000-D973)*10000+10000-ROW(),""),"")</f>
        <v/>
      </c>
      <c r="X973" s="8">
        <f>IF(AND(V973=1,D973=pas_data,E973=pas_turno),10000-ROW(),"")</f>
        <v/>
      </c>
    </row>
    <row r="974">
      <c r="A974" s="3">
        <f>IF(D974="","","TT-"&amp;TEXT(ROW()-1,"00000"))</f>
        <v/>
      </c>
      <c r="B974" s="3">
        <f>IF(D974="","",IF(V974=0,"CONCLUÍDO",IF(D974&lt;corte,"HISTÓRICO",IF(OR(AND(ISNUMBER(R974),R974&lt;TODAY()),AND(OR(N974="PENDENTE",N974="PARCIAL"),D974&lt;TODAY()-1)),"CRÍTICO",IF(OR(AND(P974&lt;&gt;"",S974=""),AND(N974="REALIZADO",M974="PENDENTE"),AND(ISNUMBER(R974),R974=TODAY())),"ATENÇÃO",IF(N(K974)=0,"PENDENTE","EM ANDAMENTO"))))))</f>
        <v/>
      </c>
      <c r="C974" s="3">
        <f>IF(D974="","",IF(V974=0,"🟢 OK",IF(D974&lt;corte,"⚪ HISTÓRICO (sem baixa)",IF(AND(ISNUMBER(R974),R974&lt;TODAY()),"🔴 PRAZO VENCIDO",IF(AND(OR(N974="PENDENTE",N974="PARCIAL"),D974&lt;TODAY()-1),"🔴 EMBARQUE ATRASADO",IF(AND(N974="REALIZADO",M974="PENDENTE"),"🟡 EMBARCADO SEM FATURAR",IF(AND(P974&lt;&gt;"",S974="",OR(Q974="",R974="")),"🟡 PENDÊNCIA SEM RESPONSÁVEL/PRAZO",IF(AND(ISNUMBER(R974),R974=TODAY()),"🟡 VENCE HOJE",IF(AND(P974&lt;&gt;"",S974=""),"🟡 PENDÊNCIA ABERTA",IF(AND(N(J974)&gt;0,N(K974)&lt;J974),"🟡 FALTA EXECUTAR",IF(OR(M974="PENDENTE",M974="PARCIAL"),"🟡 FATURAMENTO PENDENTE","🟡 EMBARQUE PENDENTE")))))))))))</f>
        <v/>
      </c>
      <c r="D974" s="4" t="n"/>
      <c r="E974" s="5" t="n"/>
      <c r="F974" s="5" t="n"/>
      <c r="G974" s="5" t="n"/>
      <c r="H974" s="5" t="n"/>
      <c r="I974" s="5" t="n"/>
      <c r="J974" s="6" t="n"/>
      <c r="K974" s="6" t="n"/>
      <c r="L974" s="7">
        <f>IF(OR(D974="",N(J974)=0),"",MIN(1,N(K974)/J974))</f>
        <v/>
      </c>
      <c r="M974" s="5" t="n"/>
      <c r="N974" s="5" t="n"/>
      <c r="O974" s="5" t="n"/>
      <c r="P974" s="5" t="n"/>
      <c r="Q974" s="5" t="n"/>
      <c r="R974" s="4" t="n"/>
      <c r="S974" s="4" t="n"/>
      <c r="T974" s="5" t="n"/>
      <c r="U974" s="8">
        <f>IF(AND(V974=1,D974&lt;&gt;""),IF(D974&gt;=corte,TODAY()-D974,""),"")</f>
        <v/>
      </c>
      <c r="V974" s="8">
        <f>IF(D974="",0,IF(OR(AND(P974&lt;&gt;"",S974=""),AND(N(J974)&gt;0,N(K974)&lt;J974),OR(M974="PENDENTE",M974="PARCIAL"),OR(N974="PENDENTE",N974="PARCIAL")),1,0))</f>
        <v/>
      </c>
      <c r="W974" s="8">
        <f>IF(AND(V974=1,D974&lt;&gt;""),IF(D974&gt;=corte,(B974="CRÍTICO")*1E9+(100000-D974)*10000+10000-ROW(),""),"")</f>
        <v/>
      </c>
      <c r="X974" s="8">
        <f>IF(AND(V974=1,D974=pas_data,E974=pas_turno),10000-ROW(),"")</f>
        <v/>
      </c>
    </row>
    <row r="975">
      <c r="A975" s="3">
        <f>IF(D975="","","TT-"&amp;TEXT(ROW()-1,"00000"))</f>
        <v/>
      </c>
      <c r="B975" s="3">
        <f>IF(D975="","",IF(V975=0,"CONCLUÍDO",IF(D975&lt;corte,"HISTÓRICO",IF(OR(AND(ISNUMBER(R975),R975&lt;TODAY()),AND(OR(N975="PENDENTE",N975="PARCIAL"),D975&lt;TODAY()-1)),"CRÍTICO",IF(OR(AND(P975&lt;&gt;"",S975=""),AND(N975="REALIZADO",M975="PENDENTE"),AND(ISNUMBER(R975),R975=TODAY())),"ATENÇÃO",IF(N(K975)=0,"PENDENTE","EM ANDAMENTO"))))))</f>
        <v/>
      </c>
      <c r="C975" s="3">
        <f>IF(D975="","",IF(V975=0,"🟢 OK",IF(D975&lt;corte,"⚪ HISTÓRICO (sem baixa)",IF(AND(ISNUMBER(R975),R975&lt;TODAY()),"🔴 PRAZO VENCIDO",IF(AND(OR(N975="PENDENTE",N975="PARCIAL"),D975&lt;TODAY()-1),"🔴 EMBARQUE ATRASADO",IF(AND(N975="REALIZADO",M975="PENDENTE"),"🟡 EMBARCADO SEM FATURAR",IF(AND(P975&lt;&gt;"",S975="",OR(Q975="",R975="")),"🟡 PENDÊNCIA SEM RESPONSÁVEL/PRAZO",IF(AND(ISNUMBER(R975),R975=TODAY()),"🟡 VENCE HOJE",IF(AND(P975&lt;&gt;"",S975=""),"🟡 PENDÊNCIA ABERTA",IF(AND(N(J975)&gt;0,N(K975)&lt;J975),"🟡 FALTA EXECUTAR",IF(OR(M975="PENDENTE",M975="PARCIAL"),"🟡 FATURAMENTO PENDENTE","🟡 EMBARQUE PENDENTE")))))))))))</f>
        <v/>
      </c>
      <c r="D975" s="4" t="n"/>
      <c r="E975" s="5" t="n"/>
      <c r="F975" s="5" t="n"/>
      <c r="G975" s="5" t="n"/>
      <c r="H975" s="5" t="n"/>
      <c r="I975" s="5" t="n"/>
      <c r="J975" s="6" t="n"/>
      <c r="K975" s="6" t="n"/>
      <c r="L975" s="7">
        <f>IF(OR(D975="",N(J975)=0),"",MIN(1,N(K975)/J975))</f>
        <v/>
      </c>
      <c r="M975" s="5" t="n"/>
      <c r="N975" s="5" t="n"/>
      <c r="O975" s="5" t="n"/>
      <c r="P975" s="5" t="n"/>
      <c r="Q975" s="5" t="n"/>
      <c r="R975" s="4" t="n"/>
      <c r="S975" s="4" t="n"/>
      <c r="T975" s="5" t="n"/>
      <c r="U975" s="8">
        <f>IF(AND(V975=1,D975&lt;&gt;""),IF(D975&gt;=corte,TODAY()-D975,""),"")</f>
        <v/>
      </c>
      <c r="V975" s="8">
        <f>IF(D975="",0,IF(OR(AND(P975&lt;&gt;"",S975=""),AND(N(J975)&gt;0,N(K975)&lt;J975),OR(M975="PENDENTE",M975="PARCIAL"),OR(N975="PENDENTE",N975="PARCIAL")),1,0))</f>
        <v/>
      </c>
      <c r="W975" s="8">
        <f>IF(AND(V975=1,D975&lt;&gt;""),IF(D975&gt;=corte,(B975="CRÍTICO")*1E9+(100000-D975)*10000+10000-ROW(),""),"")</f>
        <v/>
      </c>
      <c r="X975" s="8">
        <f>IF(AND(V975=1,D975=pas_data,E975=pas_turno),10000-ROW(),"")</f>
        <v/>
      </c>
    </row>
    <row r="976">
      <c r="A976" s="3">
        <f>IF(D976="","","TT-"&amp;TEXT(ROW()-1,"00000"))</f>
        <v/>
      </c>
      <c r="B976" s="3">
        <f>IF(D976="","",IF(V976=0,"CONCLUÍDO",IF(D976&lt;corte,"HISTÓRICO",IF(OR(AND(ISNUMBER(R976),R976&lt;TODAY()),AND(OR(N976="PENDENTE",N976="PARCIAL"),D976&lt;TODAY()-1)),"CRÍTICO",IF(OR(AND(P976&lt;&gt;"",S976=""),AND(N976="REALIZADO",M976="PENDENTE"),AND(ISNUMBER(R976),R976=TODAY())),"ATENÇÃO",IF(N(K976)=0,"PENDENTE","EM ANDAMENTO"))))))</f>
        <v/>
      </c>
      <c r="C976" s="3">
        <f>IF(D976="","",IF(V976=0,"🟢 OK",IF(D976&lt;corte,"⚪ HISTÓRICO (sem baixa)",IF(AND(ISNUMBER(R976),R976&lt;TODAY()),"🔴 PRAZO VENCIDO",IF(AND(OR(N976="PENDENTE",N976="PARCIAL"),D976&lt;TODAY()-1),"🔴 EMBARQUE ATRASADO",IF(AND(N976="REALIZADO",M976="PENDENTE"),"🟡 EMBARCADO SEM FATURAR",IF(AND(P976&lt;&gt;"",S976="",OR(Q976="",R976="")),"🟡 PENDÊNCIA SEM RESPONSÁVEL/PRAZO",IF(AND(ISNUMBER(R976),R976=TODAY()),"🟡 VENCE HOJE",IF(AND(P976&lt;&gt;"",S976=""),"🟡 PENDÊNCIA ABERTA",IF(AND(N(J976)&gt;0,N(K976)&lt;J976),"🟡 FALTA EXECUTAR",IF(OR(M976="PENDENTE",M976="PARCIAL"),"🟡 FATURAMENTO PENDENTE","🟡 EMBARQUE PENDENTE")))))))))))</f>
        <v/>
      </c>
      <c r="D976" s="4" t="n"/>
      <c r="E976" s="5" t="n"/>
      <c r="F976" s="5" t="n"/>
      <c r="G976" s="5" t="n"/>
      <c r="H976" s="5" t="n"/>
      <c r="I976" s="5" t="n"/>
      <c r="J976" s="6" t="n"/>
      <c r="K976" s="6" t="n"/>
      <c r="L976" s="7">
        <f>IF(OR(D976="",N(J976)=0),"",MIN(1,N(K976)/J976))</f>
        <v/>
      </c>
      <c r="M976" s="5" t="n"/>
      <c r="N976" s="5" t="n"/>
      <c r="O976" s="5" t="n"/>
      <c r="P976" s="5" t="n"/>
      <c r="Q976" s="5" t="n"/>
      <c r="R976" s="4" t="n"/>
      <c r="S976" s="4" t="n"/>
      <c r="T976" s="5" t="n"/>
      <c r="U976" s="8">
        <f>IF(AND(V976=1,D976&lt;&gt;""),IF(D976&gt;=corte,TODAY()-D976,""),"")</f>
        <v/>
      </c>
      <c r="V976" s="8">
        <f>IF(D976="",0,IF(OR(AND(P976&lt;&gt;"",S976=""),AND(N(J976)&gt;0,N(K976)&lt;J976),OR(M976="PENDENTE",M976="PARCIAL"),OR(N976="PENDENTE",N976="PARCIAL")),1,0))</f>
        <v/>
      </c>
      <c r="W976" s="8">
        <f>IF(AND(V976=1,D976&lt;&gt;""),IF(D976&gt;=corte,(B976="CRÍTICO")*1E9+(100000-D976)*10000+10000-ROW(),""),"")</f>
        <v/>
      </c>
      <c r="X976" s="8">
        <f>IF(AND(V976=1,D976=pas_data,E976=pas_turno),10000-ROW(),"")</f>
        <v/>
      </c>
    </row>
    <row r="977">
      <c r="A977" s="3">
        <f>IF(D977="","","TT-"&amp;TEXT(ROW()-1,"00000"))</f>
        <v/>
      </c>
      <c r="B977" s="3">
        <f>IF(D977="","",IF(V977=0,"CONCLUÍDO",IF(D977&lt;corte,"HISTÓRICO",IF(OR(AND(ISNUMBER(R977),R977&lt;TODAY()),AND(OR(N977="PENDENTE",N977="PARCIAL"),D977&lt;TODAY()-1)),"CRÍTICO",IF(OR(AND(P977&lt;&gt;"",S977=""),AND(N977="REALIZADO",M977="PENDENTE"),AND(ISNUMBER(R977),R977=TODAY())),"ATENÇÃO",IF(N(K977)=0,"PENDENTE","EM ANDAMENTO"))))))</f>
        <v/>
      </c>
      <c r="C977" s="3">
        <f>IF(D977="","",IF(V977=0,"🟢 OK",IF(D977&lt;corte,"⚪ HISTÓRICO (sem baixa)",IF(AND(ISNUMBER(R977),R977&lt;TODAY()),"🔴 PRAZO VENCIDO",IF(AND(OR(N977="PENDENTE",N977="PARCIAL"),D977&lt;TODAY()-1),"🔴 EMBARQUE ATRASADO",IF(AND(N977="REALIZADO",M977="PENDENTE"),"🟡 EMBARCADO SEM FATURAR",IF(AND(P977&lt;&gt;"",S977="",OR(Q977="",R977="")),"🟡 PENDÊNCIA SEM RESPONSÁVEL/PRAZO",IF(AND(ISNUMBER(R977),R977=TODAY()),"🟡 VENCE HOJE",IF(AND(P977&lt;&gt;"",S977=""),"🟡 PENDÊNCIA ABERTA",IF(AND(N(J977)&gt;0,N(K977)&lt;J977),"🟡 FALTA EXECUTAR",IF(OR(M977="PENDENTE",M977="PARCIAL"),"🟡 FATURAMENTO PENDENTE","🟡 EMBARQUE PENDENTE")))))))))))</f>
        <v/>
      </c>
      <c r="D977" s="4" t="n"/>
      <c r="E977" s="5" t="n"/>
      <c r="F977" s="5" t="n"/>
      <c r="G977" s="5" t="n"/>
      <c r="H977" s="5" t="n"/>
      <c r="I977" s="5" t="n"/>
      <c r="J977" s="6" t="n"/>
      <c r="K977" s="6" t="n"/>
      <c r="L977" s="7">
        <f>IF(OR(D977="",N(J977)=0),"",MIN(1,N(K977)/J977))</f>
        <v/>
      </c>
      <c r="M977" s="5" t="n"/>
      <c r="N977" s="5" t="n"/>
      <c r="O977" s="5" t="n"/>
      <c r="P977" s="5" t="n"/>
      <c r="Q977" s="5" t="n"/>
      <c r="R977" s="4" t="n"/>
      <c r="S977" s="4" t="n"/>
      <c r="T977" s="5" t="n"/>
      <c r="U977" s="8">
        <f>IF(AND(V977=1,D977&lt;&gt;""),IF(D977&gt;=corte,TODAY()-D977,""),"")</f>
        <v/>
      </c>
      <c r="V977" s="8">
        <f>IF(D977="",0,IF(OR(AND(P977&lt;&gt;"",S977=""),AND(N(J977)&gt;0,N(K977)&lt;J977),OR(M977="PENDENTE",M977="PARCIAL"),OR(N977="PENDENTE",N977="PARCIAL")),1,0))</f>
        <v/>
      </c>
      <c r="W977" s="8">
        <f>IF(AND(V977=1,D977&lt;&gt;""),IF(D977&gt;=corte,(B977="CRÍTICO")*1E9+(100000-D977)*10000+10000-ROW(),""),"")</f>
        <v/>
      </c>
      <c r="X977" s="8">
        <f>IF(AND(V977=1,D977=pas_data,E977=pas_turno),10000-ROW(),"")</f>
        <v/>
      </c>
    </row>
    <row r="978">
      <c r="A978" s="3">
        <f>IF(D978="","","TT-"&amp;TEXT(ROW()-1,"00000"))</f>
        <v/>
      </c>
      <c r="B978" s="3">
        <f>IF(D978="","",IF(V978=0,"CONCLUÍDO",IF(D978&lt;corte,"HISTÓRICO",IF(OR(AND(ISNUMBER(R978),R978&lt;TODAY()),AND(OR(N978="PENDENTE",N978="PARCIAL"),D978&lt;TODAY()-1)),"CRÍTICO",IF(OR(AND(P978&lt;&gt;"",S978=""),AND(N978="REALIZADO",M978="PENDENTE"),AND(ISNUMBER(R978),R978=TODAY())),"ATENÇÃO",IF(N(K978)=0,"PENDENTE","EM ANDAMENTO"))))))</f>
        <v/>
      </c>
      <c r="C978" s="3">
        <f>IF(D978="","",IF(V978=0,"🟢 OK",IF(D978&lt;corte,"⚪ HISTÓRICO (sem baixa)",IF(AND(ISNUMBER(R978),R978&lt;TODAY()),"🔴 PRAZO VENCIDO",IF(AND(OR(N978="PENDENTE",N978="PARCIAL"),D978&lt;TODAY()-1),"🔴 EMBARQUE ATRASADO",IF(AND(N978="REALIZADO",M978="PENDENTE"),"🟡 EMBARCADO SEM FATURAR",IF(AND(P978&lt;&gt;"",S978="",OR(Q978="",R978="")),"🟡 PENDÊNCIA SEM RESPONSÁVEL/PRAZO",IF(AND(ISNUMBER(R978),R978=TODAY()),"🟡 VENCE HOJE",IF(AND(P978&lt;&gt;"",S978=""),"🟡 PENDÊNCIA ABERTA",IF(AND(N(J978)&gt;0,N(K978)&lt;J978),"🟡 FALTA EXECUTAR",IF(OR(M978="PENDENTE",M978="PARCIAL"),"🟡 FATURAMENTO PENDENTE","🟡 EMBARQUE PENDENTE")))))))))))</f>
        <v/>
      </c>
      <c r="D978" s="4" t="n"/>
      <c r="E978" s="5" t="n"/>
      <c r="F978" s="5" t="n"/>
      <c r="G978" s="5" t="n"/>
      <c r="H978" s="5" t="n"/>
      <c r="I978" s="5" t="n"/>
      <c r="J978" s="6" t="n"/>
      <c r="K978" s="6" t="n"/>
      <c r="L978" s="7">
        <f>IF(OR(D978="",N(J978)=0),"",MIN(1,N(K978)/J978))</f>
        <v/>
      </c>
      <c r="M978" s="5" t="n"/>
      <c r="N978" s="5" t="n"/>
      <c r="O978" s="5" t="n"/>
      <c r="P978" s="5" t="n"/>
      <c r="Q978" s="5" t="n"/>
      <c r="R978" s="4" t="n"/>
      <c r="S978" s="4" t="n"/>
      <c r="T978" s="5" t="n"/>
      <c r="U978" s="8">
        <f>IF(AND(V978=1,D978&lt;&gt;""),IF(D978&gt;=corte,TODAY()-D978,""),"")</f>
        <v/>
      </c>
      <c r="V978" s="8">
        <f>IF(D978="",0,IF(OR(AND(P978&lt;&gt;"",S978=""),AND(N(J978)&gt;0,N(K978)&lt;J978),OR(M978="PENDENTE",M978="PARCIAL"),OR(N978="PENDENTE",N978="PARCIAL")),1,0))</f>
        <v/>
      </c>
      <c r="W978" s="8">
        <f>IF(AND(V978=1,D978&lt;&gt;""),IF(D978&gt;=corte,(B978="CRÍTICO")*1E9+(100000-D978)*10000+10000-ROW(),""),"")</f>
        <v/>
      </c>
      <c r="X978" s="8">
        <f>IF(AND(V978=1,D978=pas_data,E978=pas_turno),10000-ROW(),"")</f>
        <v/>
      </c>
    </row>
    <row r="979">
      <c r="A979" s="3">
        <f>IF(D979="","","TT-"&amp;TEXT(ROW()-1,"00000"))</f>
        <v/>
      </c>
      <c r="B979" s="3">
        <f>IF(D979="","",IF(V979=0,"CONCLUÍDO",IF(D979&lt;corte,"HISTÓRICO",IF(OR(AND(ISNUMBER(R979),R979&lt;TODAY()),AND(OR(N979="PENDENTE",N979="PARCIAL"),D979&lt;TODAY()-1)),"CRÍTICO",IF(OR(AND(P979&lt;&gt;"",S979=""),AND(N979="REALIZADO",M979="PENDENTE"),AND(ISNUMBER(R979),R979=TODAY())),"ATENÇÃO",IF(N(K979)=0,"PENDENTE","EM ANDAMENTO"))))))</f>
        <v/>
      </c>
      <c r="C979" s="3">
        <f>IF(D979="","",IF(V979=0,"🟢 OK",IF(D979&lt;corte,"⚪ HISTÓRICO (sem baixa)",IF(AND(ISNUMBER(R979),R979&lt;TODAY()),"🔴 PRAZO VENCIDO",IF(AND(OR(N979="PENDENTE",N979="PARCIAL"),D979&lt;TODAY()-1),"🔴 EMBARQUE ATRASADO",IF(AND(N979="REALIZADO",M979="PENDENTE"),"🟡 EMBARCADO SEM FATURAR",IF(AND(P979&lt;&gt;"",S979="",OR(Q979="",R979="")),"🟡 PENDÊNCIA SEM RESPONSÁVEL/PRAZO",IF(AND(ISNUMBER(R979),R979=TODAY()),"🟡 VENCE HOJE",IF(AND(P979&lt;&gt;"",S979=""),"🟡 PENDÊNCIA ABERTA",IF(AND(N(J979)&gt;0,N(K979)&lt;J979),"🟡 FALTA EXECUTAR",IF(OR(M979="PENDENTE",M979="PARCIAL"),"🟡 FATURAMENTO PENDENTE","🟡 EMBARQUE PENDENTE")))))))))))</f>
        <v/>
      </c>
      <c r="D979" s="4" t="n"/>
      <c r="E979" s="5" t="n"/>
      <c r="F979" s="5" t="n"/>
      <c r="G979" s="5" t="n"/>
      <c r="H979" s="5" t="n"/>
      <c r="I979" s="5" t="n"/>
      <c r="J979" s="6" t="n"/>
      <c r="K979" s="6" t="n"/>
      <c r="L979" s="7">
        <f>IF(OR(D979="",N(J979)=0),"",MIN(1,N(K979)/J979))</f>
        <v/>
      </c>
      <c r="M979" s="5" t="n"/>
      <c r="N979" s="5" t="n"/>
      <c r="O979" s="5" t="n"/>
      <c r="P979" s="5" t="n"/>
      <c r="Q979" s="5" t="n"/>
      <c r="R979" s="4" t="n"/>
      <c r="S979" s="4" t="n"/>
      <c r="T979" s="5" t="n"/>
      <c r="U979" s="8">
        <f>IF(AND(V979=1,D979&lt;&gt;""),IF(D979&gt;=corte,TODAY()-D979,""),"")</f>
        <v/>
      </c>
      <c r="V979" s="8">
        <f>IF(D979="",0,IF(OR(AND(P979&lt;&gt;"",S979=""),AND(N(J979)&gt;0,N(K979)&lt;J979),OR(M979="PENDENTE",M979="PARCIAL"),OR(N979="PENDENTE",N979="PARCIAL")),1,0))</f>
        <v/>
      </c>
      <c r="W979" s="8">
        <f>IF(AND(V979=1,D979&lt;&gt;""),IF(D979&gt;=corte,(B979="CRÍTICO")*1E9+(100000-D979)*10000+10000-ROW(),""),"")</f>
        <v/>
      </c>
      <c r="X979" s="8">
        <f>IF(AND(V979=1,D979=pas_data,E979=pas_turno),10000-ROW(),"")</f>
        <v/>
      </c>
    </row>
    <row r="980">
      <c r="A980" s="3">
        <f>IF(D980="","","TT-"&amp;TEXT(ROW()-1,"00000"))</f>
        <v/>
      </c>
      <c r="B980" s="3">
        <f>IF(D980="","",IF(V980=0,"CONCLUÍDO",IF(D980&lt;corte,"HISTÓRICO",IF(OR(AND(ISNUMBER(R980),R980&lt;TODAY()),AND(OR(N980="PENDENTE",N980="PARCIAL"),D980&lt;TODAY()-1)),"CRÍTICO",IF(OR(AND(P980&lt;&gt;"",S980=""),AND(N980="REALIZADO",M980="PENDENTE"),AND(ISNUMBER(R980),R980=TODAY())),"ATENÇÃO",IF(N(K980)=0,"PENDENTE","EM ANDAMENTO"))))))</f>
        <v/>
      </c>
      <c r="C980" s="3">
        <f>IF(D980="","",IF(V980=0,"🟢 OK",IF(D980&lt;corte,"⚪ HISTÓRICO (sem baixa)",IF(AND(ISNUMBER(R980),R980&lt;TODAY()),"🔴 PRAZO VENCIDO",IF(AND(OR(N980="PENDENTE",N980="PARCIAL"),D980&lt;TODAY()-1),"🔴 EMBARQUE ATRASADO",IF(AND(N980="REALIZADO",M980="PENDENTE"),"🟡 EMBARCADO SEM FATURAR",IF(AND(P980&lt;&gt;"",S980="",OR(Q980="",R980="")),"🟡 PENDÊNCIA SEM RESPONSÁVEL/PRAZO",IF(AND(ISNUMBER(R980),R980=TODAY()),"🟡 VENCE HOJE",IF(AND(P980&lt;&gt;"",S980=""),"🟡 PENDÊNCIA ABERTA",IF(AND(N(J980)&gt;0,N(K980)&lt;J980),"🟡 FALTA EXECUTAR",IF(OR(M980="PENDENTE",M980="PARCIAL"),"🟡 FATURAMENTO PENDENTE","🟡 EMBARQUE PENDENTE")))))))))))</f>
        <v/>
      </c>
      <c r="D980" s="4" t="n"/>
      <c r="E980" s="5" t="n"/>
      <c r="F980" s="5" t="n"/>
      <c r="G980" s="5" t="n"/>
      <c r="H980" s="5" t="n"/>
      <c r="I980" s="5" t="n"/>
      <c r="J980" s="6" t="n"/>
      <c r="K980" s="6" t="n"/>
      <c r="L980" s="7">
        <f>IF(OR(D980="",N(J980)=0),"",MIN(1,N(K980)/J980))</f>
        <v/>
      </c>
      <c r="M980" s="5" t="n"/>
      <c r="N980" s="5" t="n"/>
      <c r="O980" s="5" t="n"/>
      <c r="P980" s="5" t="n"/>
      <c r="Q980" s="5" t="n"/>
      <c r="R980" s="4" t="n"/>
      <c r="S980" s="4" t="n"/>
      <c r="T980" s="5" t="n"/>
      <c r="U980" s="8">
        <f>IF(AND(V980=1,D980&lt;&gt;""),IF(D980&gt;=corte,TODAY()-D980,""),"")</f>
        <v/>
      </c>
      <c r="V980" s="8">
        <f>IF(D980="",0,IF(OR(AND(P980&lt;&gt;"",S980=""),AND(N(J980)&gt;0,N(K980)&lt;J980),OR(M980="PENDENTE",M980="PARCIAL"),OR(N980="PENDENTE",N980="PARCIAL")),1,0))</f>
        <v/>
      </c>
      <c r="W980" s="8">
        <f>IF(AND(V980=1,D980&lt;&gt;""),IF(D980&gt;=corte,(B980="CRÍTICO")*1E9+(100000-D980)*10000+10000-ROW(),""),"")</f>
        <v/>
      </c>
      <c r="X980" s="8">
        <f>IF(AND(V980=1,D980=pas_data,E980=pas_turno),10000-ROW(),"")</f>
        <v/>
      </c>
    </row>
    <row r="981">
      <c r="A981" s="3">
        <f>IF(D981="","","TT-"&amp;TEXT(ROW()-1,"00000"))</f>
        <v/>
      </c>
      <c r="B981" s="3">
        <f>IF(D981="","",IF(V981=0,"CONCLUÍDO",IF(D981&lt;corte,"HISTÓRICO",IF(OR(AND(ISNUMBER(R981),R981&lt;TODAY()),AND(OR(N981="PENDENTE",N981="PARCIAL"),D981&lt;TODAY()-1)),"CRÍTICO",IF(OR(AND(P981&lt;&gt;"",S981=""),AND(N981="REALIZADO",M981="PENDENTE"),AND(ISNUMBER(R981),R981=TODAY())),"ATENÇÃO",IF(N(K981)=0,"PENDENTE","EM ANDAMENTO"))))))</f>
        <v/>
      </c>
      <c r="C981" s="3">
        <f>IF(D981="","",IF(V981=0,"🟢 OK",IF(D981&lt;corte,"⚪ HISTÓRICO (sem baixa)",IF(AND(ISNUMBER(R981),R981&lt;TODAY()),"🔴 PRAZO VENCIDO",IF(AND(OR(N981="PENDENTE",N981="PARCIAL"),D981&lt;TODAY()-1),"🔴 EMBARQUE ATRASADO",IF(AND(N981="REALIZADO",M981="PENDENTE"),"🟡 EMBARCADO SEM FATURAR",IF(AND(P981&lt;&gt;"",S981="",OR(Q981="",R981="")),"🟡 PENDÊNCIA SEM RESPONSÁVEL/PRAZO",IF(AND(ISNUMBER(R981),R981=TODAY()),"🟡 VENCE HOJE",IF(AND(P981&lt;&gt;"",S981=""),"🟡 PENDÊNCIA ABERTA",IF(AND(N(J981)&gt;0,N(K981)&lt;J981),"🟡 FALTA EXECUTAR",IF(OR(M981="PENDENTE",M981="PARCIAL"),"🟡 FATURAMENTO PENDENTE","🟡 EMBARQUE PENDENTE")))))))))))</f>
        <v/>
      </c>
      <c r="D981" s="4" t="n"/>
      <c r="E981" s="5" t="n"/>
      <c r="F981" s="5" t="n"/>
      <c r="G981" s="5" t="n"/>
      <c r="H981" s="5" t="n"/>
      <c r="I981" s="5" t="n"/>
      <c r="J981" s="6" t="n"/>
      <c r="K981" s="6" t="n"/>
      <c r="L981" s="7">
        <f>IF(OR(D981="",N(J981)=0),"",MIN(1,N(K981)/J981))</f>
        <v/>
      </c>
      <c r="M981" s="5" t="n"/>
      <c r="N981" s="5" t="n"/>
      <c r="O981" s="5" t="n"/>
      <c r="P981" s="5" t="n"/>
      <c r="Q981" s="5" t="n"/>
      <c r="R981" s="4" t="n"/>
      <c r="S981" s="4" t="n"/>
      <c r="T981" s="5" t="n"/>
      <c r="U981" s="8">
        <f>IF(AND(V981=1,D981&lt;&gt;""),IF(D981&gt;=corte,TODAY()-D981,""),"")</f>
        <v/>
      </c>
      <c r="V981" s="8">
        <f>IF(D981="",0,IF(OR(AND(P981&lt;&gt;"",S981=""),AND(N(J981)&gt;0,N(K981)&lt;J981),OR(M981="PENDENTE",M981="PARCIAL"),OR(N981="PENDENTE",N981="PARCIAL")),1,0))</f>
        <v/>
      </c>
      <c r="W981" s="8">
        <f>IF(AND(V981=1,D981&lt;&gt;""),IF(D981&gt;=corte,(B981="CRÍTICO")*1E9+(100000-D981)*10000+10000-ROW(),""),"")</f>
        <v/>
      </c>
      <c r="X981" s="8">
        <f>IF(AND(V981=1,D981=pas_data,E981=pas_turno),10000-ROW(),"")</f>
        <v/>
      </c>
    </row>
    <row r="982">
      <c r="A982" s="3">
        <f>IF(D982="","","TT-"&amp;TEXT(ROW()-1,"00000"))</f>
        <v/>
      </c>
      <c r="B982" s="3">
        <f>IF(D982="","",IF(V982=0,"CONCLUÍDO",IF(D982&lt;corte,"HISTÓRICO",IF(OR(AND(ISNUMBER(R982),R982&lt;TODAY()),AND(OR(N982="PENDENTE",N982="PARCIAL"),D982&lt;TODAY()-1)),"CRÍTICO",IF(OR(AND(P982&lt;&gt;"",S982=""),AND(N982="REALIZADO",M982="PENDENTE"),AND(ISNUMBER(R982),R982=TODAY())),"ATENÇÃO",IF(N(K982)=0,"PENDENTE","EM ANDAMENTO"))))))</f>
        <v/>
      </c>
      <c r="C982" s="3">
        <f>IF(D982="","",IF(V982=0,"🟢 OK",IF(D982&lt;corte,"⚪ HISTÓRICO (sem baixa)",IF(AND(ISNUMBER(R982),R982&lt;TODAY()),"🔴 PRAZO VENCIDO",IF(AND(OR(N982="PENDENTE",N982="PARCIAL"),D982&lt;TODAY()-1),"🔴 EMBARQUE ATRASADO",IF(AND(N982="REALIZADO",M982="PENDENTE"),"🟡 EMBARCADO SEM FATURAR",IF(AND(P982&lt;&gt;"",S982="",OR(Q982="",R982="")),"🟡 PENDÊNCIA SEM RESPONSÁVEL/PRAZO",IF(AND(ISNUMBER(R982),R982=TODAY()),"🟡 VENCE HOJE",IF(AND(P982&lt;&gt;"",S982=""),"🟡 PENDÊNCIA ABERTA",IF(AND(N(J982)&gt;0,N(K982)&lt;J982),"🟡 FALTA EXECUTAR",IF(OR(M982="PENDENTE",M982="PARCIAL"),"🟡 FATURAMENTO PENDENTE","🟡 EMBARQUE PENDENTE")))))))))))</f>
        <v/>
      </c>
      <c r="D982" s="4" t="n"/>
      <c r="E982" s="5" t="n"/>
      <c r="F982" s="5" t="n"/>
      <c r="G982" s="5" t="n"/>
      <c r="H982" s="5" t="n"/>
      <c r="I982" s="5" t="n"/>
      <c r="J982" s="6" t="n"/>
      <c r="K982" s="6" t="n"/>
      <c r="L982" s="7">
        <f>IF(OR(D982="",N(J982)=0),"",MIN(1,N(K982)/J982))</f>
        <v/>
      </c>
      <c r="M982" s="5" t="n"/>
      <c r="N982" s="5" t="n"/>
      <c r="O982" s="5" t="n"/>
      <c r="P982" s="5" t="n"/>
      <c r="Q982" s="5" t="n"/>
      <c r="R982" s="4" t="n"/>
      <c r="S982" s="4" t="n"/>
      <c r="T982" s="5" t="n"/>
      <c r="U982" s="8">
        <f>IF(AND(V982=1,D982&lt;&gt;""),IF(D982&gt;=corte,TODAY()-D982,""),"")</f>
        <v/>
      </c>
      <c r="V982" s="8">
        <f>IF(D982="",0,IF(OR(AND(P982&lt;&gt;"",S982=""),AND(N(J982)&gt;0,N(K982)&lt;J982),OR(M982="PENDENTE",M982="PARCIAL"),OR(N982="PENDENTE",N982="PARCIAL")),1,0))</f>
        <v/>
      </c>
      <c r="W982" s="8">
        <f>IF(AND(V982=1,D982&lt;&gt;""),IF(D982&gt;=corte,(B982="CRÍTICO")*1E9+(100000-D982)*10000+10000-ROW(),""),"")</f>
        <v/>
      </c>
      <c r="X982" s="8">
        <f>IF(AND(V982=1,D982=pas_data,E982=pas_turno),10000-ROW(),"")</f>
        <v/>
      </c>
    </row>
    <row r="983">
      <c r="A983" s="3">
        <f>IF(D983="","","TT-"&amp;TEXT(ROW()-1,"00000"))</f>
        <v/>
      </c>
      <c r="B983" s="3">
        <f>IF(D983="","",IF(V983=0,"CONCLUÍDO",IF(D983&lt;corte,"HISTÓRICO",IF(OR(AND(ISNUMBER(R983),R983&lt;TODAY()),AND(OR(N983="PENDENTE",N983="PARCIAL"),D983&lt;TODAY()-1)),"CRÍTICO",IF(OR(AND(P983&lt;&gt;"",S983=""),AND(N983="REALIZADO",M983="PENDENTE"),AND(ISNUMBER(R983),R983=TODAY())),"ATENÇÃO",IF(N(K983)=0,"PENDENTE","EM ANDAMENTO"))))))</f>
        <v/>
      </c>
      <c r="C983" s="3">
        <f>IF(D983="","",IF(V983=0,"🟢 OK",IF(D983&lt;corte,"⚪ HISTÓRICO (sem baixa)",IF(AND(ISNUMBER(R983),R983&lt;TODAY()),"🔴 PRAZO VENCIDO",IF(AND(OR(N983="PENDENTE",N983="PARCIAL"),D983&lt;TODAY()-1),"🔴 EMBARQUE ATRASADO",IF(AND(N983="REALIZADO",M983="PENDENTE"),"🟡 EMBARCADO SEM FATURAR",IF(AND(P983&lt;&gt;"",S983="",OR(Q983="",R983="")),"🟡 PENDÊNCIA SEM RESPONSÁVEL/PRAZO",IF(AND(ISNUMBER(R983),R983=TODAY()),"🟡 VENCE HOJE",IF(AND(P983&lt;&gt;"",S983=""),"🟡 PENDÊNCIA ABERTA",IF(AND(N(J983)&gt;0,N(K983)&lt;J983),"🟡 FALTA EXECUTAR",IF(OR(M983="PENDENTE",M983="PARCIAL"),"🟡 FATURAMENTO PENDENTE","🟡 EMBARQUE PENDENTE")))))))))))</f>
        <v/>
      </c>
      <c r="D983" s="4" t="n"/>
      <c r="E983" s="5" t="n"/>
      <c r="F983" s="5" t="n"/>
      <c r="G983" s="5" t="n"/>
      <c r="H983" s="5" t="n"/>
      <c r="I983" s="5" t="n"/>
      <c r="J983" s="6" t="n"/>
      <c r="K983" s="6" t="n"/>
      <c r="L983" s="7">
        <f>IF(OR(D983="",N(J983)=0),"",MIN(1,N(K983)/J983))</f>
        <v/>
      </c>
      <c r="M983" s="5" t="n"/>
      <c r="N983" s="5" t="n"/>
      <c r="O983" s="5" t="n"/>
      <c r="P983" s="5" t="n"/>
      <c r="Q983" s="5" t="n"/>
      <c r="R983" s="4" t="n"/>
      <c r="S983" s="4" t="n"/>
      <c r="T983" s="5" t="n"/>
      <c r="U983" s="8">
        <f>IF(AND(V983=1,D983&lt;&gt;""),IF(D983&gt;=corte,TODAY()-D983,""),"")</f>
        <v/>
      </c>
      <c r="V983" s="8">
        <f>IF(D983="",0,IF(OR(AND(P983&lt;&gt;"",S983=""),AND(N(J983)&gt;0,N(K983)&lt;J983),OR(M983="PENDENTE",M983="PARCIAL"),OR(N983="PENDENTE",N983="PARCIAL")),1,0))</f>
        <v/>
      </c>
      <c r="W983" s="8">
        <f>IF(AND(V983=1,D983&lt;&gt;""),IF(D983&gt;=corte,(B983="CRÍTICO")*1E9+(100000-D983)*10000+10000-ROW(),""),"")</f>
        <v/>
      </c>
      <c r="X983" s="8">
        <f>IF(AND(V983=1,D983=pas_data,E983=pas_turno),10000-ROW(),"")</f>
        <v/>
      </c>
    </row>
    <row r="984">
      <c r="A984" s="3">
        <f>IF(D984="","","TT-"&amp;TEXT(ROW()-1,"00000"))</f>
        <v/>
      </c>
      <c r="B984" s="3">
        <f>IF(D984="","",IF(V984=0,"CONCLUÍDO",IF(D984&lt;corte,"HISTÓRICO",IF(OR(AND(ISNUMBER(R984),R984&lt;TODAY()),AND(OR(N984="PENDENTE",N984="PARCIAL"),D984&lt;TODAY()-1)),"CRÍTICO",IF(OR(AND(P984&lt;&gt;"",S984=""),AND(N984="REALIZADO",M984="PENDENTE"),AND(ISNUMBER(R984),R984=TODAY())),"ATENÇÃO",IF(N(K984)=0,"PENDENTE","EM ANDAMENTO"))))))</f>
        <v/>
      </c>
      <c r="C984" s="3">
        <f>IF(D984="","",IF(V984=0,"🟢 OK",IF(D984&lt;corte,"⚪ HISTÓRICO (sem baixa)",IF(AND(ISNUMBER(R984),R984&lt;TODAY()),"🔴 PRAZO VENCIDO",IF(AND(OR(N984="PENDENTE",N984="PARCIAL"),D984&lt;TODAY()-1),"🔴 EMBARQUE ATRASADO",IF(AND(N984="REALIZADO",M984="PENDENTE"),"🟡 EMBARCADO SEM FATURAR",IF(AND(P984&lt;&gt;"",S984="",OR(Q984="",R984="")),"🟡 PENDÊNCIA SEM RESPONSÁVEL/PRAZO",IF(AND(ISNUMBER(R984),R984=TODAY()),"🟡 VENCE HOJE",IF(AND(P984&lt;&gt;"",S984=""),"🟡 PENDÊNCIA ABERTA",IF(AND(N(J984)&gt;0,N(K984)&lt;J984),"🟡 FALTA EXECUTAR",IF(OR(M984="PENDENTE",M984="PARCIAL"),"🟡 FATURAMENTO PENDENTE","🟡 EMBARQUE PENDENTE")))))))))))</f>
        <v/>
      </c>
      <c r="D984" s="4" t="n"/>
      <c r="E984" s="5" t="n"/>
      <c r="F984" s="5" t="n"/>
      <c r="G984" s="5" t="n"/>
      <c r="H984" s="5" t="n"/>
      <c r="I984" s="5" t="n"/>
      <c r="J984" s="6" t="n"/>
      <c r="K984" s="6" t="n"/>
      <c r="L984" s="7">
        <f>IF(OR(D984="",N(J984)=0),"",MIN(1,N(K984)/J984))</f>
        <v/>
      </c>
      <c r="M984" s="5" t="n"/>
      <c r="N984" s="5" t="n"/>
      <c r="O984" s="5" t="n"/>
      <c r="P984" s="5" t="n"/>
      <c r="Q984" s="5" t="n"/>
      <c r="R984" s="4" t="n"/>
      <c r="S984" s="4" t="n"/>
      <c r="T984" s="5" t="n"/>
      <c r="U984" s="8">
        <f>IF(AND(V984=1,D984&lt;&gt;""),IF(D984&gt;=corte,TODAY()-D984,""),"")</f>
        <v/>
      </c>
      <c r="V984" s="8">
        <f>IF(D984="",0,IF(OR(AND(P984&lt;&gt;"",S984=""),AND(N(J984)&gt;0,N(K984)&lt;J984),OR(M984="PENDENTE",M984="PARCIAL"),OR(N984="PENDENTE",N984="PARCIAL")),1,0))</f>
        <v/>
      </c>
      <c r="W984" s="8">
        <f>IF(AND(V984=1,D984&lt;&gt;""),IF(D984&gt;=corte,(B984="CRÍTICO")*1E9+(100000-D984)*10000+10000-ROW(),""),"")</f>
        <v/>
      </c>
      <c r="X984" s="8">
        <f>IF(AND(V984=1,D984=pas_data,E984=pas_turno),10000-ROW(),"")</f>
        <v/>
      </c>
    </row>
    <row r="985">
      <c r="A985" s="3">
        <f>IF(D985="","","TT-"&amp;TEXT(ROW()-1,"00000"))</f>
        <v/>
      </c>
      <c r="B985" s="3">
        <f>IF(D985="","",IF(V985=0,"CONCLUÍDO",IF(D985&lt;corte,"HISTÓRICO",IF(OR(AND(ISNUMBER(R985),R985&lt;TODAY()),AND(OR(N985="PENDENTE",N985="PARCIAL"),D985&lt;TODAY()-1)),"CRÍTICO",IF(OR(AND(P985&lt;&gt;"",S985=""),AND(N985="REALIZADO",M985="PENDENTE"),AND(ISNUMBER(R985),R985=TODAY())),"ATENÇÃO",IF(N(K985)=0,"PENDENTE","EM ANDAMENTO"))))))</f>
        <v/>
      </c>
      <c r="C985" s="3">
        <f>IF(D985="","",IF(V985=0,"🟢 OK",IF(D985&lt;corte,"⚪ HISTÓRICO (sem baixa)",IF(AND(ISNUMBER(R985),R985&lt;TODAY()),"🔴 PRAZO VENCIDO",IF(AND(OR(N985="PENDENTE",N985="PARCIAL"),D985&lt;TODAY()-1),"🔴 EMBARQUE ATRASADO",IF(AND(N985="REALIZADO",M985="PENDENTE"),"🟡 EMBARCADO SEM FATURAR",IF(AND(P985&lt;&gt;"",S985="",OR(Q985="",R985="")),"🟡 PENDÊNCIA SEM RESPONSÁVEL/PRAZO",IF(AND(ISNUMBER(R985),R985=TODAY()),"🟡 VENCE HOJE",IF(AND(P985&lt;&gt;"",S985=""),"🟡 PENDÊNCIA ABERTA",IF(AND(N(J985)&gt;0,N(K985)&lt;J985),"🟡 FALTA EXECUTAR",IF(OR(M985="PENDENTE",M985="PARCIAL"),"🟡 FATURAMENTO PENDENTE","🟡 EMBARQUE PENDENTE")))))))))))</f>
        <v/>
      </c>
      <c r="D985" s="4" t="n"/>
      <c r="E985" s="5" t="n"/>
      <c r="F985" s="5" t="n"/>
      <c r="G985" s="5" t="n"/>
      <c r="H985" s="5" t="n"/>
      <c r="I985" s="5" t="n"/>
      <c r="J985" s="6" t="n"/>
      <c r="K985" s="6" t="n"/>
      <c r="L985" s="7">
        <f>IF(OR(D985="",N(J985)=0),"",MIN(1,N(K985)/J985))</f>
        <v/>
      </c>
      <c r="M985" s="5" t="n"/>
      <c r="N985" s="5" t="n"/>
      <c r="O985" s="5" t="n"/>
      <c r="P985" s="5" t="n"/>
      <c r="Q985" s="5" t="n"/>
      <c r="R985" s="4" t="n"/>
      <c r="S985" s="4" t="n"/>
      <c r="T985" s="5" t="n"/>
      <c r="U985" s="8">
        <f>IF(AND(V985=1,D985&lt;&gt;""),IF(D985&gt;=corte,TODAY()-D985,""),"")</f>
        <v/>
      </c>
      <c r="V985" s="8">
        <f>IF(D985="",0,IF(OR(AND(P985&lt;&gt;"",S985=""),AND(N(J985)&gt;0,N(K985)&lt;J985),OR(M985="PENDENTE",M985="PARCIAL"),OR(N985="PENDENTE",N985="PARCIAL")),1,0))</f>
        <v/>
      </c>
      <c r="W985" s="8">
        <f>IF(AND(V985=1,D985&lt;&gt;""),IF(D985&gt;=corte,(B985="CRÍTICO")*1E9+(100000-D985)*10000+10000-ROW(),""),"")</f>
        <v/>
      </c>
      <c r="X985" s="8">
        <f>IF(AND(V985=1,D985=pas_data,E985=pas_turno),10000-ROW(),"")</f>
        <v/>
      </c>
    </row>
    <row r="986">
      <c r="A986" s="3">
        <f>IF(D986="","","TT-"&amp;TEXT(ROW()-1,"00000"))</f>
        <v/>
      </c>
      <c r="B986" s="3">
        <f>IF(D986="","",IF(V986=0,"CONCLUÍDO",IF(D986&lt;corte,"HISTÓRICO",IF(OR(AND(ISNUMBER(R986),R986&lt;TODAY()),AND(OR(N986="PENDENTE",N986="PARCIAL"),D986&lt;TODAY()-1)),"CRÍTICO",IF(OR(AND(P986&lt;&gt;"",S986=""),AND(N986="REALIZADO",M986="PENDENTE"),AND(ISNUMBER(R986),R986=TODAY())),"ATENÇÃO",IF(N(K986)=0,"PENDENTE","EM ANDAMENTO"))))))</f>
        <v/>
      </c>
      <c r="C986" s="3">
        <f>IF(D986="","",IF(V986=0,"🟢 OK",IF(D986&lt;corte,"⚪ HISTÓRICO (sem baixa)",IF(AND(ISNUMBER(R986),R986&lt;TODAY()),"🔴 PRAZO VENCIDO",IF(AND(OR(N986="PENDENTE",N986="PARCIAL"),D986&lt;TODAY()-1),"🔴 EMBARQUE ATRASADO",IF(AND(N986="REALIZADO",M986="PENDENTE"),"🟡 EMBARCADO SEM FATURAR",IF(AND(P986&lt;&gt;"",S986="",OR(Q986="",R986="")),"🟡 PENDÊNCIA SEM RESPONSÁVEL/PRAZO",IF(AND(ISNUMBER(R986),R986=TODAY()),"🟡 VENCE HOJE",IF(AND(P986&lt;&gt;"",S986=""),"🟡 PENDÊNCIA ABERTA",IF(AND(N(J986)&gt;0,N(K986)&lt;J986),"🟡 FALTA EXECUTAR",IF(OR(M986="PENDENTE",M986="PARCIAL"),"🟡 FATURAMENTO PENDENTE","🟡 EMBARQUE PENDENTE")))))))))))</f>
        <v/>
      </c>
      <c r="D986" s="4" t="n"/>
      <c r="E986" s="5" t="n"/>
      <c r="F986" s="5" t="n"/>
      <c r="G986" s="5" t="n"/>
      <c r="H986" s="5" t="n"/>
      <c r="I986" s="5" t="n"/>
      <c r="J986" s="6" t="n"/>
      <c r="K986" s="6" t="n"/>
      <c r="L986" s="7">
        <f>IF(OR(D986="",N(J986)=0),"",MIN(1,N(K986)/J986))</f>
        <v/>
      </c>
      <c r="M986" s="5" t="n"/>
      <c r="N986" s="5" t="n"/>
      <c r="O986" s="5" t="n"/>
      <c r="P986" s="5" t="n"/>
      <c r="Q986" s="5" t="n"/>
      <c r="R986" s="4" t="n"/>
      <c r="S986" s="4" t="n"/>
      <c r="T986" s="5" t="n"/>
      <c r="U986" s="8">
        <f>IF(AND(V986=1,D986&lt;&gt;""),IF(D986&gt;=corte,TODAY()-D986,""),"")</f>
        <v/>
      </c>
      <c r="V986" s="8">
        <f>IF(D986="",0,IF(OR(AND(P986&lt;&gt;"",S986=""),AND(N(J986)&gt;0,N(K986)&lt;J986),OR(M986="PENDENTE",M986="PARCIAL"),OR(N986="PENDENTE",N986="PARCIAL")),1,0))</f>
        <v/>
      </c>
      <c r="W986" s="8">
        <f>IF(AND(V986=1,D986&lt;&gt;""),IF(D986&gt;=corte,(B986="CRÍTICO")*1E9+(100000-D986)*10000+10000-ROW(),""),"")</f>
        <v/>
      </c>
      <c r="X986" s="8">
        <f>IF(AND(V986=1,D986=pas_data,E986=pas_turno),10000-ROW(),"")</f>
        <v/>
      </c>
    </row>
    <row r="987">
      <c r="A987" s="3">
        <f>IF(D987="","","TT-"&amp;TEXT(ROW()-1,"00000"))</f>
        <v/>
      </c>
      <c r="B987" s="3">
        <f>IF(D987="","",IF(V987=0,"CONCLUÍDO",IF(D987&lt;corte,"HISTÓRICO",IF(OR(AND(ISNUMBER(R987),R987&lt;TODAY()),AND(OR(N987="PENDENTE",N987="PARCIAL"),D987&lt;TODAY()-1)),"CRÍTICO",IF(OR(AND(P987&lt;&gt;"",S987=""),AND(N987="REALIZADO",M987="PENDENTE"),AND(ISNUMBER(R987),R987=TODAY())),"ATENÇÃO",IF(N(K987)=0,"PENDENTE","EM ANDAMENTO"))))))</f>
        <v/>
      </c>
      <c r="C987" s="3">
        <f>IF(D987="","",IF(V987=0,"🟢 OK",IF(D987&lt;corte,"⚪ HISTÓRICO (sem baixa)",IF(AND(ISNUMBER(R987),R987&lt;TODAY()),"🔴 PRAZO VENCIDO",IF(AND(OR(N987="PENDENTE",N987="PARCIAL"),D987&lt;TODAY()-1),"🔴 EMBARQUE ATRASADO",IF(AND(N987="REALIZADO",M987="PENDENTE"),"🟡 EMBARCADO SEM FATURAR",IF(AND(P987&lt;&gt;"",S987="",OR(Q987="",R987="")),"🟡 PENDÊNCIA SEM RESPONSÁVEL/PRAZO",IF(AND(ISNUMBER(R987),R987=TODAY()),"🟡 VENCE HOJE",IF(AND(P987&lt;&gt;"",S987=""),"🟡 PENDÊNCIA ABERTA",IF(AND(N(J987)&gt;0,N(K987)&lt;J987),"🟡 FALTA EXECUTAR",IF(OR(M987="PENDENTE",M987="PARCIAL"),"🟡 FATURAMENTO PENDENTE","🟡 EMBARQUE PENDENTE")))))))))))</f>
        <v/>
      </c>
      <c r="D987" s="4" t="n"/>
      <c r="E987" s="5" t="n"/>
      <c r="F987" s="5" t="n"/>
      <c r="G987" s="5" t="n"/>
      <c r="H987" s="5" t="n"/>
      <c r="I987" s="5" t="n"/>
      <c r="J987" s="6" t="n"/>
      <c r="K987" s="6" t="n"/>
      <c r="L987" s="7">
        <f>IF(OR(D987="",N(J987)=0),"",MIN(1,N(K987)/J987))</f>
        <v/>
      </c>
      <c r="M987" s="5" t="n"/>
      <c r="N987" s="5" t="n"/>
      <c r="O987" s="5" t="n"/>
      <c r="P987" s="5" t="n"/>
      <c r="Q987" s="5" t="n"/>
      <c r="R987" s="4" t="n"/>
      <c r="S987" s="4" t="n"/>
      <c r="T987" s="5" t="n"/>
      <c r="U987" s="8">
        <f>IF(AND(V987=1,D987&lt;&gt;""),IF(D987&gt;=corte,TODAY()-D987,""),"")</f>
        <v/>
      </c>
      <c r="V987" s="8">
        <f>IF(D987="",0,IF(OR(AND(P987&lt;&gt;"",S987=""),AND(N(J987)&gt;0,N(K987)&lt;J987),OR(M987="PENDENTE",M987="PARCIAL"),OR(N987="PENDENTE",N987="PARCIAL")),1,0))</f>
        <v/>
      </c>
      <c r="W987" s="8">
        <f>IF(AND(V987=1,D987&lt;&gt;""),IF(D987&gt;=corte,(B987="CRÍTICO")*1E9+(100000-D987)*10000+10000-ROW(),""),"")</f>
        <v/>
      </c>
      <c r="X987" s="8">
        <f>IF(AND(V987=1,D987=pas_data,E987=pas_turno),10000-ROW(),"")</f>
        <v/>
      </c>
    </row>
    <row r="988">
      <c r="A988" s="3">
        <f>IF(D988="","","TT-"&amp;TEXT(ROW()-1,"00000"))</f>
        <v/>
      </c>
      <c r="B988" s="3">
        <f>IF(D988="","",IF(V988=0,"CONCLUÍDO",IF(D988&lt;corte,"HISTÓRICO",IF(OR(AND(ISNUMBER(R988),R988&lt;TODAY()),AND(OR(N988="PENDENTE",N988="PARCIAL"),D988&lt;TODAY()-1)),"CRÍTICO",IF(OR(AND(P988&lt;&gt;"",S988=""),AND(N988="REALIZADO",M988="PENDENTE"),AND(ISNUMBER(R988),R988=TODAY())),"ATENÇÃO",IF(N(K988)=0,"PENDENTE","EM ANDAMENTO"))))))</f>
        <v/>
      </c>
      <c r="C988" s="3">
        <f>IF(D988="","",IF(V988=0,"🟢 OK",IF(D988&lt;corte,"⚪ HISTÓRICO (sem baixa)",IF(AND(ISNUMBER(R988),R988&lt;TODAY()),"🔴 PRAZO VENCIDO",IF(AND(OR(N988="PENDENTE",N988="PARCIAL"),D988&lt;TODAY()-1),"🔴 EMBARQUE ATRASADO",IF(AND(N988="REALIZADO",M988="PENDENTE"),"🟡 EMBARCADO SEM FATURAR",IF(AND(P988&lt;&gt;"",S988="",OR(Q988="",R988="")),"🟡 PENDÊNCIA SEM RESPONSÁVEL/PRAZO",IF(AND(ISNUMBER(R988),R988=TODAY()),"🟡 VENCE HOJE",IF(AND(P988&lt;&gt;"",S988=""),"🟡 PENDÊNCIA ABERTA",IF(AND(N(J988)&gt;0,N(K988)&lt;J988),"🟡 FALTA EXECUTAR",IF(OR(M988="PENDENTE",M988="PARCIAL"),"🟡 FATURAMENTO PENDENTE","🟡 EMBARQUE PENDENTE")))))))))))</f>
        <v/>
      </c>
      <c r="D988" s="4" t="n"/>
      <c r="E988" s="5" t="n"/>
      <c r="F988" s="5" t="n"/>
      <c r="G988" s="5" t="n"/>
      <c r="H988" s="5" t="n"/>
      <c r="I988" s="5" t="n"/>
      <c r="J988" s="6" t="n"/>
      <c r="K988" s="6" t="n"/>
      <c r="L988" s="7">
        <f>IF(OR(D988="",N(J988)=0),"",MIN(1,N(K988)/J988))</f>
        <v/>
      </c>
      <c r="M988" s="5" t="n"/>
      <c r="N988" s="5" t="n"/>
      <c r="O988" s="5" t="n"/>
      <c r="P988" s="5" t="n"/>
      <c r="Q988" s="5" t="n"/>
      <c r="R988" s="4" t="n"/>
      <c r="S988" s="4" t="n"/>
      <c r="T988" s="5" t="n"/>
      <c r="U988" s="8">
        <f>IF(AND(V988=1,D988&lt;&gt;""),IF(D988&gt;=corte,TODAY()-D988,""),"")</f>
        <v/>
      </c>
      <c r="V988" s="8">
        <f>IF(D988="",0,IF(OR(AND(P988&lt;&gt;"",S988=""),AND(N(J988)&gt;0,N(K988)&lt;J988),OR(M988="PENDENTE",M988="PARCIAL"),OR(N988="PENDENTE",N988="PARCIAL")),1,0))</f>
        <v/>
      </c>
      <c r="W988" s="8">
        <f>IF(AND(V988=1,D988&lt;&gt;""),IF(D988&gt;=corte,(B988="CRÍTICO")*1E9+(100000-D988)*10000+10000-ROW(),""),"")</f>
        <v/>
      </c>
      <c r="X988" s="8">
        <f>IF(AND(V988=1,D988=pas_data,E988=pas_turno),10000-ROW(),"")</f>
        <v/>
      </c>
    </row>
    <row r="989">
      <c r="A989" s="3">
        <f>IF(D989="","","TT-"&amp;TEXT(ROW()-1,"00000"))</f>
        <v/>
      </c>
      <c r="B989" s="3">
        <f>IF(D989="","",IF(V989=0,"CONCLUÍDO",IF(D989&lt;corte,"HISTÓRICO",IF(OR(AND(ISNUMBER(R989),R989&lt;TODAY()),AND(OR(N989="PENDENTE",N989="PARCIAL"),D989&lt;TODAY()-1)),"CRÍTICO",IF(OR(AND(P989&lt;&gt;"",S989=""),AND(N989="REALIZADO",M989="PENDENTE"),AND(ISNUMBER(R989),R989=TODAY())),"ATENÇÃO",IF(N(K989)=0,"PENDENTE","EM ANDAMENTO"))))))</f>
        <v/>
      </c>
      <c r="C989" s="3">
        <f>IF(D989="","",IF(V989=0,"🟢 OK",IF(D989&lt;corte,"⚪ HISTÓRICO (sem baixa)",IF(AND(ISNUMBER(R989),R989&lt;TODAY()),"🔴 PRAZO VENCIDO",IF(AND(OR(N989="PENDENTE",N989="PARCIAL"),D989&lt;TODAY()-1),"🔴 EMBARQUE ATRASADO",IF(AND(N989="REALIZADO",M989="PENDENTE"),"🟡 EMBARCADO SEM FATURAR",IF(AND(P989&lt;&gt;"",S989="",OR(Q989="",R989="")),"🟡 PENDÊNCIA SEM RESPONSÁVEL/PRAZO",IF(AND(ISNUMBER(R989),R989=TODAY()),"🟡 VENCE HOJE",IF(AND(P989&lt;&gt;"",S989=""),"🟡 PENDÊNCIA ABERTA",IF(AND(N(J989)&gt;0,N(K989)&lt;J989),"🟡 FALTA EXECUTAR",IF(OR(M989="PENDENTE",M989="PARCIAL"),"🟡 FATURAMENTO PENDENTE","🟡 EMBARQUE PENDENTE")))))))))))</f>
        <v/>
      </c>
      <c r="D989" s="4" t="n"/>
      <c r="E989" s="5" t="n"/>
      <c r="F989" s="5" t="n"/>
      <c r="G989" s="5" t="n"/>
      <c r="H989" s="5" t="n"/>
      <c r="I989" s="5" t="n"/>
      <c r="J989" s="6" t="n"/>
      <c r="K989" s="6" t="n"/>
      <c r="L989" s="7">
        <f>IF(OR(D989="",N(J989)=0),"",MIN(1,N(K989)/J989))</f>
        <v/>
      </c>
      <c r="M989" s="5" t="n"/>
      <c r="N989" s="5" t="n"/>
      <c r="O989" s="5" t="n"/>
      <c r="P989" s="5" t="n"/>
      <c r="Q989" s="5" t="n"/>
      <c r="R989" s="4" t="n"/>
      <c r="S989" s="4" t="n"/>
      <c r="T989" s="5" t="n"/>
      <c r="U989" s="8">
        <f>IF(AND(V989=1,D989&lt;&gt;""),IF(D989&gt;=corte,TODAY()-D989,""),"")</f>
        <v/>
      </c>
      <c r="V989" s="8">
        <f>IF(D989="",0,IF(OR(AND(P989&lt;&gt;"",S989=""),AND(N(J989)&gt;0,N(K989)&lt;J989),OR(M989="PENDENTE",M989="PARCIAL"),OR(N989="PENDENTE",N989="PARCIAL")),1,0))</f>
        <v/>
      </c>
      <c r="W989" s="8">
        <f>IF(AND(V989=1,D989&lt;&gt;""),IF(D989&gt;=corte,(B989="CRÍTICO")*1E9+(100000-D989)*10000+10000-ROW(),""),"")</f>
        <v/>
      </c>
      <c r="X989" s="8">
        <f>IF(AND(V989=1,D989=pas_data,E989=pas_turno),10000-ROW(),"")</f>
        <v/>
      </c>
    </row>
    <row r="990">
      <c r="A990" s="3">
        <f>IF(D990="","","TT-"&amp;TEXT(ROW()-1,"00000"))</f>
        <v/>
      </c>
      <c r="B990" s="3">
        <f>IF(D990="","",IF(V990=0,"CONCLUÍDO",IF(D990&lt;corte,"HISTÓRICO",IF(OR(AND(ISNUMBER(R990),R990&lt;TODAY()),AND(OR(N990="PENDENTE",N990="PARCIAL"),D990&lt;TODAY()-1)),"CRÍTICO",IF(OR(AND(P990&lt;&gt;"",S990=""),AND(N990="REALIZADO",M990="PENDENTE"),AND(ISNUMBER(R990),R990=TODAY())),"ATENÇÃO",IF(N(K990)=0,"PENDENTE","EM ANDAMENTO"))))))</f>
        <v/>
      </c>
      <c r="C990" s="3">
        <f>IF(D990="","",IF(V990=0,"🟢 OK",IF(D990&lt;corte,"⚪ HISTÓRICO (sem baixa)",IF(AND(ISNUMBER(R990),R990&lt;TODAY()),"🔴 PRAZO VENCIDO",IF(AND(OR(N990="PENDENTE",N990="PARCIAL"),D990&lt;TODAY()-1),"🔴 EMBARQUE ATRASADO",IF(AND(N990="REALIZADO",M990="PENDENTE"),"🟡 EMBARCADO SEM FATURAR",IF(AND(P990&lt;&gt;"",S990="",OR(Q990="",R990="")),"🟡 PENDÊNCIA SEM RESPONSÁVEL/PRAZO",IF(AND(ISNUMBER(R990),R990=TODAY()),"🟡 VENCE HOJE",IF(AND(P990&lt;&gt;"",S990=""),"🟡 PENDÊNCIA ABERTA",IF(AND(N(J990)&gt;0,N(K990)&lt;J990),"🟡 FALTA EXECUTAR",IF(OR(M990="PENDENTE",M990="PARCIAL"),"🟡 FATURAMENTO PENDENTE","🟡 EMBARQUE PENDENTE")))))))))))</f>
        <v/>
      </c>
      <c r="D990" s="4" t="n"/>
      <c r="E990" s="5" t="n"/>
      <c r="F990" s="5" t="n"/>
      <c r="G990" s="5" t="n"/>
      <c r="H990" s="5" t="n"/>
      <c r="I990" s="5" t="n"/>
      <c r="J990" s="6" t="n"/>
      <c r="K990" s="6" t="n"/>
      <c r="L990" s="7">
        <f>IF(OR(D990="",N(J990)=0),"",MIN(1,N(K990)/J990))</f>
        <v/>
      </c>
      <c r="M990" s="5" t="n"/>
      <c r="N990" s="5" t="n"/>
      <c r="O990" s="5" t="n"/>
      <c r="P990" s="5" t="n"/>
      <c r="Q990" s="5" t="n"/>
      <c r="R990" s="4" t="n"/>
      <c r="S990" s="4" t="n"/>
      <c r="T990" s="5" t="n"/>
      <c r="U990" s="8">
        <f>IF(AND(V990=1,D990&lt;&gt;""),IF(D990&gt;=corte,TODAY()-D990,""),"")</f>
        <v/>
      </c>
      <c r="V990" s="8">
        <f>IF(D990="",0,IF(OR(AND(P990&lt;&gt;"",S990=""),AND(N(J990)&gt;0,N(K990)&lt;J990),OR(M990="PENDENTE",M990="PARCIAL"),OR(N990="PENDENTE",N990="PARCIAL")),1,0))</f>
        <v/>
      </c>
      <c r="W990" s="8">
        <f>IF(AND(V990=1,D990&lt;&gt;""),IF(D990&gt;=corte,(B990="CRÍTICO")*1E9+(100000-D990)*10000+10000-ROW(),""),"")</f>
        <v/>
      </c>
      <c r="X990" s="8">
        <f>IF(AND(V990=1,D990=pas_data,E990=pas_turno),10000-ROW(),"")</f>
        <v/>
      </c>
    </row>
    <row r="991">
      <c r="A991" s="3">
        <f>IF(D991="","","TT-"&amp;TEXT(ROW()-1,"00000"))</f>
        <v/>
      </c>
      <c r="B991" s="3">
        <f>IF(D991="","",IF(V991=0,"CONCLUÍDO",IF(D991&lt;corte,"HISTÓRICO",IF(OR(AND(ISNUMBER(R991),R991&lt;TODAY()),AND(OR(N991="PENDENTE",N991="PARCIAL"),D991&lt;TODAY()-1)),"CRÍTICO",IF(OR(AND(P991&lt;&gt;"",S991=""),AND(N991="REALIZADO",M991="PENDENTE"),AND(ISNUMBER(R991),R991=TODAY())),"ATENÇÃO",IF(N(K991)=0,"PENDENTE","EM ANDAMENTO"))))))</f>
        <v/>
      </c>
      <c r="C991" s="3">
        <f>IF(D991="","",IF(V991=0,"🟢 OK",IF(D991&lt;corte,"⚪ HISTÓRICO (sem baixa)",IF(AND(ISNUMBER(R991),R991&lt;TODAY()),"🔴 PRAZO VENCIDO",IF(AND(OR(N991="PENDENTE",N991="PARCIAL"),D991&lt;TODAY()-1),"🔴 EMBARQUE ATRASADO",IF(AND(N991="REALIZADO",M991="PENDENTE"),"🟡 EMBARCADO SEM FATURAR",IF(AND(P991&lt;&gt;"",S991="",OR(Q991="",R991="")),"🟡 PENDÊNCIA SEM RESPONSÁVEL/PRAZO",IF(AND(ISNUMBER(R991),R991=TODAY()),"🟡 VENCE HOJE",IF(AND(P991&lt;&gt;"",S991=""),"🟡 PENDÊNCIA ABERTA",IF(AND(N(J991)&gt;0,N(K991)&lt;J991),"🟡 FALTA EXECUTAR",IF(OR(M991="PENDENTE",M991="PARCIAL"),"🟡 FATURAMENTO PENDENTE","🟡 EMBARQUE PENDENTE")))))))))))</f>
        <v/>
      </c>
      <c r="D991" s="4" t="n"/>
      <c r="E991" s="5" t="n"/>
      <c r="F991" s="5" t="n"/>
      <c r="G991" s="5" t="n"/>
      <c r="H991" s="5" t="n"/>
      <c r="I991" s="5" t="n"/>
      <c r="J991" s="6" t="n"/>
      <c r="K991" s="6" t="n"/>
      <c r="L991" s="7">
        <f>IF(OR(D991="",N(J991)=0),"",MIN(1,N(K991)/J991))</f>
        <v/>
      </c>
      <c r="M991" s="5" t="n"/>
      <c r="N991" s="5" t="n"/>
      <c r="O991" s="5" t="n"/>
      <c r="P991" s="5" t="n"/>
      <c r="Q991" s="5" t="n"/>
      <c r="R991" s="4" t="n"/>
      <c r="S991" s="4" t="n"/>
      <c r="T991" s="5" t="n"/>
      <c r="U991" s="8">
        <f>IF(AND(V991=1,D991&lt;&gt;""),IF(D991&gt;=corte,TODAY()-D991,""),"")</f>
        <v/>
      </c>
      <c r="V991" s="8">
        <f>IF(D991="",0,IF(OR(AND(P991&lt;&gt;"",S991=""),AND(N(J991)&gt;0,N(K991)&lt;J991),OR(M991="PENDENTE",M991="PARCIAL"),OR(N991="PENDENTE",N991="PARCIAL")),1,0))</f>
        <v/>
      </c>
      <c r="W991" s="8">
        <f>IF(AND(V991=1,D991&lt;&gt;""),IF(D991&gt;=corte,(B991="CRÍTICO")*1E9+(100000-D991)*10000+10000-ROW(),""),"")</f>
        <v/>
      </c>
      <c r="X991" s="8">
        <f>IF(AND(V991=1,D991=pas_data,E991=pas_turno),10000-ROW(),"")</f>
        <v/>
      </c>
    </row>
    <row r="992">
      <c r="A992" s="3">
        <f>IF(D992="","","TT-"&amp;TEXT(ROW()-1,"00000"))</f>
        <v/>
      </c>
      <c r="B992" s="3">
        <f>IF(D992="","",IF(V992=0,"CONCLUÍDO",IF(D992&lt;corte,"HISTÓRICO",IF(OR(AND(ISNUMBER(R992),R992&lt;TODAY()),AND(OR(N992="PENDENTE",N992="PARCIAL"),D992&lt;TODAY()-1)),"CRÍTICO",IF(OR(AND(P992&lt;&gt;"",S992=""),AND(N992="REALIZADO",M992="PENDENTE"),AND(ISNUMBER(R992),R992=TODAY())),"ATENÇÃO",IF(N(K992)=0,"PENDENTE","EM ANDAMENTO"))))))</f>
        <v/>
      </c>
      <c r="C992" s="3">
        <f>IF(D992="","",IF(V992=0,"🟢 OK",IF(D992&lt;corte,"⚪ HISTÓRICO (sem baixa)",IF(AND(ISNUMBER(R992),R992&lt;TODAY()),"🔴 PRAZO VENCIDO",IF(AND(OR(N992="PENDENTE",N992="PARCIAL"),D992&lt;TODAY()-1),"🔴 EMBARQUE ATRASADO",IF(AND(N992="REALIZADO",M992="PENDENTE"),"🟡 EMBARCADO SEM FATURAR",IF(AND(P992&lt;&gt;"",S992="",OR(Q992="",R992="")),"🟡 PENDÊNCIA SEM RESPONSÁVEL/PRAZO",IF(AND(ISNUMBER(R992),R992=TODAY()),"🟡 VENCE HOJE",IF(AND(P992&lt;&gt;"",S992=""),"🟡 PENDÊNCIA ABERTA",IF(AND(N(J992)&gt;0,N(K992)&lt;J992),"🟡 FALTA EXECUTAR",IF(OR(M992="PENDENTE",M992="PARCIAL"),"🟡 FATURAMENTO PENDENTE","🟡 EMBARQUE PENDENTE")))))))))))</f>
        <v/>
      </c>
      <c r="D992" s="4" t="n"/>
      <c r="E992" s="5" t="n"/>
      <c r="F992" s="5" t="n"/>
      <c r="G992" s="5" t="n"/>
      <c r="H992" s="5" t="n"/>
      <c r="I992" s="5" t="n"/>
      <c r="J992" s="6" t="n"/>
      <c r="K992" s="6" t="n"/>
      <c r="L992" s="7">
        <f>IF(OR(D992="",N(J992)=0),"",MIN(1,N(K992)/J992))</f>
        <v/>
      </c>
      <c r="M992" s="5" t="n"/>
      <c r="N992" s="5" t="n"/>
      <c r="O992" s="5" t="n"/>
      <c r="P992" s="5" t="n"/>
      <c r="Q992" s="5" t="n"/>
      <c r="R992" s="4" t="n"/>
      <c r="S992" s="4" t="n"/>
      <c r="T992" s="5" t="n"/>
      <c r="U992" s="8">
        <f>IF(AND(V992=1,D992&lt;&gt;""),IF(D992&gt;=corte,TODAY()-D992,""),"")</f>
        <v/>
      </c>
      <c r="V992" s="8">
        <f>IF(D992="",0,IF(OR(AND(P992&lt;&gt;"",S992=""),AND(N(J992)&gt;0,N(K992)&lt;J992),OR(M992="PENDENTE",M992="PARCIAL"),OR(N992="PENDENTE",N992="PARCIAL")),1,0))</f>
        <v/>
      </c>
      <c r="W992" s="8">
        <f>IF(AND(V992=1,D992&lt;&gt;""),IF(D992&gt;=corte,(B992="CRÍTICO")*1E9+(100000-D992)*10000+10000-ROW(),""),"")</f>
        <v/>
      </c>
      <c r="X992" s="8">
        <f>IF(AND(V992=1,D992=pas_data,E992=pas_turno),10000-ROW(),"")</f>
        <v/>
      </c>
    </row>
    <row r="993">
      <c r="A993" s="3">
        <f>IF(D993="","","TT-"&amp;TEXT(ROW()-1,"00000"))</f>
        <v/>
      </c>
      <c r="B993" s="3">
        <f>IF(D993="","",IF(V993=0,"CONCLUÍDO",IF(D993&lt;corte,"HISTÓRICO",IF(OR(AND(ISNUMBER(R993),R993&lt;TODAY()),AND(OR(N993="PENDENTE",N993="PARCIAL"),D993&lt;TODAY()-1)),"CRÍTICO",IF(OR(AND(P993&lt;&gt;"",S993=""),AND(N993="REALIZADO",M993="PENDENTE"),AND(ISNUMBER(R993),R993=TODAY())),"ATENÇÃO",IF(N(K993)=0,"PENDENTE","EM ANDAMENTO"))))))</f>
        <v/>
      </c>
      <c r="C993" s="3">
        <f>IF(D993="","",IF(V993=0,"🟢 OK",IF(D993&lt;corte,"⚪ HISTÓRICO (sem baixa)",IF(AND(ISNUMBER(R993),R993&lt;TODAY()),"🔴 PRAZO VENCIDO",IF(AND(OR(N993="PENDENTE",N993="PARCIAL"),D993&lt;TODAY()-1),"🔴 EMBARQUE ATRASADO",IF(AND(N993="REALIZADO",M993="PENDENTE"),"🟡 EMBARCADO SEM FATURAR",IF(AND(P993&lt;&gt;"",S993="",OR(Q993="",R993="")),"🟡 PENDÊNCIA SEM RESPONSÁVEL/PRAZO",IF(AND(ISNUMBER(R993),R993=TODAY()),"🟡 VENCE HOJE",IF(AND(P993&lt;&gt;"",S993=""),"🟡 PENDÊNCIA ABERTA",IF(AND(N(J993)&gt;0,N(K993)&lt;J993),"🟡 FALTA EXECUTAR",IF(OR(M993="PENDENTE",M993="PARCIAL"),"🟡 FATURAMENTO PENDENTE","🟡 EMBARQUE PENDENTE")))))))))))</f>
        <v/>
      </c>
      <c r="D993" s="4" t="n"/>
      <c r="E993" s="5" t="n"/>
      <c r="F993" s="5" t="n"/>
      <c r="G993" s="5" t="n"/>
      <c r="H993" s="5" t="n"/>
      <c r="I993" s="5" t="n"/>
      <c r="J993" s="6" t="n"/>
      <c r="K993" s="6" t="n"/>
      <c r="L993" s="7">
        <f>IF(OR(D993="",N(J993)=0),"",MIN(1,N(K993)/J993))</f>
        <v/>
      </c>
      <c r="M993" s="5" t="n"/>
      <c r="N993" s="5" t="n"/>
      <c r="O993" s="5" t="n"/>
      <c r="P993" s="5" t="n"/>
      <c r="Q993" s="5" t="n"/>
      <c r="R993" s="4" t="n"/>
      <c r="S993" s="4" t="n"/>
      <c r="T993" s="5" t="n"/>
      <c r="U993" s="8">
        <f>IF(AND(V993=1,D993&lt;&gt;""),IF(D993&gt;=corte,TODAY()-D993,""),"")</f>
        <v/>
      </c>
      <c r="V993" s="8">
        <f>IF(D993="",0,IF(OR(AND(P993&lt;&gt;"",S993=""),AND(N(J993)&gt;0,N(K993)&lt;J993),OR(M993="PENDENTE",M993="PARCIAL"),OR(N993="PENDENTE",N993="PARCIAL")),1,0))</f>
        <v/>
      </c>
      <c r="W993" s="8">
        <f>IF(AND(V993=1,D993&lt;&gt;""),IF(D993&gt;=corte,(B993="CRÍTICO")*1E9+(100000-D993)*10000+10000-ROW(),""),"")</f>
        <v/>
      </c>
      <c r="X993" s="8">
        <f>IF(AND(V993=1,D993=pas_data,E993=pas_turno),10000-ROW(),"")</f>
        <v/>
      </c>
    </row>
    <row r="994">
      <c r="A994" s="3">
        <f>IF(D994="","","TT-"&amp;TEXT(ROW()-1,"00000"))</f>
        <v/>
      </c>
      <c r="B994" s="3">
        <f>IF(D994="","",IF(V994=0,"CONCLUÍDO",IF(D994&lt;corte,"HISTÓRICO",IF(OR(AND(ISNUMBER(R994),R994&lt;TODAY()),AND(OR(N994="PENDENTE",N994="PARCIAL"),D994&lt;TODAY()-1)),"CRÍTICO",IF(OR(AND(P994&lt;&gt;"",S994=""),AND(N994="REALIZADO",M994="PENDENTE"),AND(ISNUMBER(R994),R994=TODAY())),"ATENÇÃO",IF(N(K994)=0,"PENDENTE","EM ANDAMENTO"))))))</f>
        <v/>
      </c>
      <c r="C994" s="3">
        <f>IF(D994="","",IF(V994=0,"🟢 OK",IF(D994&lt;corte,"⚪ HISTÓRICO (sem baixa)",IF(AND(ISNUMBER(R994),R994&lt;TODAY()),"🔴 PRAZO VENCIDO",IF(AND(OR(N994="PENDENTE",N994="PARCIAL"),D994&lt;TODAY()-1),"🔴 EMBARQUE ATRASADO",IF(AND(N994="REALIZADO",M994="PENDENTE"),"🟡 EMBARCADO SEM FATURAR",IF(AND(P994&lt;&gt;"",S994="",OR(Q994="",R994="")),"🟡 PENDÊNCIA SEM RESPONSÁVEL/PRAZO",IF(AND(ISNUMBER(R994),R994=TODAY()),"🟡 VENCE HOJE",IF(AND(P994&lt;&gt;"",S994=""),"🟡 PENDÊNCIA ABERTA",IF(AND(N(J994)&gt;0,N(K994)&lt;J994),"🟡 FALTA EXECUTAR",IF(OR(M994="PENDENTE",M994="PARCIAL"),"🟡 FATURAMENTO PENDENTE","🟡 EMBARQUE PENDENTE")))))))))))</f>
        <v/>
      </c>
      <c r="D994" s="4" t="n"/>
      <c r="E994" s="5" t="n"/>
      <c r="F994" s="5" t="n"/>
      <c r="G994" s="5" t="n"/>
      <c r="H994" s="5" t="n"/>
      <c r="I994" s="5" t="n"/>
      <c r="J994" s="6" t="n"/>
      <c r="K994" s="6" t="n"/>
      <c r="L994" s="7">
        <f>IF(OR(D994="",N(J994)=0),"",MIN(1,N(K994)/J994))</f>
        <v/>
      </c>
      <c r="M994" s="5" t="n"/>
      <c r="N994" s="5" t="n"/>
      <c r="O994" s="5" t="n"/>
      <c r="P994" s="5" t="n"/>
      <c r="Q994" s="5" t="n"/>
      <c r="R994" s="4" t="n"/>
      <c r="S994" s="4" t="n"/>
      <c r="T994" s="5" t="n"/>
      <c r="U994" s="8">
        <f>IF(AND(V994=1,D994&lt;&gt;""),IF(D994&gt;=corte,TODAY()-D994,""),"")</f>
        <v/>
      </c>
      <c r="V994" s="8">
        <f>IF(D994="",0,IF(OR(AND(P994&lt;&gt;"",S994=""),AND(N(J994)&gt;0,N(K994)&lt;J994),OR(M994="PENDENTE",M994="PARCIAL"),OR(N994="PENDENTE",N994="PARCIAL")),1,0))</f>
        <v/>
      </c>
      <c r="W994" s="8">
        <f>IF(AND(V994=1,D994&lt;&gt;""),IF(D994&gt;=corte,(B994="CRÍTICO")*1E9+(100000-D994)*10000+10000-ROW(),""),"")</f>
        <v/>
      </c>
      <c r="X994" s="8">
        <f>IF(AND(V994=1,D994=pas_data,E994=pas_turno),10000-ROW(),"")</f>
        <v/>
      </c>
    </row>
    <row r="995">
      <c r="A995" s="3">
        <f>IF(D995="","","TT-"&amp;TEXT(ROW()-1,"00000"))</f>
        <v/>
      </c>
      <c r="B995" s="3">
        <f>IF(D995="","",IF(V995=0,"CONCLUÍDO",IF(D995&lt;corte,"HISTÓRICO",IF(OR(AND(ISNUMBER(R995),R995&lt;TODAY()),AND(OR(N995="PENDENTE",N995="PARCIAL"),D995&lt;TODAY()-1)),"CRÍTICO",IF(OR(AND(P995&lt;&gt;"",S995=""),AND(N995="REALIZADO",M995="PENDENTE"),AND(ISNUMBER(R995),R995=TODAY())),"ATENÇÃO",IF(N(K995)=0,"PENDENTE","EM ANDAMENTO"))))))</f>
        <v/>
      </c>
      <c r="C995" s="3">
        <f>IF(D995="","",IF(V995=0,"🟢 OK",IF(D995&lt;corte,"⚪ HISTÓRICO (sem baixa)",IF(AND(ISNUMBER(R995),R995&lt;TODAY()),"🔴 PRAZO VENCIDO",IF(AND(OR(N995="PENDENTE",N995="PARCIAL"),D995&lt;TODAY()-1),"🔴 EMBARQUE ATRASADO",IF(AND(N995="REALIZADO",M995="PENDENTE"),"🟡 EMBARCADO SEM FATURAR",IF(AND(P995&lt;&gt;"",S995="",OR(Q995="",R995="")),"🟡 PENDÊNCIA SEM RESPONSÁVEL/PRAZO",IF(AND(ISNUMBER(R995),R995=TODAY()),"🟡 VENCE HOJE",IF(AND(P995&lt;&gt;"",S995=""),"🟡 PENDÊNCIA ABERTA",IF(AND(N(J995)&gt;0,N(K995)&lt;J995),"🟡 FALTA EXECUTAR",IF(OR(M995="PENDENTE",M995="PARCIAL"),"🟡 FATURAMENTO PENDENTE","🟡 EMBARQUE PENDENTE")))))))))))</f>
        <v/>
      </c>
      <c r="D995" s="4" t="n"/>
      <c r="E995" s="5" t="n"/>
      <c r="F995" s="5" t="n"/>
      <c r="G995" s="5" t="n"/>
      <c r="H995" s="5" t="n"/>
      <c r="I995" s="5" t="n"/>
      <c r="J995" s="6" t="n"/>
      <c r="K995" s="6" t="n"/>
      <c r="L995" s="7">
        <f>IF(OR(D995="",N(J995)=0),"",MIN(1,N(K995)/J995))</f>
        <v/>
      </c>
      <c r="M995" s="5" t="n"/>
      <c r="N995" s="5" t="n"/>
      <c r="O995" s="5" t="n"/>
      <c r="P995" s="5" t="n"/>
      <c r="Q995" s="5" t="n"/>
      <c r="R995" s="4" t="n"/>
      <c r="S995" s="4" t="n"/>
      <c r="T995" s="5" t="n"/>
      <c r="U995" s="8">
        <f>IF(AND(V995=1,D995&lt;&gt;""),IF(D995&gt;=corte,TODAY()-D995,""),"")</f>
        <v/>
      </c>
      <c r="V995" s="8">
        <f>IF(D995="",0,IF(OR(AND(P995&lt;&gt;"",S995=""),AND(N(J995)&gt;0,N(K995)&lt;J995),OR(M995="PENDENTE",M995="PARCIAL"),OR(N995="PENDENTE",N995="PARCIAL")),1,0))</f>
        <v/>
      </c>
      <c r="W995" s="8">
        <f>IF(AND(V995=1,D995&lt;&gt;""),IF(D995&gt;=corte,(B995="CRÍTICO")*1E9+(100000-D995)*10000+10000-ROW(),""),"")</f>
        <v/>
      </c>
      <c r="X995" s="8">
        <f>IF(AND(V995=1,D995=pas_data,E995=pas_turno),10000-ROW(),"")</f>
        <v/>
      </c>
    </row>
    <row r="996">
      <c r="A996" s="3">
        <f>IF(D996="","","TT-"&amp;TEXT(ROW()-1,"00000"))</f>
        <v/>
      </c>
      <c r="B996" s="3">
        <f>IF(D996="","",IF(V996=0,"CONCLUÍDO",IF(D996&lt;corte,"HISTÓRICO",IF(OR(AND(ISNUMBER(R996),R996&lt;TODAY()),AND(OR(N996="PENDENTE",N996="PARCIAL"),D996&lt;TODAY()-1)),"CRÍTICO",IF(OR(AND(P996&lt;&gt;"",S996=""),AND(N996="REALIZADO",M996="PENDENTE"),AND(ISNUMBER(R996),R996=TODAY())),"ATENÇÃO",IF(N(K996)=0,"PENDENTE","EM ANDAMENTO"))))))</f>
        <v/>
      </c>
      <c r="C996" s="3">
        <f>IF(D996="","",IF(V996=0,"🟢 OK",IF(D996&lt;corte,"⚪ HISTÓRICO (sem baixa)",IF(AND(ISNUMBER(R996),R996&lt;TODAY()),"🔴 PRAZO VENCIDO",IF(AND(OR(N996="PENDENTE",N996="PARCIAL"),D996&lt;TODAY()-1),"🔴 EMBARQUE ATRASADO",IF(AND(N996="REALIZADO",M996="PENDENTE"),"🟡 EMBARCADO SEM FATURAR",IF(AND(P996&lt;&gt;"",S996="",OR(Q996="",R996="")),"🟡 PENDÊNCIA SEM RESPONSÁVEL/PRAZO",IF(AND(ISNUMBER(R996),R996=TODAY()),"🟡 VENCE HOJE",IF(AND(P996&lt;&gt;"",S996=""),"🟡 PENDÊNCIA ABERTA",IF(AND(N(J996)&gt;0,N(K996)&lt;J996),"🟡 FALTA EXECUTAR",IF(OR(M996="PENDENTE",M996="PARCIAL"),"🟡 FATURAMENTO PENDENTE","🟡 EMBARQUE PENDENTE")))))))))))</f>
        <v/>
      </c>
      <c r="D996" s="4" t="n"/>
      <c r="E996" s="5" t="n"/>
      <c r="F996" s="5" t="n"/>
      <c r="G996" s="5" t="n"/>
      <c r="H996" s="5" t="n"/>
      <c r="I996" s="5" t="n"/>
      <c r="J996" s="6" t="n"/>
      <c r="K996" s="6" t="n"/>
      <c r="L996" s="7">
        <f>IF(OR(D996="",N(J996)=0),"",MIN(1,N(K996)/J996))</f>
        <v/>
      </c>
      <c r="M996" s="5" t="n"/>
      <c r="N996" s="5" t="n"/>
      <c r="O996" s="5" t="n"/>
      <c r="P996" s="5" t="n"/>
      <c r="Q996" s="5" t="n"/>
      <c r="R996" s="4" t="n"/>
      <c r="S996" s="4" t="n"/>
      <c r="T996" s="5" t="n"/>
      <c r="U996" s="8">
        <f>IF(AND(V996=1,D996&lt;&gt;""),IF(D996&gt;=corte,TODAY()-D996,""),"")</f>
        <v/>
      </c>
      <c r="V996" s="8">
        <f>IF(D996="",0,IF(OR(AND(P996&lt;&gt;"",S996=""),AND(N(J996)&gt;0,N(K996)&lt;J996),OR(M996="PENDENTE",M996="PARCIAL"),OR(N996="PENDENTE",N996="PARCIAL")),1,0))</f>
        <v/>
      </c>
      <c r="W996" s="8">
        <f>IF(AND(V996=1,D996&lt;&gt;""),IF(D996&gt;=corte,(B996="CRÍTICO")*1E9+(100000-D996)*10000+10000-ROW(),""),"")</f>
        <v/>
      </c>
      <c r="X996" s="8">
        <f>IF(AND(V996=1,D996=pas_data,E996=pas_turno),10000-ROW(),"")</f>
        <v/>
      </c>
    </row>
    <row r="997">
      <c r="A997" s="3">
        <f>IF(D997="","","TT-"&amp;TEXT(ROW()-1,"00000"))</f>
        <v/>
      </c>
      <c r="B997" s="3">
        <f>IF(D997="","",IF(V997=0,"CONCLUÍDO",IF(D997&lt;corte,"HISTÓRICO",IF(OR(AND(ISNUMBER(R997),R997&lt;TODAY()),AND(OR(N997="PENDENTE",N997="PARCIAL"),D997&lt;TODAY()-1)),"CRÍTICO",IF(OR(AND(P997&lt;&gt;"",S997=""),AND(N997="REALIZADO",M997="PENDENTE"),AND(ISNUMBER(R997),R997=TODAY())),"ATENÇÃO",IF(N(K997)=0,"PENDENTE","EM ANDAMENTO"))))))</f>
        <v/>
      </c>
      <c r="C997" s="3">
        <f>IF(D997="","",IF(V997=0,"🟢 OK",IF(D997&lt;corte,"⚪ HISTÓRICO (sem baixa)",IF(AND(ISNUMBER(R997),R997&lt;TODAY()),"🔴 PRAZO VENCIDO",IF(AND(OR(N997="PENDENTE",N997="PARCIAL"),D997&lt;TODAY()-1),"🔴 EMBARQUE ATRASADO",IF(AND(N997="REALIZADO",M997="PENDENTE"),"🟡 EMBARCADO SEM FATURAR",IF(AND(P997&lt;&gt;"",S997="",OR(Q997="",R997="")),"🟡 PENDÊNCIA SEM RESPONSÁVEL/PRAZO",IF(AND(ISNUMBER(R997),R997=TODAY()),"🟡 VENCE HOJE",IF(AND(P997&lt;&gt;"",S997=""),"🟡 PENDÊNCIA ABERTA",IF(AND(N(J997)&gt;0,N(K997)&lt;J997),"🟡 FALTA EXECUTAR",IF(OR(M997="PENDENTE",M997="PARCIAL"),"🟡 FATURAMENTO PENDENTE","🟡 EMBARQUE PENDENTE")))))))))))</f>
        <v/>
      </c>
      <c r="D997" s="4" t="n"/>
      <c r="E997" s="5" t="n"/>
      <c r="F997" s="5" t="n"/>
      <c r="G997" s="5" t="n"/>
      <c r="H997" s="5" t="n"/>
      <c r="I997" s="5" t="n"/>
      <c r="J997" s="6" t="n"/>
      <c r="K997" s="6" t="n"/>
      <c r="L997" s="7">
        <f>IF(OR(D997="",N(J997)=0),"",MIN(1,N(K997)/J997))</f>
        <v/>
      </c>
      <c r="M997" s="5" t="n"/>
      <c r="N997" s="5" t="n"/>
      <c r="O997" s="5" t="n"/>
      <c r="P997" s="5" t="n"/>
      <c r="Q997" s="5" t="n"/>
      <c r="R997" s="4" t="n"/>
      <c r="S997" s="4" t="n"/>
      <c r="T997" s="5" t="n"/>
      <c r="U997" s="8">
        <f>IF(AND(V997=1,D997&lt;&gt;""),IF(D997&gt;=corte,TODAY()-D997,""),"")</f>
        <v/>
      </c>
      <c r="V997" s="8">
        <f>IF(D997="",0,IF(OR(AND(P997&lt;&gt;"",S997=""),AND(N(J997)&gt;0,N(K997)&lt;J997),OR(M997="PENDENTE",M997="PARCIAL"),OR(N997="PENDENTE",N997="PARCIAL")),1,0))</f>
        <v/>
      </c>
      <c r="W997" s="8">
        <f>IF(AND(V997=1,D997&lt;&gt;""),IF(D997&gt;=corte,(B997="CRÍTICO")*1E9+(100000-D997)*10000+10000-ROW(),""),"")</f>
        <v/>
      </c>
      <c r="X997" s="8">
        <f>IF(AND(V997=1,D997=pas_data,E997=pas_turno),10000-ROW(),"")</f>
        <v/>
      </c>
    </row>
    <row r="998">
      <c r="A998" s="3">
        <f>IF(D998="","","TT-"&amp;TEXT(ROW()-1,"00000"))</f>
        <v/>
      </c>
      <c r="B998" s="3">
        <f>IF(D998="","",IF(V998=0,"CONCLUÍDO",IF(D998&lt;corte,"HISTÓRICO",IF(OR(AND(ISNUMBER(R998),R998&lt;TODAY()),AND(OR(N998="PENDENTE",N998="PARCIAL"),D998&lt;TODAY()-1)),"CRÍTICO",IF(OR(AND(P998&lt;&gt;"",S998=""),AND(N998="REALIZADO",M998="PENDENTE"),AND(ISNUMBER(R998),R998=TODAY())),"ATENÇÃO",IF(N(K998)=0,"PENDENTE","EM ANDAMENTO"))))))</f>
        <v/>
      </c>
      <c r="C998" s="3">
        <f>IF(D998="","",IF(V998=0,"🟢 OK",IF(D998&lt;corte,"⚪ HISTÓRICO (sem baixa)",IF(AND(ISNUMBER(R998),R998&lt;TODAY()),"🔴 PRAZO VENCIDO",IF(AND(OR(N998="PENDENTE",N998="PARCIAL"),D998&lt;TODAY()-1),"🔴 EMBARQUE ATRASADO",IF(AND(N998="REALIZADO",M998="PENDENTE"),"🟡 EMBARCADO SEM FATURAR",IF(AND(P998&lt;&gt;"",S998="",OR(Q998="",R998="")),"🟡 PENDÊNCIA SEM RESPONSÁVEL/PRAZO",IF(AND(ISNUMBER(R998),R998=TODAY()),"🟡 VENCE HOJE",IF(AND(P998&lt;&gt;"",S998=""),"🟡 PENDÊNCIA ABERTA",IF(AND(N(J998)&gt;0,N(K998)&lt;J998),"🟡 FALTA EXECUTAR",IF(OR(M998="PENDENTE",M998="PARCIAL"),"🟡 FATURAMENTO PENDENTE","🟡 EMBARQUE PENDENTE")))))))))))</f>
        <v/>
      </c>
      <c r="D998" s="4" t="n"/>
      <c r="E998" s="5" t="n"/>
      <c r="F998" s="5" t="n"/>
      <c r="G998" s="5" t="n"/>
      <c r="H998" s="5" t="n"/>
      <c r="I998" s="5" t="n"/>
      <c r="J998" s="6" t="n"/>
      <c r="K998" s="6" t="n"/>
      <c r="L998" s="7">
        <f>IF(OR(D998="",N(J998)=0),"",MIN(1,N(K998)/J998))</f>
        <v/>
      </c>
      <c r="M998" s="5" t="n"/>
      <c r="N998" s="5" t="n"/>
      <c r="O998" s="5" t="n"/>
      <c r="P998" s="5" t="n"/>
      <c r="Q998" s="5" t="n"/>
      <c r="R998" s="4" t="n"/>
      <c r="S998" s="4" t="n"/>
      <c r="T998" s="5" t="n"/>
      <c r="U998" s="8">
        <f>IF(AND(V998=1,D998&lt;&gt;""),IF(D998&gt;=corte,TODAY()-D998,""),"")</f>
        <v/>
      </c>
      <c r="V998" s="8">
        <f>IF(D998="",0,IF(OR(AND(P998&lt;&gt;"",S998=""),AND(N(J998)&gt;0,N(K998)&lt;J998),OR(M998="PENDENTE",M998="PARCIAL"),OR(N998="PENDENTE",N998="PARCIAL")),1,0))</f>
        <v/>
      </c>
      <c r="W998" s="8">
        <f>IF(AND(V998=1,D998&lt;&gt;""),IF(D998&gt;=corte,(B998="CRÍTICO")*1E9+(100000-D998)*10000+10000-ROW(),""),"")</f>
        <v/>
      </c>
      <c r="X998" s="8">
        <f>IF(AND(V998=1,D998=pas_data,E998=pas_turno),10000-ROW(),"")</f>
        <v/>
      </c>
    </row>
    <row r="999">
      <c r="A999" s="3">
        <f>IF(D999="","","TT-"&amp;TEXT(ROW()-1,"00000"))</f>
        <v/>
      </c>
      <c r="B999" s="3">
        <f>IF(D999="","",IF(V999=0,"CONCLUÍDO",IF(D999&lt;corte,"HISTÓRICO",IF(OR(AND(ISNUMBER(R999),R999&lt;TODAY()),AND(OR(N999="PENDENTE",N999="PARCIAL"),D999&lt;TODAY()-1)),"CRÍTICO",IF(OR(AND(P999&lt;&gt;"",S999=""),AND(N999="REALIZADO",M999="PENDENTE"),AND(ISNUMBER(R999),R999=TODAY())),"ATENÇÃO",IF(N(K999)=0,"PENDENTE","EM ANDAMENTO"))))))</f>
        <v/>
      </c>
      <c r="C999" s="3">
        <f>IF(D999="","",IF(V999=0,"🟢 OK",IF(D999&lt;corte,"⚪ HISTÓRICO (sem baixa)",IF(AND(ISNUMBER(R999),R999&lt;TODAY()),"🔴 PRAZO VENCIDO",IF(AND(OR(N999="PENDENTE",N999="PARCIAL"),D999&lt;TODAY()-1),"🔴 EMBARQUE ATRASADO",IF(AND(N999="REALIZADO",M999="PENDENTE"),"🟡 EMBARCADO SEM FATURAR",IF(AND(P999&lt;&gt;"",S999="",OR(Q999="",R999="")),"🟡 PENDÊNCIA SEM RESPONSÁVEL/PRAZO",IF(AND(ISNUMBER(R999),R999=TODAY()),"🟡 VENCE HOJE",IF(AND(P999&lt;&gt;"",S999=""),"🟡 PENDÊNCIA ABERTA",IF(AND(N(J999)&gt;0,N(K999)&lt;J999),"🟡 FALTA EXECUTAR",IF(OR(M999="PENDENTE",M999="PARCIAL"),"🟡 FATURAMENTO PENDENTE","🟡 EMBARQUE PENDENTE")))))))))))</f>
        <v/>
      </c>
      <c r="D999" s="4" t="n"/>
      <c r="E999" s="5" t="n"/>
      <c r="F999" s="5" t="n"/>
      <c r="G999" s="5" t="n"/>
      <c r="H999" s="5" t="n"/>
      <c r="I999" s="5" t="n"/>
      <c r="J999" s="6" t="n"/>
      <c r="K999" s="6" t="n"/>
      <c r="L999" s="7">
        <f>IF(OR(D999="",N(J999)=0),"",MIN(1,N(K999)/J999))</f>
        <v/>
      </c>
      <c r="M999" s="5" t="n"/>
      <c r="N999" s="5" t="n"/>
      <c r="O999" s="5" t="n"/>
      <c r="P999" s="5" t="n"/>
      <c r="Q999" s="5" t="n"/>
      <c r="R999" s="4" t="n"/>
      <c r="S999" s="4" t="n"/>
      <c r="T999" s="5" t="n"/>
      <c r="U999" s="8">
        <f>IF(AND(V999=1,D999&lt;&gt;""),IF(D999&gt;=corte,TODAY()-D999,""),"")</f>
        <v/>
      </c>
      <c r="V999" s="8">
        <f>IF(D999="",0,IF(OR(AND(P999&lt;&gt;"",S999=""),AND(N(J999)&gt;0,N(K999)&lt;J999),OR(M999="PENDENTE",M999="PARCIAL"),OR(N999="PENDENTE",N999="PARCIAL")),1,0))</f>
        <v/>
      </c>
      <c r="W999" s="8">
        <f>IF(AND(V999=1,D999&lt;&gt;""),IF(D999&gt;=corte,(B999="CRÍTICO")*1E9+(100000-D999)*10000+10000-ROW(),""),"")</f>
        <v/>
      </c>
      <c r="X999" s="8">
        <f>IF(AND(V999=1,D999=pas_data,E999=pas_turno),10000-ROW(),"")</f>
        <v/>
      </c>
    </row>
    <row r="1000">
      <c r="A1000" s="3">
        <f>IF(D1000="","","TT-"&amp;TEXT(ROW()-1,"00000"))</f>
        <v/>
      </c>
      <c r="B1000" s="3">
        <f>IF(D1000="","",IF(V1000=0,"CONCLUÍDO",IF(D1000&lt;corte,"HISTÓRICO",IF(OR(AND(ISNUMBER(R1000),R1000&lt;TODAY()),AND(OR(N1000="PENDENTE",N1000="PARCIAL"),D1000&lt;TODAY()-1)),"CRÍTICO",IF(OR(AND(P1000&lt;&gt;"",S1000=""),AND(N1000="REALIZADO",M1000="PENDENTE"),AND(ISNUMBER(R1000),R1000=TODAY())),"ATENÇÃO",IF(N(K1000)=0,"PENDENTE","EM ANDAMENTO"))))))</f>
        <v/>
      </c>
      <c r="C1000" s="3">
        <f>IF(D1000="","",IF(V1000=0,"🟢 OK",IF(D1000&lt;corte,"⚪ HISTÓRICO (sem baixa)",IF(AND(ISNUMBER(R1000),R1000&lt;TODAY()),"🔴 PRAZO VENCIDO",IF(AND(OR(N1000="PENDENTE",N1000="PARCIAL"),D1000&lt;TODAY()-1),"🔴 EMBARQUE ATRASADO",IF(AND(N1000="REALIZADO",M1000="PENDENTE"),"🟡 EMBARCADO SEM FATURAR",IF(AND(P1000&lt;&gt;"",S1000="",OR(Q1000="",R1000="")),"🟡 PENDÊNCIA SEM RESPONSÁVEL/PRAZO",IF(AND(ISNUMBER(R1000),R1000=TODAY()),"🟡 VENCE HOJE",IF(AND(P1000&lt;&gt;"",S1000=""),"🟡 PENDÊNCIA ABERTA",IF(AND(N(J1000)&gt;0,N(K1000)&lt;J1000),"🟡 FALTA EXECUTAR",IF(OR(M1000="PENDENTE",M1000="PARCIAL"),"🟡 FATURAMENTO PENDENTE","🟡 EMBARQUE PENDENTE")))))))))))</f>
        <v/>
      </c>
      <c r="D1000" s="4" t="n"/>
      <c r="E1000" s="5" t="n"/>
      <c r="F1000" s="5" t="n"/>
      <c r="G1000" s="5" t="n"/>
      <c r="H1000" s="5" t="n"/>
      <c r="I1000" s="5" t="n"/>
      <c r="J1000" s="6" t="n"/>
      <c r="K1000" s="6" t="n"/>
      <c r="L1000" s="7">
        <f>IF(OR(D1000="",N(J1000)=0),"",MIN(1,N(K1000)/J1000))</f>
        <v/>
      </c>
      <c r="M1000" s="5" t="n"/>
      <c r="N1000" s="5" t="n"/>
      <c r="O1000" s="5" t="n"/>
      <c r="P1000" s="5" t="n"/>
      <c r="Q1000" s="5" t="n"/>
      <c r="R1000" s="4" t="n"/>
      <c r="S1000" s="4" t="n"/>
      <c r="T1000" s="5" t="n"/>
      <c r="U1000" s="8">
        <f>IF(AND(V1000=1,D1000&lt;&gt;""),IF(D1000&gt;=corte,TODAY()-D1000,""),"")</f>
        <v/>
      </c>
      <c r="V1000" s="8">
        <f>IF(D1000="",0,IF(OR(AND(P1000&lt;&gt;"",S1000=""),AND(N(J1000)&gt;0,N(K1000)&lt;J1000),OR(M1000="PENDENTE",M1000="PARCIAL"),OR(N1000="PENDENTE",N1000="PARCIAL")),1,0))</f>
        <v/>
      </c>
      <c r="W1000" s="8">
        <f>IF(AND(V1000=1,D1000&lt;&gt;""),IF(D1000&gt;=corte,(B1000="CRÍTICO")*1E9+(100000-D1000)*10000+10000-ROW(),""),"")</f>
        <v/>
      </c>
      <c r="X1000" s="8">
        <f>IF(AND(V1000=1,D1000=pas_data,E1000=pas_turno),10000-ROW(),"")</f>
        <v/>
      </c>
    </row>
    <row r="1001">
      <c r="A1001" s="3">
        <f>IF(D1001="","","TT-"&amp;TEXT(ROW()-1,"00000"))</f>
        <v/>
      </c>
      <c r="B1001" s="3">
        <f>IF(D1001="","",IF(V1001=0,"CONCLUÍDO",IF(D1001&lt;corte,"HISTÓRICO",IF(OR(AND(ISNUMBER(R1001),R1001&lt;TODAY()),AND(OR(N1001="PENDENTE",N1001="PARCIAL"),D1001&lt;TODAY()-1)),"CRÍTICO",IF(OR(AND(P1001&lt;&gt;"",S1001=""),AND(N1001="REALIZADO",M1001="PENDENTE"),AND(ISNUMBER(R1001),R1001=TODAY())),"ATENÇÃO",IF(N(K1001)=0,"PENDENTE","EM ANDAMENTO"))))))</f>
        <v/>
      </c>
      <c r="C1001" s="3">
        <f>IF(D1001="","",IF(V1001=0,"🟢 OK",IF(D1001&lt;corte,"⚪ HISTÓRICO (sem baixa)",IF(AND(ISNUMBER(R1001),R1001&lt;TODAY()),"🔴 PRAZO VENCIDO",IF(AND(OR(N1001="PENDENTE",N1001="PARCIAL"),D1001&lt;TODAY()-1),"🔴 EMBARQUE ATRASADO",IF(AND(N1001="REALIZADO",M1001="PENDENTE"),"🟡 EMBARCADO SEM FATURAR",IF(AND(P1001&lt;&gt;"",S1001="",OR(Q1001="",R1001="")),"🟡 PENDÊNCIA SEM RESPONSÁVEL/PRAZO",IF(AND(ISNUMBER(R1001),R1001=TODAY()),"🟡 VENCE HOJE",IF(AND(P1001&lt;&gt;"",S1001=""),"🟡 PENDÊNCIA ABERTA",IF(AND(N(J1001)&gt;0,N(K1001)&lt;J1001),"🟡 FALTA EXECUTAR",IF(OR(M1001="PENDENTE",M1001="PARCIAL"),"🟡 FATURAMENTO PENDENTE","🟡 EMBARQUE PENDENTE")))))))))))</f>
        <v/>
      </c>
      <c r="D1001" s="4" t="n"/>
      <c r="E1001" s="5" t="n"/>
      <c r="F1001" s="5" t="n"/>
      <c r="G1001" s="5" t="n"/>
      <c r="H1001" s="5" t="n"/>
      <c r="I1001" s="5" t="n"/>
      <c r="J1001" s="6" t="n"/>
      <c r="K1001" s="6" t="n"/>
      <c r="L1001" s="7">
        <f>IF(OR(D1001="",N(J1001)=0),"",MIN(1,N(K1001)/J1001))</f>
        <v/>
      </c>
      <c r="M1001" s="5" t="n"/>
      <c r="N1001" s="5" t="n"/>
      <c r="O1001" s="5" t="n"/>
      <c r="P1001" s="5" t="n"/>
      <c r="Q1001" s="5" t="n"/>
      <c r="R1001" s="4" t="n"/>
      <c r="S1001" s="4" t="n"/>
      <c r="T1001" s="5" t="n"/>
      <c r="U1001" s="8">
        <f>IF(AND(V1001=1,D1001&lt;&gt;""),IF(D1001&gt;=corte,TODAY()-D1001,""),"")</f>
        <v/>
      </c>
      <c r="V1001" s="8">
        <f>IF(D1001="",0,IF(OR(AND(P1001&lt;&gt;"",S1001=""),AND(N(J1001)&gt;0,N(K1001)&lt;J1001),OR(M1001="PENDENTE",M1001="PARCIAL"),OR(N1001="PENDENTE",N1001="PARCIAL")),1,0))</f>
        <v/>
      </c>
      <c r="W1001" s="8">
        <f>IF(AND(V1001=1,D1001&lt;&gt;""),IF(D1001&gt;=corte,(B1001="CRÍTICO")*1E9+(100000-D1001)*10000+10000-ROW(),""),"")</f>
        <v/>
      </c>
      <c r="X1001" s="8">
        <f>IF(AND(V1001=1,D1001=pas_data,E1001=pas_turno),10000-ROW(),"")</f>
        <v/>
      </c>
    </row>
    <row r="1002">
      <c r="A1002" s="3">
        <f>IF(D1002="","","TT-"&amp;TEXT(ROW()-1,"00000"))</f>
        <v/>
      </c>
      <c r="B1002" s="3">
        <f>IF(D1002="","",IF(V1002=0,"CONCLUÍDO",IF(D1002&lt;corte,"HISTÓRICO",IF(OR(AND(ISNUMBER(R1002),R1002&lt;TODAY()),AND(OR(N1002="PENDENTE",N1002="PARCIAL"),D1002&lt;TODAY()-1)),"CRÍTICO",IF(OR(AND(P1002&lt;&gt;"",S1002=""),AND(N1002="REALIZADO",M1002="PENDENTE"),AND(ISNUMBER(R1002),R1002=TODAY())),"ATENÇÃO",IF(N(K1002)=0,"PENDENTE","EM ANDAMENTO"))))))</f>
        <v/>
      </c>
      <c r="C1002" s="3">
        <f>IF(D1002="","",IF(V1002=0,"🟢 OK",IF(D1002&lt;corte,"⚪ HISTÓRICO (sem baixa)",IF(AND(ISNUMBER(R1002),R1002&lt;TODAY()),"🔴 PRAZO VENCIDO",IF(AND(OR(N1002="PENDENTE",N1002="PARCIAL"),D1002&lt;TODAY()-1),"🔴 EMBARQUE ATRASADO",IF(AND(N1002="REALIZADO",M1002="PENDENTE"),"🟡 EMBARCADO SEM FATURAR",IF(AND(P1002&lt;&gt;"",S1002="",OR(Q1002="",R1002="")),"🟡 PENDÊNCIA SEM RESPONSÁVEL/PRAZO",IF(AND(ISNUMBER(R1002),R1002=TODAY()),"🟡 VENCE HOJE",IF(AND(P1002&lt;&gt;"",S1002=""),"🟡 PENDÊNCIA ABERTA",IF(AND(N(J1002)&gt;0,N(K1002)&lt;J1002),"🟡 FALTA EXECUTAR",IF(OR(M1002="PENDENTE",M1002="PARCIAL"),"🟡 FATURAMENTO PENDENTE","🟡 EMBARQUE PENDENTE")))))))))))</f>
        <v/>
      </c>
      <c r="D1002" s="4" t="n"/>
      <c r="E1002" s="5" t="n"/>
      <c r="F1002" s="5" t="n"/>
      <c r="G1002" s="5" t="n"/>
      <c r="H1002" s="5" t="n"/>
      <c r="I1002" s="5" t="n"/>
      <c r="J1002" s="6" t="n"/>
      <c r="K1002" s="6" t="n"/>
      <c r="L1002" s="7">
        <f>IF(OR(D1002="",N(J1002)=0),"",MIN(1,N(K1002)/J1002))</f>
        <v/>
      </c>
      <c r="M1002" s="5" t="n"/>
      <c r="N1002" s="5" t="n"/>
      <c r="O1002" s="5" t="n"/>
      <c r="P1002" s="5" t="n"/>
      <c r="Q1002" s="5" t="n"/>
      <c r="R1002" s="4" t="n"/>
      <c r="S1002" s="4" t="n"/>
      <c r="T1002" s="5" t="n"/>
      <c r="U1002" s="8">
        <f>IF(AND(V1002=1,D1002&lt;&gt;""),IF(D1002&gt;=corte,TODAY()-D1002,""),"")</f>
        <v/>
      </c>
      <c r="V1002" s="8">
        <f>IF(D1002="",0,IF(OR(AND(P1002&lt;&gt;"",S1002=""),AND(N(J1002)&gt;0,N(K1002)&lt;J1002),OR(M1002="PENDENTE",M1002="PARCIAL"),OR(N1002="PENDENTE",N1002="PARCIAL")),1,0))</f>
        <v/>
      </c>
      <c r="W1002" s="8">
        <f>IF(AND(V1002=1,D1002&lt;&gt;""),IF(D1002&gt;=corte,(B1002="CRÍTICO")*1E9+(100000-D1002)*10000+10000-ROW(),""),"")</f>
        <v/>
      </c>
      <c r="X1002" s="8">
        <f>IF(AND(V1002=1,D1002=pas_data,E1002=pas_turno),10000-ROW(),"")</f>
        <v/>
      </c>
    </row>
    <row r="1003">
      <c r="A1003" s="3">
        <f>IF(D1003="","","TT-"&amp;TEXT(ROW()-1,"00000"))</f>
        <v/>
      </c>
      <c r="B1003" s="3">
        <f>IF(D1003="","",IF(V1003=0,"CONCLUÍDO",IF(D1003&lt;corte,"HISTÓRICO",IF(OR(AND(ISNUMBER(R1003),R1003&lt;TODAY()),AND(OR(N1003="PENDENTE",N1003="PARCIAL"),D1003&lt;TODAY()-1)),"CRÍTICO",IF(OR(AND(P1003&lt;&gt;"",S1003=""),AND(N1003="REALIZADO",M1003="PENDENTE"),AND(ISNUMBER(R1003),R1003=TODAY())),"ATENÇÃO",IF(N(K1003)=0,"PENDENTE","EM ANDAMENTO"))))))</f>
        <v/>
      </c>
      <c r="C1003" s="3">
        <f>IF(D1003="","",IF(V1003=0,"🟢 OK",IF(D1003&lt;corte,"⚪ HISTÓRICO (sem baixa)",IF(AND(ISNUMBER(R1003),R1003&lt;TODAY()),"🔴 PRAZO VENCIDO",IF(AND(OR(N1003="PENDENTE",N1003="PARCIAL"),D1003&lt;TODAY()-1),"🔴 EMBARQUE ATRASADO",IF(AND(N1003="REALIZADO",M1003="PENDENTE"),"🟡 EMBARCADO SEM FATURAR",IF(AND(P1003&lt;&gt;"",S1003="",OR(Q1003="",R1003="")),"🟡 PENDÊNCIA SEM RESPONSÁVEL/PRAZO",IF(AND(ISNUMBER(R1003),R1003=TODAY()),"🟡 VENCE HOJE",IF(AND(P1003&lt;&gt;"",S1003=""),"🟡 PENDÊNCIA ABERTA",IF(AND(N(J1003)&gt;0,N(K1003)&lt;J1003),"🟡 FALTA EXECUTAR",IF(OR(M1003="PENDENTE",M1003="PARCIAL"),"🟡 FATURAMENTO PENDENTE","🟡 EMBARQUE PENDENTE")))))))))))</f>
        <v/>
      </c>
      <c r="D1003" s="4" t="n"/>
      <c r="E1003" s="5" t="n"/>
      <c r="F1003" s="5" t="n"/>
      <c r="G1003" s="5" t="n"/>
      <c r="H1003" s="5" t="n"/>
      <c r="I1003" s="5" t="n"/>
      <c r="J1003" s="6" t="n"/>
      <c r="K1003" s="6" t="n"/>
      <c r="L1003" s="7">
        <f>IF(OR(D1003="",N(J1003)=0),"",MIN(1,N(K1003)/J1003))</f>
        <v/>
      </c>
      <c r="M1003" s="5" t="n"/>
      <c r="N1003" s="5" t="n"/>
      <c r="O1003" s="5" t="n"/>
      <c r="P1003" s="5" t="n"/>
      <c r="Q1003" s="5" t="n"/>
      <c r="R1003" s="4" t="n"/>
      <c r="S1003" s="4" t="n"/>
      <c r="T1003" s="5" t="n"/>
      <c r="U1003" s="8">
        <f>IF(AND(V1003=1,D1003&lt;&gt;""),IF(D1003&gt;=corte,TODAY()-D1003,""),"")</f>
        <v/>
      </c>
      <c r="V1003" s="8">
        <f>IF(D1003="",0,IF(OR(AND(P1003&lt;&gt;"",S1003=""),AND(N(J1003)&gt;0,N(K1003)&lt;J1003),OR(M1003="PENDENTE",M1003="PARCIAL"),OR(N1003="PENDENTE",N1003="PARCIAL")),1,0))</f>
        <v/>
      </c>
      <c r="W1003" s="8">
        <f>IF(AND(V1003=1,D1003&lt;&gt;""),IF(D1003&gt;=corte,(B1003="CRÍTICO")*1E9+(100000-D1003)*10000+10000-ROW(),""),"")</f>
        <v/>
      </c>
      <c r="X1003" s="8">
        <f>IF(AND(V1003=1,D1003=pas_data,E1003=pas_turno),10000-ROW(),"")</f>
        <v/>
      </c>
    </row>
    <row r="1004">
      <c r="A1004" s="3">
        <f>IF(D1004="","","TT-"&amp;TEXT(ROW()-1,"00000"))</f>
        <v/>
      </c>
      <c r="B1004" s="3">
        <f>IF(D1004="","",IF(V1004=0,"CONCLUÍDO",IF(D1004&lt;corte,"HISTÓRICO",IF(OR(AND(ISNUMBER(R1004),R1004&lt;TODAY()),AND(OR(N1004="PENDENTE",N1004="PARCIAL"),D1004&lt;TODAY()-1)),"CRÍTICO",IF(OR(AND(P1004&lt;&gt;"",S1004=""),AND(N1004="REALIZADO",M1004="PENDENTE"),AND(ISNUMBER(R1004),R1004=TODAY())),"ATENÇÃO",IF(N(K1004)=0,"PENDENTE","EM ANDAMENTO"))))))</f>
        <v/>
      </c>
      <c r="C1004" s="3">
        <f>IF(D1004="","",IF(V1004=0,"🟢 OK",IF(D1004&lt;corte,"⚪ HISTÓRICO (sem baixa)",IF(AND(ISNUMBER(R1004),R1004&lt;TODAY()),"🔴 PRAZO VENCIDO",IF(AND(OR(N1004="PENDENTE",N1004="PARCIAL"),D1004&lt;TODAY()-1),"🔴 EMBARQUE ATRASADO",IF(AND(N1004="REALIZADO",M1004="PENDENTE"),"🟡 EMBARCADO SEM FATURAR",IF(AND(P1004&lt;&gt;"",S1004="",OR(Q1004="",R1004="")),"🟡 PENDÊNCIA SEM RESPONSÁVEL/PRAZO",IF(AND(ISNUMBER(R1004),R1004=TODAY()),"🟡 VENCE HOJE",IF(AND(P1004&lt;&gt;"",S1004=""),"🟡 PENDÊNCIA ABERTA",IF(AND(N(J1004)&gt;0,N(K1004)&lt;J1004),"🟡 FALTA EXECUTAR",IF(OR(M1004="PENDENTE",M1004="PARCIAL"),"🟡 FATURAMENTO PENDENTE","🟡 EMBARQUE PENDENTE")))))))))))</f>
        <v/>
      </c>
      <c r="D1004" s="4" t="n"/>
      <c r="E1004" s="5" t="n"/>
      <c r="F1004" s="5" t="n"/>
      <c r="G1004" s="5" t="n"/>
      <c r="H1004" s="5" t="n"/>
      <c r="I1004" s="5" t="n"/>
      <c r="J1004" s="6" t="n"/>
      <c r="K1004" s="6" t="n"/>
      <c r="L1004" s="7">
        <f>IF(OR(D1004="",N(J1004)=0),"",MIN(1,N(K1004)/J1004))</f>
        <v/>
      </c>
      <c r="M1004" s="5" t="n"/>
      <c r="N1004" s="5" t="n"/>
      <c r="O1004" s="5" t="n"/>
      <c r="P1004" s="5" t="n"/>
      <c r="Q1004" s="5" t="n"/>
      <c r="R1004" s="4" t="n"/>
      <c r="S1004" s="4" t="n"/>
      <c r="T1004" s="5" t="n"/>
      <c r="U1004" s="8">
        <f>IF(AND(V1004=1,D1004&lt;&gt;""),IF(D1004&gt;=corte,TODAY()-D1004,""),"")</f>
        <v/>
      </c>
      <c r="V1004" s="8">
        <f>IF(D1004="",0,IF(OR(AND(P1004&lt;&gt;"",S1004=""),AND(N(J1004)&gt;0,N(K1004)&lt;J1004),OR(M1004="PENDENTE",M1004="PARCIAL"),OR(N1004="PENDENTE",N1004="PARCIAL")),1,0))</f>
        <v/>
      </c>
      <c r="W1004" s="8">
        <f>IF(AND(V1004=1,D1004&lt;&gt;""),IF(D1004&gt;=corte,(B1004="CRÍTICO")*1E9+(100000-D1004)*10000+10000-ROW(),""),"")</f>
        <v/>
      </c>
      <c r="X1004" s="8">
        <f>IF(AND(V1004=1,D1004=pas_data,E1004=pas_turno),10000-ROW(),"")</f>
        <v/>
      </c>
    </row>
    <row r="1005">
      <c r="A1005" s="3">
        <f>IF(D1005="","","TT-"&amp;TEXT(ROW()-1,"00000"))</f>
        <v/>
      </c>
      <c r="B1005" s="3">
        <f>IF(D1005="","",IF(V1005=0,"CONCLUÍDO",IF(D1005&lt;corte,"HISTÓRICO",IF(OR(AND(ISNUMBER(R1005),R1005&lt;TODAY()),AND(OR(N1005="PENDENTE",N1005="PARCIAL"),D1005&lt;TODAY()-1)),"CRÍTICO",IF(OR(AND(P1005&lt;&gt;"",S1005=""),AND(N1005="REALIZADO",M1005="PENDENTE"),AND(ISNUMBER(R1005),R1005=TODAY())),"ATENÇÃO",IF(N(K1005)=0,"PENDENTE","EM ANDAMENTO"))))))</f>
        <v/>
      </c>
      <c r="C1005" s="3">
        <f>IF(D1005="","",IF(V1005=0,"🟢 OK",IF(D1005&lt;corte,"⚪ HISTÓRICO (sem baixa)",IF(AND(ISNUMBER(R1005),R1005&lt;TODAY()),"🔴 PRAZO VENCIDO",IF(AND(OR(N1005="PENDENTE",N1005="PARCIAL"),D1005&lt;TODAY()-1),"🔴 EMBARQUE ATRASADO",IF(AND(N1005="REALIZADO",M1005="PENDENTE"),"🟡 EMBARCADO SEM FATURAR",IF(AND(P1005&lt;&gt;"",S1005="",OR(Q1005="",R1005="")),"🟡 PENDÊNCIA SEM RESPONSÁVEL/PRAZO",IF(AND(ISNUMBER(R1005),R1005=TODAY()),"🟡 VENCE HOJE",IF(AND(P1005&lt;&gt;"",S1005=""),"🟡 PENDÊNCIA ABERTA",IF(AND(N(J1005)&gt;0,N(K1005)&lt;J1005),"🟡 FALTA EXECUTAR",IF(OR(M1005="PENDENTE",M1005="PARCIAL"),"🟡 FATURAMENTO PENDENTE","🟡 EMBARQUE PENDENTE")))))))))))</f>
        <v/>
      </c>
      <c r="D1005" s="4" t="n"/>
      <c r="E1005" s="5" t="n"/>
      <c r="F1005" s="5" t="n"/>
      <c r="G1005" s="5" t="n"/>
      <c r="H1005" s="5" t="n"/>
      <c r="I1005" s="5" t="n"/>
      <c r="J1005" s="6" t="n"/>
      <c r="K1005" s="6" t="n"/>
      <c r="L1005" s="7">
        <f>IF(OR(D1005="",N(J1005)=0),"",MIN(1,N(K1005)/J1005))</f>
        <v/>
      </c>
      <c r="M1005" s="5" t="n"/>
      <c r="N1005" s="5" t="n"/>
      <c r="O1005" s="5" t="n"/>
      <c r="P1005" s="5" t="n"/>
      <c r="Q1005" s="5" t="n"/>
      <c r="R1005" s="4" t="n"/>
      <c r="S1005" s="4" t="n"/>
      <c r="T1005" s="5" t="n"/>
      <c r="U1005" s="8">
        <f>IF(AND(V1005=1,D1005&lt;&gt;""),IF(D1005&gt;=corte,TODAY()-D1005,""),"")</f>
        <v/>
      </c>
      <c r="V1005" s="8">
        <f>IF(D1005="",0,IF(OR(AND(P1005&lt;&gt;"",S1005=""),AND(N(J1005)&gt;0,N(K1005)&lt;J1005),OR(M1005="PENDENTE",M1005="PARCIAL"),OR(N1005="PENDENTE",N1005="PARCIAL")),1,0))</f>
        <v/>
      </c>
      <c r="W1005" s="8">
        <f>IF(AND(V1005=1,D1005&lt;&gt;""),IF(D1005&gt;=corte,(B1005="CRÍTICO")*1E9+(100000-D1005)*10000+10000-ROW(),""),"")</f>
        <v/>
      </c>
      <c r="X1005" s="8">
        <f>IF(AND(V1005=1,D1005=pas_data,E1005=pas_turno),10000-ROW(),"")</f>
        <v/>
      </c>
    </row>
    <row r="1006">
      <c r="A1006" s="3">
        <f>IF(D1006="","","TT-"&amp;TEXT(ROW()-1,"00000"))</f>
        <v/>
      </c>
      <c r="B1006" s="3">
        <f>IF(D1006="","",IF(V1006=0,"CONCLUÍDO",IF(D1006&lt;corte,"HISTÓRICO",IF(OR(AND(ISNUMBER(R1006),R1006&lt;TODAY()),AND(OR(N1006="PENDENTE",N1006="PARCIAL"),D1006&lt;TODAY()-1)),"CRÍTICO",IF(OR(AND(P1006&lt;&gt;"",S1006=""),AND(N1006="REALIZADO",M1006="PENDENTE"),AND(ISNUMBER(R1006),R1006=TODAY())),"ATENÇÃO",IF(N(K1006)=0,"PENDENTE","EM ANDAMENTO"))))))</f>
        <v/>
      </c>
      <c r="C1006" s="3">
        <f>IF(D1006="","",IF(V1006=0,"🟢 OK",IF(D1006&lt;corte,"⚪ HISTÓRICO (sem baixa)",IF(AND(ISNUMBER(R1006),R1006&lt;TODAY()),"🔴 PRAZO VENCIDO",IF(AND(OR(N1006="PENDENTE",N1006="PARCIAL"),D1006&lt;TODAY()-1),"🔴 EMBARQUE ATRASADO",IF(AND(N1006="REALIZADO",M1006="PENDENTE"),"🟡 EMBARCADO SEM FATURAR",IF(AND(P1006&lt;&gt;"",S1006="",OR(Q1006="",R1006="")),"🟡 PENDÊNCIA SEM RESPONSÁVEL/PRAZO",IF(AND(ISNUMBER(R1006),R1006=TODAY()),"🟡 VENCE HOJE",IF(AND(P1006&lt;&gt;"",S1006=""),"🟡 PENDÊNCIA ABERTA",IF(AND(N(J1006)&gt;0,N(K1006)&lt;J1006),"🟡 FALTA EXECUTAR",IF(OR(M1006="PENDENTE",M1006="PARCIAL"),"🟡 FATURAMENTO PENDENTE","🟡 EMBARQUE PENDENTE")))))))))))</f>
        <v/>
      </c>
      <c r="D1006" s="4" t="n"/>
      <c r="E1006" s="5" t="n"/>
      <c r="F1006" s="5" t="n"/>
      <c r="G1006" s="5" t="n"/>
      <c r="H1006" s="5" t="n"/>
      <c r="I1006" s="5" t="n"/>
      <c r="J1006" s="6" t="n"/>
      <c r="K1006" s="6" t="n"/>
      <c r="L1006" s="7">
        <f>IF(OR(D1006="",N(J1006)=0),"",MIN(1,N(K1006)/J1006))</f>
        <v/>
      </c>
      <c r="M1006" s="5" t="n"/>
      <c r="N1006" s="5" t="n"/>
      <c r="O1006" s="5" t="n"/>
      <c r="P1006" s="5" t="n"/>
      <c r="Q1006" s="5" t="n"/>
      <c r="R1006" s="4" t="n"/>
      <c r="S1006" s="4" t="n"/>
      <c r="T1006" s="5" t="n"/>
      <c r="U1006" s="8">
        <f>IF(AND(V1006=1,D1006&lt;&gt;""),IF(D1006&gt;=corte,TODAY()-D1006,""),"")</f>
        <v/>
      </c>
      <c r="V1006" s="8">
        <f>IF(D1006="",0,IF(OR(AND(P1006&lt;&gt;"",S1006=""),AND(N(J1006)&gt;0,N(K1006)&lt;J1006),OR(M1006="PENDENTE",M1006="PARCIAL"),OR(N1006="PENDENTE",N1006="PARCIAL")),1,0))</f>
        <v/>
      </c>
      <c r="W1006" s="8">
        <f>IF(AND(V1006=1,D1006&lt;&gt;""),IF(D1006&gt;=corte,(B1006="CRÍTICO")*1E9+(100000-D1006)*10000+10000-ROW(),""),"")</f>
        <v/>
      </c>
      <c r="X1006" s="8">
        <f>IF(AND(V1006=1,D1006=pas_data,E1006=pas_turno),10000-ROW(),"")</f>
        <v/>
      </c>
    </row>
    <row r="1007">
      <c r="A1007" s="3">
        <f>IF(D1007="","","TT-"&amp;TEXT(ROW()-1,"00000"))</f>
        <v/>
      </c>
      <c r="B1007" s="3">
        <f>IF(D1007="","",IF(V1007=0,"CONCLUÍDO",IF(D1007&lt;corte,"HISTÓRICO",IF(OR(AND(ISNUMBER(R1007),R1007&lt;TODAY()),AND(OR(N1007="PENDENTE",N1007="PARCIAL"),D1007&lt;TODAY()-1)),"CRÍTICO",IF(OR(AND(P1007&lt;&gt;"",S1007=""),AND(N1007="REALIZADO",M1007="PENDENTE"),AND(ISNUMBER(R1007),R1007=TODAY())),"ATENÇÃO",IF(N(K1007)=0,"PENDENTE","EM ANDAMENTO"))))))</f>
        <v/>
      </c>
      <c r="C1007" s="3">
        <f>IF(D1007="","",IF(V1007=0,"🟢 OK",IF(D1007&lt;corte,"⚪ HISTÓRICO (sem baixa)",IF(AND(ISNUMBER(R1007),R1007&lt;TODAY()),"🔴 PRAZO VENCIDO",IF(AND(OR(N1007="PENDENTE",N1007="PARCIAL"),D1007&lt;TODAY()-1),"🔴 EMBARQUE ATRASADO",IF(AND(N1007="REALIZADO",M1007="PENDENTE"),"🟡 EMBARCADO SEM FATURAR",IF(AND(P1007&lt;&gt;"",S1007="",OR(Q1007="",R1007="")),"🟡 PENDÊNCIA SEM RESPONSÁVEL/PRAZO",IF(AND(ISNUMBER(R1007),R1007=TODAY()),"🟡 VENCE HOJE",IF(AND(P1007&lt;&gt;"",S1007=""),"🟡 PENDÊNCIA ABERTA",IF(AND(N(J1007)&gt;0,N(K1007)&lt;J1007),"🟡 FALTA EXECUTAR",IF(OR(M1007="PENDENTE",M1007="PARCIAL"),"🟡 FATURAMENTO PENDENTE","🟡 EMBARQUE PENDENTE")))))))))))</f>
        <v/>
      </c>
      <c r="D1007" s="4" t="n"/>
      <c r="E1007" s="5" t="n"/>
      <c r="F1007" s="5" t="n"/>
      <c r="G1007" s="5" t="n"/>
      <c r="H1007" s="5" t="n"/>
      <c r="I1007" s="5" t="n"/>
      <c r="J1007" s="6" t="n"/>
      <c r="K1007" s="6" t="n"/>
      <c r="L1007" s="7">
        <f>IF(OR(D1007="",N(J1007)=0),"",MIN(1,N(K1007)/J1007))</f>
        <v/>
      </c>
      <c r="M1007" s="5" t="n"/>
      <c r="N1007" s="5" t="n"/>
      <c r="O1007" s="5" t="n"/>
      <c r="P1007" s="5" t="n"/>
      <c r="Q1007" s="5" t="n"/>
      <c r="R1007" s="4" t="n"/>
      <c r="S1007" s="4" t="n"/>
      <c r="T1007" s="5" t="n"/>
      <c r="U1007" s="8">
        <f>IF(AND(V1007=1,D1007&lt;&gt;""),IF(D1007&gt;=corte,TODAY()-D1007,""),"")</f>
        <v/>
      </c>
      <c r="V1007" s="8">
        <f>IF(D1007="",0,IF(OR(AND(P1007&lt;&gt;"",S1007=""),AND(N(J1007)&gt;0,N(K1007)&lt;J1007),OR(M1007="PENDENTE",M1007="PARCIAL"),OR(N1007="PENDENTE",N1007="PARCIAL")),1,0))</f>
        <v/>
      </c>
      <c r="W1007" s="8">
        <f>IF(AND(V1007=1,D1007&lt;&gt;""),IF(D1007&gt;=corte,(B1007="CRÍTICO")*1E9+(100000-D1007)*10000+10000-ROW(),""),"")</f>
        <v/>
      </c>
      <c r="X1007" s="8">
        <f>IF(AND(V1007=1,D1007=pas_data,E1007=pas_turno),10000-ROW(),"")</f>
        <v/>
      </c>
    </row>
    <row r="1008">
      <c r="A1008" s="3">
        <f>IF(D1008="","","TT-"&amp;TEXT(ROW()-1,"00000"))</f>
        <v/>
      </c>
      <c r="B1008" s="3">
        <f>IF(D1008="","",IF(V1008=0,"CONCLUÍDO",IF(D1008&lt;corte,"HISTÓRICO",IF(OR(AND(ISNUMBER(R1008),R1008&lt;TODAY()),AND(OR(N1008="PENDENTE",N1008="PARCIAL"),D1008&lt;TODAY()-1)),"CRÍTICO",IF(OR(AND(P1008&lt;&gt;"",S1008=""),AND(N1008="REALIZADO",M1008="PENDENTE"),AND(ISNUMBER(R1008),R1008=TODAY())),"ATENÇÃO",IF(N(K1008)=0,"PENDENTE","EM ANDAMENTO"))))))</f>
        <v/>
      </c>
      <c r="C1008" s="3">
        <f>IF(D1008="","",IF(V1008=0,"🟢 OK",IF(D1008&lt;corte,"⚪ HISTÓRICO (sem baixa)",IF(AND(ISNUMBER(R1008),R1008&lt;TODAY()),"🔴 PRAZO VENCIDO",IF(AND(OR(N1008="PENDENTE",N1008="PARCIAL"),D1008&lt;TODAY()-1),"🔴 EMBARQUE ATRASADO",IF(AND(N1008="REALIZADO",M1008="PENDENTE"),"🟡 EMBARCADO SEM FATURAR",IF(AND(P1008&lt;&gt;"",S1008="",OR(Q1008="",R1008="")),"🟡 PENDÊNCIA SEM RESPONSÁVEL/PRAZO",IF(AND(ISNUMBER(R1008),R1008=TODAY()),"🟡 VENCE HOJE",IF(AND(P1008&lt;&gt;"",S1008=""),"🟡 PENDÊNCIA ABERTA",IF(AND(N(J1008)&gt;0,N(K1008)&lt;J1008),"🟡 FALTA EXECUTAR",IF(OR(M1008="PENDENTE",M1008="PARCIAL"),"🟡 FATURAMENTO PENDENTE","🟡 EMBARQUE PENDENTE")))))))))))</f>
        <v/>
      </c>
      <c r="D1008" s="4" t="n"/>
      <c r="E1008" s="5" t="n"/>
      <c r="F1008" s="5" t="n"/>
      <c r="G1008" s="5" t="n"/>
      <c r="H1008" s="5" t="n"/>
      <c r="I1008" s="5" t="n"/>
      <c r="J1008" s="6" t="n"/>
      <c r="K1008" s="6" t="n"/>
      <c r="L1008" s="7">
        <f>IF(OR(D1008="",N(J1008)=0),"",MIN(1,N(K1008)/J1008))</f>
        <v/>
      </c>
      <c r="M1008" s="5" t="n"/>
      <c r="N1008" s="5" t="n"/>
      <c r="O1008" s="5" t="n"/>
      <c r="P1008" s="5" t="n"/>
      <c r="Q1008" s="5" t="n"/>
      <c r="R1008" s="4" t="n"/>
      <c r="S1008" s="4" t="n"/>
      <c r="T1008" s="5" t="n"/>
      <c r="U1008" s="8">
        <f>IF(AND(V1008=1,D1008&lt;&gt;""),IF(D1008&gt;=corte,TODAY()-D1008,""),"")</f>
        <v/>
      </c>
      <c r="V1008" s="8">
        <f>IF(D1008="",0,IF(OR(AND(P1008&lt;&gt;"",S1008=""),AND(N(J1008)&gt;0,N(K1008)&lt;J1008),OR(M1008="PENDENTE",M1008="PARCIAL"),OR(N1008="PENDENTE",N1008="PARCIAL")),1,0))</f>
        <v/>
      </c>
      <c r="W1008" s="8">
        <f>IF(AND(V1008=1,D1008&lt;&gt;""),IF(D1008&gt;=corte,(B1008="CRÍTICO")*1E9+(100000-D1008)*10000+10000-ROW(),""),"")</f>
        <v/>
      </c>
      <c r="X1008" s="8">
        <f>IF(AND(V1008=1,D1008=pas_data,E1008=pas_turno),10000-ROW(),"")</f>
        <v/>
      </c>
    </row>
    <row r="1009">
      <c r="A1009" s="3">
        <f>IF(D1009="","","TT-"&amp;TEXT(ROW()-1,"00000"))</f>
        <v/>
      </c>
      <c r="B1009" s="3">
        <f>IF(D1009="","",IF(V1009=0,"CONCLUÍDO",IF(D1009&lt;corte,"HISTÓRICO",IF(OR(AND(ISNUMBER(R1009),R1009&lt;TODAY()),AND(OR(N1009="PENDENTE",N1009="PARCIAL"),D1009&lt;TODAY()-1)),"CRÍTICO",IF(OR(AND(P1009&lt;&gt;"",S1009=""),AND(N1009="REALIZADO",M1009="PENDENTE"),AND(ISNUMBER(R1009),R1009=TODAY())),"ATENÇÃO",IF(N(K1009)=0,"PENDENTE","EM ANDAMENTO"))))))</f>
        <v/>
      </c>
      <c r="C1009" s="3">
        <f>IF(D1009="","",IF(V1009=0,"🟢 OK",IF(D1009&lt;corte,"⚪ HISTÓRICO (sem baixa)",IF(AND(ISNUMBER(R1009),R1009&lt;TODAY()),"🔴 PRAZO VENCIDO",IF(AND(OR(N1009="PENDENTE",N1009="PARCIAL"),D1009&lt;TODAY()-1),"🔴 EMBARQUE ATRASADO",IF(AND(N1009="REALIZADO",M1009="PENDENTE"),"🟡 EMBARCADO SEM FATURAR",IF(AND(P1009&lt;&gt;"",S1009="",OR(Q1009="",R1009="")),"🟡 PENDÊNCIA SEM RESPONSÁVEL/PRAZO",IF(AND(ISNUMBER(R1009),R1009=TODAY()),"🟡 VENCE HOJE",IF(AND(P1009&lt;&gt;"",S1009=""),"🟡 PENDÊNCIA ABERTA",IF(AND(N(J1009)&gt;0,N(K1009)&lt;J1009),"🟡 FALTA EXECUTAR",IF(OR(M1009="PENDENTE",M1009="PARCIAL"),"🟡 FATURAMENTO PENDENTE","🟡 EMBARQUE PENDENTE")))))))))))</f>
        <v/>
      </c>
      <c r="D1009" s="4" t="n"/>
      <c r="E1009" s="5" t="n"/>
      <c r="F1009" s="5" t="n"/>
      <c r="G1009" s="5" t="n"/>
      <c r="H1009" s="5" t="n"/>
      <c r="I1009" s="5" t="n"/>
      <c r="J1009" s="6" t="n"/>
      <c r="K1009" s="6" t="n"/>
      <c r="L1009" s="7">
        <f>IF(OR(D1009="",N(J1009)=0),"",MIN(1,N(K1009)/J1009))</f>
        <v/>
      </c>
      <c r="M1009" s="5" t="n"/>
      <c r="N1009" s="5" t="n"/>
      <c r="O1009" s="5" t="n"/>
      <c r="P1009" s="5" t="n"/>
      <c r="Q1009" s="5" t="n"/>
      <c r="R1009" s="4" t="n"/>
      <c r="S1009" s="4" t="n"/>
      <c r="T1009" s="5" t="n"/>
      <c r="U1009" s="8">
        <f>IF(AND(V1009=1,D1009&lt;&gt;""),IF(D1009&gt;=corte,TODAY()-D1009,""),"")</f>
        <v/>
      </c>
      <c r="V1009" s="8">
        <f>IF(D1009="",0,IF(OR(AND(P1009&lt;&gt;"",S1009=""),AND(N(J1009)&gt;0,N(K1009)&lt;J1009),OR(M1009="PENDENTE",M1009="PARCIAL"),OR(N1009="PENDENTE",N1009="PARCIAL")),1,0))</f>
        <v/>
      </c>
      <c r="W1009" s="8">
        <f>IF(AND(V1009=1,D1009&lt;&gt;""),IF(D1009&gt;=corte,(B1009="CRÍTICO")*1E9+(100000-D1009)*10000+10000-ROW(),""),"")</f>
        <v/>
      </c>
      <c r="X1009" s="8">
        <f>IF(AND(V1009=1,D1009=pas_data,E1009=pas_turno),10000-ROW(),"")</f>
        <v/>
      </c>
    </row>
    <row r="1010">
      <c r="A1010" s="3">
        <f>IF(D1010="","","TT-"&amp;TEXT(ROW()-1,"00000"))</f>
        <v/>
      </c>
      <c r="B1010" s="3">
        <f>IF(D1010="","",IF(V1010=0,"CONCLUÍDO",IF(D1010&lt;corte,"HISTÓRICO",IF(OR(AND(ISNUMBER(R1010),R1010&lt;TODAY()),AND(OR(N1010="PENDENTE",N1010="PARCIAL"),D1010&lt;TODAY()-1)),"CRÍTICO",IF(OR(AND(P1010&lt;&gt;"",S1010=""),AND(N1010="REALIZADO",M1010="PENDENTE"),AND(ISNUMBER(R1010),R1010=TODAY())),"ATENÇÃO",IF(N(K1010)=0,"PENDENTE","EM ANDAMENTO"))))))</f>
        <v/>
      </c>
      <c r="C1010" s="3">
        <f>IF(D1010="","",IF(V1010=0,"🟢 OK",IF(D1010&lt;corte,"⚪ HISTÓRICO (sem baixa)",IF(AND(ISNUMBER(R1010),R1010&lt;TODAY()),"🔴 PRAZO VENCIDO",IF(AND(OR(N1010="PENDENTE",N1010="PARCIAL"),D1010&lt;TODAY()-1),"🔴 EMBARQUE ATRASADO",IF(AND(N1010="REALIZADO",M1010="PENDENTE"),"🟡 EMBARCADO SEM FATURAR",IF(AND(P1010&lt;&gt;"",S1010="",OR(Q1010="",R1010="")),"🟡 PENDÊNCIA SEM RESPONSÁVEL/PRAZO",IF(AND(ISNUMBER(R1010),R1010=TODAY()),"🟡 VENCE HOJE",IF(AND(P1010&lt;&gt;"",S1010=""),"🟡 PENDÊNCIA ABERTA",IF(AND(N(J1010)&gt;0,N(K1010)&lt;J1010),"🟡 FALTA EXECUTAR",IF(OR(M1010="PENDENTE",M1010="PARCIAL"),"🟡 FATURAMENTO PENDENTE","🟡 EMBARQUE PENDENTE")))))))))))</f>
        <v/>
      </c>
      <c r="D1010" s="4" t="n"/>
      <c r="E1010" s="5" t="n"/>
      <c r="F1010" s="5" t="n"/>
      <c r="G1010" s="5" t="n"/>
      <c r="H1010" s="5" t="n"/>
      <c r="I1010" s="5" t="n"/>
      <c r="J1010" s="6" t="n"/>
      <c r="K1010" s="6" t="n"/>
      <c r="L1010" s="7">
        <f>IF(OR(D1010="",N(J1010)=0),"",MIN(1,N(K1010)/J1010))</f>
        <v/>
      </c>
      <c r="M1010" s="5" t="n"/>
      <c r="N1010" s="5" t="n"/>
      <c r="O1010" s="5" t="n"/>
      <c r="P1010" s="5" t="n"/>
      <c r="Q1010" s="5" t="n"/>
      <c r="R1010" s="4" t="n"/>
      <c r="S1010" s="4" t="n"/>
      <c r="T1010" s="5" t="n"/>
      <c r="U1010" s="8">
        <f>IF(AND(V1010=1,D1010&lt;&gt;""),IF(D1010&gt;=corte,TODAY()-D1010,""),"")</f>
        <v/>
      </c>
      <c r="V1010" s="8">
        <f>IF(D1010="",0,IF(OR(AND(P1010&lt;&gt;"",S1010=""),AND(N(J1010)&gt;0,N(K1010)&lt;J1010),OR(M1010="PENDENTE",M1010="PARCIAL"),OR(N1010="PENDENTE",N1010="PARCIAL")),1,0))</f>
        <v/>
      </c>
      <c r="W1010" s="8">
        <f>IF(AND(V1010=1,D1010&lt;&gt;""),IF(D1010&gt;=corte,(B1010="CRÍTICO")*1E9+(100000-D1010)*10000+10000-ROW(),""),"")</f>
        <v/>
      </c>
      <c r="X1010" s="8">
        <f>IF(AND(V1010=1,D1010=pas_data,E1010=pas_turno),10000-ROW(),"")</f>
        <v/>
      </c>
    </row>
    <row r="1011">
      <c r="A1011" s="3">
        <f>IF(D1011="","","TT-"&amp;TEXT(ROW()-1,"00000"))</f>
        <v/>
      </c>
      <c r="B1011" s="3">
        <f>IF(D1011="","",IF(V1011=0,"CONCLUÍDO",IF(D1011&lt;corte,"HISTÓRICO",IF(OR(AND(ISNUMBER(R1011),R1011&lt;TODAY()),AND(OR(N1011="PENDENTE",N1011="PARCIAL"),D1011&lt;TODAY()-1)),"CRÍTICO",IF(OR(AND(P1011&lt;&gt;"",S1011=""),AND(N1011="REALIZADO",M1011="PENDENTE"),AND(ISNUMBER(R1011),R1011=TODAY())),"ATENÇÃO",IF(N(K1011)=0,"PENDENTE","EM ANDAMENTO"))))))</f>
        <v/>
      </c>
      <c r="C1011" s="3">
        <f>IF(D1011="","",IF(V1011=0,"🟢 OK",IF(D1011&lt;corte,"⚪ HISTÓRICO (sem baixa)",IF(AND(ISNUMBER(R1011),R1011&lt;TODAY()),"🔴 PRAZO VENCIDO",IF(AND(OR(N1011="PENDENTE",N1011="PARCIAL"),D1011&lt;TODAY()-1),"🔴 EMBARQUE ATRASADO",IF(AND(N1011="REALIZADO",M1011="PENDENTE"),"🟡 EMBARCADO SEM FATURAR",IF(AND(P1011&lt;&gt;"",S1011="",OR(Q1011="",R1011="")),"🟡 PENDÊNCIA SEM RESPONSÁVEL/PRAZO",IF(AND(ISNUMBER(R1011),R1011=TODAY()),"🟡 VENCE HOJE",IF(AND(P1011&lt;&gt;"",S1011=""),"🟡 PENDÊNCIA ABERTA",IF(AND(N(J1011)&gt;0,N(K1011)&lt;J1011),"🟡 FALTA EXECUTAR",IF(OR(M1011="PENDENTE",M1011="PARCIAL"),"🟡 FATURAMENTO PENDENTE","🟡 EMBARQUE PENDENTE")))))))))))</f>
        <v/>
      </c>
      <c r="D1011" s="4" t="n"/>
      <c r="E1011" s="5" t="n"/>
      <c r="F1011" s="5" t="n"/>
      <c r="G1011" s="5" t="n"/>
      <c r="H1011" s="5" t="n"/>
      <c r="I1011" s="5" t="n"/>
      <c r="J1011" s="6" t="n"/>
      <c r="K1011" s="6" t="n"/>
      <c r="L1011" s="7">
        <f>IF(OR(D1011="",N(J1011)=0),"",MIN(1,N(K1011)/J1011))</f>
        <v/>
      </c>
      <c r="M1011" s="5" t="n"/>
      <c r="N1011" s="5" t="n"/>
      <c r="O1011" s="5" t="n"/>
      <c r="P1011" s="5" t="n"/>
      <c r="Q1011" s="5" t="n"/>
      <c r="R1011" s="4" t="n"/>
      <c r="S1011" s="4" t="n"/>
      <c r="T1011" s="5" t="n"/>
      <c r="U1011" s="8">
        <f>IF(AND(V1011=1,D1011&lt;&gt;""),IF(D1011&gt;=corte,TODAY()-D1011,""),"")</f>
        <v/>
      </c>
      <c r="V1011" s="8">
        <f>IF(D1011="",0,IF(OR(AND(P1011&lt;&gt;"",S1011=""),AND(N(J1011)&gt;0,N(K1011)&lt;J1011),OR(M1011="PENDENTE",M1011="PARCIAL"),OR(N1011="PENDENTE",N1011="PARCIAL")),1,0))</f>
        <v/>
      </c>
      <c r="W1011" s="8">
        <f>IF(AND(V1011=1,D1011&lt;&gt;""),IF(D1011&gt;=corte,(B1011="CRÍTICO")*1E9+(100000-D1011)*10000+10000-ROW(),""),"")</f>
        <v/>
      </c>
      <c r="X1011" s="8">
        <f>IF(AND(V1011=1,D1011=pas_data,E1011=pas_turno),10000-ROW(),"")</f>
        <v/>
      </c>
    </row>
    <row r="1012">
      <c r="A1012" s="3">
        <f>IF(D1012="","","TT-"&amp;TEXT(ROW()-1,"00000"))</f>
        <v/>
      </c>
      <c r="B1012" s="3">
        <f>IF(D1012="","",IF(V1012=0,"CONCLUÍDO",IF(D1012&lt;corte,"HISTÓRICO",IF(OR(AND(ISNUMBER(R1012),R1012&lt;TODAY()),AND(OR(N1012="PENDENTE",N1012="PARCIAL"),D1012&lt;TODAY()-1)),"CRÍTICO",IF(OR(AND(P1012&lt;&gt;"",S1012=""),AND(N1012="REALIZADO",M1012="PENDENTE"),AND(ISNUMBER(R1012),R1012=TODAY())),"ATENÇÃO",IF(N(K1012)=0,"PENDENTE","EM ANDAMENTO"))))))</f>
        <v/>
      </c>
      <c r="C1012" s="3">
        <f>IF(D1012="","",IF(V1012=0,"🟢 OK",IF(D1012&lt;corte,"⚪ HISTÓRICO (sem baixa)",IF(AND(ISNUMBER(R1012),R1012&lt;TODAY()),"🔴 PRAZO VENCIDO",IF(AND(OR(N1012="PENDENTE",N1012="PARCIAL"),D1012&lt;TODAY()-1),"🔴 EMBARQUE ATRASADO",IF(AND(N1012="REALIZADO",M1012="PENDENTE"),"🟡 EMBARCADO SEM FATURAR",IF(AND(P1012&lt;&gt;"",S1012="",OR(Q1012="",R1012="")),"🟡 PENDÊNCIA SEM RESPONSÁVEL/PRAZO",IF(AND(ISNUMBER(R1012),R1012=TODAY()),"🟡 VENCE HOJE",IF(AND(P1012&lt;&gt;"",S1012=""),"🟡 PENDÊNCIA ABERTA",IF(AND(N(J1012)&gt;0,N(K1012)&lt;J1012),"🟡 FALTA EXECUTAR",IF(OR(M1012="PENDENTE",M1012="PARCIAL"),"🟡 FATURAMENTO PENDENTE","🟡 EMBARQUE PENDENTE")))))))))))</f>
        <v/>
      </c>
      <c r="D1012" s="4" t="n"/>
      <c r="E1012" s="5" t="n"/>
      <c r="F1012" s="5" t="n"/>
      <c r="G1012" s="5" t="n"/>
      <c r="H1012" s="5" t="n"/>
      <c r="I1012" s="5" t="n"/>
      <c r="J1012" s="6" t="n"/>
      <c r="K1012" s="6" t="n"/>
      <c r="L1012" s="7">
        <f>IF(OR(D1012="",N(J1012)=0),"",MIN(1,N(K1012)/J1012))</f>
        <v/>
      </c>
      <c r="M1012" s="5" t="n"/>
      <c r="N1012" s="5" t="n"/>
      <c r="O1012" s="5" t="n"/>
      <c r="P1012" s="5" t="n"/>
      <c r="Q1012" s="5" t="n"/>
      <c r="R1012" s="4" t="n"/>
      <c r="S1012" s="4" t="n"/>
      <c r="T1012" s="5" t="n"/>
      <c r="U1012" s="8">
        <f>IF(AND(V1012=1,D1012&lt;&gt;""),IF(D1012&gt;=corte,TODAY()-D1012,""),"")</f>
        <v/>
      </c>
      <c r="V1012" s="8">
        <f>IF(D1012="",0,IF(OR(AND(P1012&lt;&gt;"",S1012=""),AND(N(J1012)&gt;0,N(K1012)&lt;J1012),OR(M1012="PENDENTE",M1012="PARCIAL"),OR(N1012="PENDENTE",N1012="PARCIAL")),1,0))</f>
        <v/>
      </c>
      <c r="W1012" s="8">
        <f>IF(AND(V1012=1,D1012&lt;&gt;""),IF(D1012&gt;=corte,(B1012="CRÍTICO")*1E9+(100000-D1012)*10000+10000-ROW(),""),"")</f>
        <v/>
      </c>
      <c r="X1012" s="8">
        <f>IF(AND(V1012=1,D1012=pas_data,E1012=pas_turno),10000-ROW(),"")</f>
        <v/>
      </c>
    </row>
    <row r="1013">
      <c r="A1013" s="3">
        <f>IF(D1013="","","TT-"&amp;TEXT(ROW()-1,"00000"))</f>
        <v/>
      </c>
      <c r="B1013" s="3">
        <f>IF(D1013="","",IF(V1013=0,"CONCLUÍDO",IF(D1013&lt;corte,"HISTÓRICO",IF(OR(AND(ISNUMBER(R1013),R1013&lt;TODAY()),AND(OR(N1013="PENDENTE",N1013="PARCIAL"),D1013&lt;TODAY()-1)),"CRÍTICO",IF(OR(AND(P1013&lt;&gt;"",S1013=""),AND(N1013="REALIZADO",M1013="PENDENTE"),AND(ISNUMBER(R1013),R1013=TODAY())),"ATENÇÃO",IF(N(K1013)=0,"PENDENTE","EM ANDAMENTO"))))))</f>
        <v/>
      </c>
      <c r="C1013" s="3">
        <f>IF(D1013="","",IF(V1013=0,"🟢 OK",IF(D1013&lt;corte,"⚪ HISTÓRICO (sem baixa)",IF(AND(ISNUMBER(R1013),R1013&lt;TODAY()),"🔴 PRAZO VENCIDO",IF(AND(OR(N1013="PENDENTE",N1013="PARCIAL"),D1013&lt;TODAY()-1),"🔴 EMBARQUE ATRASADO",IF(AND(N1013="REALIZADO",M1013="PENDENTE"),"🟡 EMBARCADO SEM FATURAR",IF(AND(P1013&lt;&gt;"",S1013="",OR(Q1013="",R1013="")),"🟡 PENDÊNCIA SEM RESPONSÁVEL/PRAZO",IF(AND(ISNUMBER(R1013),R1013=TODAY()),"🟡 VENCE HOJE",IF(AND(P1013&lt;&gt;"",S1013=""),"🟡 PENDÊNCIA ABERTA",IF(AND(N(J1013)&gt;0,N(K1013)&lt;J1013),"🟡 FALTA EXECUTAR",IF(OR(M1013="PENDENTE",M1013="PARCIAL"),"🟡 FATURAMENTO PENDENTE","🟡 EMBARQUE PENDENTE")))))))))))</f>
        <v/>
      </c>
      <c r="D1013" s="4" t="n"/>
      <c r="E1013" s="5" t="n"/>
      <c r="F1013" s="5" t="n"/>
      <c r="G1013" s="5" t="n"/>
      <c r="H1013" s="5" t="n"/>
      <c r="I1013" s="5" t="n"/>
      <c r="J1013" s="6" t="n"/>
      <c r="K1013" s="6" t="n"/>
      <c r="L1013" s="7">
        <f>IF(OR(D1013="",N(J1013)=0),"",MIN(1,N(K1013)/J1013))</f>
        <v/>
      </c>
      <c r="M1013" s="5" t="n"/>
      <c r="N1013" s="5" t="n"/>
      <c r="O1013" s="5" t="n"/>
      <c r="P1013" s="5" t="n"/>
      <c r="Q1013" s="5" t="n"/>
      <c r="R1013" s="4" t="n"/>
      <c r="S1013" s="4" t="n"/>
      <c r="T1013" s="5" t="n"/>
      <c r="U1013" s="8">
        <f>IF(AND(V1013=1,D1013&lt;&gt;""),IF(D1013&gt;=corte,TODAY()-D1013,""),"")</f>
        <v/>
      </c>
      <c r="V1013" s="8">
        <f>IF(D1013="",0,IF(OR(AND(P1013&lt;&gt;"",S1013=""),AND(N(J1013)&gt;0,N(K1013)&lt;J1013),OR(M1013="PENDENTE",M1013="PARCIAL"),OR(N1013="PENDENTE",N1013="PARCIAL")),1,0))</f>
        <v/>
      </c>
      <c r="W1013" s="8">
        <f>IF(AND(V1013=1,D1013&lt;&gt;""),IF(D1013&gt;=corte,(B1013="CRÍTICO")*1E9+(100000-D1013)*10000+10000-ROW(),""),"")</f>
        <v/>
      </c>
      <c r="X1013" s="8">
        <f>IF(AND(V1013=1,D1013=pas_data,E1013=pas_turno),10000-ROW(),"")</f>
        <v/>
      </c>
    </row>
    <row r="1014">
      <c r="A1014" s="3">
        <f>IF(D1014="","","TT-"&amp;TEXT(ROW()-1,"00000"))</f>
        <v/>
      </c>
      <c r="B1014" s="3">
        <f>IF(D1014="","",IF(V1014=0,"CONCLUÍDO",IF(D1014&lt;corte,"HISTÓRICO",IF(OR(AND(ISNUMBER(R1014),R1014&lt;TODAY()),AND(OR(N1014="PENDENTE",N1014="PARCIAL"),D1014&lt;TODAY()-1)),"CRÍTICO",IF(OR(AND(P1014&lt;&gt;"",S1014=""),AND(N1014="REALIZADO",M1014="PENDENTE"),AND(ISNUMBER(R1014),R1014=TODAY())),"ATENÇÃO",IF(N(K1014)=0,"PENDENTE","EM ANDAMENTO"))))))</f>
        <v/>
      </c>
      <c r="C1014" s="3">
        <f>IF(D1014="","",IF(V1014=0,"🟢 OK",IF(D1014&lt;corte,"⚪ HISTÓRICO (sem baixa)",IF(AND(ISNUMBER(R1014),R1014&lt;TODAY()),"🔴 PRAZO VENCIDO",IF(AND(OR(N1014="PENDENTE",N1014="PARCIAL"),D1014&lt;TODAY()-1),"🔴 EMBARQUE ATRASADO",IF(AND(N1014="REALIZADO",M1014="PENDENTE"),"🟡 EMBARCADO SEM FATURAR",IF(AND(P1014&lt;&gt;"",S1014="",OR(Q1014="",R1014="")),"🟡 PENDÊNCIA SEM RESPONSÁVEL/PRAZO",IF(AND(ISNUMBER(R1014),R1014=TODAY()),"🟡 VENCE HOJE",IF(AND(P1014&lt;&gt;"",S1014=""),"🟡 PENDÊNCIA ABERTA",IF(AND(N(J1014)&gt;0,N(K1014)&lt;J1014),"🟡 FALTA EXECUTAR",IF(OR(M1014="PENDENTE",M1014="PARCIAL"),"🟡 FATURAMENTO PENDENTE","🟡 EMBARQUE PENDENTE")))))))))))</f>
        <v/>
      </c>
      <c r="D1014" s="4" t="n"/>
      <c r="E1014" s="5" t="n"/>
      <c r="F1014" s="5" t="n"/>
      <c r="G1014" s="5" t="n"/>
      <c r="H1014" s="5" t="n"/>
      <c r="I1014" s="5" t="n"/>
      <c r="J1014" s="6" t="n"/>
      <c r="K1014" s="6" t="n"/>
      <c r="L1014" s="7">
        <f>IF(OR(D1014="",N(J1014)=0),"",MIN(1,N(K1014)/J1014))</f>
        <v/>
      </c>
      <c r="M1014" s="5" t="n"/>
      <c r="N1014" s="5" t="n"/>
      <c r="O1014" s="5" t="n"/>
      <c r="P1014" s="5" t="n"/>
      <c r="Q1014" s="5" t="n"/>
      <c r="R1014" s="4" t="n"/>
      <c r="S1014" s="4" t="n"/>
      <c r="T1014" s="5" t="n"/>
      <c r="U1014" s="8">
        <f>IF(AND(V1014=1,D1014&lt;&gt;""),IF(D1014&gt;=corte,TODAY()-D1014,""),"")</f>
        <v/>
      </c>
      <c r="V1014" s="8">
        <f>IF(D1014="",0,IF(OR(AND(P1014&lt;&gt;"",S1014=""),AND(N(J1014)&gt;0,N(K1014)&lt;J1014),OR(M1014="PENDENTE",M1014="PARCIAL"),OR(N1014="PENDENTE",N1014="PARCIAL")),1,0))</f>
        <v/>
      </c>
      <c r="W1014" s="8">
        <f>IF(AND(V1014=1,D1014&lt;&gt;""),IF(D1014&gt;=corte,(B1014="CRÍTICO")*1E9+(100000-D1014)*10000+10000-ROW(),""),"")</f>
        <v/>
      </c>
      <c r="X1014" s="8">
        <f>IF(AND(V1014=1,D1014=pas_data,E1014=pas_turno),10000-ROW(),"")</f>
        <v/>
      </c>
    </row>
    <row r="1015">
      <c r="A1015" s="3">
        <f>IF(D1015="","","TT-"&amp;TEXT(ROW()-1,"00000"))</f>
        <v/>
      </c>
      <c r="B1015" s="3">
        <f>IF(D1015="","",IF(V1015=0,"CONCLUÍDO",IF(D1015&lt;corte,"HISTÓRICO",IF(OR(AND(ISNUMBER(R1015),R1015&lt;TODAY()),AND(OR(N1015="PENDENTE",N1015="PARCIAL"),D1015&lt;TODAY()-1)),"CRÍTICO",IF(OR(AND(P1015&lt;&gt;"",S1015=""),AND(N1015="REALIZADO",M1015="PENDENTE"),AND(ISNUMBER(R1015),R1015=TODAY())),"ATENÇÃO",IF(N(K1015)=0,"PENDENTE","EM ANDAMENTO"))))))</f>
        <v/>
      </c>
      <c r="C1015" s="3">
        <f>IF(D1015="","",IF(V1015=0,"🟢 OK",IF(D1015&lt;corte,"⚪ HISTÓRICO (sem baixa)",IF(AND(ISNUMBER(R1015),R1015&lt;TODAY()),"🔴 PRAZO VENCIDO",IF(AND(OR(N1015="PENDENTE",N1015="PARCIAL"),D1015&lt;TODAY()-1),"🔴 EMBARQUE ATRASADO",IF(AND(N1015="REALIZADO",M1015="PENDENTE"),"🟡 EMBARCADO SEM FATURAR",IF(AND(P1015&lt;&gt;"",S1015="",OR(Q1015="",R1015="")),"🟡 PENDÊNCIA SEM RESPONSÁVEL/PRAZO",IF(AND(ISNUMBER(R1015),R1015=TODAY()),"🟡 VENCE HOJE",IF(AND(P1015&lt;&gt;"",S1015=""),"🟡 PENDÊNCIA ABERTA",IF(AND(N(J1015)&gt;0,N(K1015)&lt;J1015),"🟡 FALTA EXECUTAR",IF(OR(M1015="PENDENTE",M1015="PARCIAL"),"🟡 FATURAMENTO PENDENTE","🟡 EMBARQUE PENDENTE")))))))))))</f>
        <v/>
      </c>
      <c r="D1015" s="4" t="n"/>
      <c r="E1015" s="5" t="n"/>
      <c r="F1015" s="5" t="n"/>
      <c r="G1015" s="5" t="n"/>
      <c r="H1015" s="5" t="n"/>
      <c r="I1015" s="5" t="n"/>
      <c r="J1015" s="6" t="n"/>
      <c r="K1015" s="6" t="n"/>
      <c r="L1015" s="7">
        <f>IF(OR(D1015="",N(J1015)=0),"",MIN(1,N(K1015)/J1015))</f>
        <v/>
      </c>
      <c r="M1015" s="5" t="n"/>
      <c r="N1015" s="5" t="n"/>
      <c r="O1015" s="5" t="n"/>
      <c r="P1015" s="5" t="n"/>
      <c r="Q1015" s="5" t="n"/>
      <c r="R1015" s="4" t="n"/>
      <c r="S1015" s="4" t="n"/>
      <c r="T1015" s="5" t="n"/>
      <c r="U1015" s="8">
        <f>IF(AND(V1015=1,D1015&lt;&gt;""),IF(D1015&gt;=corte,TODAY()-D1015,""),"")</f>
        <v/>
      </c>
      <c r="V1015" s="8">
        <f>IF(D1015="",0,IF(OR(AND(P1015&lt;&gt;"",S1015=""),AND(N(J1015)&gt;0,N(K1015)&lt;J1015),OR(M1015="PENDENTE",M1015="PARCIAL"),OR(N1015="PENDENTE",N1015="PARCIAL")),1,0))</f>
        <v/>
      </c>
      <c r="W1015" s="8">
        <f>IF(AND(V1015=1,D1015&lt;&gt;""),IF(D1015&gt;=corte,(B1015="CRÍTICO")*1E9+(100000-D1015)*10000+10000-ROW(),""),"")</f>
        <v/>
      </c>
      <c r="X1015" s="8">
        <f>IF(AND(V1015=1,D1015=pas_data,E1015=pas_turno),10000-ROW(),"")</f>
        <v/>
      </c>
    </row>
    <row r="1016">
      <c r="A1016" s="3">
        <f>IF(D1016="","","TT-"&amp;TEXT(ROW()-1,"00000"))</f>
        <v/>
      </c>
      <c r="B1016" s="3">
        <f>IF(D1016="","",IF(V1016=0,"CONCLUÍDO",IF(D1016&lt;corte,"HISTÓRICO",IF(OR(AND(ISNUMBER(R1016),R1016&lt;TODAY()),AND(OR(N1016="PENDENTE",N1016="PARCIAL"),D1016&lt;TODAY()-1)),"CRÍTICO",IF(OR(AND(P1016&lt;&gt;"",S1016=""),AND(N1016="REALIZADO",M1016="PENDENTE"),AND(ISNUMBER(R1016),R1016=TODAY())),"ATENÇÃO",IF(N(K1016)=0,"PENDENTE","EM ANDAMENTO"))))))</f>
        <v/>
      </c>
      <c r="C1016" s="3">
        <f>IF(D1016="","",IF(V1016=0,"🟢 OK",IF(D1016&lt;corte,"⚪ HISTÓRICO (sem baixa)",IF(AND(ISNUMBER(R1016),R1016&lt;TODAY()),"🔴 PRAZO VENCIDO",IF(AND(OR(N1016="PENDENTE",N1016="PARCIAL"),D1016&lt;TODAY()-1),"🔴 EMBARQUE ATRASADO",IF(AND(N1016="REALIZADO",M1016="PENDENTE"),"🟡 EMBARCADO SEM FATURAR",IF(AND(P1016&lt;&gt;"",S1016="",OR(Q1016="",R1016="")),"🟡 PENDÊNCIA SEM RESPONSÁVEL/PRAZO",IF(AND(ISNUMBER(R1016),R1016=TODAY()),"🟡 VENCE HOJE",IF(AND(P1016&lt;&gt;"",S1016=""),"🟡 PENDÊNCIA ABERTA",IF(AND(N(J1016)&gt;0,N(K1016)&lt;J1016),"🟡 FALTA EXECUTAR",IF(OR(M1016="PENDENTE",M1016="PARCIAL"),"🟡 FATURAMENTO PENDENTE","🟡 EMBARQUE PENDENTE")))))))))))</f>
        <v/>
      </c>
      <c r="D1016" s="4" t="n"/>
      <c r="E1016" s="5" t="n"/>
      <c r="F1016" s="5" t="n"/>
      <c r="G1016" s="5" t="n"/>
      <c r="H1016" s="5" t="n"/>
      <c r="I1016" s="5" t="n"/>
      <c r="J1016" s="6" t="n"/>
      <c r="K1016" s="6" t="n"/>
      <c r="L1016" s="7">
        <f>IF(OR(D1016="",N(J1016)=0),"",MIN(1,N(K1016)/J1016))</f>
        <v/>
      </c>
      <c r="M1016" s="5" t="n"/>
      <c r="N1016" s="5" t="n"/>
      <c r="O1016" s="5" t="n"/>
      <c r="P1016" s="5" t="n"/>
      <c r="Q1016" s="5" t="n"/>
      <c r="R1016" s="4" t="n"/>
      <c r="S1016" s="4" t="n"/>
      <c r="T1016" s="5" t="n"/>
      <c r="U1016" s="8">
        <f>IF(AND(V1016=1,D1016&lt;&gt;""),IF(D1016&gt;=corte,TODAY()-D1016,""),"")</f>
        <v/>
      </c>
      <c r="V1016" s="8">
        <f>IF(D1016="",0,IF(OR(AND(P1016&lt;&gt;"",S1016=""),AND(N(J1016)&gt;0,N(K1016)&lt;J1016),OR(M1016="PENDENTE",M1016="PARCIAL"),OR(N1016="PENDENTE",N1016="PARCIAL")),1,0))</f>
        <v/>
      </c>
      <c r="W1016" s="8">
        <f>IF(AND(V1016=1,D1016&lt;&gt;""),IF(D1016&gt;=corte,(B1016="CRÍTICO")*1E9+(100000-D1016)*10000+10000-ROW(),""),"")</f>
        <v/>
      </c>
      <c r="X1016" s="8">
        <f>IF(AND(V1016=1,D1016=pas_data,E1016=pas_turno),10000-ROW(),"")</f>
        <v/>
      </c>
    </row>
    <row r="1017">
      <c r="A1017" s="3">
        <f>IF(D1017="","","TT-"&amp;TEXT(ROW()-1,"00000"))</f>
        <v/>
      </c>
      <c r="B1017" s="3">
        <f>IF(D1017="","",IF(V1017=0,"CONCLUÍDO",IF(D1017&lt;corte,"HISTÓRICO",IF(OR(AND(ISNUMBER(R1017),R1017&lt;TODAY()),AND(OR(N1017="PENDENTE",N1017="PARCIAL"),D1017&lt;TODAY()-1)),"CRÍTICO",IF(OR(AND(P1017&lt;&gt;"",S1017=""),AND(N1017="REALIZADO",M1017="PENDENTE"),AND(ISNUMBER(R1017),R1017=TODAY())),"ATENÇÃO",IF(N(K1017)=0,"PENDENTE","EM ANDAMENTO"))))))</f>
        <v/>
      </c>
      <c r="C1017" s="3">
        <f>IF(D1017="","",IF(V1017=0,"🟢 OK",IF(D1017&lt;corte,"⚪ HISTÓRICO (sem baixa)",IF(AND(ISNUMBER(R1017),R1017&lt;TODAY()),"🔴 PRAZO VENCIDO",IF(AND(OR(N1017="PENDENTE",N1017="PARCIAL"),D1017&lt;TODAY()-1),"🔴 EMBARQUE ATRASADO",IF(AND(N1017="REALIZADO",M1017="PENDENTE"),"🟡 EMBARCADO SEM FATURAR",IF(AND(P1017&lt;&gt;"",S1017="",OR(Q1017="",R1017="")),"🟡 PENDÊNCIA SEM RESPONSÁVEL/PRAZO",IF(AND(ISNUMBER(R1017),R1017=TODAY()),"🟡 VENCE HOJE",IF(AND(P1017&lt;&gt;"",S1017=""),"🟡 PENDÊNCIA ABERTA",IF(AND(N(J1017)&gt;0,N(K1017)&lt;J1017),"🟡 FALTA EXECUTAR",IF(OR(M1017="PENDENTE",M1017="PARCIAL"),"🟡 FATURAMENTO PENDENTE","🟡 EMBARQUE PENDENTE")))))))))))</f>
        <v/>
      </c>
      <c r="D1017" s="4" t="n"/>
      <c r="E1017" s="5" t="n"/>
      <c r="F1017" s="5" t="n"/>
      <c r="G1017" s="5" t="n"/>
      <c r="H1017" s="5" t="n"/>
      <c r="I1017" s="5" t="n"/>
      <c r="J1017" s="6" t="n"/>
      <c r="K1017" s="6" t="n"/>
      <c r="L1017" s="7">
        <f>IF(OR(D1017="",N(J1017)=0),"",MIN(1,N(K1017)/J1017))</f>
        <v/>
      </c>
      <c r="M1017" s="5" t="n"/>
      <c r="N1017" s="5" t="n"/>
      <c r="O1017" s="5" t="n"/>
      <c r="P1017" s="5" t="n"/>
      <c r="Q1017" s="5" t="n"/>
      <c r="R1017" s="4" t="n"/>
      <c r="S1017" s="4" t="n"/>
      <c r="T1017" s="5" t="n"/>
      <c r="U1017" s="8">
        <f>IF(AND(V1017=1,D1017&lt;&gt;""),IF(D1017&gt;=corte,TODAY()-D1017,""),"")</f>
        <v/>
      </c>
      <c r="V1017" s="8">
        <f>IF(D1017="",0,IF(OR(AND(P1017&lt;&gt;"",S1017=""),AND(N(J1017)&gt;0,N(K1017)&lt;J1017),OR(M1017="PENDENTE",M1017="PARCIAL"),OR(N1017="PENDENTE",N1017="PARCIAL")),1,0))</f>
        <v/>
      </c>
      <c r="W1017" s="8">
        <f>IF(AND(V1017=1,D1017&lt;&gt;""),IF(D1017&gt;=corte,(B1017="CRÍTICO")*1E9+(100000-D1017)*10000+10000-ROW(),""),"")</f>
        <v/>
      </c>
      <c r="X1017" s="8">
        <f>IF(AND(V1017=1,D1017=pas_data,E1017=pas_turno),10000-ROW(),"")</f>
        <v/>
      </c>
    </row>
    <row r="1018">
      <c r="A1018" s="3">
        <f>IF(D1018="","","TT-"&amp;TEXT(ROW()-1,"00000"))</f>
        <v/>
      </c>
      <c r="B1018" s="3">
        <f>IF(D1018="","",IF(V1018=0,"CONCLUÍDO",IF(D1018&lt;corte,"HISTÓRICO",IF(OR(AND(ISNUMBER(R1018),R1018&lt;TODAY()),AND(OR(N1018="PENDENTE",N1018="PARCIAL"),D1018&lt;TODAY()-1)),"CRÍTICO",IF(OR(AND(P1018&lt;&gt;"",S1018=""),AND(N1018="REALIZADO",M1018="PENDENTE"),AND(ISNUMBER(R1018),R1018=TODAY())),"ATENÇÃO",IF(N(K1018)=0,"PENDENTE","EM ANDAMENTO"))))))</f>
        <v/>
      </c>
      <c r="C1018" s="3">
        <f>IF(D1018="","",IF(V1018=0,"🟢 OK",IF(D1018&lt;corte,"⚪ HISTÓRICO (sem baixa)",IF(AND(ISNUMBER(R1018),R1018&lt;TODAY()),"🔴 PRAZO VENCIDO",IF(AND(OR(N1018="PENDENTE",N1018="PARCIAL"),D1018&lt;TODAY()-1),"🔴 EMBARQUE ATRASADO",IF(AND(N1018="REALIZADO",M1018="PENDENTE"),"🟡 EMBARCADO SEM FATURAR",IF(AND(P1018&lt;&gt;"",S1018="",OR(Q1018="",R1018="")),"🟡 PENDÊNCIA SEM RESPONSÁVEL/PRAZO",IF(AND(ISNUMBER(R1018),R1018=TODAY()),"🟡 VENCE HOJE",IF(AND(P1018&lt;&gt;"",S1018=""),"🟡 PENDÊNCIA ABERTA",IF(AND(N(J1018)&gt;0,N(K1018)&lt;J1018),"🟡 FALTA EXECUTAR",IF(OR(M1018="PENDENTE",M1018="PARCIAL"),"🟡 FATURAMENTO PENDENTE","🟡 EMBARQUE PENDENTE")))))))))))</f>
        <v/>
      </c>
      <c r="D1018" s="4" t="n"/>
      <c r="E1018" s="5" t="n"/>
      <c r="F1018" s="5" t="n"/>
      <c r="G1018" s="5" t="n"/>
      <c r="H1018" s="5" t="n"/>
      <c r="I1018" s="5" t="n"/>
      <c r="J1018" s="6" t="n"/>
      <c r="K1018" s="6" t="n"/>
      <c r="L1018" s="7">
        <f>IF(OR(D1018="",N(J1018)=0),"",MIN(1,N(K1018)/J1018))</f>
        <v/>
      </c>
      <c r="M1018" s="5" t="n"/>
      <c r="N1018" s="5" t="n"/>
      <c r="O1018" s="5" t="n"/>
      <c r="P1018" s="5" t="n"/>
      <c r="Q1018" s="5" t="n"/>
      <c r="R1018" s="4" t="n"/>
      <c r="S1018" s="4" t="n"/>
      <c r="T1018" s="5" t="n"/>
      <c r="U1018" s="8">
        <f>IF(AND(V1018=1,D1018&lt;&gt;""),IF(D1018&gt;=corte,TODAY()-D1018,""),"")</f>
        <v/>
      </c>
      <c r="V1018" s="8">
        <f>IF(D1018="",0,IF(OR(AND(P1018&lt;&gt;"",S1018=""),AND(N(J1018)&gt;0,N(K1018)&lt;J1018),OR(M1018="PENDENTE",M1018="PARCIAL"),OR(N1018="PENDENTE",N1018="PARCIAL")),1,0))</f>
        <v/>
      </c>
      <c r="W1018" s="8">
        <f>IF(AND(V1018=1,D1018&lt;&gt;""),IF(D1018&gt;=corte,(B1018="CRÍTICO")*1E9+(100000-D1018)*10000+10000-ROW(),""),"")</f>
        <v/>
      </c>
      <c r="X1018" s="8">
        <f>IF(AND(V1018=1,D1018=pas_data,E1018=pas_turno),10000-ROW(),"")</f>
        <v/>
      </c>
    </row>
    <row r="1019">
      <c r="A1019" s="3">
        <f>IF(D1019="","","TT-"&amp;TEXT(ROW()-1,"00000"))</f>
        <v/>
      </c>
      <c r="B1019" s="3">
        <f>IF(D1019="","",IF(V1019=0,"CONCLUÍDO",IF(D1019&lt;corte,"HISTÓRICO",IF(OR(AND(ISNUMBER(R1019),R1019&lt;TODAY()),AND(OR(N1019="PENDENTE",N1019="PARCIAL"),D1019&lt;TODAY()-1)),"CRÍTICO",IF(OR(AND(P1019&lt;&gt;"",S1019=""),AND(N1019="REALIZADO",M1019="PENDENTE"),AND(ISNUMBER(R1019),R1019=TODAY())),"ATENÇÃO",IF(N(K1019)=0,"PENDENTE","EM ANDAMENTO"))))))</f>
        <v/>
      </c>
      <c r="C1019" s="3">
        <f>IF(D1019="","",IF(V1019=0,"🟢 OK",IF(D1019&lt;corte,"⚪ HISTÓRICO (sem baixa)",IF(AND(ISNUMBER(R1019),R1019&lt;TODAY()),"🔴 PRAZO VENCIDO",IF(AND(OR(N1019="PENDENTE",N1019="PARCIAL"),D1019&lt;TODAY()-1),"🔴 EMBARQUE ATRASADO",IF(AND(N1019="REALIZADO",M1019="PENDENTE"),"🟡 EMBARCADO SEM FATURAR",IF(AND(P1019&lt;&gt;"",S1019="",OR(Q1019="",R1019="")),"🟡 PENDÊNCIA SEM RESPONSÁVEL/PRAZO",IF(AND(ISNUMBER(R1019),R1019=TODAY()),"🟡 VENCE HOJE",IF(AND(P1019&lt;&gt;"",S1019=""),"🟡 PENDÊNCIA ABERTA",IF(AND(N(J1019)&gt;0,N(K1019)&lt;J1019),"🟡 FALTA EXECUTAR",IF(OR(M1019="PENDENTE",M1019="PARCIAL"),"🟡 FATURAMENTO PENDENTE","🟡 EMBARQUE PENDENTE")))))))))))</f>
        <v/>
      </c>
      <c r="D1019" s="4" t="n"/>
      <c r="E1019" s="5" t="n"/>
      <c r="F1019" s="5" t="n"/>
      <c r="G1019" s="5" t="n"/>
      <c r="H1019" s="5" t="n"/>
      <c r="I1019" s="5" t="n"/>
      <c r="J1019" s="6" t="n"/>
      <c r="K1019" s="6" t="n"/>
      <c r="L1019" s="7">
        <f>IF(OR(D1019="",N(J1019)=0),"",MIN(1,N(K1019)/J1019))</f>
        <v/>
      </c>
      <c r="M1019" s="5" t="n"/>
      <c r="N1019" s="5" t="n"/>
      <c r="O1019" s="5" t="n"/>
      <c r="P1019" s="5" t="n"/>
      <c r="Q1019" s="5" t="n"/>
      <c r="R1019" s="4" t="n"/>
      <c r="S1019" s="4" t="n"/>
      <c r="T1019" s="5" t="n"/>
      <c r="U1019" s="8">
        <f>IF(AND(V1019=1,D1019&lt;&gt;""),IF(D1019&gt;=corte,TODAY()-D1019,""),"")</f>
        <v/>
      </c>
      <c r="V1019" s="8">
        <f>IF(D1019="",0,IF(OR(AND(P1019&lt;&gt;"",S1019=""),AND(N(J1019)&gt;0,N(K1019)&lt;J1019),OR(M1019="PENDENTE",M1019="PARCIAL"),OR(N1019="PENDENTE",N1019="PARCIAL")),1,0))</f>
        <v/>
      </c>
      <c r="W1019" s="8">
        <f>IF(AND(V1019=1,D1019&lt;&gt;""),IF(D1019&gt;=corte,(B1019="CRÍTICO")*1E9+(100000-D1019)*10000+10000-ROW(),""),"")</f>
        <v/>
      </c>
      <c r="X1019" s="8">
        <f>IF(AND(V1019=1,D1019=pas_data,E1019=pas_turno),10000-ROW(),"")</f>
        <v/>
      </c>
    </row>
    <row r="1020">
      <c r="A1020" s="3">
        <f>IF(D1020="","","TT-"&amp;TEXT(ROW()-1,"00000"))</f>
        <v/>
      </c>
      <c r="B1020" s="3">
        <f>IF(D1020="","",IF(V1020=0,"CONCLUÍDO",IF(D1020&lt;corte,"HISTÓRICO",IF(OR(AND(ISNUMBER(R1020),R1020&lt;TODAY()),AND(OR(N1020="PENDENTE",N1020="PARCIAL"),D1020&lt;TODAY()-1)),"CRÍTICO",IF(OR(AND(P1020&lt;&gt;"",S1020=""),AND(N1020="REALIZADO",M1020="PENDENTE"),AND(ISNUMBER(R1020),R1020=TODAY())),"ATENÇÃO",IF(N(K1020)=0,"PENDENTE","EM ANDAMENTO"))))))</f>
        <v/>
      </c>
      <c r="C1020" s="3">
        <f>IF(D1020="","",IF(V1020=0,"🟢 OK",IF(D1020&lt;corte,"⚪ HISTÓRICO (sem baixa)",IF(AND(ISNUMBER(R1020),R1020&lt;TODAY()),"🔴 PRAZO VENCIDO",IF(AND(OR(N1020="PENDENTE",N1020="PARCIAL"),D1020&lt;TODAY()-1),"🔴 EMBARQUE ATRASADO",IF(AND(N1020="REALIZADO",M1020="PENDENTE"),"🟡 EMBARCADO SEM FATURAR",IF(AND(P1020&lt;&gt;"",S1020="",OR(Q1020="",R1020="")),"🟡 PENDÊNCIA SEM RESPONSÁVEL/PRAZO",IF(AND(ISNUMBER(R1020),R1020=TODAY()),"🟡 VENCE HOJE",IF(AND(P1020&lt;&gt;"",S1020=""),"🟡 PENDÊNCIA ABERTA",IF(AND(N(J1020)&gt;0,N(K1020)&lt;J1020),"🟡 FALTA EXECUTAR",IF(OR(M1020="PENDENTE",M1020="PARCIAL"),"🟡 FATURAMENTO PENDENTE","🟡 EMBARQUE PENDENTE")))))))))))</f>
        <v/>
      </c>
      <c r="D1020" s="4" t="n"/>
      <c r="E1020" s="5" t="n"/>
      <c r="F1020" s="5" t="n"/>
      <c r="G1020" s="5" t="n"/>
      <c r="H1020" s="5" t="n"/>
      <c r="I1020" s="5" t="n"/>
      <c r="J1020" s="6" t="n"/>
      <c r="K1020" s="6" t="n"/>
      <c r="L1020" s="7">
        <f>IF(OR(D1020="",N(J1020)=0),"",MIN(1,N(K1020)/J1020))</f>
        <v/>
      </c>
      <c r="M1020" s="5" t="n"/>
      <c r="N1020" s="5" t="n"/>
      <c r="O1020" s="5" t="n"/>
      <c r="P1020" s="5" t="n"/>
      <c r="Q1020" s="5" t="n"/>
      <c r="R1020" s="4" t="n"/>
      <c r="S1020" s="4" t="n"/>
      <c r="T1020" s="5" t="n"/>
      <c r="U1020" s="8">
        <f>IF(AND(V1020=1,D1020&lt;&gt;""),IF(D1020&gt;=corte,TODAY()-D1020,""),"")</f>
        <v/>
      </c>
      <c r="V1020" s="8">
        <f>IF(D1020="",0,IF(OR(AND(P1020&lt;&gt;"",S1020=""),AND(N(J1020)&gt;0,N(K1020)&lt;J1020),OR(M1020="PENDENTE",M1020="PARCIAL"),OR(N1020="PENDENTE",N1020="PARCIAL")),1,0))</f>
        <v/>
      </c>
      <c r="W1020" s="8">
        <f>IF(AND(V1020=1,D1020&lt;&gt;""),IF(D1020&gt;=corte,(B1020="CRÍTICO")*1E9+(100000-D1020)*10000+10000-ROW(),""),"")</f>
        <v/>
      </c>
      <c r="X1020" s="8">
        <f>IF(AND(V1020=1,D1020=pas_data,E1020=pas_turno),10000-ROW(),"")</f>
        <v/>
      </c>
    </row>
    <row r="1021">
      <c r="A1021" s="3">
        <f>IF(D1021="","","TT-"&amp;TEXT(ROW()-1,"00000"))</f>
        <v/>
      </c>
      <c r="B1021" s="3">
        <f>IF(D1021="","",IF(V1021=0,"CONCLUÍDO",IF(D1021&lt;corte,"HISTÓRICO",IF(OR(AND(ISNUMBER(R1021),R1021&lt;TODAY()),AND(OR(N1021="PENDENTE",N1021="PARCIAL"),D1021&lt;TODAY()-1)),"CRÍTICO",IF(OR(AND(P1021&lt;&gt;"",S1021=""),AND(N1021="REALIZADO",M1021="PENDENTE"),AND(ISNUMBER(R1021),R1021=TODAY())),"ATENÇÃO",IF(N(K1021)=0,"PENDENTE","EM ANDAMENTO"))))))</f>
        <v/>
      </c>
      <c r="C1021" s="3">
        <f>IF(D1021="","",IF(V1021=0,"🟢 OK",IF(D1021&lt;corte,"⚪ HISTÓRICO (sem baixa)",IF(AND(ISNUMBER(R1021),R1021&lt;TODAY()),"🔴 PRAZO VENCIDO",IF(AND(OR(N1021="PENDENTE",N1021="PARCIAL"),D1021&lt;TODAY()-1),"🔴 EMBARQUE ATRASADO",IF(AND(N1021="REALIZADO",M1021="PENDENTE"),"🟡 EMBARCADO SEM FATURAR",IF(AND(P1021&lt;&gt;"",S1021="",OR(Q1021="",R1021="")),"🟡 PENDÊNCIA SEM RESPONSÁVEL/PRAZO",IF(AND(ISNUMBER(R1021),R1021=TODAY()),"🟡 VENCE HOJE",IF(AND(P1021&lt;&gt;"",S1021=""),"🟡 PENDÊNCIA ABERTA",IF(AND(N(J1021)&gt;0,N(K1021)&lt;J1021),"🟡 FALTA EXECUTAR",IF(OR(M1021="PENDENTE",M1021="PARCIAL"),"🟡 FATURAMENTO PENDENTE","🟡 EMBARQUE PENDENTE")))))))))))</f>
        <v/>
      </c>
      <c r="D1021" s="4" t="n"/>
      <c r="E1021" s="5" t="n"/>
      <c r="F1021" s="5" t="n"/>
      <c r="G1021" s="5" t="n"/>
      <c r="H1021" s="5" t="n"/>
      <c r="I1021" s="5" t="n"/>
      <c r="J1021" s="6" t="n"/>
      <c r="K1021" s="6" t="n"/>
      <c r="L1021" s="7">
        <f>IF(OR(D1021="",N(J1021)=0),"",MIN(1,N(K1021)/J1021))</f>
        <v/>
      </c>
      <c r="M1021" s="5" t="n"/>
      <c r="N1021" s="5" t="n"/>
      <c r="O1021" s="5" t="n"/>
      <c r="P1021" s="5" t="n"/>
      <c r="Q1021" s="5" t="n"/>
      <c r="R1021" s="4" t="n"/>
      <c r="S1021" s="4" t="n"/>
      <c r="T1021" s="5" t="n"/>
      <c r="U1021" s="8">
        <f>IF(AND(V1021=1,D1021&lt;&gt;""),IF(D1021&gt;=corte,TODAY()-D1021,""),"")</f>
        <v/>
      </c>
      <c r="V1021" s="8">
        <f>IF(D1021="",0,IF(OR(AND(P1021&lt;&gt;"",S1021=""),AND(N(J1021)&gt;0,N(K1021)&lt;J1021),OR(M1021="PENDENTE",M1021="PARCIAL"),OR(N1021="PENDENTE",N1021="PARCIAL")),1,0))</f>
        <v/>
      </c>
      <c r="W1021" s="8">
        <f>IF(AND(V1021=1,D1021&lt;&gt;""),IF(D1021&gt;=corte,(B1021="CRÍTICO")*1E9+(100000-D1021)*10000+10000-ROW(),""),"")</f>
        <v/>
      </c>
      <c r="X1021" s="8">
        <f>IF(AND(V1021=1,D1021=pas_data,E1021=pas_turno),10000-ROW(),"")</f>
        <v/>
      </c>
    </row>
    <row r="1022">
      <c r="A1022" s="3">
        <f>IF(D1022="","","TT-"&amp;TEXT(ROW()-1,"00000"))</f>
        <v/>
      </c>
      <c r="B1022" s="3">
        <f>IF(D1022="","",IF(V1022=0,"CONCLUÍDO",IF(D1022&lt;corte,"HISTÓRICO",IF(OR(AND(ISNUMBER(R1022),R1022&lt;TODAY()),AND(OR(N1022="PENDENTE",N1022="PARCIAL"),D1022&lt;TODAY()-1)),"CRÍTICO",IF(OR(AND(P1022&lt;&gt;"",S1022=""),AND(N1022="REALIZADO",M1022="PENDENTE"),AND(ISNUMBER(R1022),R1022=TODAY())),"ATENÇÃO",IF(N(K1022)=0,"PENDENTE","EM ANDAMENTO"))))))</f>
        <v/>
      </c>
      <c r="C1022" s="3">
        <f>IF(D1022="","",IF(V1022=0,"🟢 OK",IF(D1022&lt;corte,"⚪ HISTÓRICO (sem baixa)",IF(AND(ISNUMBER(R1022),R1022&lt;TODAY()),"🔴 PRAZO VENCIDO",IF(AND(OR(N1022="PENDENTE",N1022="PARCIAL"),D1022&lt;TODAY()-1),"🔴 EMBARQUE ATRASADO",IF(AND(N1022="REALIZADO",M1022="PENDENTE"),"🟡 EMBARCADO SEM FATURAR",IF(AND(P1022&lt;&gt;"",S1022="",OR(Q1022="",R1022="")),"🟡 PENDÊNCIA SEM RESPONSÁVEL/PRAZO",IF(AND(ISNUMBER(R1022),R1022=TODAY()),"🟡 VENCE HOJE",IF(AND(P1022&lt;&gt;"",S1022=""),"🟡 PENDÊNCIA ABERTA",IF(AND(N(J1022)&gt;0,N(K1022)&lt;J1022),"🟡 FALTA EXECUTAR",IF(OR(M1022="PENDENTE",M1022="PARCIAL"),"🟡 FATURAMENTO PENDENTE","🟡 EMBARQUE PENDENTE")))))))))))</f>
        <v/>
      </c>
      <c r="D1022" s="4" t="n"/>
      <c r="E1022" s="5" t="n"/>
      <c r="F1022" s="5" t="n"/>
      <c r="G1022" s="5" t="n"/>
      <c r="H1022" s="5" t="n"/>
      <c r="I1022" s="5" t="n"/>
      <c r="J1022" s="6" t="n"/>
      <c r="K1022" s="6" t="n"/>
      <c r="L1022" s="7">
        <f>IF(OR(D1022="",N(J1022)=0),"",MIN(1,N(K1022)/J1022))</f>
        <v/>
      </c>
      <c r="M1022" s="5" t="n"/>
      <c r="N1022" s="5" t="n"/>
      <c r="O1022" s="5" t="n"/>
      <c r="P1022" s="5" t="n"/>
      <c r="Q1022" s="5" t="n"/>
      <c r="R1022" s="4" t="n"/>
      <c r="S1022" s="4" t="n"/>
      <c r="T1022" s="5" t="n"/>
      <c r="U1022" s="8">
        <f>IF(AND(V1022=1,D1022&lt;&gt;""),IF(D1022&gt;=corte,TODAY()-D1022,""),"")</f>
        <v/>
      </c>
      <c r="V1022" s="8">
        <f>IF(D1022="",0,IF(OR(AND(P1022&lt;&gt;"",S1022=""),AND(N(J1022)&gt;0,N(K1022)&lt;J1022),OR(M1022="PENDENTE",M1022="PARCIAL"),OR(N1022="PENDENTE",N1022="PARCIAL")),1,0))</f>
        <v/>
      </c>
      <c r="W1022" s="8">
        <f>IF(AND(V1022=1,D1022&lt;&gt;""),IF(D1022&gt;=corte,(B1022="CRÍTICO")*1E9+(100000-D1022)*10000+10000-ROW(),""),"")</f>
        <v/>
      </c>
      <c r="X1022" s="8">
        <f>IF(AND(V1022=1,D1022=pas_data,E1022=pas_turno),10000-ROW(),"")</f>
        <v/>
      </c>
    </row>
    <row r="1023">
      <c r="A1023" s="3">
        <f>IF(D1023="","","TT-"&amp;TEXT(ROW()-1,"00000"))</f>
        <v/>
      </c>
      <c r="B1023" s="3">
        <f>IF(D1023="","",IF(V1023=0,"CONCLUÍDO",IF(D1023&lt;corte,"HISTÓRICO",IF(OR(AND(ISNUMBER(R1023),R1023&lt;TODAY()),AND(OR(N1023="PENDENTE",N1023="PARCIAL"),D1023&lt;TODAY()-1)),"CRÍTICO",IF(OR(AND(P1023&lt;&gt;"",S1023=""),AND(N1023="REALIZADO",M1023="PENDENTE"),AND(ISNUMBER(R1023),R1023=TODAY())),"ATENÇÃO",IF(N(K1023)=0,"PENDENTE","EM ANDAMENTO"))))))</f>
        <v/>
      </c>
      <c r="C1023" s="3">
        <f>IF(D1023="","",IF(V1023=0,"🟢 OK",IF(D1023&lt;corte,"⚪ HISTÓRICO (sem baixa)",IF(AND(ISNUMBER(R1023),R1023&lt;TODAY()),"🔴 PRAZO VENCIDO",IF(AND(OR(N1023="PENDENTE",N1023="PARCIAL"),D1023&lt;TODAY()-1),"🔴 EMBARQUE ATRASADO",IF(AND(N1023="REALIZADO",M1023="PENDENTE"),"🟡 EMBARCADO SEM FATURAR",IF(AND(P1023&lt;&gt;"",S1023="",OR(Q1023="",R1023="")),"🟡 PENDÊNCIA SEM RESPONSÁVEL/PRAZO",IF(AND(ISNUMBER(R1023),R1023=TODAY()),"🟡 VENCE HOJE",IF(AND(P1023&lt;&gt;"",S1023=""),"🟡 PENDÊNCIA ABERTA",IF(AND(N(J1023)&gt;0,N(K1023)&lt;J1023),"🟡 FALTA EXECUTAR",IF(OR(M1023="PENDENTE",M1023="PARCIAL"),"🟡 FATURAMENTO PENDENTE","🟡 EMBARQUE PENDENTE")))))))))))</f>
        <v/>
      </c>
      <c r="D1023" s="4" t="n"/>
      <c r="E1023" s="5" t="n"/>
      <c r="F1023" s="5" t="n"/>
      <c r="G1023" s="5" t="n"/>
      <c r="H1023" s="5" t="n"/>
      <c r="I1023" s="5" t="n"/>
      <c r="J1023" s="6" t="n"/>
      <c r="K1023" s="6" t="n"/>
      <c r="L1023" s="7">
        <f>IF(OR(D1023="",N(J1023)=0),"",MIN(1,N(K1023)/J1023))</f>
        <v/>
      </c>
      <c r="M1023" s="5" t="n"/>
      <c r="N1023" s="5" t="n"/>
      <c r="O1023" s="5" t="n"/>
      <c r="P1023" s="5" t="n"/>
      <c r="Q1023" s="5" t="n"/>
      <c r="R1023" s="4" t="n"/>
      <c r="S1023" s="4" t="n"/>
      <c r="T1023" s="5" t="n"/>
      <c r="U1023" s="8">
        <f>IF(AND(V1023=1,D1023&lt;&gt;""),IF(D1023&gt;=corte,TODAY()-D1023,""),"")</f>
        <v/>
      </c>
      <c r="V1023" s="8">
        <f>IF(D1023="",0,IF(OR(AND(P1023&lt;&gt;"",S1023=""),AND(N(J1023)&gt;0,N(K1023)&lt;J1023),OR(M1023="PENDENTE",M1023="PARCIAL"),OR(N1023="PENDENTE",N1023="PARCIAL")),1,0))</f>
        <v/>
      </c>
      <c r="W1023" s="8">
        <f>IF(AND(V1023=1,D1023&lt;&gt;""),IF(D1023&gt;=corte,(B1023="CRÍTICO")*1E9+(100000-D1023)*10000+10000-ROW(),""),"")</f>
        <v/>
      </c>
      <c r="X1023" s="8">
        <f>IF(AND(V1023=1,D1023=pas_data,E1023=pas_turno),10000-ROW(),"")</f>
        <v/>
      </c>
    </row>
    <row r="1024">
      <c r="A1024" s="3">
        <f>IF(D1024="","","TT-"&amp;TEXT(ROW()-1,"00000"))</f>
        <v/>
      </c>
      <c r="B1024" s="3">
        <f>IF(D1024="","",IF(V1024=0,"CONCLUÍDO",IF(D1024&lt;corte,"HISTÓRICO",IF(OR(AND(ISNUMBER(R1024),R1024&lt;TODAY()),AND(OR(N1024="PENDENTE",N1024="PARCIAL"),D1024&lt;TODAY()-1)),"CRÍTICO",IF(OR(AND(P1024&lt;&gt;"",S1024=""),AND(N1024="REALIZADO",M1024="PENDENTE"),AND(ISNUMBER(R1024),R1024=TODAY())),"ATENÇÃO",IF(N(K1024)=0,"PENDENTE","EM ANDAMENTO"))))))</f>
        <v/>
      </c>
      <c r="C1024" s="3">
        <f>IF(D1024="","",IF(V1024=0,"🟢 OK",IF(D1024&lt;corte,"⚪ HISTÓRICO (sem baixa)",IF(AND(ISNUMBER(R1024),R1024&lt;TODAY()),"🔴 PRAZO VENCIDO",IF(AND(OR(N1024="PENDENTE",N1024="PARCIAL"),D1024&lt;TODAY()-1),"🔴 EMBARQUE ATRASADO",IF(AND(N1024="REALIZADO",M1024="PENDENTE"),"🟡 EMBARCADO SEM FATURAR",IF(AND(P1024&lt;&gt;"",S1024="",OR(Q1024="",R1024="")),"🟡 PENDÊNCIA SEM RESPONSÁVEL/PRAZO",IF(AND(ISNUMBER(R1024),R1024=TODAY()),"🟡 VENCE HOJE",IF(AND(P1024&lt;&gt;"",S1024=""),"🟡 PENDÊNCIA ABERTA",IF(AND(N(J1024)&gt;0,N(K1024)&lt;J1024),"🟡 FALTA EXECUTAR",IF(OR(M1024="PENDENTE",M1024="PARCIAL"),"🟡 FATURAMENTO PENDENTE","🟡 EMBARQUE PENDENTE")))))))))))</f>
        <v/>
      </c>
      <c r="D1024" s="4" t="n"/>
      <c r="E1024" s="5" t="n"/>
      <c r="F1024" s="5" t="n"/>
      <c r="G1024" s="5" t="n"/>
      <c r="H1024" s="5" t="n"/>
      <c r="I1024" s="5" t="n"/>
      <c r="J1024" s="6" t="n"/>
      <c r="K1024" s="6" t="n"/>
      <c r="L1024" s="7">
        <f>IF(OR(D1024="",N(J1024)=0),"",MIN(1,N(K1024)/J1024))</f>
        <v/>
      </c>
      <c r="M1024" s="5" t="n"/>
      <c r="N1024" s="5" t="n"/>
      <c r="O1024" s="5" t="n"/>
      <c r="P1024" s="5" t="n"/>
      <c r="Q1024" s="5" t="n"/>
      <c r="R1024" s="4" t="n"/>
      <c r="S1024" s="4" t="n"/>
      <c r="T1024" s="5" t="n"/>
      <c r="U1024" s="8">
        <f>IF(AND(V1024=1,D1024&lt;&gt;""),IF(D1024&gt;=corte,TODAY()-D1024,""),"")</f>
        <v/>
      </c>
      <c r="V1024" s="8">
        <f>IF(D1024="",0,IF(OR(AND(P1024&lt;&gt;"",S1024=""),AND(N(J1024)&gt;0,N(K1024)&lt;J1024),OR(M1024="PENDENTE",M1024="PARCIAL"),OR(N1024="PENDENTE",N1024="PARCIAL")),1,0))</f>
        <v/>
      </c>
      <c r="W1024" s="8">
        <f>IF(AND(V1024=1,D1024&lt;&gt;""),IF(D1024&gt;=corte,(B1024="CRÍTICO")*1E9+(100000-D1024)*10000+10000-ROW(),""),"")</f>
        <v/>
      </c>
      <c r="X1024" s="8">
        <f>IF(AND(V1024=1,D1024=pas_data,E1024=pas_turno),10000-ROW(),"")</f>
        <v/>
      </c>
    </row>
    <row r="1025">
      <c r="A1025" s="3">
        <f>IF(D1025="","","TT-"&amp;TEXT(ROW()-1,"00000"))</f>
        <v/>
      </c>
      <c r="B1025" s="3">
        <f>IF(D1025="","",IF(V1025=0,"CONCLUÍDO",IF(D1025&lt;corte,"HISTÓRICO",IF(OR(AND(ISNUMBER(R1025),R1025&lt;TODAY()),AND(OR(N1025="PENDENTE",N1025="PARCIAL"),D1025&lt;TODAY()-1)),"CRÍTICO",IF(OR(AND(P1025&lt;&gt;"",S1025=""),AND(N1025="REALIZADO",M1025="PENDENTE"),AND(ISNUMBER(R1025),R1025=TODAY())),"ATENÇÃO",IF(N(K1025)=0,"PENDENTE","EM ANDAMENTO"))))))</f>
        <v/>
      </c>
      <c r="C1025" s="3">
        <f>IF(D1025="","",IF(V1025=0,"🟢 OK",IF(D1025&lt;corte,"⚪ HISTÓRICO (sem baixa)",IF(AND(ISNUMBER(R1025),R1025&lt;TODAY()),"🔴 PRAZO VENCIDO",IF(AND(OR(N1025="PENDENTE",N1025="PARCIAL"),D1025&lt;TODAY()-1),"🔴 EMBARQUE ATRASADO",IF(AND(N1025="REALIZADO",M1025="PENDENTE"),"🟡 EMBARCADO SEM FATURAR",IF(AND(P1025&lt;&gt;"",S1025="",OR(Q1025="",R1025="")),"🟡 PENDÊNCIA SEM RESPONSÁVEL/PRAZO",IF(AND(ISNUMBER(R1025),R1025=TODAY()),"🟡 VENCE HOJE",IF(AND(P1025&lt;&gt;"",S1025=""),"🟡 PENDÊNCIA ABERTA",IF(AND(N(J1025)&gt;0,N(K1025)&lt;J1025),"🟡 FALTA EXECUTAR",IF(OR(M1025="PENDENTE",M1025="PARCIAL"),"🟡 FATURAMENTO PENDENTE","🟡 EMBARQUE PENDENTE")))))))))))</f>
        <v/>
      </c>
      <c r="D1025" s="4" t="n"/>
      <c r="E1025" s="5" t="n"/>
      <c r="F1025" s="5" t="n"/>
      <c r="G1025" s="5" t="n"/>
      <c r="H1025" s="5" t="n"/>
      <c r="I1025" s="5" t="n"/>
      <c r="J1025" s="6" t="n"/>
      <c r="K1025" s="6" t="n"/>
      <c r="L1025" s="7">
        <f>IF(OR(D1025="",N(J1025)=0),"",MIN(1,N(K1025)/J1025))</f>
        <v/>
      </c>
      <c r="M1025" s="5" t="n"/>
      <c r="N1025" s="5" t="n"/>
      <c r="O1025" s="5" t="n"/>
      <c r="P1025" s="5" t="n"/>
      <c r="Q1025" s="5" t="n"/>
      <c r="R1025" s="4" t="n"/>
      <c r="S1025" s="4" t="n"/>
      <c r="T1025" s="5" t="n"/>
      <c r="U1025" s="8">
        <f>IF(AND(V1025=1,D1025&lt;&gt;""),IF(D1025&gt;=corte,TODAY()-D1025,""),"")</f>
        <v/>
      </c>
      <c r="V1025" s="8">
        <f>IF(D1025="",0,IF(OR(AND(P1025&lt;&gt;"",S1025=""),AND(N(J1025)&gt;0,N(K1025)&lt;J1025),OR(M1025="PENDENTE",M1025="PARCIAL"),OR(N1025="PENDENTE",N1025="PARCIAL")),1,0))</f>
        <v/>
      </c>
      <c r="W1025" s="8">
        <f>IF(AND(V1025=1,D1025&lt;&gt;""),IF(D1025&gt;=corte,(B1025="CRÍTICO")*1E9+(100000-D1025)*10000+10000-ROW(),""),"")</f>
        <v/>
      </c>
      <c r="X1025" s="8">
        <f>IF(AND(V1025=1,D1025=pas_data,E1025=pas_turno),10000-ROW(),"")</f>
        <v/>
      </c>
    </row>
    <row r="1026">
      <c r="A1026" s="3">
        <f>IF(D1026="","","TT-"&amp;TEXT(ROW()-1,"00000"))</f>
        <v/>
      </c>
      <c r="B1026" s="3">
        <f>IF(D1026="","",IF(V1026=0,"CONCLUÍDO",IF(D1026&lt;corte,"HISTÓRICO",IF(OR(AND(ISNUMBER(R1026),R1026&lt;TODAY()),AND(OR(N1026="PENDENTE",N1026="PARCIAL"),D1026&lt;TODAY()-1)),"CRÍTICO",IF(OR(AND(P1026&lt;&gt;"",S1026=""),AND(N1026="REALIZADO",M1026="PENDENTE"),AND(ISNUMBER(R1026),R1026=TODAY())),"ATENÇÃO",IF(N(K1026)=0,"PENDENTE","EM ANDAMENTO"))))))</f>
        <v/>
      </c>
      <c r="C1026" s="3">
        <f>IF(D1026="","",IF(V1026=0,"🟢 OK",IF(D1026&lt;corte,"⚪ HISTÓRICO (sem baixa)",IF(AND(ISNUMBER(R1026),R1026&lt;TODAY()),"🔴 PRAZO VENCIDO",IF(AND(OR(N1026="PENDENTE",N1026="PARCIAL"),D1026&lt;TODAY()-1),"🔴 EMBARQUE ATRASADO",IF(AND(N1026="REALIZADO",M1026="PENDENTE"),"🟡 EMBARCADO SEM FATURAR",IF(AND(P1026&lt;&gt;"",S1026="",OR(Q1026="",R1026="")),"🟡 PENDÊNCIA SEM RESPONSÁVEL/PRAZO",IF(AND(ISNUMBER(R1026),R1026=TODAY()),"🟡 VENCE HOJE",IF(AND(P1026&lt;&gt;"",S1026=""),"🟡 PENDÊNCIA ABERTA",IF(AND(N(J1026)&gt;0,N(K1026)&lt;J1026),"🟡 FALTA EXECUTAR",IF(OR(M1026="PENDENTE",M1026="PARCIAL"),"🟡 FATURAMENTO PENDENTE","🟡 EMBARQUE PENDENTE")))))))))))</f>
        <v/>
      </c>
      <c r="D1026" s="4" t="n"/>
      <c r="E1026" s="5" t="n"/>
      <c r="F1026" s="5" t="n"/>
      <c r="G1026" s="5" t="n"/>
      <c r="H1026" s="5" t="n"/>
      <c r="I1026" s="5" t="n"/>
      <c r="J1026" s="6" t="n"/>
      <c r="K1026" s="6" t="n"/>
      <c r="L1026" s="7">
        <f>IF(OR(D1026="",N(J1026)=0),"",MIN(1,N(K1026)/J1026))</f>
        <v/>
      </c>
      <c r="M1026" s="5" t="n"/>
      <c r="N1026" s="5" t="n"/>
      <c r="O1026" s="5" t="n"/>
      <c r="P1026" s="5" t="n"/>
      <c r="Q1026" s="5" t="n"/>
      <c r="R1026" s="4" t="n"/>
      <c r="S1026" s="4" t="n"/>
      <c r="T1026" s="5" t="n"/>
      <c r="U1026" s="8">
        <f>IF(AND(V1026=1,D1026&lt;&gt;""),IF(D1026&gt;=corte,TODAY()-D1026,""),"")</f>
        <v/>
      </c>
      <c r="V1026" s="8">
        <f>IF(D1026="",0,IF(OR(AND(P1026&lt;&gt;"",S1026=""),AND(N(J1026)&gt;0,N(K1026)&lt;J1026),OR(M1026="PENDENTE",M1026="PARCIAL"),OR(N1026="PENDENTE",N1026="PARCIAL")),1,0))</f>
        <v/>
      </c>
      <c r="W1026" s="8">
        <f>IF(AND(V1026=1,D1026&lt;&gt;""),IF(D1026&gt;=corte,(B1026="CRÍTICO")*1E9+(100000-D1026)*10000+10000-ROW(),""),"")</f>
        <v/>
      </c>
      <c r="X1026" s="8">
        <f>IF(AND(V1026=1,D1026=pas_data,E1026=pas_turno),10000-ROW(),"")</f>
        <v/>
      </c>
    </row>
    <row r="1027">
      <c r="A1027" s="3">
        <f>IF(D1027="","","TT-"&amp;TEXT(ROW()-1,"00000"))</f>
        <v/>
      </c>
      <c r="B1027" s="3">
        <f>IF(D1027="","",IF(V1027=0,"CONCLUÍDO",IF(D1027&lt;corte,"HISTÓRICO",IF(OR(AND(ISNUMBER(R1027),R1027&lt;TODAY()),AND(OR(N1027="PENDENTE",N1027="PARCIAL"),D1027&lt;TODAY()-1)),"CRÍTICO",IF(OR(AND(P1027&lt;&gt;"",S1027=""),AND(N1027="REALIZADO",M1027="PENDENTE"),AND(ISNUMBER(R1027),R1027=TODAY())),"ATENÇÃO",IF(N(K1027)=0,"PENDENTE","EM ANDAMENTO"))))))</f>
        <v/>
      </c>
      <c r="C1027" s="3">
        <f>IF(D1027="","",IF(V1027=0,"🟢 OK",IF(D1027&lt;corte,"⚪ HISTÓRICO (sem baixa)",IF(AND(ISNUMBER(R1027),R1027&lt;TODAY()),"🔴 PRAZO VENCIDO",IF(AND(OR(N1027="PENDENTE",N1027="PARCIAL"),D1027&lt;TODAY()-1),"🔴 EMBARQUE ATRASADO",IF(AND(N1027="REALIZADO",M1027="PENDENTE"),"🟡 EMBARCADO SEM FATURAR",IF(AND(P1027&lt;&gt;"",S1027="",OR(Q1027="",R1027="")),"🟡 PENDÊNCIA SEM RESPONSÁVEL/PRAZO",IF(AND(ISNUMBER(R1027),R1027=TODAY()),"🟡 VENCE HOJE",IF(AND(P1027&lt;&gt;"",S1027=""),"🟡 PENDÊNCIA ABERTA",IF(AND(N(J1027)&gt;0,N(K1027)&lt;J1027),"🟡 FALTA EXECUTAR",IF(OR(M1027="PENDENTE",M1027="PARCIAL"),"🟡 FATURAMENTO PENDENTE","🟡 EMBARQUE PENDENTE")))))))))))</f>
        <v/>
      </c>
      <c r="D1027" s="4" t="n"/>
      <c r="E1027" s="5" t="n"/>
      <c r="F1027" s="5" t="n"/>
      <c r="G1027" s="5" t="n"/>
      <c r="H1027" s="5" t="n"/>
      <c r="I1027" s="5" t="n"/>
      <c r="J1027" s="6" t="n"/>
      <c r="K1027" s="6" t="n"/>
      <c r="L1027" s="7">
        <f>IF(OR(D1027="",N(J1027)=0),"",MIN(1,N(K1027)/J1027))</f>
        <v/>
      </c>
      <c r="M1027" s="5" t="n"/>
      <c r="N1027" s="5" t="n"/>
      <c r="O1027" s="5" t="n"/>
      <c r="P1027" s="5" t="n"/>
      <c r="Q1027" s="5" t="n"/>
      <c r="R1027" s="4" t="n"/>
      <c r="S1027" s="4" t="n"/>
      <c r="T1027" s="5" t="n"/>
      <c r="U1027" s="8">
        <f>IF(AND(V1027=1,D1027&lt;&gt;""),IF(D1027&gt;=corte,TODAY()-D1027,""),"")</f>
        <v/>
      </c>
      <c r="V1027" s="8">
        <f>IF(D1027="",0,IF(OR(AND(P1027&lt;&gt;"",S1027=""),AND(N(J1027)&gt;0,N(K1027)&lt;J1027),OR(M1027="PENDENTE",M1027="PARCIAL"),OR(N1027="PENDENTE",N1027="PARCIAL")),1,0))</f>
        <v/>
      </c>
      <c r="W1027" s="8">
        <f>IF(AND(V1027=1,D1027&lt;&gt;""),IF(D1027&gt;=corte,(B1027="CRÍTICO")*1E9+(100000-D1027)*10000+10000-ROW(),""),"")</f>
        <v/>
      </c>
      <c r="X1027" s="8">
        <f>IF(AND(V1027=1,D1027=pas_data,E1027=pas_turno),10000-ROW(),"")</f>
        <v/>
      </c>
    </row>
    <row r="1028">
      <c r="A1028" s="3">
        <f>IF(D1028="","","TT-"&amp;TEXT(ROW()-1,"00000"))</f>
        <v/>
      </c>
      <c r="B1028" s="3">
        <f>IF(D1028="","",IF(V1028=0,"CONCLUÍDO",IF(D1028&lt;corte,"HISTÓRICO",IF(OR(AND(ISNUMBER(R1028),R1028&lt;TODAY()),AND(OR(N1028="PENDENTE",N1028="PARCIAL"),D1028&lt;TODAY()-1)),"CRÍTICO",IF(OR(AND(P1028&lt;&gt;"",S1028=""),AND(N1028="REALIZADO",M1028="PENDENTE"),AND(ISNUMBER(R1028),R1028=TODAY())),"ATENÇÃO",IF(N(K1028)=0,"PENDENTE","EM ANDAMENTO"))))))</f>
        <v/>
      </c>
      <c r="C1028" s="3">
        <f>IF(D1028="","",IF(V1028=0,"🟢 OK",IF(D1028&lt;corte,"⚪ HISTÓRICO (sem baixa)",IF(AND(ISNUMBER(R1028),R1028&lt;TODAY()),"🔴 PRAZO VENCIDO",IF(AND(OR(N1028="PENDENTE",N1028="PARCIAL"),D1028&lt;TODAY()-1),"🔴 EMBARQUE ATRASADO",IF(AND(N1028="REALIZADO",M1028="PENDENTE"),"🟡 EMBARCADO SEM FATURAR",IF(AND(P1028&lt;&gt;"",S1028="",OR(Q1028="",R1028="")),"🟡 PENDÊNCIA SEM RESPONSÁVEL/PRAZO",IF(AND(ISNUMBER(R1028),R1028=TODAY()),"🟡 VENCE HOJE",IF(AND(P1028&lt;&gt;"",S1028=""),"🟡 PENDÊNCIA ABERTA",IF(AND(N(J1028)&gt;0,N(K1028)&lt;J1028),"🟡 FALTA EXECUTAR",IF(OR(M1028="PENDENTE",M1028="PARCIAL"),"🟡 FATURAMENTO PENDENTE","🟡 EMBARQUE PENDENTE")))))))))))</f>
        <v/>
      </c>
      <c r="D1028" s="4" t="n"/>
      <c r="E1028" s="5" t="n"/>
      <c r="F1028" s="5" t="n"/>
      <c r="G1028" s="5" t="n"/>
      <c r="H1028" s="5" t="n"/>
      <c r="I1028" s="5" t="n"/>
      <c r="J1028" s="6" t="n"/>
      <c r="K1028" s="6" t="n"/>
      <c r="L1028" s="7">
        <f>IF(OR(D1028="",N(J1028)=0),"",MIN(1,N(K1028)/J1028))</f>
        <v/>
      </c>
      <c r="M1028" s="5" t="n"/>
      <c r="N1028" s="5" t="n"/>
      <c r="O1028" s="5" t="n"/>
      <c r="P1028" s="5" t="n"/>
      <c r="Q1028" s="5" t="n"/>
      <c r="R1028" s="4" t="n"/>
      <c r="S1028" s="4" t="n"/>
      <c r="T1028" s="5" t="n"/>
      <c r="U1028" s="8">
        <f>IF(AND(V1028=1,D1028&lt;&gt;""),IF(D1028&gt;=corte,TODAY()-D1028,""),"")</f>
        <v/>
      </c>
      <c r="V1028" s="8">
        <f>IF(D1028="",0,IF(OR(AND(P1028&lt;&gt;"",S1028=""),AND(N(J1028)&gt;0,N(K1028)&lt;J1028),OR(M1028="PENDENTE",M1028="PARCIAL"),OR(N1028="PENDENTE",N1028="PARCIAL")),1,0))</f>
        <v/>
      </c>
      <c r="W1028" s="8">
        <f>IF(AND(V1028=1,D1028&lt;&gt;""),IF(D1028&gt;=corte,(B1028="CRÍTICO")*1E9+(100000-D1028)*10000+10000-ROW(),""),"")</f>
        <v/>
      </c>
      <c r="X1028" s="8">
        <f>IF(AND(V1028=1,D1028=pas_data,E1028=pas_turno),10000-ROW(),"")</f>
        <v/>
      </c>
    </row>
    <row r="1029">
      <c r="A1029" s="3">
        <f>IF(D1029="","","TT-"&amp;TEXT(ROW()-1,"00000"))</f>
        <v/>
      </c>
      <c r="B1029" s="3">
        <f>IF(D1029="","",IF(V1029=0,"CONCLUÍDO",IF(D1029&lt;corte,"HISTÓRICO",IF(OR(AND(ISNUMBER(R1029),R1029&lt;TODAY()),AND(OR(N1029="PENDENTE",N1029="PARCIAL"),D1029&lt;TODAY()-1)),"CRÍTICO",IF(OR(AND(P1029&lt;&gt;"",S1029=""),AND(N1029="REALIZADO",M1029="PENDENTE"),AND(ISNUMBER(R1029),R1029=TODAY())),"ATENÇÃO",IF(N(K1029)=0,"PENDENTE","EM ANDAMENTO"))))))</f>
        <v/>
      </c>
      <c r="C1029" s="3">
        <f>IF(D1029="","",IF(V1029=0,"🟢 OK",IF(D1029&lt;corte,"⚪ HISTÓRICO (sem baixa)",IF(AND(ISNUMBER(R1029),R1029&lt;TODAY()),"🔴 PRAZO VENCIDO",IF(AND(OR(N1029="PENDENTE",N1029="PARCIAL"),D1029&lt;TODAY()-1),"🔴 EMBARQUE ATRASADO",IF(AND(N1029="REALIZADO",M1029="PENDENTE"),"🟡 EMBARCADO SEM FATURAR",IF(AND(P1029&lt;&gt;"",S1029="",OR(Q1029="",R1029="")),"🟡 PENDÊNCIA SEM RESPONSÁVEL/PRAZO",IF(AND(ISNUMBER(R1029),R1029=TODAY()),"🟡 VENCE HOJE",IF(AND(P1029&lt;&gt;"",S1029=""),"🟡 PENDÊNCIA ABERTA",IF(AND(N(J1029)&gt;0,N(K1029)&lt;J1029),"🟡 FALTA EXECUTAR",IF(OR(M1029="PENDENTE",M1029="PARCIAL"),"🟡 FATURAMENTO PENDENTE","🟡 EMBARQUE PENDENTE")))))))))))</f>
        <v/>
      </c>
      <c r="D1029" s="4" t="n"/>
      <c r="E1029" s="5" t="n"/>
      <c r="F1029" s="5" t="n"/>
      <c r="G1029" s="5" t="n"/>
      <c r="H1029" s="5" t="n"/>
      <c r="I1029" s="5" t="n"/>
      <c r="J1029" s="6" t="n"/>
      <c r="K1029" s="6" t="n"/>
      <c r="L1029" s="7">
        <f>IF(OR(D1029="",N(J1029)=0),"",MIN(1,N(K1029)/J1029))</f>
        <v/>
      </c>
      <c r="M1029" s="5" t="n"/>
      <c r="N1029" s="5" t="n"/>
      <c r="O1029" s="5" t="n"/>
      <c r="P1029" s="5" t="n"/>
      <c r="Q1029" s="5" t="n"/>
      <c r="R1029" s="4" t="n"/>
      <c r="S1029" s="4" t="n"/>
      <c r="T1029" s="5" t="n"/>
      <c r="U1029" s="8">
        <f>IF(AND(V1029=1,D1029&lt;&gt;""),IF(D1029&gt;=corte,TODAY()-D1029,""),"")</f>
        <v/>
      </c>
      <c r="V1029" s="8">
        <f>IF(D1029="",0,IF(OR(AND(P1029&lt;&gt;"",S1029=""),AND(N(J1029)&gt;0,N(K1029)&lt;J1029),OR(M1029="PENDENTE",M1029="PARCIAL"),OR(N1029="PENDENTE",N1029="PARCIAL")),1,0))</f>
        <v/>
      </c>
      <c r="W1029" s="8">
        <f>IF(AND(V1029=1,D1029&lt;&gt;""),IF(D1029&gt;=corte,(B1029="CRÍTICO")*1E9+(100000-D1029)*10000+10000-ROW(),""),"")</f>
        <v/>
      </c>
      <c r="X1029" s="8">
        <f>IF(AND(V1029=1,D1029=pas_data,E1029=pas_turno),10000-ROW(),"")</f>
        <v/>
      </c>
    </row>
    <row r="1030">
      <c r="A1030" s="3">
        <f>IF(D1030="","","TT-"&amp;TEXT(ROW()-1,"00000"))</f>
        <v/>
      </c>
      <c r="B1030" s="3">
        <f>IF(D1030="","",IF(V1030=0,"CONCLUÍDO",IF(D1030&lt;corte,"HISTÓRICO",IF(OR(AND(ISNUMBER(R1030),R1030&lt;TODAY()),AND(OR(N1030="PENDENTE",N1030="PARCIAL"),D1030&lt;TODAY()-1)),"CRÍTICO",IF(OR(AND(P1030&lt;&gt;"",S1030=""),AND(N1030="REALIZADO",M1030="PENDENTE"),AND(ISNUMBER(R1030),R1030=TODAY())),"ATENÇÃO",IF(N(K1030)=0,"PENDENTE","EM ANDAMENTO"))))))</f>
        <v/>
      </c>
      <c r="C1030" s="3">
        <f>IF(D1030="","",IF(V1030=0,"🟢 OK",IF(D1030&lt;corte,"⚪ HISTÓRICO (sem baixa)",IF(AND(ISNUMBER(R1030),R1030&lt;TODAY()),"🔴 PRAZO VENCIDO",IF(AND(OR(N1030="PENDENTE",N1030="PARCIAL"),D1030&lt;TODAY()-1),"🔴 EMBARQUE ATRASADO",IF(AND(N1030="REALIZADO",M1030="PENDENTE"),"🟡 EMBARCADO SEM FATURAR",IF(AND(P1030&lt;&gt;"",S1030="",OR(Q1030="",R1030="")),"🟡 PENDÊNCIA SEM RESPONSÁVEL/PRAZO",IF(AND(ISNUMBER(R1030),R1030=TODAY()),"🟡 VENCE HOJE",IF(AND(P1030&lt;&gt;"",S1030=""),"🟡 PENDÊNCIA ABERTA",IF(AND(N(J1030)&gt;0,N(K1030)&lt;J1030),"🟡 FALTA EXECUTAR",IF(OR(M1030="PENDENTE",M1030="PARCIAL"),"🟡 FATURAMENTO PENDENTE","🟡 EMBARQUE PENDENTE")))))))))))</f>
        <v/>
      </c>
      <c r="D1030" s="4" t="n"/>
      <c r="E1030" s="5" t="n"/>
      <c r="F1030" s="5" t="n"/>
      <c r="G1030" s="5" t="n"/>
      <c r="H1030" s="5" t="n"/>
      <c r="I1030" s="5" t="n"/>
      <c r="J1030" s="6" t="n"/>
      <c r="K1030" s="6" t="n"/>
      <c r="L1030" s="7">
        <f>IF(OR(D1030="",N(J1030)=0),"",MIN(1,N(K1030)/J1030))</f>
        <v/>
      </c>
      <c r="M1030" s="5" t="n"/>
      <c r="N1030" s="5" t="n"/>
      <c r="O1030" s="5" t="n"/>
      <c r="P1030" s="5" t="n"/>
      <c r="Q1030" s="5" t="n"/>
      <c r="R1030" s="4" t="n"/>
      <c r="S1030" s="4" t="n"/>
      <c r="T1030" s="5" t="n"/>
      <c r="U1030" s="8">
        <f>IF(AND(V1030=1,D1030&lt;&gt;""),IF(D1030&gt;=corte,TODAY()-D1030,""),"")</f>
        <v/>
      </c>
      <c r="V1030" s="8">
        <f>IF(D1030="",0,IF(OR(AND(P1030&lt;&gt;"",S1030=""),AND(N(J1030)&gt;0,N(K1030)&lt;J1030),OR(M1030="PENDENTE",M1030="PARCIAL"),OR(N1030="PENDENTE",N1030="PARCIAL")),1,0))</f>
        <v/>
      </c>
      <c r="W1030" s="8">
        <f>IF(AND(V1030=1,D1030&lt;&gt;""),IF(D1030&gt;=corte,(B1030="CRÍTICO")*1E9+(100000-D1030)*10000+10000-ROW(),""),"")</f>
        <v/>
      </c>
      <c r="X1030" s="8">
        <f>IF(AND(V1030=1,D1030=pas_data,E1030=pas_turno),10000-ROW(),"")</f>
        <v/>
      </c>
    </row>
    <row r="1031">
      <c r="A1031" s="3">
        <f>IF(D1031="","","TT-"&amp;TEXT(ROW()-1,"00000"))</f>
        <v/>
      </c>
      <c r="B1031" s="3">
        <f>IF(D1031="","",IF(V1031=0,"CONCLUÍDO",IF(D1031&lt;corte,"HISTÓRICO",IF(OR(AND(ISNUMBER(R1031),R1031&lt;TODAY()),AND(OR(N1031="PENDENTE",N1031="PARCIAL"),D1031&lt;TODAY()-1)),"CRÍTICO",IF(OR(AND(P1031&lt;&gt;"",S1031=""),AND(N1031="REALIZADO",M1031="PENDENTE"),AND(ISNUMBER(R1031),R1031=TODAY())),"ATENÇÃO",IF(N(K1031)=0,"PENDENTE","EM ANDAMENTO"))))))</f>
        <v/>
      </c>
      <c r="C1031" s="3">
        <f>IF(D1031="","",IF(V1031=0,"🟢 OK",IF(D1031&lt;corte,"⚪ HISTÓRICO (sem baixa)",IF(AND(ISNUMBER(R1031),R1031&lt;TODAY()),"🔴 PRAZO VENCIDO",IF(AND(OR(N1031="PENDENTE",N1031="PARCIAL"),D1031&lt;TODAY()-1),"🔴 EMBARQUE ATRASADO",IF(AND(N1031="REALIZADO",M1031="PENDENTE"),"🟡 EMBARCADO SEM FATURAR",IF(AND(P1031&lt;&gt;"",S1031="",OR(Q1031="",R1031="")),"🟡 PENDÊNCIA SEM RESPONSÁVEL/PRAZO",IF(AND(ISNUMBER(R1031),R1031=TODAY()),"🟡 VENCE HOJE",IF(AND(P1031&lt;&gt;"",S1031=""),"🟡 PENDÊNCIA ABERTA",IF(AND(N(J1031)&gt;0,N(K1031)&lt;J1031),"🟡 FALTA EXECUTAR",IF(OR(M1031="PENDENTE",M1031="PARCIAL"),"🟡 FATURAMENTO PENDENTE","🟡 EMBARQUE PENDENTE")))))))))))</f>
        <v/>
      </c>
      <c r="D1031" s="4" t="n"/>
      <c r="E1031" s="5" t="n"/>
      <c r="F1031" s="5" t="n"/>
      <c r="G1031" s="5" t="n"/>
      <c r="H1031" s="5" t="n"/>
      <c r="I1031" s="5" t="n"/>
      <c r="J1031" s="6" t="n"/>
      <c r="K1031" s="6" t="n"/>
      <c r="L1031" s="7">
        <f>IF(OR(D1031="",N(J1031)=0),"",MIN(1,N(K1031)/J1031))</f>
        <v/>
      </c>
      <c r="M1031" s="5" t="n"/>
      <c r="N1031" s="5" t="n"/>
      <c r="O1031" s="5" t="n"/>
      <c r="P1031" s="5" t="n"/>
      <c r="Q1031" s="5" t="n"/>
      <c r="R1031" s="4" t="n"/>
      <c r="S1031" s="4" t="n"/>
      <c r="T1031" s="5" t="n"/>
      <c r="U1031" s="8">
        <f>IF(AND(V1031=1,D1031&lt;&gt;""),IF(D1031&gt;=corte,TODAY()-D1031,""),"")</f>
        <v/>
      </c>
      <c r="V1031" s="8">
        <f>IF(D1031="",0,IF(OR(AND(P1031&lt;&gt;"",S1031=""),AND(N(J1031)&gt;0,N(K1031)&lt;J1031),OR(M1031="PENDENTE",M1031="PARCIAL"),OR(N1031="PENDENTE",N1031="PARCIAL")),1,0))</f>
        <v/>
      </c>
      <c r="W1031" s="8">
        <f>IF(AND(V1031=1,D1031&lt;&gt;""),IF(D1031&gt;=corte,(B1031="CRÍTICO")*1E9+(100000-D1031)*10000+10000-ROW(),""),"")</f>
        <v/>
      </c>
      <c r="X1031" s="8">
        <f>IF(AND(V1031=1,D1031=pas_data,E1031=pas_turno),10000-ROW(),"")</f>
        <v/>
      </c>
    </row>
    <row r="1032">
      <c r="A1032" s="3">
        <f>IF(D1032="","","TT-"&amp;TEXT(ROW()-1,"00000"))</f>
        <v/>
      </c>
      <c r="B1032" s="3">
        <f>IF(D1032="","",IF(V1032=0,"CONCLUÍDO",IF(D1032&lt;corte,"HISTÓRICO",IF(OR(AND(ISNUMBER(R1032),R1032&lt;TODAY()),AND(OR(N1032="PENDENTE",N1032="PARCIAL"),D1032&lt;TODAY()-1)),"CRÍTICO",IF(OR(AND(P1032&lt;&gt;"",S1032=""),AND(N1032="REALIZADO",M1032="PENDENTE"),AND(ISNUMBER(R1032),R1032=TODAY())),"ATENÇÃO",IF(N(K1032)=0,"PENDENTE","EM ANDAMENTO"))))))</f>
        <v/>
      </c>
      <c r="C1032" s="3">
        <f>IF(D1032="","",IF(V1032=0,"🟢 OK",IF(D1032&lt;corte,"⚪ HISTÓRICO (sem baixa)",IF(AND(ISNUMBER(R1032),R1032&lt;TODAY()),"🔴 PRAZO VENCIDO",IF(AND(OR(N1032="PENDENTE",N1032="PARCIAL"),D1032&lt;TODAY()-1),"🔴 EMBARQUE ATRASADO",IF(AND(N1032="REALIZADO",M1032="PENDENTE"),"🟡 EMBARCADO SEM FATURAR",IF(AND(P1032&lt;&gt;"",S1032="",OR(Q1032="",R1032="")),"🟡 PENDÊNCIA SEM RESPONSÁVEL/PRAZO",IF(AND(ISNUMBER(R1032),R1032=TODAY()),"🟡 VENCE HOJE",IF(AND(P1032&lt;&gt;"",S1032=""),"🟡 PENDÊNCIA ABERTA",IF(AND(N(J1032)&gt;0,N(K1032)&lt;J1032),"🟡 FALTA EXECUTAR",IF(OR(M1032="PENDENTE",M1032="PARCIAL"),"🟡 FATURAMENTO PENDENTE","🟡 EMBARQUE PENDENTE")))))))))))</f>
        <v/>
      </c>
      <c r="D1032" s="4" t="n"/>
      <c r="E1032" s="5" t="n"/>
      <c r="F1032" s="5" t="n"/>
      <c r="G1032" s="5" t="n"/>
      <c r="H1032" s="5" t="n"/>
      <c r="I1032" s="5" t="n"/>
      <c r="J1032" s="6" t="n"/>
      <c r="K1032" s="6" t="n"/>
      <c r="L1032" s="7">
        <f>IF(OR(D1032="",N(J1032)=0),"",MIN(1,N(K1032)/J1032))</f>
        <v/>
      </c>
      <c r="M1032" s="5" t="n"/>
      <c r="N1032" s="5" t="n"/>
      <c r="O1032" s="5" t="n"/>
      <c r="P1032" s="5" t="n"/>
      <c r="Q1032" s="5" t="n"/>
      <c r="R1032" s="4" t="n"/>
      <c r="S1032" s="4" t="n"/>
      <c r="T1032" s="5" t="n"/>
      <c r="U1032" s="8">
        <f>IF(AND(V1032=1,D1032&lt;&gt;""),IF(D1032&gt;=corte,TODAY()-D1032,""),"")</f>
        <v/>
      </c>
      <c r="V1032" s="8">
        <f>IF(D1032="",0,IF(OR(AND(P1032&lt;&gt;"",S1032=""),AND(N(J1032)&gt;0,N(K1032)&lt;J1032),OR(M1032="PENDENTE",M1032="PARCIAL"),OR(N1032="PENDENTE",N1032="PARCIAL")),1,0))</f>
        <v/>
      </c>
      <c r="W1032" s="8">
        <f>IF(AND(V1032=1,D1032&lt;&gt;""),IF(D1032&gt;=corte,(B1032="CRÍTICO")*1E9+(100000-D1032)*10000+10000-ROW(),""),"")</f>
        <v/>
      </c>
      <c r="X1032" s="8">
        <f>IF(AND(V1032=1,D1032=pas_data,E1032=pas_turno),10000-ROW(),"")</f>
        <v/>
      </c>
    </row>
    <row r="1033">
      <c r="A1033" s="3">
        <f>IF(D1033="","","TT-"&amp;TEXT(ROW()-1,"00000"))</f>
        <v/>
      </c>
      <c r="B1033" s="3">
        <f>IF(D1033="","",IF(V1033=0,"CONCLUÍDO",IF(D1033&lt;corte,"HISTÓRICO",IF(OR(AND(ISNUMBER(R1033),R1033&lt;TODAY()),AND(OR(N1033="PENDENTE",N1033="PARCIAL"),D1033&lt;TODAY()-1)),"CRÍTICO",IF(OR(AND(P1033&lt;&gt;"",S1033=""),AND(N1033="REALIZADO",M1033="PENDENTE"),AND(ISNUMBER(R1033),R1033=TODAY())),"ATENÇÃO",IF(N(K1033)=0,"PENDENTE","EM ANDAMENTO"))))))</f>
        <v/>
      </c>
      <c r="C1033" s="3">
        <f>IF(D1033="","",IF(V1033=0,"🟢 OK",IF(D1033&lt;corte,"⚪ HISTÓRICO (sem baixa)",IF(AND(ISNUMBER(R1033),R1033&lt;TODAY()),"🔴 PRAZO VENCIDO",IF(AND(OR(N1033="PENDENTE",N1033="PARCIAL"),D1033&lt;TODAY()-1),"🔴 EMBARQUE ATRASADO",IF(AND(N1033="REALIZADO",M1033="PENDENTE"),"🟡 EMBARCADO SEM FATURAR",IF(AND(P1033&lt;&gt;"",S1033="",OR(Q1033="",R1033="")),"🟡 PENDÊNCIA SEM RESPONSÁVEL/PRAZO",IF(AND(ISNUMBER(R1033),R1033=TODAY()),"🟡 VENCE HOJE",IF(AND(P1033&lt;&gt;"",S1033=""),"🟡 PENDÊNCIA ABERTA",IF(AND(N(J1033)&gt;0,N(K1033)&lt;J1033),"🟡 FALTA EXECUTAR",IF(OR(M1033="PENDENTE",M1033="PARCIAL"),"🟡 FATURAMENTO PENDENTE","🟡 EMBARQUE PENDENTE")))))))))))</f>
        <v/>
      </c>
      <c r="D1033" s="4" t="n"/>
      <c r="E1033" s="5" t="n"/>
      <c r="F1033" s="5" t="n"/>
      <c r="G1033" s="5" t="n"/>
      <c r="H1033" s="5" t="n"/>
      <c r="I1033" s="5" t="n"/>
      <c r="J1033" s="6" t="n"/>
      <c r="K1033" s="6" t="n"/>
      <c r="L1033" s="7">
        <f>IF(OR(D1033="",N(J1033)=0),"",MIN(1,N(K1033)/J1033))</f>
        <v/>
      </c>
      <c r="M1033" s="5" t="n"/>
      <c r="N1033" s="5" t="n"/>
      <c r="O1033" s="5" t="n"/>
      <c r="P1033" s="5" t="n"/>
      <c r="Q1033" s="5" t="n"/>
      <c r="R1033" s="4" t="n"/>
      <c r="S1033" s="4" t="n"/>
      <c r="T1033" s="5" t="n"/>
      <c r="U1033" s="8">
        <f>IF(AND(V1033=1,D1033&lt;&gt;""),IF(D1033&gt;=corte,TODAY()-D1033,""),"")</f>
        <v/>
      </c>
      <c r="V1033" s="8">
        <f>IF(D1033="",0,IF(OR(AND(P1033&lt;&gt;"",S1033=""),AND(N(J1033)&gt;0,N(K1033)&lt;J1033),OR(M1033="PENDENTE",M1033="PARCIAL"),OR(N1033="PENDENTE",N1033="PARCIAL")),1,0))</f>
        <v/>
      </c>
      <c r="W1033" s="8">
        <f>IF(AND(V1033=1,D1033&lt;&gt;""),IF(D1033&gt;=corte,(B1033="CRÍTICO")*1E9+(100000-D1033)*10000+10000-ROW(),""),"")</f>
        <v/>
      </c>
      <c r="X1033" s="8">
        <f>IF(AND(V1033=1,D1033=pas_data,E1033=pas_turno),10000-ROW(),"")</f>
        <v/>
      </c>
    </row>
    <row r="1034">
      <c r="A1034" s="3">
        <f>IF(D1034="","","TT-"&amp;TEXT(ROW()-1,"00000"))</f>
        <v/>
      </c>
      <c r="B1034" s="3">
        <f>IF(D1034="","",IF(V1034=0,"CONCLUÍDO",IF(D1034&lt;corte,"HISTÓRICO",IF(OR(AND(ISNUMBER(R1034),R1034&lt;TODAY()),AND(OR(N1034="PENDENTE",N1034="PARCIAL"),D1034&lt;TODAY()-1)),"CRÍTICO",IF(OR(AND(P1034&lt;&gt;"",S1034=""),AND(N1034="REALIZADO",M1034="PENDENTE"),AND(ISNUMBER(R1034),R1034=TODAY())),"ATENÇÃO",IF(N(K1034)=0,"PENDENTE","EM ANDAMENTO"))))))</f>
        <v/>
      </c>
      <c r="C1034" s="3">
        <f>IF(D1034="","",IF(V1034=0,"🟢 OK",IF(D1034&lt;corte,"⚪ HISTÓRICO (sem baixa)",IF(AND(ISNUMBER(R1034),R1034&lt;TODAY()),"🔴 PRAZO VENCIDO",IF(AND(OR(N1034="PENDENTE",N1034="PARCIAL"),D1034&lt;TODAY()-1),"🔴 EMBARQUE ATRASADO",IF(AND(N1034="REALIZADO",M1034="PENDENTE"),"🟡 EMBARCADO SEM FATURAR",IF(AND(P1034&lt;&gt;"",S1034="",OR(Q1034="",R1034="")),"🟡 PENDÊNCIA SEM RESPONSÁVEL/PRAZO",IF(AND(ISNUMBER(R1034),R1034=TODAY()),"🟡 VENCE HOJE",IF(AND(P1034&lt;&gt;"",S1034=""),"🟡 PENDÊNCIA ABERTA",IF(AND(N(J1034)&gt;0,N(K1034)&lt;J1034),"🟡 FALTA EXECUTAR",IF(OR(M1034="PENDENTE",M1034="PARCIAL"),"🟡 FATURAMENTO PENDENTE","🟡 EMBARQUE PENDENTE")))))))))))</f>
        <v/>
      </c>
      <c r="D1034" s="4" t="n"/>
      <c r="E1034" s="5" t="n"/>
      <c r="F1034" s="5" t="n"/>
      <c r="G1034" s="5" t="n"/>
      <c r="H1034" s="5" t="n"/>
      <c r="I1034" s="5" t="n"/>
      <c r="J1034" s="6" t="n"/>
      <c r="K1034" s="6" t="n"/>
      <c r="L1034" s="7">
        <f>IF(OR(D1034="",N(J1034)=0),"",MIN(1,N(K1034)/J1034))</f>
        <v/>
      </c>
      <c r="M1034" s="5" t="n"/>
      <c r="N1034" s="5" t="n"/>
      <c r="O1034" s="5" t="n"/>
      <c r="P1034" s="5" t="n"/>
      <c r="Q1034" s="5" t="n"/>
      <c r="R1034" s="4" t="n"/>
      <c r="S1034" s="4" t="n"/>
      <c r="T1034" s="5" t="n"/>
      <c r="U1034" s="8">
        <f>IF(AND(V1034=1,D1034&lt;&gt;""),IF(D1034&gt;=corte,TODAY()-D1034,""),"")</f>
        <v/>
      </c>
      <c r="V1034" s="8">
        <f>IF(D1034="",0,IF(OR(AND(P1034&lt;&gt;"",S1034=""),AND(N(J1034)&gt;0,N(K1034)&lt;J1034),OR(M1034="PENDENTE",M1034="PARCIAL"),OR(N1034="PENDENTE",N1034="PARCIAL")),1,0))</f>
        <v/>
      </c>
      <c r="W1034" s="8">
        <f>IF(AND(V1034=1,D1034&lt;&gt;""),IF(D1034&gt;=corte,(B1034="CRÍTICO")*1E9+(100000-D1034)*10000+10000-ROW(),""),"")</f>
        <v/>
      </c>
      <c r="X1034" s="8">
        <f>IF(AND(V1034=1,D1034=pas_data,E1034=pas_turno),10000-ROW(),"")</f>
        <v/>
      </c>
    </row>
    <row r="1035">
      <c r="A1035" s="3">
        <f>IF(D1035="","","TT-"&amp;TEXT(ROW()-1,"00000"))</f>
        <v/>
      </c>
      <c r="B1035" s="3">
        <f>IF(D1035="","",IF(V1035=0,"CONCLUÍDO",IF(D1035&lt;corte,"HISTÓRICO",IF(OR(AND(ISNUMBER(R1035),R1035&lt;TODAY()),AND(OR(N1035="PENDENTE",N1035="PARCIAL"),D1035&lt;TODAY()-1)),"CRÍTICO",IF(OR(AND(P1035&lt;&gt;"",S1035=""),AND(N1035="REALIZADO",M1035="PENDENTE"),AND(ISNUMBER(R1035),R1035=TODAY())),"ATENÇÃO",IF(N(K1035)=0,"PENDENTE","EM ANDAMENTO"))))))</f>
        <v/>
      </c>
      <c r="C1035" s="3">
        <f>IF(D1035="","",IF(V1035=0,"🟢 OK",IF(D1035&lt;corte,"⚪ HISTÓRICO (sem baixa)",IF(AND(ISNUMBER(R1035),R1035&lt;TODAY()),"🔴 PRAZO VENCIDO",IF(AND(OR(N1035="PENDENTE",N1035="PARCIAL"),D1035&lt;TODAY()-1),"🔴 EMBARQUE ATRASADO",IF(AND(N1035="REALIZADO",M1035="PENDENTE"),"🟡 EMBARCADO SEM FATURAR",IF(AND(P1035&lt;&gt;"",S1035="",OR(Q1035="",R1035="")),"🟡 PENDÊNCIA SEM RESPONSÁVEL/PRAZO",IF(AND(ISNUMBER(R1035),R1035=TODAY()),"🟡 VENCE HOJE",IF(AND(P1035&lt;&gt;"",S1035=""),"🟡 PENDÊNCIA ABERTA",IF(AND(N(J1035)&gt;0,N(K1035)&lt;J1035),"🟡 FALTA EXECUTAR",IF(OR(M1035="PENDENTE",M1035="PARCIAL"),"🟡 FATURAMENTO PENDENTE","🟡 EMBARQUE PENDENTE")))))))))))</f>
        <v/>
      </c>
      <c r="D1035" s="4" t="n"/>
      <c r="E1035" s="5" t="n"/>
      <c r="F1035" s="5" t="n"/>
      <c r="G1035" s="5" t="n"/>
      <c r="H1035" s="5" t="n"/>
      <c r="I1035" s="5" t="n"/>
      <c r="J1035" s="6" t="n"/>
      <c r="K1035" s="6" t="n"/>
      <c r="L1035" s="7">
        <f>IF(OR(D1035="",N(J1035)=0),"",MIN(1,N(K1035)/J1035))</f>
        <v/>
      </c>
      <c r="M1035" s="5" t="n"/>
      <c r="N1035" s="5" t="n"/>
      <c r="O1035" s="5" t="n"/>
      <c r="P1035" s="5" t="n"/>
      <c r="Q1035" s="5" t="n"/>
      <c r="R1035" s="4" t="n"/>
      <c r="S1035" s="4" t="n"/>
      <c r="T1035" s="5" t="n"/>
      <c r="U1035" s="8">
        <f>IF(AND(V1035=1,D1035&lt;&gt;""),IF(D1035&gt;=corte,TODAY()-D1035,""),"")</f>
        <v/>
      </c>
      <c r="V1035" s="8">
        <f>IF(D1035="",0,IF(OR(AND(P1035&lt;&gt;"",S1035=""),AND(N(J1035)&gt;0,N(K1035)&lt;J1035),OR(M1035="PENDENTE",M1035="PARCIAL"),OR(N1035="PENDENTE",N1035="PARCIAL")),1,0))</f>
        <v/>
      </c>
      <c r="W1035" s="8">
        <f>IF(AND(V1035=1,D1035&lt;&gt;""),IF(D1035&gt;=corte,(B1035="CRÍTICO")*1E9+(100000-D1035)*10000+10000-ROW(),""),"")</f>
        <v/>
      </c>
      <c r="X1035" s="8">
        <f>IF(AND(V1035=1,D1035=pas_data,E1035=pas_turno),10000-ROW(),"")</f>
        <v/>
      </c>
    </row>
    <row r="1036">
      <c r="A1036" s="3">
        <f>IF(D1036="","","TT-"&amp;TEXT(ROW()-1,"00000"))</f>
        <v/>
      </c>
      <c r="B1036" s="3">
        <f>IF(D1036="","",IF(V1036=0,"CONCLUÍDO",IF(D1036&lt;corte,"HISTÓRICO",IF(OR(AND(ISNUMBER(R1036),R1036&lt;TODAY()),AND(OR(N1036="PENDENTE",N1036="PARCIAL"),D1036&lt;TODAY()-1)),"CRÍTICO",IF(OR(AND(P1036&lt;&gt;"",S1036=""),AND(N1036="REALIZADO",M1036="PENDENTE"),AND(ISNUMBER(R1036),R1036=TODAY())),"ATENÇÃO",IF(N(K1036)=0,"PENDENTE","EM ANDAMENTO"))))))</f>
        <v/>
      </c>
      <c r="C1036" s="3">
        <f>IF(D1036="","",IF(V1036=0,"🟢 OK",IF(D1036&lt;corte,"⚪ HISTÓRICO (sem baixa)",IF(AND(ISNUMBER(R1036),R1036&lt;TODAY()),"🔴 PRAZO VENCIDO",IF(AND(OR(N1036="PENDENTE",N1036="PARCIAL"),D1036&lt;TODAY()-1),"🔴 EMBARQUE ATRASADO",IF(AND(N1036="REALIZADO",M1036="PENDENTE"),"🟡 EMBARCADO SEM FATURAR",IF(AND(P1036&lt;&gt;"",S1036="",OR(Q1036="",R1036="")),"🟡 PENDÊNCIA SEM RESPONSÁVEL/PRAZO",IF(AND(ISNUMBER(R1036),R1036=TODAY()),"🟡 VENCE HOJE",IF(AND(P1036&lt;&gt;"",S1036=""),"🟡 PENDÊNCIA ABERTA",IF(AND(N(J1036)&gt;0,N(K1036)&lt;J1036),"🟡 FALTA EXECUTAR",IF(OR(M1036="PENDENTE",M1036="PARCIAL"),"🟡 FATURAMENTO PENDENTE","🟡 EMBARQUE PENDENTE")))))))))))</f>
        <v/>
      </c>
      <c r="D1036" s="4" t="n"/>
      <c r="E1036" s="5" t="n"/>
      <c r="F1036" s="5" t="n"/>
      <c r="G1036" s="5" t="n"/>
      <c r="H1036" s="5" t="n"/>
      <c r="I1036" s="5" t="n"/>
      <c r="J1036" s="6" t="n"/>
      <c r="K1036" s="6" t="n"/>
      <c r="L1036" s="7">
        <f>IF(OR(D1036="",N(J1036)=0),"",MIN(1,N(K1036)/J1036))</f>
        <v/>
      </c>
      <c r="M1036" s="5" t="n"/>
      <c r="N1036" s="5" t="n"/>
      <c r="O1036" s="5" t="n"/>
      <c r="P1036" s="5" t="n"/>
      <c r="Q1036" s="5" t="n"/>
      <c r="R1036" s="4" t="n"/>
      <c r="S1036" s="4" t="n"/>
      <c r="T1036" s="5" t="n"/>
      <c r="U1036" s="8">
        <f>IF(AND(V1036=1,D1036&lt;&gt;""),IF(D1036&gt;=corte,TODAY()-D1036,""),"")</f>
        <v/>
      </c>
      <c r="V1036" s="8">
        <f>IF(D1036="",0,IF(OR(AND(P1036&lt;&gt;"",S1036=""),AND(N(J1036)&gt;0,N(K1036)&lt;J1036),OR(M1036="PENDENTE",M1036="PARCIAL"),OR(N1036="PENDENTE",N1036="PARCIAL")),1,0))</f>
        <v/>
      </c>
      <c r="W1036" s="8">
        <f>IF(AND(V1036=1,D1036&lt;&gt;""),IF(D1036&gt;=corte,(B1036="CRÍTICO")*1E9+(100000-D1036)*10000+10000-ROW(),""),"")</f>
        <v/>
      </c>
      <c r="X1036" s="8">
        <f>IF(AND(V1036=1,D1036=pas_data,E1036=pas_turno),10000-ROW(),"")</f>
        <v/>
      </c>
    </row>
    <row r="1037">
      <c r="A1037" s="3">
        <f>IF(D1037="","","TT-"&amp;TEXT(ROW()-1,"00000"))</f>
        <v/>
      </c>
      <c r="B1037" s="3">
        <f>IF(D1037="","",IF(V1037=0,"CONCLUÍDO",IF(D1037&lt;corte,"HISTÓRICO",IF(OR(AND(ISNUMBER(R1037),R1037&lt;TODAY()),AND(OR(N1037="PENDENTE",N1037="PARCIAL"),D1037&lt;TODAY()-1)),"CRÍTICO",IF(OR(AND(P1037&lt;&gt;"",S1037=""),AND(N1037="REALIZADO",M1037="PENDENTE"),AND(ISNUMBER(R1037),R1037=TODAY())),"ATENÇÃO",IF(N(K1037)=0,"PENDENTE","EM ANDAMENTO"))))))</f>
        <v/>
      </c>
      <c r="C1037" s="3">
        <f>IF(D1037="","",IF(V1037=0,"🟢 OK",IF(D1037&lt;corte,"⚪ HISTÓRICO (sem baixa)",IF(AND(ISNUMBER(R1037),R1037&lt;TODAY()),"🔴 PRAZO VENCIDO",IF(AND(OR(N1037="PENDENTE",N1037="PARCIAL"),D1037&lt;TODAY()-1),"🔴 EMBARQUE ATRASADO",IF(AND(N1037="REALIZADO",M1037="PENDENTE"),"🟡 EMBARCADO SEM FATURAR",IF(AND(P1037&lt;&gt;"",S1037="",OR(Q1037="",R1037="")),"🟡 PENDÊNCIA SEM RESPONSÁVEL/PRAZO",IF(AND(ISNUMBER(R1037),R1037=TODAY()),"🟡 VENCE HOJE",IF(AND(P1037&lt;&gt;"",S1037=""),"🟡 PENDÊNCIA ABERTA",IF(AND(N(J1037)&gt;0,N(K1037)&lt;J1037),"🟡 FALTA EXECUTAR",IF(OR(M1037="PENDENTE",M1037="PARCIAL"),"🟡 FATURAMENTO PENDENTE","🟡 EMBARQUE PENDENTE")))))))))))</f>
        <v/>
      </c>
      <c r="D1037" s="4" t="n"/>
      <c r="E1037" s="5" t="n"/>
      <c r="F1037" s="5" t="n"/>
      <c r="G1037" s="5" t="n"/>
      <c r="H1037" s="5" t="n"/>
      <c r="I1037" s="5" t="n"/>
      <c r="J1037" s="6" t="n"/>
      <c r="K1037" s="6" t="n"/>
      <c r="L1037" s="7">
        <f>IF(OR(D1037="",N(J1037)=0),"",MIN(1,N(K1037)/J1037))</f>
        <v/>
      </c>
      <c r="M1037" s="5" t="n"/>
      <c r="N1037" s="5" t="n"/>
      <c r="O1037" s="5" t="n"/>
      <c r="P1037" s="5" t="n"/>
      <c r="Q1037" s="5" t="n"/>
      <c r="R1037" s="4" t="n"/>
      <c r="S1037" s="4" t="n"/>
      <c r="T1037" s="5" t="n"/>
      <c r="U1037" s="8">
        <f>IF(AND(V1037=1,D1037&lt;&gt;""),IF(D1037&gt;=corte,TODAY()-D1037,""),"")</f>
        <v/>
      </c>
      <c r="V1037" s="8">
        <f>IF(D1037="",0,IF(OR(AND(P1037&lt;&gt;"",S1037=""),AND(N(J1037)&gt;0,N(K1037)&lt;J1037),OR(M1037="PENDENTE",M1037="PARCIAL"),OR(N1037="PENDENTE",N1037="PARCIAL")),1,0))</f>
        <v/>
      </c>
      <c r="W1037" s="8">
        <f>IF(AND(V1037=1,D1037&lt;&gt;""),IF(D1037&gt;=corte,(B1037="CRÍTICO")*1E9+(100000-D1037)*10000+10000-ROW(),""),"")</f>
        <v/>
      </c>
      <c r="X1037" s="8">
        <f>IF(AND(V1037=1,D1037=pas_data,E1037=pas_turno),10000-ROW(),"")</f>
        <v/>
      </c>
    </row>
    <row r="1038">
      <c r="A1038" s="3">
        <f>IF(D1038="","","TT-"&amp;TEXT(ROW()-1,"00000"))</f>
        <v/>
      </c>
      <c r="B1038" s="3">
        <f>IF(D1038="","",IF(V1038=0,"CONCLUÍDO",IF(D1038&lt;corte,"HISTÓRICO",IF(OR(AND(ISNUMBER(R1038),R1038&lt;TODAY()),AND(OR(N1038="PENDENTE",N1038="PARCIAL"),D1038&lt;TODAY()-1)),"CRÍTICO",IF(OR(AND(P1038&lt;&gt;"",S1038=""),AND(N1038="REALIZADO",M1038="PENDENTE"),AND(ISNUMBER(R1038),R1038=TODAY())),"ATENÇÃO",IF(N(K1038)=0,"PENDENTE","EM ANDAMENTO"))))))</f>
        <v/>
      </c>
      <c r="C1038" s="3">
        <f>IF(D1038="","",IF(V1038=0,"🟢 OK",IF(D1038&lt;corte,"⚪ HISTÓRICO (sem baixa)",IF(AND(ISNUMBER(R1038),R1038&lt;TODAY()),"🔴 PRAZO VENCIDO",IF(AND(OR(N1038="PENDENTE",N1038="PARCIAL"),D1038&lt;TODAY()-1),"🔴 EMBARQUE ATRASADO",IF(AND(N1038="REALIZADO",M1038="PENDENTE"),"🟡 EMBARCADO SEM FATURAR",IF(AND(P1038&lt;&gt;"",S1038="",OR(Q1038="",R1038="")),"🟡 PENDÊNCIA SEM RESPONSÁVEL/PRAZO",IF(AND(ISNUMBER(R1038),R1038=TODAY()),"🟡 VENCE HOJE",IF(AND(P1038&lt;&gt;"",S1038=""),"🟡 PENDÊNCIA ABERTA",IF(AND(N(J1038)&gt;0,N(K1038)&lt;J1038),"🟡 FALTA EXECUTAR",IF(OR(M1038="PENDENTE",M1038="PARCIAL"),"🟡 FATURAMENTO PENDENTE","🟡 EMBARQUE PENDENTE")))))))))))</f>
        <v/>
      </c>
      <c r="D1038" s="4" t="n"/>
      <c r="E1038" s="5" t="n"/>
      <c r="F1038" s="5" t="n"/>
      <c r="G1038" s="5" t="n"/>
      <c r="H1038" s="5" t="n"/>
      <c r="I1038" s="5" t="n"/>
      <c r="J1038" s="6" t="n"/>
      <c r="K1038" s="6" t="n"/>
      <c r="L1038" s="7">
        <f>IF(OR(D1038="",N(J1038)=0),"",MIN(1,N(K1038)/J1038))</f>
        <v/>
      </c>
      <c r="M1038" s="5" t="n"/>
      <c r="N1038" s="5" t="n"/>
      <c r="O1038" s="5" t="n"/>
      <c r="P1038" s="5" t="n"/>
      <c r="Q1038" s="5" t="n"/>
      <c r="R1038" s="4" t="n"/>
      <c r="S1038" s="4" t="n"/>
      <c r="T1038" s="5" t="n"/>
      <c r="U1038" s="8">
        <f>IF(AND(V1038=1,D1038&lt;&gt;""),IF(D1038&gt;=corte,TODAY()-D1038,""),"")</f>
        <v/>
      </c>
      <c r="V1038" s="8">
        <f>IF(D1038="",0,IF(OR(AND(P1038&lt;&gt;"",S1038=""),AND(N(J1038)&gt;0,N(K1038)&lt;J1038),OR(M1038="PENDENTE",M1038="PARCIAL"),OR(N1038="PENDENTE",N1038="PARCIAL")),1,0))</f>
        <v/>
      </c>
      <c r="W1038" s="8">
        <f>IF(AND(V1038=1,D1038&lt;&gt;""),IF(D1038&gt;=corte,(B1038="CRÍTICO")*1E9+(100000-D1038)*10000+10000-ROW(),""),"")</f>
        <v/>
      </c>
      <c r="X1038" s="8">
        <f>IF(AND(V1038=1,D1038=pas_data,E1038=pas_turno),10000-ROW(),"")</f>
        <v/>
      </c>
    </row>
    <row r="1039">
      <c r="A1039" s="3">
        <f>IF(D1039="","","TT-"&amp;TEXT(ROW()-1,"00000"))</f>
        <v/>
      </c>
      <c r="B1039" s="3">
        <f>IF(D1039="","",IF(V1039=0,"CONCLUÍDO",IF(D1039&lt;corte,"HISTÓRICO",IF(OR(AND(ISNUMBER(R1039),R1039&lt;TODAY()),AND(OR(N1039="PENDENTE",N1039="PARCIAL"),D1039&lt;TODAY()-1)),"CRÍTICO",IF(OR(AND(P1039&lt;&gt;"",S1039=""),AND(N1039="REALIZADO",M1039="PENDENTE"),AND(ISNUMBER(R1039),R1039=TODAY())),"ATENÇÃO",IF(N(K1039)=0,"PENDENTE","EM ANDAMENTO"))))))</f>
        <v/>
      </c>
      <c r="C1039" s="3">
        <f>IF(D1039="","",IF(V1039=0,"🟢 OK",IF(D1039&lt;corte,"⚪ HISTÓRICO (sem baixa)",IF(AND(ISNUMBER(R1039),R1039&lt;TODAY()),"🔴 PRAZO VENCIDO",IF(AND(OR(N1039="PENDENTE",N1039="PARCIAL"),D1039&lt;TODAY()-1),"🔴 EMBARQUE ATRASADO",IF(AND(N1039="REALIZADO",M1039="PENDENTE"),"🟡 EMBARCADO SEM FATURAR",IF(AND(P1039&lt;&gt;"",S1039="",OR(Q1039="",R1039="")),"🟡 PENDÊNCIA SEM RESPONSÁVEL/PRAZO",IF(AND(ISNUMBER(R1039),R1039=TODAY()),"🟡 VENCE HOJE",IF(AND(P1039&lt;&gt;"",S1039=""),"🟡 PENDÊNCIA ABERTA",IF(AND(N(J1039)&gt;0,N(K1039)&lt;J1039),"🟡 FALTA EXECUTAR",IF(OR(M1039="PENDENTE",M1039="PARCIAL"),"🟡 FATURAMENTO PENDENTE","🟡 EMBARQUE PENDENTE")))))))))))</f>
        <v/>
      </c>
      <c r="D1039" s="4" t="n"/>
      <c r="E1039" s="5" t="n"/>
      <c r="F1039" s="5" t="n"/>
      <c r="G1039" s="5" t="n"/>
      <c r="H1039" s="5" t="n"/>
      <c r="I1039" s="5" t="n"/>
      <c r="J1039" s="6" t="n"/>
      <c r="K1039" s="6" t="n"/>
      <c r="L1039" s="7">
        <f>IF(OR(D1039="",N(J1039)=0),"",MIN(1,N(K1039)/J1039))</f>
        <v/>
      </c>
      <c r="M1039" s="5" t="n"/>
      <c r="N1039" s="5" t="n"/>
      <c r="O1039" s="5" t="n"/>
      <c r="P1039" s="5" t="n"/>
      <c r="Q1039" s="5" t="n"/>
      <c r="R1039" s="4" t="n"/>
      <c r="S1039" s="4" t="n"/>
      <c r="T1039" s="5" t="n"/>
      <c r="U1039" s="8">
        <f>IF(AND(V1039=1,D1039&lt;&gt;""),IF(D1039&gt;=corte,TODAY()-D1039,""),"")</f>
        <v/>
      </c>
      <c r="V1039" s="8">
        <f>IF(D1039="",0,IF(OR(AND(P1039&lt;&gt;"",S1039=""),AND(N(J1039)&gt;0,N(K1039)&lt;J1039),OR(M1039="PENDENTE",M1039="PARCIAL"),OR(N1039="PENDENTE",N1039="PARCIAL")),1,0))</f>
        <v/>
      </c>
      <c r="W1039" s="8">
        <f>IF(AND(V1039=1,D1039&lt;&gt;""),IF(D1039&gt;=corte,(B1039="CRÍTICO")*1E9+(100000-D1039)*10000+10000-ROW(),""),"")</f>
        <v/>
      </c>
      <c r="X1039" s="8">
        <f>IF(AND(V1039=1,D1039=pas_data,E1039=pas_turno),10000-ROW(),"")</f>
        <v/>
      </c>
    </row>
    <row r="1040">
      <c r="A1040" s="3">
        <f>IF(D1040="","","TT-"&amp;TEXT(ROW()-1,"00000"))</f>
        <v/>
      </c>
      <c r="B1040" s="3">
        <f>IF(D1040="","",IF(V1040=0,"CONCLUÍDO",IF(D1040&lt;corte,"HISTÓRICO",IF(OR(AND(ISNUMBER(R1040),R1040&lt;TODAY()),AND(OR(N1040="PENDENTE",N1040="PARCIAL"),D1040&lt;TODAY()-1)),"CRÍTICO",IF(OR(AND(P1040&lt;&gt;"",S1040=""),AND(N1040="REALIZADO",M1040="PENDENTE"),AND(ISNUMBER(R1040),R1040=TODAY())),"ATENÇÃO",IF(N(K1040)=0,"PENDENTE","EM ANDAMENTO"))))))</f>
        <v/>
      </c>
      <c r="C1040" s="3">
        <f>IF(D1040="","",IF(V1040=0,"🟢 OK",IF(D1040&lt;corte,"⚪ HISTÓRICO (sem baixa)",IF(AND(ISNUMBER(R1040),R1040&lt;TODAY()),"🔴 PRAZO VENCIDO",IF(AND(OR(N1040="PENDENTE",N1040="PARCIAL"),D1040&lt;TODAY()-1),"🔴 EMBARQUE ATRASADO",IF(AND(N1040="REALIZADO",M1040="PENDENTE"),"🟡 EMBARCADO SEM FATURAR",IF(AND(P1040&lt;&gt;"",S1040="",OR(Q1040="",R1040="")),"🟡 PENDÊNCIA SEM RESPONSÁVEL/PRAZO",IF(AND(ISNUMBER(R1040),R1040=TODAY()),"🟡 VENCE HOJE",IF(AND(P1040&lt;&gt;"",S1040=""),"🟡 PENDÊNCIA ABERTA",IF(AND(N(J1040)&gt;0,N(K1040)&lt;J1040),"🟡 FALTA EXECUTAR",IF(OR(M1040="PENDENTE",M1040="PARCIAL"),"🟡 FATURAMENTO PENDENTE","🟡 EMBARQUE PENDENTE")))))))))))</f>
        <v/>
      </c>
      <c r="D1040" s="4" t="n"/>
      <c r="E1040" s="5" t="n"/>
      <c r="F1040" s="5" t="n"/>
      <c r="G1040" s="5" t="n"/>
      <c r="H1040" s="5" t="n"/>
      <c r="I1040" s="5" t="n"/>
      <c r="J1040" s="6" t="n"/>
      <c r="K1040" s="6" t="n"/>
      <c r="L1040" s="7">
        <f>IF(OR(D1040="",N(J1040)=0),"",MIN(1,N(K1040)/J1040))</f>
        <v/>
      </c>
      <c r="M1040" s="5" t="n"/>
      <c r="N1040" s="5" t="n"/>
      <c r="O1040" s="5" t="n"/>
      <c r="P1040" s="5" t="n"/>
      <c r="Q1040" s="5" t="n"/>
      <c r="R1040" s="4" t="n"/>
      <c r="S1040" s="4" t="n"/>
      <c r="T1040" s="5" t="n"/>
      <c r="U1040" s="8">
        <f>IF(AND(V1040=1,D1040&lt;&gt;""),IF(D1040&gt;=corte,TODAY()-D1040,""),"")</f>
        <v/>
      </c>
      <c r="V1040" s="8">
        <f>IF(D1040="",0,IF(OR(AND(P1040&lt;&gt;"",S1040=""),AND(N(J1040)&gt;0,N(K1040)&lt;J1040),OR(M1040="PENDENTE",M1040="PARCIAL"),OR(N1040="PENDENTE",N1040="PARCIAL")),1,0))</f>
        <v/>
      </c>
      <c r="W1040" s="8">
        <f>IF(AND(V1040=1,D1040&lt;&gt;""),IF(D1040&gt;=corte,(B1040="CRÍTICO")*1E9+(100000-D1040)*10000+10000-ROW(),""),"")</f>
        <v/>
      </c>
      <c r="X1040" s="8">
        <f>IF(AND(V1040=1,D1040=pas_data,E1040=pas_turno),10000-ROW(),"")</f>
        <v/>
      </c>
    </row>
    <row r="1041">
      <c r="A1041" s="3">
        <f>IF(D1041="","","TT-"&amp;TEXT(ROW()-1,"00000"))</f>
        <v/>
      </c>
      <c r="B1041" s="3">
        <f>IF(D1041="","",IF(V1041=0,"CONCLUÍDO",IF(D1041&lt;corte,"HISTÓRICO",IF(OR(AND(ISNUMBER(R1041),R1041&lt;TODAY()),AND(OR(N1041="PENDENTE",N1041="PARCIAL"),D1041&lt;TODAY()-1)),"CRÍTICO",IF(OR(AND(P1041&lt;&gt;"",S1041=""),AND(N1041="REALIZADO",M1041="PENDENTE"),AND(ISNUMBER(R1041),R1041=TODAY())),"ATENÇÃO",IF(N(K1041)=0,"PENDENTE","EM ANDAMENTO"))))))</f>
        <v/>
      </c>
      <c r="C1041" s="3">
        <f>IF(D1041="","",IF(V1041=0,"🟢 OK",IF(D1041&lt;corte,"⚪ HISTÓRICO (sem baixa)",IF(AND(ISNUMBER(R1041),R1041&lt;TODAY()),"🔴 PRAZO VENCIDO",IF(AND(OR(N1041="PENDENTE",N1041="PARCIAL"),D1041&lt;TODAY()-1),"🔴 EMBARQUE ATRASADO",IF(AND(N1041="REALIZADO",M1041="PENDENTE"),"🟡 EMBARCADO SEM FATURAR",IF(AND(P1041&lt;&gt;"",S1041="",OR(Q1041="",R1041="")),"🟡 PENDÊNCIA SEM RESPONSÁVEL/PRAZO",IF(AND(ISNUMBER(R1041),R1041=TODAY()),"🟡 VENCE HOJE",IF(AND(P1041&lt;&gt;"",S1041=""),"🟡 PENDÊNCIA ABERTA",IF(AND(N(J1041)&gt;0,N(K1041)&lt;J1041),"🟡 FALTA EXECUTAR",IF(OR(M1041="PENDENTE",M1041="PARCIAL"),"🟡 FATURAMENTO PENDENTE","🟡 EMBARQUE PENDENTE")))))))))))</f>
        <v/>
      </c>
      <c r="D1041" s="4" t="n"/>
      <c r="E1041" s="5" t="n"/>
      <c r="F1041" s="5" t="n"/>
      <c r="G1041" s="5" t="n"/>
      <c r="H1041" s="5" t="n"/>
      <c r="I1041" s="5" t="n"/>
      <c r="J1041" s="6" t="n"/>
      <c r="K1041" s="6" t="n"/>
      <c r="L1041" s="7">
        <f>IF(OR(D1041="",N(J1041)=0),"",MIN(1,N(K1041)/J1041))</f>
        <v/>
      </c>
      <c r="M1041" s="5" t="n"/>
      <c r="N1041" s="5" t="n"/>
      <c r="O1041" s="5" t="n"/>
      <c r="P1041" s="5" t="n"/>
      <c r="Q1041" s="5" t="n"/>
      <c r="R1041" s="4" t="n"/>
      <c r="S1041" s="4" t="n"/>
      <c r="T1041" s="5" t="n"/>
      <c r="U1041" s="8">
        <f>IF(AND(V1041=1,D1041&lt;&gt;""),IF(D1041&gt;=corte,TODAY()-D1041,""),"")</f>
        <v/>
      </c>
      <c r="V1041" s="8">
        <f>IF(D1041="",0,IF(OR(AND(P1041&lt;&gt;"",S1041=""),AND(N(J1041)&gt;0,N(K1041)&lt;J1041),OR(M1041="PENDENTE",M1041="PARCIAL"),OR(N1041="PENDENTE",N1041="PARCIAL")),1,0))</f>
        <v/>
      </c>
      <c r="W1041" s="8">
        <f>IF(AND(V1041=1,D1041&lt;&gt;""),IF(D1041&gt;=corte,(B1041="CRÍTICO")*1E9+(100000-D1041)*10000+10000-ROW(),""),"")</f>
        <v/>
      </c>
      <c r="X1041" s="8">
        <f>IF(AND(V1041=1,D1041=pas_data,E1041=pas_turno),10000-ROW(),"")</f>
        <v/>
      </c>
    </row>
    <row r="1042">
      <c r="A1042" s="3">
        <f>IF(D1042="","","TT-"&amp;TEXT(ROW()-1,"00000"))</f>
        <v/>
      </c>
      <c r="B1042" s="3">
        <f>IF(D1042="","",IF(V1042=0,"CONCLUÍDO",IF(D1042&lt;corte,"HISTÓRICO",IF(OR(AND(ISNUMBER(R1042),R1042&lt;TODAY()),AND(OR(N1042="PENDENTE",N1042="PARCIAL"),D1042&lt;TODAY()-1)),"CRÍTICO",IF(OR(AND(P1042&lt;&gt;"",S1042=""),AND(N1042="REALIZADO",M1042="PENDENTE"),AND(ISNUMBER(R1042),R1042=TODAY())),"ATENÇÃO",IF(N(K1042)=0,"PENDENTE","EM ANDAMENTO"))))))</f>
        <v/>
      </c>
      <c r="C1042" s="3">
        <f>IF(D1042="","",IF(V1042=0,"🟢 OK",IF(D1042&lt;corte,"⚪ HISTÓRICO (sem baixa)",IF(AND(ISNUMBER(R1042),R1042&lt;TODAY()),"🔴 PRAZO VENCIDO",IF(AND(OR(N1042="PENDENTE",N1042="PARCIAL"),D1042&lt;TODAY()-1),"🔴 EMBARQUE ATRASADO",IF(AND(N1042="REALIZADO",M1042="PENDENTE"),"🟡 EMBARCADO SEM FATURAR",IF(AND(P1042&lt;&gt;"",S1042="",OR(Q1042="",R1042="")),"🟡 PENDÊNCIA SEM RESPONSÁVEL/PRAZO",IF(AND(ISNUMBER(R1042),R1042=TODAY()),"🟡 VENCE HOJE",IF(AND(P1042&lt;&gt;"",S1042=""),"🟡 PENDÊNCIA ABERTA",IF(AND(N(J1042)&gt;0,N(K1042)&lt;J1042),"🟡 FALTA EXECUTAR",IF(OR(M1042="PENDENTE",M1042="PARCIAL"),"🟡 FATURAMENTO PENDENTE","🟡 EMBARQUE PENDENTE")))))))))))</f>
        <v/>
      </c>
      <c r="D1042" s="4" t="n"/>
      <c r="E1042" s="5" t="n"/>
      <c r="F1042" s="5" t="n"/>
      <c r="G1042" s="5" t="n"/>
      <c r="H1042" s="5" t="n"/>
      <c r="I1042" s="5" t="n"/>
      <c r="J1042" s="6" t="n"/>
      <c r="K1042" s="6" t="n"/>
      <c r="L1042" s="7">
        <f>IF(OR(D1042="",N(J1042)=0),"",MIN(1,N(K1042)/J1042))</f>
        <v/>
      </c>
      <c r="M1042" s="5" t="n"/>
      <c r="N1042" s="5" t="n"/>
      <c r="O1042" s="5" t="n"/>
      <c r="P1042" s="5" t="n"/>
      <c r="Q1042" s="5" t="n"/>
      <c r="R1042" s="4" t="n"/>
      <c r="S1042" s="4" t="n"/>
      <c r="T1042" s="5" t="n"/>
      <c r="U1042" s="8">
        <f>IF(AND(V1042=1,D1042&lt;&gt;""),IF(D1042&gt;=corte,TODAY()-D1042,""),"")</f>
        <v/>
      </c>
      <c r="V1042" s="8">
        <f>IF(D1042="",0,IF(OR(AND(P1042&lt;&gt;"",S1042=""),AND(N(J1042)&gt;0,N(K1042)&lt;J1042),OR(M1042="PENDENTE",M1042="PARCIAL"),OR(N1042="PENDENTE",N1042="PARCIAL")),1,0))</f>
        <v/>
      </c>
      <c r="W1042" s="8">
        <f>IF(AND(V1042=1,D1042&lt;&gt;""),IF(D1042&gt;=corte,(B1042="CRÍTICO")*1E9+(100000-D1042)*10000+10000-ROW(),""),"")</f>
        <v/>
      </c>
      <c r="X1042" s="8">
        <f>IF(AND(V1042=1,D1042=pas_data,E1042=pas_turno),10000-ROW(),"")</f>
        <v/>
      </c>
    </row>
    <row r="1043">
      <c r="A1043" s="3">
        <f>IF(D1043="","","TT-"&amp;TEXT(ROW()-1,"00000"))</f>
        <v/>
      </c>
      <c r="B1043" s="3">
        <f>IF(D1043="","",IF(V1043=0,"CONCLUÍDO",IF(D1043&lt;corte,"HISTÓRICO",IF(OR(AND(ISNUMBER(R1043),R1043&lt;TODAY()),AND(OR(N1043="PENDENTE",N1043="PARCIAL"),D1043&lt;TODAY()-1)),"CRÍTICO",IF(OR(AND(P1043&lt;&gt;"",S1043=""),AND(N1043="REALIZADO",M1043="PENDENTE"),AND(ISNUMBER(R1043),R1043=TODAY())),"ATENÇÃO",IF(N(K1043)=0,"PENDENTE","EM ANDAMENTO"))))))</f>
        <v/>
      </c>
      <c r="C1043" s="3">
        <f>IF(D1043="","",IF(V1043=0,"🟢 OK",IF(D1043&lt;corte,"⚪ HISTÓRICO (sem baixa)",IF(AND(ISNUMBER(R1043),R1043&lt;TODAY()),"🔴 PRAZO VENCIDO",IF(AND(OR(N1043="PENDENTE",N1043="PARCIAL"),D1043&lt;TODAY()-1),"🔴 EMBARQUE ATRASADO",IF(AND(N1043="REALIZADO",M1043="PENDENTE"),"🟡 EMBARCADO SEM FATURAR",IF(AND(P1043&lt;&gt;"",S1043="",OR(Q1043="",R1043="")),"🟡 PENDÊNCIA SEM RESPONSÁVEL/PRAZO",IF(AND(ISNUMBER(R1043),R1043=TODAY()),"🟡 VENCE HOJE",IF(AND(P1043&lt;&gt;"",S1043=""),"🟡 PENDÊNCIA ABERTA",IF(AND(N(J1043)&gt;0,N(K1043)&lt;J1043),"🟡 FALTA EXECUTAR",IF(OR(M1043="PENDENTE",M1043="PARCIAL"),"🟡 FATURAMENTO PENDENTE","🟡 EMBARQUE PENDENTE")))))))))))</f>
        <v/>
      </c>
      <c r="D1043" s="4" t="n"/>
      <c r="E1043" s="5" t="n"/>
      <c r="F1043" s="5" t="n"/>
      <c r="G1043" s="5" t="n"/>
      <c r="H1043" s="5" t="n"/>
      <c r="I1043" s="5" t="n"/>
      <c r="J1043" s="6" t="n"/>
      <c r="K1043" s="6" t="n"/>
      <c r="L1043" s="7">
        <f>IF(OR(D1043="",N(J1043)=0),"",MIN(1,N(K1043)/J1043))</f>
        <v/>
      </c>
      <c r="M1043" s="5" t="n"/>
      <c r="N1043" s="5" t="n"/>
      <c r="O1043" s="5" t="n"/>
      <c r="P1043" s="5" t="n"/>
      <c r="Q1043" s="5" t="n"/>
      <c r="R1043" s="4" t="n"/>
      <c r="S1043" s="4" t="n"/>
      <c r="T1043" s="5" t="n"/>
      <c r="U1043" s="8">
        <f>IF(AND(V1043=1,D1043&lt;&gt;""),IF(D1043&gt;=corte,TODAY()-D1043,""),"")</f>
        <v/>
      </c>
      <c r="V1043" s="8">
        <f>IF(D1043="",0,IF(OR(AND(P1043&lt;&gt;"",S1043=""),AND(N(J1043)&gt;0,N(K1043)&lt;J1043),OR(M1043="PENDENTE",M1043="PARCIAL"),OR(N1043="PENDENTE",N1043="PARCIAL")),1,0))</f>
        <v/>
      </c>
      <c r="W1043" s="8">
        <f>IF(AND(V1043=1,D1043&lt;&gt;""),IF(D1043&gt;=corte,(B1043="CRÍTICO")*1E9+(100000-D1043)*10000+10000-ROW(),""),"")</f>
        <v/>
      </c>
      <c r="X1043" s="8">
        <f>IF(AND(V1043=1,D1043=pas_data,E1043=pas_turno),10000-ROW(),"")</f>
        <v/>
      </c>
    </row>
    <row r="1044">
      <c r="A1044" s="3">
        <f>IF(D1044="","","TT-"&amp;TEXT(ROW()-1,"00000"))</f>
        <v/>
      </c>
      <c r="B1044" s="3">
        <f>IF(D1044="","",IF(V1044=0,"CONCLUÍDO",IF(D1044&lt;corte,"HISTÓRICO",IF(OR(AND(ISNUMBER(R1044),R1044&lt;TODAY()),AND(OR(N1044="PENDENTE",N1044="PARCIAL"),D1044&lt;TODAY()-1)),"CRÍTICO",IF(OR(AND(P1044&lt;&gt;"",S1044=""),AND(N1044="REALIZADO",M1044="PENDENTE"),AND(ISNUMBER(R1044),R1044=TODAY())),"ATENÇÃO",IF(N(K1044)=0,"PENDENTE","EM ANDAMENTO"))))))</f>
        <v/>
      </c>
      <c r="C1044" s="3">
        <f>IF(D1044="","",IF(V1044=0,"🟢 OK",IF(D1044&lt;corte,"⚪ HISTÓRICO (sem baixa)",IF(AND(ISNUMBER(R1044),R1044&lt;TODAY()),"🔴 PRAZO VENCIDO",IF(AND(OR(N1044="PENDENTE",N1044="PARCIAL"),D1044&lt;TODAY()-1),"🔴 EMBARQUE ATRASADO",IF(AND(N1044="REALIZADO",M1044="PENDENTE"),"🟡 EMBARCADO SEM FATURAR",IF(AND(P1044&lt;&gt;"",S1044="",OR(Q1044="",R1044="")),"🟡 PENDÊNCIA SEM RESPONSÁVEL/PRAZO",IF(AND(ISNUMBER(R1044),R1044=TODAY()),"🟡 VENCE HOJE",IF(AND(P1044&lt;&gt;"",S1044=""),"🟡 PENDÊNCIA ABERTA",IF(AND(N(J1044)&gt;0,N(K1044)&lt;J1044),"🟡 FALTA EXECUTAR",IF(OR(M1044="PENDENTE",M1044="PARCIAL"),"🟡 FATURAMENTO PENDENTE","🟡 EMBARQUE PENDENTE")))))))))))</f>
        <v/>
      </c>
      <c r="D1044" s="4" t="n"/>
      <c r="E1044" s="5" t="n"/>
      <c r="F1044" s="5" t="n"/>
      <c r="G1044" s="5" t="n"/>
      <c r="H1044" s="5" t="n"/>
      <c r="I1044" s="5" t="n"/>
      <c r="J1044" s="6" t="n"/>
      <c r="K1044" s="6" t="n"/>
      <c r="L1044" s="7">
        <f>IF(OR(D1044="",N(J1044)=0),"",MIN(1,N(K1044)/J1044))</f>
        <v/>
      </c>
      <c r="M1044" s="5" t="n"/>
      <c r="N1044" s="5" t="n"/>
      <c r="O1044" s="5" t="n"/>
      <c r="P1044" s="5" t="n"/>
      <c r="Q1044" s="5" t="n"/>
      <c r="R1044" s="4" t="n"/>
      <c r="S1044" s="4" t="n"/>
      <c r="T1044" s="5" t="n"/>
      <c r="U1044" s="8">
        <f>IF(AND(V1044=1,D1044&lt;&gt;""),IF(D1044&gt;=corte,TODAY()-D1044,""),"")</f>
        <v/>
      </c>
      <c r="V1044" s="8">
        <f>IF(D1044="",0,IF(OR(AND(P1044&lt;&gt;"",S1044=""),AND(N(J1044)&gt;0,N(K1044)&lt;J1044),OR(M1044="PENDENTE",M1044="PARCIAL"),OR(N1044="PENDENTE",N1044="PARCIAL")),1,0))</f>
        <v/>
      </c>
      <c r="W1044" s="8">
        <f>IF(AND(V1044=1,D1044&lt;&gt;""),IF(D1044&gt;=corte,(B1044="CRÍTICO")*1E9+(100000-D1044)*10000+10000-ROW(),""),"")</f>
        <v/>
      </c>
      <c r="X1044" s="8">
        <f>IF(AND(V1044=1,D1044=pas_data,E1044=pas_turno),10000-ROW(),"")</f>
        <v/>
      </c>
    </row>
    <row r="1045">
      <c r="A1045" s="3">
        <f>IF(D1045="","","TT-"&amp;TEXT(ROW()-1,"00000"))</f>
        <v/>
      </c>
      <c r="B1045" s="3">
        <f>IF(D1045="","",IF(V1045=0,"CONCLUÍDO",IF(D1045&lt;corte,"HISTÓRICO",IF(OR(AND(ISNUMBER(R1045),R1045&lt;TODAY()),AND(OR(N1045="PENDENTE",N1045="PARCIAL"),D1045&lt;TODAY()-1)),"CRÍTICO",IF(OR(AND(P1045&lt;&gt;"",S1045=""),AND(N1045="REALIZADO",M1045="PENDENTE"),AND(ISNUMBER(R1045),R1045=TODAY())),"ATENÇÃO",IF(N(K1045)=0,"PENDENTE","EM ANDAMENTO"))))))</f>
        <v/>
      </c>
      <c r="C1045" s="3">
        <f>IF(D1045="","",IF(V1045=0,"🟢 OK",IF(D1045&lt;corte,"⚪ HISTÓRICO (sem baixa)",IF(AND(ISNUMBER(R1045),R1045&lt;TODAY()),"🔴 PRAZO VENCIDO",IF(AND(OR(N1045="PENDENTE",N1045="PARCIAL"),D1045&lt;TODAY()-1),"🔴 EMBARQUE ATRASADO",IF(AND(N1045="REALIZADO",M1045="PENDENTE"),"🟡 EMBARCADO SEM FATURAR",IF(AND(P1045&lt;&gt;"",S1045="",OR(Q1045="",R1045="")),"🟡 PENDÊNCIA SEM RESPONSÁVEL/PRAZO",IF(AND(ISNUMBER(R1045),R1045=TODAY()),"🟡 VENCE HOJE",IF(AND(P1045&lt;&gt;"",S1045=""),"🟡 PENDÊNCIA ABERTA",IF(AND(N(J1045)&gt;0,N(K1045)&lt;J1045),"🟡 FALTA EXECUTAR",IF(OR(M1045="PENDENTE",M1045="PARCIAL"),"🟡 FATURAMENTO PENDENTE","🟡 EMBARQUE PENDENTE")))))))))))</f>
        <v/>
      </c>
      <c r="D1045" s="4" t="n"/>
      <c r="E1045" s="5" t="n"/>
      <c r="F1045" s="5" t="n"/>
      <c r="G1045" s="5" t="n"/>
      <c r="H1045" s="5" t="n"/>
      <c r="I1045" s="5" t="n"/>
      <c r="J1045" s="6" t="n"/>
      <c r="K1045" s="6" t="n"/>
      <c r="L1045" s="7">
        <f>IF(OR(D1045="",N(J1045)=0),"",MIN(1,N(K1045)/J1045))</f>
        <v/>
      </c>
      <c r="M1045" s="5" t="n"/>
      <c r="N1045" s="5" t="n"/>
      <c r="O1045" s="5" t="n"/>
      <c r="P1045" s="5" t="n"/>
      <c r="Q1045" s="5" t="n"/>
      <c r="R1045" s="4" t="n"/>
      <c r="S1045" s="4" t="n"/>
      <c r="T1045" s="5" t="n"/>
      <c r="U1045" s="8">
        <f>IF(AND(V1045=1,D1045&lt;&gt;""),IF(D1045&gt;=corte,TODAY()-D1045,""),"")</f>
        <v/>
      </c>
      <c r="V1045" s="8">
        <f>IF(D1045="",0,IF(OR(AND(P1045&lt;&gt;"",S1045=""),AND(N(J1045)&gt;0,N(K1045)&lt;J1045),OR(M1045="PENDENTE",M1045="PARCIAL"),OR(N1045="PENDENTE",N1045="PARCIAL")),1,0))</f>
        <v/>
      </c>
      <c r="W1045" s="8">
        <f>IF(AND(V1045=1,D1045&lt;&gt;""),IF(D1045&gt;=corte,(B1045="CRÍTICO")*1E9+(100000-D1045)*10000+10000-ROW(),""),"")</f>
        <v/>
      </c>
      <c r="X1045" s="8">
        <f>IF(AND(V1045=1,D1045=pas_data,E1045=pas_turno),10000-ROW(),"")</f>
        <v/>
      </c>
    </row>
    <row r="1046">
      <c r="A1046" s="3">
        <f>IF(D1046="","","TT-"&amp;TEXT(ROW()-1,"00000"))</f>
        <v/>
      </c>
      <c r="B1046" s="3">
        <f>IF(D1046="","",IF(V1046=0,"CONCLUÍDO",IF(D1046&lt;corte,"HISTÓRICO",IF(OR(AND(ISNUMBER(R1046),R1046&lt;TODAY()),AND(OR(N1046="PENDENTE",N1046="PARCIAL"),D1046&lt;TODAY()-1)),"CRÍTICO",IF(OR(AND(P1046&lt;&gt;"",S1046=""),AND(N1046="REALIZADO",M1046="PENDENTE"),AND(ISNUMBER(R1046),R1046=TODAY())),"ATENÇÃO",IF(N(K1046)=0,"PENDENTE","EM ANDAMENTO"))))))</f>
        <v/>
      </c>
      <c r="C1046" s="3">
        <f>IF(D1046="","",IF(V1046=0,"🟢 OK",IF(D1046&lt;corte,"⚪ HISTÓRICO (sem baixa)",IF(AND(ISNUMBER(R1046),R1046&lt;TODAY()),"🔴 PRAZO VENCIDO",IF(AND(OR(N1046="PENDENTE",N1046="PARCIAL"),D1046&lt;TODAY()-1),"🔴 EMBARQUE ATRASADO",IF(AND(N1046="REALIZADO",M1046="PENDENTE"),"🟡 EMBARCADO SEM FATURAR",IF(AND(P1046&lt;&gt;"",S1046="",OR(Q1046="",R1046="")),"🟡 PENDÊNCIA SEM RESPONSÁVEL/PRAZO",IF(AND(ISNUMBER(R1046),R1046=TODAY()),"🟡 VENCE HOJE",IF(AND(P1046&lt;&gt;"",S1046=""),"🟡 PENDÊNCIA ABERTA",IF(AND(N(J1046)&gt;0,N(K1046)&lt;J1046),"🟡 FALTA EXECUTAR",IF(OR(M1046="PENDENTE",M1046="PARCIAL"),"🟡 FATURAMENTO PENDENTE","🟡 EMBARQUE PENDENTE")))))))))))</f>
        <v/>
      </c>
      <c r="D1046" s="4" t="n"/>
      <c r="E1046" s="5" t="n"/>
      <c r="F1046" s="5" t="n"/>
      <c r="G1046" s="5" t="n"/>
      <c r="H1046" s="5" t="n"/>
      <c r="I1046" s="5" t="n"/>
      <c r="J1046" s="6" t="n"/>
      <c r="K1046" s="6" t="n"/>
      <c r="L1046" s="7">
        <f>IF(OR(D1046="",N(J1046)=0),"",MIN(1,N(K1046)/J1046))</f>
        <v/>
      </c>
      <c r="M1046" s="5" t="n"/>
      <c r="N1046" s="5" t="n"/>
      <c r="O1046" s="5" t="n"/>
      <c r="P1046" s="5" t="n"/>
      <c r="Q1046" s="5" t="n"/>
      <c r="R1046" s="4" t="n"/>
      <c r="S1046" s="4" t="n"/>
      <c r="T1046" s="5" t="n"/>
      <c r="U1046" s="8">
        <f>IF(AND(V1046=1,D1046&lt;&gt;""),IF(D1046&gt;=corte,TODAY()-D1046,""),"")</f>
        <v/>
      </c>
      <c r="V1046" s="8">
        <f>IF(D1046="",0,IF(OR(AND(P1046&lt;&gt;"",S1046=""),AND(N(J1046)&gt;0,N(K1046)&lt;J1046),OR(M1046="PENDENTE",M1046="PARCIAL"),OR(N1046="PENDENTE",N1046="PARCIAL")),1,0))</f>
        <v/>
      </c>
      <c r="W1046" s="8">
        <f>IF(AND(V1046=1,D1046&lt;&gt;""),IF(D1046&gt;=corte,(B1046="CRÍTICO")*1E9+(100000-D1046)*10000+10000-ROW(),""),"")</f>
        <v/>
      </c>
      <c r="X1046" s="8">
        <f>IF(AND(V1046=1,D1046=pas_data,E1046=pas_turno),10000-ROW(),"")</f>
        <v/>
      </c>
    </row>
    <row r="1047">
      <c r="A1047" s="3">
        <f>IF(D1047="","","TT-"&amp;TEXT(ROW()-1,"00000"))</f>
        <v/>
      </c>
      <c r="B1047" s="3">
        <f>IF(D1047="","",IF(V1047=0,"CONCLUÍDO",IF(D1047&lt;corte,"HISTÓRICO",IF(OR(AND(ISNUMBER(R1047),R1047&lt;TODAY()),AND(OR(N1047="PENDENTE",N1047="PARCIAL"),D1047&lt;TODAY()-1)),"CRÍTICO",IF(OR(AND(P1047&lt;&gt;"",S1047=""),AND(N1047="REALIZADO",M1047="PENDENTE"),AND(ISNUMBER(R1047),R1047=TODAY())),"ATENÇÃO",IF(N(K1047)=0,"PENDENTE","EM ANDAMENTO"))))))</f>
        <v/>
      </c>
      <c r="C1047" s="3">
        <f>IF(D1047="","",IF(V1047=0,"🟢 OK",IF(D1047&lt;corte,"⚪ HISTÓRICO (sem baixa)",IF(AND(ISNUMBER(R1047),R1047&lt;TODAY()),"🔴 PRAZO VENCIDO",IF(AND(OR(N1047="PENDENTE",N1047="PARCIAL"),D1047&lt;TODAY()-1),"🔴 EMBARQUE ATRASADO",IF(AND(N1047="REALIZADO",M1047="PENDENTE"),"🟡 EMBARCADO SEM FATURAR",IF(AND(P1047&lt;&gt;"",S1047="",OR(Q1047="",R1047="")),"🟡 PENDÊNCIA SEM RESPONSÁVEL/PRAZO",IF(AND(ISNUMBER(R1047),R1047=TODAY()),"🟡 VENCE HOJE",IF(AND(P1047&lt;&gt;"",S1047=""),"🟡 PENDÊNCIA ABERTA",IF(AND(N(J1047)&gt;0,N(K1047)&lt;J1047),"🟡 FALTA EXECUTAR",IF(OR(M1047="PENDENTE",M1047="PARCIAL"),"🟡 FATURAMENTO PENDENTE","🟡 EMBARQUE PENDENTE")))))))))))</f>
        <v/>
      </c>
      <c r="D1047" s="4" t="n"/>
      <c r="E1047" s="5" t="n"/>
      <c r="F1047" s="5" t="n"/>
      <c r="G1047" s="5" t="n"/>
      <c r="H1047" s="5" t="n"/>
      <c r="I1047" s="5" t="n"/>
      <c r="J1047" s="6" t="n"/>
      <c r="K1047" s="6" t="n"/>
      <c r="L1047" s="7">
        <f>IF(OR(D1047="",N(J1047)=0),"",MIN(1,N(K1047)/J1047))</f>
        <v/>
      </c>
      <c r="M1047" s="5" t="n"/>
      <c r="N1047" s="5" t="n"/>
      <c r="O1047" s="5" t="n"/>
      <c r="P1047" s="5" t="n"/>
      <c r="Q1047" s="5" t="n"/>
      <c r="R1047" s="4" t="n"/>
      <c r="S1047" s="4" t="n"/>
      <c r="T1047" s="5" t="n"/>
      <c r="U1047" s="8">
        <f>IF(AND(V1047=1,D1047&lt;&gt;""),IF(D1047&gt;=corte,TODAY()-D1047,""),"")</f>
        <v/>
      </c>
      <c r="V1047" s="8">
        <f>IF(D1047="",0,IF(OR(AND(P1047&lt;&gt;"",S1047=""),AND(N(J1047)&gt;0,N(K1047)&lt;J1047),OR(M1047="PENDENTE",M1047="PARCIAL"),OR(N1047="PENDENTE",N1047="PARCIAL")),1,0))</f>
        <v/>
      </c>
      <c r="W1047" s="8">
        <f>IF(AND(V1047=1,D1047&lt;&gt;""),IF(D1047&gt;=corte,(B1047="CRÍTICO")*1E9+(100000-D1047)*10000+10000-ROW(),""),"")</f>
        <v/>
      </c>
      <c r="X1047" s="8">
        <f>IF(AND(V1047=1,D1047=pas_data,E1047=pas_turno),10000-ROW(),"")</f>
        <v/>
      </c>
    </row>
    <row r="1048">
      <c r="A1048" s="3">
        <f>IF(D1048="","","TT-"&amp;TEXT(ROW()-1,"00000"))</f>
        <v/>
      </c>
      <c r="B1048" s="3">
        <f>IF(D1048="","",IF(V1048=0,"CONCLUÍDO",IF(D1048&lt;corte,"HISTÓRICO",IF(OR(AND(ISNUMBER(R1048),R1048&lt;TODAY()),AND(OR(N1048="PENDENTE",N1048="PARCIAL"),D1048&lt;TODAY()-1)),"CRÍTICO",IF(OR(AND(P1048&lt;&gt;"",S1048=""),AND(N1048="REALIZADO",M1048="PENDENTE"),AND(ISNUMBER(R1048),R1048=TODAY())),"ATENÇÃO",IF(N(K1048)=0,"PENDENTE","EM ANDAMENTO"))))))</f>
        <v/>
      </c>
      <c r="C1048" s="3">
        <f>IF(D1048="","",IF(V1048=0,"🟢 OK",IF(D1048&lt;corte,"⚪ HISTÓRICO (sem baixa)",IF(AND(ISNUMBER(R1048),R1048&lt;TODAY()),"🔴 PRAZO VENCIDO",IF(AND(OR(N1048="PENDENTE",N1048="PARCIAL"),D1048&lt;TODAY()-1),"🔴 EMBARQUE ATRASADO",IF(AND(N1048="REALIZADO",M1048="PENDENTE"),"🟡 EMBARCADO SEM FATURAR",IF(AND(P1048&lt;&gt;"",S1048="",OR(Q1048="",R1048="")),"🟡 PENDÊNCIA SEM RESPONSÁVEL/PRAZO",IF(AND(ISNUMBER(R1048),R1048=TODAY()),"🟡 VENCE HOJE",IF(AND(P1048&lt;&gt;"",S1048=""),"🟡 PENDÊNCIA ABERTA",IF(AND(N(J1048)&gt;0,N(K1048)&lt;J1048),"🟡 FALTA EXECUTAR",IF(OR(M1048="PENDENTE",M1048="PARCIAL"),"🟡 FATURAMENTO PENDENTE","🟡 EMBARQUE PENDENTE")))))))))))</f>
        <v/>
      </c>
      <c r="D1048" s="4" t="n"/>
      <c r="E1048" s="5" t="n"/>
      <c r="F1048" s="5" t="n"/>
      <c r="G1048" s="5" t="n"/>
      <c r="H1048" s="5" t="n"/>
      <c r="I1048" s="5" t="n"/>
      <c r="J1048" s="6" t="n"/>
      <c r="K1048" s="6" t="n"/>
      <c r="L1048" s="7">
        <f>IF(OR(D1048="",N(J1048)=0),"",MIN(1,N(K1048)/J1048))</f>
        <v/>
      </c>
      <c r="M1048" s="5" t="n"/>
      <c r="N1048" s="5" t="n"/>
      <c r="O1048" s="5" t="n"/>
      <c r="P1048" s="5" t="n"/>
      <c r="Q1048" s="5" t="n"/>
      <c r="R1048" s="4" t="n"/>
      <c r="S1048" s="4" t="n"/>
      <c r="T1048" s="5" t="n"/>
      <c r="U1048" s="8">
        <f>IF(AND(V1048=1,D1048&lt;&gt;""),IF(D1048&gt;=corte,TODAY()-D1048,""),"")</f>
        <v/>
      </c>
      <c r="V1048" s="8">
        <f>IF(D1048="",0,IF(OR(AND(P1048&lt;&gt;"",S1048=""),AND(N(J1048)&gt;0,N(K1048)&lt;J1048),OR(M1048="PENDENTE",M1048="PARCIAL"),OR(N1048="PENDENTE",N1048="PARCIAL")),1,0))</f>
        <v/>
      </c>
      <c r="W1048" s="8">
        <f>IF(AND(V1048=1,D1048&lt;&gt;""),IF(D1048&gt;=corte,(B1048="CRÍTICO")*1E9+(100000-D1048)*10000+10000-ROW(),""),"")</f>
        <v/>
      </c>
      <c r="X1048" s="8">
        <f>IF(AND(V1048=1,D1048=pas_data,E1048=pas_turno),10000-ROW(),"")</f>
        <v/>
      </c>
    </row>
    <row r="1049">
      <c r="A1049" s="3">
        <f>IF(D1049="","","TT-"&amp;TEXT(ROW()-1,"00000"))</f>
        <v/>
      </c>
      <c r="B1049" s="3">
        <f>IF(D1049="","",IF(V1049=0,"CONCLUÍDO",IF(D1049&lt;corte,"HISTÓRICO",IF(OR(AND(ISNUMBER(R1049),R1049&lt;TODAY()),AND(OR(N1049="PENDENTE",N1049="PARCIAL"),D1049&lt;TODAY()-1)),"CRÍTICO",IF(OR(AND(P1049&lt;&gt;"",S1049=""),AND(N1049="REALIZADO",M1049="PENDENTE"),AND(ISNUMBER(R1049),R1049=TODAY())),"ATENÇÃO",IF(N(K1049)=0,"PENDENTE","EM ANDAMENTO"))))))</f>
        <v/>
      </c>
      <c r="C1049" s="3">
        <f>IF(D1049="","",IF(V1049=0,"🟢 OK",IF(D1049&lt;corte,"⚪ HISTÓRICO (sem baixa)",IF(AND(ISNUMBER(R1049),R1049&lt;TODAY()),"🔴 PRAZO VENCIDO",IF(AND(OR(N1049="PENDENTE",N1049="PARCIAL"),D1049&lt;TODAY()-1),"🔴 EMBARQUE ATRASADO",IF(AND(N1049="REALIZADO",M1049="PENDENTE"),"🟡 EMBARCADO SEM FATURAR",IF(AND(P1049&lt;&gt;"",S1049="",OR(Q1049="",R1049="")),"🟡 PENDÊNCIA SEM RESPONSÁVEL/PRAZO",IF(AND(ISNUMBER(R1049),R1049=TODAY()),"🟡 VENCE HOJE",IF(AND(P1049&lt;&gt;"",S1049=""),"🟡 PENDÊNCIA ABERTA",IF(AND(N(J1049)&gt;0,N(K1049)&lt;J1049),"🟡 FALTA EXECUTAR",IF(OR(M1049="PENDENTE",M1049="PARCIAL"),"🟡 FATURAMENTO PENDENTE","🟡 EMBARQUE PENDENTE")))))))))))</f>
        <v/>
      </c>
      <c r="D1049" s="4" t="n"/>
      <c r="E1049" s="5" t="n"/>
      <c r="F1049" s="5" t="n"/>
      <c r="G1049" s="5" t="n"/>
      <c r="H1049" s="5" t="n"/>
      <c r="I1049" s="5" t="n"/>
      <c r="J1049" s="6" t="n"/>
      <c r="K1049" s="6" t="n"/>
      <c r="L1049" s="7">
        <f>IF(OR(D1049="",N(J1049)=0),"",MIN(1,N(K1049)/J1049))</f>
        <v/>
      </c>
      <c r="M1049" s="5" t="n"/>
      <c r="N1049" s="5" t="n"/>
      <c r="O1049" s="5" t="n"/>
      <c r="P1049" s="5" t="n"/>
      <c r="Q1049" s="5" t="n"/>
      <c r="R1049" s="4" t="n"/>
      <c r="S1049" s="4" t="n"/>
      <c r="T1049" s="5" t="n"/>
      <c r="U1049" s="8">
        <f>IF(AND(V1049=1,D1049&lt;&gt;""),IF(D1049&gt;=corte,TODAY()-D1049,""),"")</f>
        <v/>
      </c>
      <c r="V1049" s="8">
        <f>IF(D1049="",0,IF(OR(AND(P1049&lt;&gt;"",S1049=""),AND(N(J1049)&gt;0,N(K1049)&lt;J1049),OR(M1049="PENDENTE",M1049="PARCIAL"),OR(N1049="PENDENTE",N1049="PARCIAL")),1,0))</f>
        <v/>
      </c>
      <c r="W1049" s="8">
        <f>IF(AND(V1049=1,D1049&lt;&gt;""),IF(D1049&gt;=corte,(B1049="CRÍTICO")*1E9+(100000-D1049)*10000+10000-ROW(),""),"")</f>
        <v/>
      </c>
      <c r="X1049" s="8">
        <f>IF(AND(V1049=1,D1049=pas_data,E1049=pas_turno),10000-ROW(),"")</f>
        <v/>
      </c>
    </row>
    <row r="1050">
      <c r="A1050" s="3">
        <f>IF(D1050="","","TT-"&amp;TEXT(ROW()-1,"00000"))</f>
        <v/>
      </c>
      <c r="B1050" s="3">
        <f>IF(D1050="","",IF(V1050=0,"CONCLUÍDO",IF(D1050&lt;corte,"HISTÓRICO",IF(OR(AND(ISNUMBER(R1050),R1050&lt;TODAY()),AND(OR(N1050="PENDENTE",N1050="PARCIAL"),D1050&lt;TODAY()-1)),"CRÍTICO",IF(OR(AND(P1050&lt;&gt;"",S1050=""),AND(N1050="REALIZADO",M1050="PENDENTE"),AND(ISNUMBER(R1050),R1050=TODAY())),"ATENÇÃO",IF(N(K1050)=0,"PENDENTE","EM ANDAMENTO"))))))</f>
        <v/>
      </c>
      <c r="C1050" s="3">
        <f>IF(D1050="","",IF(V1050=0,"🟢 OK",IF(D1050&lt;corte,"⚪ HISTÓRICO (sem baixa)",IF(AND(ISNUMBER(R1050),R1050&lt;TODAY()),"🔴 PRAZO VENCIDO",IF(AND(OR(N1050="PENDENTE",N1050="PARCIAL"),D1050&lt;TODAY()-1),"🔴 EMBARQUE ATRASADO",IF(AND(N1050="REALIZADO",M1050="PENDENTE"),"🟡 EMBARCADO SEM FATURAR",IF(AND(P1050&lt;&gt;"",S1050="",OR(Q1050="",R1050="")),"🟡 PENDÊNCIA SEM RESPONSÁVEL/PRAZO",IF(AND(ISNUMBER(R1050),R1050=TODAY()),"🟡 VENCE HOJE",IF(AND(P1050&lt;&gt;"",S1050=""),"🟡 PENDÊNCIA ABERTA",IF(AND(N(J1050)&gt;0,N(K1050)&lt;J1050),"🟡 FALTA EXECUTAR",IF(OR(M1050="PENDENTE",M1050="PARCIAL"),"🟡 FATURAMENTO PENDENTE","🟡 EMBARQUE PENDENTE")))))))))))</f>
        <v/>
      </c>
      <c r="D1050" s="4" t="n"/>
      <c r="E1050" s="5" t="n"/>
      <c r="F1050" s="5" t="n"/>
      <c r="G1050" s="5" t="n"/>
      <c r="H1050" s="5" t="n"/>
      <c r="I1050" s="5" t="n"/>
      <c r="J1050" s="6" t="n"/>
      <c r="K1050" s="6" t="n"/>
      <c r="L1050" s="7">
        <f>IF(OR(D1050="",N(J1050)=0),"",MIN(1,N(K1050)/J1050))</f>
        <v/>
      </c>
      <c r="M1050" s="5" t="n"/>
      <c r="N1050" s="5" t="n"/>
      <c r="O1050" s="5" t="n"/>
      <c r="P1050" s="5" t="n"/>
      <c r="Q1050" s="5" t="n"/>
      <c r="R1050" s="4" t="n"/>
      <c r="S1050" s="4" t="n"/>
      <c r="T1050" s="5" t="n"/>
      <c r="U1050" s="8">
        <f>IF(AND(V1050=1,D1050&lt;&gt;""),IF(D1050&gt;=corte,TODAY()-D1050,""),"")</f>
        <v/>
      </c>
      <c r="V1050" s="8">
        <f>IF(D1050="",0,IF(OR(AND(P1050&lt;&gt;"",S1050=""),AND(N(J1050)&gt;0,N(K1050)&lt;J1050),OR(M1050="PENDENTE",M1050="PARCIAL"),OR(N1050="PENDENTE",N1050="PARCIAL")),1,0))</f>
        <v/>
      </c>
      <c r="W1050" s="8">
        <f>IF(AND(V1050=1,D1050&lt;&gt;""),IF(D1050&gt;=corte,(B1050="CRÍTICO")*1E9+(100000-D1050)*10000+10000-ROW(),""),"")</f>
        <v/>
      </c>
      <c r="X1050" s="8">
        <f>IF(AND(V1050=1,D1050=pas_data,E1050=pas_turno),10000-ROW(),"")</f>
        <v/>
      </c>
    </row>
    <row r="1051">
      <c r="A1051" s="3">
        <f>IF(D1051="","","TT-"&amp;TEXT(ROW()-1,"00000"))</f>
        <v/>
      </c>
      <c r="B1051" s="3">
        <f>IF(D1051="","",IF(V1051=0,"CONCLUÍDO",IF(D1051&lt;corte,"HISTÓRICO",IF(OR(AND(ISNUMBER(R1051),R1051&lt;TODAY()),AND(OR(N1051="PENDENTE",N1051="PARCIAL"),D1051&lt;TODAY()-1)),"CRÍTICO",IF(OR(AND(P1051&lt;&gt;"",S1051=""),AND(N1051="REALIZADO",M1051="PENDENTE"),AND(ISNUMBER(R1051),R1051=TODAY())),"ATENÇÃO",IF(N(K1051)=0,"PENDENTE","EM ANDAMENTO"))))))</f>
        <v/>
      </c>
      <c r="C1051" s="3">
        <f>IF(D1051="","",IF(V1051=0,"🟢 OK",IF(D1051&lt;corte,"⚪ HISTÓRICO (sem baixa)",IF(AND(ISNUMBER(R1051),R1051&lt;TODAY()),"🔴 PRAZO VENCIDO",IF(AND(OR(N1051="PENDENTE",N1051="PARCIAL"),D1051&lt;TODAY()-1),"🔴 EMBARQUE ATRASADO",IF(AND(N1051="REALIZADO",M1051="PENDENTE"),"🟡 EMBARCADO SEM FATURAR",IF(AND(P1051&lt;&gt;"",S1051="",OR(Q1051="",R1051="")),"🟡 PENDÊNCIA SEM RESPONSÁVEL/PRAZO",IF(AND(ISNUMBER(R1051),R1051=TODAY()),"🟡 VENCE HOJE",IF(AND(P1051&lt;&gt;"",S1051=""),"🟡 PENDÊNCIA ABERTA",IF(AND(N(J1051)&gt;0,N(K1051)&lt;J1051),"🟡 FALTA EXECUTAR",IF(OR(M1051="PENDENTE",M1051="PARCIAL"),"🟡 FATURAMENTO PENDENTE","🟡 EMBARQUE PENDENTE")))))))))))</f>
        <v/>
      </c>
      <c r="D1051" s="4" t="n"/>
      <c r="E1051" s="5" t="n"/>
      <c r="F1051" s="5" t="n"/>
      <c r="G1051" s="5" t="n"/>
      <c r="H1051" s="5" t="n"/>
      <c r="I1051" s="5" t="n"/>
      <c r="J1051" s="6" t="n"/>
      <c r="K1051" s="6" t="n"/>
      <c r="L1051" s="7">
        <f>IF(OR(D1051="",N(J1051)=0),"",MIN(1,N(K1051)/J1051))</f>
        <v/>
      </c>
      <c r="M1051" s="5" t="n"/>
      <c r="N1051" s="5" t="n"/>
      <c r="O1051" s="5" t="n"/>
      <c r="P1051" s="5" t="n"/>
      <c r="Q1051" s="5" t="n"/>
      <c r="R1051" s="4" t="n"/>
      <c r="S1051" s="4" t="n"/>
      <c r="T1051" s="5" t="n"/>
      <c r="U1051" s="8">
        <f>IF(AND(V1051=1,D1051&lt;&gt;""),IF(D1051&gt;=corte,TODAY()-D1051,""),"")</f>
        <v/>
      </c>
      <c r="V1051" s="8">
        <f>IF(D1051="",0,IF(OR(AND(P1051&lt;&gt;"",S1051=""),AND(N(J1051)&gt;0,N(K1051)&lt;J1051),OR(M1051="PENDENTE",M1051="PARCIAL"),OR(N1051="PENDENTE",N1051="PARCIAL")),1,0))</f>
        <v/>
      </c>
      <c r="W1051" s="8">
        <f>IF(AND(V1051=1,D1051&lt;&gt;""),IF(D1051&gt;=corte,(B1051="CRÍTICO")*1E9+(100000-D1051)*10000+10000-ROW(),""),"")</f>
        <v/>
      </c>
      <c r="X1051" s="8">
        <f>IF(AND(V1051=1,D1051=pas_data,E1051=pas_turno),10000-ROW(),"")</f>
        <v/>
      </c>
    </row>
    <row r="1052">
      <c r="A1052" s="3">
        <f>IF(D1052="","","TT-"&amp;TEXT(ROW()-1,"00000"))</f>
        <v/>
      </c>
      <c r="B1052" s="3">
        <f>IF(D1052="","",IF(V1052=0,"CONCLUÍDO",IF(D1052&lt;corte,"HISTÓRICO",IF(OR(AND(ISNUMBER(R1052),R1052&lt;TODAY()),AND(OR(N1052="PENDENTE",N1052="PARCIAL"),D1052&lt;TODAY()-1)),"CRÍTICO",IF(OR(AND(P1052&lt;&gt;"",S1052=""),AND(N1052="REALIZADO",M1052="PENDENTE"),AND(ISNUMBER(R1052),R1052=TODAY())),"ATENÇÃO",IF(N(K1052)=0,"PENDENTE","EM ANDAMENTO"))))))</f>
        <v/>
      </c>
      <c r="C1052" s="3">
        <f>IF(D1052="","",IF(V1052=0,"🟢 OK",IF(D1052&lt;corte,"⚪ HISTÓRICO (sem baixa)",IF(AND(ISNUMBER(R1052),R1052&lt;TODAY()),"🔴 PRAZO VENCIDO",IF(AND(OR(N1052="PENDENTE",N1052="PARCIAL"),D1052&lt;TODAY()-1),"🔴 EMBARQUE ATRASADO",IF(AND(N1052="REALIZADO",M1052="PENDENTE"),"🟡 EMBARCADO SEM FATURAR",IF(AND(P1052&lt;&gt;"",S1052="",OR(Q1052="",R1052="")),"🟡 PENDÊNCIA SEM RESPONSÁVEL/PRAZO",IF(AND(ISNUMBER(R1052),R1052=TODAY()),"🟡 VENCE HOJE",IF(AND(P1052&lt;&gt;"",S1052=""),"🟡 PENDÊNCIA ABERTA",IF(AND(N(J1052)&gt;0,N(K1052)&lt;J1052),"🟡 FALTA EXECUTAR",IF(OR(M1052="PENDENTE",M1052="PARCIAL"),"🟡 FATURAMENTO PENDENTE","🟡 EMBARQUE PENDENTE")))))))))))</f>
        <v/>
      </c>
      <c r="D1052" s="4" t="n"/>
      <c r="E1052" s="5" t="n"/>
      <c r="F1052" s="5" t="n"/>
      <c r="G1052" s="5" t="n"/>
      <c r="H1052" s="5" t="n"/>
      <c r="I1052" s="5" t="n"/>
      <c r="J1052" s="6" t="n"/>
      <c r="K1052" s="6" t="n"/>
      <c r="L1052" s="7">
        <f>IF(OR(D1052="",N(J1052)=0),"",MIN(1,N(K1052)/J1052))</f>
        <v/>
      </c>
      <c r="M1052" s="5" t="n"/>
      <c r="N1052" s="5" t="n"/>
      <c r="O1052" s="5" t="n"/>
      <c r="P1052" s="5" t="n"/>
      <c r="Q1052" s="5" t="n"/>
      <c r="R1052" s="4" t="n"/>
      <c r="S1052" s="4" t="n"/>
      <c r="T1052" s="5" t="n"/>
      <c r="U1052" s="8">
        <f>IF(AND(V1052=1,D1052&lt;&gt;""),IF(D1052&gt;=corte,TODAY()-D1052,""),"")</f>
        <v/>
      </c>
      <c r="V1052" s="8">
        <f>IF(D1052="",0,IF(OR(AND(P1052&lt;&gt;"",S1052=""),AND(N(J1052)&gt;0,N(K1052)&lt;J1052),OR(M1052="PENDENTE",M1052="PARCIAL"),OR(N1052="PENDENTE",N1052="PARCIAL")),1,0))</f>
        <v/>
      </c>
      <c r="W1052" s="8">
        <f>IF(AND(V1052=1,D1052&lt;&gt;""),IF(D1052&gt;=corte,(B1052="CRÍTICO")*1E9+(100000-D1052)*10000+10000-ROW(),""),"")</f>
        <v/>
      </c>
      <c r="X1052" s="8">
        <f>IF(AND(V1052=1,D1052=pas_data,E1052=pas_turno),10000-ROW(),"")</f>
        <v/>
      </c>
    </row>
    <row r="1053">
      <c r="A1053" s="3">
        <f>IF(D1053="","","TT-"&amp;TEXT(ROW()-1,"00000"))</f>
        <v/>
      </c>
      <c r="B1053" s="3">
        <f>IF(D1053="","",IF(V1053=0,"CONCLUÍDO",IF(D1053&lt;corte,"HISTÓRICO",IF(OR(AND(ISNUMBER(R1053),R1053&lt;TODAY()),AND(OR(N1053="PENDENTE",N1053="PARCIAL"),D1053&lt;TODAY()-1)),"CRÍTICO",IF(OR(AND(P1053&lt;&gt;"",S1053=""),AND(N1053="REALIZADO",M1053="PENDENTE"),AND(ISNUMBER(R1053),R1053=TODAY())),"ATENÇÃO",IF(N(K1053)=0,"PENDENTE","EM ANDAMENTO"))))))</f>
        <v/>
      </c>
      <c r="C1053" s="3">
        <f>IF(D1053="","",IF(V1053=0,"🟢 OK",IF(D1053&lt;corte,"⚪ HISTÓRICO (sem baixa)",IF(AND(ISNUMBER(R1053),R1053&lt;TODAY()),"🔴 PRAZO VENCIDO",IF(AND(OR(N1053="PENDENTE",N1053="PARCIAL"),D1053&lt;TODAY()-1),"🔴 EMBARQUE ATRASADO",IF(AND(N1053="REALIZADO",M1053="PENDENTE"),"🟡 EMBARCADO SEM FATURAR",IF(AND(P1053&lt;&gt;"",S1053="",OR(Q1053="",R1053="")),"🟡 PENDÊNCIA SEM RESPONSÁVEL/PRAZO",IF(AND(ISNUMBER(R1053),R1053=TODAY()),"🟡 VENCE HOJE",IF(AND(P1053&lt;&gt;"",S1053=""),"🟡 PENDÊNCIA ABERTA",IF(AND(N(J1053)&gt;0,N(K1053)&lt;J1053),"🟡 FALTA EXECUTAR",IF(OR(M1053="PENDENTE",M1053="PARCIAL"),"🟡 FATURAMENTO PENDENTE","🟡 EMBARQUE PENDENTE")))))))))))</f>
        <v/>
      </c>
      <c r="D1053" s="4" t="n"/>
      <c r="E1053" s="5" t="n"/>
      <c r="F1053" s="5" t="n"/>
      <c r="G1053" s="5" t="n"/>
      <c r="H1053" s="5" t="n"/>
      <c r="I1053" s="5" t="n"/>
      <c r="J1053" s="6" t="n"/>
      <c r="K1053" s="6" t="n"/>
      <c r="L1053" s="7">
        <f>IF(OR(D1053="",N(J1053)=0),"",MIN(1,N(K1053)/J1053))</f>
        <v/>
      </c>
      <c r="M1053" s="5" t="n"/>
      <c r="N1053" s="5" t="n"/>
      <c r="O1053" s="5" t="n"/>
      <c r="P1053" s="5" t="n"/>
      <c r="Q1053" s="5" t="n"/>
      <c r="R1053" s="4" t="n"/>
      <c r="S1053" s="4" t="n"/>
      <c r="T1053" s="5" t="n"/>
      <c r="U1053" s="8">
        <f>IF(AND(V1053=1,D1053&lt;&gt;""),IF(D1053&gt;=corte,TODAY()-D1053,""),"")</f>
        <v/>
      </c>
      <c r="V1053" s="8">
        <f>IF(D1053="",0,IF(OR(AND(P1053&lt;&gt;"",S1053=""),AND(N(J1053)&gt;0,N(K1053)&lt;J1053),OR(M1053="PENDENTE",M1053="PARCIAL"),OR(N1053="PENDENTE",N1053="PARCIAL")),1,0))</f>
        <v/>
      </c>
      <c r="W1053" s="8">
        <f>IF(AND(V1053=1,D1053&lt;&gt;""),IF(D1053&gt;=corte,(B1053="CRÍTICO")*1E9+(100000-D1053)*10000+10000-ROW(),""),"")</f>
        <v/>
      </c>
      <c r="X1053" s="8">
        <f>IF(AND(V1053=1,D1053=pas_data,E1053=pas_turno),10000-ROW(),"")</f>
        <v/>
      </c>
    </row>
    <row r="1054">
      <c r="A1054" s="3">
        <f>IF(D1054="","","TT-"&amp;TEXT(ROW()-1,"00000"))</f>
        <v/>
      </c>
      <c r="B1054" s="3">
        <f>IF(D1054="","",IF(V1054=0,"CONCLUÍDO",IF(D1054&lt;corte,"HISTÓRICO",IF(OR(AND(ISNUMBER(R1054),R1054&lt;TODAY()),AND(OR(N1054="PENDENTE",N1054="PARCIAL"),D1054&lt;TODAY()-1)),"CRÍTICO",IF(OR(AND(P1054&lt;&gt;"",S1054=""),AND(N1054="REALIZADO",M1054="PENDENTE"),AND(ISNUMBER(R1054),R1054=TODAY())),"ATENÇÃO",IF(N(K1054)=0,"PENDENTE","EM ANDAMENTO"))))))</f>
        <v/>
      </c>
      <c r="C1054" s="3">
        <f>IF(D1054="","",IF(V1054=0,"🟢 OK",IF(D1054&lt;corte,"⚪ HISTÓRICO (sem baixa)",IF(AND(ISNUMBER(R1054),R1054&lt;TODAY()),"🔴 PRAZO VENCIDO",IF(AND(OR(N1054="PENDENTE",N1054="PARCIAL"),D1054&lt;TODAY()-1),"🔴 EMBARQUE ATRASADO",IF(AND(N1054="REALIZADO",M1054="PENDENTE"),"🟡 EMBARCADO SEM FATURAR",IF(AND(P1054&lt;&gt;"",S1054="",OR(Q1054="",R1054="")),"🟡 PENDÊNCIA SEM RESPONSÁVEL/PRAZO",IF(AND(ISNUMBER(R1054),R1054=TODAY()),"🟡 VENCE HOJE",IF(AND(P1054&lt;&gt;"",S1054=""),"🟡 PENDÊNCIA ABERTA",IF(AND(N(J1054)&gt;0,N(K1054)&lt;J1054),"🟡 FALTA EXECUTAR",IF(OR(M1054="PENDENTE",M1054="PARCIAL"),"🟡 FATURAMENTO PENDENTE","🟡 EMBARQUE PENDENTE")))))))))))</f>
        <v/>
      </c>
      <c r="D1054" s="4" t="n"/>
      <c r="E1054" s="5" t="n"/>
      <c r="F1054" s="5" t="n"/>
      <c r="G1054" s="5" t="n"/>
      <c r="H1054" s="5" t="n"/>
      <c r="I1054" s="5" t="n"/>
      <c r="J1054" s="6" t="n"/>
      <c r="K1054" s="6" t="n"/>
      <c r="L1054" s="7">
        <f>IF(OR(D1054="",N(J1054)=0),"",MIN(1,N(K1054)/J1054))</f>
        <v/>
      </c>
      <c r="M1054" s="5" t="n"/>
      <c r="N1054" s="5" t="n"/>
      <c r="O1054" s="5" t="n"/>
      <c r="P1054" s="5" t="n"/>
      <c r="Q1054" s="5" t="n"/>
      <c r="R1054" s="4" t="n"/>
      <c r="S1054" s="4" t="n"/>
      <c r="T1054" s="5" t="n"/>
      <c r="U1054" s="8">
        <f>IF(AND(V1054=1,D1054&lt;&gt;""),IF(D1054&gt;=corte,TODAY()-D1054,""),"")</f>
        <v/>
      </c>
      <c r="V1054" s="8">
        <f>IF(D1054="",0,IF(OR(AND(P1054&lt;&gt;"",S1054=""),AND(N(J1054)&gt;0,N(K1054)&lt;J1054),OR(M1054="PENDENTE",M1054="PARCIAL"),OR(N1054="PENDENTE",N1054="PARCIAL")),1,0))</f>
        <v/>
      </c>
      <c r="W1054" s="8">
        <f>IF(AND(V1054=1,D1054&lt;&gt;""),IF(D1054&gt;=corte,(B1054="CRÍTICO")*1E9+(100000-D1054)*10000+10000-ROW(),""),"")</f>
        <v/>
      </c>
      <c r="X1054" s="8">
        <f>IF(AND(V1054=1,D1054=pas_data,E1054=pas_turno),10000-ROW(),"")</f>
        <v/>
      </c>
    </row>
    <row r="1055">
      <c r="A1055" s="3">
        <f>IF(D1055="","","TT-"&amp;TEXT(ROW()-1,"00000"))</f>
        <v/>
      </c>
      <c r="B1055" s="3">
        <f>IF(D1055="","",IF(V1055=0,"CONCLUÍDO",IF(D1055&lt;corte,"HISTÓRICO",IF(OR(AND(ISNUMBER(R1055),R1055&lt;TODAY()),AND(OR(N1055="PENDENTE",N1055="PARCIAL"),D1055&lt;TODAY()-1)),"CRÍTICO",IF(OR(AND(P1055&lt;&gt;"",S1055=""),AND(N1055="REALIZADO",M1055="PENDENTE"),AND(ISNUMBER(R1055),R1055=TODAY())),"ATENÇÃO",IF(N(K1055)=0,"PENDENTE","EM ANDAMENTO"))))))</f>
        <v/>
      </c>
      <c r="C1055" s="3">
        <f>IF(D1055="","",IF(V1055=0,"🟢 OK",IF(D1055&lt;corte,"⚪ HISTÓRICO (sem baixa)",IF(AND(ISNUMBER(R1055),R1055&lt;TODAY()),"🔴 PRAZO VENCIDO",IF(AND(OR(N1055="PENDENTE",N1055="PARCIAL"),D1055&lt;TODAY()-1),"🔴 EMBARQUE ATRASADO",IF(AND(N1055="REALIZADO",M1055="PENDENTE"),"🟡 EMBARCADO SEM FATURAR",IF(AND(P1055&lt;&gt;"",S1055="",OR(Q1055="",R1055="")),"🟡 PENDÊNCIA SEM RESPONSÁVEL/PRAZO",IF(AND(ISNUMBER(R1055),R1055=TODAY()),"🟡 VENCE HOJE",IF(AND(P1055&lt;&gt;"",S1055=""),"🟡 PENDÊNCIA ABERTA",IF(AND(N(J1055)&gt;0,N(K1055)&lt;J1055),"🟡 FALTA EXECUTAR",IF(OR(M1055="PENDENTE",M1055="PARCIAL"),"🟡 FATURAMENTO PENDENTE","🟡 EMBARQUE PENDENTE")))))))))))</f>
        <v/>
      </c>
      <c r="D1055" s="4" t="n"/>
      <c r="E1055" s="5" t="n"/>
      <c r="F1055" s="5" t="n"/>
      <c r="G1055" s="5" t="n"/>
      <c r="H1055" s="5" t="n"/>
      <c r="I1055" s="5" t="n"/>
      <c r="J1055" s="6" t="n"/>
      <c r="K1055" s="6" t="n"/>
      <c r="L1055" s="7">
        <f>IF(OR(D1055="",N(J1055)=0),"",MIN(1,N(K1055)/J1055))</f>
        <v/>
      </c>
      <c r="M1055" s="5" t="n"/>
      <c r="N1055" s="5" t="n"/>
      <c r="O1055" s="5" t="n"/>
      <c r="P1055" s="5" t="n"/>
      <c r="Q1055" s="5" t="n"/>
      <c r="R1055" s="4" t="n"/>
      <c r="S1055" s="4" t="n"/>
      <c r="T1055" s="5" t="n"/>
      <c r="U1055" s="8">
        <f>IF(AND(V1055=1,D1055&lt;&gt;""),IF(D1055&gt;=corte,TODAY()-D1055,""),"")</f>
        <v/>
      </c>
      <c r="V1055" s="8">
        <f>IF(D1055="",0,IF(OR(AND(P1055&lt;&gt;"",S1055=""),AND(N(J1055)&gt;0,N(K1055)&lt;J1055),OR(M1055="PENDENTE",M1055="PARCIAL"),OR(N1055="PENDENTE",N1055="PARCIAL")),1,0))</f>
        <v/>
      </c>
      <c r="W1055" s="8">
        <f>IF(AND(V1055=1,D1055&lt;&gt;""),IF(D1055&gt;=corte,(B1055="CRÍTICO")*1E9+(100000-D1055)*10000+10000-ROW(),""),"")</f>
        <v/>
      </c>
      <c r="X1055" s="8">
        <f>IF(AND(V1055=1,D1055=pas_data,E1055=pas_turno),10000-ROW(),"")</f>
        <v/>
      </c>
    </row>
    <row r="1056">
      <c r="A1056" s="3">
        <f>IF(D1056="","","TT-"&amp;TEXT(ROW()-1,"00000"))</f>
        <v/>
      </c>
      <c r="B1056" s="3">
        <f>IF(D1056="","",IF(V1056=0,"CONCLUÍDO",IF(D1056&lt;corte,"HISTÓRICO",IF(OR(AND(ISNUMBER(R1056),R1056&lt;TODAY()),AND(OR(N1056="PENDENTE",N1056="PARCIAL"),D1056&lt;TODAY()-1)),"CRÍTICO",IF(OR(AND(P1056&lt;&gt;"",S1056=""),AND(N1056="REALIZADO",M1056="PENDENTE"),AND(ISNUMBER(R1056),R1056=TODAY())),"ATENÇÃO",IF(N(K1056)=0,"PENDENTE","EM ANDAMENTO"))))))</f>
        <v/>
      </c>
      <c r="C1056" s="3">
        <f>IF(D1056="","",IF(V1056=0,"🟢 OK",IF(D1056&lt;corte,"⚪ HISTÓRICO (sem baixa)",IF(AND(ISNUMBER(R1056),R1056&lt;TODAY()),"🔴 PRAZO VENCIDO",IF(AND(OR(N1056="PENDENTE",N1056="PARCIAL"),D1056&lt;TODAY()-1),"🔴 EMBARQUE ATRASADO",IF(AND(N1056="REALIZADO",M1056="PENDENTE"),"🟡 EMBARCADO SEM FATURAR",IF(AND(P1056&lt;&gt;"",S1056="",OR(Q1056="",R1056="")),"🟡 PENDÊNCIA SEM RESPONSÁVEL/PRAZO",IF(AND(ISNUMBER(R1056),R1056=TODAY()),"🟡 VENCE HOJE",IF(AND(P1056&lt;&gt;"",S1056=""),"🟡 PENDÊNCIA ABERTA",IF(AND(N(J1056)&gt;0,N(K1056)&lt;J1056),"🟡 FALTA EXECUTAR",IF(OR(M1056="PENDENTE",M1056="PARCIAL"),"🟡 FATURAMENTO PENDENTE","🟡 EMBARQUE PENDENTE")))))))))))</f>
        <v/>
      </c>
      <c r="D1056" s="4" t="n"/>
      <c r="E1056" s="5" t="n"/>
      <c r="F1056" s="5" t="n"/>
      <c r="G1056" s="5" t="n"/>
      <c r="H1056" s="5" t="n"/>
      <c r="I1056" s="5" t="n"/>
      <c r="J1056" s="6" t="n"/>
      <c r="K1056" s="6" t="n"/>
      <c r="L1056" s="7">
        <f>IF(OR(D1056="",N(J1056)=0),"",MIN(1,N(K1056)/J1056))</f>
        <v/>
      </c>
      <c r="M1056" s="5" t="n"/>
      <c r="N1056" s="5" t="n"/>
      <c r="O1056" s="5" t="n"/>
      <c r="P1056" s="5" t="n"/>
      <c r="Q1056" s="5" t="n"/>
      <c r="R1056" s="4" t="n"/>
      <c r="S1056" s="4" t="n"/>
      <c r="T1056" s="5" t="n"/>
      <c r="U1056" s="8">
        <f>IF(AND(V1056=1,D1056&lt;&gt;""),IF(D1056&gt;=corte,TODAY()-D1056,""),"")</f>
        <v/>
      </c>
      <c r="V1056" s="8">
        <f>IF(D1056="",0,IF(OR(AND(P1056&lt;&gt;"",S1056=""),AND(N(J1056)&gt;0,N(K1056)&lt;J1056),OR(M1056="PENDENTE",M1056="PARCIAL"),OR(N1056="PENDENTE",N1056="PARCIAL")),1,0))</f>
        <v/>
      </c>
      <c r="W1056" s="8">
        <f>IF(AND(V1056=1,D1056&lt;&gt;""),IF(D1056&gt;=corte,(B1056="CRÍTICO")*1E9+(100000-D1056)*10000+10000-ROW(),""),"")</f>
        <v/>
      </c>
      <c r="X1056" s="8">
        <f>IF(AND(V1056=1,D1056=pas_data,E1056=pas_turno),10000-ROW(),"")</f>
        <v/>
      </c>
    </row>
    <row r="1057">
      <c r="A1057" s="3">
        <f>IF(D1057="","","TT-"&amp;TEXT(ROW()-1,"00000"))</f>
        <v/>
      </c>
      <c r="B1057" s="3">
        <f>IF(D1057="","",IF(V1057=0,"CONCLUÍDO",IF(D1057&lt;corte,"HISTÓRICO",IF(OR(AND(ISNUMBER(R1057),R1057&lt;TODAY()),AND(OR(N1057="PENDENTE",N1057="PARCIAL"),D1057&lt;TODAY()-1)),"CRÍTICO",IF(OR(AND(P1057&lt;&gt;"",S1057=""),AND(N1057="REALIZADO",M1057="PENDENTE"),AND(ISNUMBER(R1057),R1057=TODAY())),"ATENÇÃO",IF(N(K1057)=0,"PENDENTE","EM ANDAMENTO"))))))</f>
        <v/>
      </c>
      <c r="C1057" s="3">
        <f>IF(D1057="","",IF(V1057=0,"🟢 OK",IF(D1057&lt;corte,"⚪ HISTÓRICO (sem baixa)",IF(AND(ISNUMBER(R1057),R1057&lt;TODAY()),"🔴 PRAZO VENCIDO",IF(AND(OR(N1057="PENDENTE",N1057="PARCIAL"),D1057&lt;TODAY()-1),"🔴 EMBARQUE ATRASADO",IF(AND(N1057="REALIZADO",M1057="PENDENTE"),"🟡 EMBARCADO SEM FATURAR",IF(AND(P1057&lt;&gt;"",S1057="",OR(Q1057="",R1057="")),"🟡 PENDÊNCIA SEM RESPONSÁVEL/PRAZO",IF(AND(ISNUMBER(R1057),R1057=TODAY()),"🟡 VENCE HOJE",IF(AND(P1057&lt;&gt;"",S1057=""),"🟡 PENDÊNCIA ABERTA",IF(AND(N(J1057)&gt;0,N(K1057)&lt;J1057),"🟡 FALTA EXECUTAR",IF(OR(M1057="PENDENTE",M1057="PARCIAL"),"🟡 FATURAMENTO PENDENTE","🟡 EMBARQUE PENDENTE")))))))))))</f>
        <v/>
      </c>
      <c r="D1057" s="4" t="n"/>
      <c r="E1057" s="5" t="n"/>
      <c r="F1057" s="5" t="n"/>
      <c r="G1057" s="5" t="n"/>
      <c r="H1057" s="5" t="n"/>
      <c r="I1057" s="5" t="n"/>
      <c r="J1057" s="6" t="n"/>
      <c r="K1057" s="6" t="n"/>
      <c r="L1057" s="7">
        <f>IF(OR(D1057="",N(J1057)=0),"",MIN(1,N(K1057)/J1057))</f>
        <v/>
      </c>
      <c r="M1057" s="5" t="n"/>
      <c r="N1057" s="5" t="n"/>
      <c r="O1057" s="5" t="n"/>
      <c r="P1057" s="5" t="n"/>
      <c r="Q1057" s="5" t="n"/>
      <c r="R1057" s="4" t="n"/>
      <c r="S1057" s="4" t="n"/>
      <c r="T1057" s="5" t="n"/>
      <c r="U1057" s="8">
        <f>IF(AND(V1057=1,D1057&lt;&gt;""),IF(D1057&gt;=corte,TODAY()-D1057,""),"")</f>
        <v/>
      </c>
      <c r="V1057" s="8">
        <f>IF(D1057="",0,IF(OR(AND(P1057&lt;&gt;"",S1057=""),AND(N(J1057)&gt;0,N(K1057)&lt;J1057),OR(M1057="PENDENTE",M1057="PARCIAL"),OR(N1057="PENDENTE",N1057="PARCIAL")),1,0))</f>
        <v/>
      </c>
      <c r="W1057" s="8">
        <f>IF(AND(V1057=1,D1057&lt;&gt;""),IF(D1057&gt;=corte,(B1057="CRÍTICO")*1E9+(100000-D1057)*10000+10000-ROW(),""),"")</f>
        <v/>
      </c>
      <c r="X1057" s="8">
        <f>IF(AND(V1057=1,D1057=pas_data,E1057=pas_turno),10000-ROW(),"")</f>
        <v/>
      </c>
    </row>
    <row r="1058">
      <c r="A1058" s="3">
        <f>IF(D1058="","","TT-"&amp;TEXT(ROW()-1,"00000"))</f>
        <v/>
      </c>
      <c r="B1058" s="3">
        <f>IF(D1058="","",IF(V1058=0,"CONCLUÍDO",IF(D1058&lt;corte,"HISTÓRICO",IF(OR(AND(ISNUMBER(R1058),R1058&lt;TODAY()),AND(OR(N1058="PENDENTE",N1058="PARCIAL"),D1058&lt;TODAY()-1)),"CRÍTICO",IF(OR(AND(P1058&lt;&gt;"",S1058=""),AND(N1058="REALIZADO",M1058="PENDENTE"),AND(ISNUMBER(R1058),R1058=TODAY())),"ATENÇÃO",IF(N(K1058)=0,"PENDENTE","EM ANDAMENTO"))))))</f>
        <v/>
      </c>
      <c r="C1058" s="3">
        <f>IF(D1058="","",IF(V1058=0,"🟢 OK",IF(D1058&lt;corte,"⚪ HISTÓRICO (sem baixa)",IF(AND(ISNUMBER(R1058),R1058&lt;TODAY()),"🔴 PRAZO VENCIDO",IF(AND(OR(N1058="PENDENTE",N1058="PARCIAL"),D1058&lt;TODAY()-1),"🔴 EMBARQUE ATRASADO",IF(AND(N1058="REALIZADO",M1058="PENDENTE"),"🟡 EMBARCADO SEM FATURAR",IF(AND(P1058&lt;&gt;"",S1058="",OR(Q1058="",R1058="")),"🟡 PENDÊNCIA SEM RESPONSÁVEL/PRAZO",IF(AND(ISNUMBER(R1058),R1058=TODAY()),"🟡 VENCE HOJE",IF(AND(P1058&lt;&gt;"",S1058=""),"🟡 PENDÊNCIA ABERTA",IF(AND(N(J1058)&gt;0,N(K1058)&lt;J1058),"🟡 FALTA EXECUTAR",IF(OR(M1058="PENDENTE",M1058="PARCIAL"),"🟡 FATURAMENTO PENDENTE","🟡 EMBARQUE PENDENTE")))))))))))</f>
        <v/>
      </c>
      <c r="D1058" s="4" t="n"/>
      <c r="E1058" s="5" t="n"/>
      <c r="F1058" s="5" t="n"/>
      <c r="G1058" s="5" t="n"/>
      <c r="H1058" s="5" t="n"/>
      <c r="I1058" s="5" t="n"/>
      <c r="J1058" s="6" t="n"/>
      <c r="K1058" s="6" t="n"/>
      <c r="L1058" s="7">
        <f>IF(OR(D1058="",N(J1058)=0),"",MIN(1,N(K1058)/J1058))</f>
        <v/>
      </c>
      <c r="M1058" s="5" t="n"/>
      <c r="N1058" s="5" t="n"/>
      <c r="O1058" s="5" t="n"/>
      <c r="P1058" s="5" t="n"/>
      <c r="Q1058" s="5" t="n"/>
      <c r="R1058" s="4" t="n"/>
      <c r="S1058" s="4" t="n"/>
      <c r="T1058" s="5" t="n"/>
      <c r="U1058" s="8">
        <f>IF(AND(V1058=1,D1058&lt;&gt;""),IF(D1058&gt;=corte,TODAY()-D1058,""),"")</f>
        <v/>
      </c>
      <c r="V1058" s="8">
        <f>IF(D1058="",0,IF(OR(AND(P1058&lt;&gt;"",S1058=""),AND(N(J1058)&gt;0,N(K1058)&lt;J1058),OR(M1058="PENDENTE",M1058="PARCIAL"),OR(N1058="PENDENTE",N1058="PARCIAL")),1,0))</f>
        <v/>
      </c>
      <c r="W1058" s="8">
        <f>IF(AND(V1058=1,D1058&lt;&gt;""),IF(D1058&gt;=corte,(B1058="CRÍTICO")*1E9+(100000-D1058)*10000+10000-ROW(),""),"")</f>
        <v/>
      </c>
      <c r="X1058" s="8">
        <f>IF(AND(V1058=1,D1058=pas_data,E1058=pas_turno),10000-ROW(),"")</f>
        <v/>
      </c>
    </row>
    <row r="1059">
      <c r="A1059" s="3">
        <f>IF(D1059="","","TT-"&amp;TEXT(ROW()-1,"00000"))</f>
        <v/>
      </c>
      <c r="B1059" s="3">
        <f>IF(D1059="","",IF(V1059=0,"CONCLUÍDO",IF(D1059&lt;corte,"HISTÓRICO",IF(OR(AND(ISNUMBER(R1059),R1059&lt;TODAY()),AND(OR(N1059="PENDENTE",N1059="PARCIAL"),D1059&lt;TODAY()-1)),"CRÍTICO",IF(OR(AND(P1059&lt;&gt;"",S1059=""),AND(N1059="REALIZADO",M1059="PENDENTE"),AND(ISNUMBER(R1059),R1059=TODAY())),"ATENÇÃO",IF(N(K1059)=0,"PENDENTE","EM ANDAMENTO"))))))</f>
        <v/>
      </c>
      <c r="C1059" s="3">
        <f>IF(D1059="","",IF(V1059=0,"🟢 OK",IF(D1059&lt;corte,"⚪ HISTÓRICO (sem baixa)",IF(AND(ISNUMBER(R1059),R1059&lt;TODAY()),"🔴 PRAZO VENCIDO",IF(AND(OR(N1059="PENDENTE",N1059="PARCIAL"),D1059&lt;TODAY()-1),"🔴 EMBARQUE ATRASADO",IF(AND(N1059="REALIZADO",M1059="PENDENTE"),"🟡 EMBARCADO SEM FATURAR",IF(AND(P1059&lt;&gt;"",S1059="",OR(Q1059="",R1059="")),"🟡 PENDÊNCIA SEM RESPONSÁVEL/PRAZO",IF(AND(ISNUMBER(R1059),R1059=TODAY()),"🟡 VENCE HOJE",IF(AND(P1059&lt;&gt;"",S1059=""),"🟡 PENDÊNCIA ABERTA",IF(AND(N(J1059)&gt;0,N(K1059)&lt;J1059),"🟡 FALTA EXECUTAR",IF(OR(M1059="PENDENTE",M1059="PARCIAL"),"🟡 FATURAMENTO PENDENTE","🟡 EMBARQUE PENDENTE")))))))))))</f>
        <v/>
      </c>
      <c r="D1059" s="4" t="n"/>
      <c r="E1059" s="5" t="n"/>
      <c r="F1059" s="5" t="n"/>
      <c r="G1059" s="5" t="n"/>
      <c r="H1059" s="5" t="n"/>
      <c r="I1059" s="5" t="n"/>
      <c r="J1059" s="6" t="n"/>
      <c r="K1059" s="6" t="n"/>
      <c r="L1059" s="7">
        <f>IF(OR(D1059="",N(J1059)=0),"",MIN(1,N(K1059)/J1059))</f>
        <v/>
      </c>
      <c r="M1059" s="5" t="n"/>
      <c r="N1059" s="5" t="n"/>
      <c r="O1059" s="5" t="n"/>
      <c r="P1059" s="5" t="n"/>
      <c r="Q1059" s="5" t="n"/>
      <c r="R1059" s="4" t="n"/>
      <c r="S1059" s="4" t="n"/>
      <c r="T1059" s="5" t="n"/>
      <c r="U1059" s="8">
        <f>IF(AND(V1059=1,D1059&lt;&gt;""),IF(D1059&gt;=corte,TODAY()-D1059,""),"")</f>
        <v/>
      </c>
      <c r="V1059" s="8">
        <f>IF(D1059="",0,IF(OR(AND(P1059&lt;&gt;"",S1059=""),AND(N(J1059)&gt;0,N(K1059)&lt;J1059),OR(M1059="PENDENTE",M1059="PARCIAL"),OR(N1059="PENDENTE",N1059="PARCIAL")),1,0))</f>
        <v/>
      </c>
      <c r="W1059" s="8">
        <f>IF(AND(V1059=1,D1059&lt;&gt;""),IF(D1059&gt;=corte,(B1059="CRÍTICO")*1E9+(100000-D1059)*10000+10000-ROW(),""),"")</f>
        <v/>
      </c>
      <c r="X1059" s="8">
        <f>IF(AND(V1059=1,D1059=pas_data,E1059=pas_turno),10000-ROW(),"")</f>
        <v/>
      </c>
    </row>
    <row r="1060">
      <c r="A1060" s="3">
        <f>IF(D1060="","","TT-"&amp;TEXT(ROW()-1,"00000"))</f>
        <v/>
      </c>
      <c r="B1060" s="3">
        <f>IF(D1060="","",IF(V1060=0,"CONCLUÍDO",IF(D1060&lt;corte,"HISTÓRICO",IF(OR(AND(ISNUMBER(R1060),R1060&lt;TODAY()),AND(OR(N1060="PENDENTE",N1060="PARCIAL"),D1060&lt;TODAY()-1)),"CRÍTICO",IF(OR(AND(P1060&lt;&gt;"",S1060=""),AND(N1060="REALIZADO",M1060="PENDENTE"),AND(ISNUMBER(R1060),R1060=TODAY())),"ATENÇÃO",IF(N(K1060)=0,"PENDENTE","EM ANDAMENTO"))))))</f>
        <v/>
      </c>
      <c r="C1060" s="3">
        <f>IF(D1060="","",IF(V1060=0,"🟢 OK",IF(D1060&lt;corte,"⚪ HISTÓRICO (sem baixa)",IF(AND(ISNUMBER(R1060),R1060&lt;TODAY()),"🔴 PRAZO VENCIDO",IF(AND(OR(N1060="PENDENTE",N1060="PARCIAL"),D1060&lt;TODAY()-1),"🔴 EMBARQUE ATRASADO",IF(AND(N1060="REALIZADO",M1060="PENDENTE"),"🟡 EMBARCADO SEM FATURAR",IF(AND(P1060&lt;&gt;"",S1060="",OR(Q1060="",R1060="")),"🟡 PENDÊNCIA SEM RESPONSÁVEL/PRAZO",IF(AND(ISNUMBER(R1060),R1060=TODAY()),"🟡 VENCE HOJE",IF(AND(P1060&lt;&gt;"",S1060=""),"🟡 PENDÊNCIA ABERTA",IF(AND(N(J1060)&gt;0,N(K1060)&lt;J1060),"🟡 FALTA EXECUTAR",IF(OR(M1060="PENDENTE",M1060="PARCIAL"),"🟡 FATURAMENTO PENDENTE","🟡 EMBARQUE PENDENTE")))))))))))</f>
        <v/>
      </c>
      <c r="D1060" s="4" t="n"/>
      <c r="E1060" s="5" t="n"/>
      <c r="F1060" s="5" t="n"/>
      <c r="G1060" s="5" t="n"/>
      <c r="H1060" s="5" t="n"/>
      <c r="I1060" s="5" t="n"/>
      <c r="J1060" s="6" t="n"/>
      <c r="K1060" s="6" t="n"/>
      <c r="L1060" s="7">
        <f>IF(OR(D1060="",N(J1060)=0),"",MIN(1,N(K1060)/J1060))</f>
        <v/>
      </c>
      <c r="M1060" s="5" t="n"/>
      <c r="N1060" s="5" t="n"/>
      <c r="O1060" s="5" t="n"/>
      <c r="P1060" s="5" t="n"/>
      <c r="Q1060" s="5" t="n"/>
      <c r="R1060" s="4" t="n"/>
      <c r="S1060" s="4" t="n"/>
      <c r="T1060" s="5" t="n"/>
      <c r="U1060" s="8">
        <f>IF(AND(V1060=1,D1060&lt;&gt;""),IF(D1060&gt;=corte,TODAY()-D1060,""),"")</f>
        <v/>
      </c>
      <c r="V1060" s="8">
        <f>IF(D1060="",0,IF(OR(AND(P1060&lt;&gt;"",S1060=""),AND(N(J1060)&gt;0,N(K1060)&lt;J1060),OR(M1060="PENDENTE",M1060="PARCIAL"),OR(N1060="PENDENTE",N1060="PARCIAL")),1,0))</f>
        <v/>
      </c>
      <c r="W1060" s="8">
        <f>IF(AND(V1060=1,D1060&lt;&gt;""),IF(D1060&gt;=corte,(B1060="CRÍTICO")*1E9+(100000-D1060)*10000+10000-ROW(),""),"")</f>
        <v/>
      </c>
      <c r="X1060" s="8">
        <f>IF(AND(V1060=1,D1060=pas_data,E1060=pas_turno),10000-ROW(),"")</f>
        <v/>
      </c>
    </row>
    <row r="1061">
      <c r="A1061" s="3">
        <f>IF(D1061="","","TT-"&amp;TEXT(ROW()-1,"00000"))</f>
        <v/>
      </c>
      <c r="B1061" s="3">
        <f>IF(D1061="","",IF(V1061=0,"CONCLUÍDO",IF(D1061&lt;corte,"HISTÓRICO",IF(OR(AND(ISNUMBER(R1061),R1061&lt;TODAY()),AND(OR(N1061="PENDENTE",N1061="PARCIAL"),D1061&lt;TODAY()-1)),"CRÍTICO",IF(OR(AND(P1061&lt;&gt;"",S1061=""),AND(N1061="REALIZADO",M1061="PENDENTE"),AND(ISNUMBER(R1061),R1061=TODAY())),"ATENÇÃO",IF(N(K1061)=0,"PENDENTE","EM ANDAMENTO"))))))</f>
        <v/>
      </c>
      <c r="C1061" s="3">
        <f>IF(D1061="","",IF(V1061=0,"🟢 OK",IF(D1061&lt;corte,"⚪ HISTÓRICO (sem baixa)",IF(AND(ISNUMBER(R1061),R1061&lt;TODAY()),"🔴 PRAZO VENCIDO",IF(AND(OR(N1061="PENDENTE",N1061="PARCIAL"),D1061&lt;TODAY()-1),"🔴 EMBARQUE ATRASADO",IF(AND(N1061="REALIZADO",M1061="PENDENTE"),"🟡 EMBARCADO SEM FATURAR",IF(AND(P1061&lt;&gt;"",S1061="",OR(Q1061="",R1061="")),"🟡 PENDÊNCIA SEM RESPONSÁVEL/PRAZO",IF(AND(ISNUMBER(R1061),R1061=TODAY()),"🟡 VENCE HOJE",IF(AND(P1061&lt;&gt;"",S1061=""),"🟡 PENDÊNCIA ABERTA",IF(AND(N(J1061)&gt;0,N(K1061)&lt;J1061),"🟡 FALTA EXECUTAR",IF(OR(M1061="PENDENTE",M1061="PARCIAL"),"🟡 FATURAMENTO PENDENTE","🟡 EMBARQUE PENDENTE")))))))))))</f>
        <v/>
      </c>
      <c r="D1061" s="4" t="n"/>
      <c r="E1061" s="5" t="n"/>
      <c r="F1061" s="5" t="n"/>
      <c r="G1061" s="5" t="n"/>
      <c r="H1061" s="5" t="n"/>
      <c r="I1061" s="5" t="n"/>
      <c r="J1061" s="6" t="n"/>
      <c r="K1061" s="6" t="n"/>
      <c r="L1061" s="7">
        <f>IF(OR(D1061="",N(J1061)=0),"",MIN(1,N(K1061)/J1061))</f>
        <v/>
      </c>
      <c r="M1061" s="5" t="n"/>
      <c r="N1061" s="5" t="n"/>
      <c r="O1061" s="5" t="n"/>
      <c r="P1061" s="5" t="n"/>
      <c r="Q1061" s="5" t="n"/>
      <c r="R1061" s="4" t="n"/>
      <c r="S1061" s="4" t="n"/>
      <c r="T1061" s="5" t="n"/>
      <c r="U1061" s="8">
        <f>IF(AND(V1061=1,D1061&lt;&gt;""),IF(D1061&gt;=corte,TODAY()-D1061,""),"")</f>
        <v/>
      </c>
      <c r="V1061" s="8">
        <f>IF(D1061="",0,IF(OR(AND(P1061&lt;&gt;"",S1061=""),AND(N(J1061)&gt;0,N(K1061)&lt;J1061),OR(M1061="PENDENTE",M1061="PARCIAL"),OR(N1061="PENDENTE",N1061="PARCIAL")),1,0))</f>
        <v/>
      </c>
      <c r="W1061" s="8">
        <f>IF(AND(V1061=1,D1061&lt;&gt;""),IF(D1061&gt;=corte,(B1061="CRÍTICO")*1E9+(100000-D1061)*10000+10000-ROW(),""),"")</f>
        <v/>
      </c>
      <c r="X1061" s="8">
        <f>IF(AND(V1061=1,D1061=pas_data,E1061=pas_turno),10000-ROW(),"")</f>
        <v/>
      </c>
    </row>
    <row r="1062">
      <c r="A1062" s="3">
        <f>IF(D1062="","","TT-"&amp;TEXT(ROW()-1,"00000"))</f>
        <v/>
      </c>
      <c r="B1062" s="3">
        <f>IF(D1062="","",IF(V1062=0,"CONCLUÍDO",IF(D1062&lt;corte,"HISTÓRICO",IF(OR(AND(ISNUMBER(R1062),R1062&lt;TODAY()),AND(OR(N1062="PENDENTE",N1062="PARCIAL"),D1062&lt;TODAY()-1)),"CRÍTICO",IF(OR(AND(P1062&lt;&gt;"",S1062=""),AND(N1062="REALIZADO",M1062="PENDENTE"),AND(ISNUMBER(R1062),R1062=TODAY())),"ATENÇÃO",IF(N(K1062)=0,"PENDENTE","EM ANDAMENTO"))))))</f>
        <v/>
      </c>
      <c r="C1062" s="3">
        <f>IF(D1062="","",IF(V1062=0,"🟢 OK",IF(D1062&lt;corte,"⚪ HISTÓRICO (sem baixa)",IF(AND(ISNUMBER(R1062),R1062&lt;TODAY()),"🔴 PRAZO VENCIDO",IF(AND(OR(N1062="PENDENTE",N1062="PARCIAL"),D1062&lt;TODAY()-1),"🔴 EMBARQUE ATRASADO",IF(AND(N1062="REALIZADO",M1062="PENDENTE"),"🟡 EMBARCADO SEM FATURAR",IF(AND(P1062&lt;&gt;"",S1062="",OR(Q1062="",R1062="")),"🟡 PENDÊNCIA SEM RESPONSÁVEL/PRAZO",IF(AND(ISNUMBER(R1062),R1062=TODAY()),"🟡 VENCE HOJE",IF(AND(P1062&lt;&gt;"",S1062=""),"🟡 PENDÊNCIA ABERTA",IF(AND(N(J1062)&gt;0,N(K1062)&lt;J1062),"🟡 FALTA EXECUTAR",IF(OR(M1062="PENDENTE",M1062="PARCIAL"),"🟡 FATURAMENTO PENDENTE","🟡 EMBARQUE PENDENTE")))))))))))</f>
        <v/>
      </c>
      <c r="D1062" s="4" t="n"/>
      <c r="E1062" s="5" t="n"/>
      <c r="F1062" s="5" t="n"/>
      <c r="G1062" s="5" t="n"/>
      <c r="H1062" s="5" t="n"/>
      <c r="I1062" s="5" t="n"/>
      <c r="J1062" s="6" t="n"/>
      <c r="K1062" s="6" t="n"/>
      <c r="L1062" s="7">
        <f>IF(OR(D1062="",N(J1062)=0),"",MIN(1,N(K1062)/J1062))</f>
        <v/>
      </c>
      <c r="M1062" s="5" t="n"/>
      <c r="N1062" s="5" t="n"/>
      <c r="O1062" s="5" t="n"/>
      <c r="P1062" s="5" t="n"/>
      <c r="Q1062" s="5" t="n"/>
      <c r="R1062" s="4" t="n"/>
      <c r="S1062" s="4" t="n"/>
      <c r="T1062" s="5" t="n"/>
      <c r="U1062" s="8">
        <f>IF(AND(V1062=1,D1062&lt;&gt;""),IF(D1062&gt;=corte,TODAY()-D1062,""),"")</f>
        <v/>
      </c>
      <c r="V1062" s="8">
        <f>IF(D1062="",0,IF(OR(AND(P1062&lt;&gt;"",S1062=""),AND(N(J1062)&gt;0,N(K1062)&lt;J1062),OR(M1062="PENDENTE",M1062="PARCIAL"),OR(N1062="PENDENTE",N1062="PARCIAL")),1,0))</f>
        <v/>
      </c>
      <c r="W1062" s="8">
        <f>IF(AND(V1062=1,D1062&lt;&gt;""),IF(D1062&gt;=corte,(B1062="CRÍTICO")*1E9+(100000-D1062)*10000+10000-ROW(),""),"")</f>
        <v/>
      </c>
      <c r="X1062" s="8">
        <f>IF(AND(V1062=1,D1062=pas_data,E1062=pas_turno),10000-ROW(),"")</f>
        <v/>
      </c>
    </row>
    <row r="1063">
      <c r="A1063" s="3">
        <f>IF(D1063="","","TT-"&amp;TEXT(ROW()-1,"00000"))</f>
        <v/>
      </c>
      <c r="B1063" s="3">
        <f>IF(D1063="","",IF(V1063=0,"CONCLUÍDO",IF(D1063&lt;corte,"HISTÓRICO",IF(OR(AND(ISNUMBER(R1063),R1063&lt;TODAY()),AND(OR(N1063="PENDENTE",N1063="PARCIAL"),D1063&lt;TODAY()-1)),"CRÍTICO",IF(OR(AND(P1063&lt;&gt;"",S1063=""),AND(N1063="REALIZADO",M1063="PENDENTE"),AND(ISNUMBER(R1063),R1063=TODAY())),"ATENÇÃO",IF(N(K1063)=0,"PENDENTE","EM ANDAMENTO"))))))</f>
        <v/>
      </c>
      <c r="C1063" s="3">
        <f>IF(D1063="","",IF(V1063=0,"🟢 OK",IF(D1063&lt;corte,"⚪ HISTÓRICO (sem baixa)",IF(AND(ISNUMBER(R1063),R1063&lt;TODAY()),"🔴 PRAZO VENCIDO",IF(AND(OR(N1063="PENDENTE",N1063="PARCIAL"),D1063&lt;TODAY()-1),"🔴 EMBARQUE ATRASADO",IF(AND(N1063="REALIZADO",M1063="PENDENTE"),"🟡 EMBARCADO SEM FATURAR",IF(AND(P1063&lt;&gt;"",S1063="",OR(Q1063="",R1063="")),"🟡 PENDÊNCIA SEM RESPONSÁVEL/PRAZO",IF(AND(ISNUMBER(R1063),R1063=TODAY()),"🟡 VENCE HOJE",IF(AND(P1063&lt;&gt;"",S1063=""),"🟡 PENDÊNCIA ABERTA",IF(AND(N(J1063)&gt;0,N(K1063)&lt;J1063),"🟡 FALTA EXECUTAR",IF(OR(M1063="PENDENTE",M1063="PARCIAL"),"🟡 FATURAMENTO PENDENTE","🟡 EMBARQUE PENDENTE")))))))))))</f>
        <v/>
      </c>
      <c r="D1063" s="4" t="n"/>
      <c r="E1063" s="5" t="n"/>
      <c r="F1063" s="5" t="n"/>
      <c r="G1063" s="5" t="n"/>
      <c r="H1063" s="5" t="n"/>
      <c r="I1063" s="5" t="n"/>
      <c r="J1063" s="6" t="n"/>
      <c r="K1063" s="6" t="n"/>
      <c r="L1063" s="7">
        <f>IF(OR(D1063="",N(J1063)=0),"",MIN(1,N(K1063)/J1063))</f>
        <v/>
      </c>
      <c r="M1063" s="5" t="n"/>
      <c r="N1063" s="5" t="n"/>
      <c r="O1063" s="5" t="n"/>
      <c r="P1063" s="5" t="n"/>
      <c r="Q1063" s="5" t="n"/>
      <c r="R1063" s="4" t="n"/>
      <c r="S1063" s="4" t="n"/>
      <c r="T1063" s="5" t="n"/>
      <c r="U1063" s="8">
        <f>IF(AND(V1063=1,D1063&lt;&gt;""),IF(D1063&gt;=corte,TODAY()-D1063,""),"")</f>
        <v/>
      </c>
      <c r="V1063" s="8">
        <f>IF(D1063="",0,IF(OR(AND(P1063&lt;&gt;"",S1063=""),AND(N(J1063)&gt;0,N(K1063)&lt;J1063),OR(M1063="PENDENTE",M1063="PARCIAL"),OR(N1063="PENDENTE",N1063="PARCIAL")),1,0))</f>
        <v/>
      </c>
      <c r="W1063" s="8">
        <f>IF(AND(V1063=1,D1063&lt;&gt;""),IF(D1063&gt;=corte,(B1063="CRÍTICO")*1E9+(100000-D1063)*10000+10000-ROW(),""),"")</f>
        <v/>
      </c>
      <c r="X1063" s="8">
        <f>IF(AND(V1063=1,D1063=pas_data,E1063=pas_turno),10000-ROW(),"")</f>
        <v/>
      </c>
    </row>
    <row r="1064">
      <c r="A1064" s="3">
        <f>IF(D1064="","","TT-"&amp;TEXT(ROW()-1,"00000"))</f>
        <v/>
      </c>
      <c r="B1064" s="3">
        <f>IF(D1064="","",IF(V1064=0,"CONCLUÍDO",IF(D1064&lt;corte,"HISTÓRICO",IF(OR(AND(ISNUMBER(R1064),R1064&lt;TODAY()),AND(OR(N1064="PENDENTE",N1064="PARCIAL"),D1064&lt;TODAY()-1)),"CRÍTICO",IF(OR(AND(P1064&lt;&gt;"",S1064=""),AND(N1064="REALIZADO",M1064="PENDENTE"),AND(ISNUMBER(R1064),R1064=TODAY())),"ATENÇÃO",IF(N(K1064)=0,"PENDENTE","EM ANDAMENTO"))))))</f>
        <v/>
      </c>
      <c r="C1064" s="3">
        <f>IF(D1064="","",IF(V1064=0,"🟢 OK",IF(D1064&lt;corte,"⚪ HISTÓRICO (sem baixa)",IF(AND(ISNUMBER(R1064),R1064&lt;TODAY()),"🔴 PRAZO VENCIDO",IF(AND(OR(N1064="PENDENTE",N1064="PARCIAL"),D1064&lt;TODAY()-1),"🔴 EMBARQUE ATRASADO",IF(AND(N1064="REALIZADO",M1064="PENDENTE"),"🟡 EMBARCADO SEM FATURAR",IF(AND(P1064&lt;&gt;"",S1064="",OR(Q1064="",R1064="")),"🟡 PENDÊNCIA SEM RESPONSÁVEL/PRAZO",IF(AND(ISNUMBER(R1064),R1064=TODAY()),"🟡 VENCE HOJE",IF(AND(P1064&lt;&gt;"",S1064=""),"🟡 PENDÊNCIA ABERTA",IF(AND(N(J1064)&gt;0,N(K1064)&lt;J1064),"🟡 FALTA EXECUTAR",IF(OR(M1064="PENDENTE",M1064="PARCIAL"),"🟡 FATURAMENTO PENDENTE","🟡 EMBARQUE PENDENTE")))))))))))</f>
        <v/>
      </c>
      <c r="D1064" s="4" t="n"/>
      <c r="E1064" s="5" t="n"/>
      <c r="F1064" s="5" t="n"/>
      <c r="G1064" s="5" t="n"/>
      <c r="H1064" s="5" t="n"/>
      <c r="I1064" s="5" t="n"/>
      <c r="J1064" s="6" t="n"/>
      <c r="K1064" s="6" t="n"/>
      <c r="L1064" s="7">
        <f>IF(OR(D1064="",N(J1064)=0),"",MIN(1,N(K1064)/J1064))</f>
        <v/>
      </c>
      <c r="M1064" s="5" t="n"/>
      <c r="N1064" s="5" t="n"/>
      <c r="O1064" s="5" t="n"/>
      <c r="P1064" s="5" t="n"/>
      <c r="Q1064" s="5" t="n"/>
      <c r="R1064" s="4" t="n"/>
      <c r="S1064" s="4" t="n"/>
      <c r="T1064" s="5" t="n"/>
      <c r="U1064" s="8">
        <f>IF(AND(V1064=1,D1064&lt;&gt;""),IF(D1064&gt;=corte,TODAY()-D1064,""),"")</f>
        <v/>
      </c>
      <c r="V1064" s="8">
        <f>IF(D1064="",0,IF(OR(AND(P1064&lt;&gt;"",S1064=""),AND(N(J1064)&gt;0,N(K1064)&lt;J1064),OR(M1064="PENDENTE",M1064="PARCIAL"),OR(N1064="PENDENTE",N1064="PARCIAL")),1,0))</f>
        <v/>
      </c>
      <c r="W1064" s="8">
        <f>IF(AND(V1064=1,D1064&lt;&gt;""),IF(D1064&gt;=corte,(B1064="CRÍTICO")*1E9+(100000-D1064)*10000+10000-ROW(),""),"")</f>
        <v/>
      </c>
      <c r="X1064" s="8">
        <f>IF(AND(V1064=1,D1064=pas_data,E1064=pas_turno),10000-ROW(),"")</f>
        <v/>
      </c>
    </row>
    <row r="1065">
      <c r="A1065" s="3">
        <f>IF(D1065="","","TT-"&amp;TEXT(ROW()-1,"00000"))</f>
        <v/>
      </c>
      <c r="B1065" s="3">
        <f>IF(D1065="","",IF(V1065=0,"CONCLUÍDO",IF(D1065&lt;corte,"HISTÓRICO",IF(OR(AND(ISNUMBER(R1065),R1065&lt;TODAY()),AND(OR(N1065="PENDENTE",N1065="PARCIAL"),D1065&lt;TODAY()-1)),"CRÍTICO",IF(OR(AND(P1065&lt;&gt;"",S1065=""),AND(N1065="REALIZADO",M1065="PENDENTE"),AND(ISNUMBER(R1065),R1065=TODAY())),"ATENÇÃO",IF(N(K1065)=0,"PENDENTE","EM ANDAMENTO"))))))</f>
        <v/>
      </c>
      <c r="C1065" s="3">
        <f>IF(D1065="","",IF(V1065=0,"🟢 OK",IF(D1065&lt;corte,"⚪ HISTÓRICO (sem baixa)",IF(AND(ISNUMBER(R1065),R1065&lt;TODAY()),"🔴 PRAZO VENCIDO",IF(AND(OR(N1065="PENDENTE",N1065="PARCIAL"),D1065&lt;TODAY()-1),"🔴 EMBARQUE ATRASADO",IF(AND(N1065="REALIZADO",M1065="PENDENTE"),"🟡 EMBARCADO SEM FATURAR",IF(AND(P1065&lt;&gt;"",S1065="",OR(Q1065="",R1065="")),"🟡 PENDÊNCIA SEM RESPONSÁVEL/PRAZO",IF(AND(ISNUMBER(R1065),R1065=TODAY()),"🟡 VENCE HOJE",IF(AND(P1065&lt;&gt;"",S1065=""),"🟡 PENDÊNCIA ABERTA",IF(AND(N(J1065)&gt;0,N(K1065)&lt;J1065),"🟡 FALTA EXECUTAR",IF(OR(M1065="PENDENTE",M1065="PARCIAL"),"🟡 FATURAMENTO PENDENTE","🟡 EMBARQUE PENDENTE")))))))))))</f>
        <v/>
      </c>
      <c r="D1065" s="4" t="n"/>
      <c r="E1065" s="5" t="n"/>
      <c r="F1065" s="5" t="n"/>
      <c r="G1065" s="5" t="n"/>
      <c r="H1065" s="5" t="n"/>
      <c r="I1065" s="5" t="n"/>
      <c r="J1065" s="6" t="n"/>
      <c r="K1065" s="6" t="n"/>
      <c r="L1065" s="7">
        <f>IF(OR(D1065="",N(J1065)=0),"",MIN(1,N(K1065)/J1065))</f>
        <v/>
      </c>
      <c r="M1065" s="5" t="n"/>
      <c r="N1065" s="5" t="n"/>
      <c r="O1065" s="5" t="n"/>
      <c r="P1065" s="5" t="n"/>
      <c r="Q1065" s="5" t="n"/>
      <c r="R1065" s="4" t="n"/>
      <c r="S1065" s="4" t="n"/>
      <c r="T1065" s="5" t="n"/>
      <c r="U1065" s="8">
        <f>IF(AND(V1065=1,D1065&lt;&gt;""),IF(D1065&gt;=corte,TODAY()-D1065,""),"")</f>
        <v/>
      </c>
      <c r="V1065" s="8">
        <f>IF(D1065="",0,IF(OR(AND(P1065&lt;&gt;"",S1065=""),AND(N(J1065)&gt;0,N(K1065)&lt;J1065),OR(M1065="PENDENTE",M1065="PARCIAL"),OR(N1065="PENDENTE",N1065="PARCIAL")),1,0))</f>
        <v/>
      </c>
      <c r="W1065" s="8">
        <f>IF(AND(V1065=1,D1065&lt;&gt;""),IF(D1065&gt;=corte,(B1065="CRÍTICO")*1E9+(100000-D1065)*10000+10000-ROW(),""),"")</f>
        <v/>
      </c>
      <c r="X1065" s="8">
        <f>IF(AND(V1065=1,D1065=pas_data,E1065=pas_turno),10000-ROW(),"")</f>
        <v/>
      </c>
    </row>
    <row r="1066">
      <c r="A1066" s="3">
        <f>IF(D1066="","","TT-"&amp;TEXT(ROW()-1,"00000"))</f>
        <v/>
      </c>
      <c r="B1066" s="3">
        <f>IF(D1066="","",IF(V1066=0,"CONCLUÍDO",IF(D1066&lt;corte,"HISTÓRICO",IF(OR(AND(ISNUMBER(R1066),R1066&lt;TODAY()),AND(OR(N1066="PENDENTE",N1066="PARCIAL"),D1066&lt;TODAY()-1)),"CRÍTICO",IF(OR(AND(P1066&lt;&gt;"",S1066=""),AND(N1066="REALIZADO",M1066="PENDENTE"),AND(ISNUMBER(R1066),R1066=TODAY())),"ATENÇÃO",IF(N(K1066)=0,"PENDENTE","EM ANDAMENTO"))))))</f>
        <v/>
      </c>
      <c r="C1066" s="3">
        <f>IF(D1066="","",IF(V1066=0,"🟢 OK",IF(D1066&lt;corte,"⚪ HISTÓRICO (sem baixa)",IF(AND(ISNUMBER(R1066),R1066&lt;TODAY()),"🔴 PRAZO VENCIDO",IF(AND(OR(N1066="PENDENTE",N1066="PARCIAL"),D1066&lt;TODAY()-1),"🔴 EMBARQUE ATRASADO",IF(AND(N1066="REALIZADO",M1066="PENDENTE"),"🟡 EMBARCADO SEM FATURAR",IF(AND(P1066&lt;&gt;"",S1066="",OR(Q1066="",R1066="")),"🟡 PENDÊNCIA SEM RESPONSÁVEL/PRAZO",IF(AND(ISNUMBER(R1066),R1066=TODAY()),"🟡 VENCE HOJE",IF(AND(P1066&lt;&gt;"",S1066=""),"🟡 PENDÊNCIA ABERTA",IF(AND(N(J1066)&gt;0,N(K1066)&lt;J1066),"🟡 FALTA EXECUTAR",IF(OR(M1066="PENDENTE",M1066="PARCIAL"),"🟡 FATURAMENTO PENDENTE","🟡 EMBARQUE PENDENTE")))))))))))</f>
        <v/>
      </c>
      <c r="D1066" s="4" t="n"/>
      <c r="E1066" s="5" t="n"/>
      <c r="F1066" s="5" t="n"/>
      <c r="G1066" s="5" t="n"/>
      <c r="H1066" s="5" t="n"/>
      <c r="I1066" s="5" t="n"/>
      <c r="J1066" s="6" t="n"/>
      <c r="K1066" s="6" t="n"/>
      <c r="L1066" s="7">
        <f>IF(OR(D1066="",N(J1066)=0),"",MIN(1,N(K1066)/J1066))</f>
        <v/>
      </c>
      <c r="M1066" s="5" t="n"/>
      <c r="N1066" s="5" t="n"/>
      <c r="O1066" s="5" t="n"/>
      <c r="P1066" s="5" t="n"/>
      <c r="Q1066" s="5" t="n"/>
      <c r="R1066" s="4" t="n"/>
      <c r="S1066" s="4" t="n"/>
      <c r="T1066" s="5" t="n"/>
      <c r="U1066" s="8">
        <f>IF(AND(V1066=1,D1066&lt;&gt;""),IF(D1066&gt;=corte,TODAY()-D1066,""),"")</f>
        <v/>
      </c>
      <c r="V1066" s="8">
        <f>IF(D1066="",0,IF(OR(AND(P1066&lt;&gt;"",S1066=""),AND(N(J1066)&gt;0,N(K1066)&lt;J1066),OR(M1066="PENDENTE",M1066="PARCIAL"),OR(N1066="PENDENTE",N1066="PARCIAL")),1,0))</f>
        <v/>
      </c>
      <c r="W1066" s="8">
        <f>IF(AND(V1066=1,D1066&lt;&gt;""),IF(D1066&gt;=corte,(B1066="CRÍTICO")*1E9+(100000-D1066)*10000+10000-ROW(),""),"")</f>
        <v/>
      </c>
      <c r="X1066" s="8">
        <f>IF(AND(V1066=1,D1066=pas_data,E1066=pas_turno),10000-ROW(),"")</f>
        <v/>
      </c>
    </row>
    <row r="1067">
      <c r="A1067" s="3">
        <f>IF(D1067="","","TT-"&amp;TEXT(ROW()-1,"00000"))</f>
        <v/>
      </c>
      <c r="B1067" s="3">
        <f>IF(D1067="","",IF(V1067=0,"CONCLUÍDO",IF(D1067&lt;corte,"HISTÓRICO",IF(OR(AND(ISNUMBER(R1067),R1067&lt;TODAY()),AND(OR(N1067="PENDENTE",N1067="PARCIAL"),D1067&lt;TODAY()-1)),"CRÍTICO",IF(OR(AND(P1067&lt;&gt;"",S1067=""),AND(N1067="REALIZADO",M1067="PENDENTE"),AND(ISNUMBER(R1067),R1067=TODAY())),"ATENÇÃO",IF(N(K1067)=0,"PENDENTE","EM ANDAMENTO"))))))</f>
        <v/>
      </c>
      <c r="C1067" s="3">
        <f>IF(D1067="","",IF(V1067=0,"🟢 OK",IF(D1067&lt;corte,"⚪ HISTÓRICO (sem baixa)",IF(AND(ISNUMBER(R1067),R1067&lt;TODAY()),"🔴 PRAZO VENCIDO",IF(AND(OR(N1067="PENDENTE",N1067="PARCIAL"),D1067&lt;TODAY()-1),"🔴 EMBARQUE ATRASADO",IF(AND(N1067="REALIZADO",M1067="PENDENTE"),"🟡 EMBARCADO SEM FATURAR",IF(AND(P1067&lt;&gt;"",S1067="",OR(Q1067="",R1067="")),"🟡 PENDÊNCIA SEM RESPONSÁVEL/PRAZO",IF(AND(ISNUMBER(R1067),R1067=TODAY()),"🟡 VENCE HOJE",IF(AND(P1067&lt;&gt;"",S1067=""),"🟡 PENDÊNCIA ABERTA",IF(AND(N(J1067)&gt;0,N(K1067)&lt;J1067),"🟡 FALTA EXECUTAR",IF(OR(M1067="PENDENTE",M1067="PARCIAL"),"🟡 FATURAMENTO PENDENTE","🟡 EMBARQUE PENDENTE")))))))))))</f>
        <v/>
      </c>
      <c r="D1067" s="4" t="n"/>
      <c r="E1067" s="5" t="n"/>
      <c r="F1067" s="5" t="n"/>
      <c r="G1067" s="5" t="n"/>
      <c r="H1067" s="5" t="n"/>
      <c r="I1067" s="5" t="n"/>
      <c r="J1067" s="6" t="n"/>
      <c r="K1067" s="6" t="n"/>
      <c r="L1067" s="7">
        <f>IF(OR(D1067="",N(J1067)=0),"",MIN(1,N(K1067)/J1067))</f>
        <v/>
      </c>
      <c r="M1067" s="5" t="n"/>
      <c r="N1067" s="5" t="n"/>
      <c r="O1067" s="5" t="n"/>
      <c r="P1067" s="5" t="n"/>
      <c r="Q1067" s="5" t="n"/>
      <c r="R1067" s="4" t="n"/>
      <c r="S1067" s="4" t="n"/>
      <c r="T1067" s="5" t="n"/>
      <c r="U1067" s="8">
        <f>IF(AND(V1067=1,D1067&lt;&gt;""),IF(D1067&gt;=corte,TODAY()-D1067,""),"")</f>
        <v/>
      </c>
      <c r="V1067" s="8">
        <f>IF(D1067="",0,IF(OR(AND(P1067&lt;&gt;"",S1067=""),AND(N(J1067)&gt;0,N(K1067)&lt;J1067),OR(M1067="PENDENTE",M1067="PARCIAL"),OR(N1067="PENDENTE",N1067="PARCIAL")),1,0))</f>
        <v/>
      </c>
      <c r="W1067" s="8">
        <f>IF(AND(V1067=1,D1067&lt;&gt;""),IF(D1067&gt;=corte,(B1067="CRÍTICO")*1E9+(100000-D1067)*10000+10000-ROW(),""),"")</f>
        <v/>
      </c>
      <c r="X1067" s="8">
        <f>IF(AND(V1067=1,D1067=pas_data,E1067=pas_turno),10000-ROW(),"")</f>
        <v/>
      </c>
    </row>
    <row r="1068">
      <c r="A1068" s="3">
        <f>IF(D1068="","","TT-"&amp;TEXT(ROW()-1,"00000"))</f>
        <v/>
      </c>
      <c r="B1068" s="3">
        <f>IF(D1068="","",IF(V1068=0,"CONCLUÍDO",IF(D1068&lt;corte,"HISTÓRICO",IF(OR(AND(ISNUMBER(R1068),R1068&lt;TODAY()),AND(OR(N1068="PENDENTE",N1068="PARCIAL"),D1068&lt;TODAY()-1)),"CRÍTICO",IF(OR(AND(P1068&lt;&gt;"",S1068=""),AND(N1068="REALIZADO",M1068="PENDENTE"),AND(ISNUMBER(R1068),R1068=TODAY())),"ATENÇÃO",IF(N(K1068)=0,"PENDENTE","EM ANDAMENTO"))))))</f>
        <v/>
      </c>
      <c r="C1068" s="3">
        <f>IF(D1068="","",IF(V1068=0,"🟢 OK",IF(D1068&lt;corte,"⚪ HISTÓRICO (sem baixa)",IF(AND(ISNUMBER(R1068),R1068&lt;TODAY()),"🔴 PRAZO VENCIDO",IF(AND(OR(N1068="PENDENTE",N1068="PARCIAL"),D1068&lt;TODAY()-1),"🔴 EMBARQUE ATRASADO",IF(AND(N1068="REALIZADO",M1068="PENDENTE"),"🟡 EMBARCADO SEM FATURAR",IF(AND(P1068&lt;&gt;"",S1068="",OR(Q1068="",R1068="")),"🟡 PENDÊNCIA SEM RESPONSÁVEL/PRAZO",IF(AND(ISNUMBER(R1068),R1068=TODAY()),"🟡 VENCE HOJE",IF(AND(P1068&lt;&gt;"",S1068=""),"🟡 PENDÊNCIA ABERTA",IF(AND(N(J1068)&gt;0,N(K1068)&lt;J1068),"🟡 FALTA EXECUTAR",IF(OR(M1068="PENDENTE",M1068="PARCIAL"),"🟡 FATURAMENTO PENDENTE","🟡 EMBARQUE PENDENTE")))))))))))</f>
        <v/>
      </c>
      <c r="D1068" s="4" t="n"/>
      <c r="E1068" s="5" t="n"/>
      <c r="F1068" s="5" t="n"/>
      <c r="G1068" s="5" t="n"/>
      <c r="H1068" s="5" t="n"/>
      <c r="I1068" s="5" t="n"/>
      <c r="J1068" s="6" t="n"/>
      <c r="K1068" s="6" t="n"/>
      <c r="L1068" s="7">
        <f>IF(OR(D1068="",N(J1068)=0),"",MIN(1,N(K1068)/J1068))</f>
        <v/>
      </c>
      <c r="M1068" s="5" t="n"/>
      <c r="N1068" s="5" t="n"/>
      <c r="O1068" s="5" t="n"/>
      <c r="P1068" s="5" t="n"/>
      <c r="Q1068" s="5" t="n"/>
      <c r="R1068" s="4" t="n"/>
      <c r="S1068" s="4" t="n"/>
      <c r="T1068" s="5" t="n"/>
      <c r="U1068" s="8">
        <f>IF(AND(V1068=1,D1068&lt;&gt;""),IF(D1068&gt;=corte,TODAY()-D1068,""),"")</f>
        <v/>
      </c>
      <c r="V1068" s="8">
        <f>IF(D1068="",0,IF(OR(AND(P1068&lt;&gt;"",S1068=""),AND(N(J1068)&gt;0,N(K1068)&lt;J1068),OR(M1068="PENDENTE",M1068="PARCIAL"),OR(N1068="PENDENTE",N1068="PARCIAL")),1,0))</f>
        <v/>
      </c>
      <c r="W1068" s="8">
        <f>IF(AND(V1068=1,D1068&lt;&gt;""),IF(D1068&gt;=corte,(B1068="CRÍTICO")*1E9+(100000-D1068)*10000+10000-ROW(),""),"")</f>
        <v/>
      </c>
      <c r="X1068" s="8">
        <f>IF(AND(V1068=1,D1068=pas_data,E1068=pas_turno),10000-ROW(),"")</f>
        <v/>
      </c>
    </row>
    <row r="1069">
      <c r="A1069" s="3">
        <f>IF(D1069="","","TT-"&amp;TEXT(ROW()-1,"00000"))</f>
        <v/>
      </c>
      <c r="B1069" s="3">
        <f>IF(D1069="","",IF(V1069=0,"CONCLUÍDO",IF(D1069&lt;corte,"HISTÓRICO",IF(OR(AND(ISNUMBER(R1069),R1069&lt;TODAY()),AND(OR(N1069="PENDENTE",N1069="PARCIAL"),D1069&lt;TODAY()-1)),"CRÍTICO",IF(OR(AND(P1069&lt;&gt;"",S1069=""),AND(N1069="REALIZADO",M1069="PENDENTE"),AND(ISNUMBER(R1069),R1069=TODAY())),"ATENÇÃO",IF(N(K1069)=0,"PENDENTE","EM ANDAMENTO"))))))</f>
        <v/>
      </c>
      <c r="C1069" s="3">
        <f>IF(D1069="","",IF(V1069=0,"🟢 OK",IF(D1069&lt;corte,"⚪ HISTÓRICO (sem baixa)",IF(AND(ISNUMBER(R1069),R1069&lt;TODAY()),"🔴 PRAZO VENCIDO",IF(AND(OR(N1069="PENDENTE",N1069="PARCIAL"),D1069&lt;TODAY()-1),"🔴 EMBARQUE ATRASADO",IF(AND(N1069="REALIZADO",M1069="PENDENTE"),"🟡 EMBARCADO SEM FATURAR",IF(AND(P1069&lt;&gt;"",S1069="",OR(Q1069="",R1069="")),"🟡 PENDÊNCIA SEM RESPONSÁVEL/PRAZO",IF(AND(ISNUMBER(R1069),R1069=TODAY()),"🟡 VENCE HOJE",IF(AND(P1069&lt;&gt;"",S1069=""),"🟡 PENDÊNCIA ABERTA",IF(AND(N(J1069)&gt;0,N(K1069)&lt;J1069),"🟡 FALTA EXECUTAR",IF(OR(M1069="PENDENTE",M1069="PARCIAL"),"🟡 FATURAMENTO PENDENTE","🟡 EMBARQUE PENDENTE")))))))))))</f>
        <v/>
      </c>
      <c r="D1069" s="4" t="n"/>
      <c r="E1069" s="5" t="n"/>
      <c r="F1069" s="5" t="n"/>
      <c r="G1069" s="5" t="n"/>
      <c r="H1069" s="5" t="n"/>
      <c r="I1069" s="5" t="n"/>
      <c r="J1069" s="6" t="n"/>
      <c r="K1069" s="6" t="n"/>
      <c r="L1069" s="7">
        <f>IF(OR(D1069="",N(J1069)=0),"",MIN(1,N(K1069)/J1069))</f>
        <v/>
      </c>
      <c r="M1069" s="5" t="n"/>
      <c r="N1069" s="5" t="n"/>
      <c r="O1069" s="5" t="n"/>
      <c r="P1069" s="5" t="n"/>
      <c r="Q1069" s="5" t="n"/>
      <c r="R1069" s="4" t="n"/>
      <c r="S1069" s="4" t="n"/>
      <c r="T1069" s="5" t="n"/>
      <c r="U1069" s="8">
        <f>IF(AND(V1069=1,D1069&lt;&gt;""),IF(D1069&gt;=corte,TODAY()-D1069,""),"")</f>
        <v/>
      </c>
      <c r="V1069" s="8">
        <f>IF(D1069="",0,IF(OR(AND(P1069&lt;&gt;"",S1069=""),AND(N(J1069)&gt;0,N(K1069)&lt;J1069),OR(M1069="PENDENTE",M1069="PARCIAL"),OR(N1069="PENDENTE",N1069="PARCIAL")),1,0))</f>
        <v/>
      </c>
      <c r="W1069" s="8">
        <f>IF(AND(V1069=1,D1069&lt;&gt;""),IF(D1069&gt;=corte,(B1069="CRÍTICO")*1E9+(100000-D1069)*10000+10000-ROW(),""),"")</f>
        <v/>
      </c>
      <c r="X1069" s="8">
        <f>IF(AND(V1069=1,D1069=pas_data,E1069=pas_turno),10000-ROW(),"")</f>
        <v/>
      </c>
    </row>
    <row r="1070">
      <c r="A1070" s="3">
        <f>IF(D1070="","","TT-"&amp;TEXT(ROW()-1,"00000"))</f>
        <v/>
      </c>
      <c r="B1070" s="3">
        <f>IF(D1070="","",IF(V1070=0,"CONCLUÍDO",IF(D1070&lt;corte,"HISTÓRICO",IF(OR(AND(ISNUMBER(R1070),R1070&lt;TODAY()),AND(OR(N1070="PENDENTE",N1070="PARCIAL"),D1070&lt;TODAY()-1)),"CRÍTICO",IF(OR(AND(P1070&lt;&gt;"",S1070=""),AND(N1070="REALIZADO",M1070="PENDENTE"),AND(ISNUMBER(R1070),R1070=TODAY())),"ATENÇÃO",IF(N(K1070)=0,"PENDENTE","EM ANDAMENTO"))))))</f>
        <v/>
      </c>
      <c r="C1070" s="3">
        <f>IF(D1070="","",IF(V1070=0,"🟢 OK",IF(D1070&lt;corte,"⚪ HISTÓRICO (sem baixa)",IF(AND(ISNUMBER(R1070),R1070&lt;TODAY()),"🔴 PRAZO VENCIDO",IF(AND(OR(N1070="PENDENTE",N1070="PARCIAL"),D1070&lt;TODAY()-1),"🔴 EMBARQUE ATRASADO",IF(AND(N1070="REALIZADO",M1070="PENDENTE"),"🟡 EMBARCADO SEM FATURAR",IF(AND(P1070&lt;&gt;"",S1070="",OR(Q1070="",R1070="")),"🟡 PENDÊNCIA SEM RESPONSÁVEL/PRAZO",IF(AND(ISNUMBER(R1070),R1070=TODAY()),"🟡 VENCE HOJE",IF(AND(P1070&lt;&gt;"",S1070=""),"🟡 PENDÊNCIA ABERTA",IF(AND(N(J1070)&gt;0,N(K1070)&lt;J1070),"🟡 FALTA EXECUTAR",IF(OR(M1070="PENDENTE",M1070="PARCIAL"),"🟡 FATURAMENTO PENDENTE","🟡 EMBARQUE PENDENTE")))))))))))</f>
        <v/>
      </c>
      <c r="D1070" s="4" t="n"/>
      <c r="E1070" s="5" t="n"/>
      <c r="F1070" s="5" t="n"/>
      <c r="G1070" s="5" t="n"/>
      <c r="H1070" s="5" t="n"/>
      <c r="I1070" s="5" t="n"/>
      <c r="J1070" s="6" t="n"/>
      <c r="K1070" s="6" t="n"/>
      <c r="L1070" s="7">
        <f>IF(OR(D1070="",N(J1070)=0),"",MIN(1,N(K1070)/J1070))</f>
        <v/>
      </c>
      <c r="M1070" s="5" t="n"/>
      <c r="N1070" s="5" t="n"/>
      <c r="O1070" s="5" t="n"/>
      <c r="P1070" s="5" t="n"/>
      <c r="Q1070" s="5" t="n"/>
      <c r="R1070" s="4" t="n"/>
      <c r="S1070" s="4" t="n"/>
      <c r="T1070" s="5" t="n"/>
      <c r="U1070" s="8">
        <f>IF(AND(V1070=1,D1070&lt;&gt;""),IF(D1070&gt;=corte,TODAY()-D1070,""),"")</f>
        <v/>
      </c>
      <c r="V1070" s="8">
        <f>IF(D1070="",0,IF(OR(AND(P1070&lt;&gt;"",S1070=""),AND(N(J1070)&gt;0,N(K1070)&lt;J1070),OR(M1070="PENDENTE",M1070="PARCIAL"),OR(N1070="PENDENTE",N1070="PARCIAL")),1,0))</f>
        <v/>
      </c>
      <c r="W1070" s="8">
        <f>IF(AND(V1070=1,D1070&lt;&gt;""),IF(D1070&gt;=corte,(B1070="CRÍTICO")*1E9+(100000-D1070)*10000+10000-ROW(),""),"")</f>
        <v/>
      </c>
      <c r="X1070" s="8">
        <f>IF(AND(V1070=1,D1070=pas_data,E1070=pas_turno),10000-ROW(),"")</f>
        <v/>
      </c>
    </row>
    <row r="1071">
      <c r="A1071" s="3">
        <f>IF(D1071="","","TT-"&amp;TEXT(ROW()-1,"00000"))</f>
        <v/>
      </c>
      <c r="B1071" s="3">
        <f>IF(D1071="","",IF(V1071=0,"CONCLUÍDO",IF(D1071&lt;corte,"HISTÓRICO",IF(OR(AND(ISNUMBER(R1071),R1071&lt;TODAY()),AND(OR(N1071="PENDENTE",N1071="PARCIAL"),D1071&lt;TODAY()-1)),"CRÍTICO",IF(OR(AND(P1071&lt;&gt;"",S1071=""),AND(N1071="REALIZADO",M1071="PENDENTE"),AND(ISNUMBER(R1071),R1071=TODAY())),"ATENÇÃO",IF(N(K1071)=0,"PENDENTE","EM ANDAMENTO"))))))</f>
        <v/>
      </c>
      <c r="C1071" s="3">
        <f>IF(D1071="","",IF(V1071=0,"🟢 OK",IF(D1071&lt;corte,"⚪ HISTÓRICO (sem baixa)",IF(AND(ISNUMBER(R1071),R1071&lt;TODAY()),"🔴 PRAZO VENCIDO",IF(AND(OR(N1071="PENDENTE",N1071="PARCIAL"),D1071&lt;TODAY()-1),"🔴 EMBARQUE ATRASADO",IF(AND(N1071="REALIZADO",M1071="PENDENTE"),"🟡 EMBARCADO SEM FATURAR",IF(AND(P1071&lt;&gt;"",S1071="",OR(Q1071="",R1071="")),"🟡 PENDÊNCIA SEM RESPONSÁVEL/PRAZO",IF(AND(ISNUMBER(R1071),R1071=TODAY()),"🟡 VENCE HOJE",IF(AND(P1071&lt;&gt;"",S1071=""),"🟡 PENDÊNCIA ABERTA",IF(AND(N(J1071)&gt;0,N(K1071)&lt;J1071),"🟡 FALTA EXECUTAR",IF(OR(M1071="PENDENTE",M1071="PARCIAL"),"🟡 FATURAMENTO PENDENTE","🟡 EMBARQUE PENDENTE")))))))))))</f>
        <v/>
      </c>
      <c r="D1071" s="4" t="n"/>
      <c r="E1071" s="5" t="n"/>
      <c r="F1071" s="5" t="n"/>
      <c r="G1071" s="5" t="n"/>
      <c r="H1071" s="5" t="n"/>
      <c r="I1071" s="5" t="n"/>
      <c r="J1071" s="6" t="n"/>
      <c r="K1071" s="6" t="n"/>
      <c r="L1071" s="7">
        <f>IF(OR(D1071="",N(J1071)=0),"",MIN(1,N(K1071)/J1071))</f>
        <v/>
      </c>
      <c r="M1071" s="5" t="n"/>
      <c r="N1071" s="5" t="n"/>
      <c r="O1071" s="5" t="n"/>
      <c r="P1071" s="5" t="n"/>
      <c r="Q1071" s="5" t="n"/>
      <c r="R1071" s="4" t="n"/>
      <c r="S1071" s="4" t="n"/>
      <c r="T1071" s="5" t="n"/>
      <c r="U1071" s="8">
        <f>IF(AND(V1071=1,D1071&lt;&gt;""),IF(D1071&gt;=corte,TODAY()-D1071,""),"")</f>
        <v/>
      </c>
      <c r="V1071" s="8">
        <f>IF(D1071="",0,IF(OR(AND(P1071&lt;&gt;"",S1071=""),AND(N(J1071)&gt;0,N(K1071)&lt;J1071),OR(M1071="PENDENTE",M1071="PARCIAL"),OR(N1071="PENDENTE",N1071="PARCIAL")),1,0))</f>
        <v/>
      </c>
      <c r="W1071" s="8">
        <f>IF(AND(V1071=1,D1071&lt;&gt;""),IF(D1071&gt;=corte,(B1071="CRÍTICO")*1E9+(100000-D1071)*10000+10000-ROW(),""),"")</f>
        <v/>
      </c>
      <c r="X1071" s="8">
        <f>IF(AND(V1071=1,D1071=pas_data,E1071=pas_turno),10000-ROW(),"")</f>
        <v/>
      </c>
    </row>
    <row r="1072">
      <c r="A1072" s="3">
        <f>IF(D1072="","","TT-"&amp;TEXT(ROW()-1,"00000"))</f>
        <v/>
      </c>
      <c r="B1072" s="3">
        <f>IF(D1072="","",IF(V1072=0,"CONCLUÍDO",IF(D1072&lt;corte,"HISTÓRICO",IF(OR(AND(ISNUMBER(R1072),R1072&lt;TODAY()),AND(OR(N1072="PENDENTE",N1072="PARCIAL"),D1072&lt;TODAY()-1)),"CRÍTICO",IF(OR(AND(P1072&lt;&gt;"",S1072=""),AND(N1072="REALIZADO",M1072="PENDENTE"),AND(ISNUMBER(R1072),R1072=TODAY())),"ATENÇÃO",IF(N(K1072)=0,"PENDENTE","EM ANDAMENTO"))))))</f>
        <v/>
      </c>
      <c r="C1072" s="3">
        <f>IF(D1072="","",IF(V1072=0,"🟢 OK",IF(D1072&lt;corte,"⚪ HISTÓRICO (sem baixa)",IF(AND(ISNUMBER(R1072),R1072&lt;TODAY()),"🔴 PRAZO VENCIDO",IF(AND(OR(N1072="PENDENTE",N1072="PARCIAL"),D1072&lt;TODAY()-1),"🔴 EMBARQUE ATRASADO",IF(AND(N1072="REALIZADO",M1072="PENDENTE"),"🟡 EMBARCADO SEM FATURAR",IF(AND(P1072&lt;&gt;"",S1072="",OR(Q1072="",R1072="")),"🟡 PENDÊNCIA SEM RESPONSÁVEL/PRAZO",IF(AND(ISNUMBER(R1072),R1072=TODAY()),"🟡 VENCE HOJE",IF(AND(P1072&lt;&gt;"",S1072=""),"🟡 PENDÊNCIA ABERTA",IF(AND(N(J1072)&gt;0,N(K1072)&lt;J1072),"🟡 FALTA EXECUTAR",IF(OR(M1072="PENDENTE",M1072="PARCIAL"),"🟡 FATURAMENTO PENDENTE","🟡 EMBARQUE PENDENTE")))))))))))</f>
        <v/>
      </c>
      <c r="D1072" s="4" t="n"/>
      <c r="E1072" s="5" t="n"/>
      <c r="F1072" s="5" t="n"/>
      <c r="G1072" s="5" t="n"/>
      <c r="H1072" s="5" t="n"/>
      <c r="I1072" s="5" t="n"/>
      <c r="J1072" s="6" t="n"/>
      <c r="K1072" s="6" t="n"/>
      <c r="L1072" s="7">
        <f>IF(OR(D1072="",N(J1072)=0),"",MIN(1,N(K1072)/J1072))</f>
        <v/>
      </c>
      <c r="M1072" s="5" t="n"/>
      <c r="N1072" s="5" t="n"/>
      <c r="O1072" s="5" t="n"/>
      <c r="P1072" s="5" t="n"/>
      <c r="Q1072" s="5" t="n"/>
      <c r="R1072" s="4" t="n"/>
      <c r="S1072" s="4" t="n"/>
      <c r="T1072" s="5" t="n"/>
      <c r="U1072" s="8">
        <f>IF(AND(V1072=1,D1072&lt;&gt;""),IF(D1072&gt;=corte,TODAY()-D1072,""),"")</f>
        <v/>
      </c>
      <c r="V1072" s="8">
        <f>IF(D1072="",0,IF(OR(AND(P1072&lt;&gt;"",S1072=""),AND(N(J1072)&gt;0,N(K1072)&lt;J1072),OR(M1072="PENDENTE",M1072="PARCIAL"),OR(N1072="PENDENTE",N1072="PARCIAL")),1,0))</f>
        <v/>
      </c>
      <c r="W1072" s="8">
        <f>IF(AND(V1072=1,D1072&lt;&gt;""),IF(D1072&gt;=corte,(B1072="CRÍTICO")*1E9+(100000-D1072)*10000+10000-ROW(),""),"")</f>
        <v/>
      </c>
      <c r="X1072" s="8">
        <f>IF(AND(V1072=1,D1072=pas_data,E1072=pas_turno),10000-ROW(),"")</f>
        <v/>
      </c>
    </row>
    <row r="1073">
      <c r="A1073" s="3">
        <f>IF(D1073="","","TT-"&amp;TEXT(ROW()-1,"00000"))</f>
        <v/>
      </c>
      <c r="B1073" s="3">
        <f>IF(D1073="","",IF(V1073=0,"CONCLUÍDO",IF(D1073&lt;corte,"HISTÓRICO",IF(OR(AND(ISNUMBER(R1073),R1073&lt;TODAY()),AND(OR(N1073="PENDENTE",N1073="PARCIAL"),D1073&lt;TODAY()-1)),"CRÍTICO",IF(OR(AND(P1073&lt;&gt;"",S1073=""),AND(N1073="REALIZADO",M1073="PENDENTE"),AND(ISNUMBER(R1073),R1073=TODAY())),"ATENÇÃO",IF(N(K1073)=0,"PENDENTE","EM ANDAMENTO"))))))</f>
        <v/>
      </c>
      <c r="C1073" s="3">
        <f>IF(D1073="","",IF(V1073=0,"🟢 OK",IF(D1073&lt;corte,"⚪ HISTÓRICO (sem baixa)",IF(AND(ISNUMBER(R1073),R1073&lt;TODAY()),"🔴 PRAZO VENCIDO",IF(AND(OR(N1073="PENDENTE",N1073="PARCIAL"),D1073&lt;TODAY()-1),"🔴 EMBARQUE ATRASADO",IF(AND(N1073="REALIZADO",M1073="PENDENTE"),"🟡 EMBARCADO SEM FATURAR",IF(AND(P1073&lt;&gt;"",S1073="",OR(Q1073="",R1073="")),"🟡 PENDÊNCIA SEM RESPONSÁVEL/PRAZO",IF(AND(ISNUMBER(R1073),R1073=TODAY()),"🟡 VENCE HOJE",IF(AND(P1073&lt;&gt;"",S1073=""),"🟡 PENDÊNCIA ABERTA",IF(AND(N(J1073)&gt;0,N(K1073)&lt;J1073),"🟡 FALTA EXECUTAR",IF(OR(M1073="PENDENTE",M1073="PARCIAL"),"🟡 FATURAMENTO PENDENTE","🟡 EMBARQUE PENDENTE")))))))))))</f>
        <v/>
      </c>
      <c r="D1073" s="4" t="n"/>
      <c r="E1073" s="5" t="n"/>
      <c r="F1073" s="5" t="n"/>
      <c r="G1073" s="5" t="n"/>
      <c r="H1073" s="5" t="n"/>
      <c r="I1073" s="5" t="n"/>
      <c r="J1073" s="6" t="n"/>
      <c r="K1073" s="6" t="n"/>
      <c r="L1073" s="7">
        <f>IF(OR(D1073="",N(J1073)=0),"",MIN(1,N(K1073)/J1073))</f>
        <v/>
      </c>
      <c r="M1073" s="5" t="n"/>
      <c r="N1073" s="5" t="n"/>
      <c r="O1073" s="5" t="n"/>
      <c r="P1073" s="5" t="n"/>
      <c r="Q1073" s="5" t="n"/>
      <c r="R1073" s="4" t="n"/>
      <c r="S1073" s="4" t="n"/>
      <c r="T1073" s="5" t="n"/>
      <c r="U1073" s="8">
        <f>IF(AND(V1073=1,D1073&lt;&gt;""),IF(D1073&gt;=corte,TODAY()-D1073,""),"")</f>
        <v/>
      </c>
      <c r="V1073" s="8">
        <f>IF(D1073="",0,IF(OR(AND(P1073&lt;&gt;"",S1073=""),AND(N(J1073)&gt;0,N(K1073)&lt;J1073),OR(M1073="PENDENTE",M1073="PARCIAL"),OR(N1073="PENDENTE",N1073="PARCIAL")),1,0))</f>
        <v/>
      </c>
      <c r="W1073" s="8">
        <f>IF(AND(V1073=1,D1073&lt;&gt;""),IF(D1073&gt;=corte,(B1073="CRÍTICO")*1E9+(100000-D1073)*10000+10000-ROW(),""),"")</f>
        <v/>
      </c>
      <c r="X1073" s="8">
        <f>IF(AND(V1073=1,D1073=pas_data,E1073=pas_turno),10000-ROW(),"")</f>
        <v/>
      </c>
    </row>
    <row r="1074">
      <c r="A1074" s="3">
        <f>IF(D1074="","","TT-"&amp;TEXT(ROW()-1,"00000"))</f>
        <v/>
      </c>
      <c r="B1074" s="3">
        <f>IF(D1074="","",IF(V1074=0,"CONCLUÍDO",IF(D1074&lt;corte,"HISTÓRICO",IF(OR(AND(ISNUMBER(R1074),R1074&lt;TODAY()),AND(OR(N1074="PENDENTE",N1074="PARCIAL"),D1074&lt;TODAY()-1)),"CRÍTICO",IF(OR(AND(P1074&lt;&gt;"",S1074=""),AND(N1074="REALIZADO",M1074="PENDENTE"),AND(ISNUMBER(R1074),R1074=TODAY())),"ATENÇÃO",IF(N(K1074)=0,"PENDENTE","EM ANDAMENTO"))))))</f>
        <v/>
      </c>
      <c r="C1074" s="3">
        <f>IF(D1074="","",IF(V1074=0,"🟢 OK",IF(D1074&lt;corte,"⚪ HISTÓRICO (sem baixa)",IF(AND(ISNUMBER(R1074),R1074&lt;TODAY()),"🔴 PRAZO VENCIDO",IF(AND(OR(N1074="PENDENTE",N1074="PARCIAL"),D1074&lt;TODAY()-1),"🔴 EMBARQUE ATRASADO",IF(AND(N1074="REALIZADO",M1074="PENDENTE"),"🟡 EMBARCADO SEM FATURAR",IF(AND(P1074&lt;&gt;"",S1074="",OR(Q1074="",R1074="")),"🟡 PENDÊNCIA SEM RESPONSÁVEL/PRAZO",IF(AND(ISNUMBER(R1074),R1074=TODAY()),"🟡 VENCE HOJE",IF(AND(P1074&lt;&gt;"",S1074=""),"🟡 PENDÊNCIA ABERTA",IF(AND(N(J1074)&gt;0,N(K1074)&lt;J1074),"🟡 FALTA EXECUTAR",IF(OR(M1074="PENDENTE",M1074="PARCIAL"),"🟡 FATURAMENTO PENDENTE","🟡 EMBARQUE PENDENTE")))))))))))</f>
        <v/>
      </c>
      <c r="D1074" s="4" t="n"/>
      <c r="E1074" s="5" t="n"/>
      <c r="F1074" s="5" t="n"/>
      <c r="G1074" s="5" t="n"/>
      <c r="H1074" s="5" t="n"/>
      <c r="I1074" s="5" t="n"/>
      <c r="J1074" s="6" t="n"/>
      <c r="K1074" s="6" t="n"/>
      <c r="L1074" s="7">
        <f>IF(OR(D1074="",N(J1074)=0),"",MIN(1,N(K1074)/J1074))</f>
        <v/>
      </c>
      <c r="M1074" s="5" t="n"/>
      <c r="N1074" s="5" t="n"/>
      <c r="O1074" s="5" t="n"/>
      <c r="P1074" s="5" t="n"/>
      <c r="Q1074" s="5" t="n"/>
      <c r="R1074" s="4" t="n"/>
      <c r="S1074" s="4" t="n"/>
      <c r="T1074" s="5" t="n"/>
      <c r="U1074" s="8">
        <f>IF(AND(V1074=1,D1074&lt;&gt;""),IF(D1074&gt;=corte,TODAY()-D1074,""),"")</f>
        <v/>
      </c>
      <c r="V1074" s="8">
        <f>IF(D1074="",0,IF(OR(AND(P1074&lt;&gt;"",S1074=""),AND(N(J1074)&gt;0,N(K1074)&lt;J1074),OR(M1074="PENDENTE",M1074="PARCIAL"),OR(N1074="PENDENTE",N1074="PARCIAL")),1,0))</f>
        <v/>
      </c>
      <c r="W1074" s="8">
        <f>IF(AND(V1074=1,D1074&lt;&gt;""),IF(D1074&gt;=corte,(B1074="CRÍTICO")*1E9+(100000-D1074)*10000+10000-ROW(),""),"")</f>
        <v/>
      </c>
      <c r="X1074" s="8">
        <f>IF(AND(V1074=1,D1074=pas_data,E1074=pas_turno),10000-ROW(),"")</f>
        <v/>
      </c>
    </row>
    <row r="1075">
      <c r="A1075" s="3">
        <f>IF(D1075="","","TT-"&amp;TEXT(ROW()-1,"00000"))</f>
        <v/>
      </c>
      <c r="B1075" s="3">
        <f>IF(D1075="","",IF(V1075=0,"CONCLUÍDO",IF(D1075&lt;corte,"HISTÓRICO",IF(OR(AND(ISNUMBER(R1075),R1075&lt;TODAY()),AND(OR(N1075="PENDENTE",N1075="PARCIAL"),D1075&lt;TODAY()-1)),"CRÍTICO",IF(OR(AND(P1075&lt;&gt;"",S1075=""),AND(N1075="REALIZADO",M1075="PENDENTE"),AND(ISNUMBER(R1075),R1075=TODAY())),"ATENÇÃO",IF(N(K1075)=0,"PENDENTE","EM ANDAMENTO"))))))</f>
        <v/>
      </c>
      <c r="C1075" s="3">
        <f>IF(D1075="","",IF(V1075=0,"🟢 OK",IF(D1075&lt;corte,"⚪ HISTÓRICO (sem baixa)",IF(AND(ISNUMBER(R1075),R1075&lt;TODAY()),"🔴 PRAZO VENCIDO",IF(AND(OR(N1075="PENDENTE",N1075="PARCIAL"),D1075&lt;TODAY()-1),"🔴 EMBARQUE ATRASADO",IF(AND(N1075="REALIZADO",M1075="PENDENTE"),"🟡 EMBARCADO SEM FATURAR",IF(AND(P1075&lt;&gt;"",S1075="",OR(Q1075="",R1075="")),"🟡 PENDÊNCIA SEM RESPONSÁVEL/PRAZO",IF(AND(ISNUMBER(R1075),R1075=TODAY()),"🟡 VENCE HOJE",IF(AND(P1075&lt;&gt;"",S1075=""),"🟡 PENDÊNCIA ABERTA",IF(AND(N(J1075)&gt;0,N(K1075)&lt;J1075),"🟡 FALTA EXECUTAR",IF(OR(M1075="PENDENTE",M1075="PARCIAL"),"🟡 FATURAMENTO PENDENTE","🟡 EMBARQUE PENDENTE")))))))))))</f>
        <v/>
      </c>
      <c r="D1075" s="4" t="n"/>
      <c r="E1075" s="5" t="n"/>
      <c r="F1075" s="5" t="n"/>
      <c r="G1075" s="5" t="n"/>
      <c r="H1075" s="5" t="n"/>
      <c r="I1075" s="5" t="n"/>
      <c r="J1075" s="6" t="n"/>
      <c r="K1075" s="6" t="n"/>
      <c r="L1075" s="7">
        <f>IF(OR(D1075="",N(J1075)=0),"",MIN(1,N(K1075)/J1075))</f>
        <v/>
      </c>
      <c r="M1075" s="5" t="n"/>
      <c r="N1075" s="5" t="n"/>
      <c r="O1075" s="5" t="n"/>
      <c r="P1075" s="5" t="n"/>
      <c r="Q1075" s="5" t="n"/>
      <c r="R1075" s="4" t="n"/>
      <c r="S1075" s="4" t="n"/>
      <c r="T1075" s="5" t="n"/>
      <c r="U1075" s="8">
        <f>IF(AND(V1075=1,D1075&lt;&gt;""),IF(D1075&gt;=corte,TODAY()-D1075,""),"")</f>
        <v/>
      </c>
      <c r="V1075" s="8">
        <f>IF(D1075="",0,IF(OR(AND(P1075&lt;&gt;"",S1075=""),AND(N(J1075)&gt;0,N(K1075)&lt;J1075),OR(M1075="PENDENTE",M1075="PARCIAL"),OR(N1075="PENDENTE",N1075="PARCIAL")),1,0))</f>
        <v/>
      </c>
      <c r="W1075" s="8">
        <f>IF(AND(V1075=1,D1075&lt;&gt;""),IF(D1075&gt;=corte,(B1075="CRÍTICO")*1E9+(100000-D1075)*10000+10000-ROW(),""),"")</f>
        <v/>
      </c>
      <c r="X1075" s="8">
        <f>IF(AND(V1075=1,D1075=pas_data,E1075=pas_turno),10000-ROW(),"")</f>
        <v/>
      </c>
    </row>
    <row r="1076">
      <c r="A1076" s="3">
        <f>IF(D1076="","","TT-"&amp;TEXT(ROW()-1,"00000"))</f>
        <v/>
      </c>
      <c r="B1076" s="3">
        <f>IF(D1076="","",IF(V1076=0,"CONCLUÍDO",IF(D1076&lt;corte,"HISTÓRICO",IF(OR(AND(ISNUMBER(R1076),R1076&lt;TODAY()),AND(OR(N1076="PENDENTE",N1076="PARCIAL"),D1076&lt;TODAY()-1)),"CRÍTICO",IF(OR(AND(P1076&lt;&gt;"",S1076=""),AND(N1076="REALIZADO",M1076="PENDENTE"),AND(ISNUMBER(R1076),R1076=TODAY())),"ATENÇÃO",IF(N(K1076)=0,"PENDENTE","EM ANDAMENTO"))))))</f>
        <v/>
      </c>
      <c r="C1076" s="3">
        <f>IF(D1076="","",IF(V1076=0,"🟢 OK",IF(D1076&lt;corte,"⚪ HISTÓRICO (sem baixa)",IF(AND(ISNUMBER(R1076),R1076&lt;TODAY()),"🔴 PRAZO VENCIDO",IF(AND(OR(N1076="PENDENTE",N1076="PARCIAL"),D1076&lt;TODAY()-1),"🔴 EMBARQUE ATRASADO",IF(AND(N1076="REALIZADO",M1076="PENDENTE"),"🟡 EMBARCADO SEM FATURAR",IF(AND(P1076&lt;&gt;"",S1076="",OR(Q1076="",R1076="")),"🟡 PENDÊNCIA SEM RESPONSÁVEL/PRAZO",IF(AND(ISNUMBER(R1076),R1076=TODAY()),"🟡 VENCE HOJE",IF(AND(P1076&lt;&gt;"",S1076=""),"🟡 PENDÊNCIA ABERTA",IF(AND(N(J1076)&gt;0,N(K1076)&lt;J1076),"🟡 FALTA EXECUTAR",IF(OR(M1076="PENDENTE",M1076="PARCIAL"),"🟡 FATURAMENTO PENDENTE","🟡 EMBARQUE PENDENTE")))))))))))</f>
        <v/>
      </c>
      <c r="D1076" s="4" t="n"/>
      <c r="E1076" s="5" t="n"/>
      <c r="F1076" s="5" t="n"/>
      <c r="G1076" s="5" t="n"/>
      <c r="H1076" s="5" t="n"/>
      <c r="I1076" s="5" t="n"/>
      <c r="J1076" s="6" t="n"/>
      <c r="K1076" s="6" t="n"/>
      <c r="L1076" s="7">
        <f>IF(OR(D1076="",N(J1076)=0),"",MIN(1,N(K1076)/J1076))</f>
        <v/>
      </c>
      <c r="M1076" s="5" t="n"/>
      <c r="N1076" s="5" t="n"/>
      <c r="O1076" s="5" t="n"/>
      <c r="P1076" s="5" t="n"/>
      <c r="Q1076" s="5" t="n"/>
      <c r="R1076" s="4" t="n"/>
      <c r="S1076" s="4" t="n"/>
      <c r="T1076" s="5" t="n"/>
      <c r="U1076" s="8">
        <f>IF(AND(V1076=1,D1076&lt;&gt;""),IF(D1076&gt;=corte,TODAY()-D1076,""),"")</f>
        <v/>
      </c>
      <c r="V1076" s="8">
        <f>IF(D1076="",0,IF(OR(AND(P1076&lt;&gt;"",S1076=""),AND(N(J1076)&gt;0,N(K1076)&lt;J1076),OR(M1076="PENDENTE",M1076="PARCIAL"),OR(N1076="PENDENTE",N1076="PARCIAL")),1,0))</f>
        <v/>
      </c>
      <c r="W1076" s="8">
        <f>IF(AND(V1076=1,D1076&lt;&gt;""),IF(D1076&gt;=corte,(B1076="CRÍTICO")*1E9+(100000-D1076)*10000+10000-ROW(),""),"")</f>
        <v/>
      </c>
      <c r="X1076" s="8">
        <f>IF(AND(V1076=1,D1076=pas_data,E1076=pas_turno),10000-ROW(),"")</f>
        <v/>
      </c>
    </row>
    <row r="1077">
      <c r="A1077" s="3">
        <f>IF(D1077="","","TT-"&amp;TEXT(ROW()-1,"00000"))</f>
        <v/>
      </c>
      <c r="B1077" s="3">
        <f>IF(D1077="","",IF(V1077=0,"CONCLUÍDO",IF(D1077&lt;corte,"HISTÓRICO",IF(OR(AND(ISNUMBER(R1077),R1077&lt;TODAY()),AND(OR(N1077="PENDENTE",N1077="PARCIAL"),D1077&lt;TODAY()-1)),"CRÍTICO",IF(OR(AND(P1077&lt;&gt;"",S1077=""),AND(N1077="REALIZADO",M1077="PENDENTE"),AND(ISNUMBER(R1077),R1077=TODAY())),"ATENÇÃO",IF(N(K1077)=0,"PENDENTE","EM ANDAMENTO"))))))</f>
        <v/>
      </c>
      <c r="C1077" s="3">
        <f>IF(D1077="","",IF(V1077=0,"🟢 OK",IF(D1077&lt;corte,"⚪ HISTÓRICO (sem baixa)",IF(AND(ISNUMBER(R1077),R1077&lt;TODAY()),"🔴 PRAZO VENCIDO",IF(AND(OR(N1077="PENDENTE",N1077="PARCIAL"),D1077&lt;TODAY()-1),"🔴 EMBARQUE ATRASADO",IF(AND(N1077="REALIZADO",M1077="PENDENTE"),"🟡 EMBARCADO SEM FATURAR",IF(AND(P1077&lt;&gt;"",S1077="",OR(Q1077="",R1077="")),"🟡 PENDÊNCIA SEM RESPONSÁVEL/PRAZO",IF(AND(ISNUMBER(R1077),R1077=TODAY()),"🟡 VENCE HOJE",IF(AND(P1077&lt;&gt;"",S1077=""),"🟡 PENDÊNCIA ABERTA",IF(AND(N(J1077)&gt;0,N(K1077)&lt;J1077),"🟡 FALTA EXECUTAR",IF(OR(M1077="PENDENTE",M1077="PARCIAL"),"🟡 FATURAMENTO PENDENTE","🟡 EMBARQUE PENDENTE")))))))))))</f>
        <v/>
      </c>
      <c r="D1077" s="4" t="n"/>
      <c r="E1077" s="5" t="n"/>
      <c r="F1077" s="5" t="n"/>
      <c r="G1077" s="5" t="n"/>
      <c r="H1077" s="5" t="n"/>
      <c r="I1077" s="5" t="n"/>
      <c r="J1077" s="6" t="n"/>
      <c r="K1077" s="6" t="n"/>
      <c r="L1077" s="7">
        <f>IF(OR(D1077="",N(J1077)=0),"",MIN(1,N(K1077)/J1077))</f>
        <v/>
      </c>
      <c r="M1077" s="5" t="n"/>
      <c r="N1077" s="5" t="n"/>
      <c r="O1077" s="5" t="n"/>
      <c r="P1077" s="5" t="n"/>
      <c r="Q1077" s="5" t="n"/>
      <c r="R1077" s="4" t="n"/>
      <c r="S1077" s="4" t="n"/>
      <c r="T1077" s="5" t="n"/>
      <c r="U1077" s="8">
        <f>IF(AND(V1077=1,D1077&lt;&gt;""),IF(D1077&gt;=corte,TODAY()-D1077,""),"")</f>
        <v/>
      </c>
      <c r="V1077" s="8">
        <f>IF(D1077="",0,IF(OR(AND(P1077&lt;&gt;"",S1077=""),AND(N(J1077)&gt;0,N(K1077)&lt;J1077),OR(M1077="PENDENTE",M1077="PARCIAL"),OR(N1077="PENDENTE",N1077="PARCIAL")),1,0))</f>
        <v/>
      </c>
      <c r="W1077" s="8">
        <f>IF(AND(V1077=1,D1077&lt;&gt;""),IF(D1077&gt;=corte,(B1077="CRÍTICO")*1E9+(100000-D1077)*10000+10000-ROW(),""),"")</f>
        <v/>
      </c>
      <c r="X1077" s="8">
        <f>IF(AND(V1077=1,D1077=pas_data,E1077=pas_turno),10000-ROW(),"")</f>
        <v/>
      </c>
    </row>
    <row r="1078">
      <c r="A1078" s="3">
        <f>IF(D1078="","","TT-"&amp;TEXT(ROW()-1,"00000"))</f>
        <v/>
      </c>
      <c r="B1078" s="3">
        <f>IF(D1078="","",IF(V1078=0,"CONCLUÍDO",IF(D1078&lt;corte,"HISTÓRICO",IF(OR(AND(ISNUMBER(R1078),R1078&lt;TODAY()),AND(OR(N1078="PENDENTE",N1078="PARCIAL"),D1078&lt;TODAY()-1)),"CRÍTICO",IF(OR(AND(P1078&lt;&gt;"",S1078=""),AND(N1078="REALIZADO",M1078="PENDENTE"),AND(ISNUMBER(R1078),R1078=TODAY())),"ATENÇÃO",IF(N(K1078)=0,"PENDENTE","EM ANDAMENTO"))))))</f>
        <v/>
      </c>
      <c r="C1078" s="3">
        <f>IF(D1078="","",IF(V1078=0,"🟢 OK",IF(D1078&lt;corte,"⚪ HISTÓRICO (sem baixa)",IF(AND(ISNUMBER(R1078),R1078&lt;TODAY()),"🔴 PRAZO VENCIDO",IF(AND(OR(N1078="PENDENTE",N1078="PARCIAL"),D1078&lt;TODAY()-1),"🔴 EMBARQUE ATRASADO",IF(AND(N1078="REALIZADO",M1078="PENDENTE"),"🟡 EMBARCADO SEM FATURAR",IF(AND(P1078&lt;&gt;"",S1078="",OR(Q1078="",R1078="")),"🟡 PENDÊNCIA SEM RESPONSÁVEL/PRAZO",IF(AND(ISNUMBER(R1078),R1078=TODAY()),"🟡 VENCE HOJE",IF(AND(P1078&lt;&gt;"",S1078=""),"🟡 PENDÊNCIA ABERTA",IF(AND(N(J1078)&gt;0,N(K1078)&lt;J1078),"🟡 FALTA EXECUTAR",IF(OR(M1078="PENDENTE",M1078="PARCIAL"),"🟡 FATURAMENTO PENDENTE","🟡 EMBARQUE PENDENTE")))))))))))</f>
        <v/>
      </c>
      <c r="D1078" s="4" t="n"/>
      <c r="E1078" s="5" t="n"/>
      <c r="F1078" s="5" t="n"/>
      <c r="G1078" s="5" t="n"/>
      <c r="H1078" s="5" t="n"/>
      <c r="I1078" s="5" t="n"/>
      <c r="J1078" s="6" t="n"/>
      <c r="K1078" s="6" t="n"/>
      <c r="L1078" s="7">
        <f>IF(OR(D1078="",N(J1078)=0),"",MIN(1,N(K1078)/J1078))</f>
        <v/>
      </c>
      <c r="M1078" s="5" t="n"/>
      <c r="N1078" s="5" t="n"/>
      <c r="O1078" s="5" t="n"/>
      <c r="P1078" s="5" t="n"/>
      <c r="Q1078" s="5" t="n"/>
      <c r="R1078" s="4" t="n"/>
      <c r="S1078" s="4" t="n"/>
      <c r="T1078" s="5" t="n"/>
      <c r="U1078" s="8">
        <f>IF(AND(V1078=1,D1078&lt;&gt;""),IF(D1078&gt;=corte,TODAY()-D1078,""),"")</f>
        <v/>
      </c>
      <c r="V1078" s="8">
        <f>IF(D1078="",0,IF(OR(AND(P1078&lt;&gt;"",S1078=""),AND(N(J1078)&gt;0,N(K1078)&lt;J1078),OR(M1078="PENDENTE",M1078="PARCIAL"),OR(N1078="PENDENTE",N1078="PARCIAL")),1,0))</f>
        <v/>
      </c>
      <c r="W1078" s="8">
        <f>IF(AND(V1078=1,D1078&lt;&gt;""),IF(D1078&gt;=corte,(B1078="CRÍTICO")*1E9+(100000-D1078)*10000+10000-ROW(),""),"")</f>
        <v/>
      </c>
      <c r="X1078" s="8">
        <f>IF(AND(V1078=1,D1078=pas_data,E1078=pas_turno),10000-ROW(),"")</f>
        <v/>
      </c>
    </row>
    <row r="1079">
      <c r="A1079" s="3">
        <f>IF(D1079="","","TT-"&amp;TEXT(ROW()-1,"00000"))</f>
        <v/>
      </c>
      <c r="B1079" s="3">
        <f>IF(D1079="","",IF(V1079=0,"CONCLUÍDO",IF(D1079&lt;corte,"HISTÓRICO",IF(OR(AND(ISNUMBER(R1079),R1079&lt;TODAY()),AND(OR(N1079="PENDENTE",N1079="PARCIAL"),D1079&lt;TODAY()-1)),"CRÍTICO",IF(OR(AND(P1079&lt;&gt;"",S1079=""),AND(N1079="REALIZADO",M1079="PENDENTE"),AND(ISNUMBER(R1079),R1079=TODAY())),"ATENÇÃO",IF(N(K1079)=0,"PENDENTE","EM ANDAMENTO"))))))</f>
        <v/>
      </c>
      <c r="C1079" s="3">
        <f>IF(D1079="","",IF(V1079=0,"🟢 OK",IF(D1079&lt;corte,"⚪ HISTÓRICO (sem baixa)",IF(AND(ISNUMBER(R1079),R1079&lt;TODAY()),"🔴 PRAZO VENCIDO",IF(AND(OR(N1079="PENDENTE",N1079="PARCIAL"),D1079&lt;TODAY()-1),"🔴 EMBARQUE ATRASADO",IF(AND(N1079="REALIZADO",M1079="PENDENTE"),"🟡 EMBARCADO SEM FATURAR",IF(AND(P1079&lt;&gt;"",S1079="",OR(Q1079="",R1079="")),"🟡 PENDÊNCIA SEM RESPONSÁVEL/PRAZO",IF(AND(ISNUMBER(R1079),R1079=TODAY()),"🟡 VENCE HOJE",IF(AND(P1079&lt;&gt;"",S1079=""),"🟡 PENDÊNCIA ABERTA",IF(AND(N(J1079)&gt;0,N(K1079)&lt;J1079),"🟡 FALTA EXECUTAR",IF(OR(M1079="PENDENTE",M1079="PARCIAL"),"🟡 FATURAMENTO PENDENTE","🟡 EMBARQUE PENDENTE")))))))))))</f>
        <v/>
      </c>
      <c r="D1079" s="4" t="n"/>
      <c r="E1079" s="5" t="n"/>
      <c r="F1079" s="5" t="n"/>
      <c r="G1079" s="5" t="n"/>
      <c r="H1079" s="5" t="n"/>
      <c r="I1079" s="5" t="n"/>
      <c r="J1079" s="6" t="n"/>
      <c r="K1079" s="6" t="n"/>
      <c r="L1079" s="7">
        <f>IF(OR(D1079="",N(J1079)=0),"",MIN(1,N(K1079)/J1079))</f>
        <v/>
      </c>
      <c r="M1079" s="5" t="n"/>
      <c r="N1079" s="5" t="n"/>
      <c r="O1079" s="5" t="n"/>
      <c r="P1079" s="5" t="n"/>
      <c r="Q1079" s="5" t="n"/>
      <c r="R1079" s="4" t="n"/>
      <c r="S1079" s="4" t="n"/>
      <c r="T1079" s="5" t="n"/>
      <c r="U1079" s="8">
        <f>IF(AND(V1079=1,D1079&lt;&gt;""),IF(D1079&gt;=corte,TODAY()-D1079,""),"")</f>
        <v/>
      </c>
      <c r="V1079" s="8">
        <f>IF(D1079="",0,IF(OR(AND(P1079&lt;&gt;"",S1079=""),AND(N(J1079)&gt;0,N(K1079)&lt;J1079),OR(M1079="PENDENTE",M1079="PARCIAL"),OR(N1079="PENDENTE",N1079="PARCIAL")),1,0))</f>
        <v/>
      </c>
      <c r="W1079" s="8">
        <f>IF(AND(V1079=1,D1079&lt;&gt;""),IF(D1079&gt;=corte,(B1079="CRÍTICO")*1E9+(100000-D1079)*10000+10000-ROW(),""),"")</f>
        <v/>
      </c>
      <c r="X1079" s="8">
        <f>IF(AND(V1079=1,D1079=pas_data,E1079=pas_turno),10000-ROW(),"")</f>
        <v/>
      </c>
    </row>
    <row r="1080">
      <c r="A1080" s="3">
        <f>IF(D1080="","","TT-"&amp;TEXT(ROW()-1,"00000"))</f>
        <v/>
      </c>
      <c r="B1080" s="3">
        <f>IF(D1080="","",IF(V1080=0,"CONCLUÍDO",IF(D1080&lt;corte,"HISTÓRICO",IF(OR(AND(ISNUMBER(R1080),R1080&lt;TODAY()),AND(OR(N1080="PENDENTE",N1080="PARCIAL"),D1080&lt;TODAY()-1)),"CRÍTICO",IF(OR(AND(P1080&lt;&gt;"",S1080=""),AND(N1080="REALIZADO",M1080="PENDENTE"),AND(ISNUMBER(R1080),R1080=TODAY())),"ATENÇÃO",IF(N(K1080)=0,"PENDENTE","EM ANDAMENTO"))))))</f>
        <v/>
      </c>
      <c r="C1080" s="3">
        <f>IF(D1080="","",IF(V1080=0,"🟢 OK",IF(D1080&lt;corte,"⚪ HISTÓRICO (sem baixa)",IF(AND(ISNUMBER(R1080),R1080&lt;TODAY()),"🔴 PRAZO VENCIDO",IF(AND(OR(N1080="PENDENTE",N1080="PARCIAL"),D1080&lt;TODAY()-1),"🔴 EMBARQUE ATRASADO",IF(AND(N1080="REALIZADO",M1080="PENDENTE"),"🟡 EMBARCADO SEM FATURAR",IF(AND(P1080&lt;&gt;"",S1080="",OR(Q1080="",R1080="")),"🟡 PENDÊNCIA SEM RESPONSÁVEL/PRAZO",IF(AND(ISNUMBER(R1080),R1080=TODAY()),"🟡 VENCE HOJE",IF(AND(P1080&lt;&gt;"",S1080=""),"🟡 PENDÊNCIA ABERTA",IF(AND(N(J1080)&gt;0,N(K1080)&lt;J1080),"🟡 FALTA EXECUTAR",IF(OR(M1080="PENDENTE",M1080="PARCIAL"),"🟡 FATURAMENTO PENDENTE","🟡 EMBARQUE PENDENTE")))))))))))</f>
        <v/>
      </c>
      <c r="D1080" s="4" t="n"/>
      <c r="E1080" s="5" t="n"/>
      <c r="F1080" s="5" t="n"/>
      <c r="G1080" s="5" t="n"/>
      <c r="H1080" s="5" t="n"/>
      <c r="I1080" s="5" t="n"/>
      <c r="J1080" s="6" t="n"/>
      <c r="K1080" s="6" t="n"/>
      <c r="L1080" s="7">
        <f>IF(OR(D1080="",N(J1080)=0),"",MIN(1,N(K1080)/J1080))</f>
        <v/>
      </c>
      <c r="M1080" s="5" t="n"/>
      <c r="N1080" s="5" t="n"/>
      <c r="O1080" s="5" t="n"/>
      <c r="P1080" s="5" t="n"/>
      <c r="Q1080" s="5" t="n"/>
      <c r="R1080" s="4" t="n"/>
      <c r="S1080" s="4" t="n"/>
      <c r="T1080" s="5" t="n"/>
      <c r="U1080" s="8">
        <f>IF(AND(V1080=1,D1080&lt;&gt;""),IF(D1080&gt;=corte,TODAY()-D1080,""),"")</f>
        <v/>
      </c>
      <c r="V1080" s="8">
        <f>IF(D1080="",0,IF(OR(AND(P1080&lt;&gt;"",S1080=""),AND(N(J1080)&gt;0,N(K1080)&lt;J1080),OR(M1080="PENDENTE",M1080="PARCIAL"),OR(N1080="PENDENTE",N1080="PARCIAL")),1,0))</f>
        <v/>
      </c>
      <c r="W1080" s="8">
        <f>IF(AND(V1080=1,D1080&lt;&gt;""),IF(D1080&gt;=corte,(B1080="CRÍTICO")*1E9+(100000-D1080)*10000+10000-ROW(),""),"")</f>
        <v/>
      </c>
      <c r="X1080" s="8">
        <f>IF(AND(V1080=1,D1080=pas_data,E1080=pas_turno),10000-ROW(),"")</f>
        <v/>
      </c>
    </row>
    <row r="1081">
      <c r="A1081" s="3">
        <f>IF(D1081="","","TT-"&amp;TEXT(ROW()-1,"00000"))</f>
        <v/>
      </c>
      <c r="B1081" s="3">
        <f>IF(D1081="","",IF(V1081=0,"CONCLUÍDO",IF(D1081&lt;corte,"HISTÓRICO",IF(OR(AND(ISNUMBER(R1081),R1081&lt;TODAY()),AND(OR(N1081="PENDENTE",N1081="PARCIAL"),D1081&lt;TODAY()-1)),"CRÍTICO",IF(OR(AND(P1081&lt;&gt;"",S1081=""),AND(N1081="REALIZADO",M1081="PENDENTE"),AND(ISNUMBER(R1081),R1081=TODAY())),"ATENÇÃO",IF(N(K1081)=0,"PENDENTE","EM ANDAMENTO"))))))</f>
        <v/>
      </c>
      <c r="C1081" s="3">
        <f>IF(D1081="","",IF(V1081=0,"🟢 OK",IF(D1081&lt;corte,"⚪ HISTÓRICO (sem baixa)",IF(AND(ISNUMBER(R1081),R1081&lt;TODAY()),"🔴 PRAZO VENCIDO",IF(AND(OR(N1081="PENDENTE",N1081="PARCIAL"),D1081&lt;TODAY()-1),"🔴 EMBARQUE ATRASADO",IF(AND(N1081="REALIZADO",M1081="PENDENTE"),"🟡 EMBARCADO SEM FATURAR",IF(AND(P1081&lt;&gt;"",S1081="",OR(Q1081="",R1081="")),"🟡 PENDÊNCIA SEM RESPONSÁVEL/PRAZO",IF(AND(ISNUMBER(R1081),R1081=TODAY()),"🟡 VENCE HOJE",IF(AND(P1081&lt;&gt;"",S1081=""),"🟡 PENDÊNCIA ABERTA",IF(AND(N(J1081)&gt;0,N(K1081)&lt;J1081),"🟡 FALTA EXECUTAR",IF(OR(M1081="PENDENTE",M1081="PARCIAL"),"🟡 FATURAMENTO PENDENTE","🟡 EMBARQUE PENDENTE")))))))))))</f>
        <v/>
      </c>
      <c r="D1081" s="4" t="n"/>
      <c r="E1081" s="5" t="n"/>
      <c r="F1081" s="5" t="n"/>
      <c r="G1081" s="5" t="n"/>
      <c r="H1081" s="5" t="n"/>
      <c r="I1081" s="5" t="n"/>
      <c r="J1081" s="6" t="n"/>
      <c r="K1081" s="6" t="n"/>
      <c r="L1081" s="7">
        <f>IF(OR(D1081="",N(J1081)=0),"",MIN(1,N(K1081)/J1081))</f>
        <v/>
      </c>
      <c r="M1081" s="5" t="n"/>
      <c r="N1081" s="5" t="n"/>
      <c r="O1081" s="5" t="n"/>
      <c r="P1081" s="5" t="n"/>
      <c r="Q1081" s="5" t="n"/>
      <c r="R1081" s="4" t="n"/>
      <c r="S1081" s="4" t="n"/>
      <c r="T1081" s="5" t="n"/>
      <c r="U1081" s="8">
        <f>IF(AND(V1081=1,D1081&lt;&gt;""),IF(D1081&gt;=corte,TODAY()-D1081,""),"")</f>
        <v/>
      </c>
      <c r="V1081" s="8">
        <f>IF(D1081="",0,IF(OR(AND(P1081&lt;&gt;"",S1081=""),AND(N(J1081)&gt;0,N(K1081)&lt;J1081),OR(M1081="PENDENTE",M1081="PARCIAL"),OR(N1081="PENDENTE",N1081="PARCIAL")),1,0))</f>
        <v/>
      </c>
      <c r="W1081" s="8">
        <f>IF(AND(V1081=1,D1081&lt;&gt;""),IF(D1081&gt;=corte,(B1081="CRÍTICO")*1E9+(100000-D1081)*10000+10000-ROW(),""),"")</f>
        <v/>
      </c>
      <c r="X1081" s="8">
        <f>IF(AND(V1081=1,D1081=pas_data,E1081=pas_turno),10000-ROW(),"")</f>
        <v/>
      </c>
    </row>
    <row r="1082">
      <c r="A1082" s="3">
        <f>IF(D1082="","","TT-"&amp;TEXT(ROW()-1,"00000"))</f>
        <v/>
      </c>
      <c r="B1082" s="3">
        <f>IF(D1082="","",IF(V1082=0,"CONCLUÍDO",IF(D1082&lt;corte,"HISTÓRICO",IF(OR(AND(ISNUMBER(R1082),R1082&lt;TODAY()),AND(OR(N1082="PENDENTE",N1082="PARCIAL"),D1082&lt;TODAY()-1)),"CRÍTICO",IF(OR(AND(P1082&lt;&gt;"",S1082=""),AND(N1082="REALIZADO",M1082="PENDENTE"),AND(ISNUMBER(R1082),R1082=TODAY())),"ATENÇÃO",IF(N(K1082)=0,"PENDENTE","EM ANDAMENTO"))))))</f>
        <v/>
      </c>
      <c r="C1082" s="3">
        <f>IF(D1082="","",IF(V1082=0,"🟢 OK",IF(D1082&lt;corte,"⚪ HISTÓRICO (sem baixa)",IF(AND(ISNUMBER(R1082),R1082&lt;TODAY()),"🔴 PRAZO VENCIDO",IF(AND(OR(N1082="PENDENTE",N1082="PARCIAL"),D1082&lt;TODAY()-1),"🔴 EMBARQUE ATRASADO",IF(AND(N1082="REALIZADO",M1082="PENDENTE"),"🟡 EMBARCADO SEM FATURAR",IF(AND(P1082&lt;&gt;"",S1082="",OR(Q1082="",R1082="")),"🟡 PENDÊNCIA SEM RESPONSÁVEL/PRAZO",IF(AND(ISNUMBER(R1082),R1082=TODAY()),"🟡 VENCE HOJE",IF(AND(P1082&lt;&gt;"",S1082=""),"🟡 PENDÊNCIA ABERTA",IF(AND(N(J1082)&gt;0,N(K1082)&lt;J1082),"🟡 FALTA EXECUTAR",IF(OR(M1082="PENDENTE",M1082="PARCIAL"),"🟡 FATURAMENTO PENDENTE","🟡 EMBARQUE PENDENTE")))))))))))</f>
        <v/>
      </c>
      <c r="D1082" s="4" t="n"/>
      <c r="E1082" s="5" t="n"/>
      <c r="F1082" s="5" t="n"/>
      <c r="G1082" s="5" t="n"/>
      <c r="H1082" s="5" t="n"/>
      <c r="I1082" s="5" t="n"/>
      <c r="J1082" s="6" t="n"/>
      <c r="K1082" s="6" t="n"/>
      <c r="L1082" s="7">
        <f>IF(OR(D1082="",N(J1082)=0),"",MIN(1,N(K1082)/J1082))</f>
        <v/>
      </c>
      <c r="M1082" s="5" t="n"/>
      <c r="N1082" s="5" t="n"/>
      <c r="O1082" s="5" t="n"/>
      <c r="P1082" s="5" t="n"/>
      <c r="Q1082" s="5" t="n"/>
      <c r="R1082" s="4" t="n"/>
      <c r="S1082" s="4" t="n"/>
      <c r="T1082" s="5" t="n"/>
      <c r="U1082" s="8">
        <f>IF(AND(V1082=1,D1082&lt;&gt;""),IF(D1082&gt;=corte,TODAY()-D1082,""),"")</f>
        <v/>
      </c>
      <c r="V1082" s="8">
        <f>IF(D1082="",0,IF(OR(AND(P1082&lt;&gt;"",S1082=""),AND(N(J1082)&gt;0,N(K1082)&lt;J1082),OR(M1082="PENDENTE",M1082="PARCIAL"),OR(N1082="PENDENTE",N1082="PARCIAL")),1,0))</f>
        <v/>
      </c>
      <c r="W1082" s="8">
        <f>IF(AND(V1082=1,D1082&lt;&gt;""),IF(D1082&gt;=corte,(B1082="CRÍTICO")*1E9+(100000-D1082)*10000+10000-ROW(),""),"")</f>
        <v/>
      </c>
      <c r="X1082" s="8">
        <f>IF(AND(V1082=1,D1082=pas_data,E1082=pas_turno),10000-ROW(),"")</f>
        <v/>
      </c>
    </row>
    <row r="1083">
      <c r="A1083" s="3">
        <f>IF(D1083="","","TT-"&amp;TEXT(ROW()-1,"00000"))</f>
        <v/>
      </c>
      <c r="B1083" s="3">
        <f>IF(D1083="","",IF(V1083=0,"CONCLUÍDO",IF(D1083&lt;corte,"HISTÓRICO",IF(OR(AND(ISNUMBER(R1083),R1083&lt;TODAY()),AND(OR(N1083="PENDENTE",N1083="PARCIAL"),D1083&lt;TODAY()-1)),"CRÍTICO",IF(OR(AND(P1083&lt;&gt;"",S1083=""),AND(N1083="REALIZADO",M1083="PENDENTE"),AND(ISNUMBER(R1083),R1083=TODAY())),"ATENÇÃO",IF(N(K1083)=0,"PENDENTE","EM ANDAMENTO"))))))</f>
        <v/>
      </c>
      <c r="C1083" s="3">
        <f>IF(D1083="","",IF(V1083=0,"🟢 OK",IF(D1083&lt;corte,"⚪ HISTÓRICO (sem baixa)",IF(AND(ISNUMBER(R1083),R1083&lt;TODAY()),"🔴 PRAZO VENCIDO",IF(AND(OR(N1083="PENDENTE",N1083="PARCIAL"),D1083&lt;TODAY()-1),"🔴 EMBARQUE ATRASADO",IF(AND(N1083="REALIZADO",M1083="PENDENTE"),"🟡 EMBARCADO SEM FATURAR",IF(AND(P1083&lt;&gt;"",S1083="",OR(Q1083="",R1083="")),"🟡 PENDÊNCIA SEM RESPONSÁVEL/PRAZO",IF(AND(ISNUMBER(R1083),R1083=TODAY()),"🟡 VENCE HOJE",IF(AND(P1083&lt;&gt;"",S1083=""),"🟡 PENDÊNCIA ABERTA",IF(AND(N(J1083)&gt;0,N(K1083)&lt;J1083),"🟡 FALTA EXECUTAR",IF(OR(M1083="PENDENTE",M1083="PARCIAL"),"🟡 FATURAMENTO PENDENTE","🟡 EMBARQUE PENDENTE")))))))))))</f>
        <v/>
      </c>
      <c r="D1083" s="4" t="n"/>
      <c r="E1083" s="5" t="n"/>
      <c r="F1083" s="5" t="n"/>
      <c r="G1083" s="5" t="n"/>
      <c r="H1083" s="5" t="n"/>
      <c r="I1083" s="5" t="n"/>
      <c r="J1083" s="6" t="n"/>
      <c r="K1083" s="6" t="n"/>
      <c r="L1083" s="7">
        <f>IF(OR(D1083="",N(J1083)=0),"",MIN(1,N(K1083)/J1083))</f>
        <v/>
      </c>
      <c r="M1083" s="5" t="n"/>
      <c r="N1083" s="5" t="n"/>
      <c r="O1083" s="5" t="n"/>
      <c r="P1083" s="5" t="n"/>
      <c r="Q1083" s="5" t="n"/>
      <c r="R1083" s="4" t="n"/>
      <c r="S1083" s="4" t="n"/>
      <c r="T1083" s="5" t="n"/>
      <c r="U1083" s="8">
        <f>IF(AND(V1083=1,D1083&lt;&gt;""),IF(D1083&gt;=corte,TODAY()-D1083,""),"")</f>
        <v/>
      </c>
      <c r="V1083" s="8">
        <f>IF(D1083="",0,IF(OR(AND(P1083&lt;&gt;"",S1083=""),AND(N(J1083)&gt;0,N(K1083)&lt;J1083),OR(M1083="PENDENTE",M1083="PARCIAL"),OR(N1083="PENDENTE",N1083="PARCIAL")),1,0))</f>
        <v/>
      </c>
      <c r="W1083" s="8">
        <f>IF(AND(V1083=1,D1083&lt;&gt;""),IF(D1083&gt;=corte,(B1083="CRÍTICO")*1E9+(100000-D1083)*10000+10000-ROW(),""),"")</f>
        <v/>
      </c>
      <c r="X1083" s="8">
        <f>IF(AND(V1083=1,D1083=pas_data,E1083=pas_turno),10000-ROW(),"")</f>
        <v/>
      </c>
    </row>
    <row r="1084">
      <c r="A1084" s="3">
        <f>IF(D1084="","","TT-"&amp;TEXT(ROW()-1,"00000"))</f>
        <v/>
      </c>
      <c r="B1084" s="3">
        <f>IF(D1084="","",IF(V1084=0,"CONCLUÍDO",IF(D1084&lt;corte,"HISTÓRICO",IF(OR(AND(ISNUMBER(R1084),R1084&lt;TODAY()),AND(OR(N1084="PENDENTE",N1084="PARCIAL"),D1084&lt;TODAY()-1)),"CRÍTICO",IF(OR(AND(P1084&lt;&gt;"",S1084=""),AND(N1084="REALIZADO",M1084="PENDENTE"),AND(ISNUMBER(R1084),R1084=TODAY())),"ATENÇÃO",IF(N(K1084)=0,"PENDENTE","EM ANDAMENTO"))))))</f>
        <v/>
      </c>
      <c r="C1084" s="3">
        <f>IF(D1084="","",IF(V1084=0,"🟢 OK",IF(D1084&lt;corte,"⚪ HISTÓRICO (sem baixa)",IF(AND(ISNUMBER(R1084),R1084&lt;TODAY()),"🔴 PRAZO VENCIDO",IF(AND(OR(N1084="PENDENTE",N1084="PARCIAL"),D1084&lt;TODAY()-1),"🔴 EMBARQUE ATRASADO",IF(AND(N1084="REALIZADO",M1084="PENDENTE"),"🟡 EMBARCADO SEM FATURAR",IF(AND(P1084&lt;&gt;"",S1084="",OR(Q1084="",R1084="")),"🟡 PENDÊNCIA SEM RESPONSÁVEL/PRAZO",IF(AND(ISNUMBER(R1084),R1084=TODAY()),"🟡 VENCE HOJE",IF(AND(P1084&lt;&gt;"",S1084=""),"🟡 PENDÊNCIA ABERTA",IF(AND(N(J1084)&gt;0,N(K1084)&lt;J1084),"🟡 FALTA EXECUTAR",IF(OR(M1084="PENDENTE",M1084="PARCIAL"),"🟡 FATURAMENTO PENDENTE","🟡 EMBARQUE PENDENTE")))))))))))</f>
        <v/>
      </c>
      <c r="D1084" s="4" t="n"/>
      <c r="E1084" s="5" t="n"/>
      <c r="F1084" s="5" t="n"/>
      <c r="G1084" s="5" t="n"/>
      <c r="H1084" s="5" t="n"/>
      <c r="I1084" s="5" t="n"/>
      <c r="J1084" s="6" t="n"/>
      <c r="K1084" s="6" t="n"/>
      <c r="L1084" s="7">
        <f>IF(OR(D1084="",N(J1084)=0),"",MIN(1,N(K1084)/J1084))</f>
        <v/>
      </c>
      <c r="M1084" s="5" t="n"/>
      <c r="N1084" s="5" t="n"/>
      <c r="O1084" s="5" t="n"/>
      <c r="P1084" s="5" t="n"/>
      <c r="Q1084" s="5" t="n"/>
      <c r="R1084" s="4" t="n"/>
      <c r="S1084" s="4" t="n"/>
      <c r="T1084" s="5" t="n"/>
      <c r="U1084" s="8">
        <f>IF(AND(V1084=1,D1084&lt;&gt;""),IF(D1084&gt;=corte,TODAY()-D1084,""),"")</f>
        <v/>
      </c>
      <c r="V1084" s="8">
        <f>IF(D1084="",0,IF(OR(AND(P1084&lt;&gt;"",S1084=""),AND(N(J1084)&gt;0,N(K1084)&lt;J1084),OR(M1084="PENDENTE",M1084="PARCIAL"),OR(N1084="PENDENTE",N1084="PARCIAL")),1,0))</f>
        <v/>
      </c>
      <c r="W1084" s="8">
        <f>IF(AND(V1084=1,D1084&lt;&gt;""),IF(D1084&gt;=corte,(B1084="CRÍTICO")*1E9+(100000-D1084)*10000+10000-ROW(),""),"")</f>
        <v/>
      </c>
      <c r="X1084" s="8">
        <f>IF(AND(V1084=1,D1084=pas_data,E1084=pas_turno),10000-ROW(),"")</f>
        <v/>
      </c>
    </row>
    <row r="1085">
      <c r="A1085" s="3">
        <f>IF(D1085="","","TT-"&amp;TEXT(ROW()-1,"00000"))</f>
        <v/>
      </c>
      <c r="B1085" s="3">
        <f>IF(D1085="","",IF(V1085=0,"CONCLUÍDO",IF(D1085&lt;corte,"HISTÓRICO",IF(OR(AND(ISNUMBER(R1085),R1085&lt;TODAY()),AND(OR(N1085="PENDENTE",N1085="PARCIAL"),D1085&lt;TODAY()-1)),"CRÍTICO",IF(OR(AND(P1085&lt;&gt;"",S1085=""),AND(N1085="REALIZADO",M1085="PENDENTE"),AND(ISNUMBER(R1085),R1085=TODAY())),"ATENÇÃO",IF(N(K1085)=0,"PENDENTE","EM ANDAMENTO"))))))</f>
        <v/>
      </c>
      <c r="C1085" s="3">
        <f>IF(D1085="","",IF(V1085=0,"🟢 OK",IF(D1085&lt;corte,"⚪ HISTÓRICO (sem baixa)",IF(AND(ISNUMBER(R1085),R1085&lt;TODAY()),"🔴 PRAZO VENCIDO",IF(AND(OR(N1085="PENDENTE",N1085="PARCIAL"),D1085&lt;TODAY()-1),"🔴 EMBARQUE ATRASADO",IF(AND(N1085="REALIZADO",M1085="PENDENTE"),"🟡 EMBARCADO SEM FATURAR",IF(AND(P1085&lt;&gt;"",S1085="",OR(Q1085="",R1085="")),"🟡 PENDÊNCIA SEM RESPONSÁVEL/PRAZO",IF(AND(ISNUMBER(R1085),R1085=TODAY()),"🟡 VENCE HOJE",IF(AND(P1085&lt;&gt;"",S1085=""),"🟡 PENDÊNCIA ABERTA",IF(AND(N(J1085)&gt;0,N(K1085)&lt;J1085),"🟡 FALTA EXECUTAR",IF(OR(M1085="PENDENTE",M1085="PARCIAL"),"🟡 FATURAMENTO PENDENTE","🟡 EMBARQUE PENDENTE")))))))))))</f>
        <v/>
      </c>
      <c r="D1085" s="4" t="n"/>
      <c r="E1085" s="5" t="n"/>
      <c r="F1085" s="5" t="n"/>
      <c r="G1085" s="5" t="n"/>
      <c r="H1085" s="5" t="n"/>
      <c r="I1085" s="5" t="n"/>
      <c r="J1085" s="6" t="n"/>
      <c r="K1085" s="6" t="n"/>
      <c r="L1085" s="7">
        <f>IF(OR(D1085="",N(J1085)=0),"",MIN(1,N(K1085)/J1085))</f>
        <v/>
      </c>
      <c r="M1085" s="5" t="n"/>
      <c r="N1085" s="5" t="n"/>
      <c r="O1085" s="5" t="n"/>
      <c r="P1085" s="5" t="n"/>
      <c r="Q1085" s="5" t="n"/>
      <c r="R1085" s="4" t="n"/>
      <c r="S1085" s="4" t="n"/>
      <c r="T1085" s="5" t="n"/>
      <c r="U1085" s="8">
        <f>IF(AND(V1085=1,D1085&lt;&gt;""),IF(D1085&gt;=corte,TODAY()-D1085,""),"")</f>
        <v/>
      </c>
      <c r="V1085" s="8">
        <f>IF(D1085="",0,IF(OR(AND(P1085&lt;&gt;"",S1085=""),AND(N(J1085)&gt;0,N(K1085)&lt;J1085),OR(M1085="PENDENTE",M1085="PARCIAL"),OR(N1085="PENDENTE",N1085="PARCIAL")),1,0))</f>
        <v/>
      </c>
      <c r="W1085" s="8">
        <f>IF(AND(V1085=1,D1085&lt;&gt;""),IF(D1085&gt;=corte,(B1085="CRÍTICO")*1E9+(100000-D1085)*10000+10000-ROW(),""),"")</f>
        <v/>
      </c>
      <c r="X1085" s="8">
        <f>IF(AND(V1085=1,D1085=pas_data,E1085=pas_turno),10000-ROW(),"")</f>
        <v/>
      </c>
    </row>
    <row r="1086">
      <c r="A1086" s="3">
        <f>IF(D1086="","","TT-"&amp;TEXT(ROW()-1,"00000"))</f>
        <v/>
      </c>
      <c r="B1086" s="3">
        <f>IF(D1086="","",IF(V1086=0,"CONCLUÍDO",IF(D1086&lt;corte,"HISTÓRICO",IF(OR(AND(ISNUMBER(R1086),R1086&lt;TODAY()),AND(OR(N1086="PENDENTE",N1086="PARCIAL"),D1086&lt;TODAY()-1)),"CRÍTICO",IF(OR(AND(P1086&lt;&gt;"",S1086=""),AND(N1086="REALIZADO",M1086="PENDENTE"),AND(ISNUMBER(R1086),R1086=TODAY())),"ATENÇÃO",IF(N(K1086)=0,"PENDENTE","EM ANDAMENTO"))))))</f>
        <v/>
      </c>
      <c r="C1086" s="3">
        <f>IF(D1086="","",IF(V1086=0,"🟢 OK",IF(D1086&lt;corte,"⚪ HISTÓRICO (sem baixa)",IF(AND(ISNUMBER(R1086),R1086&lt;TODAY()),"🔴 PRAZO VENCIDO",IF(AND(OR(N1086="PENDENTE",N1086="PARCIAL"),D1086&lt;TODAY()-1),"🔴 EMBARQUE ATRASADO",IF(AND(N1086="REALIZADO",M1086="PENDENTE"),"🟡 EMBARCADO SEM FATURAR",IF(AND(P1086&lt;&gt;"",S1086="",OR(Q1086="",R1086="")),"🟡 PENDÊNCIA SEM RESPONSÁVEL/PRAZO",IF(AND(ISNUMBER(R1086),R1086=TODAY()),"🟡 VENCE HOJE",IF(AND(P1086&lt;&gt;"",S1086=""),"🟡 PENDÊNCIA ABERTA",IF(AND(N(J1086)&gt;0,N(K1086)&lt;J1086),"🟡 FALTA EXECUTAR",IF(OR(M1086="PENDENTE",M1086="PARCIAL"),"🟡 FATURAMENTO PENDENTE","🟡 EMBARQUE PENDENTE")))))))))))</f>
        <v/>
      </c>
      <c r="D1086" s="4" t="n"/>
      <c r="E1086" s="5" t="n"/>
      <c r="F1086" s="5" t="n"/>
      <c r="G1086" s="5" t="n"/>
      <c r="H1086" s="5" t="n"/>
      <c r="I1086" s="5" t="n"/>
      <c r="J1086" s="6" t="n"/>
      <c r="K1086" s="6" t="n"/>
      <c r="L1086" s="7">
        <f>IF(OR(D1086="",N(J1086)=0),"",MIN(1,N(K1086)/J1086))</f>
        <v/>
      </c>
      <c r="M1086" s="5" t="n"/>
      <c r="N1086" s="5" t="n"/>
      <c r="O1086" s="5" t="n"/>
      <c r="P1086" s="5" t="n"/>
      <c r="Q1086" s="5" t="n"/>
      <c r="R1086" s="4" t="n"/>
      <c r="S1086" s="4" t="n"/>
      <c r="T1086" s="5" t="n"/>
      <c r="U1086" s="8">
        <f>IF(AND(V1086=1,D1086&lt;&gt;""),IF(D1086&gt;=corte,TODAY()-D1086,""),"")</f>
        <v/>
      </c>
      <c r="V1086" s="8">
        <f>IF(D1086="",0,IF(OR(AND(P1086&lt;&gt;"",S1086=""),AND(N(J1086)&gt;0,N(K1086)&lt;J1086),OR(M1086="PENDENTE",M1086="PARCIAL"),OR(N1086="PENDENTE",N1086="PARCIAL")),1,0))</f>
        <v/>
      </c>
      <c r="W1086" s="8">
        <f>IF(AND(V1086=1,D1086&lt;&gt;""),IF(D1086&gt;=corte,(B1086="CRÍTICO")*1E9+(100000-D1086)*10000+10000-ROW(),""),"")</f>
        <v/>
      </c>
      <c r="X1086" s="8">
        <f>IF(AND(V1086=1,D1086=pas_data,E1086=pas_turno),10000-ROW(),"")</f>
        <v/>
      </c>
    </row>
    <row r="1087">
      <c r="A1087" s="3">
        <f>IF(D1087="","","TT-"&amp;TEXT(ROW()-1,"00000"))</f>
        <v/>
      </c>
      <c r="B1087" s="3">
        <f>IF(D1087="","",IF(V1087=0,"CONCLUÍDO",IF(D1087&lt;corte,"HISTÓRICO",IF(OR(AND(ISNUMBER(R1087),R1087&lt;TODAY()),AND(OR(N1087="PENDENTE",N1087="PARCIAL"),D1087&lt;TODAY()-1)),"CRÍTICO",IF(OR(AND(P1087&lt;&gt;"",S1087=""),AND(N1087="REALIZADO",M1087="PENDENTE"),AND(ISNUMBER(R1087),R1087=TODAY())),"ATENÇÃO",IF(N(K1087)=0,"PENDENTE","EM ANDAMENTO"))))))</f>
        <v/>
      </c>
      <c r="C1087" s="3">
        <f>IF(D1087="","",IF(V1087=0,"🟢 OK",IF(D1087&lt;corte,"⚪ HISTÓRICO (sem baixa)",IF(AND(ISNUMBER(R1087),R1087&lt;TODAY()),"🔴 PRAZO VENCIDO",IF(AND(OR(N1087="PENDENTE",N1087="PARCIAL"),D1087&lt;TODAY()-1),"🔴 EMBARQUE ATRASADO",IF(AND(N1087="REALIZADO",M1087="PENDENTE"),"🟡 EMBARCADO SEM FATURAR",IF(AND(P1087&lt;&gt;"",S1087="",OR(Q1087="",R1087="")),"🟡 PENDÊNCIA SEM RESPONSÁVEL/PRAZO",IF(AND(ISNUMBER(R1087),R1087=TODAY()),"🟡 VENCE HOJE",IF(AND(P1087&lt;&gt;"",S1087=""),"🟡 PENDÊNCIA ABERTA",IF(AND(N(J1087)&gt;0,N(K1087)&lt;J1087),"🟡 FALTA EXECUTAR",IF(OR(M1087="PENDENTE",M1087="PARCIAL"),"🟡 FATURAMENTO PENDENTE","🟡 EMBARQUE PENDENTE")))))))))))</f>
        <v/>
      </c>
      <c r="D1087" s="4" t="n"/>
      <c r="E1087" s="5" t="n"/>
      <c r="F1087" s="5" t="n"/>
      <c r="G1087" s="5" t="n"/>
      <c r="H1087" s="5" t="n"/>
      <c r="I1087" s="5" t="n"/>
      <c r="J1087" s="6" t="n"/>
      <c r="K1087" s="6" t="n"/>
      <c r="L1087" s="7">
        <f>IF(OR(D1087="",N(J1087)=0),"",MIN(1,N(K1087)/J1087))</f>
        <v/>
      </c>
      <c r="M1087" s="5" t="n"/>
      <c r="N1087" s="5" t="n"/>
      <c r="O1087" s="5" t="n"/>
      <c r="P1087" s="5" t="n"/>
      <c r="Q1087" s="5" t="n"/>
      <c r="R1087" s="4" t="n"/>
      <c r="S1087" s="4" t="n"/>
      <c r="T1087" s="5" t="n"/>
      <c r="U1087" s="8">
        <f>IF(AND(V1087=1,D1087&lt;&gt;""),IF(D1087&gt;=corte,TODAY()-D1087,""),"")</f>
        <v/>
      </c>
      <c r="V1087" s="8">
        <f>IF(D1087="",0,IF(OR(AND(P1087&lt;&gt;"",S1087=""),AND(N(J1087)&gt;0,N(K1087)&lt;J1087),OR(M1087="PENDENTE",M1087="PARCIAL"),OR(N1087="PENDENTE",N1087="PARCIAL")),1,0))</f>
        <v/>
      </c>
      <c r="W1087" s="8">
        <f>IF(AND(V1087=1,D1087&lt;&gt;""),IF(D1087&gt;=corte,(B1087="CRÍTICO")*1E9+(100000-D1087)*10000+10000-ROW(),""),"")</f>
        <v/>
      </c>
      <c r="X1087" s="8">
        <f>IF(AND(V1087=1,D1087=pas_data,E1087=pas_turno),10000-ROW(),"")</f>
        <v/>
      </c>
    </row>
    <row r="1088">
      <c r="A1088" s="3">
        <f>IF(D1088="","","TT-"&amp;TEXT(ROW()-1,"00000"))</f>
        <v/>
      </c>
      <c r="B1088" s="3">
        <f>IF(D1088="","",IF(V1088=0,"CONCLUÍDO",IF(D1088&lt;corte,"HISTÓRICO",IF(OR(AND(ISNUMBER(R1088),R1088&lt;TODAY()),AND(OR(N1088="PENDENTE",N1088="PARCIAL"),D1088&lt;TODAY()-1)),"CRÍTICO",IF(OR(AND(P1088&lt;&gt;"",S1088=""),AND(N1088="REALIZADO",M1088="PENDENTE"),AND(ISNUMBER(R1088),R1088=TODAY())),"ATENÇÃO",IF(N(K1088)=0,"PENDENTE","EM ANDAMENTO"))))))</f>
        <v/>
      </c>
      <c r="C1088" s="3">
        <f>IF(D1088="","",IF(V1088=0,"🟢 OK",IF(D1088&lt;corte,"⚪ HISTÓRICO (sem baixa)",IF(AND(ISNUMBER(R1088),R1088&lt;TODAY()),"🔴 PRAZO VENCIDO",IF(AND(OR(N1088="PENDENTE",N1088="PARCIAL"),D1088&lt;TODAY()-1),"🔴 EMBARQUE ATRASADO",IF(AND(N1088="REALIZADO",M1088="PENDENTE"),"🟡 EMBARCADO SEM FATURAR",IF(AND(P1088&lt;&gt;"",S1088="",OR(Q1088="",R1088="")),"🟡 PENDÊNCIA SEM RESPONSÁVEL/PRAZO",IF(AND(ISNUMBER(R1088),R1088=TODAY()),"🟡 VENCE HOJE",IF(AND(P1088&lt;&gt;"",S1088=""),"🟡 PENDÊNCIA ABERTA",IF(AND(N(J1088)&gt;0,N(K1088)&lt;J1088),"🟡 FALTA EXECUTAR",IF(OR(M1088="PENDENTE",M1088="PARCIAL"),"🟡 FATURAMENTO PENDENTE","🟡 EMBARQUE PENDENTE")))))))))))</f>
        <v/>
      </c>
      <c r="D1088" s="4" t="n"/>
      <c r="E1088" s="5" t="n"/>
      <c r="F1088" s="5" t="n"/>
      <c r="G1088" s="5" t="n"/>
      <c r="H1088" s="5" t="n"/>
      <c r="I1088" s="5" t="n"/>
      <c r="J1088" s="6" t="n"/>
      <c r="K1088" s="6" t="n"/>
      <c r="L1088" s="7">
        <f>IF(OR(D1088="",N(J1088)=0),"",MIN(1,N(K1088)/J1088))</f>
        <v/>
      </c>
      <c r="M1088" s="5" t="n"/>
      <c r="N1088" s="5" t="n"/>
      <c r="O1088" s="5" t="n"/>
      <c r="P1088" s="5" t="n"/>
      <c r="Q1088" s="5" t="n"/>
      <c r="R1088" s="4" t="n"/>
      <c r="S1088" s="4" t="n"/>
      <c r="T1088" s="5" t="n"/>
      <c r="U1088" s="8">
        <f>IF(AND(V1088=1,D1088&lt;&gt;""),IF(D1088&gt;=corte,TODAY()-D1088,""),"")</f>
        <v/>
      </c>
      <c r="V1088" s="8">
        <f>IF(D1088="",0,IF(OR(AND(P1088&lt;&gt;"",S1088=""),AND(N(J1088)&gt;0,N(K1088)&lt;J1088),OR(M1088="PENDENTE",M1088="PARCIAL"),OR(N1088="PENDENTE",N1088="PARCIAL")),1,0))</f>
        <v/>
      </c>
      <c r="W1088" s="8">
        <f>IF(AND(V1088=1,D1088&lt;&gt;""),IF(D1088&gt;=corte,(B1088="CRÍTICO")*1E9+(100000-D1088)*10000+10000-ROW(),""),"")</f>
        <v/>
      </c>
      <c r="X1088" s="8">
        <f>IF(AND(V1088=1,D1088=pas_data,E1088=pas_turno),10000-ROW(),"")</f>
        <v/>
      </c>
    </row>
    <row r="1089">
      <c r="A1089" s="3">
        <f>IF(D1089="","","TT-"&amp;TEXT(ROW()-1,"00000"))</f>
        <v/>
      </c>
      <c r="B1089" s="3">
        <f>IF(D1089="","",IF(V1089=0,"CONCLUÍDO",IF(D1089&lt;corte,"HISTÓRICO",IF(OR(AND(ISNUMBER(R1089),R1089&lt;TODAY()),AND(OR(N1089="PENDENTE",N1089="PARCIAL"),D1089&lt;TODAY()-1)),"CRÍTICO",IF(OR(AND(P1089&lt;&gt;"",S1089=""),AND(N1089="REALIZADO",M1089="PENDENTE"),AND(ISNUMBER(R1089),R1089=TODAY())),"ATENÇÃO",IF(N(K1089)=0,"PENDENTE","EM ANDAMENTO"))))))</f>
        <v/>
      </c>
      <c r="C1089" s="3">
        <f>IF(D1089="","",IF(V1089=0,"🟢 OK",IF(D1089&lt;corte,"⚪ HISTÓRICO (sem baixa)",IF(AND(ISNUMBER(R1089),R1089&lt;TODAY()),"🔴 PRAZO VENCIDO",IF(AND(OR(N1089="PENDENTE",N1089="PARCIAL"),D1089&lt;TODAY()-1),"🔴 EMBARQUE ATRASADO",IF(AND(N1089="REALIZADO",M1089="PENDENTE"),"🟡 EMBARCADO SEM FATURAR",IF(AND(P1089&lt;&gt;"",S1089="",OR(Q1089="",R1089="")),"🟡 PENDÊNCIA SEM RESPONSÁVEL/PRAZO",IF(AND(ISNUMBER(R1089),R1089=TODAY()),"🟡 VENCE HOJE",IF(AND(P1089&lt;&gt;"",S1089=""),"🟡 PENDÊNCIA ABERTA",IF(AND(N(J1089)&gt;0,N(K1089)&lt;J1089),"🟡 FALTA EXECUTAR",IF(OR(M1089="PENDENTE",M1089="PARCIAL"),"🟡 FATURAMENTO PENDENTE","🟡 EMBARQUE PENDENTE")))))))))))</f>
        <v/>
      </c>
      <c r="D1089" s="4" t="n"/>
      <c r="E1089" s="5" t="n"/>
      <c r="F1089" s="5" t="n"/>
      <c r="G1089" s="5" t="n"/>
      <c r="H1089" s="5" t="n"/>
      <c r="I1089" s="5" t="n"/>
      <c r="J1089" s="6" t="n"/>
      <c r="K1089" s="6" t="n"/>
      <c r="L1089" s="7">
        <f>IF(OR(D1089="",N(J1089)=0),"",MIN(1,N(K1089)/J1089))</f>
        <v/>
      </c>
      <c r="M1089" s="5" t="n"/>
      <c r="N1089" s="5" t="n"/>
      <c r="O1089" s="5" t="n"/>
      <c r="P1089" s="5" t="n"/>
      <c r="Q1089" s="5" t="n"/>
      <c r="R1089" s="4" t="n"/>
      <c r="S1089" s="4" t="n"/>
      <c r="T1089" s="5" t="n"/>
      <c r="U1089" s="8">
        <f>IF(AND(V1089=1,D1089&lt;&gt;""),IF(D1089&gt;=corte,TODAY()-D1089,""),"")</f>
        <v/>
      </c>
      <c r="V1089" s="8">
        <f>IF(D1089="",0,IF(OR(AND(P1089&lt;&gt;"",S1089=""),AND(N(J1089)&gt;0,N(K1089)&lt;J1089),OR(M1089="PENDENTE",M1089="PARCIAL"),OR(N1089="PENDENTE",N1089="PARCIAL")),1,0))</f>
        <v/>
      </c>
      <c r="W1089" s="8">
        <f>IF(AND(V1089=1,D1089&lt;&gt;""),IF(D1089&gt;=corte,(B1089="CRÍTICO")*1E9+(100000-D1089)*10000+10000-ROW(),""),"")</f>
        <v/>
      </c>
      <c r="X1089" s="8">
        <f>IF(AND(V1089=1,D1089=pas_data,E1089=pas_turno),10000-ROW(),"")</f>
        <v/>
      </c>
    </row>
    <row r="1090">
      <c r="A1090" s="3">
        <f>IF(D1090="","","TT-"&amp;TEXT(ROW()-1,"00000"))</f>
        <v/>
      </c>
      <c r="B1090" s="3">
        <f>IF(D1090="","",IF(V1090=0,"CONCLUÍDO",IF(D1090&lt;corte,"HISTÓRICO",IF(OR(AND(ISNUMBER(R1090),R1090&lt;TODAY()),AND(OR(N1090="PENDENTE",N1090="PARCIAL"),D1090&lt;TODAY()-1)),"CRÍTICO",IF(OR(AND(P1090&lt;&gt;"",S1090=""),AND(N1090="REALIZADO",M1090="PENDENTE"),AND(ISNUMBER(R1090),R1090=TODAY())),"ATENÇÃO",IF(N(K1090)=0,"PENDENTE","EM ANDAMENTO"))))))</f>
        <v/>
      </c>
      <c r="C1090" s="3">
        <f>IF(D1090="","",IF(V1090=0,"🟢 OK",IF(D1090&lt;corte,"⚪ HISTÓRICO (sem baixa)",IF(AND(ISNUMBER(R1090),R1090&lt;TODAY()),"🔴 PRAZO VENCIDO",IF(AND(OR(N1090="PENDENTE",N1090="PARCIAL"),D1090&lt;TODAY()-1),"🔴 EMBARQUE ATRASADO",IF(AND(N1090="REALIZADO",M1090="PENDENTE"),"🟡 EMBARCADO SEM FATURAR",IF(AND(P1090&lt;&gt;"",S1090="",OR(Q1090="",R1090="")),"🟡 PENDÊNCIA SEM RESPONSÁVEL/PRAZO",IF(AND(ISNUMBER(R1090),R1090=TODAY()),"🟡 VENCE HOJE",IF(AND(P1090&lt;&gt;"",S1090=""),"🟡 PENDÊNCIA ABERTA",IF(AND(N(J1090)&gt;0,N(K1090)&lt;J1090),"🟡 FALTA EXECUTAR",IF(OR(M1090="PENDENTE",M1090="PARCIAL"),"🟡 FATURAMENTO PENDENTE","🟡 EMBARQUE PENDENTE")))))))))))</f>
        <v/>
      </c>
      <c r="D1090" s="4" t="n"/>
      <c r="E1090" s="5" t="n"/>
      <c r="F1090" s="5" t="n"/>
      <c r="G1090" s="5" t="n"/>
      <c r="H1090" s="5" t="n"/>
      <c r="I1090" s="5" t="n"/>
      <c r="J1090" s="6" t="n"/>
      <c r="K1090" s="6" t="n"/>
      <c r="L1090" s="7">
        <f>IF(OR(D1090="",N(J1090)=0),"",MIN(1,N(K1090)/J1090))</f>
        <v/>
      </c>
      <c r="M1090" s="5" t="n"/>
      <c r="N1090" s="5" t="n"/>
      <c r="O1090" s="5" t="n"/>
      <c r="P1090" s="5" t="n"/>
      <c r="Q1090" s="5" t="n"/>
      <c r="R1090" s="4" t="n"/>
      <c r="S1090" s="4" t="n"/>
      <c r="T1090" s="5" t="n"/>
      <c r="U1090" s="8">
        <f>IF(AND(V1090=1,D1090&lt;&gt;""),IF(D1090&gt;=corte,TODAY()-D1090,""),"")</f>
        <v/>
      </c>
      <c r="V1090" s="8">
        <f>IF(D1090="",0,IF(OR(AND(P1090&lt;&gt;"",S1090=""),AND(N(J1090)&gt;0,N(K1090)&lt;J1090),OR(M1090="PENDENTE",M1090="PARCIAL"),OR(N1090="PENDENTE",N1090="PARCIAL")),1,0))</f>
        <v/>
      </c>
      <c r="W1090" s="8">
        <f>IF(AND(V1090=1,D1090&lt;&gt;""),IF(D1090&gt;=corte,(B1090="CRÍTICO")*1E9+(100000-D1090)*10000+10000-ROW(),""),"")</f>
        <v/>
      </c>
      <c r="X1090" s="8">
        <f>IF(AND(V1090=1,D1090=pas_data,E1090=pas_turno),10000-ROW(),"")</f>
        <v/>
      </c>
    </row>
    <row r="1091">
      <c r="A1091" s="3">
        <f>IF(D1091="","","TT-"&amp;TEXT(ROW()-1,"00000"))</f>
        <v/>
      </c>
      <c r="B1091" s="3">
        <f>IF(D1091="","",IF(V1091=0,"CONCLUÍDO",IF(D1091&lt;corte,"HISTÓRICO",IF(OR(AND(ISNUMBER(R1091),R1091&lt;TODAY()),AND(OR(N1091="PENDENTE",N1091="PARCIAL"),D1091&lt;TODAY()-1)),"CRÍTICO",IF(OR(AND(P1091&lt;&gt;"",S1091=""),AND(N1091="REALIZADO",M1091="PENDENTE"),AND(ISNUMBER(R1091),R1091=TODAY())),"ATENÇÃO",IF(N(K1091)=0,"PENDENTE","EM ANDAMENTO"))))))</f>
        <v/>
      </c>
      <c r="C1091" s="3">
        <f>IF(D1091="","",IF(V1091=0,"🟢 OK",IF(D1091&lt;corte,"⚪ HISTÓRICO (sem baixa)",IF(AND(ISNUMBER(R1091),R1091&lt;TODAY()),"🔴 PRAZO VENCIDO",IF(AND(OR(N1091="PENDENTE",N1091="PARCIAL"),D1091&lt;TODAY()-1),"🔴 EMBARQUE ATRASADO",IF(AND(N1091="REALIZADO",M1091="PENDENTE"),"🟡 EMBARCADO SEM FATURAR",IF(AND(P1091&lt;&gt;"",S1091="",OR(Q1091="",R1091="")),"🟡 PENDÊNCIA SEM RESPONSÁVEL/PRAZO",IF(AND(ISNUMBER(R1091),R1091=TODAY()),"🟡 VENCE HOJE",IF(AND(P1091&lt;&gt;"",S1091=""),"🟡 PENDÊNCIA ABERTA",IF(AND(N(J1091)&gt;0,N(K1091)&lt;J1091),"🟡 FALTA EXECUTAR",IF(OR(M1091="PENDENTE",M1091="PARCIAL"),"🟡 FATURAMENTO PENDENTE","🟡 EMBARQUE PENDENTE")))))))))))</f>
        <v/>
      </c>
      <c r="D1091" s="4" t="n"/>
      <c r="E1091" s="5" t="n"/>
      <c r="F1091" s="5" t="n"/>
      <c r="G1091" s="5" t="n"/>
      <c r="H1091" s="5" t="n"/>
      <c r="I1091" s="5" t="n"/>
      <c r="J1091" s="6" t="n"/>
      <c r="K1091" s="6" t="n"/>
      <c r="L1091" s="7">
        <f>IF(OR(D1091="",N(J1091)=0),"",MIN(1,N(K1091)/J1091))</f>
        <v/>
      </c>
      <c r="M1091" s="5" t="n"/>
      <c r="N1091" s="5" t="n"/>
      <c r="O1091" s="5" t="n"/>
      <c r="P1091" s="5" t="n"/>
      <c r="Q1091" s="5" t="n"/>
      <c r="R1091" s="4" t="n"/>
      <c r="S1091" s="4" t="n"/>
      <c r="T1091" s="5" t="n"/>
      <c r="U1091" s="8">
        <f>IF(AND(V1091=1,D1091&lt;&gt;""),IF(D1091&gt;=corte,TODAY()-D1091,""),"")</f>
        <v/>
      </c>
      <c r="V1091" s="8">
        <f>IF(D1091="",0,IF(OR(AND(P1091&lt;&gt;"",S1091=""),AND(N(J1091)&gt;0,N(K1091)&lt;J1091),OR(M1091="PENDENTE",M1091="PARCIAL"),OR(N1091="PENDENTE",N1091="PARCIAL")),1,0))</f>
        <v/>
      </c>
      <c r="W1091" s="8">
        <f>IF(AND(V1091=1,D1091&lt;&gt;""),IF(D1091&gt;=corte,(B1091="CRÍTICO")*1E9+(100000-D1091)*10000+10000-ROW(),""),"")</f>
        <v/>
      </c>
      <c r="X1091" s="8">
        <f>IF(AND(V1091=1,D1091=pas_data,E1091=pas_turno),10000-ROW(),"")</f>
        <v/>
      </c>
    </row>
    <row r="1092">
      <c r="A1092" s="3">
        <f>IF(D1092="","","TT-"&amp;TEXT(ROW()-1,"00000"))</f>
        <v/>
      </c>
      <c r="B1092" s="3">
        <f>IF(D1092="","",IF(V1092=0,"CONCLUÍDO",IF(D1092&lt;corte,"HISTÓRICO",IF(OR(AND(ISNUMBER(R1092),R1092&lt;TODAY()),AND(OR(N1092="PENDENTE",N1092="PARCIAL"),D1092&lt;TODAY()-1)),"CRÍTICO",IF(OR(AND(P1092&lt;&gt;"",S1092=""),AND(N1092="REALIZADO",M1092="PENDENTE"),AND(ISNUMBER(R1092),R1092=TODAY())),"ATENÇÃO",IF(N(K1092)=0,"PENDENTE","EM ANDAMENTO"))))))</f>
        <v/>
      </c>
      <c r="C1092" s="3">
        <f>IF(D1092="","",IF(V1092=0,"🟢 OK",IF(D1092&lt;corte,"⚪ HISTÓRICO (sem baixa)",IF(AND(ISNUMBER(R1092),R1092&lt;TODAY()),"🔴 PRAZO VENCIDO",IF(AND(OR(N1092="PENDENTE",N1092="PARCIAL"),D1092&lt;TODAY()-1),"🔴 EMBARQUE ATRASADO",IF(AND(N1092="REALIZADO",M1092="PENDENTE"),"🟡 EMBARCADO SEM FATURAR",IF(AND(P1092&lt;&gt;"",S1092="",OR(Q1092="",R1092="")),"🟡 PENDÊNCIA SEM RESPONSÁVEL/PRAZO",IF(AND(ISNUMBER(R1092),R1092=TODAY()),"🟡 VENCE HOJE",IF(AND(P1092&lt;&gt;"",S1092=""),"🟡 PENDÊNCIA ABERTA",IF(AND(N(J1092)&gt;0,N(K1092)&lt;J1092),"🟡 FALTA EXECUTAR",IF(OR(M1092="PENDENTE",M1092="PARCIAL"),"🟡 FATURAMENTO PENDENTE","🟡 EMBARQUE PENDENTE")))))))))))</f>
        <v/>
      </c>
      <c r="D1092" s="4" t="n"/>
      <c r="E1092" s="5" t="n"/>
      <c r="F1092" s="5" t="n"/>
      <c r="G1092" s="5" t="n"/>
      <c r="H1092" s="5" t="n"/>
      <c r="I1092" s="5" t="n"/>
      <c r="J1092" s="6" t="n"/>
      <c r="K1092" s="6" t="n"/>
      <c r="L1092" s="7">
        <f>IF(OR(D1092="",N(J1092)=0),"",MIN(1,N(K1092)/J1092))</f>
        <v/>
      </c>
      <c r="M1092" s="5" t="n"/>
      <c r="N1092" s="5" t="n"/>
      <c r="O1092" s="5" t="n"/>
      <c r="P1092" s="5" t="n"/>
      <c r="Q1092" s="5" t="n"/>
      <c r="R1092" s="4" t="n"/>
      <c r="S1092" s="4" t="n"/>
      <c r="T1092" s="5" t="n"/>
      <c r="U1092" s="8">
        <f>IF(AND(V1092=1,D1092&lt;&gt;""),IF(D1092&gt;=corte,TODAY()-D1092,""),"")</f>
        <v/>
      </c>
      <c r="V1092" s="8">
        <f>IF(D1092="",0,IF(OR(AND(P1092&lt;&gt;"",S1092=""),AND(N(J1092)&gt;0,N(K1092)&lt;J1092),OR(M1092="PENDENTE",M1092="PARCIAL"),OR(N1092="PENDENTE",N1092="PARCIAL")),1,0))</f>
        <v/>
      </c>
      <c r="W1092" s="8">
        <f>IF(AND(V1092=1,D1092&lt;&gt;""),IF(D1092&gt;=corte,(B1092="CRÍTICO")*1E9+(100000-D1092)*10000+10000-ROW(),""),"")</f>
        <v/>
      </c>
      <c r="X1092" s="8">
        <f>IF(AND(V1092=1,D1092=pas_data,E1092=pas_turno),10000-ROW(),"")</f>
        <v/>
      </c>
    </row>
    <row r="1093">
      <c r="A1093" s="3">
        <f>IF(D1093="","","TT-"&amp;TEXT(ROW()-1,"00000"))</f>
        <v/>
      </c>
      <c r="B1093" s="3">
        <f>IF(D1093="","",IF(V1093=0,"CONCLUÍDO",IF(D1093&lt;corte,"HISTÓRICO",IF(OR(AND(ISNUMBER(R1093),R1093&lt;TODAY()),AND(OR(N1093="PENDENTE",N1093="PARCIAL"),D1093&lt;TODAY()-1)),"CRÍTICO",IF(OR(AND(P1093&lt;&gt;"",S1093=""),AND(N1093="REALIZADO",M1093="PENDENTE"),AND(ISNUMBER(R1093),R1093=TODAY())),"ATENÇÃO",IF(N(K1093)=0,"PENDENTE","EM ANDAMENTO"))))))</f>
        <v/>
      </c>
      <c r="C1093" s="3">
        <f>IF(D1093="","",IF(V1093=0,"🟢 OK",IF(D1093&lt;corte,"⚪ HISTÓRICO (sem baixa)",IF(AND(ISNUMBER(R1093),R1093&lt;TODAY()),"🔴 PRAZO VENCIDO",IF(AND(OR(N1093="PENDENTE",N1093="PARCIAL"),D1093&lt;TODAY()-1),"🔴 EMBARQUE ATRASADO",IF(AND(N1093="REALIZADO",M1093="PENDENTE"),"🟡 EMBARCADO SEM FATURAR",IF(AND(P1093&lt;&gt;"",S1093="",OR(Q1093="",R1093="")),"🟡 PENDÊNCIA SEM RESPONSÁVEL/PRAZO",IF(AND(ISNUMBER(R1093),R1093=TODAY()),"🟡 VENCE HOJE",IF(AND(P1093&lt;&gt;"",S1093=""),"🟡 PENDÊNCIA ABERTA",IF(AND(N(J1093)&gt;0,N(K1093)&lt;J1093),"🟡 FALTA EXECUTAR",IF(OR(M1093="PENDENTE",M1093="PARCIAL"),"🟡 FATURAMENTO PENDENTE","🟡 EMBARQUE PENDENTE")))))))))))</f>
        <v/>
      </c>
      <c r="D1093" s="4" t="n"/>
      <c r="E1093" s="5" t="n"/>
      <c r="F1093" s="5" t="n"/>
      <c r="G1093" s="5" t="n"/>
      <c r="H1093" s="5" t="n"/>
      <c r="I1093" s="5" t="n"/>
      <c r="J1093" s="6" t="n"/>
      <c r="K1093" s="6" t="n"/>
      <c r="L1093" s="7">
        <f>IF(OR(D1093="",N(J1093)=0),"",MIN(1,N(K1093)/J1093))</f>
        <v/>
      </c>
      <c r="M1093" s="5" t="n"/>
      <c r="N1093" s="5" t="n"/>
      <c r="O1093" s="5" t="n"/>
      <c r="P1093" s="5" t="n"/>
      <c r="Q1093" s="5" t="n"/>
      <c r="R1093" s="4" t="n"/>
      <c r="S1093" s="4" t="n"/>
      <c r="T1093" s="5" t="n"/>
      <c r="U1093" s="8">
        <f>IF(AND(V1093=1,D1093&lt;&gt;""),IF(D1093&gt;=corte,TODAY()-D1093,""),"")</f>
        <v/>
      </c>
      <c r="V1093" s="8">
        <f>IF(D1093="",0,IF(OR(AND(P1093&lt;&gt;"",S1093=""),AND(N(J1093)&gt;0,N(K1093)&lt;J1093),OR(M1093="PENDENTE",M1093="PARCIAL"),OR(N1093="PENDENTE",N1093="PARCIAL")),1,0))</f>
        <v/>
      </c>
      <c r="W1093" s="8">
        <f>IF(AND(V1093=1,D1093&lt;&gt;""),IF(D1093&gt;=corte,(B1093="CRÍTICO")*1E9+(100000-D1093)*10000+10000-ROW(),""),"")</f>
        <v/>
      </c>
      <c r="X1093" s="8">
        <f>IF(AND(V1093=1,D1093=pas_data,E1093=pas_turno),10000-ROW(),"")</f>
        <v/>
      </c>
    </row>
    <row r="1094">
      <c r="A1094" s="3">
        <f>IF(D1094="","","TT-"&amp;TEXT(ROW()-1,"00000"))</f>
        <v/>
      </c>
      <c r="B1094" s="3">
        <f>IF(D1094="","",IF(V1094=0,"CONCLUÍDO",IF(D1094&lt;corte,"HISTÓRICO",IF(OR(AND(ISNUMBER(R1094),R1094&lt;TODAY()),AND(OR(N1094="PENDENTE",N1094="PARCIAL"),D1094&lt;TODAY()-1)),"CRÍTICO",IF(OR(AND(P1094&lt;&gt;"",S1094=""),AND(N1094="REALIZADO",M1094="PENDENTE"),AND(ISNUMBER(R1094),R1094=TODAY())),"ATENÇÃO",IF(N(K1094)=0,"PENDENTE","EM ANDAMENTO"))))))</f>
        <v/>
      </c>
      <c r="C1094" s="3">
        <f>IF(D1094="","",IF(V1094=0,"🟢 OK",IF(D1094&lt;corte,"⚪ HISTÓRICO (sem baixa)",IF(AND(ISNUMBER(R1094),R1094&lt;TODAY()),"🔴 PRAZO VENCIDO",IF(AND(OR(N1094="PENDENTE",N1094="PARCIAL"),D1094&lt;TODAY()-1),"🔴 EMBARQUE ATRASADO",IF(AND(N1094="REALIZADO",M1094="PENDENTE"),"🟡 EMBARCADO SEM FATURAR",IF(AND(P1094&lt;&gt;"",S1094="",OR(Q1094="",R1094="")),"🟡 PENDÊNCIA SEM RESPONSÁVEL/PRAZO",IF(AND(ISNUMBER(R1094),R1094=TODAY()),"🟡 VENCE HOJE",IF(AND(P1094&lt;&gt;"",S1094=""),"🟡 PENDÊNCIA ABERTA",IF(AND(N(J1094)&gt;0,N(K1094)&lt;J1094),"🟡 FALTA EXECUTAR",IF(OR(M1094="PENDENTE",M1094="PARCIAL"),"🟡 FATURAMENTO PENDENTE","🟡 EMBARQUE PENDENTE")))))))))))</f>
        <v/>
      </c>
      <c r="D1094" s="4" t="n"/>
      <c r="E1094" s="5" t="n"/>
      <c r="F1094" s="5" t="n"/>
      <c r="G1094" s="5" t="n"/>
      <c r="H1094" s="5" t="n"/>
      <c r="I1094" s="5" t="n"/>
      <c r="J1094" s="6" t="n"/>
      <c r="K1094" s="6" t="n"/>
      <c r="L1094" s="7">
        <f>IF(OR(D1094="",N(J1094)=0),"",MIN(1,N(K1094)/J1094))</f>
        <v/>
      </c>
      <c r="M1094" s="5" t="n"/>
      <c r="N1094" s="5" t="n"/>
      <c r="O1094" s="5" t="n"/>
      <c r="P1094" s="5" t="n"/>
      <c r="Q1094" s="5" t="n"/>
      <c r="R1094" s="4" t="n"/>
      <c r="S1094" s="4" t="n"/>
      <c r="T1094" s="5" t="n"/>
      <c r="U1094" s="8">
        <f>IF(AND(V1094=1,D1094&lt;&gt;""),IF(D1094&gt;=corte,TODAY()-D1094,""),"")</f>
        <v/>
      </c>
      <c r="V1094" s="8">
        <f>IF(D1094="",0,IF(OR(AND(P1094&lt;&gt;"",S1094=""),AND(N(J1094)&gt;0,N(K1094)&lt;J1094),OR(M1094="PENDENTE",M1094="PARCIAL"),OR(N1094="PENDENTE",N1094="PARCIAL")),1,0))</f>
        <v/>
      </c>
      <c r="W1094" s="8">
        <f>IF(AND(V1094=1,D1094&lt;&gt;""),IF(D1094&gt;=corte,(B1094="CRÍTICO")*1E9+(100000-D1094)*10000+10000-ROW(),""),"")</f>
        <v/>
      </c>
      <c r="X1094" s="8">
        <f>IF(AND(V1094=1,D1094=pas_data,E1094=pas_turno),10000-ROW(),"")</f>
        <v/>
      </c>
    </row>
    <row r="1095">
      <c r="A1095" s="3">
        <f>IF(D1095="","","TT-"&amp;TEXT(ROW()-1,"00000"))</f>
        <v/>
      </c>
      <c r="B1095" s="3">
        <f>IF(D1095="","",IF(V1095=0,"CONCLUÍDO",IF(D1095&lt;corte,"HISTÓRICO",IF(OR(AND(ISNUMBER(R1095),R1095&lt;TODAY()),AND(OR(N1095="PENDENTE",N1095="PARCIAL"),D1095&lt;TODAY()-1)),"CRÍTICO",IF(OR(AND(P1095&lt;&gt;"",S1095=""),AND(N1095="REALIZADO",M1095="PENDENTE"),AND(ISNUMBER(R1095),R1095=TODAY())),"ATENÇÃO",IF(N(K1095)=0,"PENDENTE","EM ANDAMENTO"))))))</f>
        <v/>
      </c>
      <c r="C1095" s="3">
        <f>IF(D1095="","",IF(V1095=0,"🟢 OK",IF(D1095&lt;corte,"⚪ HISTÓRICO (sem baixa)",IF(AND(ISNUMBER(R1095),R1095&lt;TODAY()),"🔴 PRAZO VENCIDO",IF(AND(OR(N1095="PENDENTE",N1095="PARCIAL"),D1095&lt;TODAY()-1),"🔴 EMBARQUE ATRASADO",IF(AND(N1095="REALIZADO",M1095="PENDENTE"),"🟡 EMBARCADO SEM FATURAR",IF(AND(P1095&lt;&gt;"",S1095="",OR(Q1095="",R1095="")),"🟡 PENDÊNCIA SEM RESPONSÁVEL/PRAZO",IF(AND(ISNUMBER(R1095),R1095=TODAY()),"🟡 VENCE HOJE",IF(AND(P1095&lt;&gt;"",S1095=""),"🟡 PENDÊNCIA ABERTA",IF(AND(N(J1095)&gt;0,N(K1095)&lt;J1095),"🟡 FALTA EXECUTAR",IF(OR(M1095="PENDENTE",M1095="PARCIAL"),"🟡 FATURAMENTO PENDENTE","🟡 EMBARQUE PENDENTE")))))))))))</f>
        <v/>
      </c>
      <c r="D1095" s="4" t="n"/>
      <c r="E1095" s="5" t="n"/>
      <c r="F1095" s="5" t="n"/>
      <c r="G1095" s="5" t="n"/>
      <c r="H1095" s="5" t="n"/>
      <c r="I1095" s="5" t="n"/>
      <c r="J1095" s="6" t="n"/>
      <c r="K1095" s="6" t="n"/>
      <c r="L1095" s="7">
        <f>IF(OR(D1095="",N(J1095)=0),"",MIN(1,N(K1095)/J1095))</f>
        <v/>
      </c>
      <c r="M1095" s="5" t="n"/>
      <c r="N1095" s="5" t="n"/>
      <c r="O1095" s="5" t="n"/>
      <c r="P1095" s="5" t="n"/>
      <c r="Q1095" s="5" t="n"/>
      <c r="R1095" s="4" t="n"/>
      <c r="S1095" s="4" t="n"/>
      <c r="T1095" s="5" t="n"/>
      <c r="U1095" s="8">
        <f>IF(AND(V1095=1,D1095&lt;&gt;""),IF(D1095&gt;=corte,TODAY()-D1095,""),"")</f>
        <v/>
      </c>
      <c r="V1095" s="8">
        <f>IF(D1095="",0,IF(OR(AND(P1095&lt;&gt;"",S1095=""),AND(N(J1095)&gt;0,N(K1095)&lt;J1095),OR(M1095="PENDENTE",M1095="PARCIAL"),OR(N1095="PENDENTE",N1095="PARCIAL")),1,0))</f>
        <v/>
      </c>
      <c r="W1095" s="8">
        <f>IF(AND(V1095=1,D1095&lt;&gt;""),IF(D1095&gt;=corte,(B1095="CRÍTICO")*1E9+(100000-D1095)*10000+10000-ROW(),""),"")</f>
        <v/>
      </c>
      <c r="X1095" s="8">
        <f>IF(AND(V1095=1,D1095=pas_data,E1095=pas_turno),10000-ROW(),"")</f>
        <v/>
      </c>
    </row>
    <row r="1096">
      <c r="A1096" s="3">
        <f>IF(D1096="","","TT-"&amp;TEXT(ROW()-1,"00000"))</f>
        <v/>
      </c>
      <c r="B1096" s="3">
        <f>IF(D1096="","",IF(V1096=0,"CONCLUÍDO",IF(D1096&lt;corte,"HISTÓRICO",IF(OR(AND(ISNUMBER(R1096),R1096&lt;TODAY()),AND(OR(N1096="PENDENTE",N1096="PARCIAL"),D1096&lt;TODAY()-1)),"CRÍTICO",IF(OR(AND(P1096&lt;&gt;"",S1096=""),AND(N1096="REALIZADO",M1096="PENDENTE"),AND(ISNUMBER(R1096),R1096=TODAY())),"ATENÇÃO",IF(N(K1096)=0,"PENDENTE","EM ANDAMENTO"))))))</f>
        <v/>
      </c>
      <c r="C1096" s="3">
        <f>IF(D1096="","",IF(V1096=0,"🟢 OK",IF(D1096&lt;corte,"⚪ HISTÓRICO (sem baixa)",IF(AND(ISNUMBER(R1096),R1096&lt;TODAY()),"🔴 PRAZO VENCIDO",IF(AND(OR(N1096="PENDENTE",N1096="PARCIAL"),D1096&lt;TODAY()-1),"🔴 EMBARQUE ATRASADO",IF(AND(N1096="REALIZADO",M1096="PENDENTE"),"🟡 EMBARCADO SEM FATURAR",IF(AND(P1096&lt;&gt;"",S1096="",OR(Q1096="",R1096="")),"🟡 PENDÊNCIA SEM RESPONSÁVEL/PRAZO",IF(AND(ISNUMBER(R1096),R1096=TODAY()),"🟡 VENCE HOJE",IF(AND(P1096&lt;&gt;"",S1096=""),"🟡 PENDÊNCIA ABERTA",IF(AND(N(J1096)&gt;0,N(K1096)&lt;J1096),"🟡 FALTA EXECUTAR",IF(OR(M1096="PENDENTE",M1096="PARCIAL"),"🟡 FATURAMENTO PENDENTE","🟡 EMBARQUE PENDENTE")))))))))))</f>
        <v/>
      </c>
      <c r="D1096" s="4" t="n"/>
      <c r="E1096" s="5" t="n"/>
      <c r="F1096" s="5" t="n"/>
      <c r="G1096" s="5" t="n"/>
      <c r="H1096" s="5" t="n"/>
      <c r="I1096" s="5" t="n"/>
      <c r="J1096" s="6" t="n"/>
      <c r="K1096" s="6" t="n"/>
      <c r="L1096" s="7">
        <f>IF(OR(D1096="",N(J1096)=0),"",MIN(1,N(K1096)/J1096))</f>
        <v/>
      </c>
      <c r="M1096" s="5" t="n"/>
      <c r="N1096" s="5" t="n"/>
      <c r="O1096" s="5" t="n"/>
      <c r="P1096" s="5" t="n"/>
      <c r="Q1096" s="5" t="n"/>
      <c r="R1096" s="4" t="n"/>
      <c r="S1096" s="4" t="n"/>
      <c r="T1096" s="5" t="n"/>
      <c r="U1096" s="8">
        <f>IF(AND(V1096=1,D1096&lt;&gt;""),IF(D1096&gt;=corte,TODAY()-D1096,""),"")</f>
        <v/>
      </c>
      <c r="V1096" s="8">
        <f>IF(D1096="",0,IF(OR(AND(P1096&lt;&gt;"",S1096=""),AND(N(J1096)&gt;0,N(K1096)&lt;J1096),OR(M1096="PENDENTE",M1096="PARCIAL"),OR(N1096="PENDENTE",N1096="PARCIAL")),1,0))</f>
        <v/>
      </c>
      <c r="W1096" s="8">
        <f>IF(AND(V1096=1,D1096&lt;&gt;""),IF(D1096&gt;=corte,(B1096="CRÍTICO")*1E9+(100000-D1096)*10000+10000-ROW(),""),"")</f>
        <v/>
      </c>
      <c r="X1096" s="8">
        <f>IF(AND(V1096=1,D1096=pas_data,E1096=pas_turno),10000-ROW(),"")</f>
        <v/>
      </c>
    </row>
    <row r="1097">
      <c r="A1097" s="3">
        <f>IF(D1097="","","TT-"&amp;TEXT(ROW()-1,"00000"))</f>
        <v/>
      </c>
      <c r="B1097" s="3">
        <f>IF(D1097="","",IF(V1097=0,"CONCLUÍDO",IF(D1097&lt;corte,"HISTÓRICO",IF(OR(AND(ISNUMBER(R1097),R1097&lt;TODAY()),AND(OR(N1097="PENDENTE",N1097="PARCIAL"),D1097&lt;TODAY()-1)),"CRÍTICO",IF(OR(AND(P1097&lt;&gt;"",S1097=""),AND(N1097="REALIZADO",M1097="PENDENTE"),AND(ISNUMBER(R1097),R1097=TODAY())),"ATENÇÃO",IF(N(K1097)=0,"PENDENTE","EM ANDAMENTO"))))))</f>
        <v/>
      </c>
      <c r="C1097" s="3">
        <f>IF(D1097="","",IF(V1097=0,"🟢 OK",IF(D1097&lt;corte,"⚪ HISTÓRICO (sem baixa)",IF(AND(ISNUMBER(R1097),R1097&lt;TODAY()),"🔴 PRAZO VENCIDO",IF(AND(OR(N1097="PENDENTE",N1097="PARCIAL"),D1097&lt;TODAY()-1),"🔴 EMBARQUE ATRASADO",IF(AND(N1097="REALIZADO",M1097="PENDENTE"),"🟡 EMBARCADO SEM FATURAR",IF(AND(P1097&lt;&gt;"",S1097="",OR(Q1097="",R1097="")),"🟡 PENDÊNCIA SEM RESPONSÁVEL/PRAZO",IF(AND(ISNUMBER(R1097),R1097=TODAY()),"🟡 VENCE HOJE",IF(AND(P1097&lt;&gt;"",S1097=""),"🟡 PENDÊNCIA ABERTA",IF(AND(N(J1097)&gt;0,N(K1097)&lt;J1097),"🟡 FALTA EXECUTAR",IF(OR(M1097="PENDENTE",M1097="PARCIAL"),"🟡 FATURAMENTO PENDENTE","🟡 EMBARQUE PENDENTE")))))))))))</f>
        <v/>
      </c>
      <c r="D1097" s="4" t="n"/>
      <c r="E1097" s="5" t="n"/>
      <c r="F1097" s="5" t="n"/>
      <c r="G1097" s="5" t="n"/>
      <c r="H1097" s="5" t="n"/>
      <c r="I1097" s="5" t="n"/>
      <c r="J1097" s="6" t="n"/>
      <c r="K1097" s="6" t="n"/>
      <c r="L1097" s="7">
        <f>IF(OR(D1097="",N(J1097)=0),"",MIN(1,N(K1097)/J1097))</f>
        <v/>
      </c>
      <c r="M1097" s="5" t="n"/>
      <c r="N1097" s="5" t="n"/>
      <c r="O1097" s="5" t="n"/>
      <c r="P1097" s="5" t="n"/>
      <c r="Q1097" s="5" t="n"/>
      <c r="R1097" s="4" t="n"/>
      <c r="S1097" s="4" t="n"/>
      <c r="T1097" s="5" t="n"/>
      <c r="U1097" s="8">
        <f>IF(AND(V1097=1,D1097&lt;&gt;""),IF(D1097&gt;=corte,TODAY()-D1097,""),"")</f>
        <v/>
      </c>
      <c r="V1097" s="8">
        <f>IF(D1097="",0,IF(OR(AND(P1097&lt;&gt;"",S1097=""),AND(N(J1097)&gt;0,N(K1097)&lt;J1097),OR(M1097="PENDENTE",M1097="PARCIAL"),OR(N1097="PENDENTE",N1097="PARCIAL")),1,0))</f>
        <v/>
      </c>
      <c r="W1097" s="8">
        <f>IF(AND(V1097=1,D1097&lt;&gt;""),IF(D1097&gt;=corte,(B1097="CRÍTICO")*1E9+(100000-D1097)*10000+10000-ROW(),""),"")</f>
        <v/>
      </c>
      <c r="X1097" s="8">
        <f>IF(AND(V1097=1,D1097=pas_data,E1097=pas_turno),10000-ROW(),"")</f>
        <v/>
      </c>
    </row>
    <row r="1098">
      <c r="A1098" s="3">
        <f>IF(D1098="","","TT-"&amp;TEXT(ROW()-1,"00000"))</f>
        <v/>
      </c>
      <c r="B1098" s="3">
        <f>IF(D1098="","",IF(V1098=0,"CONCLUÍDO",IF(D1098&lt;corte,"HISTÓRICO",IF(OR(AND(ISNUMBER(R1098),R1098&lt;TODAY()),AND(OR(N1098="PENDENTE",N1098="PARCIAL"),D1098&lt;TODAY()-1)),"CRÍTICO",IF(OR(AND(P1098&lt;&gt;"",S1098=""),AND(N1098="REALIZADO",M1098="PENDENTE"),AND(ISNUMBER(R1098),R1098=TODAY())),"ATENÇÃO",IF(N(K1098)=0,"PENDENTE","EM ANDAMENTO"))))))</f>
        <v/>
      </c>
      <c r="C1098" s="3">
        <f>IF(D1098="","",IF(V1098=0,"🟢 OK",IF(D1098&lt;corte,"⚪ HISTÓRICO (sem baixa)",IF(AND(ISNUMBER(R1098),R1098&lt;TODAY()),"🔴 PRAZO VENCIDO",IF(AND(OR(N1098="PENDENTE",N1098="PARCIAL"),D1098&lt;TODAY()-1),"🔴 EMBARQUE ATRASADO",IF(AND(N1098="REALIZADO",M1098="PENDENTE"),"🟡 EMBARCADO SEM FATURAR",IF(AND(P1098&lt;&gt;"",S1098="",OR(Q1098="",R1098="")),"🟡 PENDÊNCIA SEM RESPONSÁVEL/PRAZO",IF(AND(ISNUMBER(R1098),R1098=TODAY()),"🟡 VENCE HOJE",IF(AND(P1098&lt;&gt;"",S1098=""),"🟡 PENDÊNCIA ABERTA",IF(AND(N(J1098)&gt;0,N(K1098)&lt;J1098),"🟡 FALTA EXECUTAR",IF(OR(M1098="PENDENTE",M1098="PARCIAL"),"🟡 FATURAMENTO PENDENTE","🟡 EMBARQUE PENDENTE")))))))))))</f>
        <v/>
      </c>
      <c r="D1098" s="4" t="n"/>
      <c r="E1098" s="5" t="n"/>
      <c r="F1098" s="5" t="n"/>
      <c r="G1098" s="5" t="n"/>
      <c r="H1098" s="5" t="n"/>
      <c r="I1098" s="5" t="n"/>
      <c r="J1098" s="6" t="n"/>
      <c r="K1098" s="6" t="n"/>
      <c r="L1098" s="7">
        <f>IF(OR(D1098="",N(J1098)=0),"",MIN(1,N(K1098)/J1098))</f>
        <v/>
      </c>
      <c r="M1098" s="5" t="n"/>
      <c r="N1098" s="5" t="n"/>
      <c r="O1098" s="5" t="n"/>
      <c r="P1098" s="5" t="n"/>
      <c r="Q1098" s="5" t="n"/>
      <c r="R1098" s="4" t="n"/>
      <c r="S1098" s="4" t="n"/>
      <c r="T1098" s="5" t="n"/>
      <c r="U1098" s="8">
        <f>IF(AND(V1098=1,D1098&lt;&gt;""),IF(D1098&gt;=corte,TODAY()-D1098,""),"")</f>
        <v/>
      </c>
      <c r="V1098" s="8">
        <f>IF(D1098="",0,IF(OR(AND(P1098&lt;&gt;"",S1098=""),AND(N(J1098)&gt;0,N(K1098)&lt;J1098),OR(M1098="PENDENTE",M1098="PARCIAL"),OR(N1098="PENDENTE",N1098="PARCIAL")),1,0))</f>
        <v/>
      </c>
      <c r="W1098" s="8">
        <f>IF(AND(V1098=1,D1098&lt;&gt;""),IF(D1098&gt;=corte,(B1098="CRÍTICO")*1E9+(100000-D1098)*10000+10000-ROW(),""),"")</f>
        <v/>
      </c>
      <c r="X1098" s="8">
        <f>IF(AND(V1098=1,D1098=pas_data,E1098=pas_turno),10000-ROW(),"")</f>
        <v/>
      </c>
    </row>
    <row r="1099">
      <c r="A1099" s="3">
        <f>IF(D1099="","","TT-"&amp;TEXT(ROW()-1,"00000"))</f>
        <v/>
      </c>
      <c r="B1099" s="3">
        <f>IF(D1099="","",IF(V1099=0,"CONCLUÍDO",IF(D1099&lt;corte,"HISTÓRICO",IF(OR(AND(ISNUMBER(R1099),R1099&lt;TODAY()),AND(OR(N1099="PENDENTE",N1099="PARCIAL"),D1099&lt;TODAY()-1)),"CRÍTICO",IF(OR(AND(P1099&lt;&gt;"",S1099=""),AND(N1099="REALIZADO",M1099="PENDENTE"),AND(ISNUMBER(R1099),R1099=TODAY())),"ATENÇÃO",IF(N(K1099)=0,"PENDENTE","EM ANDAMENTO"))))))</f>
        <v/>
      </c>
      <c r="C1099" s="3">
        <f>IF(D1099="","",IF(V1099=0,"🟢 OK",IF(D1099&lt;corte,"⚪ HISTÓRICO (sem baixa)",IF(AND(ISNUMBER(R1099),R1099&lt;TODAY()),"🔴 PRAZO VENCIDO",IF(AND(OR(N1099="PENDENTE",N1099="PARCIAL"),D1099&lt;TODAY()-1),"🔴 EMBARQUE ATRASADO",IF(AND(N1099="REALIZADO",M1099="PENDENTE"),"🟡 EMBARCADO SEM FATURAR",IF(AND(P1099&lt;&gt;"",S1099="",OR(Q1099="",R1099="")),"🟡 PENDÊNCIA SEM RESPONSÁVEL/PRAZO",IF(AND(ISNUMBER(R1099),R1099=TODAY()),"🟡 VENCE HOJE",IF(AND(P1099&lt;&gt;"",S1099=""),"🟡 PENDÊNCIA ABERTA",IF(AND(N(J1099)&gt;0,N(K1099)&lt;J1099),"🟡 FALTA EXECUTAR",IF(OR(M1099="PENDENTE",M1099="PARCIAL"),"🟡 FATURAMENTO PENDENTE","🟡 EMBARQUE PENDENTE")))))))))))</f>
        <v/>
      </c>
      <c r="D1099" s="4" t="n"/>
      <c r="E1099" s="5" t="n"/>
      <c r="F1099" s="5" t="n"/>
      <c r="G1099" s="5" t="n"/>
      <c r="H1099" s="5" t="n"/>
      <c r="I1099" s="5" t="n"/>
      <c r="J1099" s="6" t="n"/>
      <c r="K1099" s="6" t="n"/>
      <c r="L1099" s="7">
        <f>IF(OR(D1099="",N(J1099)=0),"",MIN(1,N(K1099)/J1099))</f>
        <v/>
      </c>
      <c r="M1099" s="5" t="n"/>
      <c r="N1099" s="5" t="n"/>
      <c r="O1099" s="5" t="n"/>
      <c r="P1099" s="5" t="n"/>
      <c r="Q1099" s="5" t="n"/>
      <c r="R1099" s="4" t="n"/>
      <c r="S1099" s="4" t="n"/>
      <c r="T1099" s="5" t="n"/>
      <c r="U1099" s="8">
        <f>IF(AND(V1099=1,D1099&lt;&gt;""),IF(D1099&gt;=corte,TODAY()-D1099,""),"")</f>
        <v/>
      </c>
      <c r="V1099" s="8">
        <f>IF(D1099="",0,IF(OR(AND(P1099&lt;&gt;"",S1099=""),AND(N(J1099)&gt;0,N(K1099)&lt;J1099),OR(M1099="PENDENTE",M1099="PARCIAL"),OR(N1099="PENDENTE",N1099="PARCIAL")),1,0))</f>
        <v/>
      </c>
      <c r="W1099" s="8">
        <f>IF(AND(V1099=1,D1099&lt;&gt;""),IF(D1099&gt;=corte,(B1099="CRÍTICO")*1E9+(100000-D1099)*10000+10000-ROW(),""),"")</f>
        <v/>
      </c>
      <c r="X1099" s="8">
        <f>IF(AND(V1099=1,D1099=pas_data,E1099=pas_turno),10000-ROW(),"")</f>
        <v/>
      </c>
    </row>
    <row r="1100">
      <c r="A1100" s="3">
        <f>IF(D1100="","","TT-"&amp;TEXT(ROW()-1,"00000"))</f>
        <v/>
      </c>
      <c r="B1100" s="3">
        <f>IF(D1100="","",IF(V1100=0,"CONCLUÍDO",IF(D1100&lt;corte,"HISTÓRICO",IF(OR(AND(ISNUMBER(R1100),R1100&lt;TODAY()),AND(OR(N1100="PENDENTE",N1100="PARCIAL"),D1100&lt;TODAY()-1)),"CRÍTICO",IF(OR(AND(P1100&lt;&gt;"",S1100=""),AND(N1100="REALIZADO",M1100="PENDENTE"),AND(ISNUMBER(R1100),R1100=TODAY())),"ATENÇÃO",IF(N(K1100)=0,"PENDENTE","EM ANDAMENTO"))))))</f>
        <v/>
      </c>
      <c r="C1100" s="3">
        <f>IF(D1100="","",IF(V1100=0,"🟢 OK",IF(D1100&lt;corte,"⚪ HISTÓRICO (sem baixa)",IF(AND(ISNUMBER(R1100),R1100&lt;TODAY()),"🔴 PRAZO VENCIDO",IF(AND(OR(N1100="PENDENTE",N1100="PARCIAL"),D1100&lt;TODAY()-1),"🔴 EMBARQUE ATRASADO",IF(AND(N1100="REALIZADO",M1100="PENDENTE"),"🟡 EMBARCADO SEM FATURAR",IF(AND(P1100&lt;&gt;"",S1100="",OR(Q1100="",R1100="")),"🟡 PENDÊNCIA SEM RESPONSÁVEL/PRAZO",IF(AND(ISNUMBER(R1100),R1100=TODAY()),"🟡 VENCE HOJE",IF(AND(P1100&lt;&gt;"",S1100=""),"🟡 PENDÊNCIA ABERTA",IF(AND(N(J1100)&gt;0,N(K1100)&lt;J1100),"🟡 FALTA EXECUTAR",IF(OR(M1100="PENDENTE",M1100="PARCIAL"),"🟡 FATURAMENTO PENDENTE","🟡 EMBARQUE PENDENTE")))))))))))</f>
        <v/>
      </c>
      <c r="D1100" s="4" t="n"/>
      <c r="E1100" s="5" t="n"/>
      <c r="F1100" s="5" t="n"/>
      <c r="G1100" s="5" t="n"/>
      <c r="H1100" s="5" t="n"/>
      <c r="I1100" s="5" t="n"/>
      <c r="J1100" s="6" t="n"/>
      <c r="K1100" s="6" t="n"/>
      <c r="L1100" s="7">
        <f>IF(OR(D1100="",N(J1100)=0),"",MIN(1,N(K1100)/J1100))</f>
        <v/>
      </c>
      <c r="M1100" s="5" t="n"/>
      <c r="N1100" s="5" t="n"/>
      <c r="O1100" s="5" t="n"/>
      <c r="P1100" s="5" t="n"/>
      <c r="Q1100" s="5" t="n"/>
      <c r="R1100" s="4" t="n"/>
      <c r="S1100" s="4" t="n"/>
      <c r="T1100" s="5" t="n"/>
      <c r="U1100" s="8">
        <f>IF(AND(V1100=1,D1100&lt;&gt;""),IF(D1100&gt;=corte,TODAY()-D1100,""),"")</f>
        <v/>
      </c>
      <c r="V1100" s="8">
        <f>IF(D1100="",0,IF(OR(AND(P1100&lt;&gt;"",S1100=""),AND(N(J1100)&gt;0,N(K1100)&lt;J1100),OR(M1100="PENDENTE",M1100="PARCIAL"),OR(N1100="PENDENTE",N1100="PARCIAL")),1,0))</f>
        <v/>
      </c>
      <c r="W1100" s="8">
        <f>IF(AND(V1100=1,D1100&lt;&gt;""),IF(D1100&gt;=corte,(B1100="CRÍTICO")*1E9+(100000-D1100)*10000+10000-ROW(),""),"")</f>
        <v/>
      </c>
      <c r="X1100" s="8">
        <f>IF(AND(V1100=1,D1100=pas_data,E1100=pas_turno),10000-ROW(),"")</f>
        <v/>
      </c>
    </row>
    <row r="1101">
      <c r="A1101" s="3">
        <f>IF(D1101="","","TT-"&amp;TEXT(ROW()-1,"00000"))</f>
        <v/>
      </c>
      <c r="B1101" s="3">
        <f>IF(D1101="","",IF(V1101=0,"CONCLUÍDO",IF(D1101&lt;corte,"HISTÓRICO",IF(OR(AND(ISNUMBER(R1101),R1101&lt;TODAY()),AND(OR(N1101="PENDENTE",N1101="PARCIAL"),D1101&lt;TODAY()-1)),"CRÍTICO",IF(OR(AND(P1101&lt;&gt;"",S1101=""),AND(N1101="REALIZADO",M1101="PENDENTE"),AND(ISNUMBER(R1101),R1101=TODAY())),"ATENÇÃO",IF(N(K1101)=0,"PENDENTE","EM ANDAMENTO"))))))</f>
        <v/>
      </c>
      <c r="C1101" s="3">
        <f>IF(D1101="","",IF(V1101=0,"🟢 OK",IF(D1101&lt;corte,"⚪ HISTÓRICO (sem baixa)",IF(AND(ISNUMBER(R1101),R1101&lt;TODAY()),"🔴 PRAZO VENCIDO",IF(AND(OR(N1101="PENDENTE",N1101="PARCIAL"),D1101&lt;TODAY()-1),"🔴 EMBARQUE ATRASADO",IF(AND(N1101="REALIZADO",M1101="PENDENTE"),"🟡 EMBARCADO SEM FATURAR",IF(AND(P1101&lt;&gt;"",S1101="",OR(Q1101="",R1101="")),"🟡 PENDÊNCIA SEM RESPONSÁVEL/PRAZO",IF(AND(ISNUMBER(R1101),R1101=TODAY()),"🟡 VENCE HOJE",IF(AND(P1101&lt;&gt;"",S1101=""),"🟡 PENDÊNCIA ABERTA",IF(AND(N(J1101)&gt;0,N(K1101)&lt;J1101),"🟡 FALTA EXECUTAR",IF(OR(M1101="PENDENTE",M1101="PARCIAL"),"🟡 FATURAMENTO PENDENTE","🟡 EMBARQUE PENDENTE")))))))))))</f>
        <v/>
      </c>
      <c r="D1101" s="4" t="n"/>
      <c r="E1101" s="5" t="n"/>
      <c r="F1101" s="5" t="n"/>
      <c r="G1101" s="5" t="n"/>
      <c r="H1101" s="5" t="n"/>
      <c r="I1101" s="5" t="n"/>
      <c r="J1101" s="6" t="n"/>
      <c r="K1101" s="6" t="n"/>
      <c r="L1101" s="7">
        <f>IF(OR(D1101="",N(J1101)=0),"",MIN(1,N(K1101)/J1101))</f>
        <v/>
      </c>
      <c r="M1101" s="5" t="n"/>
      <c r="N1101" s="5" t="n"/>
      <c r="O1101" s="5" t="n"/>
      <c r="P1101" s="5" t="n"/>
      <c r="Q1101" s="5" t="n"/>
      <c r="R1101" s="4" t="n"/>
      <c r="S1101" s="4" t="n"/>
      <c r="T1101" s="5" t="n"/>
      <c r="U1101" s="8">
        <f>IF(AND(V1101=1,D1101&lt;&gt;""),IF(D1101&gt;=corte,TODAY()-D1101,""),"")</f>
        <v/>
      </c>
      <c r="V1101" s="8">
        <f>IF(D1101="",0,IF(OR(AND(P1101&lt;&gt;"",S1101=""),AND(N(J1101)&gt;0,N(K1101)&lt;J1101),OR(M1101="PENDENTE",M1101="PARCIAL"),OR(N1101="PENDENTE",N1101="PARCIAL")),1,0))</f>
        <v/>
      </c>
      <c r="W1101" s="8">
        <f>IF(AND(V1101=1,D1101&lt;&gt;""),IF(D1101&gt;=corte,(B1101="CRÍTICO")*1E9+(100000-D1101)*10000+10000-ROW(),""),"")</f>
        <v/>
      </c>
      <c r="X1101" s="8">
        <f>IF(AND(V1101=1,D1101=pas_data,E1101=pas_turno),10000-ROW(),"")</f>
        <v/>
      </c>
    </row>
    <row r="1102">
      <c r="A1102" s="3">
        <f>IF(D1102="","","TT-"&amp;TEXT(ROW()-1,"00000"))</f>
        <v/>
      </c>
      <c r="B1102" s="3">
        <f>IF(D1102="","",IF(V1102=0,"CONCLUÍDO",IF(D1102&lt;corte,"HISTÓRICO",IF(OR(AND(ISNUMBER(R1102),R1102&lt;TODAY()),AND(OR(N1102="PENDENTE",N1102="PARCIAL"),D1102&lt;TODAY()-1)),"CRÍTICO",IF(OR(AND(P1102&lt;&gt;"",S1102=""),AND(N1102="REALIZADO",M1102="PENDENTE"),AND(ISNUMBER(R1102),R1102=TODAY())),"ATENÇÃO",IF(N(K1102)=0,"PENDENTE","EM ANDAMENTO"))))))</f>
        <v/>
      </c>
      <c r="C1102" s="3">
        <f>IF(D1102="","",IF(V1102=0,"🟢 OK",IF(D1102&lt;corte,"⚪ HISTÓRICO (sem baixa)",IF(AND(ISNUMBER(R1102),R1102&lt;TODAY()),"🔴 PRAZO VENCIDO",IF(AND(OR(N1102="PENDENTE",N1102="PARCIAL"),D1102&lt;TODAY()-1),"🔴 EMBARQUE ATRASADO",IF(AND(N1102="REALIZADO",M1102="PENDENTE"),"🟡 EMBARCADO SEM FATURAR",IF(AND(P1102&lt;&gt;"",S1102="",OR(Q1102="",R1102="")),"🟡 PENDÊNCIA SEM RESPONSÁVEL/PRAZO",IF(AND(ISNUMBER(R1102),R1102=TODAY()),"🟡 VENCE HOJE",IF(AND(P1102&lt;&gt;"",S1102=""),"🟡 PENDÊNCIA ABERTA",IF(AND(N(J1102)&gt;0,N(K1102)&lt;J1102),"🟡 FALTA EXECUTAR",IF(OR(M1102="PENDENTE",M1102="PARCIAL"),"🟡 FATURAMENTO PENDENTE","🟡 EMBARQUE PENDENTE")))))))))))</f>
        <v/>
      </c>
      <c r="D1102" s="4" t="n"/>
      <c r="E1102" s="5" t="n"/>
      <c r="F1102" s="5" t="n"/>
      <c r="G1102" s="5" t="n"/>
      <c r="H1102" s="5" t="n"/>
      <c r="I1102" s="5" t="n"/>
      <c r="J1102" s="6" t="n"/>
      <c r="K1102" s="6" t="n"/>
      <c r="L1102" s="7">
        <f>IF(OR(D1102="",N(J1102)=0),"",MIN(1,N(K1102)/J1102))</f>
        <v/>
      </c>
      <c r="M1102" s="5" t="n"/>
      <c r="N1102" s="5" t="n"/>
      <c r="O1102" s="5" t="n"/>
      <c r="P1102" s="5" t="n"/>
      <c r="Q1102" s="5" t="n"/>
      <c r="R1102" s="4" t="n"/>
      <c r="S1102" s="4" t="n"/>
      <c r="T1102" s="5" t="n"/>
      <c r="U1102" s="8">
        <f>IF(AND(V1102=1,D1102&lt;&gt;""),IF(D1102&gt;=corte,TODAY()-D1102,""),"")</f>
        <v/>
      </c>
      <c r="V1102" s="8">
        <f>IF(D1102="",0,IF(OR(AND(P1102&lt;&gt;"",S1102=""),AND(N(J1102)&gt;0,N(K1102)&lt;J1102),OR(M1102="PENDENTE",M1102="PARCIAL"),OR(N1102="PENDENTE",N1102="PARCIAL")),1,0))</f>
        <v/>
      </c>
      <c r="W1102" s="8">
        <f>IF(AND(V1102=1,D1102&lt;&gt;""),IF(D1102&gt;=corte,(B1102="CRÍTICO")*1E9+(100000-D1102)*10000+10000-ROW(),""),"")</f>
        <v/>
      </c>
      <c r="X1102" s="8">
        <f>IF(AND(V1102=1,D1102=pas_data,E1102=pas_turno),10000-ROW(),"")</f>
        <v/>
      </c>
    </row>
    <row r="1103">
      <c r="A1103" s="3">
        <f>IF(D1103="","","TT-"&amp;TEXT(ROW()-1,"00000"))</f>
        <v/>
      </c>
      <c r="B1103" s="3">
        <f>IF(D1103="","",IF(V1103=0,"CONCLUÍDO",IF(D1103&lt;corte,"HISTÓRICO",IF(OR(AND(ISNUMBER(R1103),R1103&lt;TODAY()),AND(OR(N1103="PENDENTE",N1103="PARCIAL"),D1103&lt;TODAY()-1)),"CRÍTICO",IF(OR(AND(P1103&lt;&gt;"",S1103=""),AND(N1103="REALIZADO",M1103="PENDENTE"),AND(ISNUMBER(R1103),R1103=TODAY())),"ATENÇÃO",IF(N(K1103)=0,"PENDENTE","EM ANDAMENTO"))))))</f>
        <v/>
      </c>
      <c r="C1103" s="3">
        <f>IF(D1103="","",IF(V1103=0,"🟢 OK",IF(D1103&lt;corte,"⚪ HISTÓRICO (sem baixa)",IF(AND(ISNUMBER(R1103),R1103&lt;TODAY()),"🔴 PRAZO VENCIDO",IF(AND(OR(N1103="PENDENTE",N1103="PARCIAL"),D1103&lt;TODAY()-1),"🔴 EMBARQUE ATRASADO",IF(AND(N1103="REALIZADO",M1103="PENDENTE"),"🟡 EMBARCADO SEM FATURAR",IF(AND(P1103&lt;&gt;"",S1103="",OR(Q1103="",R1103="")),"🟡 PENDÊNCIA SEM RESPONSÁVEL/PRAZO",IF(AND(ISNUMBER(R1103),R1103=TODAY()),"🟡 VENCE HOJE",IF(AND(P1103&lt;&gt;"",S1103=""),"🟡 PENDÊNCIA ABERTA",IF(AND(N(J1103)&gt;0,N(K1103)&lt;J1103),"🟡 FALTA EXECUTAR",IF(OR(M1103="PENDENTE",M1103="PARCIAL"),"🟡 FATURAMENTO PENDENTE","🟡 EMBARQUE PENDENTE")))))))))))</f>
        <v/>
      </c>
      <c r="D1103" s="4" t="n"/>
      <c r="E1103" s="5" t="n"/>
      <c r="F1103" s="5" t="n"/>
      <c r="G1103" s="5" t="n"/>
      <c r="H1103" s="5" t="n"/>
      <c r="I1103" s="5" t="n"/>
      <c r="J1103" s="6" t="n"/>
      <c r="K1103" s="6" t="n"/>
      <c r="L1103" s="7">
        <f>IF(OR(D1103="",N(J1103)=0),"",MIN(1,N(K1103)/J1103))</f>
        <v/>
      </c>
      <c r="M1103" s="5" t="n"/>
      <c r="N1103" s="5" t="n"/>
      <c r="O1103" s="5" t="n"/>
      <c r="P1103" s="5" t="n"/>
      <c r="Q1103" s="5" t="n"/>
      <c r="R1103" s="4" t="n"/>
      <c r="S1103" s="4" t="n"/>
      <c r="T1103" s="5" t="n"/>
      <c r="U1103" s="8">
        <f>IF(AND(V1103=1,D1103&lt;&gt;""),IF(D1103&gt;=corte,TODAY()-D1103,""),"")</f>
        <v/>
      </c>
      <c r="V1103" s="8">
        <f>IF(D1103="",0,IF(OR(AND(P1103&lt;&gt;"",S1103=""),AND(N(J1103)&gt;0,N(K1103)&lt;J1103),OR(M1103="PENDENTE",M1103="PARCIAL"),OR(N1103="PENDENTE",N1103="PARCIAL")),1,0))</f>
        <v/>
      </c>
      <c r="W1103" s="8">
        <f>IF(AND(V1103=1,D1103&lt;&gt;""),IF(D1103&gt;=corte,(B1103="CRÍTICO")*1E9+(100000-D1103)*10000+10000-ROW(),""),"")</f>
        <v/>
      </c>
      <c r="X1103" s="8">
        <f>IF(AND(V1103=1,D1103=pas_data,E1103=pas_turno),10000-ROW(),"")</f>
        <v/>
      </c>
    </row>
    <row r="1104">
      <c r="A1104" s="3">
        <f>IF(D1104="","","TT-"&amp;TEXT(ROW()-1,"00000"))</f>
        <v/>
      </c>
      <c r="B1104" s="3">
        <f>IF(D1104="","",IF(V1104=0,"CONCLUÍDO",IF(D1104&lt;corte,"HISTÓRICO",IF(OR(AND(ISNUMBER(R1104),R1104&lt;TODAY()),AND(OR(N1104="PENDENTE",N1104="PARCIAL"),D1104&lt;TODAY()-1)),"CRÍTICO",IF(OR(AND(P1104&lt;&gt;"",S1104=""),AND(N1104="REALIZADO",M1104="PENDENTE"),AND(ISNUMBER(R1104),R1104=TODAY())),"ATENÇÃO",IF(N(K1104)=0,"PENDENTE","EM ANDAMENTO"))))))</f>
        <v/>
      </c>
      <c r="C1104" s="3">
        <f>IF(D1104="","",IF(V1104=0,"🟢 OK",IF(D1104&lt;corte,"⚪ HISTÓRICO (sem baixa)",IF(AND(ISNUMBER(R1104),R1104&lt;TODAY()),"🔴 PRAZO VENCIDO",IF(AND(OR(N1104="PENDENTE",N1104="PARCIAL"),D1104&lt;TODAY()-1),"🔴 EMBARQUE ATRASADO",IF(AND(N1104="REALIZADO",M1104="PENDENTE"),"🟡 EMBARCADO SEM FATURAR",IF(AND(P1104&lt;&gt;"",S1104="",OR(Q1104="",R1104="")),"🟡 PENDÊNCIA SEM RESPONSÁVEL/PRAZO",IF(AND(ISNUMBER(R1104),R1104=TODAY()),"🟡 VENCE HOJE",IF(AND(P1104&lt;&gt;"",S1104=""),"🟡 PENDÊNCIA ABERTA",IF(AND(N(J1104)&gt;0,N(K1104)&lt;J1104),"🟡 FALTA EXECUTAR",IF(OR(M1104="PENDENTE",M1104="PARCIAL"),"🟡 FATURAMENTO PENDENTE","🟡 EMBARQUE PENDENTE")))))))))))</f>
        <v/>
      </c>
      <c r="D1104" s="4" t="n"/>
      <c r="E1104" s="5" t="n"/>
      <c r="F1104" s="5" t="n"/>
      <c r="G1104" s="5" t="n"/>
      <c r="H1104" s="5" t="n"/>
      <c r="I1104" s="5" t="n"/>
      <c r="J1104" s="6" t="n"/>
      <c r="K1104" s="6" t="n"/>
      <c r="L1104" s="7">
        <f>IF(OR(D1104="",N(J1104)=0),"",MIN(1,N(K1104)/J1104))</f>
        <v/>
      </c>
      <c r="M1104" s="5" t="n"/>
      <c r="N1104" s="5" t="n"/>
      <c r="O1104" s="5" t="n"/>
      <c r="P1104" s="5" t="n"/>
      <c r="Q1104" s="5" t="n"/>
      <c r="R1104" s="4" t="n"/>
      <c r="S1104" s="4" t="n"/>
      <c r="T1104" s="5" t="n"/>
      <c r="U1104" s="8">
        <f>IF(AND(V1104=1,D1104&lt;&gt;""),IF(D1104&gt;=corte,TODAY()-D1104,""),"")</f>
        <v/>
      </c>
      <c r="V1104" s="8">
        <f>IF(D1104="",0,IF(OR(AND(P1104&lt;&gt;"",S1104=""),AND(N(J1104)&gt;0,N(K1104)&lt;J1104),OR(M1104="PENDENTE",M1104="PARCIAL"),OR(N1104="PENDENTE",N1104="PARCIAL")),1,0))</f>
        <v/>
      </c>
      <c r="W1104" s="8">
        <f>IF(AND(V1104=1,D1104&lt;&gt;""),IF(D1104&gt;=corte,(B1104="CRÍTICO")*1E9+(100000-D1104)*10000+10000-ROW(),""),"")</f>
        <v/>
      </c>
      <c r="X1104" s="8">
        <f>IF(AND(V1104=1,D1104=pas_data,E1104=pas_turno),10000-ROW(),"")</f>
        <v/>
      </c>
    </row>
    <row r="1105">
      <c r="A1105" s="3">
        <f>IF(D1105="","","TT-"&amp;TEXT(ROW()-1,"00000"))</f>
        <v/>
      </c>
      <c r="B1105" s="3">
        <f>IF(D1105="","",IF(V1105=0,"CONCLUÍDO",IF(D1105&lt;corte,"HISTÓRICO",IF(OR(AND(ISNUMBER(R1105),R1105&lt;TODAY()),AND(OR(N1105="PENDENTE",N1105="PARCIAL"),D1105&lt;TODAY()-1)),"CRÍTICO",IF(OR(AND(P1105&lt;&gt;"",S1105=""),AND(N1105="REALIZADO",M1105="PENDENTE"),AND(ISNUMBER(R1105),R1105=TODAY())),"ATENÇÃO",IF(N(K1105)=0,"PENDENTE","EM ANDAMENTO"))))))</f>
        <v/>
      </c>
      <c r="C1105" s="3">
        <f>IF(D1105="","",IF(V1105=0,"🟢 OK",IF(D1105&lt;corte,"⚪ HISTÓRICO (sem baixa)",IF(AND(ISNUMBER(R1105),R1105&lt;TODAY()),"🔴 PRAZO VENCIDO",IF(AND(OR(N1105="PENDENTE",N1105="PARCIAL"),D1105&lt;TODAY()-1),"🔴 EMBARQUE ATRASADO",IF(AND(N1105="REALIZADO",M1105="PENDENTE"),"🟡 EMBARCADO SEM FATURAR",IF(AND(P1105&lt;&gt;"",S1105="",OR(Q1105="",R1105="")),"🟡 PENDÊNCIA SEM RESPONSÁVEL/PRAZO",IF(AND(ISNUMBER(R1105),R1105=TODAY()),"🟡 VENCE HOJE",IF(AND(P1105&lt;&gt;"",S1105=""),"🟡 PENDÊNCIA ABERTA",IF(AND(N(J1105)&gt;0,N(K1105)&lt;J1105),"🟡 FALTA EXECUTAR",IF(OR(M1105="PENDENTE",M1105="PARCIAL"),"🟡 FATURAMENTO PENDENTE","🟡 EMBARQUE PENDENTE")))))))))))</f>
        <v/>
      </c>
      <c r="D1105" s="4" t="n"/>
      <c r="E1105" s="5" t="n"/>
      <c r="F1105" s="5" t="n"/>
      <c r="G1105" s="5" t="n"/>
      <c r="H1105" s="5" t="n"/>
      <c r="I1105" s="5" t="n"/>
      <c r="J1105" s="6" t="n"/>
      <c r="K1105" s="6" t="n"/>
      <c r="L1105" s="7">
        <f>IF(OR(D1105="",N(J1105)=0),"",MIN(1,N(K1105)/J1105))</f>
        <v/>
      </c>
      <c r="M1105" s="5" t="n"/>
      <c r="N1105" s="5" t="n"/>
      <c r="O1105" s="5" t="n"/>
      <c r="P1105" s="5" t="n"/>
      <c r="Q1105" s="5" t="n"/>
      <c r="R1105" s="4" t="n"/>
      <c r="S1105" s="4" t="n"/>
      <c r="T1105" s="5" t="n"/>
      <c r="U1105" s="8">
        <f>IF(AND(V1105=1,D1105&lt;&gt;""),IF(D1105&gt;=corte,TODAY()-D1105,""),"")</f>
        <v/>
      </c>
      <c r="V1105" s="8">
        <f>IF(D1105="",0,IF(OR(AND(P1105&lt;&gt;"",S1105=""),AND(N(J1105)&gt;0,N(K1105)&lt;J1105),OR(M1105="PENDENTE",M1105="PARCIAL"),OR(N1105="PENDENTE",N1105="PARCIAL")),1,0))</f>
        <v/>
      </c>
      <c r="W1105" s="8">
        <f>IF(AND(V1105=1,D1105&lt;&gt;""),IF(D1105&gt;=corte,(B1105="CRÍTICO")*1E9+(100000-D1105)*10000+10000-ROW(),""),"")</f>
        <v/>
      </c>
      <c r="X1105" s="8">
        <f>IF(AND(V1105=1,D1105=pas_data,E1105=pas_turno),10000-ROW(),"")</f>
        <v/>
      </c>
    </row>
    <row r="1106">
      <c r="A1106" s="3">
        <f>IF(D1106="","","TT-"&amp;TEXT(ROW()-1,"00000"))</f>
        <v/>
      </c>
      <c r="B1106" s="3">
        <f>IF(D1106="","",IF(V1106=0,"CONCLUÍDO",IF(D1106&lt;corte,"HISTÓRICO",IF(OR(AND(ISNUMBER(R1106),R1106&lt;TODAY()),AND(OR(N1106="PENDENTE",N1106="PARCIAL"),D1106&lt;TODAY()-1)),"CRÍTICO",IF(OR(AND(P1106&lt;&gt;"",S1106=""),AND(N1106="REALIZADO",M1106="PENDENTE"),AND(ISNUMBER(R1106),R1106=TODAY())),"ATENÇÃO",IF(N(K1106)=0,"PENDENTE","EM ANDAMENTO"))))))</f>
        <v/>
      </c>
      <c r="C1106" s="3">
        <f>IF(D1106="","",IF(V1106=0,"🟢 OK",IF(D1106&lt;corte,"⚪ HISTÓRICO (sem baixa)",IF(AND(ISNUMBER(R1106),R1106&lt;TODAY()),"🔴 PRAZO VENCIDO",IF(AND(OR(N1106="PENDENTE",N1106="PARCIAL"),D1106&lt;TODAY()-1),"🔴 EMBARQUE ATRASADO",IF(AND(N1106="REALIZADO",M1106="PENDENTE"),"🟡 EMBARCADO SEM FATURAR",IF(AND(P1106&lt;&gt;"",S1106="",OR(Q1106="",R1106="")),"🟡 PENDÊNCIA SEM RESPONSÁVEL/PRAZO",IF(AND(ISNUMBER(R1106),R1106=TODAY()),"🟡 VENCE HOJE",IF(AND(P1106&lt;&gt;"",S1106=""),"🟡 PENDÊNCIA ABERTA",IF(AND(N(J1106)&gt;0,N(K1106)&lt;J1106),"🟡 FALTA EXECUTAR",IF(OR(M1106="PENDENTE",M1106="PARCIAL"),"🟡 FATURAMENTO PENDENTE","🟡 EMBARQUE PENDENTE")))))))))))</f>
        <v/>
      </c>
      <c r="D1106" s="4" t="n"/>
      <c r="E1106" s="5" t="n"/>
      <c r="F1106" s="5" t="n"/>
      <c r="G1106" s="5" t="n"/>
      <c r="H1106" s="5" t="n"/>
      <c r="I1106" s="5" t="n"/>
      <c r="J1106" s="6" t="n"/>
      <c r="K1106" s="6" t="n"/>
      <c r="L1106" s="7">
        <f>IF(OR(D1106="",N(J1106)=0),"",MIN(1,N(K1106)/J1106))</f>
        <v/>
      </c>
      <c r="M1106" s="5" t="n"/>
      <c r="N1106" s="5" t="n"/>
      <c r="O1106" s="5" t="n"/>
      <c r="P1106" s="5" t="n"/>
      <c r="Q1106" s="5" t="n"/>
      <c r="R1106" s="4" t="n"/>
      <c r="S1106" s="4" t="n"/>
      <c r="T1106" s="5" t="n"/>
      <c r="U1106" s="8">
        <f>IF(AND(V1106=1,D1106&lt;&gt;""),IF(D1106&gt;=corte,TODAY()-D1106,""),"")</f>
        <v/>
      </c>
      <c r="V1106" s="8">
        <f>IF(D1106="",0,IF(OR(AND(P1106&lt;&gt;"",S1106=""),AND(N(J1106)&gt;0,N(K1106)&lt;J1106),OR(M1106="PENDENTE",M1106="PARCIAL"),OR(N1106="PENDENTE",N1106="PARCIAL")),1,0))</f>
        <v/>
      </c>
      <c r="W1106" s="8">
        <f>IF(AND(V1106=1,D1106&lt;&gt;""),IF(D1106&gt;=corte,(B1106="CRÍTICO")*1E9+(100000-D1106)*10000+10000-ROW(),""),"")</f>
        <v/>
      </c>
      <c r="X1106" s="8">
        <f>IF(AND(V1106=1,D1106=pas_data,E1106=pas_turno),10000-ROW(),"")</f>
        <v/>
      </c>
    </row>
    <row r="1107">
      <c r="A1107" s="3">
        <f>IF(D1107="","","TT-"&amp;TEXT(ROW()-1,"00000"))</f>
        <v/>
      </c>
      <c r="B1107" s="3">
        <f>IF(D1107="","",IF(V1107=0,"CONCLUÍDO",IF(D1107&lt;corte,"HISTÓRICO",IF(OR(AND(ISNUMBER(R1107),R1107&lt;TODAY()),AND(OR(N1107="PENDENTE",N1107="PARCIAL"),D1107&lt;TODAY()-1)),"CRÍTICO",IF(OR(AND(P1107&lt;&gt;"",S1107=""),AND(N1107="REALIZADO",M1107="PENDENTE"),AND(ISNUMBER(R1107),R1107=TODAY())),"ATENÇÃO",IF(N(K1107)=0,"PENDENTE","EM ANDAMENTO"))))))</f>
        <v/>
      </c>
      <c r="C1107" s="3">
        <f>IF(D1107="","",IF(V1107=0,"🟢 OK",IF(D1107&lt;corte,"⚪ HISTÓRICO (sem baixa)",IF(AND(ISNUMBER(R1107),R1107&lt;TODAY()),"🔴 PRAZO VENCIDO",IF(AND(OR(N1107="PENDENTE",N1107="PARCIAL"),D1107&lt;TODAY()-1),"🔴 EMBARQUE ATRASADO",IF(AND(N1107="REALIZADO",M1107="PENDENTE"),"🟡 EMBARCADO SEM FATURAR",IF(AND(P1107&lt;&gt;"",S1107="",OR(Q1107="",R1107="")),"🟡 PENDÊNCIA SEM RESPONSÁVEL/PRAZO",IF(AND(ISNUMBER(R1107),R1107=TODAY()),"🟡 VENCE HOJE",IF(AND(P1107&lt;&gt;"",S1107=""),"🟡 PENDÊNCIA ABERTA",IF(AND(N(J1107)&gt;0,N(K1107)&lt;J1107),"🟡 FALTA EXECUTAR",IF(OR(M1107="PENDENTE",M1107="PARCIAL"),"🟡 FATURAMENTO PENDENTE","🟡 EMBARQUE PENDENTE")))))))))))</f>
        <v/>
      </c>
      <c r="D1107" s="4" t="n"/>
      <c r="E1107" s="5" t="n"/>
      <c r="F1107" s="5" t="n"/>
      <c r="G1107" s="5" t="n"/>
      <c r="H1107" s="5" t="n"/>
      <c r="I1107" s="5" t="n"/>
      <c r="J1107" s="6" t="n"/>
      <c r="K1107" s="6" t="n"/>
      <c r="L1107" s="7">
        <f>IF(OR(D1107="",N(J1107)=0),"",MIN(1,N(K1107)/J1107))</f>
        <v/>
      </c>
      <c r="M1107" s="5" t="n"/>
      <c r="N1107" s="5" t="n"/>
      <c r="O1107" s="5" t="n"/>
      <c r="P1107" s="5" t="n"/>
      <c r="Q1107" s="5" t="n"/>
      <c r="R1107" s="4" t="n"/>
      <c r="S1107" s="4" t="n"/>
      <c r="T1107" s="5" t="n"/>
      <c r="U1107" s="8">
        <f>IF(AND(V1107=1,D1107&lt;&gt;""),IF(D1107&gt;=corte,TODAY()-D1107,""),"")</f>
        <v/>
      </c>
      <c r="V1107" s="8">
        <f>IF(D1107="",0,IF(OR(AND(P1107&lt;&gt;"",S1107=""),AND(N(J1107)&gt;0,N(K1107)&lt;J1107),OR(M1107="PENDENTE",M1107="PARCIAL"),OR(N1107="PENDENTE",N1107="PARCIAL")),1,0))</f>
        <v/>
      </c>
      <c r="W1107" s="8">
        <f>IF(AND(V1107=1,D1107&lt;&gt;""),IF(D1107&gt;=corte,(B1107="CRÍTICO")*1E9+(100000-D1107)*10000+10000-ROW(),""),"")</f>
        <v/>
      </c>
      <c r="X1107" s="8">
        <f>IF(AND(V1107=1,D1107=pas_data,E1107=pas_turno),10000-ROW(),"")</f>
        <v/>
      </c>
    </row>
    <row r="1108">
      <c r="A1108" s="3">
        <f>IF(D1108="","","TT-"&amp;TEXT(ROW()-1,"00000"))</f>
        <v/>
      </c>
      <c r="B1108" s="3">
        <f>IF(D1108="","",IF(V1108=0,"CONCLUÍDO",IF(D1108&lt;corte,"HISTÓRICO",IF(OR(AND(ISNUMBER(R1108),R1108&lt;TODAY()),AND(OR(N1108="PENDENTE",N1108="PARCIAL"),D1108&lt;TODAY()-1)),"CRÍTICO",IF(OR(AND(P1108&lt;&gt;"",S1108=""),AND(N1108="REALIZADO",M1108="PENDENTE"),AND(ISNUMBER(R1108),R1108=TODAY())),"ATENÇÃO",IF(N(K1108)=0,"PENDENTE","EM ANDAMENTO"))))))</f>
        <v/>
      </c>
      <c r="C1108" s="3">
        <f>IF(D1108="","",IF(V1108=0,"🟢 OK",IF(D1108&lt;corte,"⚪ HISTÓRICO (sem baixa)",IF(AND(ISNUMBER(R1108),R1108&lt;TODAY()),"🔴 PRAZO VENCIDO",IF(AND(OR(N1108="PENDENTE",N1108="PARCIAL"),D1108&lt;TODAY()-1),"🔴 EMBARQUE ATRASADO",IF(AND(N1108="REALIZADO",M1108="PENDENTE"),"🟡 EMBARCADO SEM FATURAR",IF(AND(P1108&lt;&gt;"",S1108="",OR(Q1108="",R1108="")),"🟡 PENDÊNCIA SEM RESPONSÁVEL/PRAZO",IF(AND(ISNUMBER(R1108),R1108=TODAY()),"🟡 VENCE HOJE",IF(AND(P1108&lt;&gt;"",S1108=""),"🟡 PENDÊNCIA ABERTA",IF(AND(N(J1108)&gt;0,N(K1108)&lt;J1108),"🟡 FALTA EXECUTAR",IF(OR(M1108="PENDENTE",M1108="PARCIAL"),"🟡 FATURAMENTO PENDENTE","🟡 EMBARQUE PENDENTE")))))))))))</f>
        <v/>
      </c>
      <c r="D1108" s="4" t="n"/>
      <c r="E1108" s="5" t="n"/>
      <c r="F1108" s="5" t="n"/>
      <c r="G1108" s="5" t="n"/>
      <c r="H1108" s="5" t="n"/>
      <c r="I1108" s="5" t="n"/>
      <c r="J1108" s="6" t="n"/>
      <c r="K1108" s="6" t="n"/>
      <c r="L1108" s="7">
        <f>IF(OR(D1108="",N(J1108)=0),"",MIN(1,N(K1108)/J1108))</f>
        <v/>
      </c>
      <c r="M1108" s="5" t="n"/>
      <c r="N1108" s="5" t="n"/>
      <c r="O1108" s="5" t="n"/>
      <c r="P1108" s="5" t="n"/>
      <c r="Q1108" s="5" t="n"/>
      <c r="R1108" s="4" t="n"/>
      <c r="S1108" s="4" t="n"/>
      <c r="T1108" s="5" t="n"/>
      <c r="U1108" s="8">
        <f>IF(AND(V1108=1,D1108&lt;&gt;""),IF(D1108&gt;=corte,TODAY()-D1108,""),"")</f>
        <v/>
      </c>
      <c r="V1108" s="8">
        <f>IF(D1108="",0,IF(OR(AND(P1108&lt;&gt;"",S1108=""),AND(N(J1108)&gt;0,N(K1108)&lt;J1108),OR(M1108="PENDENTE",M1108="PARCIAL"),OR(N1108="PENDENTE",N1108="PARCIAL")),1,0))</f>
        <v/>
      </c>
      <c r="W1108" s="8">
        <f>IF(AND(V1108=1,D1108&lt;&gt;""),IF(D1108&gt;=corte,(B1108="CRÍTICO")*1E9+(100000-D1108)*10000+10000-ROW(),""),"")</f>
        <v/>
      </c>
      <c r="X1108" s="8">
        <f>IF(AND(V1108=1,D1108=pas_data,E1108=pas_turno),10000-ROW(),"")</f>
        <v/>
      </c>
    </row>
    <row r="1109">
      <c r="A1109" s="3">
        <f>IF(D1109="","","TT-"&amp;TEXT(ROW()-1,"00000"))</f>
        <v/>
      </c>
      <c r="B1109" s="3">
        <f>IF(D1109="","",IF(V1109=0,"CONCLUÍDO",IF(D1109&lt;corte,"HISTÓRICO",IF(OR(AND(ISNUMBER(R1109),R1109&lt;TODAY()),AND(OR(N1109="PENDENTE",N1109="PARCIAL"),D1109&lt;TODAY()-1)),"CRÍTICO",IF(OR(AND(P1109&lt;&gt;"",S1109=""),AND(N1109="REALIZADO",M1109="PENDENTE"),AND(ISNUMBER(R1109),R1109=TODAY())),"ATENÇÃO",IF(N(K1109)=0,"PENDENTE","EM ANDAMENTO"))))))</f>
        <v/>
      </c>
      <c r="C1109" s="3">
        <f>IF(D1109="","",IF(V1109=0,"🟢 OK",IF(D1109&lt;corte,"⚪ HISTÓRICO (sem baixa)",IF(AND(ISNUMBER(R1109),R1109&lt;TODAY()),"🔴 PRAZO VENCIDO",IF(AND(OR(N1109="PENDENTE",N1109="PARCIAL"),D1109&lt;TODAY()-1),"🔴 EMBARQUE ATRASADO",IF(AND(N1109="REALIZADO",M1109="PENDENTE"),"🟡 EMBARCADO SEM FATURAR",IF(AND(P1109&lt;&gt;"",S1109="",OR(Q1109="",R1109="")),"🟡 PENDÊNCIA SEM RESPONSÁVEL/PRAZO",IF(AND(ISNUMBER(R1109),R1109=TODAY()),"🟡 VENCE HOJE",IF(AND(P1109&lt;&gt;"",S1109=""),"🟡 PENDÊNCIA ABERTA",IF(AND(N(J1109)&gt;0,N(K1109)&lt;J1109),"🟡 FALTA EXECUTAR",IF(OR(M1109="PENDENTE",M1109="PARCIAL"),"🟡 FATURAMENTO PENDENTE","🟡 EMBARQUE PENDENTE")))))))))))</f>
        <v/>
      </c>
      <c r="D1109" s="4" t="n"/>
      <c r="E1109" s="5" t="n"/>
      <c r="F1109" s="5" t="n"/>
      <c r="G1109" s="5" t="n"/>
      <c r="H1109" s="5" t="n"/>
      <c r="I1109" s="5" t="n"/>
      <c r="J1109" s="6" t="n"/>
      <c r="K1109" s="6" t="n"/>
      <c r="L1109" s="7">
        <f>IF(OR(D1109="",N(J1109)=0),"",MIN(1,N(K1109)/J1109))</f>
        <v/>
      </c>
      <c r="M1109" s="5" t="n"/>
      <c r="N1109" s="5" t="n"/>
      <c r="O1109" s="5" t="n"/>
      <c r="P1109" s="5" t="n"/>
      <c r="Q1109" s="5" t="n"/>
      <c r="R1109" s="4" t="n"/>
      <c r="S1109" s="4" t="n"/>
      <c r="T1109" s="5" t="n"/>
      <c r="U1109" s="8">
        <f>IF(AND(V1109=1,D1109&lt;&gt;""),IF(D1109&gt;=corte,TODAY()-D1109,""),"")</f>
        <v/>
      </c>
      <c r="V1109" s="8">
        <f>IF(D1109="",0,IF(OR(AND(P1109&lt;&gt;"",S1109=""),AND(N(J1109)&gt;0,N(K1109)&lt;J1109),OR(M1109="PENDENTE",M1109="PARCIAL"),OR(N1109="PENDENTE",N1109="PARCIAL")),1,0))</f>
        <v/>
      </c>
      <c r="W1109" s="8">
        <f>IF(AND(V1109=1,D1109&lt;&gt;""),IF(D1109&gt;=corte,(B1109="CRÍTICO")*1E9+(100000-D1109)*10000+10000-ROW(),""),"")</f>
        <v/>
      </c>
      <c r="X1109" s="8">
        <f>IF(AND(V1109=1,D1109=pas_data,E1109=pas_turno),10000-ROW(),"")</f>
        <v/>
      </c>
    </row>
    <row r="1110">
      <c r="A1110" s="3">
        <f>IF(D1110="","","TT-"&amp;TEXT(ROW()-1,"00000"))</f>
        <v/>
      </c>
      <c r="B1110" s="3">
        <f>IF(D1110="","",IF(V1110=0,"CONCLUÍDO",IF(D1110&lt;corte,"HISTÓRICO",IF(OR(AND(ISNUMBER(R1110),R1110&lt;TODAY()),AND(OR(N1110="PENDENTE",N1110="PARCIAL"),D1110&lt;TODAY()-1)),"CRÍTICO",IF(OR(AND(P1110&lt;&gt;"",S1110=""),AND(N1110="REALIZADO",M1110="PENDENTE"),AND(ISNUMBER(R1110),R1110=TODAY())),"ATENÇÃO",IF(N(K1110)=0,"PENDENTE","EM ANDAMENTO"))))))</f>
        <v/>
      </c>
      <c r="C1110" s="3">
        <f>IF(D1110="","",IF(V1110=0,"🟢 OK",IF(D1110&lt;corte,"⚪ HISTÓRICO (sem baixa)",IF(AND(ISNUMBER(R1110),R1110&lt;TODAY()),"🔴 PRAZO VENCIDO",IF(AND(OR(N1110="PENDENTE",N1110="PARCIAL"),D1110&lt;TODAY()-1),"🔴 EMBARQUE ATRASADO",IF(AND(N1110="REALIZADO",M1110="PENDENTE"),"🟡 EMBARCADO SEM FATURAR",IF(AND(P1110&lt;&gt;"",S1110="",OR(Q1110="",R1110="")),"🟡 PENDÊNCIA SEM RESPONSÁVEL/PRAZO",IF(AND(ISNUMBER(R1110),R1110=TODAY()),"🟡 VENCE HOJE",IF(AND(P1110&lt;&gt;"",S1110=""),"🟡 PENDÊNCIA ABERTA",IF(AND(N(J1110)&gt;0,N(K1110)&lt;J1110),"🟡 FALTA EXECUTAR",IF(OR(M1110="PENDENTE",M1110="PARCIAL"),"🟡 FATURAMENTO PENDENTE","🟡 EMBARQUE PENDENTE")))))))))))</f>
        <v/>
      </c>
      <c r="D1110" s="4" t="n"/>
      <c r="E1110" s="5" t="n"/>
      <c r="F1110" s="5" t="n"/>
      <c r="G1110" s="5" t="n"/>
      <c r="H1110" s="5" t="n"/>
      <c r="I1110" s="5" t="n"/>
      <c r="J1110" s="6" t="n"/>
      <c r="K1110" s="6" t="n"/>
      <c r="L1110" s="7">
        <f>IF(OR(D1110="",N(J1110)=0),"",MIN(1,N(K1110)/J1110))</f>
        <v/>
      </c>
      <c r="M1110" s="5" t="n"/>
      <c r="N1110" s="5" t="n"/>
      <c r="O1110" s="5" t="n"/>
      <c r="P1110" s="5" t="n"/>
      <c r="Q1110" s="5" t="n"/>
      <c r="R1110" s="4" t="n"/>
      <c r="S1110" s="4" t="n"/>
      <c r="T1110" s="5" t="n"/>
      <c r="U1110" s="8">
        <f>IF(AND(V1110=1,D1110&lt;&gt;""),IF(D1110&gt;=corte,TODAY()-D1110,""),"")</f>
        <v/>
      </c>
      <c r="V1110" s="8">
        <f>IF(D1110="",0,IF(OR(AND(P1110&lt;&gt;"",S1110=""),AND(N(J1110)&gt;0,N(K1110)&lt;J1110),OR(M1110="PENDENTE",M1110="PARCIAL"),OR(N1110="PENDENTE",N1110="PARCIAL")),1,0))</f>
        <v/>
      </c>
      <c r="W1110" s="8">
        <f>IF(AND(V1110=1,D1110&lt;&gt;""),IF(D1110&gt;=corte,(B1110="CRÍTICO")*1E9+(100000-D1110)*10000+10000-ROW(),""),"")</f>
        <v/>
      </c>
      <c r="X1110" s="8">
        <f>IF(AND(V1110=1,D1110=pas_data,E1110=pas_turno),10000-ROW(),"")</f>
        <v/>
      </c>
    </row>
    <row r="1111">
      <c r="A1111" s="3">
        <f>IF(D1111="","","TT-"&amp;TEXT(ROW()-1,"00000"))</f>
        <v/>
      </c>
      <c r="B1111" s="3">
        <f>IF(D1111="","",IF(V1111=0,"CONCLUÍDO",IF(D1111&lt;corte,"HISTÓRICO",IF(OR(AND(ISNUMBER(R1111),R1111&lt;TODAY()),AND(OR(N1111="PENDENTE",N1111="PARCIAL"),D1111&lt;TODAY()-1)),"CRÍTICO",IF(OR(AND(P1111&lt;&gt;"",S1111=""),AND(N1111="REALIZADO",M1111="PENDENTE"),AND(ISNUMBER(R1111),R1111=TODAY())),"ATENÇÃO",IF(N(K1111)=0,"PENDENTE","EM ANDAMENTO"))))))</f>
        <v/>
      </c>
      <c r="C1111" s="3">
        <f>IF(D1111="","",IF(V1111=0,"🟢 OK",IF(D1111&lt;corte,"⚪ HISTÓRICO (sem baixa)",IF(AND(ISNUMBER(R1111),R1111&lt;TODAY()),"🔴 PRAZO VENCIDO",IF(AND(OR(N1111="PENDENTE",N1111="PARCIAL"),D1111&lt;TODAY()-1),"🔴 EMBARQUE ATRASADO",IF(AND(N1111="REALIZADO",M1111="PENDENTE"),"🟡 EMBARCADO SEM FATURAR",IF(AND(P1111&lt;&gt;"",S1111="",OR(Q1111="",R1111="")),"🟡 PENDÊNCIA SEM RESPONSÁVEL/PRAZO",IF(AND(ISNUMBER(R1111),R1111=TODAY()),"🟡 VENCE HOJE",IF(AND(P1111&lt;&gt;"",S1111=""),"🟡 PENDÊNCIA ABERTA",IF(AND(N(J1111)&gt;0,N(K1111)&lt;J1111),"🟡 FALTA EXECUTAR",IF(OR(M1111="PENDENTE",M1111="PARCIAL"),"🟡 FATURAMENTO PENDENTE","🟡 EMBARQUE PENDENTE")))))))))))</f>
        <v/>
      </c>
      <c r="D1111" s="4" t="n"/>
      <c r="E1111" s="5" t="n"/>
      <c r="F1111" s="5" t="n"/>
      <c r="G1111" s="5" t="n"/>
      <c r="H1111" s="5" t="n"/>
      <c r="I1111" s="5" t="n"/>
      <c r="J1111" s="6" t="n"/>
      <c r="K1111" s="6" t="n"/>
      <c r="L1111" s="7">
        <f>IF(OR(D1111="",N(J1111)=0),"",MIN(1,N(K1111)/J1111))</f>
        <v/>
      </c>
      <c r="M1111" s="5" t="n"/>
      <c r="N1111" s="5" t="n"/>
      <c r="O1111" s="5" t="n"/>
      <c r="P1111" s="5" t="n"/>
      <c r="Q1111" s="5" t="n"/>
      <c r="R1111" s="4" t="n"/>
      <c r="S1111" s="4" t="n"/>
      <c r="T1111" s="5" t="n"/>
      <c r="U1111" s="8">
        <f>IF(AND(V1111=1,D1111&lt;&gt;""),IF(D1111&gt;=corte,TODAY()-D1111,""),"")</f>
        <v/>
      </c>
      <c r="V1111" s="8">
        <f>IF(D1111="",0,IF(OR(AND(P1111&lt;&gt;"",S1111=""),AND(N(J1111)&gt;0,N(K1111)&lt;J1111),OR(M1111="PENDENTE",M1111="PARCIAL"),OR(N1111="PENDENTE",N1111="PARCIAL")),1,0))</f>
        <v/>
      </c>
      <c r="W1111" s="8">
        <f>IF(AND(V1111=1,D1111&lt;&gt;""),IF(D1111&gt;=corte,(B1111="CRÍTICO")*1E9+(100000-D1111)*10000+10000-ROW(),""),"")</f>
        <v/>
      </c>
      <c r="X1111" s="8">
        <f>IF(AND(V1111=1,D1111=pas_data,E1111=pas_turno),10000-ROW(),"")</f>
        <v/>
      </c>
    </row>
    <row r="1112">
      <c r="A1112" s="3">
        <f>IF(D1112="","","TT-"&amp;TEXT(ROW()-1,"00000"))</f>
        <v/>
      </c>
      <c r="B1112" s="3">
        <f>IF(D1112="","",IF(V1112=0,"CONCLUÍDO",IF(D1112&lt;corte,"HISTÓRICO",IF(OR(AND(ISNUMBER(R1112),R1112&lt;TODAY()),AND(OR(N1112="PENDENTE",N1112="PARCIAL"),D1112&lt;TODAY()-1)),"CRÍTICO",IF(OR(AND(P1112&lt;&gt;"",S1112=""),AND(N1112="REALIZADO",M1112="PENDENTE"),AND(ISNUMBER(R1112),R1112=TODAY())),"ATENÇÃO",IF(N(K1112)=0,"PENDENTE","EM ANDAMENTO"))))))</f>
        <v/>
      </c>
      <c r="C1112" s="3">
        <f>IF(D1112="","",IF(V1112=0,"🟢 OK",IF(D1112&lt;corte,"⚪ HISTÓRICO (sem baixa)",IF(AND(ISNUMBER(R1112),R1112&lt;TODAY()),"🔴 PRAZO VENCIDO",IF(AND(OR(N1112="PENDENTE",N1112="PARCIAL"),D1112&lt;TODAY()-1),"🔴 EMBARQUE ATRASADO",IF(AND(N1112="REALIZADO",M1112="PENDENTE"),"🟡 EMBARCADO SEM FATURAR",IF(AND(P1112&lt;&gt;"",S1112="",OR(Q1112="",R1112="")),"🟡 PENDÊNCIA SEM RESPONSÁVEL/PRAZO",IF(AND(ISNUMBER(R1112),R1112=TODAY()),"🟡 VENCE HOJE",IF(AND(P1112&lt;&gt;"",S1112=""),"🟡 PENDÊNCIA ABERTA",IF(AND(N(J1112)&gt;0,N(K1112)&lt;J1112),"🟡 FALTA EXECUTAR",IF(OR(M1112="PENDENTE",M1112="PARCIAL"),"🟡 FATURAMENTO PENDENTE","🟡 EMBARQUE PENDENTE")))))))))))</f>
        <v/>
      </c>
      <c r="D1112" s="4" t="n"/>
      <c r="E1112" s="5" t="n"/>
      <c r="F1112" s="5" t="n"/>
      <c r="G1112" s="5" t="n"/>
      <c r="H1112" s="5" t="n"/>
      <c r="I1112" s="5" t="n"/>
      <c r="J1112" s="6" t="n"/>
      <c r="K1112" s="6" t="n"/>
      <c r="L1112" s="7">
        <f>IF(OR(D1112="",N(J1112)=0),"",MIN(1,N(K1112)/J1112))</f>
        <v/>
      </c>
      <c r="M1112" s="5" t="n"/>
      <c r="N1112" s="5" t="n"/>
      <c r="O1112" s="5" t="n"/>
      <c r="P1112" s="5" t="n"/>
      <c r="Q1112" s="5" t="n"/>
      <c r="R1112" s="4" t="n"/>
      <c r="S1112" s="4" t="n"/>
      <c r="T1112" s="5" t="n"/>
      <c r="U1112" s="8">
        <f>IF(AND(V1112=1,D1112&lt;&gt;""),IF(D1112&gt;=corte,TODAY()-D1112,""),"")</f>
        <v/>
      </c>
      <c r="V1112" s="8">
        <f>IF(D1112="",0,IF(OR(AND(P1112&lt;&gt;"",S1112=""),AND(N(J1112)&gt;0,N(K1112)&lt;J1112),OR(M1112="PENDENTE",M1112="PARCIAL"),OR(N1112="PENDENTE",N1112="PARCIAL")),1,0))</f>
        <v/>
      </c>
      <c r="W1112" s="8">
        <f>IF(AND(V1112=1,D1112&lt;&gt;""),IF(D1112&gt;=corte,(B1112="CRÍTICO")*1E9+(100000-D1112)*10000+10000-ROW(),""),"")</f>
        <v/>
      </c>
      <c r="X1112" s="8">
        <f>IF(AND(V1112=1,D1112=pas_data,E1112=pas_turno),10000-ROW(),"")</f>
        <v/>
      </c>
    </row>
    <row r="1113">
      <c r="A1113" s="3">
        <f>IF(D1113="","","TT-"&amp;TEXT(ROW()-1,"00000"))</f>
        <v/>
      </c>
      <c r="B1113" s="3">
        <f>IF(D1113="","",IF(V1113=0,"CONCLUÍDO",IF(D1113&lt;corte,"HISTÓRICO",IF(OR(AND(ISNUMBER(R1113),R1113&lt;TODAY()),AND(OR(N1113="PENDENTE",N1113="PARCIAL"),D1113&lt;TODAY()-1)),"CRÍTICO",IF(OR(AND(P1113&lt;&gt;"",S1113=""),AND(N1113="REALIZADO",M1113="PENDENTE"),AND(ISNUMBER(R1113),R1113=TODAY())),"ATENÇÃO",IF(N(K1113)=0,"PENDENTE","EM ANDAMENTO"))))))</f>
        <v/>
      </c>
      <c r="C1113" s="3">
        <f>IF(D1113="","",IF(V1113=0,"🟢 OK",IF(D1113&lt;corte,"⚪ HISTÓRICO (sem baixa)",IF(AND(ISNUMBER(R1113),R1113&lt;TODAY()),"🔴 PRAZO VENCIDO",IF(AND(OR(N1113="PENDENTE",N1113="PARCIAL"),D1113&lt;TODAY()-1),"🔴 EMBARQUE ATRASADO",IF(AND(N1113="REALIZADO",M1113="PENDENTE"),"🟡 EMBARCADO SEM FATURAR",IF(AND(P1113&lt;&gt;"",S1113="",OR(Q1113="",R1113="")),"🟡 PENDÊNCIA SEM RESPONSÁVEL/PRAZO",IF(AND(ISNUMBER(R1113),R1113=TODAY()),"🟡 VENCE HOJE",IF(AND(P1113&lt;&gt;"",S1113=""),"🟡 PENDÊNCIA ABERTA",IF(AND(N(J1113)&gt;0,N(K1113)&lt;J1113),"🟡 FALTA EXECUTAR",IF(OR(M1113="PENDENTE",M1113="PARCIAL"),"🟡 FATURAMENTO PENDENTE","🟡 EMBARQUE PENDENTE")))))))))))</f>
        <v/>
      </c>
      <c r="D1113" s="4" t="n"/>
      <c r="E1113" s="5" t="n"/>
      <c r="F1113" s="5" t="n"/>
      <c r="G1113" s="5" t="n"/>
      <c r="H1113" s="5" t="n"/>
      <c r="I1113" s="5" t="n"/>
      <c r="J1113" s="6" t="n"/>
      <c r="K1113" s="6" t="n"/>
      <c r="L1113" s="7">
        <f>IF(OR(D1113="",N(J1113)=0),"",MIN(1,N(K1113)/J1113))</f>
        <v/>
      </c>
      <c r="M1113" s="5" t="n"/>
      <c r="N1113" s="5" t="n"/>
      <c r="O1113" s="5" t="n"/>
      <c r="P1113" s="5" t="n"/>
      <c r="Q1113" s="5" t="n"/>
      <c r="R1113" s="4" t="n"/>
      <c r="S1113" s="4" t="n"/>
      <c r="T1113" s="5" t="n"/>
      <c r="U1113" s="8">
        <f>IF(AND(V1113=1,D1113&lt;&gt;""),IF(D1113&gt;=corte,TODAY()-D1113,""),"")</f>
        <v/>
      </c>
      <c r="V1113" s="8">
        <f>IF(D1113="",0,IF(OR(AND(P1113&lt;&gt;"",S1113=""),AND(N(J1113)&gt;0,N(K1113)&lt;J1113),OR(M1113="PENDENTE",M1113="PARCIAL"),OR(N1113="PENDENTE",N1113="PARCIAL")),1,0))</f>
        <v/>
      </c>
      <c r="W1113" s="8">
        <f>IF(AND(V1113=1,D1113&lt;&gt;""),IF(D1113&gt;=corte,(B1113="CRÍTICO")*1E9+(100000-D1113)*10000+10000-ROW(),""),"")</f>
        <v/>
      </c>
      <c r="X1113" s="8">
        <f>IF(AND(V1113=1,D1113=pas_data,E1113=pas_turno),10000-ROW(),"")</f>
        <v/>
      </c>
    </row>
    <row r="1114">
      <c r="A1114" s="3">
        <f>IF(D1114="","","TT-"&amp;TEXT(ROW()-1,"00000"))</f>
        <v/>
      </c>
      <c r="B1114" s="3">
        <f>IF(D1114="","",IF(V1114=0,"CONCLUÍDO",IF(D1114&lt;corte,"HISTÓRICO",IF(OR(AND(ISNUMBER(R1114),R1114&lt;TODAY()),AND(OR(N1114="PENDENTE",N1114="PARCIAL"),D1114&lt;TODAY()-1)),"CRÍTICO",IF(OR(AND(P1114&lt;&gt;"",S1114=""),AND(N1114="REALIZADO",M1114="PENDENTE"),AND(ISNUMBER(R1114),R1114=TODAY())),"ATENÇÃO",IF(N(K1114)=0,"PENDENTE","EM ANDAMENTO"))))))</f>
        <v/>
      </c>
      <c r="C1114" s="3">
        <f>IF(D1114="","",IF(V1114=0,"🟢 OK",IF(D1114&lt;corte,"⚪ HISTÓRICO (sem baixa)",IF(AND(ISNUMBER(R1114),R1114&lt;TODAY()),"🔴 PRAZO VENCIDO",IF(AND(OR(N1114="PENDENTE",N1114="PARCIAL"),D1114&lt;TODAY()-1),"🔴 EMBARQUE ATRASADO",IF(AND(N1114="REALIZADO",M1114="PENDENTE"),"🟡 EMBARCADO SEM FATURAR",IF(AND(P1114&lt;&gt;"",S1114="",OR(Q1114="",R1114="")),"🟡 PENDÊNCIA SEM RESPONSÁVEL/PRAZO",IF(AND(ISNUMBER(R1114),R1114=TODAY()),"🟡 VENCE HOJE",IF(AND(P1114&lt;&gt;"",S1114=""),"🟡 PENDÊNCIA ABERTA",IF(AND(N(J1114)&gt;0,N(K1114)&lt;J1114),"🟡 FALTA EXECUTAR",IF(OR(M1114="PENDENTE",M1114="PARCIAL"),"🟡 FATURAMENTO PENDENTE","🟡 EMBARQUE PENDENTE")))))))))))</f>
        <v/>
      </c>
      <c r="D1114" s="4" t="n"/>
      <c r="E1114" s="5" t="n"/>
      <c r="F1114" s="5" t="n"/>
      <c r="G1114" s="5" t="n"/>
      <c r="H1114" s="5" t="n"/>
      <c r="I1114" s="5" t="n"/>
      <c r="J1114" s="6" t="n"/>
      <c r="K1114" s="6" t="n"/>
      <c r="L1114" s="7">
        <f>IF(OR(D1114="",N(J1114)=0),"",MIN(1,N(K1114)/J1114))</f>
        <v/>
      </c>
      <c r="M1114" s="5" t="n"/>
      <c r="N1114" s="5" t="n"/>
      <c r="O1114" s="5" t="n"/>
      <c r="P1114" s="5" t="n"/>
      <c r="Q1114" s="5" t="n"/>
      <c r="R1114" s="4" t="n"/>
      <c r="S1114" s="4" t="n"/>
      <c r="T1114" s="5" t="n"/>
      <c r="U1114" s="8">
        <f>IF(AND(V1114=1,D1114&lt;&gt;""),IF(D1114&gt;=corte,TODAY()-D1114,""),"")</f>
        <v/>
      </c>
      <c r="V1114" s="8">
        <f>IF(D1114="",0,IF(OR(AND(P1114&lt;&gt;"",S1114=""),AND(N(J1114)&gt;0,N(K1114)&lt;J1114),OR(M1114="PENDENTE",M1114="PARCIAL"),OR(N1114="PENDENTE",N1114="PARCIAL")),1,0))</f>
        <v/>
      </c>
      <c r="W1114" s="8">
        <f>IF(AND(V1114=1,D1114&lt;&gt;""),IF(D1114&gt;=corte,(B1114="CRÍTICO")*1E9+(100000-D1114)*10000+10000-ROW(),""),"")</f>
        <v/>
      </c>
      <c r="X1114" s="8">
        <f>IF(AND(V1114=1,D1114=pas_data,E1114=pas_turno),10000-ROW(),"")</f>
        <v/>
      </c>
    </row>
    <row r="1115">
      <c r="A1115" s="3">
        <f>IF(D1115="","","TT-"&amp;TEXT(ROW()-1,"00000"))</f>
        <v/>
      </c>
      <c r="B1115" s="3">
        <f>IF(D1115="","",IF(V1115=0,"CONCLUÍDO",IF(D1115&lt;corte,"HISTÓRICO",IF(OR(AND(ISNUMBER(R1115),R1115&lt;TODAY()),AND(OR(N1115="PENDENTE",N1115="PARCIAL"),D1115&lt;TODAY()-1)),"CRÍTICO",IF(OR(AND(P1115&lt;&gt;"",S1115=""),AND(N1115="REALIZADO",M1115="PENDENTE"),AND(ISNUMBER(R1115),R1115=TODAY())),"ATENÇÃO",IF(N(K1115)=0,"PENDENTE","EM ANDAMENTO"))))))</f>
        <v/>
      </c>
      <c r="C1115" s="3">
        <f>IF(D1115="","",IF(V1115=0,"🟢 OK",IF(D1115&lt;corte,"⚪ HISTÓRICO (sem baixa)",IF(AND(ISNUMBER(R1115),R1115&lt;TODAY()),"🔴 PRAZO VENCIDO",IF(AND(OR(N1115="PENDENTE",N1115="PARCIAL"),D1115&lt;TODAY()-1),"🔴 EMBARQUE ATRASADO",IF(AND(N1115="REALIZADO",M1115="PENDENTE"),"🟡 EMBARCADO SEM FATURAR",IF(AND(P1115&lt;&gt;"",S1115="",OR(Q1115="",R1115="")),"🟡 PENDÊNCIA SEM RESPONSÁVEL/PRAZO",IF(AND(ISNUMBER(R1115),R1115=TODAY()),"🟡 VENCE HOJE",IF(AND(P1115&lt;&gt;"",S1115=""),"🟡 PENDÊNCIA ABERTA",IF(AND(N(J1115)&gt;0,N(K1115)&lt;J1115),"🟡 FALTA EXECUTAR",IF(OR(M1115="PENDENTE",M1115="PARCIAL"),"🟡 FATURAMENTO PENDENTE","🟡 EMBARQUE PENDENTE")))))))))))</f>
        <v/>
      </c>
      <c r="D1115" s="4" t="n"/>
      <c r="E1115" s="5" t="n"/>
      <c r="F1115" s="5" t="n"/>
      <c r="G1115" s="5" t="n"/>
      <c r="H1115" s="5" t="n"/>
      <c r="I1115" s="5" t="n"/>
      <c r="J1115" s="6" t="n"/>
      <c r="K1115" s="6" t="n"/>
      <c r="L1115" s="7">
        <f>IF(OR(D1115="",N(J1115)=0),"",MIN(1,N(K1115)/J1115))</f>
        <v/>
      </c>
      <c r="M1115" s="5" t="n"/>
      <c r="N1115" s="5" t="n"/>
      <c r="O1115" s="5" t="n"/>
      <c r="P1115" s="5" t="n"/>
      <c r="Q1115" s="5" t="n"/>
      <c r="R1115" s="4" t="n"/>
      <c r="S1115" s="4" t="n"/>
      <c r="T1115" s="5" t="n"/>
      <c r="U1115" s="8">
        <f>IF(AND(V1115=1,D1115&lt;&gt;""),IF(D1115&gt;=corte,TODAY()-D1115,""),"")</f>
        <v/>
      </c>
      <c r="V1115" s="8">
        <f>IF(D1115="",0,IF(OR(AND(P1115&lt;&gt;"",S1115=""),AND(N(J1115)&gt;0,N(K1115)&lt;J1115),OR(M1115="PENDENTE",M1115="PARCIAL"),OR(N1115="PENDENTE",N1115="PARCIAL")),1,0))</f>
        <v/>
      </c>
      <c r="W1115" s="8">
        <f>IF(AND(V1115=1,D1115&lt;&gt;""),IF(D1115&gt;=corte,(B1115="CRÍTICO")*1E9+(100000-D1115)*10000+10000-ROW(),""),"")</f>
        <v/>
      </c>
      <c r="X1115" s="8">
        <f>IF(AND(V1115=1,D1115=pas_data,E1115=pas_turno),10000-ROW(),"")</f>
        <v/>
      </c>
    </row>
    <row r="1116">
      <c r="A1116" s="3">
        <f>IF(D1116="","","TT-"&amp;TEXT(ROW()-1,"00000"))</f>
        <v/>
      </c>
      <c r="B1116" s="3">
        <f>IF(D1116="","",IF(V1116=0,"CONCLUÍDO",IF(D1116&lt;corte,"HISTÓRICO",IF(OR(AND(ISNUMBER(R1116),R1116&lt;TODAY()),AND(OR(N1116="PENDENTE",N1116="PARCIAL"),D1116&lt;TODAY()-1)),"CRÍTICO",IF(OR(AND(P1116&lt;&gt;"",S1116=""),AND(N1116="REALIZADO",M1116="PENDENTE"),AND(ISNUMBER(R1116),R1116=TODAY())),"ATENÇÃO",IF(N(K1116)=0,"PENDENTE","EM ANDAMENTO"))))))</f>
        <v/>
      </c>
      <c r="C1116" s="3">
        <f>IF(D1116="","",IF(V1116=0,"🟢 OK",IF(D1116&lt;corte,"⚪ HISTÓRICO (sem baixa)",IF(AND(ISNUMBER(R1116),R1116&lt;TODAY()),"🔴 PRAZO VENCIDO",IF(AND(OR(N1116="PENDENTE",N1116="PARCIAL"),D1116&lt;TODAY()-1),"🔴 EMBARQUE ATRASADO",IF(AND(N1116="REALIZADO",M1116="PENDENTE"),"🟡 EMBARCADO SEM FATURAR",IF(AND(P1116&lt;&gt;"",S1116="",OR(Q1116="",R1116="")),"🟡 PENDÊNCIA SEM RESPONSÁVEL/PRAZO",IF(AND(ISNUMBER(R1116),R1116=TODAY()),"🟡 VENCE HOJE",IF(AND(P1116&lt;&gt;"",S1116=""),"🟡 PENDÊNCIA ABERTA",IF(AND(N(J1116)&gt;0,N(K1116)&lt;J1116),"🟡 FALTA EXECUTAR",IF(OR(M1116="PENDENTE",M1116="PARCIAL"),"🟡 FATURAMENTO PENDENTE","🟡 EMBARQUE PENDENTE")))))))))))</f>
        <v/>
      </c>
      <c r="D1116" s="4" t="n"/>
      <c r="E1116" s="5" t="n"/>
      <c r="F1116" s="5" t="n"/>
      <c r="G1116" s="5" t="n"/>
      <c r="H1116" s="5" t="n"/>
      <c r="I1116" s="5" t="n"/>
      <c r="J1116" s="6" t="n"/>
      <c r="K1116" s="6" t="n"/>
      <c r="L1116" s="7">
        <f>IF(OR(D1116="",N(J1116)=0),"",MIN(1,N(K1116)/J1116))</f>
        <v/>
      </c>
      <c r="M1116" s="5" t="n"/>
      <c r="N1116" s="5" t="n"/>
      <c r="O1116" s="5" t="n"/>
      <c r="P1116" s="5" t="n"/>
      <c r="Q1116" s="5" t="n"/>
      <c r="R1116" s="4" t="n"/>
      <c r="S1116" s="4" t="n"/>
      <c r="T1116" s="5" t="n"/>
      <c r="U1116" s="8">
        <f>IF(AND(V1116=1,D1116&lt;&gt;""),IF(D1116&gt;=corte,TODAY()-D1116,""),"")</f>
        <v/>
      </c>
      <c r="V1116" s="8">
        <f>IF(D1116="",0,IF(OR(AND(P1116&lt;&gt;"",S1116=""),AND(N(J1116)&gt;0,N(K1116)&lt;J1116),OR(M1116="PENDENTE",M1116="PARCIAL"),OR(N1116="PENDENTE",N1116="PARCIAL")),1,0))</f>
        <v/>
      </c>
      <c r="W1116" s="8">
        <f>IF(AND(V1116=1,D1116&lt;&gt;""),IF(D1116&gt;=corte,(B1116="CRÍTICO")*1E9+(100000-D1116)*10000+10000-ROW(),""),"")</f>
        <v/>
      </c>
      <c r="X1116" s="8">
        <f>IF(AND(V1116=1,D1116=pas_data,E1116=pas_turno),10000-ROW(),"")</f>
        <v/>
      </c>
    </row>
    <row r="1117">
      <c r="A1117" s="3">
        <f>IF(D1117="","","TT-"&amp;TEXT(ROW()-1,"00000"))</f>
        <v/>
      </c>
      <c r="B1117" s="3">
        <f>IF(D1117="","",IF(V1117=0,"CONCLUÍDO",IF(D1117&lt;corte,"HISTÓRICO",IF(OR(AND(ISNUMBER(R1117),R1117&lt;TODAY()),AND(OR(N1117="PENDENTE",N1117="PARCIAL"),D1117&lt;TODAY()-1)),"CRÍTICO",IF(OR(AND(P1117&lt;&gt;"",S1117=""),AND(N1117="REALIZADO",M1117="PENDENTE"),AND(ISNUMBER(R1117),R1117=TODAY())),"ATENÇÃO",IF(N(K1117)=0,"PENDENTE","EM ANDAMENTO"))))))</f>
        <v/>
      </c>
      <c r="C1117" s="3">
        <f>IF(D1117="","",IF(V1117=0,"🟢 OK",IF(D1117&lt;corte,"⚪ HISTÓRICO (sem baixa)",IF(AND(ISNUMBER(R1117),R1117&lt;TODAY()),"🔴 PRAZO VENCIDO",IF(AND(OR(N1117="PENDENTE",N1117="PARCIAL"),D1117&lt;TODAY()-1),"🔴 EMBARQUE ATRASADO",IF(AND(N1117="REALIZADO",M1117="PENDENTE"),"🟡 EMBARCADO SEM FATURAR",IF(AND(P1117&lt;&gt;"",S1117="",OR(Q1117="",R1117="")),"🟡 PENDÊNCIA SEM RESPONSÁVEL/PRAZO",IF(AND(ISNUMBER(R1117),R1117=TODAY()),"🟡 VENCE HOJE",IF(AND(P1117&lt;&gt;"",S1117=""),"🟡 PENDÊNCIA ABERTA",IF(AND(N(J1117)&gt;0,N(K1117)&lt;J1117),"🟡 FALTA EXECUTAR",IF(OR(M1117="PENDENTE",M1117="PARCIAL"),"🟡 FATURAMENTO PENDENTE","🟡 EMBARQUE PENDENTE")))))))))))</f>
        <v/>
      </c>
      <c r="D1117" s="4" t="n"/>
      <c r="E1117" s="5" t="n"/>
      <c r="F1117" s="5" t="n"/>
      <c r="G1117" s="5" t="n"/>
      <c r="H1117" s="5" t="n"/>
      <c r="I1117" s="5" t="n"/>
      <c r="J1117" s="6" t="n"/>
      <c r="K1117" s="6" t="n"/>
      <c r="L1117" s="7">
        <f>IF(OR(D1117="",N(J1117)=0),"",MIN(1,N(K1117)/J1117))</f>
        <v/>
      </c>
      <c r="M1117" s="5" t="n"/>
      <c r="N1117" s="5" t="n"/>
      <c r="O1117" s="5" t="n"/>
      <c r="P1117" s="5" t="n"/>
      <c r="Q1117" s="5" t="n"/>
      <c r="R1117" s="4" t="n"/>
      <c r="S1117" s="4" t="n"/>
      <c r="T1117" s="5" t="n"/>
      <c r="U1117" s="8">
        <f>IF(AND(V1117=1,D1117&lt;&gt;""),IF(D1117&gt;=corte,TODAY()-D1117,""),"")</f>
        <v/>
      </c>
      <c r="V1117" s="8">
        <f>IF(D1117="",0,IF(OR(AND(P1117&lt;&gt;"",S1117=""),AND(N(J1117)&gt;0,N(K1117)&lt;J1117),OR(M1117="PENDENTE",M1117="PARCIAL"),OR(N1117="PENDENTE",N1117="PARCIAL")),1,0))</f>
        <v/>
      </c>
      <c r="W1117" s="8">
        <f>IF(AND(V1117=1,D1117&lt;&gt;""),IF(D1117&gt;=corte,(B1117="CRÍTICO")*1E9+(100000-D1117)*10000+10000-ROW(),""),"")</f>
        <v/>
      </c>
      <c r="X1117" s="8">
        <f>IF(AND(V1117=1,D1117=pas_data,E1117=pas_turno),10000-ROW(),"")</f>
        <v/>
      </c>
    </row>
    <row r="1118">
      <c r="A1118" s="3">
        <f>IF(D1118="","","TT-"&amp;TEXT(ROW()-1,"00000"))</f>
        <v/>
      </c>
      <c r="B1118" s="3">
        <f>IF(D1118="","",IF(V1118=0,"CONCLUÍDO",IF(D1118&lt;corte,"HISTÓRICO",IF(OR(AND(ISNUMBER(R1118),R1118&lt;TODAY()),AND(OR(N1118="PENDENTE",N1118="PARCIAL"),D1118&lt;TODAY()-1)),"CRÍTICO",IF(OR(AND(P1118&lt;&gt;"",S1118=""),AND(N1118="REALIZADO",M1118="PENDENTE"),AND(ISNUMBER(R1118),R1118=TODAY())),"ATENÇÃO",IF(N(K1118)=0,"PENDENTE","EM ANDAMENTO"))))))</f>
        <v/>
      </c>
      <c r="C1118" s="3">
        <f>IF(D1118="","",IF(V1118=0,"🟢 OK",IF(D1118&lt;corte,"⚪ HISTÓRICO (sem baixa)",IF(AND(ISNUMBER(R1118),R1118&lt;TODAY()),"🔴 PRAZO VENCIDO",IF(AND(OR(N1118="PENDENTE",N1118="PARCIAL"),D1118&lt;TODAY()-1),"🔴 EMBARQUE ATRASADO",IF(AND(N1118="REALIZADO",M1118="PENDENTE"),"🟡 EMBARCADO SEM FATURAR",IF(AND(P1118&lt;&gt;"",S1118="",OR(Q1118="",R1118="")),"🟡 PENDÊNCIA SEM RESPONSÁVEL/PRAZO",IF(AND(ISNUMBER(R1118),R1118=TODAY()),"🟡 VENCE HOJE",IF(AND(P1118&lt;&gt;"",S1118=""),"🟡 PENDÊNCIA ABERTA",IF(AND(N(J1118)&gt;0,N(K1118)&lt;J1118),"🟡 FALTA EXECUTAR",IF(OR(M1118="PENDENTE",M1118="PARCIAL"),"🟡 FATURAMENTO PENDENTE","🟡 EMBARQUE PENDENTE")))))))))))</f>
        <v/>
      </c>
      <c r="D1118" s="4" t="n"/>
      <c r="E1118" s="5" t="n"/>
      <c r="F1118" s="5" t="n"/>
      <c r="G1118" s="5" t="n"/>
      <c r="H1118" s="5" t="n"/>
      <c r="I1118" s="5" t="n"/>
      <c r="J1118" s="6" t="n"/>
      <c r="K1118" s="6" t="n"/>
      <c r="L1118" s="7">
        <f>IF(OR(D1118="",N(J1118)=0),"",MIN(1,N(K1118)/J1118))</f>
        <v/>
      </c>
      <c r="M1118" s="5" t="n"/>
      <c r="N1118" s="5" t="n"/>
      <c r="O1118" s="5" t="n"/>
      <c r="P1118" s="5" t="n"/>
      <c r="Q1118" s="5" t="n"/>
      <c r="R1118" s="4" t="n"/>
      <c r="S1118" s="4" t="n"/>
      <c r="T1118" s="5" t="n"/>
      <c r="U1118" s="8">
        <f>IF(AND(V1118=1,D1118&lt;&gt;""),IF(D1118&gt;=corte,TODAY()-D1118,""),"")</f>
        <v/>
      </c>
      <c r="V1118" s="8">
        <f>IF(D1118="",0,IF(OR(AND(P1118&lt;&gt;"",S1118=""),AND(N(J1118)&gt;0,N(K1118)&lt;J1118),OR(M1118="PENDENTE",M1118="PARCIAL"),OR(N1118="PENDENTE",N1118="PARCIAL")),1,0))</f>
        <v/>
      </c>
      <c r="W1118" s="8">
        <f>IF(AND(V1118=1,D1118&lt;&gt;""),IF(D1118&gt;=corte,(B1118="CRÍTICO")*1E9+(100000-D1118)*10000+10000-ROW(),""),"")</f>
        <v/>
      </c>
      <c r="X1118" s="8">
        <f>IF(AND(V1118=1,D1118=pas_data,E1118=pas_turno),10000-ROW(),"")</f>
        <v/>
      </c>
    </row>
    <row r="1119">
      <c r="A1119" s="3">
        <f>IF(D1119="","","TT-"&amp;TEXT(ROW()-1,"00000"))</f>
        <v/>
      </c>
      <c r="B1119" s="3">
        <f>IF(D1119="","",IF(V1119=0,"CONCLUÍDO",IF(D1119&lt;corte,"HISTÓRICO",IF(OR(AND(ISNUMBER(R1119),R1119&lt;TODAY()),AND(OR(N1119="PENDENTE",N1119="PARCIAL"),D1119&lt;TODAY()-1)),"CRÍTICO",IF(OR(AND(P1119&lt;&gt;"",S1119=""),AND(N1119="REALIZADO",M1119="PENDENTE"),AND(ISNUMBER(R1119),R1119=TODAY())),"ATENÇÃO",IF(N(K1119)=0,"PENDENTE","EM ANDAMENTO"))))))</f>
        <v/>
      </c>
      <c r="C1119" s="3">
        <f>IF(D1119="","",IF(V1119=0,"🟢 OK",IF(D1119&lt;corte,"⚪ HISTÓRICO (sem baixa)",IF(AND(ISNUMBER(R1119),R1119&lt;TODAY()),"🔴 PRAZO VENCIDO",IF(AND(OR(N1119="PENDENTE",N1119="PARCIAL"),D1119&lt;TODAY()-1),"🔴 EMBARQUE ATRASADO",IF(AND(N1119="REALIZADO",M1119="PENDENTE"),"🟡 EMBARCADO SEM FATURAR",IF(AND(P1119&lt;&gt;"",S1119="",OR(Q1119="",R1119="")),"🟡 PENDÊNCIA SEM RESPONSÁVEL/PRAZO",IF(AND(ISNUMBER(R1119),R1119=TODAY()),"🟡 VENCE HOJE",IF(AND(P1119&lt;&gt;"",S1119=""),"🟡 PENDÊNCIA ABERTA",IF(AND(N(J1119)&gt;0,N(K1119)&lt;J1119),"🟡 FALTA EXECUTAR",IF(OR(M1119="PENDENTE",M1119="PARCIAL"),"🟡 FATURAMENTO PENDENTE","🟡 EMBARQUE PENDENTE")))))))))))</f>
        <v/>
      </c>
      <c r="D1119" s="4" t="n"/>
      <c r="E1119" s="5" t="n"/>
      <c r="F1119" s="5" t="n"/>
      <c r="G1119" s="5" t="n"/>
      <c r="H1119" s="5" t="n"/>
      <c r="I1119" s="5" t="n"/>
      <c r="J1119" s="6" t="n"/>
      <c r="K1119" s="6" t="n"/>
      <c r="L1119" s="7">
        <f>IF(OR(D1119="",N(J1119)=0),"",MIN(1,N(K1119)/J1119))</f>
        <v/>
      </c>
      <c r="M1119" s="5" t="n"/>
      <c r="N1119" s="5" t="n"/>
      <c r="O1119" s="5" t="n"/>
      <c r="P1119" s="5" t="n"/>
      <c r="Q1119" s="5" t="n"/>
      <c r="R1119" s="4" t="n"/>
      <c r="S1119" s="4" t="n"/>
      <c r="T1119" s="5" t="n"/>
      <c r="U1119" s="8">
        <f>IF(AND(V1119=1,D1119&lt;&gt;""),IF(D1119&gt;=corte,TODAY()-D1119,""),"")</f>
        <v/>
      </c>
      <c r="V1119" s="8">
        <f>IF(D1119="",0,IF(OR(AND(P1119&lt;&gt;"",S1119=""),AND(N(J1119)&gt;0,N(K1119)&lt;J1119),OR(M1119="PENDENTE",M1119="PARCIAL"),OR(N1119="PENDENTE",N1119="PARCIAL")),1,0))</f>
        <v/>
      </c>
      <c r="W1119" s="8">
        <f>IF(AND(V1119=1,D1119&lt;&gt;""),IF(D1119&gt;=corte,(B1119="CRÍTICO")*1E9+(100000-D1119)*10000+10000-ROW(),""),"")</f>
        <v/>
      </c>
      <c r="X1119" s="8">
        <f>IF(AND(V1119=1,D1119=pas_data,E1119=pas_turno),10000-ROW(),"")</f>
        <v/>
      </c>
    </row>
    <row r="1120">
      <c r="A1120" s="3">
        <f>IF(D1120="","","TT-"&amp;TEXT(ROW()-1,"00000"))</f>
        <v/>
      </c>
      <c r="B1120" s="3">
        <f>IF(D1120="","",IF(V1120=0,"CONCLUÍDO",IF(D1120&lt;corte,"HISTÓRICO",IF(OR(AND(ISNUMBER(R1120),R1120&lt;TODAY()),AND(OR(N1120="PENDENTE",N1120="PARCIAL"),D1120&lt;TODAY()-1)),"CRÍTICO",IF(OR(AND(P1120&lt;&gt;"",S1120=""),AND(N1120="REALIZADO",M1120="PENDENTE"),AND(ISNUMBER(R1120),R1120=TODAY())),"ATENÇÃO",IF(N(K1120)=0,"PENDENTE","EM ANDAMENTO"))))))</f>
        <v/>
      </c>
      <c r="C1120" s="3">
        <f>IF(D1120="","",IF(V1120=0,"🟢 OK",IF(D1120&lt;corte,"⚪ HISTÓRICO (sem baixa)",IF(AND(ISNUMBER(R1120),R1120&lt;TODAY()),"🔴 PRAZO VENCIDO",IF(AND(OR(N1120="PENDENTE",N1120="PARCIAL"),D1120&lt;TODAY()-1),"🔴 EMBARQUE ATRASADO",IF(AND(N1120="REALIZADO",M1120="PENDENTE"),"🟡 EMBARCADO SEM FATURAR",IF(AND(P1120&lt;&gt;"",S1120="",OR(Q1120="",R1120="")),"🟡 PENDÊNCIA SEM RESPONSÁVEL/PRAZO",IF(AND(ISNUMBER(R1120),R1120=TODAY()),"🟡 VENCE HOJE",IF(AND(P1120&lt;&gt;"",S1120=""),"🟡 PENDÊNCIA ABERTA",IF(AND(N(J1120)&gt;0,N(K1120)&lt;J1120),"🟡 FALTA EXECUTAR",IF(OR(M1120="PENDENTE",M1120="PARCIAL"),"🟡 FATURAMENTO PENDENTE","🟡 EMBARQUE PENDENTE")))))))))))</f>
        <v/>
      </c>
      <c r="D1120" s="4" t="n"/>
      <c r="E1120" s="5" t="n"/>
      <c r="F1120" s="5" t="n"/>
      <c r="G1120" s="5" t="n"/>
      <c r="H1120" s="5" t="n"/>
      <c r="I1120" s="5" t="n"/>
      <c r="J1120" s="6" t="n"/>
      <c r="K1120" s="6" t="n"/>
      <c r="L1120" s="7">
        <f>IF(OR(D1120="",N(J1120)=0),"",MIN(1,N(K1120)/J1120))</f>
        <v/>
      </c>
      <c r="M1120" s="5" t="n"/>
      <c r="N1120" s="5" t="n"/>
      <c r="O1120" s="5" t="n"/>
      <c r="P1120" s="5" t="n"/>
      <c r="Q1120" s="5" t="n"/>
      <c r="R1120" s="4" t="n"/>
      <c r="S1120" s="4" t="n"/>
      <c r="T1120" s="5" t="n"/>
      <c r="U1120" s="8">
        <f>IF(AND(V1120=1,D1120&lt;&gt;""),IF(D1120&gt;=corte,TODAY()-D1120,""),"")</f>
        <v/>
      </c>
      <c r="V1120" s="8">
        <f>IF(D1120="",0,IF(OR(AND(P1120&lt;&gt;"",S1120=""),AND(N(J1120)&gt;0,N(K1120)&lt;J1120),OR(M1120="PENDENTE",M1120="PARCIAL"),OR(N1120="PENDENTE",N1120="PARCIAL")),1,0))</f>
        <v/>
      </c>
      <c r="W1120" s="8">
        <f>IF(AND(V1120=1,D1120&lt;&gt;""),IF(D1120&gt;=corte,(B1120="CRÍTICO")*1E9+(100000-D1120)*10000+10000-ROW(),""),"")</f>
        <v/>
      </c>
      <c r="X1120" s="8">
        <f>IF(AND(V1120=1,D1120=pas_data,E1120=pas_turno),10000-ROW(),"")</f>
        <v/>
      </c>
    </row>
    <row r="1121">
      <c r="A1121" s="3">
        <f>IF(D1121="","","TT-"&amp;TEXT(ROW()-1,"00000"))</f>
        <v/>
      </c>
      <c r="B1121" s="3">
        <f>IF(D1121="","",IF(V1121=0,"CONCLUÍDO",IF(D1121&lt;corte,"HISTÓRICO",IF(OR(AND(ISNUMBER(R1121),R1121&lt;TODAY()),AND(OR(N1121="PENDENTE",N1121="PARCIAL"),D1121&lt;TODAY()-1)),"CRÍTICO",IF(OR(AND(P1121&lt;&gt;"",S1121=""),AND(N1121="REALIZADO",M1121="PENDENTE"),AND(ISNUMBER(R1121),R1121=TODAY())),"ATENÇÃO",IF(N(K1121)=0,"PENDENTE","EM ANDAMENTO"))))))</f>
        <v/>
      </c>
      <c r="C1121" s="3">
        <f>IF(D1121="","",IF(V1121=0,"🟢 OK",IF(D1121&lt;corte,"⚪ HISTÓRICO (sem baixa)",IF(AND(ISNUMBER(R1121),R1121&lt;TODAY()),"🔴 PRAZO VENCIDO",IF(AND(OR(N1121="PENDENTE",N1121="PARCIAL"),D1121&lt;TODAY()-1),"🔴 EMBARQUE ATRASADO",IF(AND(N1121="REALIZADO",M1121="PENDENTE"),"🟡 EMBARCADO SEM FATURAR",IF(AND(P1121&lt;&gt;"",S1121="",OR(Q1121="",R1121="")),"🟡 PENDÊNCIA SEM RESPONSÁVEL/PRAZO",IF(AND(ISNUMBER(R1121),R1121=TODAY()),"🟡 VENCE HOJE",IF(AND(P1121&lt;&gt;"",S1121=""),"🟡 PENDÊNCIA ABERTA",IF(AND(N(J1121)&gt;0,N(K1121)&lt;J1121),"🟡 FALTA EXECUTAR",IF(OR(M1121="PENDENTE",M1121="PARCIAL"),"🟡 FATURAMENTO PENDENTE","🟡 EMBARQUE PENDENTE")))))))))))</f>
        <v/>
      </c>
      <c r="D1121" s="4" t="n"/>
      <c r="E1121" s="5" t="n"/>
      <c r="F1121" s="5" t="n"/>
      <c r="G1121" s="5" t="n"/>
      <c r="H1121" s="5" t="n"/>
      <c r="I1121" s="5" t="n"/>
      <c r="J1121" s="6" t="n"/>
      <c r="K1121" s="6" t="n"/>
      <c r="L1121" s="7">
        <f>IF(OR(D1121="",N(J1121)=0),"",MIN(1,N(K1121)/J1121))</f>
        <v/>
      </c>
      <c r="M1121" s="5" t="n"/>
      <c r="N1121" s="5" t="n"/>
      <c r="O1121" s="5" t="n"/>
      <c r="P1121" s="5" t="n"/>
      <c r="Q1121" s="5" t="n"/>
      <c r="R1121" s="4" t="n"/>
      <c r="S1121" s="4" t="n"/>
      <c r="T1121" s="5" t="n"/>
      <c r="U1121" s="8">
        <f>IF(AND(V1121=1,D1121&lt;&gt;""),IF(D1121&gt;=corte,TODAY()-D1121,""),"")</f>
        <v/>
      </c>
      <c r="V1121" s="8">
        <f>IF(D1121="",0,IF(OR(AND(P1121&lt;&gt;"",S1121=""),AND(N(J1121)&gt;0,N(K1121)&lt;J1121),OR(M1121="PENDENTE",M1121="PARCIAL"),OR(N1121="PENDENTE",N1121="PARCIAL")),1,0))</f>
        <v/>
      </c>
      <c r="W1121" s="8">
        <f>IF(AND(V1121=1,D1121&lt;&gt;""),IF(D1121&gt;=corte,(B1121="CRÍTICO")*1E9+(100000-D1121)*10000+10000-ROW(),""),"")</f>
        <v/>
      </c>
      <c r="X1121" s="8">
        <f>IF(AND(V1121=1,D1121=pas_data,E1121=pas_turno),10000-ROW(),"")</f>
        <v/>
      </c>
    </row>
    <row r="1122">
      <c r="A1122" s="3">
        <f>IF(D1122="","","TT-"&amp;TEXT(ROW()-1,"00000"))</f>
        <v/>
      </c>
      <c r="B1122" s="3">
        <f>IF(D1122="","",IF(V1122=0,"CONCLUÍDO",IF(D1122&lt;corte,"HISTÓRICO",IF(OR(AND(ISNUMBER(R1122),R1122&lt;TODAY()),AND(OR(N1122="PENDENTE",N1122="PARCIAL"),D1122&lt;TODAY()-1)),"CRÍTICO",IF(OR(AND(P1122&lt;&gt;"",S1122=""),AND(N1122="REALIZADO",M1122="PENDENTE"),AND(ISNUMBER(R1122),R1122=TODAY())),"ATENÇÃO",IF(N(K1122)=0,"PENDENTE","EM ANDAMENTO"))))))</f>
        <v/>
      </c>
      <c r="C1122" s="3">
        <f>IF(D1122="","",IF(V1122=0,"🟢 OK",IF(D1122&lt;corte,"⚪ HISTÓRICO (sem baixa)",IF(AND(ISNUMBER(R1122),R1122&lt;TODAY()),"🔴 PRAZO VENCIDO",IF(AND(OR(N1122="PENDENTE",N1122="PARCIAL"),D1122&lt;TODAY()-1),"🔴 EMBARQUE ATRASADO",IF(AND(N1122="REALIZADO",M1122="PENDENTE"),"🟡 EMBARCADO SEM FATURAR",IF(AND(P1122&lt;&gt;"",S1122="",OR(Q1122="",R1122="")),"🟡 PENDÊNCIA SEM RESPONSÁVEL/PRAZO",IF(AND(ISNUMBER(R1122),R1122=TODAY()),"🟡 VENCE HOJE",IF(AND(P1122&lt;&gt;"",S1122=""),"🟡 PENDÊNCIA ABERTA",IF(AND(N(J1122)&gt;0,N(K1122)&lt;J1122),"🟡 FALTA EXECUTAR",IF(OR(M1122="PENDENTE",M1122="PARCIAL"),"🟡 FATURAMENTO PENDENTE","🟡 EMBARQUE PENDENTE")))))))))))</f>
        <v/>
      </c>
      <c r="D1122" s="4" t="n"/>
      <c r="E1122" s="5" t="n"/>
      <c r="F1122" s="5" t="n"/>
      <c r="G1122" s="5" t="n"/>
      <c r="H1122" s="5" t="n"/>
      <c r="I1122" s="5" t="n"/>
      <c r="J1122" s="6" t="n"/>
      <c r="K1122" s="6" t="n"/>
      <c r="L1122" s="7">
        <f>IF(OR(D1122="",N(J1122)=0),"",MIN(1,N(K1122)/J1122))</f>
        <v/>
      </c>
      <c r="M1122" s="5" t="n"/>
      <c r="N1122" s="5" t="n"/>
      <c r="O1122" s="5" t="n"/>
      <c r="P1122" s="5" t="n"/>
      <c r="Q1122" s="5" t="n"/>
      <c r="R1122" s="4" t="n"/>
      <c r="S1122" s="4" t="n"/>
      <c r="T1122" s="5" t="n"/>
      <c r="U1122" s="8">
        <f>IF(AND(V1122=1,D1122&lt;&gt;""),IF(D1122&gt;=corte,TODAY()-D1122,""),"")</f>
        <v/>
      </c>
      <c r="V1122" s="8">
        <f>IF(D1122="",0,IF(OR(AND(P1122&lt;&gt;"",S1122=""),AND(N(J1122)&gt;0,N(K1122)&lt;J1122),OR(M1122="PENDENTE",M1122="PARCIAL"),OR(N1122="PENDENTE",N1122="PARCIAL")),1,0))</f>
        <v/>
      </c>
      <c r="W1122" s="8">
        <f>IF(AND(V1122=1,D1122&lt;&gt;""),IF(D1122&gt;=corte,(B1122="CRÍTICO")*1E9+(100000-D1122)*10000+10000-ROW(),""),"")</f>
        <v/>
      </c>
      <c r="X1122" s="8">
        <f>IF(AND(V1122=1,D1122=pas_data,E1122=pas_turno),10000-ROW(),"")</f>
        <v/>
      </c>
    </row>
    <row r="1123">
      <c r="A1123" s="3">
        <f>IF(D1123="","","TT-"&amp;TEXT(ROW()-1,"00000"))</f>
        <v/>
      </c>
      <c r="B1123" s="3">
        <f>IF(D1123="","",IF(V1123=0,"CONCLUÍDO",IF(D1123&lt;corte,"HISTÓRICO",IF(OR(AND(ISNUMBER(R1123),R1123&lt;TODAY()),AND(OR(N1123="PENDENTE",N1123="PARCIAL"),D1123&lt;TODAY()-1)),"CRÍTICO",IF(OR(AND(P1123&lt;&gt;"",S1123=""),AND(N1123="REALIZADO",M1123="PENDENTE"),AND(ISNUMBER(R1123),R1123=TODAY())),"ATENÇÃO",IF(N(K1123)=0,"PENDENTE","EM ANDAMENTO"))))))</f>
        <v/>
      </c>
      <c r="C1123" s="3">
        <f>IF(D1123="","",IF(V1123=0,"🟢 OK",IF(D1123&lt;corte,"⚪ HISTÓRICO (sem baixa)",IF(AND(ISNUMBER(R1123),R1123&lt;TODAY()),"🔴 PRAZO VENCIDO",IF(AND(OR(N1123="PENDENTE",N1123="PARCIAL"),D1123&lt;TODAY()-1),"🔴 EMBARQUE ATRASADO",IF(AND(N1123="REALIZADO",M1123="PENDENTE"),"🟡 EMBARCADO SEM FATURAR",IF(AND(P1123&lt;&gt;"",S1123="",OR(Q1123="",R1123="")),"🟡 PENDÊNCIA SEM RESPONSÁVEL/PRAZO",IF(AND(ISNUMBER(R1123),R1123=TODAY()),"🟡 VENCE HOJE",IF(AND(P1123&lt;&gt;"",S1123=""),"🟡 PENDÊNCIA ABERTA",IF(AND(N(J1123)&gt;0,N(K1123)&lt;J1123),"🟡 FALTA EXECUTAR",IF(OR(M1123="PENDENTE",M1123="PARCIAL"),"🟡 FATURAMENTO PENDENTE","🟡 EMBARQUE PENDENTE")))))))))))</f>
        <v/>
      </c>
      <c r="D1123" s="4" t="n"/>
      <c r="E1123" s="5" t="n"/>
      <c r="F1123" s="5" t="n"/>
      <c r="G1123" s="5" t="n"/>
      <c r="H1123" s="5" t="n"/>
      <c r="I1123" s="5" t="n"/>
      <c r="J1123" s="6" t="n"/>
      <c r="K1123" s="6" t="n"/>
      <c r="L1123" s="7">
        <f>IF(OR(D1123="",N(J1123)=0),"",MIN(1,N(K1123)/J1123))</f>
        <v/>
      </c>
      <c r="M1123" s="5" t="n"/>
      <c r="N1123" s="5" t="n"/>
      <c r="O1123" s="5" t="n"/>
      <c r="P1123" s="5" t="n"/>
      <c r="Q1123" s="5" t="n"/>
      <c r="R1123" s="4" t="n"/>
      <c r="S1123" s="4" t="n"/>
      <c r="T1123" s="5" t="n"/>
      <c r="U1123" s="8">
        <f>IF(AND(V1123=1,D1123&lt;&gt;""),IF(D1123&gt;=corte,TODAY()-D1123,""),"")</f>
        <v/>
      </c>
      <c r="V1123" s="8">
        <f>IF(D1123="",0,IF(OR(AND(P1123&lt;&gt;"",S1123=""),AND(N(J1123)&gt;0,N(K1123)&lt;J1123),OR(M1123="PENDENTE",M1123="PARCIAL"),OR(N1123="PENDENTE",N1123="PARCIAL")),1,0))</f>
        <v/>
      </c>
      <c r="W1123" s="8">
        <f>IF(AND(V1123=1,D1123&lt;&gt;""),IF(D1123&gt;=corte,(B1123="CRÍTICO")*1E9+(100000-D1123)*10000+10000-ROW(),""),"")</f>
        <v/>
      </c>
      <c r="X1123" s="8">
        <f>IF(AND(V1123=1,D1123=pas_data,E1123=pas_turno),10000-ROW(),"")</f>
        <v/>
      </c>
    </row>
    <row r="1124">
      <c r="A1124" s="3">
        <f>IF(D1124="","","TT-"&amp;TEXT(ROW()-1,"00000"))</f>
        <v/>
      </c>
      <c r="B1124" s="3">
        <f>IF(D1124="","",IF(V1124=0,"CONCLUÍDO",IF(D1124&lt;corte,"HISTÓRICO",IF(OR(AND(ISNUMBER(R1124),R1124&lt;TODAY()),AND(OR(N1124="PENDENTE",N1124="PARCIAL"),D1124&lt;TODAY()-1)),"CRÍTICO",IF(OR(AND(P1124&lt;&gt;"",S1124=""),AND(N1124="REALIZADO",M1124="PENDENTE"),AND(ISNUMBER(R1124),R1124=TODAY())),"ATENÇÃO",IF(N(K1124)=0,"PENDENTE","EM ANDAMENTO"))))))</f>
        <v/>
      </c>
      <c r="C1124" s="3">
        <f>IF(D1124="","",IF(V1124=0,"🟢 OK",IF(D1124&lt;corte,"⚪ HISTÓRICO (sem baixa)",IF(AND(ISNUMBER(R1124),R1124&lt;TODAY()),"🔴 PRAZO VENCIDO",IF(AND(OR(N1124="PENDENTE",N1124="PARCIAL"),D1124&lt;TODAY()-1),"🔴 EMBARQUE ATRASADO",IF(AND(N1124="REALIZADO",M1124="PENDENTE"),"🟡 EMBARCADO SEM FATURAR",IF(AND(P1124&lt;&gt;"",S1124="",OR(Q1124="",R1124="")),"🟡 PENDÊNCIA SEM RESPONSÁVEL/PRAZO",IF(AND(ISNUMBER(R1124),R1124=TODAY()),"🟡 VENCE HOJE",IF(AND(P1124&lt;&gt;"",S1124=""),"🟡 PENDÊNCIA ABERTA",IF(AND(N(J1124)&gt;0,N(K1124)&lt;J1124),"🟡 FALTA EXECUTAR",IF(OR(M1124="PENDENTE",M1124="PARCIAL"),"🟡 FATURAMENTO PENDENTE","🟡 EMBARQUE PENDENTE")))))))))))</f>
        <v/>
      </c>
      <c r="D1124" s="4" t="n"/>
      <c r="E1124" s="5" t="n"/>
      <c r="F1124" s="5" t="n"/>
      <c r="G1124" s="5" t="n"/>
      <c r="H1124" s="5" t="n"/>
      <c r="I1124" s="5" t="n"/>
      <c r="J1124" s="6" t="n"/>
      <c r="K1124" s="6" t="n"/>
      <c r="L1124" s="7">
        <f>IF(OR(D1124="",N(J1124)=0),"",MIN(1,N(K1124)/J1124))</f>
        <v/>
      </c>
      <c r="M1124" s="5" t="n"/>
      <c r="N1124" s="5" t="n"/>
      <c r="O1124" s="5" t="n"/>
      <c r="P1124" s="5" t="n"/>
      <c r="Q1124" s="5" t="n"/>
      <c r="R1124" s="4" t="n"/>
      <c r="S1124" s="4" t="n"/>
      <c r="T1124" s="5" t="n"/>
      <c r="U1124" s="8">
        <f>IF(AND(V1124=1,D1124&lt;&gt;""),IF(D1124&gt;=corte,TODAY()-D1124,""),"")</f>
        <v/>
      </c>
      <c r="V1124" s="8">
        <f>IF(D1124="",0,IF(OR(AND(P1124&lt;&gt;"",S1124=""),AND(N(J1124)&gt;0,N(K1124)&lt;J1124),OR(M1124="PENDENTE",M1124="PARCIAL"),OR(N1124="PENDENTE",N1124="PARCIAL")),1,0))</f>
        <v/>
      </c>
      <c r="W1124" s="8">
        <f>IF(AND(V1124=1,D1124&lt;&gt;""),IF(D1124&gt;=corte,(B1124="CRÍTICO")*1E9+(100000-D1124)*10000+10000-ROW(),""),"")</f>
        <v/>
      </c>
      <c r="X1124" s="8">
        <f>IF(AND(V1124=1,D1124=pas_data,E1124=pas_turno),10000-ROW(),"")</f>
        <v/>
      </c>
    </row>
    <row r="1125">
      <c r="A1125" s="3">
        <f>IF(D1125="","","TT-"&amp;TEXT(ROW()-1,"00000"))</f>
        <v/>
      </c>
      <c r="B1125" s="3">
        <f>IF(D1125="","",IF(V1125=0,"CONCLUÍDO",IF(D1125&lt;corte,"HISTÓRICO",IF(OR(AND(ISNUMBER(R1125),R1125&lt;TODAY()),AND(OR(N1125="PENDENTE",N1125="PARCIAL"),D1125&lt;TODAY()-1)),"CRÍTICO",IF(OR(AND(P1125&lt;&gt;"",S1125=""),AND(N1125="REALIZADO",M1125="PENDENTE"),AND(ISNUMBER(R1125),R1125=TODAY())),"ATENÇÃO",IF(N(K1125)=0,"PENDENTE","EM ANDAMENTO"))))))</f>
        <v/>
      </c>
      <c r="C1125" s="3">
        <f>IF(D1125="","",IF(V1125=0,"🟢 OK",IF(D1125&lt;corte,"⚪ HISTÓRICO (sem baixa)",IF(AND(ISNUMBER(R1125),R1125&lt;TODAY()),"🔴 PRAZO VENCIDO",IF(AND(OR(N1125="PENDENTE",N1125="PARCIAL"),D1125&lt;TODAY()-1),"🔴 EMBARQUE ATRASADO",IF(AND(N1125="REALIZADO",M1125="PENDENTE"),"🟡 EMBARCADO SEM FATURAR",IF(AND(P1125&lt;&gt;"",S1125="",OR(Q1125="",R1125="")),"🟡 PENDÊNCIA SEM RESPONSÁVEL/PRAZO",IF(AND(ISNUMBER(R1125),R1125=TODAY()),"🟡 VENCE HOJE",IF(AND(P1125&lt;&gt;"",S1125=""),"🟡 PENDÊNCIA ABERTA",IF(AND(N(J1125)&gt;0,N(K1125)&lt;J1125),"🟡 FALTA EXECUTAR",IF(OR(M1125="PENDENTE",M1125="PARCIAL"),"🟡 FATURAMENTO PENDENTE","🟡 EMBARQUE PENDENTE")))))))))))</f>
        <v/>
      </c>
      <c r="D1125" s="4" t="n"/>
      <c r="E1125" s="5" t="n"/>
      <c r="F1125" s="5" t="n"/>
      <c r="G1125" s="5" t="n"/>
      <c r="H1125" s="5" t="n"/>
      <c r="I1125" s="5" t="n"/>
      <c r="J1125" s="6" t="n"/>
      <c r="K1125" s="6" t="n"/>
      <c r="L1125" s="7">
        <f>IF(OR(D1125="",N(J1125)=0),"",MIN(1,N(K1125)/J1125))</f>
        <v/>
      </c>
      <c r="M1125" s="5" t="n"/>
      <c r="N1125" s="5" t="n"/>
      <c r="O1125" s="5" t="n"/>
      <c r="P1125" s="5" t="n"/>
      <c r="Q1125" s="5" t="n"/>
      <c r="R1125" s="4" t="n"/>
      <c r="S1125" s="4" t="n"/>
      <c r="T1125" s="5" t="n"/>
      <c r="U1125" s="8">
        <f>IF(AND(V1125=1,D1125&lt;&gt;""),IF(D1125&gt;=corte,TODAY()-D1125,""),"")</f>
        <v/>
      </c>
      <c r="V1125" s="8">
        <f>IF(D1125="",0,IF(OR(AND(P1125&lt;&gt;"",S1125=""),AND(N(J1125)&gt;0,N(K1125)&lt;J1125),OR(M1125="PENDENTE",M1125="PARCIAL"),OR(N1125="PENDENTE",N1125="PARCIAL")),1,0))</f>
        <v/>
      </c>
      <c r="W1125" s="8">
        <f>IF(AND(V1125=1,D1125&lt;&gt;""),IF(D1125&gt;=corte,(B1125="CRÍTICO")*1E9+(100000-D1125)*10000+10000-ROW(),""),"")</f>
        <v/>
      </c>
      <c r="X1125" s="8">
        <f>IF(AND(V1125=1,D1125=pas_data,E1125=pas_turno),10000-ROW(),"")</f>
        <v/>
      </c>
    </row>
    <row r="1126">
      <c r="A1126" s="3">
        <f>IF(D1126="","","TT-"&amp;TEXT(ROW()-1,"00000"))</f>
        <v/>
      </c>
      <c r="B1126" s="3">
        <f>IF(D1126="","",IF(V1126=0,"CONCLUÍDO",IF(D1126&lt;corte,"HISTÓRICO",IF(OR(AND(ISNUMBER(R1126),R1126&lt;TODAY()),AND(OR(N1126="PENDENTE",N1126="PARCIAL"),D1126&lt;TODAY()-1)),"CRÍTICO",IF(OR(AND(P1126&lt;&gt;"",S1126=""),AND(N1126="REALIZADO",M1126="PENDENTE"),AND(ISNUMBER(R1126),R1126=TODAY())),"ATENÇÃO",IF(N(K1126)=0,"PENDENTE","EM ANDAMENTO"))))))</f>
        <v/>
      </c>
      <c r="C1126" s="3">
        <f>IF(D1126="","",IF(V1126=0,"🟢 OK",IF(D1126&lt;corte,"⚪ HISTÓRICO (sem baixa)",IF(AND(ISNUMBER(R1126),R1126&lt;TODAY()),"🔴 PRAZO VENCIDO",IF(AND(OR(N1126="PENDENTE",N1126="PARCIAL"),D1126&lt;TODAY()-1),"🔴 EMBARQUE ATRASADO",IF(AND(N1126="REALIZADO",M1126="PENDENTE"),"🟡 EMBARCADO SEM FATURAR",IF(AND(P1126&lt;&gt;"",S1126="",OR(Q1126="",R1126="")),"🟡 PENDÊNCIA SEM RESPONSÁVEL/PRAZO",IF(AND(ISNUMBER(R1126),R1126=TODAY()),"🟡 VENCE HOJE",IF(AND(P1126&lt;&gt;"",S1126=""),"🟡 PENDÊNCIA ABERTA",IF(AND(N(J1126)&gt;0,N(K1126)&lt;J1126),"🟡 FALTA EXECUTAR",IF(OR(M1126="PENDENTE",M1126="PARCIAL"),"🟡 FATURAMENTO PENDENTE","🟡 EMBARQUE PENDENTE")))))))))))</f>
        <v/>
      </c>
      <c r="D1126" s="4" t="n"/>
      <c r="E1126" s="5" t="n"/>
      <c r="F1126" s="5" t="n"/>
      <c r="G1126" s="5" t="n"/>
      <c r="H1126" s="5" t="n"/>
      <c r="I1126" s="5" t="n"/>
      <c r="J1126" s="6" t="n"/>
      <c r="K1126" s="6" t="n"/>
      <c r="L1126" s="7">
        <f>IF(OR(D1126="",N(J1126)=0),"",MIN(1,N(K1126)/J1126))</f>
        <v/>
      </c>
      <c r="M1126" s="5" t="n"/>
      <c r="N1126" s="5" t="n"/>
      <c r="O1126" s="5" t="n"/>
      <c r="P1126" s="5" t="n"/>
      <c r="Q1126" s="5" t="n"/>
      <c r="R1126" s="4" t="n"/>
      <c r="S1126" s="4" t="n"/>
      <c r="T1126" s="5" t="n"/>
      <c r="U1126" s="8">
        <f>IF(AND(V1126=1,D1126&lt;&gt;""),IF(D1126&gt;=corte,TODAY()-D1126,""),"")</f>
        <v/>
      </c>
      <c r="V1126" s="8">
        <f>IF(D1126="",0,IF(OR(AND(P1126&lt;&gt;"",S1126=""),AND(N(J1126)&gt;0,N(K1126)&lt;J1126),OR(M1126="PENDENTE",M1126="PARCIAL"),OR(N1126="PENDENTE",N1126="PARCIAL")),1,0))</f>
        <v/>
      </c>
      <c r="W1126" s="8">
        <f>IF(AND(V1126=1,D1126&lt;&gt;""),IF(D1126&gt;=corte,(B1126="CRÍTICO")*1E9+(100000-D1126)*10000+10000-ROW(),""),"")</f>
        <v/>
      </c>
      <c r="X1126" s="8">
        <f>IF(AND(V1126=1,D1126=pas_data,E1126=pas_turno),10000-ROW(),"")</f>
        <v/>
      </c>
    </row>
    <row r="1127">
      <c r="A1127" s="3">
        <f>IF(D1127="","","TT-"&amp;TEXT(ROW()-1,"00000"))</f>
        <v/>
      </c>
      <c r="B1127" s="3">
        <f>IF(D1127="","",IF(V1127=0,"CONCLUÍDO",IF(D1127&lt;corte,"HISTÓRICO",IF(OR(AND(ISNUMBER(R1127),R1127&lt;TODAY()),AND(OR(N1127="PENDENTE",N1127="PARCIAL"),D1127&lt;TODAY()-1)),"CRÍTICO",IF(OR(AND(P1127&lt;&gt;"",S1127=""),AND(N1127="REALIZADO",M1127="PENDENTE"),AND(ISNUMBER(R1127),R1127=TODAY())),"ATENÇÃO",IF(N(K1127)=0,"PENDENTE","EM ANDAMENTO"))))))</f>
        <v/>
      </c>
      <c r="C1127" s="3">
        <f>IF(D1127="","",IF(V1127=0,"🟢 OK",IF(D1127&lt;corte,"⚪ HISTÓRICO (sem baixa)",IF(AND(ISNUMBER(R1127),R1127&lt;TODAY()),"🔴 PRAZO VENCIDO",IF(AND(OR(N1127="PENDENTE",N1127="PARCIAL"),D1127&lt;TODAY()-1),"🔴 EMBARQUE ATRASADO",IF(AND(N1127="REALIZADO",M1127="PENDENTE"),"🟡 EMBARCADO SEM FATURAR",IF(AND(P1127&lt;&gt;"",S1127="",OR(Q1127="",R1127="")),"🟡 PENDÊNCIA SEM RESPONSÁVEL/PRAZO",IF(AND(ISNUMBER(R1127),R1127=TODAY()),"🟡 VENCE HOJE",IF(AND(P1127&lt;&gt;"",S1127=""),"🟡 PENDÊNCIA ABERTA",IF(AND(N(J1127)&gt;0,N(K1127)&lt;J1127),"🟡 FALTA EXECUTAR",IF(OR(M1127="PENDENTE",M1127="PARCIAL"),"🟡 FATURAMENTO PENDENTE","🟡 EMBARQUE PENDENTE")))))))))))</f>
        <v/>
      </c>
      <c r="D1127" s="4" t="n"/>
      <c r="E1127" s="5" t="n"/>
      <c r="F1127" s="5" t="n"/>
      <c r="G1127" s="5" t="n"/>
      <c r="H1127" s="5" t="n"/>
      <c r="I1127" s="5" t="n"/>
      <c r="J1127" s="6" t="n"/>
      <c r="K1127" s="6" t="n"/>
      <c r="L1127" s="7">
        <f>IF(OR(D1127="",N(J1127)=0),"",MIN(1,N(K1127)/J1127))</f>
        <v/>
      </c>
      <c r="M1127" s="5" t="n"/>
      <c r="N1127" s="5" t="n"/>
      <c r="O1127" s="5" t="n"/>
      <c r="P1127" s="5" t="n"/>
      <c r="Q1127" s="5" t="n"/>
      <c r="R1127" s="4" t="n"/>
      <c r="S1127" s="4" t="n"/>
      <c r="T1127" s="5" t="n"/>
      <c r="U1127" s="8">
        <f>IF(AND(V1127=1,D1127&lt;&gt;""),IF(D1127&gt;=corte,TODAY()-D1127,""),"")</f>
        <v/>
      </c>
      <c r="V1127" s="8">
        <f>IF(D1127="",0,IF(OR(AND(P1127&lt;&gt;"",S1127=""),AND(N(J1127)&gt;0,N(K1127)&lt;J1127),OR(M1127="PENDENTE",M1127="PARCIAL"),OR(N1127="PENDENTE",N1127="PARCIAL")),1,0))</f>
        <v/>
      </c>
      <c r="W1127" s="8">
        <f>IF(AND(V1127=1,D1127&lt;&gt;""),IF(D1127&gt;=corte,(B1127="CRÍTICO")*1E9+(100000-D1127)*10000+10000-ROW(),""),"")</f>
        <v/>
      </c>
      <c r="X1127" s="8">
        <f>IF(AND(V1127=1,D1127=pas_data,E1127=pas_turno),10000-ROW(),"")</f>
        <v/>
      </c>
    </row>
    <row r="1128">
      <c r="A1128" s="3">
        <f>IF(D1128="","","TT-"&amp;TEXT(ROW()-1,"00000"))</f>
        <v/>
      </c>
      <c r="B1128" s="3">
        <f>IF(D1128="","",IF(V1128=0,"CONCLUÍDO",IF(D1128&lt;corte,"HISTÓRICO",IF(OR(AND(ISNUMBER(R1128),R1128&lt;TODAY()),AND(OR(N1128="PENDENTE",N1128="PARCIAL"),D1128&lt;TODAY()-1)),"CRÍTICO",IF(OR(AND(P1128&lt;&gt;"",S1128=""),AND(N1128="REALIZADO",M1128="PENDENTE"),AND(ISNUMBER(R1128),R1128=TODAY())),"ATENÇÃO",IF(N(K1128)=0,"PENDENTE","EM ANDAMENTO"))))))</f>
        <v/>
      </c>
      <c r="C1128" s="3">
        <f>IF(D1128="","",IF(V1128=0,"🟢 OK",IF(D1128&lt;corte,"⚪ HISTÓRICO (sem baixa)",IF(AND(ISNUMBER(R1128),R1128&lt;TODAY()),"🔴 PRAZO VENCIDO",IF(AND(OR(N1128="PENDENTE",N1128="PARCIAL"),D1128&lt;TODAY()-1),"🔴 EMBARQUE ATRASADO",IF(AND(N1128="REALIZADO",M1128="PENDENTE"),"🟡 EMBARCADO SEM FATURAR",IF(AND(P1128&lt;&gt;"",S1128="",OR(Q1128="",R1128="")),"🟡 PENDÊNCIA SEM RESPONSÁVEL/PRAZO",IF(AND(ISNUMBER(R1128),R1128=TODAY()),"🟡 VENCE HOJE",IF(AND(P1128&lt;&gt;"",S1128=""),"🟡 PENDÊNCIA ABERTA",IF(AND(N(J1128)&gt;0,N(K1128)&lt;J1128),"🟡 FALTA EXECUTAR",IF(OR(M1128="PENDENTE",M1128="PARCIAL"),"🟡 FATURAMENTO PENDENTE","🟡 EMBARQUE PENDENTE")))))))))))</f>
        <v/>
      </c>
      <c r="D1128" s="4" t="n"/>
      <c r="E1128" s="5" t="n"/>
      <c r="F1128" s="5" t="n"/>
      <c r="G1128" s="5" t="n"/>
      <c r="H1128" s="5" t="n"/>
      <c r="I1128" s="5" t="n"/>
      <c r="J1128" s="6" t="n"/>
      <c r="K1128" s="6" t="n"/>
      <c r="L1128" s="7">
        <f>IF(OR(D1128="",N(J1128)=0),"",MIN(1,N(K1128)/J1128))</f>
        <v/>
      </c>
      <c r="M1128" s="5" t="n"/>
      <c r="N1128" s="5" t="n"/>
      <c r="O1128" s="5" t="n"/>
      <c r="P1128" s="5" t="n"/>
      <c r="Q1128" s="5" t="n"/>
      <c r="R1128" s="4" t="n"/>
      <c r="S1128" s="4" t="n"/>
      <c r="T1128" s="5" t="n"/>
      <c r="U1128" s="8">
        <f>IF(AND(V1128=1,D1128&lt;&gt;""),IF(D1128&gt;=corte,TODAY()-D1128,""),"")</f>
        <v/>
      </c>
      <c r="V1128" s="8">
        <f>IF(D1128="",0,IF(OR(AND(P1128&lt;&gt;"",S1128=""),AND(N(J1128)&gt;0,N(K1128)&lt;J1128),OR(M1128="PENDENTE",M1128="PARCIAL"),OR(N1128="PENDENTE",N1128="PARCIAL")),1,0))</f>
        <v/>
      </c>
      <c r="W1128" s="8">
        <f>IF(AND(V1128=1,D1128&lt;&gt;""),IF(D1128&gt;=corte,(B1128="CRÍTICO")*1E9+(100000-D1128)*10000+10000-ROW(),""),"")</f>
        <v/>
      </c>
      <c r="X1128" s="8">
        <f>IF(AND(V1128=1,D1128=pas_data,E1128=pas_turno),10000-ROW(),"")</f>
        <v/>
      </c>
    </row>
    <row r="1129">
      <c r="A1129" s="3">
        <f>IF(D1129="","","TT-"&amp;TEXT(ROW()-1,"00000"))</f>
        <v/>
      </c>
      <c r="B1129" s="3">
        <f>IF(D1129="","",IF(V1129=0,"CONCLUÍDO",IF(D1129&lt;corte,"HISTÓRICO",IF(OR(AND(ISNUMBER(R1129),R1129&lt;TODAY()),AND(OR(N1129="PENDENTE",N1129="PARCIAL"),D1129&lt;TODAY()-1)),"CRÍTICO",IF(OR(AND(P1129&lt;&gt;"",S1129=""),AND(N1129="REALIZADO",M1129="PENDENTE"),AND(ISNUMBER(R1129),R1129=TODAY())),"ATENÇÃO",IF(N(K1129)=0,"PENDENTE","EM ANDAMENTO"))))))</f>
        <v/>
      </c>
      <c r="C1129" s="3">
        <f>IF(D1129="","",IF(V1129=0,"🟢 OK",IF(D1129&lt;corte,"⚪ HISTÓRICO (sem baixa)",IF(AND(ISNUMBER(R1129),R1129&lt;TODAY()),"🔴 PRAZO VENCIDO",IF(AND(OR(N1129="PENDENTE",N1129="PARCIAL"),D1129&lt;TODAY()-1),"🔴 EMBARQUE ATRASADO",IF(AND(N1129="REALIZADO",M1129="PENDENTE"),"🟡 EMBARCADO SEM FATURAR",IF(AND(P1129&lt;&gt;"",S1129="",OR(Q1129="",R1129="")),"🟡 PENDÊNCIA SEM RESPONSÁVEL/PRAZO",IF(AND(ISNUMBER(R1129),R1129=TODAY()),"🟡 VENCE HOJE",IF(AND(P1129&lt;&gt;"",S1129=""),"🟡 PENDÊNCIA ABERTA",IF(AND(N(J1129)&gt;0,N(K1129)&lt;J1129),"🟡 FALTA EXECUTAR",IF(OR(M1129="PENDENTE",M1129="PARCIAL"),"🟡 FATURAMENTO PENDENTE","🟡 EMBARQUE PENDENTE")))))))))))</f>
        <v/>
      </c>
      <c r="D1129" s="4" t="n"/>
      <c r="E1129" s="5" t="n"/>
      <c r="F1129" s="5" t="n"/>
      <c r="G1129" s="5" t="n"/>
      <c r="H1129" s="5" t="n"/>
      <c r="I1129" s="5" t="n"/>
      <c r="J1129" s="6" t="n"/>
      <c r="K1129" s="6" t="n"/>
      <c r="L1129" s="7">
        <f>IF(OR(D1129="",N(J1129)=0),"",MIN(1,N(K1129)/J1129))</f>
        <v/>
      </c>
      <c r="M1129" s="5" t="n"/>
      <c r="N1129" s="5" t="n"/>
      <c r="O1129" s="5" t="n"/>
      <c r="P1129" s="5" t="n"/>
      <c r="Q1129" s="5" t="n"/>
      <c r="R1129" s="4" t="n"/>
      <c r="S1129" s="4" t="n"/>
      <c r="T1129" s="5" t="n"/>
      <c r="U1129" s="8">
        <f>IF(AND(V1129=1,D1129&lt;&gt;""),IF(D1129&gt;=corte,TODAY()-D1129,""),"")</f>
        <v/>
      </c>
      <c r="V1129" s="8">
        <f>IF(D1129="",0,IF(OR(AND(P1129&lt;&gt;"",S1129=""),AND(N(J1129)&gt;0,N(K1129)&lt;J1129),OR(M1129="PENDENTE",M1129="PARCIAL"),OR(N1129="PENDENTE",N1129="PARCIAL")),1,0))</f>
        <v/>
      </c>
      <c r="W1129" s="8">
        <f>IF(AND(V1129=1,D1129&lt;&gt;""),IF(D1129&gt;=corte,(B1129="CRÍTICO")*1E9+(100000-D1129)*10000+10000-ROW(),""),"")</f>
        <v/>
      </c>
      <c r="X1129" s="8">
        <f>IF(AND(V1129=1,D1129=pas_data,E1129=pas_turno),10000-ROW(),"")</f>
        <v/>
      </c>
    </row>
    <row r="1130">
      <c r="A1130" s="3">
        <f>IF(D1130="","","TT-"&amp;TEXT(ROW()-1,"00000"))</f>
        <v/>
      </c>
      <c r="B1130" s="3">
        <f>IF(D1130="","",IF(V1130=0,"CONCLUÍDO",IF(D1130&lt;corte,"HISTÓRICO",IF(OR(AND(ISNUMBER(R1130),R1130&lt;TODAY()),AND(OR(N1130="PENDENTE",N1130="PARCIAL"),D1130&lt;TODAY()-1)),"CRÍTICO",IF(OR(AND(P1130&lt;&gt;"",S1130=""),AND(N1130="REALIZADO",M1130="PENDENTE"),AND(ISNUMBER(R1130),R1130=TODAY())),"ATENÇÃO",IF(N(K1130)=0,"PENDENTE","EM ANDAMENTO"))))))</f>
        <v/>
      </c>
      <c r="C1130" s="3">
        <f>IF(D1130="","",IF(V1130=0,"🟢 OK",IF(D1130&lt;corte,"⚪ HISTÓRICO (sem baixa)",IF(AND(ISNUMBER(R1130),R1130&lt;TODAY()),"🔴 PRAZO VENCIDO",IF(AND(OR(N1130="PENDENTE",N1130="PARCIAL"),D1130&lt;TODAY()-1),"🔴 EMBARQUE ATRASADO",IF(AND(N1130="REALIZADO",M1130="PENDENTE"),"🟡 EMBARCADO SEM FATURAR",IF(AND(P1130&lt;&gt;"",S1130="",OR(Q1130="",R1130="")),"🟡 PENDÊNCIA SEM RESPONSÁVEL/PRAZO",IF(AND(ISNUMBER(R1130),R1130=TODAY()),"🟡 VENCE HOJE",IF(AND(P1130&lt;&gt;"",S1130=""),"🟡 PENDÊNCIA ABERTA",IF(AND(N(J1130)&gt;0,N(K1130)&lt;J1130),"🟡 FALTA EXECUTAR",IF(OR(M1130="PENDENTE",M1130="PARCIAL"),"🟡 FATURAMENTO PENDENTE","🟡 EMBARQUE PENDENTE")))))))))))</f>
        <v/>
      </c>
      <c r="D1130" s="4" t="n"/>
      <c r="E1130" s="5" t="n"/>
      <c r="F1130" s="5" t="n"/>
      <c r="G1130" s="5" t="n"/>
      <c r="H1130" s="5" t="n"/>
      <c r="I1130" s="5" t="n"/>
      <c r="J1130" s="6" t="n"/>
      <c r="K1130" s="6" t="n"/>
      <c r="L1130" s="7">
        <f>IF(OR(D1130="",N(J1130)=0),"",MIN(1,N(K1130)/J1130))</f>
        <v/>
      </c>
      <c r="M1130" s="5" t="n"/>
      <c r="N1130" s="5" t="n"/>
      <c r="O1130" s="5" t="n"/>
      <c r="P1130" s="5" t="n"/>
      <c r="Q1130" s="5" t="n"/>
      <c r="R1130" s="4" t="n"/>
      <c r="S1130" s="4" t="n"/>
      <c r="T1130" s="5" t="n"/>
      <c r="U1130" s="8">
        <f>IF(AND(V1130=1,D1130&lt;&gt;""),IF(D1130&gt;=corte,TODAY()-D1130,""),"")</f>
        <v/>
      </c>
      <c r="V1130" s="8">
        <f>IF(D1130="",0,IF(OR(AND(P1130&lt;&gt;"",S1130=""),AND(N(J1130)&gt;0,N(K1130)&lt;J1130),OR(M1130="PENDENTE",M1130="PARCIAL"),OR(N1130="PENDENTE",N1130="PARCIAL")),1,0))</f>
        <v/>
      </c>
      <c r="W1130" s="8">
        <f>IF(AND(V1130=1,D1130&lt;&gt;""),IF(D1130&gt;=corte,(B1130="CRÍTICO")*1E9+(100000-D1130)*10000+10000-ROW(),""),"")</f>
        <v/>
      </c>
      <c r="X1130" s="8">
        <f>IF(AND(V1130=1,D1130=pas_data,E1130=pas_turno),10000-ROW(),"")</f>
        <v/>
      </c>
    </row>
    <row r="1131">
      <c r="A1131" s="3">
        <f>IF(D1131="","","TT-"&amp;TEXT(ROW()-1,"00000"))</f>
        <v/>
      </c>
      <c r="B1131" s="3">
        <f>IF(D1131="","",IF(V1131=0,"CONCLUÍDO",IF(D1131&lt;corte,"HISTÓRICO",IF(OR(AND(ISNUMBER(R1131),R1131&lt;TODAY()),AND(OR(N1131="PENDENTE",N1131="PARCIAL"),D1131&lt;TODAY()-1)),"CRÍTICO",IF(OR(AND(P1131&lt;&gt;"",S1131=""),AND(N1131="REALIZADO",M1131="PENDENTE"),AND(ISNUMBER(R1131),R1131=TODAY())),"ATENÇÃO",IF(N(K1131)=0,"PENDENTE","EM ANDAMENTO"))))))</f>
        <v/>
      </c>
      <c r="C1131" s="3">
        <f>IF(D1131="","",IF(V1131=0,"🟢 OK",IF(D1131&lt;corte,"⚪ HISTÓRICO (sem baixa)",IF(AND(ISNUMBER(R1131),R1131&lt;TODAY()),"🔴 PRAZO VENCIDO",IF(AND(OR(N1131="PENDENTE",N1131="PARCIAL"),D1131&lt;TODAY()-1),"🔴 EMBARQUE ATRASADO",IF(AND(N1131="REALIZADO",M1131="PENDENTE"),"🟡 EMBARCADO SEM FATURAR",IF(AND(P1131&lt;&gt;"",S1131="",OR(Q1131="",R1131="")),"🟡 PENDÊNCIA SEM RESPONSÁVEL/PRAZO",IF(AND(ISNUMBER(R1131),R1131=TODAY()),"🟡 VENCE HOJE",IF(AND(P1131&lt;&gt;"",S1131=""),"🟡 PENDÊNCIA ABERTA",IF(AND(N(J1131)&gt;0,N(K1131)&lt;J1131),"🟡 FALTA EXECUTAR",IF(OR(M1131="PENDENTE",M1131="PARCIAL"),"🟡 FATURAMENTO PENDENTE","🟡 EMBARQUE PENDENTE")))))))))))</f>
        <v/>
      </c>
      <c r="D1131" s="4" t="n"/>
      <c r="E1131" s="5" t="n"/>
      <c r="F1131" s="5" t="n"/>
      <c r="G1131" s="5" t="n"/>
      <c r="H1131" s="5" t="n"/>
      <c r="I1131" s="5" t="n"/>
      <c r="J1131" s="6" t="n"/>
      <c r="K1131" s="6" t="n"/>
      <c r="L1131" s="7">
        <f>IF(OR(D1131="",N(J1131)=0),"",MIN(1,N(K1131)/J1131))</f>
        <v/>
      </c>
      <c r="M1131" s="5" t="n"/>
      <c r="N1131" s="5" t="n"/>
      <c r="O1131" s="5" t="n"/>
      <c r="P1131" s="5" t="n"/>
      <c r="Q1131" s="5" t="n"/>
      <c r="R1131" s="4" t="n"/>
      <c r="S1131" s="4" t="n"/>
      <c r="T1131" s="5" t="n"/>
      <c r="U1131" s="8">
        <f>IF(AND(V1131=1,D1131&lt;&gt;""),IF(D1131&gt;=corte,TODAY()-D1131,""),"")</f>
        <v/>
      </c>
      <c r="V1131" s="8">
        <f>IF(D1131="",0,IF(OR(AND(P1131&lt;&gt;"",S1131=""),AND(N(J1131)&gt;0,N(K1131)&lt;J1131),OR(M1131="PENDENTE",M1131="PARCIAL"),OR(N1131="PENDENTE",N1131="PARCIAL")),1,0))</f>
        <v/>
      </c>
      <c r="W1131" s="8">
        <f>IF(AND(V1131=1,D1131&lt;&gt;""),IF(D1131&gt;=corte,(B1131="CRÍTICO")*1E9+(100000-D1131)*10000+10000-ROW(),""),"")</f>
        <v/>
      </c>
      <c r="X1131" s="8">
        <f>IF(AND(V1131=1,D1131=pas_data,E1131=pas_turno),10000-ROW(),"")</f>
        <v/>
      </c>
    </row>
    <row r="1132">
      <c r="A1132" s="3">
        <f>IF(D1132="","","TT-"&amp;TEXT(ROW()-1,"00000"))</f>
        <v/>
      </c>
      <c r="B1132" s="3">
        <f>IF(D1132="","",IF(V1132=0,"CONCLUÍDO",IF(D1132&lt;corte,"HISTÓRICO",IF(OR(AND(ISNUMBER(R1132),R1132&lt;TODAY()),AND(OR(N1132="PENDENTE",N1132="PARCIAL"),D1132&lt;TODAY()-1)),"CRÍTICO",IF(OR(AND(P1132&lt;&gt;"",S1132=""),AND(N1132="REALIZADO",M1132="PENDENTE"),AND(ISNUMBER(R1132),R1132=TODAY())),"ATENÇÃO",IF(N(K1132)=0,"PENDENTE","EM ANDAMENTO"))))))</f>
        <v/>
      </c>
      <c r="C1132" s="3">
        <f>IF(D1132="","",IF(V1132=0,"🟢 OK",IF(D1132&lt;corte,"⚪ HISTÓRICO (sem baixa)",IF(AND(ISNUMBER(R1132),R1132&lt;TODAY()),"🔴 PRAZO VENCIDO",IF(AND(OR(N1132="PENDENTE",N1132="PARCIAL"),D1132&lt;TODAY()-1),"🔴 EMBARQUE ATRASADO",IF(AND(N1132="REALIZADO",M1132="PENDENTE"),"🟡 EMBARCADO SEM FATURAR",IF(AND(P1132&lt;&gt;"",S1132="",OR(Q1132="",R1132="")),"🟡 PENDÊNCIA SEM RESPONSÁVEL/PRAZO",IF(AND(ISNUMBER(R1132),R1132=TODAY()),"🟡 VENCE HOJE",IF(AND(P1132&lt;&gt;"",S1132=""),"🟡 PENDÊNCIA ABERTA",IF(AND(N(J1132)&gt;0,N(K1132)&lt;J1132),"🟡 FALTA EXECUTAR",IF(OR(M1132="PENDENTE",M1132="PARCIAL"),"🟡 FATURAMENTO PENDENTE","🟡 EMBARQUE PENDENTE")))))))))))</f>
        <v/>
      </c>
      <c r="D1132" s="4" t="n"/>
      <c r="E1132" s="5" t="n"/>
      <c r="F1132" s="5" t="n"/>
      <c r="G1132" s="5" t="n"/>
      <c r="H1132" s="5" t="n"/>
      <c r="I1132" s="5" t="n"/>
      <c r="J1132" s="6" t="n"/>
      <c r="K1132" s="6" t="n"/>
      <c r="L1132" s="7">
        <f>IF(OR(D1132="",N(J1132)=0),"",MIN(1,N(K1132)/J1132))</f>
        <v/>
      </c>
      <c r="M1132" s="5" t="n"/>
      <c r="N1132" s="5" t="n"/>
      <c r="O1132" s="5" t="n"/>
      <c r="P1132" s="5" t="n"/>
      <c r="Q1132" s="5" t="n"/>
      <c r="R1132" s="4" t="n"/>
      <c r="S1132" s="4" t="n"/>
      <c r="T1132" s="5" t="n"/>
      <c r="U1132" s="8">
        <f>IF(AND(V1132=1,D1132&lt;&gt;""),IF(D1132&gt;=corte,TODAY()-D1132,""),"")</f>
        <v/>
      </c>
      <c r="V1132" s="8">
        <f>IF(D1132="",0,IF(OR(AND(P1132&lt;&gt;"",S1132=""),AND(N(J1132)&gt;0,N(K1132)&lt;J1132),OR(M1132="PENDENTE",M1132="PARCIAL"),OR(N1132="PENDENTE",N1132="PARCIAL")),1,0))</f>
        <v/>
      </c>
      <c r="W1132" s="8">
        <f>IF(AND(V1132=1,D1132&lt;&gt;""),IF(D1132&gt;=corte,(B1132="CRÍTICO")*1E9+(100000-D1132)*10000+10000-ROW(),""),"")</f>
        <v/>
      </c>
      <c r="X1132" s="8">
        <f>IF(AND(V1132=1,D1132=pas_data,E1132=pas_turno),10000-ROW(),"")</f>
        <v/>
      </c>
    </row>
    <row r="1133">
      <c r="A1133" s="3">
        <f>IF(D1133="","","TT-"&amp;TEXT(ROW()-1,"00000"))</f>
        <v/>
      </c>
      <c r="B1133" s="3">
        <f>IF(D1133="","",IF(V1133=0,"CONCLUÍDO",IF(D1133&lt;corte,"HISTÓRICO",IF(OR(AND(ISNUMBER(R1133),R1133&lt;TODAY()),AND(OR(N1133="PENDENTE",N1133="PARCIAL"),D1133&lt;TODAY()-1)),"CRÍTICO",IF(OR(AND(P1133&lt;&gt;"",S1133=""),AND(N1133="REALIZADO",M1133="PENDENTE"),AND(ISNUMBER(R1133),R1133=TODAY())),"ATENÇÃO",IF(N(K1133)=0,"PENDENTE","EM ANDAMENTO"))))))</f>
        <v/>
      </c>
      <c r="C1133" s="3">
        <f>IF(D1133="","",IF(V1133=0,"🟢 OK",IF(D1133&lt;corte,"⚪ HISTÓRICO (sem baixa)",IF(AND(ISNUMBER(R1133),R1133&lt;TODAY()),"🔴 PRAZO VENCIDO",IF(AND(OR(N1133="PENDENTE",N1133="PARCIAL"),D1133&lt;TODAY()-1),"🔴 EMBARQUE ATRASADO",IF(AND(N1133="REALIZADO",M1133="PENDENTE"),"🟡 EMBARCADO SEM FATURAR",IF(AND(P1133&lt;&gt;"",S1133="",OR(Q1133="",R1133="")),"🟡 PENDÊNCIA SEM RESPONSÁVEL/PRAZO",IF(AND(ISNUMBER(R1133),R1133=TODAY()),"🟡 VENCE HOJE",IF(AND(P1133&lt;&gt;"",S1133=""),"🟡 PENDÊNCIA ABERTA",IF(AND(N(J1133)&gt;0,N(K1133)&lt;J1133),"🟡 FALTA EXECUTAR",IF(OR(M1133="PENDENTE",M1133="PARCIAL"),"🟡 FATURAMENTO PENDENTE","🟡 EMBARQUE PENDENTE")))))))))))</f>
        <v/>
      </c>
      <c r="D1133" s="4" t="n"/>
      <c r="E1133" s="5" t="n"/>
      <c r="F1133" s="5" t="n"/>
      <c r="G1133" s="5" t="n"/>
      <c r="H1133" s="5" t="n"/>
      <c r="I1133" s="5" t="n"/>
      <c r="J1133" s="6" t="n"/>
      <c r="K1133" s="6" t="n"/>
      <c r="L1133" s="7">
        <f>IF(OR(D1133="",N(J1133)=0),"",MIN(1,N(K1133)/J1133))</f>
        <v/>
      </c>
      <c r="M1133" s="5" t="n"/>
      <c r="N1133" s="5" t="n"/>
      <c r="O1133" s="5" t="n"/>
      <c r="P1133" s="5" t="n"/>
      <c r="Q1133" s="5" t="n"/>
      <c r="R1133" s="4" t="n"/>
      <c r="S1133" s="4" t="n"/>
      <c r="T1133" s="5" t="n"/>
      <c r="U1133" s="8">
        <f>IF(AND(V1133=1,D1133&lt;&gt;""),IF(D1133&gt;=corte,TODAY()-D1133,""),"")</f>
        <v/>
      </c>
      <c r="V1133" s="8">
        <f>IF(D1133="",0,IF(OR(AND(P1133&lt;&gt;"",S1133=""),AND(N(J1133)&gt;0,N(K1133)&lt;J1133),OR(M1133="PENDENTE",M1133="PARCIAL"),OR(N1133="PENDENTE",N1133="PARCIAL")),1,0))</f>
        <v/>
      </c>
      <c r="W1133" s="8">
        <f>IF(AND(V1133=1,D1133&lt;&gt;""),IF(D1133&gt;=corte,(B1133="CRÍTICO")*1E9+(100000-D1133)*10000+10000-ROW(),""),"")</f>
        <v/>
      </c>
      <c r="X1133" s="8">
        <f>IF(AND(V1133=1,D1133=pas_data,E1133=pas_turno),10000-ROW(),"")</f>
        <v/>
      </c>
    </row>
    <row r="1134">
      <c r="A1134" s="3">
        <f>IF(D1134="","","TT-"&amp;TEXT(ROW()-1,"00000"))</f>
        <v/>
      </c>
      <c r="B1134" s="3">
        <f>IF(D1134="","",IF(V1134=0,"CONCLUÍDO",IF(D1134&lt;corte,"HISTÓRICO",IF(OR(AND(ISNUMBER(R1134),R1134&lt;TODAY()),AND(OR(N1134="PENDENTE",N1134="PARCIAL"),D1134&lt;TODAY()-1)),"CRÍTICO",IF(OR(AND(P1134&lt;&gt;"",S1134=""),AND(N1134="REALIZADO",M1134="PENDENTE"),AND(ISNUMBER(R1134),R1134=TODAY())),"ATENÇÃO",IF(N(K1134)=0,"PENDENTE","EM ANDAMENTO"))))))</f>
        <v/>
      </c>
      <c r="C1134" s="3">
        <f>IF(D1134="","",IF(V1134=0,"🟢 OK",IF(D1134&lt;corte,"⚪ HISTÓRICO (sem baixa)",IF(AND(ISNUMBER(R1134),R1134&lt;TODAY()),"🔴 PRAZO VENCIDO",IF(AND(OR(N1134="PENDENTE",N1134="PARCIAL"),D1134&lt;TODAY()-1),"🔴 EMBARQUE ATRASADO",IF(AND(N1134="REALIZADO",M1134="PENDENTE"),"🟡 EMBARCADO SEM FATURAR",IF(AND(P1134&lt;&gt;"",S1134="",OR(Q1134="",R1134="")),"🟡 PENDÊNCIA SEM RESPONSÁVEL/PRAZO",IF(AND(ISNUMBER(R1134),R1134=TODAY()),"🟡 VENCE HOJE",IF(AND(P1134&lt;&gt;"",S1134=""),"🟡 PENDÊNCIA ABERTA",IF(AND(N(J1134)&gt;0,N(K1134)&lt;J1134),"🟡 FALTA EXECUTAR",IF(OR(M1134="PENDENTE",M1134="PARCIAL"),"🟡 FATURAMENTO PENDENTE","🟡 EMBARQUE PENDENTE")))))))))))</f>
        <v/>
      </c>
      <c r="D1134" s="4" t="n"/>
      <c r="E1134" s="5" t="n"/>
      <c r="F1134" s="5" t="n"/>
      <c r="G1134" s="5" t="n"/>
      <c r="H1134" s="5" t="n"/>
      <c r="I1134" s="5" t="n"/>
      <c r="J1134" s="6" t="n"/>
      <c r="K1134" s="6" t="n"/>
      <c r="L1134" s="7">
        <f>IF(OR(D1134="",N(J1134)=0),"",MIN(1,N(K1134)/J1134))</f>
        <v/>
      </c>
      <c r="M1134" s="5" t="n"/>
      <c r="N1134" s="5" t="n"/>
      <c r="O1134" s="5" t="n"/>
      <c r="P1134" s="5" t="n"/>
      <c r="Q1134" s="5" t="n"/>
      <c r="R1134" s="4" t="n"/>
      <c r="S1134" s="4" t="n"/>
      <c r="T1134" s="5" t="n"/>
      <c r="U1134" s="8">
        <f>IF(AND(V1134=1,D1134&lt;&gt;""),IF(D1134&gt;=corte,TODAY()-D1134,""),"")</f>
        <v/>
      </c>
      <c r="V1134" s="8">
        <f>IF(D1134="",0,IF(OR(AND(P1134&lt;&gt;"",S1134=""),AND(N(J1134)&gt;0,N(K1134)&lt;J1134),OR(M1134="PENDENTE",M1134="PARCIAL"),OR(N1134="PENDENTE",N1134="PARCIAL")),1,0))</f>
        <v/>
      </c>
      <c r="W1134" s="8">
        <f>IF(AND(V1134=1,D1134&lt;&gt;""),IF(D1134&gt;=corte,(B1134="CRÍTICO")*1E9+(100000-D1134)*10000+10000-ROW(),""),"")</f>
        <v/>
      </c>
      <c r="X1134" s="8">
        <f>IF(AND(V1134=1,D1134=pas_data,E1134=pas_turno),10000-ROW(),"")</f>
        <v/>
      </c>
    </row>
    <row r="1135">
      <c r="A1135" s="3">
        <f>IF(D1135="","","TT-"&amp;TEXT(ROW()-1,"00000"))</f>
        <v/>
      </c>
      <c r="B1135" s="3">
        <f>IF(D1135="","",IF(V1135=0,"CONCLUÍDO",IF(D1135&lt;corte,"HISTÓRICO",IF(OR(AND(ISNUMBER(R1135),R1135&lt;TODAY()),AND(OR(N1135="PENDENTE",N1135="PARCIAL"),D1135&lt;TODAY()-1)),"CRÍTICO",IF(OR(AND(P1135&lt;&gt;"",S1135=""),AND(N1135="REALIZADO",M1135="PENDENTE"),AND(ISNUMBER(R1135),R1135=TODAY())),"ATENÇÃO",IF(N(K1135)=0,"PENDENTE","EM ANDAMENTO"))))))</f>
        <v/>
      </c>
      <c r="C1135" s="3">
        <f>IF(D1135="","",IF(V1135=0,"🟢 OK",IF(D1135&lt;corte,"⚪ HISTÓRICO (sem baixa)",IF(AND(ISNUMBER(R1135),R1135&lt;TODAY()),"🔴 PRAZO VENCIDO",IF(AND(OR(N1135="PENDENTE",N1135="PARCIAL"),D1135&lt;TODAY()-1),"🔴 EMBARQUE ATRASADO",IF(AND(N1135="REALIZADO",M1135="PENDENTE"),"🟡 EMBARCADO SEM FATURAR",IF(AND(P1135&lt;&gt;"",S1135="",OR(Q1135="",R1135="")),"🟡 PENDÊNCIA SEM RESPONSÁVEL/PRAZO",IF(AND(ISNUMBER(R1135),R1135=TODAY()),"🟡 VENCE HOJE",IF(AND(P1135&lt;&gt;"",S1135=""),"🟡 PENDÊNCIA ABERTA",IF(AND(N(J1135)&gt;0,N(K1135)&lt;J1135),"🟡 FALTA EXECUTAR",IF(OR(M1135="PENDENTE",M1135="PARCIAL"),"🟡 FATURAMENTO PENDENTE","🟡 EMBARQUE PENDENTE")))))))))))</f>
        <v/>
      </c>
      <c r="D1135" s="4" t="n"/>
      <c r="E1135" s="5" t="n"/>
      <c r="F1135" s="5" t="n"/>
      <c r="G1135" s="5" t="n"/>
      <c r="H1135" s="5" t="n"/>
      <c r="I1135" s="5" t="n"/>
      <c r="J1135" s="6" t="n"/>
      <c r="K1135" s="6" t="n"/>
      <c r="L1135" s="7">
        <f>IF(OR(D1135="",N(J1135)=0),"",MIN(1,N(K1135)/J1135))</f>
        <v/>
      </c>
      <c r="M1135" s="5" t="n"/>
      <c r="N1135" s="5" t="n"/>
      <c r="O1135" s="5" t="n"/>
      <c r="P1135" s="5" t="n"/>
      <c r="Q1135" s="5" t="n"/>
      <c r="R1135" s="4" t="n"/>
      <c r="S1135" s="4" t="n"/>
      <c r="T1135" s="5" t="n"/>
      <c r="U1135" s="8">
        <f>IF(AND(V1135=1,D1135&lt;&gt;""),IF(D1135&gt;=corte,TODAY()-D1135,""),"")</f>
        <v/>
      </c>
      <c r="V1135" s="8">
        <f>IF(D1135="",0,IF(OR(AND(P1135&lt;&gt;"",S1135=""),AND(N(J1135)&gt;0,N(K1135)&lt;J1135),OR(M1135="PENDENTE",M1135="PARCIAL"),OR(N1135="PENDENTE",N1135="PARCIAL")),1,0))</f>
        <v/>
      </c>
      <c r="W1135" s="8">
        <f>IF(AND(V1135=1,D1135&lt;&gt;""),IF(D1135&gt;=corte,(B1135="CRÍTICO")*1E9+(100000-D1135)*10000+10000-ROW(),""),"")</f>
        <v/>
      </c>
      <c r="X1135" s="8">
        <f>IF(AND(V1135=1,D1135=pas_data,E1135=pas_turno),10000-ROW(),"")</f>
        <v/>
      </c>
    </row>
    <row r="1136">
      <c r="A1136" s="3">
        <f>IF(D1136="","","TT-"&amp;TEXT(ROW()-1,"00000"))</f>
        <v/>
      </c>
      <c r="B1136" s="3">
        <f>IF(D1136="","",IF(V1136=0,"CONCLUÍDO",IF(D1136&lt;corte,"HISTÓRICO",IF(OR(AND(ISNUMBER(R1136),R1136&lt;TODAY()),AND(OR(N1136="PENDENTE",N1136="PARCIAL"),D1136&lt;TODAY()-1)),"CRÍTICO",IF(OR(AND(P1136&lt;&gt;"",S1136=""),AND(N1136="REALIZADO",M1136="PENDENTE"),AND(ISNUMBER(R1136),R1136=TODAY())),"ATENÇÃO",IF(N(K1136)=0,"PENDENTE","EM ANDAMENTO"))))))</f>
        <v/>
      </c>
      <c r="C1136" s="3">
        <f>IF(D1136="","",IF(V1136=0,"🟢 OK",IF(D1136&lt;corte,"⚪ HISTÓRICO (sem baixa)",IF(AND(ISNUMBER(R1136),R1136&lt;TODAY()),"🔴 PRAZO VENCIDO",IF(AND(OR(N1136="PENDENTE",N1136="PARCIAL"),D1136&lt;TODAY()-1),"🔴 EMBARQUE ATRASADO",IF(AND(N1136="REALIZADO",M1136="PENDENTE"),"🟡 EMBARCADO SEM FATURAR",IF(AND(P1136&lt;&gt;"",S1136="",OR(Q1136="",R1136="")),"🟡 PENDÊNCIA SEM RESPONSÁVEL/PRAZO",IF(AND(ISNUMBER(R1136),R1136=TODAY()),"🟡 VENCE HOJE",IF(AND(P1136&lt;&gt;"",S1136=""),"🟡 PENDÊNCIA ABERTA",IF(AND(N(J1136)&gt;0,N(K1136)&lt;J1136),"🟡 FALTA EXECUTAR",IF(OR(M1136="PENDENTE",M1136="PARCIAL"),"🟡 FATURAMENTO PENDENTE","🟡 EMBARQUE PENDENTE")))))))))))</f>
        <v/>
      </c>
      <c r="D1136" s="4" t="n"/>
      <c r="E1136" s="5" t="n"/>
      <c r="F1136" s="5" t="n"/>
      <c r="G1136" s="5" t="n"/>
      <c r="H1136" s="5" t="n"/>
      <c r="I1136" s="5" t="n"/>
      <c r="J1136" s="6" t="n"/>
      <c r="K1136" s="6" t="n"/>
      <c r="L1136" s="7">
        <f>IF(OR(D1136="",N(J1136)=0),"",MIN(1,N(K1136)/J1136))</f>
        <v/>
      </c>
      <c r="M1136" s="5" t="n"/>
      <c r="N1136" s="5" t="n"/>
      <c r="O1136" s="5" t="n"/>
      <c r="P1136" s="5" t="n"/>
      <c r="Q1136" s="5" t="n"/>
      <c r="R1136" s="4" t="n"/>
      <c r="S1136" s="4" t="n"/>
      <c r="T1136" s="5" t="n"/>
      <c r="U1136" s="8">
        <f>IF(AND(V1136=1,D1136&lt;&gt;""),IF(D1136&gt;=corte,TODAY()-D1136,""),"")</f>
        <v/>
      </c>
      <c r="V1136" s="8">
        <f>IF(D1136="",0,IF(OR(AND(P1136&lt;&gt;"",S1136=""),AND(N(J1136)&gt;0,N(K1136)&lt;J1136),OR(M1136="PENDENTE",M1136="PARCIAL"),OR(N1136="PENDENTE",N1136="PARCIAL")),1,0))</f>
        <v/>
      </c>
      <c r="W1136" s="8">
        <f>IF(AND(V1136=1,D1136&lt;&gt;""),IF(D1136&gt;=corte,(B1136="CRÍTICO")*1E9+(100000-D1136)*10000+10000-ROW(),""),"")</f>
        <v/>
      </c>
      <c r="X1136" s="8">
        <f>IF(AND(V1136=1,D1136=pas_data,E1136=pas_turno),10000-ROW(),"")</f>
        <v/>
      </c>
    </row>
    <row r="1137">
      <c r="A1137" s="3">
        <f>IF(D1137="","","TT-"&amp;TEXT(ROW()-1,"00000"))</f>
        <v/>
      </c>
      <c r="B1137" s="3">
        <f>IF(D1137="","",IF(V1137=0,"CONCLUÍDO",IF(D1137&lt;corte,"HISTÓRICO",IF(OR(AND(ISNUMBER(R1137),R1137&lt;TODAY()),AND(OR(N1137="PENDENTE",N1137="PARCIAL"),D1137&lt;TODAY()-1)),"CRÍTICO",IF(OR(AND(P1137&lt;&gt;"",S1137=""),AND(N1137="REALIZADO",M1137="PENDENTE"),AND(ISNUMBER(R1137),R1137=TODAY())),"ATENÇÃO",IF(N(K1137)=0,"PENDENTE","EM ANDAMENTO"))))))</f>
        <v/>
      </c>
      <c r="C1137" s="3">
        <f>IF(D1137="","",IF(V1137=0,"🟢 OK",IF(D1137&lt;corte,"⚪ HISTÓRICO (sem baixa)",IF(AND(ISNUMBER(R1137),R1137&lt;TODAY()),"🔴 PRAZO VENCIDO",IF(AND(OR(N1137="PENDENTE",N1137="PARCIAL"),D1137&lt;TODAY()-1),"🔴 EMBARQUE ATRASADO",IF(AND(N1137="REALIZADO",M1137="PENDENTE"),"🟡 EMBARCADO SEM FATURAR",IF(AND(P1137&lt;&gt;"",S1137="",OR(Q1137="",R1137="")),"🟡 PENDÊNCIA SEM RESPONSÁVEL/PRAZO",IF(AND(ISNUMBER(R1137),R1137=TODAY()),"🟡 VENCE HOJE",IF(AND(P1137&lt;&gt;"",S1137=""),"🟡 PENDÊNCIA ABERTA",IF(AND(N(J1137)&gt;0,N(K1137)&lt;J1137),"🟡 FALTA EXECUTAR",IF(OR(M1137="PENDENTE",M1137="PARCIAL"),"🟡 FATURAMENTO PENDENTE","🟡 EMBARQUE PENDENTE")))))))))))</f>
        <v/>
      </c>
      <c r="D1137" s="4" t="n"/>
      <c r="E1137" s="5" t="n"/>
      <c r="F1137" s="5" t="n"/>
      <c r="G1137" s="5" t="n"/>
      <c r="H1137" s="5" t="n"/>
      <c r="I1137" s="5" t="n"/>
      <c r="J1137" s="6" t="n"/>
      <c r="K1137" s="6" t="n"/>
      <c r="L1137" s="7">
        <f>IF(OR(D1137="",N(J1137)=0),"",MIN(1,N(K1137)/J1137))</f>
        <v/>
      </c>
      <c r="M1137" s="5" t="n"/>
      <c r="N1137" s="5" t="n"/>
      <c r="O1137" s="5" t="n"/>
      <c r="P1137" s="5" t="n"/>
      <c r="Q1137" s="5" t="n"/>
      <c r="R1137" s="4" t="n"/>
      <c r="S1137" s="4" t="n"/>
      <c r="T1137" s="5" t="n"/>
      <c r="U1137" s="8">
        <f>IF(AND(V1137=1,D1137&lt;&gt;""),IF(D1137&gt;=corte,TODAY()-D1137,""),"")</f>
        <v/>
      </c>
      <c r="V1137" s="8">
        <f>IF(D1137="",0,IF(OR(AND(P1137&lt;&gt;"",S1137=""),AND(N(J1137)&gt;0,N(K1137)&lt;J1137),OR(M1137="PENDENTE",M1137="PARCIAL"),OR(N1137="PENDENTE",N1137="PARCIAL")),1,0))</f>
        <v/>
      </c>
      <c r="W1137" s="8">
        <f>IF(AND(V1137=1,D1137&lt;&gt;""),IF(D1137&gt;=corte,(B1137="CRÍTICO")*1E9+(100000-D1137)*10000+10000-ROW(),""),"")</f>
        <v/>
      </c>
      <c r="X1137" s="8">
        <f>IF(AND(V1137=1,D1137=pas_data,E1137=pas_turno),10000-ROW(),"")</f>
        <v/>
      </c>
    </row>
    <row r="1138">
      <c r="A1138" s="3">
        <f>IF(D1138="","","TT-"&amp;TEXT(ROW()-1,"00000"))</f>
        <v/>
      </c>
      <c r="B1138" s="3">
        <f>IF(D1138="","",IF(V1138=0,"CONCLUÍDO",IF(D1138&lt;corte,"HISTÓRICO",IF(OR(AND(ISNUMBER(R1138),R1138&lt;TODAY()),AND(OR(N1138="PENDENTE",N1138="PARCIAL"),D1138&lt;TODAY()-1)),"CRÍTICO",IF(OR(AND(P1138&lt;&gt;"",S1138=""),AND(N1138="REALIZADO",M1138="PENDENTE"),AND(ISNUMBER(R1138),R1138=TODAY())),"ATENÇÃO",IF(N(K1138)=0,"PENDENTE","EM ANDAMENTO"))))))</f>
        <v/>
      </c>
      <c r="C1138" s="3">
        <f>IF(D1138="","",IF(V1138=0,"🟢 OK",IF(D1138&lt;corte,"⚪ HISTÓRICO (sem baixa)",IF(AND(ISNUMBER(R1138),R1138&lt;TODAY()),"🔴 PRAZO VENCIDO",IF(AND(OR(N1138="PENDENTE",N1138="PARCIAL"),D1138&lt;TODAY()-1),"🔴 EMBARQUE ATRASADO",IF(AND(N1138="REALIZADO",M1138="PENDENTE"),"🟡 EMBARCADO SEM FATURAR",IF(AND(P1138&lt;&gt;"",S1138="",OR(Q1138="",R1138="")),"🟡 PENDÊNCIA SEM RESPONSÁVEL/PRAZO",IF(AND(ISNUMBER(R1138),R1138=TODAY()),"🟡 VENCE HOJE",IF(AND(P1138&lt;&gt;"",S1138=""),"🟡 PENDÊNCIA ABERTA",IF(AND(N(J1138)&gt;0,N(K1138)&lt;J1138),"🟡 FALTA EXECUTAR",IF(OR(M1138="PENDENTE",M1138="PARCIAL"),"🟡 FATURAMENTO PENDENTE","🟡 EMBARQUE PENDENTE")))))))))))</f>
        <v/>
      </c>
      <c r="D1138" s="4" t="n"/>
      <c r="E1138" s="5" t="n"/>
      <c r="F1138" s="5" t="n"/>
      <c r="G1138" s="5" t="n"/>
      <c r="H1138" s="5" t="n"/>
      <c r="I1138" s="5" t="n"/>
      <c r="J1138" s="6" t="n"/>
      <c r="K1138" s="6" t="n"/>
      <c r="L1138" s="7">
        <f>IF(OR(D1138="",N(J1138)=0),"",MIN(1,N(K1138)/J1138))</f>
        <v/>
      </c>
      <c r="M1138" s="5" t="n"/>
      <c r="N1138" s="5" t="n"/>
      <c r="O1138" s="5" t="n"/>
      <c r="P1138" s="5" t="n"/>
      <c r="Q1138" s="5" t="n"/>
      <c r="R1138" s="4" t="n"/>
      <c r="S1138" s="4" t="n"/>
      <c r="T1138" s="5" t="n"/>
      <c r="U1138" s="8">
        <f>IF(AND(V1138=1,D1138&lt;&gt;""),IF(D1138&gt;=corte,TODAY()-D1138,""),"")</f>
        <v/>
      </c>
      <c r="V1138" s="8">
        <f>IF(D1138="",0,IF(OR(AND(P1138&lt;&gt;"",S1138=""),AND(N(J1138)&gt;0,N(K1138)&lt;J1138),OR(M1138="PENDENTE",M1138="PARCIAL"),OR(N1138="PENDENTE",N1138="PARCIAL")),1,0))</f>
        <v/>
      </c>
      <c r="W1138" s="8">
        <f>IF(AND(V1138=1,D1138&lt;&gt;""),IF(D1138&gt;=corte,(B1138="CRÍTICO")*1E9+(100000-D1138)*10000+10000-ROW(),""),"")</f>
        <v/>
      </c>
      <c r="X1138" s="8">
        <f>IF(AND(V1138=1,D1138=pas_data,E1138=pas_turno),10000-ROW(),"")</f>
        <v/>
      </c>
    </row>
    <row r="1139">
      <c r="A1139" s="3">
        <f>IF(D1139="","","TT-"&amp;TEXT(ROW()-1,"00000"))</f>
        <v/>
      </c>
      <c r="B1139" s="3">
        <f>IF(D1139="","",IF(V1139=0,"CONCLUÍDO",IF(D1139&lt;corte,"HISTÓRICO",IF(OR(AND(ISNUMBER(R1139),R1139&lt;TODAY()),AND(OR(N1139="PENDENTE",N1139="PARCIAL"),D1139&lt;TODAY()-1)),"CRÍTICO",IF(OR(AND(P1139&lt;&gt;"",S1139=""),AND(N1139="REALIZADO",M1139="PENDENTE"),AND(ISNUMBER(R1139),R1139=TODAY())),"ATENÇÃO",IF(N(K1139)=0,"PENDENTE","EM ANDAMENTO"))))))</f>
        <v/>
      </c>
      <c r="C1139" s="3">
        <f>IF(D1139="","",IF(V1139=0,"🟢 OK",IF(D1139&lt;corte,"⚪ HISTÓRICO (sem baixa)",IF(AND(ISNUMBER(R1139),R1139&lt;TODAY()),"🔴 PRAZO VENCIDO",IF(AND(OR(N1139="PENDENTE",N1139="PARCIAL"),D1139&lt;TODAY()-1),"🔴 EMBARQUE ATRASADO",IF(AND(N1139="REALIZADO",M1139="PENDENTE"),"🟡 EMBARCADO SEM FATURAR",IF(AND(P1139&lt;&gt;"",S1139="",OR(Q1139="",R1139="")),"🟡 PENDÊNCIA SEM RESPONSÁVEL/PRAZO",IF(AND(ISNUMBER(R1139),R1139=TODAY()),"🟡 VENCE HOJE",IF(AND(P1139&lt;&gt;"",S1139=""),"🟡 PENDÊNCIA ABERTA",IF(AND(N(J1139)&gt;0,N(K1139)&lt;J1139),"🟡 FALTA EXECUTAR",IF(OR(M1139="PENDENTE",M1139="PARCIAL"),"🟡 FATURAMENTO PENDENTE","🟡 EMBARQUE PENDENTE")))))))))))</f>
        <v/>
      </c>
      <c r="D1139" s="4" t="n"/>
      <c r="E1139" s="5" t="n"/>
      <c r="F1139" s="5" t="n"/>
      <c r="G1139" s="5" t="n"/>
      <c r="H1139" s="5" t="n"/>
      <c r="I1139" s="5" t="n"/>
      <c r="J1139" s="6" t="n"/>
      <c r="K1139" s="6" t="n"/>
      <c r="L1139" s="7">
        <f>IF(OR(D1139="",N(J1139)=0),"",MIN(1,N(K1139)/J1139))</f>
        <v/>
      </c>
      <c r="M1139" s="5" t="n"/>
      <c r="N1139" s="5" t="n"/>
      <c r="O1139" s="5" t="n"/>
      <c r="P1139" s="5" t="n"/>
      <c r="Q1139" s="5" t="n"/>
      <c r="R1139" s="4" t="n"/>
      <c r="S1139" s="4" t="n"/>
      <c r="T1139" s="5" t="n"/>
      <c r="U1139" s="8">
        <f>IF(AND(V1139=1,D1139&lt;&gt;""),IF(D1139&gt;=corte,TODAY()-D1139,""),"")</f>
        <v/>
      </c>
      <c r="V1139" s="8">
        <f>IF(D1139="",0,IF(OR(AND(P1139&lt;&gt;"",S1139=""),AND(N(J1139)&gt;0,N(K1139)&lt;J1139),OR(M1139="PENDENTE",M1139="PARCIAL"),OR(N1139="PENDENTE",N1139="PARCIAL")),1,0))</f>
        <v/>
      </c>
      <c r="W1139" s="8">
        <f>IF(AND(V1139=1,D1139&lt;&gt;""),IF(D1139&gt;=corte,(B1139="CRÍTICO")*1E9+(100000-D1139)*10000+10000-ROW(),""),"")</f>
        <v/>
      </c>
      <c r="X1139" s="8">
        <f>IF(AND(V1139=1,D1139=pas_data,E1139=pas_turno),10000-ROW(),"")</f>
        <v/>
      </c>
    </row>
    <row r="1140">
      <c r="A1140" s="3">
        <f>IF(D1140="","","TT-"&amp;TEXT(ROW()-1,"00000"))</f>
        <v/>
      </c>
      <c r="B1140" s="3">
        <f>IF(D1140="","",IF(V1140=0,"CONCLUÍDO",IF(D1140&lt;corte,"HISTÓRICO",IF(OR(AND(ISNUMBER(R1140),R1140&lt;TODAY()),AND(OR(N1140="PENDENTE",N1140="PARCIAL"),D1140&lt;TODAY()-1)),"CRÍTICO",IF(OR(AND(P1140&lt;&gt;"",S1140=""),AND(N1140="REALIZADO",M1140="PENDENTE"),AND(ISNUMBER(R1140),R1140=TODAY())),"ATENÇÃO",IF(N(K1140)=0,"PENDENTE","EM ANDAMENTO"))))))</f>
        <v/>
      </c>
      <c r="C1140" s="3">
        <f>IF(D1140="","",IF(V1140=0,"🟢 OK",IF(D1140&lt;corte,"⚪ HISTÓRICO (sem baixa)",IF(AND(ISNUMBER(R1140),R1140&lt;TODAY()),"🔴 PRAZO VENCIDO",IF(AND(OR(N1140="PENDENTE",N1140="PARCIAL"),D1140&lt;TODAY()-1),"🔴 EMBARQUE ATRASADO",IF(AND(N1140="REALIZADO",M1140="PENDENTE"),"🟡 EMBARCADO SEM FATURAR",IF(AND(P1140&lt;&gt;"",S1140="",OR(Q1140="",R1140="")),"🟡 PENDÊNCIA SEM RESPONSÁVEL/PRAZO",IF(AND(ISNUMBER(R1140),R1140=TODAY()),"🟡 VENCE HOJE",IF(AND(P1140&lt;&gt;"",S1140=""),"🟡 PENDÊNCIA ABERTA",IF(AND(N(J1140)&gt;0,N(K1140)&lt;J1140),"🟡 FALTA EXECUTAR",IF(OR(M1140="PENDENTE",M1140="PARCIAL"),"🟡 FATURAMENTO PENDENTE","🟡 EMBARQUE PENDENTE")))))))))))</f>
        <v/>
      </c>
      <c r="D1140" s="4" t="n"/>
      <c r="E1140" s="5" t="n"/>
      <c r="F1140" s="5" t="n"/>
      <c r="G1140" s="5" t="n"/>
      <c r="H1140" s="5" t="n"/>
      <c r="I1140" s="5" t="n"/>
      <c r="J1140" s="6" t="n"/>
      <c r="K1140" s="6" t="n"/>
      <c r="L1140" s="7">
        <f>IF(OR(D1140="",N(J1140)=0),"",MIN(1,N(K1140)/J1140))</f>
        <v/>
      </c>
      <c r="M1140" s="5" t="n"/>
      <c r="N1140" s="5" t="n"/>
      <c r="O1140" s="5" t="n"/>
      <c r="P1140" s="5" t="n"/>
      <c r="Q1140" s="5" t="n"/>
      <c r="R1140" s="4" t="n"/>
      <c r="S1140" s="4" t="n"/>
      <c r="T1140" s="5" t="n"/>
      <c r="U1140" s="8">
        <f>IF(AND(V1140=1,D1140&lt;&gt;""),IF(D1140&gt;=corte,TODAY()-D1140,""),"")</f>
        <v/>
      </c>
      <c r="V1140" s="8">
        <f>IF(D1140="",0,IF(OR(AND(P1140&lt;&gt;"",S1140=""),AND(N(J1140)&gt;0,N(K1140)&lt;J1140),OR(M1140="PENDENTE",M1140="PARCIAL"),OR(N1140="PENDENTE",N1140="PARCIAL")),1,0))</f>
        <v/>
      </c>
      <c r="W1140" s="8">
        <f>IF(AND(V1140=1,D1140&lt;&gt;""),IF(D1140&gt;=corte,(B1140="CRÍTICO")*1E9+(100000-D1140)*10000+10000-ROW(),""),"")</f>
        <v/>
      </c>
      <c r="X1140" s="8">
        <f>IF(AND(V1140=1,D1140=pas_data,E1140=pas_turno),10000-ROW(),"")</f>
        <v/>
      </c>
    </row>
    <row r="1141">
      <c r="A1141" s="3">
        <f>IF(D1141="","","TT-"&amp;TEXT(ROW()-1,"00000"))</f>
        <v/>
      </c>
      <c r="B1141" s="3">
        <f>IF(D1141="","",IF(V1141=0,"CONCLUÍDO",IF(D1141&lt;corte,"HISTÓRICO",IF(OR(AND(ISNUMBER(R1141),R1141&lt;TODAY()),AND(OR(N1141="PENDENTE",N1141="PARCIAL"),D1141&lt;TODAY()-1)),"CRÍTICO",IF(OR(AND(P1141&lt;&gt;"",S1141=""),AND(N1141="REALIZADO",M1141="PENDENTE"),AND(ISNUMBER(R1141),R1141=TODAY())),"ATENÇÃO",IF(N(K1141)=0,"PENDENTE","EM ANDAMENTO"))))))</f>
        <v/>
      </c>
      <c r="C1141" s="3">
        <f>IF(D1141="","",IF(V1141=0,"🟢 OK",IF(D1141&lt;corte,"⚪ HISTÓRICO (sem baixa)",IF(AND(ISNUMBER(R1141),R1141&lt;TODAY()),"🔴 PRAZO VENCIDO",IF(AND(OR(N1141="PENDENTE",N1141="PARCIAL"),D1141&lt;TODAY()-1),"🔴 EMBARQUE ATRASADO",IF(AND(N1141="REALIZADO",M1141="PENDENTE"),"🟡 EMBARCADO SEM FATURAR",IF(AND(P1141&lt;&gt;"",S1141="",OR(Q1141="",R1141="")),"🟡 PENDÊNCIA SEM RESPONSÁVEL/PRAZO",IF(AND(ISNUMBER(R1141),R1141=TODAY()),"🟡 VENCE HOJE",IF(AND(P1141&lt;&gt;"",S1141=""),"🟡 PENDÊNCIA ABERTA",IF(AND(N(J1141)&gt;0,N(K1141)&lt;J1141),"🟡 FALTA EXECUTAR",IF(OR(M1141="PENDENTE",M1141="PARCIAL"),"🟡 FATURAMENTO PENDENTE","🟡 EMBARQUE PENDENTE")))))))))))</f>
        <v/>
      </c>
      <c r="D1141" s="4" t="n"/>
      <c r="E1141" s="5" t="n"/>
      <c r="F1141" s="5" t="n"/>
      <c r="G1141" s="5" t="n"/>
      <c r="H1141" s="5" t="n"/>
      <c r="I1141" s="5" t="n"/>
      <c r="J1141" s="6" t="n"/>
      <c r="K1141" s="6" t="n"/>
      <c r="L1141" s="7">
        <f>IF(OR(D1141="",N(J1141)=0),"",MIN(1,N(K1141)/J1141))</f>
        <v/>
      </c>
      <c r="M1141" s="5" t="n"/>
      <c r="N1141" s="5" t="n"/>
      <c r="O1141" s="5" t="n"/>
      <c r="P1141" s="5" t="n"/>
      <c r="Q1141" s="5" t="n"/>
      <c r="R1141" s="4" t="n"/>
      <c r="S1141" s="4" t="n"/>
      <c r="T1141" s="5" t="n"/>
      <c r="U1141" s="8">
        <f>IF(AND(V1141=1,D1141&lt;&gt;""),IF(D1141&gt;=corte,TODAY()-D1141,""),"")</f>
        <v/>
      </c>
      <c r="V1141" s="8">
        <f>IF(D1141="",0,IF(OR(AND(P1141&lt;&gt;"",S1141=""),AND(N(J1141)&gt;0,N(K1141)&lt;J1141),OR(M1141="PENDENTE",M1141="PARCIAL"),OR(N1141="PENDENTE",N1141="PARCIAL")),1,0))</f>
        <v/>
      </c>
      <c r="W1141" s="8">
        <f>IF(AND(V1141=1,D1141&lt;&gt;""),IF(D1141&gt;=corte,(B1141="CRÍTICO")*1E9+(100000-D1141)*10000+10000-ROW(),""),"")</f>
        <v/>
      </c>
      <c r="X1141" s="8">
        <f>IF(AND(V1141=1,D1141=pas_data,E1141=pas_turno),10000-ROW(),"")</f>
        <v/>
      </c>
    </row>
    <row r="1142">
      <c r="A1142" s="3">
        <f>IF(D1142="","","TT-"&amp;TEXT(ROW()-1,"00000"))</f>
        <v/>
      </c>
      <c r="B1142" s="3">
        <f>IF(D1142="","",IF(V1142=0,"CONCLUÍDO",IF(D1142&lt;corte,"HISTÓRICO",IF(OR(AND(ISNUMBER(R1142),R1142&lt;TODAY()),AND(OR(N1142="PENDENTE",N1142="PARCIAL"),D1142&lt;TODAY()-1)),"CRÍTICO",IF(OR(AND(P1142&lt;&gt;"",S1142=""),AND(N1142="REALIZADO",M1142="PENDENTE"),AND(ISNUMBER(R1142),R1142=TODAY())),"ATENÇÃO",IF(N(K1142)=0,"PENDENTE","EM ANDAMENTO"))))))</f>
        <v/>
      </c>
      <c r="C1142" s="3">
        <f>IF(D1142="","",IF(V1142=0,"🟢 OK",IF(D1142&lt;corte,"⚪ HISTÓRICO (sem baixa)",IF(AND(ISNUMBER(R1142),R1142&lt;TODAY()),"🔴 PRAZO VENCIDO",IF(AND(OR(N1142="PENDENTE",N1142="PARCIAL"),D1142&lt;TODAY()-1),"🔴 EMBARQUE ATRASADO",IF(AND(N1142="REALIZADO",M1142="PENDENTE"),"🟡 EMBARCADO SEM FATURAR",IF(AND(P1142&lt;&gt;"",S1142="",OR(Q1142="",R1142="")),"🟡 PENDÊNCIA SEM RESPONSÁVEL/PRAZO",IF(AND(ISNUMBER(R1142),R1142=TODAY()),"🟡 VENCE HOJE",IF(AND(P1142&lt;&gt;"",S1142=""),"🟡 PENDÊNCIA ABERTA",IF(AND(N(J1142)&gt;0,N(K1142)&lt;J1142),"🟡 FALTA EXECUTAR",IF(OR(M1142="PENDENTE",M1142="PARCIAL"),"🟡 FATURAMENTO PENDENTE","🟡 EMBARQUE PENDENTE")))))))))))</f>
        <v/>
      </c>
      <c r="D1142" s="4" t="n"/>
      <c r="E1142" s="5" t="n"/>
      <c r="F1142" s="5" t="n"/>
      <c r="G1142" s="5" t="n"/>
      <c r="H1142" s="5" t="n"/>
      <c r="I1142" s="5" t="n"/>
      <c r="J1142" s="6" t="n"/>
      <c r="K1142" s="6" t="n"/>
      <c r="L1142" s="7">
        <f>IF(OR(D1142="",N(J1142)=0),"",MIN(1,N(K1142)/J1142))</f>
        <v/>
      </c>
      <c r="M1142" s="5" t="n"/>
      <c r="N1142" s="5" t="n"/>
      <c r="O1142" s="5" t="n"/>
      <c r="P1142" s="5" t="n"/>
      <c r="Q1142" s="5" t="n"/>
      <c r="R1142" s="4" t="n"/>
      <c r="S1142" s="4" t="n"/>
      <c r="T1142" s="5" t="n"/>
      <c r="U1142" s="8">
        <f>IF(AND(V1142=1,D1142&lt;&gt;""),IF(D1142&gt;=corte,TODAY()-D1142,""),"")</f>
        <v/>
      </c>
      <c r="V1142" s="8">
        <f>IF(D1142="",0,IF(OR(AND(P1142&lt;&gt;"",S1142=""),AND(N(J1142)&gt;0,N(K1142)&lt;J1142),OR(M1142="PENDENTE",M1142="PARCIAL"),OR(N1142="PENDENTE",N1142="PARCIAL")),1,0))</f>
        <v/>
      </c>
      <c r="W1142" s="8">
        <f>IF(AND(V1142=1,D1142&lt;&gt;""),IF(D1142&gt;=corte,(B1142="CRÍTICO")*1E9+(100000-D1142)*10000+10000-ROW(),""),"")</f>
        <v/>
      </c>
      <c r="X1142" s="8">
        <f>IF(AND(V1142=1,D1142=pas_data,E1142=pas_turno),10000-ROW(),"")</f>
        <v/>
      </c>
    </row>
    <row r="1143">
      <c r="A1143" s="3">
        <f>IF(D1143="","","TT-"&amp;TEXT(ROW()-1,"00000"))</f>
        <v/>
      </c>
      <c r="B1143" s="3">
        <f>IF(D1143="","",IF(V1143=0,"CONCLUÍDO",IF(D1143&lt;corte,"HISTÓRICO",IF(OR(AND(ISNUMBER(R1143),R1143&lt;TODAY()),AND(OR(N1143="PENDENTE",N1143="PARCIAL"),D1143&lt;TODAY()-1)),"CRÍTICO",IF(OR(AND(P1143&lt;&gt;"",S1143=""),AND(N1143="REALIZADO",M1143="PENDENTE"),AND(ISNUMBER(R1143),R1143=TODAY())),"ATENÇÃO",IF(N(K1143)=0,"PENDENTE","EM ANDAMENTO"))))))</f>
        <v/>
      </c>
      <c r="C1143" s="3">
        <f>IF(D1143="","",IF(V1143=0,"🟢 OK",IF(D1143&lt;corte,"⚪ HISTÓRICO (sem baixa)",IF(AND(ISNUMBER(R1143),R1143&lt;TODAY()),"🔴 PRAZO VENCIDO",IF(AND(OR(N1143="PENDENTE",N1143="PARCIAL"),D1143&lt;TODAY()-1),"🔴 EMBARQUE ATRASADO",IF(AND(N1143="REALIZADO",M1143="PENDENTE"),"🟡 EMBARCADO SEM FATURAR",IF(AND(P1143&lt;&gt;"",S1143="",OR(Q1143="",R1143="")),"🟡 PENDÊNCIA SEM RESPONSÁVEL/PRAZO",IF(AND(ISNUMBER(R1143),R1143=TODAY()),"🟡 VENCE HOJE",IF(AND(P1143&lt;&gt;"",S1143=""),"🟡 PENDÊNCIA ABERTA",IF(AND(N(J1143)&gt;0,N(K1143)&lt;J1143),"🟡 FALTA EXECUTAR",IF(OR(M1143="PENDENTE",M1143="PARCIAL"),"🟡 FATURAMENTO PENDENTE","🟡 EMBARQUE PENDENTE")))))))))))</f>
        <v/>
      </c>
      <c r="D1143" s="4" t="n"/>
      <c r="E1143" s="5" t="n"/>
      <c r="F1143" s="5" t="n"/>
      <c r="G1143" s="5" t="n"/>
      <c r="H1143" s="5" t="n"/>
      <c r="I1143" s="5" t="n"/>
      <c r="J1143" s="6" t="n"/>
      <c r="K1143" s="6" t="n"/>
      <c r="L1143" s="7">
        <f>IF(OR(D1143="",N(J1143)=0),"",MIN(1,N(K1143)/J1143))</f>
        <v/>
      </c>
      <c r="M1143" s="5" t="n"/>
      <c r="N1143" s="5" t="n"/>
      <c r="O1143" s="5" t="n"/>
      <c r="P1143" s="5" t="n"/>
      <c r="Q1143" s="5" t="n"/>
      <c r="R1143" s="4" t="n"/>
      <c r="S1143" s="4" t="n"/>
      <c r="T1143" s="5" t="n"/>
      <c r="U1143" s="8">
        <f>IF(AND(V1143=1,D1143&lt;&gt;""),IF(D1143&gt;=corte,TODAY()-D1143,""),"")</f>
        <v/>
      </c>
      <c r="V1143" s="8">
        <f>IF(D1143="",0,IF(OR(AND(P1143&lt;&gt;"",S1143=""),AND(N(J1143)&gt;0,N(K1143)&lt;J1143),OR(M1143="PENDENTE",M1143="PARCIAL"),OR(N1143="PENDENTE",N1143="PARCIAL")),1,0))</f>
        <v/>
      </c>
      <c r="W1143" s="8">
        <f>IF(AND(V1143=1,D1143&lt;&gt;""),IF(D1143&gt;=corte,(B1143="CRÍTICO")*1E9+(100000-D1143)*10000+10000-ROW(),""),"")</f>
        <v/>
      </c>
      <c r="X1143" s="8">
        <f>IF(AND(V1143=1,D1143=pas_data,E1143=pas_turno),10000-ROW(),"")</f>
        <v/>
      </c>
    </row>
    <row r="1144">
      <c r="A1144" s="3">
        <f>IF(D1144="","","TT-"&amp;TEXT(ROW()-1,"00000"))</f>
        <v/>
      </c>
      <c r="B1144" s="3">
        <f>IF(D1144="","",IF(V1144=0,"CONCLUÍDO",IF(D1144&lt;corte,"HISTÓRICO",IF(OR(AND(ISNUMBER(R1144),R1144&lt;TODAY()),AND(OR(N1144="PENDENTE",N1144="PARCIAL"),D1144&lt;TODAY()-1)),"CRÍTICO",IF(OR(AND(P1144&lt;&gt;"",S1144=""),AND(N1144="REALIZADO",M1144="PENDENTE"),AND(ISNUMBER(R1144),R1144=TODAY())),"ATENÇÃO",IF(N(K1144)=0,"PENDENTE","EM ANDAMENTO"))))))</f>
        <v/>
      </c>
      <c r="C1144" s="3">
        <f>IF(D1144="","",IF(V1144=0,"🟢 OK",IF(D1144&lt;corte,"⚪ HISTÓRICO (sem baixa)",IF(AND(ISNUMBER(R1144),R1144&lt;TODAY()),"🔴 PRAZO VENCIDO",IF(AND(OR(N1144="PENDENTE",N1144="PARCIAL"),D1144&lt;TODAY()-1),"🔴 EMBARQUE ATRASADO",IF(AND(N1144="REALIZADO",M1144="PENDENTE"),"🟡 EMBARCADO SEM FATURAR",IF(AND(P1144&lt;&gt;"",S1144="",OR(Q1144="",R1144="")),"🟡 PENDÊNCIA SEM RESPONSÁVEL/PRAZO",IF(AND(ISNUMBER(R1144),R1144=TODAY()),"🟡 VENCE HOJE",IF(AND(P1144&lt;&gt;"",S1144=""),"🟡 PENDÊNCIA ABERTA",IF(AND(N(J1144)&gt;0,N(K1144)&lt;J1144),"🟡 FALTA EXECUTAR",IF(OR(M1144="PENDENTE",M1144="PARCIAL"),"🟡 FATURAMENTO PENDENTE","🟡 EMBARQUE PENDENTE")))))))))))</f>
        <v/>
      </c>
      <c r="D1144" s="4" t="n"/>
      <c r="E1144" s="5" t="n"/>
      <c r="F1144" s="5" t="n"/>
      <c r="G1144" s="5" t="n"/>
      <c r="H1144" s="5" t="n"/>
      <c r="I1144" s="5" t="n"/>
      <c r="J1144" s="6" t="n"/>
      <c r="K1144" s="6" t="n"/>
      <c r="L1144" s="7">
        <f>IF(OR(D1144="",N(J1144)=0),"",MIN(1,N(K1144)/J1144))</f>
        <v/>
      </c>
      <c r="M1144" s="5" t="n"/>
      <c r="N1144" s="5" t="n"/>
      <c r="O1144" s="5" t="n"/>
      <c r="P1144" s="5" t="n"/>
      <c r="Q1144" s="5" t="n"/>
      <c r="R1144" s="4" t="n"/>
      <c r="S1144" s="4" t="n"/>
      <c r="T1144" s="5" t="n"/>
      <c r="U1144" s="8">
        <f>IF(AND(V1144=1,D1144&lt;&gt;""),IF(D1144&gt;=corte,TODAY()-D1144,""),"")</f>
        <v/>
      </c>
      <c r="V1144" s="8">
        <f>IF(D1144="",0,IF(OR(AND(P1144&lt;&gt;"",S1144=""),AND(N(J1144)&gt;0,N(K1144)&lt;J1144),OR(M1144="PENDENTE",M1144="PARCIAL"),OR(N1144="PENDENTE",N1144="PARCIAL")),1,0))</f>
        <v/>
      </c>
      <c r="W1144" s="8">
        <f>IF(AND(V1144=1,D1144&lt;&gt;""),IF(D1144&gt;=corte,(B1144="CRÍTICO")*1E9+(100000-D1144)*10000+10000-ROW(),""),"")</f>
        <v/>
      </c>
      <c r="X1144" s="8">
        <f>IF(AND(V1144=1,D1144=pas_data,E1144=pas_turno),10000-ROW(),"")</f>
        <v/>
      </c>
    </row>
    <row r="1145">
      <c r="A1145" s="3">
        <f>IF(D1145="","","TT-"&amp;TEXT(ROW()-1,"00000"))</f>
        <v/>
      </c>
      <c r="B1145" s="3">
        <f>IF(D1145="","",IF(V1145=0,"CONCLUÍDO",IF(D1145&lt;corte,"HISTÓRICO",IF(OR(AND(ISNUMBER(R1145),R1145&lt;TODAY()),AND(OR(N1145="PENDENTE",N1145="PARCIAL"),D1145&lt;TODAY()-1)),"CRÍTICO",IF(OR(AND(P1145&lt;&gt;"",S1145=""),AND(N1145="REALIZADO",M1145="PENDENTE"),AND(ISNUMBER(R1145),R1145=TODAY())),"ATENÇÃO",IF(N(K1145)=0,"PENDENTE","EM ANDAMENTO"))))))</f>
        <v/>
      </c>
      <c r="C1145" s="3">
        <f>IF(D1145="","",IF(V1145=0,"🟢 OK",IF(D1145&lt;corte,"⚪ HISTÓRICO (sem baixa)",IF(AND(ISNUMBER(R1145),R1145&lt;TODAY()),"🔴 PRAZO VENCIDO",IF(AND(OR(N1145="PENDENTE",N1145="PARCIAL"),D1145&lt;TODAY()-1),"🔴 EMBARQUE ATRASADO",IF(AND(N1145="REALIZADO",M1145="PENDENTE"),"🟡 EMBARCADO SEM FATURAR",IF(AND(P1145&lt;&gt;"",S1145="",OR(Q1145="",R1145="")),"🟡 PENDÊNCIA SEM RESPONSÁVEL/PRAZO",IF(AND(ISNUMBER(R1145),R1145=TODAY()),"🟡 VENCE HOJE",IF(AND(P1145&lt;&gt;"",S1145=""),"🟡 PENDÊNCIA ABERTA",IF(AND(N(J1145)&gt;0,N(K1145)&lt;J1145),"🟡 FALTA EXECUTAR",IF(OR(M1145="PENDENTE",M1145="PARCIAL"),"🟡 FATURAMENTO PENDENTE","🟡 EMBARQUE PENDENTE")))))))))))</f>
        <v/>
      </c>
      <c r="D1145" s="4" t="n"/>
      <c r="E1145" s="5" t="n"/>
      <c r="F1145" s="5" t="n"/>
      <c r="G1145" s="5" t="n"/>
      <c r="H1145" s="5" t="n"/>
      <c r="I1145" s="5" t="n"/>
      <c r="J1145" s="6" t="n"/>
      <c r="K1145" s="6" t="n"/>
      <c r="L1145" s="7">
        <f>IF(OR(D1145="",N(J1145)=0),"",MIN(1,N(K1145)/J1145))</f>
        <v/>
      </c>
      <c r="M1145" s="5" t="n"/>
      <c r="N1145" s="5" t="n"/>
      <c r="O1145" s="5" t="n"/>
      <c r="P1145" s="5" t="n"/>
      <c r="Q1145" s="5" t="n"/>
      <c r="R1145" s="4" t="n"/>
      <c r="S1145" s="4" t="n"/>
      <c r="T1145" s="5" t="n"/>
      <c r="U1145" s="8">
        <f>IF(AND(V1145=1,D1145&lt;&gt;""),IF(D1145&gt;=corte,TODAY()-D1145,""),"")</f>
        <v/>
      </c>
      <c r="V1145" s="8">
        <f>IF(D1145="",0,IF(OR(AND(P1145&lt;&gt;"",S1145=""),AND(N(J1145)&gt;0,N(K1145)&lt;J1145),OR(M1145="PENDENTE",M1145="PARCIAL"),OR(N1145="PENDENTE",N1145="PARCIAL")),1,0))</f>
        <v/>
      </c>
      <c r="W1145" s="8">
        <f>IF(AND(V1145=1,D1145&lt;&gt;""),IF(D1145&gt;=corte,(B1145="CRÍTICO")*1E9+(100000-D1145)*10000+10000-ROW(),""),"")</f>
        <v/>
      </c>
      <c r="X1145" s="8">
        <f>IF(AND(V1145=1,D1145=pas_data,E1145=pas_turno),10000-ROW(),"")</f>
        <v/>
      </c>
    </row>
    <row r="1146">
      <c r="A1146" s="3">
        <f>IF(D1146="","","TT-"&amp;TEXT(ROW()-1,"00000"))</f>
        <v/>
      </c>
      <c r="B1146" s="3">
        <f>IF(D1146="","",IF(V1146=0,"CONCLUÍDO",IF(D1146&lt;corte,"HISTÓRICO",IF(OR(AND(ISNUMBER(R1146),R1146&lt;TODAY()),AND(OR(N1146="PENDENTE",N1146="PARCIAL"),D1146&lt;TODAY()-1)),"CRÍTICO",IF(OR(AND(P1146&lt;&gt;"",S1146=""),AND(N1146="REALIZADO",M1146="PENDENTE"),AND(ISNUMBER(R1146),R1146=TODAY())),"ATENÇÃO",IF(N(K1146)=0,"PENDENTE","EM ANDAMENTO"))))))</f>
        <v/>
      </c>
      <c r="C1146" s="3">
        <f>IF(D1146="","",IF(V1146=0,"🟢 OK",IF(D1146&lt;corte,"⚪ HISTÓRICO (sem baixa)",IF(AND(ISNUMBER(R1146),R1146&lt;TODAY()),"🔴 PRAZO VENCIDO",IF(AND(OR(N1146="PENDENTE",N1146="PARCIAL"),D1146&lt;TODAY()-1),"🔴 EMBARQUE ATRASADO",IF(AND(N1146="REALIZADO",M1146="PENDENTE"),"🟡 EMBARCADO SEM FATURAR",IF(AND(P1146&lt;&gt;"",S1146="",OR(Q1146="",R1146="")),"🟡 PENDÊNCIA SEM RESPONSÁVEL/PRAZO",IF(AND(ISNUMBER(R1146),R1146=TODAY()),"🟡 VENCE HOJE",IF(AND(P1146&lt;&gt;"",S1146=""),"🟡 PENDÊNCIA ABERTA",IF(AND(N(J1146)&gt;0,N(K1146)&lt;J1146),"🟡 FALTA EXECUTAR",IF(OR(M1146="PENDENTE",M1146="PARCIAL"),"🟡 FATURAMENTO PENDENTE","🟡 EMBARQUE PENDENTE")))))))))))</f>
        <v/>
      </c>
      <c r="D1146" s="4" t="n"/>
      <c r="E1146" s="5" t="n"/>
      <c r="F1146" s="5" t="n"/>
      <c r="G1146" s="5" t="n"/>
      <c r="H1146" s="5" t="n"/>
      <c r="I1146" s="5" t="n"/>
      <c r="J1146" s="6" t="n"/>
      <c r="K1146" s="6" t="n"/>
      <c r="L1146" s="7">
        <f>IF(OR(D1146="",N(J1146)=0),"",MIN(1,N(K1146)/J1146))</f>
        <v/>
      </c>
      <c r="M1146" s="5" t="n"/>
      <c r="N1146" s="5" t="n"/>
      <c r="O1146" s="5" t="n"/>
      <c r="P1146" s="5" t="n"/>
      <c r="Q1146" s="5" t="n"/>
      <c r="R1146" s="4" t="n"/>
      <c r="S1146" s="4" t="n"/>
      <c r="T1146" s="5" t="n"/>
      <c r="U1146" s="8">
        <f>IF(AND(V1146=1,D1146&lt;&gt;""),IF(D1146&gt;=corte,TODAY()-D1146,""),"")</f>
        <v/>
      </c>
      <c r="V1146" s="8">
        <f>IF(D1146="",0,IF(OR(AND(P1146&lt;&gt;"",S1146=""),AND(N(J1146)&gt;0,N(K1146)&lt;J1146),OR(M1146="PENDENTE",M1146="PARCIAL"),OR(N1146="PENDENTE",N1146="PARCIAL")),1,0))</f>
        <v/>
      </c>
      <c r="W1146" s="8">
        <f>IF(AND(V1146=1,D1146&lt;&gt;""),IF(D1146&gt;=corte,(B1146="CRÍTICO")*1E9+(100000-D1146)*10000+10000-ROW(),""),"")</f>
        <v/>
      </c>
      <c r="X1146" s="8">
        <f>IF(AND(V1146=1,D1146=pas_data,E1146=pas_turno),10000-ROW(),"")</f>
        <v/>
      </c>
    </row>
    <row r="1147">
      <c r="A1147" s="3">
        <f>IF(D1147="","","TT-"&amp;TEXT(ROW()-1,"00000"))</f>
        <v/>
      </c>
      <c r="B1147" s="3">
        <f>IF(D1147="","",IF(V1147=0,"CONCLUÍDO",IF(D1147&lt;corte,"HISTÓRICO",IF(OR(AND(ISNUMBER(R1147),R1147&lt;TODAY()),AND(OR(N1147="PENDENTE",N1147="PARCIAL"),D1147&lt;TODAY()-1)),"CRÍTICO",IF(OR(AND(P1147&lt;&gt;"",S1147=""),AND(N1147="REALIZADO",M1147="PENDENTE"),AND(ISNUMBER(R1147),R1147=TODAY())),"ATENÇÃO",IF(N(K1147)=0,"PENDENTE","EM ANDAMENTO"))))))</f>
        <v/>
      </c>
      <c r="C1147" s="3">
        <f>IF(D1147="","",IF(V1147=0,"🟢 OK",IF(D1147&lt;corte,"⚪ HISTÓRICO (sem baixa)",IF(AND(ISNUMBER(R1147),R1147&lt;TODAY()),"🔴 PRAZO VENCIDO",IF(AND(OR(N1147="PENDENTE",N1147="PARCIAL"),D1147&lt;TODAY()-1),"🔴 EMBARQUE ATRASADO",IF(AND(N1147="REALIZADO",M1147="PENDENTE"),"🟡 EMBARCADO SEM FATURAR",IF(AND(P1147&lt;&gt;"",S1147="",OR(Q1147="",R1147="")),"🟡 PENDÊNCIA SEM RESPONSÁVEL/PRAZO",IF(AND(ISNUMBER(R1147),R1147=TODAY()),"🟡 VENCE HOJE",IF(AND(P1147&lt;&gt;"",S1147=""),"🟡 PENDÊNCIA ABERTA",IF(AND(N(J1147)&gt;0,N(K1147)&lt;J1147),"🟡 FALTA EXECUTAR",IF(OR(M1147="PENDENTE",M1147="PARCIAL"),"🟡 FATURAMENTO PENDENTE","🟡 EMBARQUE PENDENTE")))))))))))</f>
        <v/>
      </c>
      <c r="D1147" s="4" t="n"/>
      <c r="E1147" s="5" t="n"/>
      <c r="F1147" s="5" t="n"/>
      <c r="G1147" s="5" t="n"/>
      <c r="H1147" s="5" t="n"/>
      <c r="I1147" s="5" t="n"/>
      <c r="J1147" s="6" t="n"/>
      <c r="K1147" s="6" t="n"/>
      <c r="L1147" s="7">
        <f>IF(OR(D1147="",N(J1147)=0),"",MIN(1,N(K1147)/J1147))</f>
        <v/>
      </c>
      <c r="M1147" s="5" t="n"/>
      <c r="N1147" s="5" t="n"/>
      <c r="O1147" s="5" t="n"/>
      <c r="P1147" s="5" t="n"/>
      <c r="Q1147" s="5" t="n"/>
      <c r="R1147" s="4" t="n"/>
      <c r="S1147" s="4" t="n"/>
      <c r="T1147" s="5" t="n"/>
      <c r="U1147" s="8">
        <f>IF(AND(V1147=1,D1147&lt;&gt;""),IF(D1147&gt;=corte,TODAY()-D1147,""),"")</f>
        <v/>
      </c>
      <c r="V1147" s="8">
        <f>IF(D1147="",0,IF(OR(AND(P1147&lt;&gt;"",S1147=""),AND(N(J1147)&gt;0,N(K1147)&lt;J1147),OR(M1147="PENDENTE",M1147="PARCIAL"),OR(N1147="PENDENTE",N1147="PARCIAL")),1,0))</f>
        <v/>
      </c>
      <c r="W1147" s="8">
        <f>IF(AND(V1147=1,D1147&lt;&gt;""),IF(D1147&gt;=corte,(B1147="CRÍTICO")*1E9+(100000-D1147)*10000+10000-ROW(),""),"")</f>
        <v/>
      </c>
      <c r="X1147" s="8">
        <f>IF(AND(V1147=1,D1147=pas_data,E1147=pas_turno),10000-ROW(),"")</f>
        <v/>
      </c>
    </row>
    <row r="1148">
      <c r="A1148" s="3">
        <f>IF(D1148="","","TT-"&amp;TEXT(ROW()-1,"00000"))</f>
        <v/>
      </c>
      <c r="B1148" s="3">
        <f>IF(D1148="","",IF(V1148=0,"CONCLUÍDO",IF(D1148&lt;corte,"HISTÓRICO",IF(OR(AND(ISNUMBER(R1148),R1148&lt;TODAY()),AND(OR(N1148="PENDENTE",N1148="PARCIAL"),D1148&lt;TODAY()-1)),"CRÍTICO",IF(OR(AND(P1148&lt;&gt;"",S1148=""),AND(N1148="REALIZADO",M1148="PENDENTE"),AND(ISNUMBER(R1148),R1148=TODAY())),"ATENÇÃO",IF(N(K1148)=0,"PENDENTE","EM ANDAMENTO"))))))</f>
        <v/>
      </c>
      <c r="C1148" s="3">
        <f>IF(D1148="","",IF(V1148=0,"🟢 OK",IF(D1148&lt;corte,"⚪ HISTÓRICO (sem baixa)",IF(AND(ISNUMBER(R1148),R1148&lt;TODAY()),"🔴 PRAZO VENCIDO",IF(AND(OR(N1148="PENDENTE",N1148="PARCIAL"),D1148&lt;TODAY()-1),"🔴 EMBARQUE ATRASADO",IF(AND(N1148="REALIZADO",M1148="PENDENTE"),"🟡 EMBARCADO SEM FATURAR",IF(AND(P1148&lt;&gt;"",S1148="",OR(Q1148="",R1148="")),"🟡 PENDÊNCIA SEM RESPONSÁVEL/PRAZO",IF(AND(ISNUMBER(R1148),R1148=TODAY()),"🟡 VENCE HOJE",IF(AND(P1148&lt;&gt;"",S1148=""),"🟡 PENDÊNCIA ABERTA",IF(AND(N(J1148)&gt;0,N(K1148)&lt;J1148),"🟡 FALTA EXECUTAR",IF(OR(M1148="PENDENTE",M1148="PARCIAL"),"🟡 FATURAMENTO PENDENTE","🟡 EMBARQUE PENDENTE")))))))))))</f>
        <v/>
      </c>
      <c r="D1148" s="4" t="n"/>
      <c r="E1148" s="5" t="n"/>
      <c r="F1148" s="5" t="n"/>
      <c r="G1148" s="5" t="n"/>
      <c r="H1148" s="5" t="n"/>
      <c r="I1148" s="5" t="n"/>
      <c r="J1148" s="6" t="n"/>
      <c r="K1148" s="6" t="n"/>
      <c r="L1148" s="7">
        <f>IF(OR(D1148="",N(J1148)=0),"",MIN(1,N(K1148)/J1148))</f>
        <v/>
      </c>
      <c r="M1148" s="5" t="n"/>
      <c r="N1148" s="5" t="n"/>
      <c r="O1148" s="5" t="n"/>
      <c r="P1148" s="5" t="n"/>
      <c r="Q1148" s="5" t="n"/>
      <c r="R1148" s="4" t="n"/>
      <c r="S1148" s="4" t="n"/>
      <c r="T1148" s="5" t="n"/>
      <c r="U1148" s="8">
        <f>IF(AND(V1148=1,D1148&lt;&gt;""),IF(D1148&gt;=corte,TODAY()-D1148,""),"")</f>
        <v/>
      </c>
      <c r="V1148" s="8">
        <f>IF(D1148="",0,IF(OR(AND(P1148&lt;&gt;"",S1148=""),AND(N(J1148)&gt;0,N(K1148)&lt;J1148),OR(M1148="PENDENTE",M1148="PARCIAL"),OR(N1148="PENDENTE",N1148="PARCIAL")),1,0))</f>
        <v/>
      </c>
      <c r="W1148" s="8">
        <f>IF(AND(V1148=1,D1148&lt;&gt;""),IF(D1148&gt;=corte,(B1148="CRÍTICO")*1E9+(100000-D1148)*10000+10000-ROW(),""),"")</f>
        <v/>
      </c>
      <c r="X1148" s="8">
        <f>IF(AND(V1148=1,D1148=pas_data,E1148=pas_turno),10000-ROW(),"")</f>
        <v/>
      </c>
    </row>
    <row r="1149">
      <c r="A1149" s="3">
        <f>IF(D1149="","","TT-"&amp;TEXT(ROW()-1,"00000"))</f>
        <v/>
      </c>
      <c r="B1149" s="3">
        <f>IF(D1149="","",IF(V1149=0,"CONCLUÍDO",IF(D1149&lt;corte,"HISTÓRICO",IF(OR(AND(ISNUMBER(R1149),R1149&lt;TODAY()),AND(OR(N1149="PENDENTE",N1149="PARCIAL"),D1149&lt;TODAY()-1)),"CRÍTICO",IF(OR(AND(P1149&lt;&gt;"",S1149=""),AND(N1149="REALIZADO",M1149="PENDENTE"),AND(ISNUMBER(R1149),R1149=TODAY())),"ATENÇÃO",IF(N(K1149)=0,"PENDENTE","EM ANDAMENTO"))))))</f>
        <v/>
      </c>
      <c r="C1149" s="3">
        <f>IF(D1149="","",IF(V1149=0,"🟢 OK",IF(D1149&lt;corte,"⚪ HISTÓRICO (sem baixa)",IF(AND(ISNUMBER(R1149),R1149&lt;TODAY()),"🔴 PRAZO VENCIDO",IF(AND(OR(N1149="PENDENTE",N1149="PARCIAL"),D1149&lt;TODAY()-1),"🔴 EMBARQUE ATRASADO",IF(AND(N1149="REALIZADO",M1149="PENDENTE"),"🟡 EMBARCADO SEM FATURAR",IF(AND(P1149&lt;&gt;"",S1149="",OR(Q1149="",R1149="")),"🟡 PENDÊNCIA SEM RESPONSÁVEL/PRAZO",IF(AND(ISNUMBER(R1149),R1149=TODAY()),"🟡 VENCE HOJE",IF(AND(P1149&lt;&gt;"",S1149=""),"🟡 PENDÊNCIA ABERTA",IF(AND(N(J1149)&gt;0,N(K1149)&lt;J1149),"🟡 FALTA EXECUTAR",IF(OR(M1149="PENDENTE",M1149="PARCIAL"),"🟡 FATURAMENTO PENDENTE","🟡 EMBARQUE PENDENTE")))))))))))</f>
        <v/>
      </c>
      <c r="D1149" s="4" t="n"/>
      <c r="E1149" s="5" t="n"/>
      <c r="F1149" s="5" t="n"/>
      <c r="G1149" s="5" t="n"/>
      <c r="H1149" s="5" t="n"/>
      <c r="I1149" s="5" t="n"/>
      <c r="J1149" s="6" t="n"/>
      <c r="K1149" s="6" t="n"/>
      <c r="L1149" s="7">
        <f>IF(OR(D1149="",N(J1149)=0),"",MIN(1,N(K1149)/J1149))</f>
        <v/>
      </c>
      <c r="M1149" s="5" t="n"/>
      <c r="N1149" s="5" t="n"/>
      <c r="O1149" s="5" t="n"/>
      <c r="P1149" s="5" t="n"/>
      <c r="Q1149" s="5" t="n"/>
      <c r="R1149" s="4" t="n"/>
      <c r="S1149" s="4" t="n"/>
      <c r="T1149" s="5" t="n"/>
      <c r="U1149" s="8">
        <f>IF(AND(V1149=1,D1149&lt;&gt;""),IF(D1149&gt;=corte,TODAY()-D1149,""),"")</f>
        <v/>
      </c>
      <c r="V1149" s="8">
        <f>IF(D1149="",0,IF(OR(AND(P1149&lt;&gt;"",S1149=""),AND(N(J1149)&gt;0,N(K1149)&lt;J1149),OR(M1149="PENDENTE",M1149="PARCIAL"),OR(N1149="PENDENTE",N1149="PARCIAL")),1,0))</f>
        <v/>
      </c>
      <c r="W1149" s="8">
        <f>IF(AND(V1149=1,D1149&lt;&gt;""),IF(D1149&gt;=corte,(B1149="CRÍTICO")*1E9+(100000-D1149)*10000+10000-ROW(),""),"")</f>
        <v/>
      </c>
      <c r="X1149" s="8">
        <f>IF(AND(V1149=1,D1149=pas_data,E1149=pas_turno),10000-ROW(),"")</f>
        <v/>
      </c>
    </row>
    <row r="1150">
      <c r="A1150" s="3">
        <f>IF(D1150="","","TT-"&amp;TEXT(ROW()-1,"00000"))</f>
        <v/>
      </c>
      <c r="B1150" s="3">
        <f>IF(D1150="","",IF(V1150=0,"CONCLUÍDO",IF(D1150&lt;corte,"HISTÓRICO",IF(OR(AND(ISNUMBER(R1150),R1150&lt;TODAY()),AND(OR(N1150="PENDENTE",N1150="PARCIAL"),D1150&lt;TODAY()-1)),"CRÍTICO",IF(OR(AND(P1150&lt;&gt;"",S1150=""),AND(N1150="REALIZADO",M1150="PENDENTE"),AND(ISNUMBER(R1150),R1150=TODAY())),"ATENÇÃO",IF(N(K1150)=0,"PENDENTE","EM ANDAMENTO"))))))</f>
        <v/>
      </c>
      <c r="C1150" s="3">
        <f>IF(D1150="","",IF(V1150=0,"🟢 OK",IF(D1150&lt;corte,"⚪ HISTÓRICO (sem baixa)",IF(AND(ISNUMBER(R1150),R1150&lt;TODAY()),"🔴 PRAZO VENCIDO",IF(AND(OR(N1150="PENDENTE",N1150="PARCIAL"),D1150&lt;TODAY()-1),"🔴 EMBARQUE ATRASADO",IF(AND(N1150="REALIZADO",M1150="PENDENTE"),"🟡 EMBARCADO SEM FATURAR",IF(AND(P1150&lt;&gt;"",S1150="",OR(Q1150="",R1150="")),"🟡 PENDÊNCIA SEM RESPONSÁVEL/PRAZO",IF(AND(ISNUMBER(R1150),R1150=TODAY()),"🟡 VENCE HOJE",IF(AND(P1150&lt;&gt;"",S1150=""),"🟡 PENDÊNCIA ABERTA",IF(AND(N(J1150)&gt;0,N(K1150)&lt;J1150),"🟡 FALTA EXECUTAR",IF(OR(M1150="PENDENTE",M1150="PARCIAL"),"🟡 FATURAMENTO PENDENTE","🟡 EMBARQUE PENDENTE")))))))))))</f>
        <v/>
      </c>
      <c r="D1150" s="4" t="n"/>
      <c r="E1150" s="5" t="n"/>
      <c r="F1150" s="5" t="n"/>
      <c r="G1150" s="5" t="n"/>
      <c r="H1150" s="5" t="n"/>
      <c r="I1150" s="5" t="n"/>
      <c r="J1150" s="6" t="n"/>
      <c r="K1150" s="6" t="n"/>
      <c r="L1150" s="7">
        <f>IF(OR(D1150="",N(J1150)=0),"",MIN(1,N(K1150)/J1150))</f>
        <v/>
      </c>
      <c r="M1150" s="5" t="n"/>
      <c r="N1150" s="5" t="n"/>
      <c r="O1150" s="5" t="n"/>
      <c r="P1150" s="5" t="n"/>
      <c r="Q1150" s="5" t="n"/>
      <c r="R1150" s="4" t="n"/>
      <c r="S1150" s="4" t="n"/>
      <c r="T1150" s="5" t="n"/>
      <c r="U1150" s="8">
        <f>IF(AND(V1150=1,D1150&lt;&gt;""),IF(D1150&gt;=corte,TODAY()-D1150,""),"")</f>
        <v/>
      </c>
      <c r="V1150" s="8">
        <f>IF(D1150="",0,IF(OR(AND(P1150&lt;&gt;"",S1150=""),AND(N(J1150)&gt;0,N(K1150)&lt;J1150),OR(M1150="PENDENTE",M1150="PARCIAL"),OR(N1150="PENDENTE",N1150="PARCIAL")),1,0))</f>
        <v/>
      </c>
      <c r="W1150" s="8">
        <f>IF(AND(V1150=1,D1150&lt;&gt;""),IF(D1150&gt;=corte,(B1150="CRÍTICO")*1E9+(100000-D1150)*10000+10000-ROW(),""),"")</f>
        <v/>
      </c>
      <c r="X1150" s="8">
        <f>IF(AND(V1150=1,D1150=pas_data,E1150=pas_turno),10000-ROW(),"")</f>
        <v/>
      </c>
    </row>
    <row r="1151">
      <c r="A1151" s="3">
        <f>IF(D1151="","","TT-"&amp;TEXT(ROW()-1,"00000"))</f>
        <v/>
      </c>
      <c r="B1151" s="3">
        <f>IF(D1151="","",IF(V1151=0,"CONCLUÍDO",IF(D1151&lt;corte,"HISTÓRICO",IF(OR(AND(ISNUMBER(R1151),R1151&lt;TODAY()),AND(OR(N1151="PENDENTE",N1151="PARCIAL"),D1151&lt;TODAY()-1)),"CRÍTICO",IF(OR(AND(P1151&lt;&gt;"",S1151=""),AND(N1151="REALIZADO",M1151="PENDENTE"),AND(ISNUMBER(R1151),R1151=TODAY())),"ATENÇÃO",IF(N(K1151)=0,"PENDENTE","EM ANDAMENTO"))))))</f>
        <v/>
      </c>
      <c r="C1151" s="3">
        <f>IF(D1151="","",IF(V1151=0,"🟢 OK",IF(D1151&lt;corte,"⚪ HISTÓRICO (sem baixa)",IF(AND(ISNUMBER(R1151),R1151&lt;TODAY()),"🔴 PRAZO VENCIDO",IF(AND(OR(N1151="PENDENTE",N1151="PARCIAL"),D1151&lt;TODAY()-1),"🔴 EMBARQUE ATRASADO",IF(AND(N1151="REALIZADO",M1151="PENDENTE"),"🟡 EMBARCADO SEM FATURAR",IF(AND(P1151&lt;&gt;"",S1151="",OR(Q1151="",R1151="")),"🟡 PENDÊNCIA SEM RESPONSÁVEL/PRAZO",IF(AND(ISNUMBER(R1151),R1151=TODAY()),"🟡 VENCE HOJE",IF(AND(P1151&lt;&gt;"",S1151=""),"🟡 PENDÊNCIA ABERTA",IF(AND(N(J1151)&gt;0,N(K1151)&lt;J1151),"🟡 FALTA EXECUTAR",IF(OR(M1151="PENDENTE",M1151="PARCIAL"),"🟡 FATURAMENTO PENDENTE","🟡 EMBARQUE PENDENTE")))))))))))</f>
        <v/>
      </c>
      <c r="D1151" s="4" t="n"/>
      <c r="E1151" s="5" t="n"/>
      <c r="F1151" s="5" t="n"/>
      <c r="G1151" s="5" t="n"/>
      <c r="H1151" s="5" t="n"/>
      <c r="I1151" s="5" t="n"/>
      <c r="J1151" s="6" t="n"/>
      <c r="K1151" s="6" t="n"/>
      <c r="L1151" s="7">
        <f>IF(OR(D1151="",N(J1151)=0),"",MIN(1,N(K1151)/J1151))</f>
        <v/>
      </c>
      <c r="M1151" s="5" t="n"/>
      <c r="N1151" s="5" t="n"/>
      <c r="O1151" s="5" t="n"/>
      <c r="P1151" s="5" t="n"/>
      <c r="Q1151" s="5" t="n"/>
      <c r="R1151" s="4" t="n"/>
      <c r="S1151" s="4" t="n"/>
      <c r="T1151" s="5" t="n"/>
      <c r="U1151" s="8">
        <f>IF(AND(V1151=1,D1151&lt;&gt;""),IF(D1151&gt;=corte,TODAY()-D1151,""),"")</f>
        <v/>
      </c>
      <c r="V1151" s="8">
        <f>IF(D1151="",0,IF(OR(AND(P1151&lt;&gt;"",S1151=""),AND(N(J1151)&gt;0,N(K1151)&lt;J1151),OR(M1151="PENDENTE",M1151="PARCIAL"),OR(N1151="PENDENTE",N1151="PARCIAL")),1,0))</f>
        <v/>
      </c>
      <c r="W1151" s="8">
        <f>IF(AND(V1151=1,D1151&lt;&gt;""),IF(D1151&gt;=corte,(B1151="CRÍTICO")*1E9+(100000-D1151)*10000+10000-ROW(),""),"")</f>
        <v/>
      </c>
      <c r="X1151" s="8">
        <f>IF(AND(V1151=1,D1151=pas_data,E1151=pas_turno),10000-ROW(),"")</f>
        <v/>
      </c>
    </row>
    <row r="1152">
      <c r="A1152" s="3">
        <f>IF(D1152="","","TT-"&amp;TEXT(ROW()-1,"00000"))</f>
        <v/>
      </c>
      <c r="B1152" s="3">
        <f>IF(D1152="","",IF(V1152=0,"CONCLUÍDO",IF(D1152&lt;corte,"HISTÓRICO",IF(OR(AND(ISNUMBER(R1152),R1152&lt;TODAY()),AND(OR(N1152="PENDENTE",N1152="PARCIAL"),D1152&lt;TODAY()-1)),"CRÍTICO",IF(OR(AND(P1152&lt;&gt;"",S1152=""),AND(N1152="REALIZADO",M1152="PENDENTE"),AND(ISNUMBER(R1152),R1152=TODAY())),"ATENÇÃO",IF(N(K1152)=0,"PENDENTE","EM ANDAMENTO"))))))</f>
        <v/>
      </c>
      <c r="C1152" s="3">
        <f>IF(D1152="","",IF(V1152=0,"🟢 OK",IF(D1152&lt;corte,"⚪ HISTÓRICO (sem baixa)",IF(AND(ISNUMBER(R1152),R1152&lt;TODAY()),"🔴 PRAZO VENCIDO",IF(AND(OR(N1152="PENDENTE",N1152="PARCIAL"),D1152&lt;TODAY()-1),"🔴 EMBARQUE ATRASADO",IF(AND(N1152="REALIZADO",M1152="PENDENTE"),"🟡 EMBARCADO SEM FATURAR",IF(AND(P1152&lt;&gt;"",S1152="",OR(Q1152="",R1152="")),"🟡 PENDÊNCIA SEM RESPONSÁVEL/PRAZO",IF(AND(ISNUMBER(R1152),R1152=TODAY()),"🟡 VENCE HOJE",IF(AND(P1152&lt;&gt;"",S1152=""),"🟡 PENDÊNCIA ABERTA",IF(AND(N(J1152)&gt;0,N(K1152)&lt;J1152),"🟡 FALTA EXECUTAR",IF(OR(M1152="PENDENTE",M1152="PARCIAL"),"🟡 FATURAMENTO PENDENTE","🟡 EMBARQUE PENDENTE")))))))))))</f>
        <v/>
      </c>
      <c r="D1152" s="4" t="n"/>
      <c r="E1152" s="5" t="n"/>
      <c r="F1152" s="5" t="n"/>
      <c r="G1152" s="5" t="n"/>
      <c r="H1152" s="5" t="n"/>
      <c r="I1152" s="5" t="n"/>
      <c r="J1152" s="6" t="n"/>
      <c r="K1152" s="6" t="n"/>
      <c r="L1152" s="7">
        <f>IF(OR(D1152="",N(J1152)=0),"",MIN(1,N(K1152)/J1152))</f>
        <v/>
      </c>
      <c r="M1152" s="5" t="n"/>
      <c r="N1152" s="5" t="n"/>
      <c r="O1152" s="5" t="n"/>
      <c r="P1152" s="5" t="n"/>
      <c r="Q1152" s="5" t="n"/>
      <c r="R1152" s="4" t="n"/>
      <c r="S1152" s="4" t="n"/>
      <c r="T1152" s="5" t="n"/>
      <c r="U1152" s="8">
        <f>IF(AND(V1152=1,D1152&lt;&gt;""),IF(D1152&gt;=corte,TODAY()-D1152,""),"")</f>
        <v/>
      </c>
      <c r="V1152" s="8">
        <f>IF(D1152="",0,IF(OR(AND(P1152&lt;&gt;"",S1152=""),AND(N(J1152)&gt;0,N(K1152)&lt;J1152),OR(M1152="PENDENTE",M1152="PARCIAL"),OR(N1152="PENDENTE",N1152="PARCIAL")),1,0))</f>
        <v/>
      </c>
      <c r="W1152" s="8">
        <f>IF(AND(V1152=1,D1152&lt;&gt;""),IF(D1152&gt;=corte,(B1152="CRÍTICO")*1E9+(100000-D1152)*10000+10000-ROW(),""),"")</f>
        <v/>
      </c>
      <c r="X1152" s="8">
        <f>IF(AND(V1152=1,D1152=pas_data,E1152=pas_turno),10000-ROW(),"")</f>
        <v/>
      </c>
    </row>
    <row r="1153">
      <c r="A1153" s="3">
        <f>IF(D1153="","","TT-"&amp;TEXT(ROW()-1,"00000"))</f>
        <v/>
      </c>
      <c r="B1153" s="3">
        <f>IF(D1153="","",IF(V1153=0,"CONCLUÍDO",IF(D1153&lt;corte,"HISTÓRICO",IF(OR(AND(ISNUMBER(R1153),R1153&lt;TODAY()),AND(OR(N1153="PENDENTE",N1153="PARCIAL"),D1153&lt;TODAY()-1)),"CRÍTICO",IF(OR(AND(P1153&lt;&gt;"",S1153=""),AND(N1153="REALIZADO",M1153="PENDENTE"),AND(ISNUMBER(R1153),R1153=TODAY())),"ATENÇÃO",IF(N(K1153)=0,"PENDENTE","EM ANDAMENTO"))))))</f>
        <v/>
      </c>
      <c r="C1153" s="3">
        <f>IF(D1153="","",IF(V1153=0,"🟢 OK",IF(D1153&lt;corte,"⚪ HISTÓRICO (sem baixa)",IF(AND(ISNUMBER(R1153),R1153&lt;TODAY()),"🔴 PRAZO VENCIDO",IF(AND(OR(N1153="PENDENTE",N1153="PARCIAL"),D1153&lt;TODAY()-1),"🔴 EMBARQUE ATRASADO",IF(AND(N1153="REALIZADO",M1153="PENDENTE"),"🟡 EMBARCADO SEM FATURAR",IF(AND(P1153&lt;&gt;"",S1153="",OR(Q1153="",R1153="")),"🟡 PENDÊNCIA SEM RESPONSÁVEL/PRAZO",IF(AND(ISNUMBER(R1153),R1153=TODAY()),"🟡 VENCE HOJE",IF(AND(P1153&lt;&gt;"",S1153=""),"🟡 PENDÊNCIA ABERTA",IF(AND(N(J1153)&gt;0,N(K1153)&lt;J1153),"🟡 FALTA EXECUTAR",IF(OR(M1153="PENDENTE",M1153="PARCIAL"),"🟡 FATURAMENTO PENDENTE","🟡 EMBARQUE PENDENTE")))))))))))</f>
        <v/>
      </c>
      <c r="D1153" s="4" t="n"/>
      <c r="E1153" s="5" t="n"/>
      <c r="F1153" s="5" t="n"/>
      <c r="G1153" s="5" t="n"/>
      <c r="H1153" s="5" t="n"/>
      <c r="I1153" s="5" t="n"/>
      <c r="J1153" s="6" t="n"/>
      <c r="K1153" s="6" t="n"/>
      <c r="L1153" s="7">
        <f>IF(OR(D1153="",N(J1153)=0),"",MIN(1,N(K1153)/J1153))</f>
        <v/>
      </c>
      <c r="M1153" s="5" t="n"/>
      <c r="N1153" s="5" t="n"/>
      <c r="O1153" s="5" t="n"/>
      <c r="P1153" s="5" t="n"/>
      <c r="Q1153" s="5" t="n"/>
      <c r="R1153" s="4" t="n"/>
      <c r="S1153" s="4" t="n"/>
      <c r="T1153" s="5" t="n"/>
      <c r="U1153" s="8">
        <f>IF(AND(V1153=1,D1153&lt;&gt;""),IF(D1153&gt;=corte,TODAY()-D1153,""),"")</f>
        <v/>
      </c>
      <c r="V1153" s="8">
        <f>IF(D1153="",0,IF(OR(AND(P1153&lt;&gt;"",S1153=""),AND(N(J1153)&gt;0,N(K1153)&lt;J1153),OR(M1153="PENDENTE",M1153="PARCIAL"),OR(N1153="PENDENTE",N1153="PARCIAL")),1,0))</f>
        <v/>
      </c>
      <c r="W1153" s="8">
        <f>IF(AND(V1153=1,D1153&lt;&gt;""),IF(D1153&gt;=corte,(B1153="CRÍTICO")*1E9+(100000-D1153)*10000+10000-ROW(),""),"")</f>
        <v/>
      </c>
      <c r="X1153" s="8">
        <f>IF(AND(V1153=1,D1153=pas_data,E1153=pas_turno),10000-ROW(),"")</f>
        <v/>
      </c>
    </row>
    <row r="1154">
      <c r="A1154" s="3">
        <f>IF(D1154="","","TT-"&amp;TEXT(ROW()-1,"00000"))</f>
        <v/>
      </c>
      <c r="B1154" s="3">
        <f>IF(D1154="","",IF(V1154=0,"CONCLUÍDO",IF(D1154&lt;corte,"HISTÓRICO",IF(OR(AND(ISNUMBER(R1154),R1154&lt;TODAY()),AND(OR(N1154="PENDENTE",N1154="PARCIAL"),D1154&lt;TODAY()-1)),"CRÍTICO",IF(OR(AND(P1154&lt;&gt;"",S1154=""),AND(N1154="REALIZADO",M1154="PENDENTE"),AND(ISNUMBER(R1154),R1154=TODAY())),"ATENÇÃO",IF(N(K1154)=0,"PENDENTE","EM ANDAMENTO"))))))</f>
        <v/>
      </c>
      <c r="C1154" s="3">
        <f>IF(D1154="","",IF(V1154=0,"🟢 OK",IF(D1154&lt;corte,"⚪ HISTÓRICO (sem baixa)",IF(AND(ISNUMBER(R1154),R1154&lt;TODAY()),"🔴 PRAZO VENCIDO",IF(AND(OR(N1154="PENDENTE",N1154="PARCIAL"),D1154&lt;TODAY()-1),"🔴 EMBARQUE ATRASADO",IF(AND(N1154="REALIZADO",M1154="PENDENTE"),"🟡 EMBARCADO SEM FATURAR",IF(AND(P1154&lt;&gt;"",S1154="",OR(Q1154="",R1154="")),"🟡 PENDÊNCIA SEM RESPONSÁVEL/PRAZO",IF(AND(ISNUMBER(R1154),R1154=TODAY()),"🟡 VENCE HOJE",IF(AND(P1154&lt;&gt;"",S1154=""),"🟡 PENDÊNCIA ABERTA",IF(AND(N(J1154)&gt;0,N(K1154)&lt;J1154),"🟡 FALTA EXECUTAR",IF(OR(M1154="PENDENTE",M1154="PARCIAL"),"🟡 FATURAMENTO PENDENTE","🟡 EMBARQUE PENDENTE")))))))))))</f>
        <v/>
      </c>
      <c r="D1154" s="4" t="n"/>
      <c r="E1154" s="5" t="n"/>
      <c r="F1154" s="5" t="n"/>
      <c r="G1154" s="5" t="n"/>
      <c r="H1154" s="5" t="n"/>
      <c r="I1154" s="5" t="n"/>
      <c r="J1154" s="6" t="n"/>
      <c r="K1154" s="6" t="n"/>
      <c r="L1154" s="7">
        <f>IF(OR(D1154="",N(J1154)=0),"",MIN(1,N(K1154)/J1154))</f>
        <v/>
      </c>
      <c r="M1154" s="5" t="n"/>
      <c r="N1154" s="5" t="n"/>
      <c r="O1154" s="5" t="n"/>
      <c r="P1154" s="5" t="n"/>
      <c r="Q1154" s="5" t="n"/>
      <c r="R1154" s="4" t="n"/>
      <c r="S1154" s="4" t="n"/>
      <c r="T1154" s="5" t="n"/>
      <c r="U1154" s="8">
        <f>IF(AND(V1154=1,D1154&lt;&gt;""),IF(D1154&gt;=corte,TODAY()-D1154,""),"")</f>
        <v/>
      </c>
      <c r="V1154" s="8">
        <f>IF(D1154="",0,IF(OR(AND(P1154&lt;&gt;"",S1154=""),AND(N(J1154)&gt;0,N(K1154)&lt;J1154),OR(M1154="PENDENTE",M1154="PARCIAL"),OR(N1154="PENDENTE",N1154="PARCIAL")),1,0))</f>
        <v/>
      </c>
      <c r="W1154" s="8">
        <f>IF(AND(V1154=1,D1154&lt;&gt;""),IF(D1154&gt;=corte,(B1154="CRÍTICO")*1E9+(100000-D1154)*10000+10000-ROW(),""),"")</f>
        <v/>
      </c>
      <c r="X1154" s="8">
        <f>IF(AND(V1154=1,D1154=pas_data,E1154=pas_turno),10000-ROW(),"")</f>
        <v/>
      </c>
    </row>
    <row r="1155">
      <c r="A1155" s="3">
        <f>IF(D1155="","","TT-"&amp;TEXT(ROW()-1,"00000"))</f>
        <v/>
      </c>
      <c r="B1155" s="3">
        <f>IF(D1155="","",IF(V1155=0,"CONCLUÍDO",IF(D1155&lt;corte,"HISTÓRICO",IF(OR(AND(ISNUMBER(R1155),R1155&lt;TODAY()),AND(OR(N1155="PENDENTE",N1155="PARCIAL"),D1155&lt;TODAY()-1)),"CRÍTICO",IF(OR(AND(P1155&lt;&gt;"",S1155=""),AND(N1155="REALIZADO",M1155="PENDENTE"),AND(ISNUMBER(R1155),R1155=TODAY())),"ATENÇÃO",IF(N(K1155)=0,"PENDENTE","EM ANDAMENTO"))))))</f>
        <v/>
      </c>
      <c r="C1155" s="3">
        <f>IF(D1155="","",IF(V1155=0,"🟢 OK",IF(D1155&lt;corte,"⚪ HISTÓRICO (sem baixa)",IF(AND(ISNUMBER(R1155),R1155&lt;TODAY()),"🔴 PRAZO VENCIDO",IF(AND(OR(N1155="PENDENTE",N1155="PARCIAL"),D1155&lt;TODAY()-1),"🔴 EMBARQUE ATRASADO",IF(AND(N1155="REALIZADO",M1155="PENDENTE"),"🟡 EMBARCADO SEM FATURAR",IF(AND(P1155&lt;&gt;"",S1155="",OR(Q1155="",R1155="")),"🟡 PENDÊNCIA SEM RESPONSÁVEL/PRAZO",IF(AND(ISNUMBER(R1155),R1155=TODAY()),"🟡 VENCE HOJE",IF(AND(P1155&lt;&gt;"",S1155=""),"🟡 PENDÊNCIA ABERTA",IF(AND(N(J1155)&gt;0,N(K1155)&lt;J1155),"🟡 FALTA EXECUTAR",IF(OR(M1155="PENDENTE",M1155="PARCIAL"),"🟡 FATURAMENTO PENDENTE","🟡 EMBARQUE PENDENTE")))))))))))</f>
        <v/>
      </c>
      <c r="D1155" s="4" t="n"/>
      <c r="E1155" s="5" t="n"/>
      <c r="F1155" s="5" t="n"/>
      <c r="G1155" s="5" t="n"/>
      <c r="H1155" s="5" t="n"/>
      <c r="I1155" s="5" t="n"/>
      <c r="J1155" s="6" t="n"/>
      <c r="K1155" s="6" t="n"/>
      <c r="L1155" s="7">
        <f>IF(OR(D1155="",N(J1155)=0),"",MIN(1,N(K1155)/J1155))</f>
        <v/>
      </c>
      <c r="M1155" s="5" t="n"/>
      <c r="N1155" s="5" t="n"/>
      <c r="O1155" s="5" t="n"/>
      <c r="P1155" s="5" t="n"/>
      <c r="Q1155" s="5" t="n"/>
      <c r="R1155" s="4" t="n"/>
      <c r="S1155" s="4" t="n"/>
      <c r="T1155" s="5" t="n"/>
      <c r="U1155" s="8">
        <f>IF(AND(V1155=1,D1155&lt;&gt;""),IF(D1155&gt;=corte,TODAY()-D1155,""),"")</f>
        <v/>
      </c>
      <c r="V1155" s="8">
        <f>IF(D1155="",0,IF(OR(AND(P1155&lt;&gt;"",S1155=""),AND(N(J1155)&gt;0,N(K1155)&lt;J1155),OR(M1155="PENDENTE",M1155="PARCIAL"),OR(N1155="PENDENTE",N1155="PARCIAL")),1,0))</f>
        <v/>
      </c>
      <c r="W1155" s="8">
        <f>IF(AND(V1155=1,D1155&lt;&gt;""),IF(D1155&gt;=corte,(B1155="CRÍTICO")*1E9+(100000-D1155)*10000+10000-ROW(),""),"")</f>
        <v/>
      </c>
      <c r="X1155" s="8">
        <f>IF(AND(V1155=1,D1155=pas_data,E1155=pas_turno),10000-ROW(),"")</f>
        <v/>
      </c>
    </row>
    <row r="1156">
      <c r="A1156" s="3">
        <f>IF(D1156="","","TT-"&amp;TEXT(ROW()-1,"00000"))</f>
        <v/>
      </c>
      <c r="B1156" s="3">
        <f>IF(D1156="","",IF(V1156=0,"CONCLUÍDO",IF(D1156&lt;corte,"HISTÓRICO",IF(OR(AND(ISNUMBER(R1156),R1156&lt;TODAY()),AND(OR(N1156="PENDENTE",N1156="PARCIAL"),D1156&lt;TODAY()-1)),"CRÍTICO",IF(OR(AND(P1156&lt;&gt;"",S1156=""),AND(N1156="REALIZADO",M1156="PENDENTE"),AND(ISNUMBER(R1156),R1156=TODAY())),"ATENÇÃO",IF(N(K1156)=0,"PENDENTE","EM ANDAMENTO"))))))</f>
        <v/>
      </c>
      <c r="C1156" s="3">
        <f>IF(D1156="","",IF(V1156=0,"🟢 OK",IF(D1156&lt;corte,"⚪ HISTÓRICO (sem baixa)",IF(AND(ISNUMBER(R1156),R1156&lt;TODAY()),"🔴 PRAZO VENCIDO",IF(AND(OR(N1156="PENDENTE",N1156="PARCIAL"),D1156&lt;TODAY()-1),"🔴 EMBARQUE ATRASADO",IF(AND(N1156="REALIZADO",M1156="PENDENTE"),"🟡 EMBARCADO SEM FATURAR",IF(AND(P1156&lt;&gt;"",S1156="",OR(Q1156="",R1156="")),"🟡 PENDÊNCIA SEM RESPONSÁVEL/PRAZO",IF(AND(ISNUMBER(R1156),R1156=TODAY()),"🟡 VENCE HOJE",IF(AND(P1156&lt;&gt;"",S1156=""),"🟡 PENDÊNCIA ABERTA",IF(AND(N(J1156)&gt;0,N(K1156)&lt;J1156),"🟡 FALTA EXECUTAR",IF(OR(M1156="PENDENTE",M1156="PARCIAL"),"🟡 FATURAMENTO PENDENTE","🟡 EMBARQUE PENDENTE")))))))))))</f>
        <v/>
      </c>
      <c r="D1156" s="4" t="n"/>
      <c r="E1156" s="5" t="n"/>
      <c r="F1156" s="5" t="n"/>
      <c r="G1156" s="5" t="n"/>
      <c r="H1156" s="5" t="n"/>
      <c r="I1156" s="5" t="n"/>
      <c r="J1156" s="6" t="n"/>
      <c r="K1156" s="6" t="n"/>
      <c r="L1156" s="7">
        <f>IF(OR(D1156="",N(J1156)=0),"",MIN(1,N(K1156)/J1156))</f>
        <v/>
      </c>
      <c r="M1156" s="5" t="n"/>
      <c r="N1156" s="5" t="n"/>
      <c r="O1156" s="5" t="n"/>
      <c r="P1156" s="5" t="n"/>
      <c r="Q1156" s="5" t="n"/>
      <c r="R1156" s="4" t="n"/>
      <c r="S1156" s="4" t="n"/>
      <c r="T1156" s="5" t="n"/>
      <c r="U1156" s="8">
        <f>IF(AND(V1156=1,D1156&lt;&gt;""),IF(D1156&gt;=corte,TODAY()-D1156,""),"")</f>
        <v/>
      </c>
      <c r="V1156" s="8">
        <f>IF(D1156="",0,IF(OR(AND(P1156&lt;&gt;"",S1156=""),AND(N(J1156)&gt;0,N(K1156)&lt;J1156),OR(M1156="PENDENTE",M1156="PARCIAL"),OR(N1156="PENDENTE",N1156="PARCIAL")),1,0))</f>
        <v/>
      </c>
      <c r="W1156" s="8">
        <f>IF(AND(V1156=1,D1156&lt;&gt;""),IF(D1156&gt;=corte,(B1156="CRÍTICO")*1E9+(100000-D1156)*10000+10000-ROW(),""),"")</f>
        <v/>
      </c>
      <c r="X1156" s="8">
        <f>IF(AND(V1156=1,D1156=pas_data,E1156=pas_turno),10000-ROW(),"")</f>
        <v/>
      </c>
    </row>
    <row r="1157">
      <c r="A1157" s="3">
        <f>IF(D1157="","","TT-"&amp;TEXT(ROW()-1,"00000"))</f>
        <v/>
      </c>
      <c r="B1157" s="3">
        <f>IF(D1157="","",IF(V1157=0,"CONCLUÍDO",IF(D1157&lt;corte,"HISTÓRICO",IF(OR(AND(ISNUMBER(R1157),R1157&lt;TODAY()),AND(OR(N1157="PENDENTE",N1157="PARCIAL"),D1157&lt;TODAY()-1)),"CRÍTICO",IF(OR(AND(P1157&lt;&gt;"",S1157=""),AND(N1157="REALIZADO",M1157="PENDENTE"),AND(ISNUMBER(R1157),R1157=TODAY())),"ATENÇÃO",IF(N(K1157)=0,"PENDENTE","EM ANDAMENTO"))))))</f>
        <v/>
      </c>
      <c r="C1157" s="3">
        <f>IF(D1157="","",IF(V1157=0,"🟢 OK",IF(D1157&lt;corte,"⚪ HISTÓRICO (sem baixa)",IF(AND(ISNUMBER(R1157),R1157&lt;TODAY()),"🔴 PRAZO VENCIDO",IF(AND(OR(N1157="PENDENTE",N1157="PARCIAL"),D1157&lt;TODAY()-1),"🔴 EMBARQUE ATRASADO",IF(AND(N1157="REALIZADO",M1157="PENDENTE"),"🟡 EMBARCADO SEM FATURAR",IF(AND(P1157&lt;&gt;"",S1157="",OR(Q1157="",R1157="")),"🟡 PENDÊNCIA SEM RESPONSÁVEL/PRAZO",IF(AND(ISNUMBER(R1157),R1157=TODAY()),"🟡 VENCE HOJE",IF(AND(P1157&lt;&gt;"",S1157=""),"🟡 PENDÊNCIA ABERTA",IF(AND(N(J1157)&gt;0,N(K1157)&lt;J1157),"🟡 FALTA EXECUTAR",IF(OR(M1157="PENDENTE",M1157="PARCIAL"),"🟡 FATURAMENTO PENDENTE","🟡 EMBARQUE PENDENTE")))))))))))</f>
        <v/>
      </c>
      <c r="D1157" s="4" t="n"/>
      <c r="E1157" s="5" t="n"/>
      <c r="F1157" s="5" t="n"/>
      <c r="G1157" s="5" t="n"/>
      <c r="H1157" s="5" t="n"/>
      <c r="I1157" s="5" t="n"/>
      <c r="J1157" s="6" t="n"/>
      <c r="K1157" s="6" t="n"/>
      <c r="L1157" s="7">
        <f>IF(OR(D1157="",N(J1157)=0),"",MIN(1,N(K1157)/J1157))</f>
        <v/>
      </c>
      <c r="M1157" s="5" t="n"/>
      <c r="N1157" s="5" t="n"/>
      <c r="O1157" s="5" t="n"/>
      <c r="P1157" s="5" t="n"/>
      <c r="Q1157" s="5" t="n"/>
      <c r="R1157" s="4" t="n"/>
      <c r="S1157" s="4" t="n"/>
      <c r="T1157" s="5" t="n"/>
      <c r="U1157" s="8">
        <f>IF(AND(V1157=1,D1157&lt;&gt;""),IF(D1157&gt;=corte,TODAY()-D1157,""),"")</f>
        <v/>
      </c>
      <c r="V1157" s="8">
        <f>IF(D1157="",0,IF(OR(AND(P1157&lt;&gt;"",S1157=""),AND(N(J1157)&gt;0,N(K1157)&lt;J1157),OR(M1157="PENDENTE",M1157="PARCIAL"),OR(N1157="PENDENTE",N1157="PARCIAL")),1,0))</f>
        <v/>
      </c>
      <c r="W1157" s="8">
        <f>IF(AND(V1157=1,D1157&lt;&gt;""),IF(D1157&gt;=corte,(B1157="CRÍTICO")*1E9+(100000-D1157)*10000+10000-ROW(),""),"")</f>
        <v/>
      </c>
      <c r="X1157" s="8">
        <f>IF(AND(V1157=1,D1157=pas_data,E1157=pas_turno),10000-ROW(),"")</f>
        <v/>
      </c>
    </row>
    <row r="1158">
      <c r="A1158" s="3">
        <f>IF(D1158="","","TT-"&amp;TEXT(ROW()-1,"00000"))</f>
        <v/>
      </c>
      <c r="B1158" s="3">
        <f>IF(D1158="","",IF(V1158=0,"CONCLUÍDO",IF(D1158&lt;corte,"HISTÓRICO",IF(OR(AND(ISNUMBER(R1158),R1158&lt;TODAY()),AND(OR(N1158="PENDENTE",N1158="PARCIAL"),D1158&lt;TODAY()-1)),"CRÍTICO",IF(OR(AND(P1158&lt;&gt;"",S1158=""),AND(N1158="REALIZADO",M1158="PENDENTE"),AND(ISNUMBER(R1158),R1158=TODAY())),"ATENÇÃO",IF(N(K1158)=0,"PENDENTE","EM ANDAMENTO"))))))</f>
        <v/>
      </c>
      <c r="C1158" s="3">
        <f>IF(D1158="","",IF(V1158=0,"🟢 OK",IF(D1158&lt;corte,"⚪ HISTÓRICO (sem baixa)",IF(AND(ISNUMBER(R1158),R1158&lt;TODAY()),"🔴 PRAZO VENCIDO",IF(AND(OR(N1158="PENDENTE",N1158="PARCIAL"),D1158&lt;TODAY()-1),"🔴 EMBARQUE ATRASADO",IF(AND(N1158="REALIZADO",M1158="PENDENTE"),"🟡 EMBARCADO SEM FATURAR",IF(AND(P1158&lt;&gt;"",S1158="",OR(Q1158="",R1158="")),"🟡 PENDÊNCIA SEM RESPONSÁVEL/PRAZO",IF(AND(ISNUMBER(R1158),R1158=TODAY()),"🟡 VENCE HOJE",IF(AND(P1158&lt;&gt;"",S1158=""),"🟡 PENDÊNCIA ABERTA",IF(AND(N(J1158)&gt;0,N(K1158)&lt;J1158),"🟡 FALTA EXECUTAR",IF(OR(M1158="PENDENTE",M1158="PARCIAL"),"🟡 FATURAMENTO PENDENTE","🟡 EMBARQUE PENDENTE")))))))))))</f>
        <v/>
      </c>
      <c r="D1158" s="4" t="n"/>
      <c r="E1158" s="5" t="n"/>
      <c r="F1158" s="5" t="n"/>
      <c r="G1158" s="5" t="n"/>
      <c r="H1158" s="5" t="n"/>
      <c r="I1158" s="5" t="n"/>
      <c r="J1158" s="6" t="n"/>
      <c r="K1158" s="6" t="n"/>
      <c r="L1158" s="7">
        <f>IF(OR(D1158="",N(J1158)=0),"",MIN(1,N(K1158)/J1158))</f>
        <v/>
      </c>
      <c r="M1158" s="5" t="n"/>
      <c r="N1158" s="5" t="n"/>
      <c r="O1158" s="5" t="n"/>
      <c r="P1158" s="5" t="n"/>
      <c r="Q1158" s="5" t="n"/>
      <c r="R1158" s="4" t="n"/>
      <c r="S1158" s="4" t="n"/>
      <c r="T1158" s="5" t="n"/>
      <c r="U1158" s="8">
        <f>IF(AND(V1158=1,D1158&lt;&gt;""),IF(D1158&gt;=corte,TODAY()-D1158,""),"")</f>
        <v/>
      </c>
      <c r="V1158" s="8">
        <f>IF(D1158="",0,IF(OR(AND(P1158&lt;&gt;"",S1158=""),AND(N(J1158)&gt;0,N(K1158)&lt;J1158),OR(M1158="PENDENTE",M1158="PARCIAL"),OR(N1158="PENDENTE",N1158="PARCIAL")),1,0))</f>
        <v/>
      </c>
      <c r="W1158" s="8">
        <f>IF(AND(V1158=1,D1158&lt;&gt;""),IF(D1158&gt;=corte,(B1158="CRÍTICO")*1E9+(100000-D1158)*10000+10000-ROW(),""),"")</f>
        <v/>
      </c>
      <c r="X1158" s="8">
        <f>IF(AND(V1158=1,D1158=pas_data,E1158=pas_turno),10000-ROW(),"")</f>
        <v/>
      </c>
    </row>
    <row r="1159">
      <c r="A1159" s="3">
        <f>IF(D1159="","","TT-"&amp;TEXT(ROW()-1,"00000"))</f>
        <v/>
      </c>
      <c r="B1159" s="3">
        <f>IF(D1159="","",IF(V1159=0,"CONCLUÍDO",IF(D1159&lt;corte,"HISTÓRICO",IF(OR(AND(ISNUMBER(R1159),R1159&lt;TODAY()),AND(OR(N1159="PENDENTE",N1159="PARCIAL"),D1159&lt;TODAY()-1)),"CRÍTICO",IF(OR(AND(P1159&lt;&gt;"",S1159=""),AND(N1159="REALIZADO",M1159="PENDENTE"),AND(ISNUMBER(R1159),R1159=TODAY())),"ATENÇÃO",IF(N(K1159)=0,"PENDENTE","EM ANDAMENTO"))))))</f>
        <v/>
      </c>
      <c r="C1159" s="3">
        <f>IF(D1159="","",IF(V1159=0,"🟢 OK",IF(D1159&lt;corte,"⚪ HISTÓRICO (sem baixa)",IF(AND(ISNUMBER(R1159),R1159&lt;TODAY()),"🔴 PRAZO VENCIDO",IF(AND(OR(N1159="PENDENTE",N1159="PARCIAL"),D1159&lt;TODAY()-1),"🔴 EMBARQUE ATRASADO",IF(AND(N1159="REALIZADO",M1159="PENDENTE"),"🟡 EMBARCADO SEM FATURAR",IF(AND(P1159&lt;&gt;"",S1159="",OR(Q1159="",R1159="")),"🟡 PENDÊNCIA SEM RESPONSÁVEL/PRAZO",IF(AND(ISNUMBER(R1159),R1159=TODAY()),"🟡 VENCE HOJE",IF(AND(P1159&lt;&gt;"",S1159=""),"🟡 PENDÊNCIA ABERTA",IF(AND(N(J1159)&gt;0,N(K1159)&lt;J1159),"🟡 FALTA EXECUTAR",IF(OR(M1159="PENDENTE",M1159="PARCIAL"),"🟡 FATURAMENTO PENDENTE","🟡 EMBARQUE PENDENTE")))))))))))</f>
        <v/>
      </c>
      <c r="D1159" s="4" t="n"/>
      <c r="E1159" s="5" t="n"/>
      <c r="F1159" s="5" t="n"/>
      <c r="G1159" s="5" t="n"/>
      <c r="H1159" s="5" t="n"/>
      <c r="I1159" s="5" t="n"/>
      <c r="J1159" s="6" t="n"/>
      <c r="K1159" s="6" t="n"/>
      <c r="L1159" s="7">
        <f>IF(OR(D1159="",N(J1159)=0),"",MIN(1,N(K1159)/J1159))</f>
        <v/>
      </c>
      <c r="M1159" s="5" t="n"/>
      <c r="N1159" s="5" t="n"/>
      <c r="O1159" s="5" t="n"/>
      <c r="P1159" s="5" t="n"/>
      <c r="Q1159" s="5" t="n"/>
      <c r="R1159" s="4" t="n"/>
      <c r="S1159" s="4" t="n"/>
      <c r="T1159" s="5" t="n"/>
      <c r="U1159" s="8">
        <f>IF(AND(V1159=1,D1159&lt;&gt;""),IF(D1159&gt;=corte,TODAY()-D1159,""),"")</f>
        <v/>
      </c>
      <c r="V1159" s="8">
        <f>IF(D1159="",0,IF(OR(AND(P1159&lt;&gt;"",S1159=""),AND(N(J1159)&gt;0,N(K1159)&lt;J1159),OR(M1159="PENDENTE",M1159="PARCIAL"),OR(N1159="PENDENTE",N1159="PARCIAL")),1,0))</f>
        <v/>
      </c>
      <c r="W1159" s="8">
        <f>IF(AND(V1159=1,D1159&lt;&gt;""),IF(D1159&gt;=corte,(B1159="CRÍTICO")*1E9+(100000-D1159)*10000+10000-ROW(),""),"")</f>
        <v/>
      </c>
      <c r="X1159" s="8">
        <f>IF(AND(V1159=1,D1159=pas_data,E1159=pas_turno),10000-ROW(),"")</f>
        <v/>
      </c>
    </row>
    <row r="1160">
      <c r="A1160" s="3">
        <f>IF(D1160="","","TT-"&amp;TEXT(ROW()-1,"00000"))</f>
        <v/>
      </c>
      <c r="B1160" s="3">
        <f>IF(D1160="","",IF(V1160=0,"CONCLUÍDO",IF(D1160&lt;corte,"HISTÓRICO",IF(OR(AND(ISNUMBER(R1160),R1160&lt;TODAY()),AND(OR(N1160="PENDENTE",N1160="PARCIAL"),D1160&lt;TODAY()-1)),"CRÍTICO",IF(OR(AND(P1160&lt;&gt;"",S1160=""),AND(N1160="REALIZADO",M1160="PENDENTE"),AND(ISNUMBER(R1160),R1160=TODAY())),"ATENÇÃO",IF(N(K1160)=0,"PENDENTE","EM ANDAMENTO"))))))</f>
        <v/>
      </c>
      <c r="C1160" s="3">
        <f>IF(D1160="","",IF(V1160=0,"🟢 OK",IF(D1160&lt;corte,"⚪ HISTÓRICO (sem baixa)",IF(AND(ISNUMBER(R1160),R1160&lt;TODAY()),"🔴 PRAZO VENCIDO",IF(AND(OR(N1160="PENDENTE",N1160="PARCIAL"),D1160&lt;TODAY()-1),"🔴 EMBARQUE ATRASADO",IF(AND(N1160="REALIZADO",M1160="PENDENTE"),"🟡 EMBARCADO SEM FATURAR",IF(AND(P1160&lt;&gt;"",S1160="",OR(Q1160="",R1160="")),"🟡 PENDÊNCIA SEM RESPONSÁVEL/PRAZO",IF(AND(ISNUMBER(R1160),R1160=TODAY()),"🟡 VENCE HOJE",IF(AND(P1160&lt;&gt;"",S1160=""),"🟡 PENDÊNCIA ABERTA",IF(AND(N(J1160)&gt;0,N(K1160)&lt;J1160),"🟡 FALTA EXECUTAR",IF(OR(M1160="PENDENTE",M1160="PARCIAL"),"🟡 FATURAMENTO PENDENTE","🟡 EMBARQUE PENDENTE")))))))))))</f>
        <v/>
      </c>
      <c r="D1160" s="4" t="n"/>
      <c r="E1160" s="5" t="n"/>
      <c r="F1160" s="5" t="n"/>
      <c r="G1160" s="5" t="n"/>
      <c r="H1160" s="5" t="n"/>
      <c r="I1160" s="5" t="n"/>
      <c r="J1160" s="6" t="n"/>
      <c r="K1160" s="6" t="n"/>
      <c r="L1160" s="7">
        <f>IF(OR(D1160="",N(J1160)=0),"",MIN(1,N(K1160)/J1160))</f>
        <v/>
      </c>
      <c r="M1160" s="5" t="n"/>
      <c r="N1160" s="5" t="n"/>
      <c r="O1160" s="5" t="n"/>
      <c r="P1160" s="5" t="n"/>
      <c r="Q1160" s="5" t="n"/>
      <c r="R1160" s="4" t="n"/>
      <c r="S1160" s="4" t="n"/>
      <c r="T1160" s="5" t="n"/>
      <c r="U1160" s="8">
        <f>IF(AND(V1160=1,D1160&lt;&gt;""),IF(D1160&gt;=corte,TODAY()-D1160,""),"")</f>
        <v/>
      </c>
      <c r="V1160" s="8">
        <f>IF(D1160="",0,IF(OR(AND(P1160&lt;&gt;"",S1160=""),AND(N(J1160)&gt;0,N(K1160)&lt;J1160),OR(M1160="PENDENTE",M1160="PARCIAL"),OR(N1160="PENDENTE",N1160="PARCIAL")),1,0))</f>
        <v/>
      </c>
      <c r="W1160" s="8">
        <f>IF(AND(V1160=1,D1160&lt;&gt;""),IF(D1160&gt;=corte,(B1160="CRÍTICO")*1E9+(100000-D1160)*10000+10000-ROW(),""),"")</f>
        <v/>
      </c>
      <c r="X1160" s="8">
        <f>IF(AND(V1160=1,D1160=pas_data,E1160=pas_turno),10000-ROW(),"")</f>
        <v/>
      </c>
    </row>
    <row r="1161">
      <c r="A1161" s="3">
        <f>IF(D1161="","","TT-"&amp;TEXT(ROW()-1,"00000"))</f>
        <v/>
      </c>
      <c r="B1161" s="3">
        <f>IF(D1161="","",IF(V1161=0,"CONCLUÍDO",IF(D1161&lt;corte,"HISTÓRICO",IF(OR(AND(ISNUMBER(R1161),R1161&lt;TODAY()),AND(OR(N1161="PENDENTE",N1161="PARCIAL"),D1161&lt;TODAY()-1)),"CRÍTICO",IF(OR(AND(P1161&lt;&gt;"",S1161=""),AND(N1161="REALIZADO",M1161="PENDENTE"),AND(ISNUMBER(R1161),R1161=TODAY())),"ATENÇÃO",IF(N(K1161)=0,"PENDENTE","EM ANDAMENTO"))))))</f>
        <v/>
      </c>
      <c r="C1161" s="3">
        <f>IF(D1161="","",IF(V1161=0,"🟢 OK",IF(D1161&lt;corte,"⚪ HISTÓRICO (sem baixa)",IF(AND(ISNUMBER(R1161),R1161&lt;TODAY()),"🔴 PRAZO VENCIDO",IF(AND(OR(N1161="PENDENTE",N1161="PARCIAL"),D1161&lt;TODAY()-1),"🔴 EMBARQUE ATRASADO",IF(AND(N1161="REALIZADO",M1161="PENDENTE"),"🟡 EMBARCADO SEM FATURAR",IF(AND(P1161&lt;&gt;"",S1161="",OR(Q1161="",R1161="")),"🟡 PENDÊNCIA SEM RESPONSÁVEL/PRAZO",IF(AND(ISNUMBER(R1161),R1161=TODAY()),"🟡 VENCE HOJE",IF(AND(P1161&lt;&gt;"",S1161=""),"🟡 PENDÊNCIA ABERTA",IF(AND(N(J1161)&gt;0,N(K1161)&lt;J1161),"🟡 FALTA EXECUTAR",IF(OR(M1161="PENDENTE",M1161="PARCIAL"),"🟡 FATURAMENTO PENDENTE","🟡 EMBARQUE PENDENTE")))))))))))</f>
        <v/>
      </c>
      <c r="D1161" s="4" t="n"/>
      <c r="E1161" s="5" t="n"/>
      <c r="F1161" s="5" t="n"/>
      <c r="G1161" s="5" t="n"/>
      <c r="H1161" s="5" t="n"/>
      <c r="I1161" s="5" t="n"/>
      <c r="J1161" s="6" t="n"/>
      <c r="K1161" s="6" t="n"/>
      <c r="L1161" s="7">
        <f>IF(OR(D1161="",N(J1161)=0),"",MIN(1,N(K1161)/J1161))</f>
        <v/>
      </c>
      <c r="M1161" s="5" t="n"/>
      <c r="N1161" s="5" t="n"/>
      <c r="O1161" s="5" t="n"/>
      <c r="P1161" s="5" t="n"/>
      <c r="Q1161" s="5" t="n"/>
      <c r="R1161" s="4" t="n"/>
      <c r="S1161" s="4" t="n"/>
      <c r="T1161" s="5" t="n"/>
      <c r="U1161" s="8">
        <f>IF(AND(V1161=1,D1161&lt;&gt;""),IF(D1161&gt;=corte,TODAY()-D1161,""),"")</f>
        <v/>
      </c>
      <c r="V1161" s="8">
        <f>IF(D1161="",0,IF(OR(AND(P1161&lt;&gt;"",S1161=""),AND(N(J1161)&gt;0,N(K1161)&lt;J1161),OR(M1161="PENDENTE",M1161="PARCIAL"),OR(N1161="PENDENTE",N1161="PARCIAL")),1,0))</f>
        <v/>
      </c>
      <c r="W1161" s="8">
        <f>IF(AND(V1161=1,D1161&lt;&gt;""),IF(D1161&gt;=corte,(B1161="CRÍTICO")*1E9+(100000-D1161)*10000+10000-ROW(),""),"")</f>
        <v/>
      </c>
      <c r="X1161" s="8">
        <f>IF(AND(V1161=1,D1161=pas_data,E1161=pas_turno),10000-ROW(),"")</f>
        <v/>
      </c>
    </row>
    <row r="1162">
      <c r="A1162" s="3">
        <f>IF(D1162="","","TT-"&amp;TEXT(ROW()-1,"00000"))</f>
        <v/>
      </c>
      <c r="B1162" s="3">
        <f>IF(D1162="","",IF(V1162=0,"CONCLUÍDO",IF(D1162&lt;corte,"HISTÓRICO",IF(OR(AND(ISNUMBER(R1162),R1162&lt;TODAY()),AND(OR(N1162="PENDENTE",N1162="PARCIAL"),D1162&lt;TODAY()-1)),"CRÍTICO",IF(OR(AND(P1162&lt;&gt;"",S1162=""),AND(N1162="REALIZADO",M1162="PENDENTE"),AND(ISNUMBER(R1162),R1162=TODAY())),"ATENÇÃO",IF(N(K1162)=0,"PENDENTE","EM ANDAMENTO"))))))</f>
        <v/>
      </c>
      <c r="C1162" s="3">
        <f>IF(D1162="","",IF(V1162=0,"🟢 OK",IF(D1162&lt;corte,"⚪ HISTÓRICO (sem baixa)",IF(AND(ISNUMBER(R1162),R1162&lt;TODAY()),"🔴 PRAZO VENCIDO",IF(AND(OR(N1162="PENDENTE",N1162="PARCIAL"),D1162&lt;TODAY()-1),"🔴 EMBARQUE ATRASADO",IF(AND(N1162="REALIZADO",M1162="PENDENTE"),"🟡 EMBARCADO SEM FATURAR",IF(AND(P1162&lt;&gt;"",S1162="",OR(Q1162="",R1162="")),"🟡 PENDÊNCIA SEM RESPONSÁVEL/PRAZO",IF(AND(ISNUMBER(R1162),R1162=TODAY()),"🟡 VENCE HOJE",IF(AND(P1162&lt;&gt;"",S1162=""),"🟡 PENDÊNCIA ABERTA",IF(AND(N(J1162)&gt;0,N(K1162)&lt;J1162),"🟡 FALTA EXECUTAR",IF(OR(M1162="PENDENTE",M1162="PARCIAL"),"🟡 FATURAMENTO PENDENTE","🟡 EMBARQUE PENDENTE")))))))))))</f>
        <v/>
      </c>
      <c r="D1162" s="4" t="n"/>
      <c r="E1162" s="5" t="n"/>
      <c r="F1162" s="5" t="n"/>
      <c r="G1162" s="5" t="n"/>
      <c r="H1162" s="5" t="n"/>
      <c r="I1162" s="5" t="n"/>
      <c r="J1162" s="6" t="n"/>
      <c r="K1162" s="6" t="n"/>
      <c r="L1162" s="7">
        <f>IF(OR(D1162="",N(J1162)=0),"",MIN(1,N(K1162)/J1162))</f>
        <v/>
      </c>
      <c r="M1162" s="5" t="n"/>
      <c r="N1162" s="5" t="n"/>
      <c r="O1162" s="5" t="n"/>
      <c r="P1162" s="5" t="n"/>
      <c r="Q1162" s="5" t="n"/>
      <c r="R1162" s="4" t="n"/>
      <c r="S1162" s="4" t="n"/>
      <c r="T1162" s="5" t="n"/>
      <c r="U1162" s="8">
        <f>IF(AND(V1162=1,D1162&lt;&gt;""),IF(D1162&gt;=corte,TODAY()-D1162,""),"")</f>
        <v/>
      </c>
      <c r="V1162" s="8">
        <f>IF(D1162="",0,IF(OR(AND(P1162&lt;&gt;"",S1162=""),AND(N(J1162)&gt;0,N(K1162)&lt;J1162),OR(M1162="PENDENTE",M1162="PARCIAL"),OR(N1162="PENDENTE",N1162="PARCIAL")),1,0))</f>
        <v/>
      </c>
      <c r="W1162" s="8">
        <f>IF(AND(V1162=1,D1162&lt;&gt;""),IF(D1162&gt;=corte,(B1162="CRÍTICO")*1E9+(100000-D1162)*10000+10000-ROW(),""),"")</f>
        <v/>
      </c>
      <c r="X1162" s="8">
        <f>IF(AND(V1162=1,D1162=pas_data,E1162=pas_turno),10000-ROW(),"")</f>
        <v/>
      </c>
    </row>
    <row r="1163">
      <c r="A1163" s="3">
        <f>IF(D1163="","","TT-"&amp;TEXT(ROW()-1,"00000"))</f>
        <v/>
      </c>
      <c r="B1163" s="3">
        <f>IF(D1163="","",IF(V1163=0,"CONCLUÍDO",IF(D1163&lt;corte,"HISTÓRICO",IF(OR(AND(ISNUMBER(R1163),R1163&lt;TODAY()),AND(OR(N1163="PENDENTE",N1163="PARCIAL"),D1163&lt;TODAY()-1)),"CRÍTICO",IF(OR(AND(P1163&lt;&gt;"",S1163=""),AND(N1163="REALIZADO",M1163="PENDENTE"),AND(ISNUMBER(R1163),R1163=TODAY())),"ATENÇÃO",IF(N(K1163)=0,"PENDENTE","EM ANDAMENTO"))))))</f>
        <v/>
      </c>
      <c r="C1163" s="3">
        <f>IF(D1163="","",IF(V1163=0,"🟢 OK",IF(D1163&lt;corte,"⚪ HISTÓRICO (sem baixa)",IF(AND(ISNUMBER(R1163),R1163&lt;TODAY()),"🔴 PRAZO VENCIDO",IF(AND(OR(N1163="PENDENTE",N1163="PARCIAL"),D1163&lt;TODAY()-1),"🔴 EMBARQUE ATRASADO",IF(AND(N1163="REALIZADO",M1163="PENDENTE"),"🟡 EMBARCADO SEM FATURAR",IF(AND(P1163&lt;&gt;"",S1163="",OR(Q1163="",R1163="")),"🟡 PENDÊNCIA SEM RESPONSÁVEL/PRAZO",IF(AND(ISNUMBER(R1163),R1163=TODAY()),"🟡 VENCE HOJE",IF(AND(P1163&lt;&gt;"",S1163=""),"🟡 PENDÊNCIA ABERTA",IF(AND(N(J1163)&gt;0,N(K1163)&lt;J1163),"🟡 FALTA EXECUTAR",IF(OR(M1163="PENDENTE",M1163="PARCIAL"),"🟡 FATURAMENTO PENDENTE","🟡 EMBARQUE PENDENTE")))))))))))</f>
        <v/>
      </c>
      <c r="D1163" s="4" t="n"/>
      <c r="E1163" s="5" t="n"/>
      <c r="F1163" s="5" t="n"/>
      <c r="G1163" s="5" t="n"/>
      <c r="H1163" s="5" t="n"/>
      <c r="I1163" s="5" t="n"/>
      <c r="J1163" s="6" t="n"/>
      <c r="K1163" s="6" t="n"/>
      <c r="L1163" s="7">
        <f>IF(OR(D1163="",N(J1163)=0),"",MIN(1,N(K1163)/J1163))</f>
        <v/>
      </c>
      <c r="M1163" s="5" t="n"/>
      <c r="N1163" s="5" t="n"/>
      <c r="O1163" s="5" t="n"/>
      <c r="P1163" s="5" t="n"/>
      <c r="Q1163" s="5" t="n"/>
      <c r="R1163" s="4" t="n"/>
      <c r="S1163" s="4" t="n"/>
      <c r="T1163" s="5" t="n"/>
      <c r="U1163" s="8">
        <f>IF(AND(V1163=1,D1163&lt;&gt;""),IF(D1163&gt;=corte,TODAY()-D1163,""),"")</f>
        <v/>
      </c>
      <c r="V1163" s="8">
        <f>IF(D1163="",0,IF(OR(AND(P1163&lt;&gt;"",S1163=""),AND(N(J1163)&gt;0,N(K1163)&lt;J1163),OR(M1163="PENDENTE",M1163="PARCIAL"),OR(N1163="PENDENTE",N1163="PARCIAL")),1,0))</f>
        <v/>
      </c>
      <c r="W1163" s="8">
        <f>IF(AND(V1163=1,D1163&lt;&gt;""),IF(D1163&gt;=corte,(B1163="CRÍTICO")*1E9+(100000-D1163)*10000+10000-ROW(),""),"")</f>
        <v/>
      </c>
      <c r="X1163" s="8">
        <f>IF(AND(V1163=1,D1163=pas_data,E1163=pas_turno),10000-ROW(),"")</f>
        <v/>
      </c>
    </row>
    <row r="1164">
      <c r="A1164" s="3">
        <f>IF(D1164="","","TT-"&amp;TEXT(ROW()-1,"00000"))</f>
        <v/>
      </c>
      <c r="B1164" s="3">
        <f>IF(D1164="","",IF(V1164=0,"CONCLUÍDO",IF(D1164&lt;corte,"HISTÓRICO",IF(OR(AND(ISNUMBER(R1164),R1164&lt;TODAY()),AND(OR(N1164="PENDENTE",N1164="PARCIAL"),D1164&lt;TODAY()-1)),"CRÍTICO",IF(OR(AND(P1164&lt;&gt;"",S1164=""),AND(N1164="REALIZADO",M1164="PENDENTE"),AND(ISNUMBER(R1164),R1164=TODAY())),"ATENÇÃO",IF(N(K1164)=0,"PENDENTE","EM ANDAMENTO"))))))</f>
        <v/>
      </c>
      <c r="C1164" s="3">
        <f>IF(D1164="","",IF(V1164=0,"🟢 OK",IF(D1164&lt;corte,"⚪ HISTÓRICO (sem baixa)",IF(AND(ISNUMBER(R1164),R1164&lt;TODAY()),"🔴 PRAZO VENCIDO",IF(AND(OR(N1164="PENDENTE",N1164="PARCIAL"),D1164&lt;TODAY()-1),"🔴 EMBARQUE ATRASADO",IF(AND(N1164="REALIZADO",M1164="PENDENTE"),"🟡 EMBARCADO SEM FATURAR",IF(AND(P1164&lt;&gt;"",S1164="",OR(Q1164="",R1164="")),"🟡 PENDÊNCIA SEM RESPONSÁVEL/PRAZO",IF(AND(ISNUMBER(R1164),R1164=TODAY()),"🟡 VENCE HOJE",IF(AND(P1164&lt;&gt;"",S1164=""),"🟡 PENDÊNCIA ABERTA",IF(AND(N(J1164)&gt;0,N(K1164)&lt;J1164),"🟡 FALTA EXECUTAR",IF(OR(M1164="PENDENTE",M1164="PARCIAL"),"🟡 FATURAMENTO PENDENTE","🟡 EMBARQUE PENDENTE")))))))))))</f>
        <v/>
      </c>
      <c r="D1164" s="4" t="n"/>
      <c r="E1164" s="5" t="n"/>
      <c r="F1164" s="5" t="n"/>
      <c r="G1164" s="5" t="n"/>
      <c r="H1164" s="5" t="n"/>
      <c r="I1164" s="5" t="n"/>
      <c r="J1164" s="6" t="n"/>
      <c r="K1164" s="6" t="n"/>
      <c r="L1164" s="7">
        <f>IF(OR(D1164="",N(J1164)=0),"",MIN(1,N(K1164)/J1164))</f>
        <v/>
      </c>
      <c r="M1164" s="5" t="n"/>
      <c r="N1164" s="5" t="n"/>
      <c r="O1164" s="5" t="n"/>
      <c r="P1164" s="5" t="n"/>
      <c r="Q1164" s="5" t="n"/>
      <c r="R1164" s="4" t="n"/>
      <c r="S1164" s="4" t="n"/>
      <c r="T1164" s="5" t="n"/>
      <c r="U1164" s="8">
        <f>IF(AND(V1164=1,D1164&lt;&gt;""),IF(D1164&gt;=corte,TODAY()-D1164,""),"")</f>
        <v/>
      </c>
      <c r="V1164" s="8">
        <f>IF(D1164="",0,IF(OR(AND(P1164&lt;&gt;"",S1164=""),AND(N(J1164)&gt;0,N(K1164)&lt;J1164),OR(M1164="PENDENTE",M1164="PARCIAL"),OR(N1164="PENDENTE",N1164="PARCIAL")),1,0))</f>
        <v/>
      </c>
      <c r="W1164" s="8">
        <f>IF(AND(V1164=1,D1164&lt;&gt;""),IF(D1164&gt;=corte,(B1164="CRÍTICO")*1E9+(100000-D1164)*10000+10000-ROW(),""),"")</f>
        <v/>
      </c>
      <c r="X1164" s="8">
        <f>IF(AND(V1164=1,D1164=pas_data,E1164=pas_turno),10000-ROW(),"")</f>
        <v/>
      </c>
    </row>
    <row r="1165">
      <c r="A1165" s="3">
        <f>IF(D1165="","","TT-"&amp;TEXT(ROW()-1,"00000"))</f>
        <v/>
      </c>
      <c r="B1165" s="3">
        <f>IF(D1165="","",IF(V1165=0,"CONCLUÍDO",IF(D1165&lt;corte,"HISTÓRICO",IF(OR(AND(ISNUMBER(R1165),R1165&lt;TODAY()),AND(OR(N1165="PENDENTE",N1165="PARCIAL"),D1165&lt;TODAY()-1)),"CRÍTICO",IF(OR(AND(P1165&lt;&gt;"",S1165=""),AND(N1165="REALIZADO",M1165="PENDENTE"),AND(ISNUMBER(R1165),R1165=TODAY())),"ATENÇÃO",IF(N(K1165)=0,"PENDENTE","EM ANDAMENTO"))))))</f>
        <v/>
      </c>
      <c r="C1165" s="3">
        <f>IF(D1165="","",IF(V1165=0,"🟢 OK",IF(D1165&lt;corte,"⚪ HISTÓRICO (sem baixa)",IF(AND(ISNUMBER(R1165),R1165&lt;TODAY()),"🔴 PRAZO VENCIDO",IF(AND(OR(N1165="PENDENTE",N1165="PARCIAL"),D1165&lt;TODAY()-1),"🔴 EMBARQUE ATRASADO",IF(AND(N1165="REALIZADO",M1165="PENDENTE"),"🟡 EMBARCADO SEM FATURAR",IF(AND(P1165&lt;&gt;"",S1165="",OR(Q1165="",R1165="")),"🟡 PENDÊNCIA SEM RESPONSÁVEL/PRAZO",IF(AND(ISNUMBER(R1165),R1165=TODAY()),"🟡 VENCE HOJE",IF(AND(P1165&lt;&gt;"",S1165=""),"🟡 PENDÊNCIA ABERTA",IF(AND(N(J1165)&gt;0,N(K1165)&lt;J1165),"🟡 FALTA EXECUTAR",IF(OR(M1165="PENDENTE",M1165="PARCIAL"),"🟡 FATURAMENTO PENDENTE","🟡 EMBARQUE PENDENTE")))))))))))</f>
        <v/>
      </c>
      <c r="D1165" s="4" t="n"/>
      <c r="E1165" s="5" t="n"/>
      <c r="F1165" s="5" t="n"/>
      <c r="G1165" s="5" t="n"/>
      <c r="H1165" s="5" t="n"/>
      <c r="I1165" s="5" t="n"/>
      <c r="J1165" s="6" t="n"/>
      <c r="K1165" s="6" t="n"/>
      <c r="L1165" s="7">
        <f>IF(OR(D1165="",N(J1165)=0),"",MIN(1,N(K1165)/J1165))</f>
        <v/>
      </c>
      <c r="M1165" s="5" t="n"/>
      <c r="N1165" s="5" t="n"/>
      <c r="O1165" s="5" t="n"/>
      <c r="P1165" s="5" t="n"/>
      <c r="Q1165" s="5" t="n"/>
      <c r="R1165" s="4" t="n"/>
      <c r="S1165" s="4" t="n"/>
      <c r="T1165" s="5" t="n"/>
      <c r="U1165" s="8">
        <f>IF(AND(V1165=1,D1165&lt;&gt;""),IF(D1165&gt;=corte,TODAY()-D1165,""),"")</f>
        <v/>
      </c>
      <c r="V1165" s="8">
        <f>IF(D1165="",0,IF(OR(AND(P1165&lt;&gt;"",S1165=""),AND(N(J1165)&gt;0,N(K1165)&lt;J1165),OR(M1165="PENDENTE",M1165="PARCIAL"),OR(N1165="PENDENTE",N1165="PARCIAL")),1,0))</f>
        <v/>
      </c>
      <c r="W1165" s="8">
        <f>IF(AND(V1165=1,D1165&lt;&gt;""),IF(D1165&gt;=corte,(B1165="CRÍTICO")*1E9+(100000-D1165)*10000+10000-ROW(),""),"")</f>
        <v/>
      </c>
      <c r="X1165" s="8">
        <f>IF(AND(V1165=1,D1165=pas_data,E1165=pas_turno),10000-ROW(),"")</f>
        <v/>
      </c>
    </row>
    <row r="1166">
      <c r="A1166" s="3">
        <f>IF(D1166="","","TT-"&amp;TEXT(ROW()-1,"00000"))</f>
        <v/>
      </c>
      <c r="B1166" s="3">
        <f>IF(D1166="","",IF(V1166=0,"CONCLUÍDO",IF(D1166&lt;corte,"HISTÓRICO",IF(OR(AND(ISNUMBER(R1166),R1166&lt;TODAY()),AND(OR(N1166="PENDENTE",N1166="PARCIAL"),D1166&lt;TODAY()-1)),"CRÍTICO",IF(OR(AND(P1166&lt;&gt;"",S1166=""),AND(N1166="REALIZADO",M1166="PENDENTE"),AND(ISNUMBER(R1166),R1166=TODAY())),"ATENÇÃO",IF(N(K1166)=0,"PENDENTE","EM ANDAMENTO"))))))</f>
        <v/>
      </c>
      <c r="C1166" s="3">
        <f>IF(D1166="","",IF(V1166=0,"🟢 OK",IF(D1166&lt;corte,"⚪ HISTÓRICO (sem baixa)",IF(AND(ISNUMBER(R1166),R1166&lt;TODAY()),"🔴 PRAZO VENCIDO",IF(AND(OR(N1166="PENDENTE",N1166="PARCIAL"),D1166&lt;TODAY()-1),"🔴 EMBARQUE ATRASADO",IF(AND(N1166="REALIZADO",M1166="PENDENTE"),"🟡 EMBARCADO SEM FATURAR",IF(AND(P1166&lt;&gt;"",S1166="",OR(Q1166="",R1166="")),"🟡 PENDÊNCIA SEM RESPONSÁVEL/PRAZO",IF(AND(ISNUMBER(R1166),R1166=TODAY()),"🟡 VENCE HOJE",IF(AND(P1166&lt;&gt;"",S1166=""),"🟡 PENDÊNCIA ABERTA",IF(AND(N(J1166)&gt;0,N(K1166)&lt;J1166),"🟡 FALTA EXECUTAR",IF(OR(M1166="PENDENTE",M1166="PARCIAL"),"🟡 FATURAMENTO PENDENTE","🟡 EMBARQUE PENDENTE")))))))))))</f>
        <v/>
      </c>
      <c r="D1166" s="4" t="n"/>
      <c r="E1166" s="5" t="n"/>
      <c r="F1166" s="5" t="n"/>
      <c r="G1166" s="5" t="n"/>
      <c r="H1166" s="5" t="n"/>
      <c r="I1166" s="5" t="n"/>
      <c r="J1166" s="6" t="n"/>
      <c r="K1166" s="6" t="n"/>
      <c r="L1166" s="7">
        <f>IF(OR(D1166="",N(J1166)=0),"",MIN(1,N(K1166)/J1166))</f>
        <v/>
      </c>
      <c r="M1166" s="5" t="n"/>
      <c r="N1166" s="5" t="n"/>
      <c r="O1166" s="5" t="n"/>
      <c r="P1166" s="5" t="n"/>
      <c r="Q1166" s="5" t="n"/>
      <c r="R1166" s="4" t="n"/>
      <c r="S1166" s="4" t="n"/>
      <c r="T1166" s="5" t="n"/>
      <c r="U1166" s="8">
        <f>IF(AND(V1166=1,D1166&lt;&gt;""),IF(D1166&gt;=corte,TODAY()-D1166,""),"")</f>
        <v/>
      </c>
      <c r="V1166" s="8">
        <f>IF(D1166="",0,IF(OR(AND(P1166&lt;&gt;"",S1166=""),AND(N(J1166)&gt;0,N(K1166)&lt;J1166),OR(M1166="PENDENTE",M1166="PARCIAL"),OR(N1166="PENDENTE",N1166="PARCIAL")),1,0))</f>
        <v/>
      </c>
      <c r="W1166" s="8">
        <f>IF(AND(V1166=1,D1166&lt;&gt;""),IF(D1166&gt;=corte,(B1166="CRÍTICO")*1E9+(100000-D1166)*10000+10000-ROW(),""),"")</f>
        <v/>
      </c>
      <c r="X1166" s="8">
        <f>IF(AND(V1166=1,D1166=pas_data,E1166=pas_turno),10000-ROW(),"")</f>
        <v/>
      </c>
    </row>
    <row r="1167">
      <c r="A1167" s="3">
        <f>IF(D1167="","","TT-"&amp;TEXT(ROW()-1,"00000"))</f>
        <v/>
      </c>
      <c r="B1167" s="3">
        <f>IF(D1167="","",IF(V1167=0,"CONCLUÍDO",IF(D1167&lt;corte,"HISTÓRICO",IF(OR(AND(ISNUMBER(R1167),R1167&lt;TODAY()),AND(OR(N1167="PENDENTE",N1167="PARCIAL"),D1167&lt;TODAY()-1)),"CRÍTICO",IF(OR(AND(P1167&lt;&gt;"",S1167=""),AND(N1167="REALIZADO",M1167="PENDENTE"),AND(ISNUMBER(R1167),R1167=TODAY())),"ATENÇÃO",IF(N(K1167)=0,"PENDENTE","EM ANDAMENTO"))))))</f>
        <v/>
      </c>
      <c r="C1167" s="3">
        <f>IF(D1167="","",IF(V1167=0,"🟢 OK",IF(D1167&lt;corte,"⚪ HISTÓRICO (sem baixa)",IF(AND(ISNUMBER(R1167),R1167&lt;TODAY()),"🔴 PRAZO VENCIDO",IF(AND(OR(N1167="PENDENTE",N1167="PARCIAL"),D1167&lt;TODAY()-1),"🔴 EMBARQUE ATRASADO",IF(AND(N1167="REALIZADO",M1167="PENDENTE"),"🟡 EMBARCADO SEM FATURAR",IF(AND(P1167&lt;&gt;"",S1167="",OR(Q1167="",R1167="")),"🟡 PENDÊNCIA SEM RESPONSÁVEL/PRAZO",IF(AND(ISNUMBER(R1167),R1167=TODAY()),"🟡 VENCE HOJE",IF(AND(P1167&lt;&gt;"",S1167=""),"🟡 PENDÊNCIA ABERTA",IF(AND(N(J1167)&gt;0,N(K1167)&lt;J1167),"🟡 FALTA EXECUTAR",IF(OR(M1167="PENDENTE",M1167="PARCIAL"),"🟡 FATURAMENTO PENDENTE","🟡 EMBARQUE PENDENTE")))))))))))</f>
        <v/>
      </c>
      <c r="D1167" s="4" t="n"/>
      <c r="E1167" s="5" t="n"/>
      <c r="F1167" s="5" t="n"/>
      <c r="G1167" s="5" t="n"/>
      <c r="H1167" s="5" t="n"/>
      <c r="I1167" s="5" t="n"/>
      <c r="J1167" s="6" t="n"/>
      <c r="K1167" s="6" t="n"/>
      <c r="L1167" s="7">
        <f>IF(OR(D1167="",N(J1167)=0),"",MIN(1,N(K1167)/J1167))</f>
        <v/>
      </c>
      <c r="M1167" s="5" t="n"/>
      <c r="N1167" s="5" t="n"/>
      <c r="O1167" s="5" t="n"/>
      <c r="P1167" s="5" t="n"/>
      <c r="Q1167" s="5" t="n"/>
      <c r="R1167" s="4" t="n"/>
      <c r="S1167" s="4" t="n"/>
      <c r="T1167" s="5" t="n"/>
      <c r="U1167" s="8">
        <f>IF(AND(V1167=1,D1167&lt;&gt;""),IF(D1167&gt;=corte,TODAY()-D1167,""),"")</f>
        <v/>
      </c>
      <c r="V1167" s="8">
        <f>IF(D1167="",0,IF(OR(AND(P1167&lt;&gt;"",S1167=""),AND(N(J1167)&gt;0,N(K1167)&lt;J1167),OR(M1167="PENDENTE",M1167="PARCIAL"),OR(N1167="PENDENTE",N1167="PARCIAL")),1,0))</f>
        <v/>
      </c>
      <c r="W1167" s="8">
        <f>IF(AND(V1167=1,D1167&lt;&gt;""),IF(D1167&gt;=corte,(B1167="CRÍTICO")*1E9+(100000-D1167)*10000+10000-ROW(),""),"")</f>
        <v/>
      </c>
      <c r="X1167" s="8">
        <f>IF(AND(V1167=1,D1167=pas_data,E1167=pas_turno),10000-ROW(),"")</f>
        <v/>
      </c>
    </row>
    <row r="1168">
      <c r="A1168" s="3">
        <f>IF(D1168="","","TT-"&amp;TEXT(ROW()-1,"00000"))</f>
        <v/>
      </c>
      <c r="B1168" s="3">
        <f>IF(D1168="","",IF(V1168=0,"CONCLUÍDO",IF(D1168&lt;corte,"HISTÓRICO",IF(OR(AND(ISNUMBER(R1168),R1168&lt;TODAY()),AND(OR(N1168="PENDENTE",N1168="PARCIAL"),D1168&lt;TODAY()-1)),"CRÍTICO",IF(OR(AND(P1168&lt;&gt;"",S1168=""),AND(N1168="REALIZADO",M1168="PENDENTE"),AND(ISNUMBER(R1168),R1168=TODAY())),"ATENÇÃO",IF(N(K1168)=0,"PENDENTE","EM ANDAMENTO"))))))</f>
        <v/>
      </c>
      <c r="C1168" s="3">
        <f>IF(D1168="","",IF(V1168=0,"🟢 OK",IF(D1168&lt;corte,"⚪ HISTÓRICO (sem baixa)",IF(AND(ISNUMBER(R1168),R1168&lt;TODAY()),"🔴 PRAZO VENCIDO",IF(AND(OR(N1168="PENDENTE",N1168="PARCIAL"),D1168&lt;TODAY()-1),"🔴 EMBARQUE ATRASADO",IF(AND(N1168="REALIZADO",M1168="PENDENTE"),"🟡 EMBARCADO SEM FATURAR",IF(AND(P1168&lt;&gt;"",S1168="",OR(Q1168="",R1168="")),"🟡 PENDÊNCIA SEM RESPONSÁVEL/PRAZO",IF(AND(ISNUMBER(R1168),R1168=TODAY()),"🟡 VENCE HOJE",IF(AND(P1168&lt;&gt;"",S1168=""),"🟡 PENDÊNCIA ABERTA",IF(AND(N(J1168)&gt;0,N(K1168)&lt;J1168),"🟡 FALTA EXECUTAR",IF(OR(M1168="PENDENTE",M1168="PARCIAL"),"🟡 FATURAMENTO PENDENTE","🟡 EMBARQUE PENDENTE")))))))))))</f>
        <v/>
      </c>
      <c r="D1168" s="4" t="n"/>
      <c r="E1168" s="5" t="n"/>
      <c r="F1168" s="5" t="n"/>
      <c r="G1168" s="5" t="n"/>
      <c r="H1168" s="5" t="n"/>
      <c r="I1168" s="5" t="n"/>
      <c r="J1168" s="6" t="n"/>
      <c r="K1168" s="6" t="n"/>
      <c r="L1168" s="7">
        <f>IF(OR(D1168="",N(J1168)=0),"",MIN(1,N(K1168)/J1168))</f>
        <v/>
      </c>
      <c r="M1168" s="5" t="n"/>
      <c r="N1168" s="5" t="n"/>
      <c r="O1168" s="5" t="n"/>
      <c r="P1168" s="5" t="n"/>
      <c r="Q1168" s="5" t="n"/>
      <c r="R1168" s="4" t="n"/>
      <c r="S1168" s="4" t="n"/>
      <c r="T1168" s="5" t="n"/>
      <c r="U1168" s="8">
        <f>IF(AND(V1168=1,D1168&lt;&gt;""),IF(D1168&gt;=corte,TODAY()-D1168,""),"")</f>
        <v/>
      </c>
      <c r="V1168" s="8">
        <f>IF(D1168="",0,IF(OR(AND(P1168&lt;&gt;"",S1168=""),AND(N(J1168)&gt;0,N(K1168)&lt;J1168),OR(M1168="PENDENTE",M1168="PARCIAL"),OR(N1168="PENDENTE",N1168="PARCIAL")),1,0))</f>
        <v/>
      </c>
      <c r="W1168" s="8">
        <f>IF(AND(V1168=1,D1168&lt;&gt;""),IF(D1168&gt;=corte,(B1168="CRÍTICO")*1E9+(100000-D1168)*10000+10000-ROW(),""),"")</f>
        <v/>
      </c>
      <c r="X1168" s="8">
        <f>IF(AND(V1168=1,D1168=pas_data,E1168=pas_turno),10000-ROW(),"")</f>
        <v/>
      </c>
    </row>
    <row r="1169">
      <c r="A1169" s="3">
        <f>IF(D1169="","","TT-"&amp;TEXT(ROW()-1,"00000"))</f>
        <v/>
      </c>
      <c r="B1169" s="3">
        <f>IF(D1169="","",IF(V1169=0,"CONCLUÍDO",IF(D1169&lt;corte,"HISTÓRICO",IF(OR(AND(ISNUMBER(R1169),R1169&lt;TODAY()),AND(OR(N1169="PENDENTE",N1169="PARCIAL"),D1169&lt;TODAY()-1)),"CRÍTICO",IF(OR(AND(P1169&lt;&gt;"",S1169=""),AND(N1169="REALIZADO",M1169="PENDENTE"),AND(ISNUMBER(R1169),R1169=TODAY())),"ATENÇÃO",IF(N(K1169)=0,"PENDENTE","EM ANDAMENTO"))))))</f>
        <v/>
      </c>
      <c r="C1169" s="3">
        <f>IF(D1169="","",IF(V1169=0,"🟢 OK",IF(D1169&lt;corte,"⚪ HISTÓRICO (sem baixa)",IF(AND(ISNUMBER(R1169),R1169&lt;TODAY()),"🔴 PRAZO VENCIDO",IF(AND(OR(N1169="PENDENTE",N1169="PARCIAL"),D1169&lt;TODAY()-1),"🔴 EMBARQUE ATRASADO",IF(AND(N1169="REALIZADO",M1169="PENDENTE"),"🟡 EMBARCADO SEM FATURAR",IF(AND(P1169&lt;&gt;"",S1169="",OR(Q1169="",R1169="")),"🟡 PENDÊNCIA SEM RESPONSÁVEL/PRAZO",IF(AND(ISNUMBER(R1169),R1169=TODAY()),"🟡 VENCE HOJE",IF(AND(P1169&lt;&gt;"",S1169=""),"🟡 PENDÊNCIA ABERTA",IF(AND(N(J1169)&gt;0,N(K1169)&lt;J1169),"🟡 FALTA EXECUTAR",IF(OR(M1169="PENDENTE",M1169="PARCIAL"),"🟡 FATURAMENTO PENDENTE","🟡 EMBARQUE PENDENTE")))))))))))</f>
        <v/>
      </c>
      <c r="D1169" s="4" t="n"/>
      <c r="E1169" s="5" t="n"/>
      <c r="F1169" s="5" t="n"/>
      <c r="G1169" s="5" t="n"/>
      <c r="H1169" s="5" t="n"/>
      <c r="I1169" s="5" t="n"/>
      <c r="J1169" s="6" t="n"/>
      <c r="K1169" s="6" t="n"/>
      <c r="L1169" s="7">
        <f>IF(OR(D1169="",N(J1169)=0),"",MIN(1,N(K1169)/J1169))</f>
        <v/>
      </c>
      <c r="M1169" s="5" t="n"/>
      <c r="N1169" s="5" t="n"/>
      <c r="O1169" s="5" t="n"/>
      <c r="P1169" s="5" t="n"/>
      <c r="Q1169" s="5" t="n"/>
      <c r="R1169" s="4" t="n"/>
      <c r="S1169" s="4" t="n"/>
      <c r="T1169" s="5" t="n"/>
      <c r="U1169" s="8">
        <f>IF(AND(V1169=1,D1169&lt;&gt;""),IF(D1169&gt;=corte,TODAY()-D1169,""),"")</f>
        <v/>
      </c>
      <c r="V1169" s="8">
        <f>IF(D1169="",0,IF(OR(AND(P1169&lt;&gt;"",S1169=""),AND(N(J1169)&gt;0,N(K1169)&lt;J1169),OR(M1169="PENDENTE",M1169="PARCIAL"),OR(N1169="PENDENTE",N1169="PARCIAL")),1,0))</f>
        <v/>
      </c>
      <c r="W1169" s="8">
        <f>IF(AND(V1169=1,D1169&lt;&gt;""),IF(D1169&gt;=corte,(B1169="CRÍTICO")*1E9+(100000-D1169)*10000+10000-ROW(),""),"")</f>
        <v/>
      </c>
      <c r="X1169" s="8">
        <f>IF(AND(V1169=1,D1169=pas_data,E1169=pas_turno),10000-ROW(),"")</f>
        <v/>
      </c>
    </row>
    <row r="1170">
      <c r="A1170" s="3">
        <f>IF(D1170="","","TT-"&amp;TEXT(ROW()-1,"00000"))</f>
        <v/>
      </c>
      <c r="B1170" s="3">
        <f>IF(D1170="","",IF(V1170=0,"CONCLUÍDO",IF(D1170&lt;corte,"HISTÓRICO",IF(OR(AND(ISNUMBER(R1170),R1170&lt;TODAY()),AND(OR(N1170="PENDENTE",N1170="PARCIAL"),D1170&lt;TODAY()-1)),"CRÍTICO",IF(OR(AND(P1170&lt;&gt;"",S1170=""),AND(N1170="REALIZADO",M1170="PENDENTE"),AND(ISNUMBER(R1170),R1170=TODAY())),"ATENÇÃO",IF(N(K1170)=0,"PENDENTE","EM ANDAMENTO"))))))</f>
        <v/>
      </c>
      <c r="C1170" s="3">
        <f>IF(D1170="","",IF(V1170=0,"🟢 OK",IF(D1170&lt;corte,"⚪ HISTÓRICO (sem baixa)",IF(AND(ISNUMBER(R1170),R1170&lt;TODAY()),"🔴 PRAZO VENCIDO",IF(AND(OR(N1170="PENDENTE",N1170="PARCIAL"),D1170&lt;TODAY()-1),"🔴 EMBARQUE ATRASADO",IF(AND(N1170="REALIZADO",M1170="PENDENTE"),"🟡 EMBARCADO SEM FATURAR",IF(AND(P1170&lt;&gt;"",S1170="",OR(Q1170="",R1170="")),"🟡 PENDÊNCIA SEM RESPONSÁVEL/PRAZO",IF(AND(ISNUMBER(R1170),R1170=TODAY()),"🟡 VENCE HOJE",IF(AND(P1170&lt;&gt;"",S1170=""),"🟡 PENDÊNCIA ABERTA",IF(AND(N(J1170)&gt;0,N(K1170)&lt;J1170),"🟡 FALTA EXECUTAR",IF(OR(M1170="PENDENTE",M1170="PARCIAL"),"🟡 FATURAMENTO PENDENTE","🟡 EMBARQUE PENDENTE")))))))))))</f>
        <v/>
      </c>
      <c r="D1170" s="4" t="n"/>
      <c r="E1170" s="5" t="n"/>
      <c r="F1170" s="5" t="n"/>
      <c r="G1170" s="5" t="n"/>
      <c r="H1170" s="5" t="n"/>
      <c r="I1170" s="5" t="n"/>
      <c r="J1170" s="6" t="n"/>
      <c r="K1170" s="6" t="n"/>
      <c r="L1170" s="7">
        <f>IF(OR(D1170="",N(J1170)=0),"",MIN(1,N(K1170)/J1170))</f>
        <v/>
      </c>
      <c r="M1170" s="5" t="n"/>
      <c r="N1170" s="5" t="n"/>
      <c r="O1170" s="5" t="n"/>
      <c r="P1170" s="5" t="n"/>
      <c r="Q1170" s="5" t="n"/>
      <c r="R1170" s="4" t="n"/>
      <c r="S1170" s="4" t="n"/>
      <c r="T1170" s="5" t="n"/>
      <c r="U1170" s="8">
        <f>IF(AND(V1170=1,D1170&lt;&gt;""),IF(D1170&gt;=corte,TODAY()-D1170,""),"")</f>
        <v/>
      </c>
      <c r="V1170" s="8">
        <f>IF(D1170="",0,IF(OR(AND(P1170&lt;&gt;"",S1170=""),AND(N(J1170)&gt;0,N(K1170)&lt;J1170),OR(M1170="PENDENTE",M1170="PARCIAL"),OR(N1170="PENDENTE",N1170="PARCIAL")),1,0))</f>
        <v/>
      </c>
      <c r="W1170" s="8">
        <f>IF(AND(V1170=1,D1170&lt;&gt;""),IF(D1170&gt;=corte,(B1170="CRÍTICO")*1E9+(100000-D1170)*10000+10000-ROW(),""),"")</f>
        <v/>
      </c>
      <c r="X1170" s="8">
        <f>IF(AND(V1170=1,D1170=pas_data,E1170=pas_turno),10000-ROW(),"")</f>
        <v/>
      </c>
    </row>
    <row r="1171">
      <c r="A1171" s="3">
        <f>IF(D1171="","","TT-"&amp;TEXT(ROW()-1,"00000"))</f>
        <v/>
      </c>
      <c r="B1171" s="3">
        <f>IF(D1171="","",IF(V1171=0,"CONCLUÍDO",IF(D1171&lt;corte,"HISTÓRICO",IF(OR(AND(ISNUMBER(R1171),R1171&lt;TODAY()),AND(OR(N1171="PENDENTE",N1171="PARCIAL"),D1171&lt;TODAY()-1)),"CRÍTICO",IF(OR(AND(P1171&lt;&gt;"",S1171=""),AND(N1171="REALIZADO",M1171="PENDENTE"),AND(ISNUMBER(R1171),R1171=TODAY())),"ATENÇÃO",IF(N(K1171)=0,"PENDENTE","EM ANDAMENTO"))))))</f>
        <v/>
      </c>
      <c r="C1171" s="3">
        <f>IF(D1171="","",IF(V1171=0,"🟢 OK",IF(D1171&lt;corte,"⚪ HISTÓRICO (sem baixa)",IF(AND(ISNUMBER(R1171),R1171&lt;TODAY()),"🔴 PRAZO VENCIDO",IF(AND(OR(N1171="PENDENTE",N1171="PARCIAL"),D1171&lt;TODAY()-1),"🔴 EMBARQUE ATRASADO",IF(AND(N1171="REALIZADO",M1171="PENDENTE"),"🟡 EMBARCADO SEM FATURAR",IF(AND(P1171&lt;&gt;"",S1171="",OR(Q1171="",R1171="")),"🟡 PENDÊNCIA SEM RESPONSÁVEL/PRAZO",IF(AND(ISNUMBER(R1171),R1171=TODAY()),"🟡 VENCE HOJE",IF(AND(P1171&lt;&gt;"",S1171=""),"🟡 PENDÊNCIA ABERTA",IF(AND(N(J1171)&gt;0,N(K1171)&lt;J1171),"🟡 FALTA EXECUTAR",IF(OR(M1171="PENDENTE",M1171="PARCIAL"),"🟡 FATURAMENTO PENDENTE","🟡 EMBARQUE PENDENTE")))))))))))</f>
        <v/>
      </c>
      <c r="D1171" s="4" t="n"/>
      <c r="E1171" s="5" t="n"/>
      <c r="F1171" s="5" t="n"/>
      <c r="G1171" s="5" t="n"/>
      <c r="H1171" s="5" t="n"/>
      <c r="I1171" s="5" t="n"/>
      <c r="J1171" s="6" t="n"/>
      <c r="K1171" s="6" t="n"/>
      <c r="L1171" s="7">
        <f>IF(OR(D1171="",N(J1171)=0),"",MIN(1,N(K1171)/J1171))</f>
        <v/>
      </c>
      <c r="M1171" s="5" t="n"/>
      <c r="N1171" s="5" t="n"/>
      <c r="O1171" s="5" t="n"/>
      <c r="P1171" s="5" t="n"/>
      <c r="Q1171" s="5" t="n"/>
      <c r="R1171" s="4" t="n"/>
      <c r="S1171" s="4" t="n"/>
      <c r="T1171" s="5" t="n"/>
      <c r="U1171" s="8">
        <f>IF(AND(V1171=1,D1171&lt;&gt;""),IF(D1171&gt;=corte,TODAY()-D1171,""),"")</f>
        <v/>
      </c>
      <c r="V1171" s="8">
        <f>IF(D1171="",0,IF(OR(AND(P1171&lt;&gt;"",S1171=""),AND(N(J1171)&gt;0,N(K1171)&lt;J1171),OR(M1171="PENDENTE",M1171="PARCIAL"),OR(N1171="PENDENTE",N1171="PARCIAL")),1,0))</f>
        <v/>
      </c>
      <c r="W1171" s="8">
        <f>IF(AND(V1171=1,D1171&lt;&gt;""),IF(D1171&gt;=corte,(B1171="CRÍTICO")*1E9+(100000-D1171)*10000+10000-ROW(),""),"")</f>
        <v/>
      </c>
      <c r="X1171" s="8">
        <f>IF(AND(V1171=1,D1171=pas_data,E1171=pas_turno),10000-ROW(),"")</f>
        <v/>
      </c>
    </row>
    <row r="1172">
      <c r="A1172" s="3">
        <f>IF(D1172="","","TT-"&amp;TEXT(ROW()-1,"00000"))</f>
        <v/>
      </c>
      <c r="B1172" s="3">
        <f>IF(D1172="","",IF(V1172=0,"CONCLUÍDO",IF(D1172&lt;corte,"HISTÓRICO",IF(OR(AND(ISNUMBER(R1172),R1172&lt;TODAY()),AND(OR(N1172="PENDENTE",N1172="PARCIAL"),D1172&lt;TODAY()-1)),"CRÍTICO",IF(OR(AND(P1172&lt;&gt;"",S1172=""),AND(N1172="REALIZADO",M1172="PENDENTE"),AND(ISNUMBER(R1172),R1172=TODAY())),"ATENÇÃO",IF(N(K1172)=0,"PENDENTE","EM ANDAMENTO"))))))</f>
        <v/>
      </c>
      <c r="C1172" s="3">
        <f>IF(D1172="","",IF(V1172=0,"🟢 OK",IF(D1172&lt;corte,"⚪ HISTÓRICO (sem baixa)",IF(AND(ISNUMBER(R1172),R1172&lt;TODAY()),"🔴 PRAZO VENCIDO",IF(AND(OR(N1172="PENDENTE",N1172="PARCIAL"),D1172&lt;TODAY()-1),"🔴 EMBARQUE ATRASADO",IF(AND(N1172="REALIZADO",M1172="PENDENTE"),"🟡 EMBARCADO SEM FATURAR",IF(AND(P1172&lt;&gt;"",S1172="",OR(Q1172="",R1172="")),"🟡 PENDÊNCIA SEM RESPONSÁVEL/PRAZO",IF(AND(ISNUMBER(R1172),R1172=TODAY()),"🟡 VENCE HOJE",IF(AND(P1172&lt;&gt;"",S1172=""),"🟡 PENDÊNCIA ABERTA",IF(AND(N(J1172)&gt;0,N(K1172)&lt;J1172),"🟡 FALTA EXECUTAR",IF(OR(M1172="PENDENTE",M1172="PARCIAL"),"🟡 FATURAMENTO PENDENTE","🟡 EMBARQUE PENDENTE")))))))))))</f>
        <v/>
      </c>
      <c r="D1172" s="4" t="n"/>
      <c r="E1172" s="5" t="n"/>
      <c r="F1172" s="5" t="n"/>
      <c r="G1172" s="5" t="n"/>
      <c r="H1172" s="5" t="n"/>
      <c r="I1172" s="5" t="n"/>
      <c r="J1172" s="6" t="n"/>
      <c r="K1172" s="6" t="n"/>
      <c r="L1172" s="7">
        <f>IF(OR(D1172="",N(J1172)=0),"",MIN(1,N(K1172)/J1172))</f>
        <v/>
      </c>
      <c r="M1172" s="5" t="n"/>
      <c r="N1172" s="5" t="n"/>
      <c r="O1172" s="5" t="n"/>
      <c r="P1172" s="5" t="n"/>
      <c r="Q1172" s="5" t="n"/>
      <c r="R1172" s="4" t="n"/>
      <c r="S1172" s="4" t="n"/>
      <c r="T1172" s="5" t="n"/>
      <c r="U1172" s="8">
        <f>IF(AND(V1172=1,D1172&lt;&gt;""),IF(D1172&gt;=corte,TODAY()-D1172,""),"")</f>
        <v/>
      </c>
      <c r="V1172" s="8">
        <f>IF(D1172="",0,IF(OR(AND(P1172&lt;&gt;"",S1172=""),AND(N(J1172)&gt;0,N(K1172)&lt;J1172),OR(M1172="PENDENTE",M1172="PARCIAL"),OR(N1172="PENDENTE",N1172="PARCIAL")),1,0))</f>
        <v/>
      </c>
      <c r="W1172" s="8">
        <f>IF(AND(V1172=1,D1172&lt;&gt;""),IF(D1172&gt;=corte,(B1172="CRÍTICO")*1E9+(100000-D1172)*10000+10000-ROW(),""),"")</f>
        <v/>
      </c>
      <c r="X1172" s="8">
        <f>IF(AND(V1172=1,D1172=pas_data,E1172=pas_turno),10000-ROW(),"")</f>
        <v/>
      </c>
    </row>
    <row r="1173">
      <c r="A1173" s="3">
        <f>IF(D1173="","","TT-"&amp;TEXT(ROW()-1,"00000"))</f>
        <v/>
      </c>
      <c r="B1173" s="3">
        <f>IF(D1173="","",IF(V1173=0,"CONCLUÍDO",IF(D1173&lt;corte,"HISTÓRICO",IF(OR(AND(ISNUMBER(R1173),R1173&lt;TODAY()),AND(OR(N1173="PENDENTE",N1173="PARCIAL"),D1173&lt;TODAY()-1)),"CRÍTICO",IF(OR(AND(P1173&lt;&gt;"",S1173=""),AND(N1173="REALIZADO",M1173="PENDENTE"),AND(ISNUMBER(R1173),R1173=TODAY())),"ATENÇÃO",IF(N(K1173)=0,"PENDENTE","EM ANDAMENTO"))))))</f>
        <v/>
      </c>
      <c r="C1173" s="3">
        <f>IF(D1173="","",IF(V1173=0,"🟢 OK",IF(D1173&lt;corte,"⚪ HISTÓRICO (sem baixa)",IF(AND(ISNUMBER(R1173),R1173&lt;TODAY()),"🔴 PRAZO VENCIDO",IF(AND(OR(N1173="PENDENTE",N1173="PARCIAL"),D1173&lt;TODAY()-1),"🔴 EMBARQUE ATRASADO",IF(AND(N1173="REALIZADO",M1173="PENDENTE"),"🟡 EMBARCADO SEM FATURAR",IF(AND(P1173&lt;&gt;"",S1173="",OR(Q1173="",R1173="")),"🟡 PENDÊNCIA SEM RESPONSÁVEL/PRAZO",IF(AND(ISNUMBER(R1173),R1173=TODAY()),"🟡 VENCE HOJE",IF(AND(P1173&lt;&gt;"",S1173=""),"🟡 PENDÊNCIA ABERTA",IF(AND(N(J1173)&gt;0,N(K1173)&lt;J1173),"🟡 FALTA EXECUTAR",IF(OR(M1173="PENDENTE",M1173="PARCIAL"),"🟡 FATURAMENTO PENDENTE","🟡 EMBARQUE PENDENTE")))))))))))</f>
        <v/>
      </c>
      <c r="D1173" s="4" t="n"/>
      <c r="E1173" s="5" t="n"/>
      <c r="F1173" s="5" t="n"/>
      <c r="G1173" s="5" t="n"/>
      <c r="H1173" s="5" t="n"/>
      <c r="I1173" s="5" t="n"/>
      <c r="J1173" s="6" t="n"/>
      <c r="K1173" s="6" t="n"/>
      <c r="L1173" s="7">
        <f>IF(OR(D1173="",N(J1173)=0),"",MIN(1,N(K1173)/J1173))</f>
        <v/>
      </c>
      <c r="M1173" s="5" t="n"/>
      <c r="N1173" s="5" t="n"/>
      <c r="O1173" s="5" t="n"/>
      <c r="P1173" s="5" t="n"/>
      <c r="Q1173" s="5" t="n"/>
      <c r="R1173" s="4" t="n"/>
      <c r="S1173" s="4" t="n"/>
      <c r="T1173" s="5" t="n"/>
      <c r="U1173" s="8">
        <f>IF(AND(V1173=1,D1173&lt;&gt;""),IF(D1173&gt;=corte,TODAY()-D1173,""),"")</f>
        <v/>
      </c>
      <c r="V1173" s="8">
        <f>IF(D1173="",0,IF(OR(AND(P1173&lt;&gt;"",S1173=""),AND(N(J1173)&gt;0,N(K1173)&lt;J1173),OR(M1173="PENDENTE",M1173="PARCIAL"),OR(N1173="PENDENTE",N1173="PARCIAL")),1,0))</f>
        <v/>
      </c>
      <c r="W1173" s="8">
        <f>IF(AND(V1173=1,D1173&lt;&gt;""),IF(D1173&gt;=corte,(B1173="CRÍTICO")*1E9+(100000-D1173)*10000+10000-ROW(),""),"")</f>
        <v/>
      </c>
      <c r="X1173" s="8">
        <f>IF(AND(V1173=1,D1173=pas_data,E1173=pas_turno),10000-ROW(),"")</f>
        <v/>
      </c>
    </row>
    <row r="1174">
      <c r="A1174" s="3">
        <f>IF(D1174="","","TT-"&amp;TEXT(ROW()-1,"00000"))</f>
        <v/>
      </c>
      <c r="B1174" s="3">
        <f>IF(D1174="","",IF(V1174=0,"CONCLUÍDO",IF(D1174&lt;corte,"HISTÓRICO",IF(OR(AND(ISNUMBER(R1174),R1174&lt;TODAY()),AND(OR(N1174="PENDENTE",N1174="PARCIAL"),D1174&lt;TODAY()-1)),"CRÍTICO",IF(OR(AND(P1174&lt;&gt;"",S1174=""),AND(N1174="REALIZADO",M1174="PENDENTE"),AND(ISNUMBER(R1174),R1174=TODAY())),"ATENÇÃO",IF(N(K1174)=0,"PENDENTE","EM ANDAMENTO"))))))</f>
        <v/>
      </c>
      <c r="C1174" s="3">
        <f>IF(D1174="","",IF(V1174=0,"🟢 OK",IF(D1174&lt;corte,"⚪ HISTÓRICO (sem baixa)",IF(AND(ISNUMBER(R1174),R1174&lt;TODAY()),"🔴 PRAZO VENCIDO",IF(AND(OR(N1174="PENDENTE",N1174="PARCIAL"),D1174&lt;TODAY()-1),"🔴 EMBARQUE ATRASADO",IF(AND(N1174="REALIZADO",M1174="PENDENTE"),"🟡 EMBARCADO SEM FATURAR",IF(AND(P1174&lt;&gt;"",S1174="",OR(Q1174="",R1174="")),"🟡 PENDÊNCIA SEM RESPONSÁVEL/PRAZO",IF(AND(ISNUMBER(R1174),R1174=TODAY()),"🟡 VENCE HOJE",IF(AND(P1174&lt;&gt;"",S1174=""),"🟡 PENDÊNCIA ABERTA",IF(AND(N(J1174)&gt;0,N(K1174)&lt;J1174),"🟡 FALTA EXECUTAR",IF(OR(M1174="PENDENTE",M1174="PARCIAL"),"🟡 FATURAMENTO PENDENTE","🟡 EMBARQUE PENDENTE")))))))))))</f>
        <v/>
      </c>
      <c r="D1174" s="4" t="n"/>
      <c r="E1174" s="5" t="n"/>
      <c r="F1174" s="5" t="n"/>
      <c r="G1174" s="5" t="n"/>
      <c r="H1174" s="5" t="n"/>
      <c r="I1174" s="5" t="n"/>
      <c r="J1174" s="6" t="n"/>
      <c r="K1174" s="6" t="n"/>
      <c r="L1174" s="7">
        <f>IF(OR(D1174="",N(J1174)=0),"",MIN(1,N(K1174)/J1174))</f>
        <v/>
      </c>
      <c r="M1174" s="5" t="n"/>
      <c r="N1174" s="5" t="n"/>
      <c r="O1174" s="5" t="n"/>
      <c r="P1174" s="5" t="n"/>
      <c r="Q1174" s="5" t="n"/>
      <c r="R1174" s="4" t="n"/>
      <c r="S1174" s="4" t="n"/>
      <c r="T1174" s="5" t="n"/>
      <c r="U1174" s="8">
        <f>IF(AND(V1174=1,D1174&lt;&gt;""),IF(D1174&gt;=corte,TODAY()-D1174,""),"")</f>
        <v/>
      </c>
      <c r="V1174" s="8">
        <f>IF(D1174="",0,IF(OR(AND(P1174&lt;&gt;"",S1174=""),AND(N(J1174)&gt;0,N(K1174)&lt;J1174),OR(M1174="PENDENTE",M1174="PARCIAL"),OR(N1174="PENDENTE",N1174="PARCIAL")),1,0))</f>
        <v/>
      </c>
      <c r="W1174" s="8">
        <f>IF(AND(V1174=1,D1174&lt;&gt;""),IF(D1174&gt;=corte,(B1174="CRÍTICO")*1E9+(100000-D1174)*10000+10000-ROW(),""),"")</f>
        <v/>
      </c>
      <c r="X1174" s="8">
        <f>IF(AND(V1174=1,D1174=pas_data,E1174=pas_turno),10000-ROW(),"")</f>
        <v/>
      </c>
    </row>
    <row r="1175">
      <c r="A1175" s="3">
        <f>IF(D1175="","","TT-"&amp;TEXT(ROW()-1,"00000"))</f>
        <v/>
      </c>
      <c r="B1175" s="3">
        <f>IF(D1175="","",IF(V1175=0,"CONCLUÍDO",IF(D1175&lt;corte,"HISTÓRICO",IF(OR(AND(ISNUMBER(R1175),R1175&lt;TODAY()),AND(OR(N1175="PENDENTE",N1175="PARCIAL"),D1175&lt;TODAY()-1)),"CRÍTICO",IF(OR(AND(P1175&lt;&gt;"",S1175=""),AND(N1175="REALIZADO",M1175="PENDENTE"),AND(ISNUMBER(R1175),R1175=TODAY())),"ATENÇÃO",IF(N(K1175)=0,"PENDENTE","EM ANDAMENTO"))))))</f>
        <v/>
      </c>
      <c r="C1175" s="3">
        <f>IF(D1175="","",IF(V1175=0,"🟢 OK",IF(D1175&lt;corte,"⚪ HISTÓRICO (sem baixa)",IF(AND(ISNUMBER(R1175),R1175&lt;TODAY()),"🔴 PRAZO VENCIDO",IF(AND(OR(N1175="PENDENTE",N1175="PARCIAL"),D1175&lt;TODAY()-1),"🔴 EMBARQUE ATRASADO",IF(AND(N1175="REALIZADO",M1175="PENDENTE"),"🟡 EMBARCADO SEM FATURAR",IF(AND(P1175&lt;&gt;"",S1175="",OR(Q1175="",R1175="")),"🟡 PENDÊNCIA SEM RESPONSÁVEL/PRAZO",IF(AND(ISNUMBER(R1175),R1175=TODAY()),"🟡 VENCE HOJE",IF(AND(P1175&lt;&gt;"",S1175=""),"🟡 PENDÊNCIA ABERTA",IF(AND(N(J1175)&gt;0,N(K1175)&lt;J1175),"🟡 FALTA EXECUTAR",IF(OR(M1175="PENDENTE",M1175="PARCIAL"),"🟡 FATURAMENTO PENDENTE","🟡 EMBARQUE PENDENTE")))))))))))</f>
        <v/>
      </c>
      <c r="D1175" s="4" t="n"/>
      <c r="E1175" s="5" t="n"/>
      <c r="F1175" s="5" t="n"/>
      <c r="G1175" s="5" t="n"/>
      <c r="H1175" s="5" t="n"/>
      <c r="I1175" s="5" t="n"/>
      <c r="J1175" s="6" t="n"/>
      <c r="K1175" s="6" t="n"/>
      <c r="L1175" s="7">
        <f>IF(OR(D1175="",N(J1175)=0),"",MIN(1,N(K1175)/J1175))</f>
        <v/>
      </c>
      <c r="M1175" s="5" t="n"/>
      <c r="N1175" s="5" t="n"/>
      <c r="O1175" s="5" t="n"/>
      <c r="P1175" s="5" t="n"/>
      <c r="Q1175" s="5" t="n"/>
      <c r="R1175" s="4" t="n"/>
      <c r="S1175" s="4" t="n"/>
      <c r="T1175" s="5" t="n"/>
      <c r="U1175" s="8">
        <f>IF(AND(V1175=1,D1175&lt;&gt;""),IF(D1175&gt;=corte,TODAY()-D1175,""),"")</f>
        <v/>
      </c>
      <c r="V1175" s="8">
        <f>IF(D1175="",0,IF(OR(AND(P1175&lt;&gt;"",S1175=""),AND(N(J1175)&gt;0,N(K1175)&lt;J1175),OR(M1175="PENDENTE",M1175="PARCIAL"),OR(N1175="PENDENTE",N1175="PARCIAL")),1,0))</f>
        <v/>
      </c>
      <c r="W1175" s="8">
        <f>IF(AND(V1175=1,D1175&lt;&gt;""),IF(D1175&gt;=corte,(B1175="CRÍTICO")*1E9+(100000-D1175)*10000+10000-ROW(),""),"")</f>
        <v/>
      </c>
      <c r="X1175" s="8">
        <f>IF(AND(V1175=1,D1175=pas_data,E1175=pas_turno),10000-ROW(),"")</f>
        <v/>
      </c>
    </row>
    <row r="1176">
      <c r="A1176" s="3">
        <f>IF(D1176="","","TT-"&amp;TEXT(ROW()-1,"00000"))</f>
        <v/>
      </c>
      <c r="B1176" s="3">
        <f>IF(D1176="","",IF(V1176=0,"CONCLUÍDO",IF(D1176&lt;corte,"HISTÓRICO",IF(OR(AND(ISNUMBER(R1176),R1176&lt;TODAY()),AND(OR(N1176="PENDENTE",N1176="PARCIAL"),D1176&lt;TODAY()-1)),"CRÍTICO",IF(OR(AND(P1176&lt;&gt;"",S1176=""),AND(N1176="REALIZADO",M1176="PENDENTE"),AND(ISNUMBER(R1176),R1176=TODAY())),"ATENÇÃO",IF(N(K1176)=0,"PENDENTE","EM ANDAMENTO"))))))</f>
        <v/>
      </c>
      <c r="C1176" s="3">
        <f>IF(D1176="","",IF(V1176=0,"🟢 OK",IF(D1176&lt;corte,"⚪ HISTÓRICO (sem baixa)",IF(AND(ISNUMBER(R1176),R1176&lt;TODAY()),"🔴 PRAZO VENCIDO",IF(AND(OR(N1176="PENDENTE",N1176="PARCIAL"),D1176&lt;TODAY()-1),"🔴 EMBARQUE ATRASADO",IF(AND(N1176="REALIZADO",M1176="PENDENTE"),"🟡 EMBARCADO SEM FATURAR",IF(AND(P1176&lt;&gt;"",S1176="",OR(Q1176="",R1176="")),"🟡 PENDÊNCIA SEM RESPONSÁVEL/PRAZO",IF(AND(ISNUMBER(R1176),R1176=TODAY()),"🟡 VENCE HOJE",IF(AND(P1176&lt;&gt;"",S1176=""),"🟡 PENDÊNCIA ABERTA",IF(AND(N(J1176)&gt;0,N(K1176)&lt;J1176),"🟡 FALTA EXECUTAR",IF(OR(M1176="PENDENTE",M1176="PARCIAL"),"🟡 FATURAMENTO PENDENTE","🟡 EMBARQUE PENDENTE")))))))))))</f>
        <v/>
      </c>
      <c r="D1176" s="4" t="n"/>
      <c r="E1176" s="5" t="n"/>
      <c r="F1176" s="5" t="n"/>
      <c r="G1176" s="5" t="n"/>
      <c r="H1176" s="5" t="n"/>
      <c r="I1176" s="5" t="n"/>
      <c r="J1176" s="6" t="n"/>
      <c r="K1176" s="6" t="n"/>
      <c r="L1176" s="7">
        <f>IF(OR(D1176="",N(J1176)=0),"",MIN(1,N(K1176)/J1176))</f>
        <v/>
      </c>
      <c r="M1176" s="5" t="n"/>
      <c r="N1176" s="5" t="n"/>
      <c r="O1176" s="5" t="n"/>
      <c r="P1176" s="5" t="n"/>
      <c r="Q1176" s="5" t="n"/>
      <c r="R1176" s="4" t="n"/>
      <c r="S1176" s="4" t="n"/>
      <c r="T1176" s="5" t="n"/>
      <c r="U1176" s="8">
        <f>IF(AND(V1176=1,D1176&lt;&gt;""),IF(D1176&gt;=corte,TODAY()-D1176,""),"")</f>
        <v/>
      </c>
      <c r="V1176" s="8">
        <f>IF(D1176="",0,IF(OR(AND(P1176&lt;&gt;"",S1176=""),AND(N(J1176)&gt;0,N(K1176)&lt;J1176),OR(M1176="PENDENTE",M1176="PARCIAL"),OR(N1176="PENDENTE",N1176="PARCIAL")),1,0))</f>
        <v/>
      </c>
      <c r="W1176" s="8">
        <f>IF(AND(V1176=1,D1176&lt;&gt;""),IF(D1176&gt;=corte,(B1176="CRÍTICO")*1E9+(100000-D1176)*10000+10000-ROW(),""),"")</f>
        <v/>
      </c>
      <c r="X1176" s="8">
        <f>IF(AND(V1176=1,D1176=pas_data,E1176=pas_turno),10000-ROW(),"")</f>
        <v/>
      </c>
    </row>
    <row r="1177">
      <c r="A1177" s="3">
        <f>IF(D1177="","","TT-"&amp;TEXT(ROW()-1,"00000"))</f>
        <v/>
      </c>
      <c r="B1177" s="3">
        <f>IF(D1177="","",IF(V1177=0,"CONCLUÍDO",IF(D1177&lt;corte,"HISTÓRICO",IF(OR(AND(ISNUMBER(R1177),R1177&lt;TODAY()),AND(OR(N1177="PENDENTE",N1177="PARCIAL"),D1177&lt;TODAY()-1)),"CRÍTICO",IF(OR(AND(P1177&lt;&gt;"",S1177=""),AND(N1177="REALIZADO",M1177="PENDENTE"),AND(ISNUMBER(R1177),R1177=TODAY())),"ATENÇÃO",IF(N(K1177)=0,"PENDENTE","EM ANDAMENTO"))))))</f>
        <v/>
      </c>
      <c r="C1177" s="3">
        <f>IF(D1177="","",IF(V1177=0,"🟢 OK",IF(D1177&lt;corte,"⚪ HISTÓRICO (sem baixa)",IF(AND(ISNUMBER(R1177),R1177&lt;TODAY()),"🔴 PRAZO VENCIDO",IF(AND(OR(N1177="PENDENTE",N1177="PARCIAL"),D1177&lt;TODAY()-1),"🔴 EMBARQUE ATRASADO",IF(AND(N1177="REALIZADO",M1177="PENDENTE"),"🟡 EMBARCADO SEM FATURAR",IF(AND(P1177&lt;&gt;"",S1177="",OR(Q1177="",R1177="")),"🟡 PENDÊNCIA SEM RESPONSÁVEL/PRAZO",IF(AND(ISNUMBER(R1177),R1177=TODAY()),"🟡 VENCE HOJE",IF(AND(P1177&lt;&gt;"",S1177=""),"🟡 PENDÊNCIA ABERTA",IF(AND(N(J1177)&gt;0,N(K1177)&lt;J1177),"🟡 FALTA EXECUTAR",IF(OR(M1177="PENDENTE",M1177="PARCIAL"),"🟡 FATURAMENTO PENDENTE","🟡 EMBARQUE PENDENTE")))))))))))</f>
        <v/>
      </c>
      <c r="D1177" s="4" t="n"/>
      <c r="E1177" s="5" t="n"/>
      <c r="F1177" s="5" t="n"/>
      <c r="G1177" s="5" t="n"/>
      <c r="H1177" s="5" t="n"/>
      <c r="I1177" s="5" t="n"/>
      <c r="J1177" s="6" t="n"/>
      <c r="K1177" s="6" t="n"/>
      <c r="L1177" s="7">
        <f>IF(OR(D1177="",N(J1177)=0),"",MIN(1,N(K1177)/J1177))</f>
        <v/>
      </c>
      <c r="M1177" s="5" t="n"/>
      <c r="N1177" s="5" t="n"/>
      <c r="O1177" s="5" t="n"/>
      <c r="P1177" s="5" t="n"/>
      <c r="Q1177" s="5" t="n"/>
      <c r="R1177" s="4" t="n"/>
      <c r="S1177" s="4" t="n"/>
      <c r="T1177" s="5" t="n"/>
      <c r="U1177" s="8">
        <f>IF(AND(V1177=1,D1177&lt;&gt;""),IF(D1177&gt;=corte,TODAY()-D1177,""),"")</f>
        <v/>
      </c>
      <c r="V1177" s="8">
        <f>IF(D1177="",0,IF(OR(AND(P1177&lt;&gt;"",S1177=""),AND(N(J1177)&gt;0,N(K1177)&lt;J1177),OR(M1177="PENDENTE",M1177="PARCIAL"),OR(N1177="PENDENTE",N1177="PARCIAL")),1,0))</f>
        <v/>
      </c>
      <c r="W1177" s="8">
        <f>IF(AND(V1177=1,D1177&lt;&gt;""),IF(D1177&gt;=corte,(B1177="CRÍTICO")*1E9+(100000-D1177)*10000+10000-ROW(),""),"")</f>
        <v/>
      </c>
      <c r="X1177" s="8">
        <f>IF(AND(V1177=1,D1177=pas_data,E1177=pas_turno),10000-ROW(),"")</f>
        <v/>
      </c>
    </row>
    <row r="1178">
      <c r="A1178" s="3">
        <f>IF(D1178="","","TT-"&amp;TEXT(ROW()-1,"00000"))</f>
        <v/>
      </c>
      <c r="B1178" s="3">
        <f>IF(D1178="","",IF(V1178=0,"CONCLUÍDO",IF(D1178&lt;corte,"HISTÓRICO",IF(OR(AND(ISNUMBER(R1178),R1178&lt;TODAY()),AND(OR(N1178="PENDENTE",N1178="PARCIAL"),D1178&lt;TODAY()-1)),"CRÍTICO",IF(OR(AND(P1178&lt;&gt;"",S1178=""),AND(N1178="REALIZADO",M1178="PENDENTE"),AND(ISNUMBER(R1178),R1178=TODAY())),"ATENÇÃO",IF(N(K1178)=0,"PENDENTE","EM ANDAMENTO"))))))</f>
        <v/>
      </c>
      <c r="C1178" s="3">
        <f>IF(D1178="","",IF(V1178=0,"🟢 OK",IF(D1178&lt;corte,"⚪ HISTÓRICO (sem baixa)",IF(AND(ISNUMBER(R1178),R1178&lt;TODAY()),"🔴 PRAZO VENCIDO",IF(AND(OR(N1178="PENDENTE",N1178="PARCIAL"),D1178&lt;TODAY()-1),"🔴 EMBARQUE ATRASADO",IF(AND(N1178="REALIZADO",M1178="PENDENTE"),"🟡 EMBARCADO SEM FATURAR",IF(AND(P1178&lt;&gt;"",S1178="",OR(Q1178="",R1178="")),"🟡 PENDÊNCIA SEM RESPONSÁVEL/PRAZO",IF(AND(ISNUMBER(R1178),R1178=TODAY()),"🟡 VENCE HOJE",IF(AND(P1178&lt;&gt;"",S1178=""),"🟡 PENDÊNCIA ABERTA",IF(AND(N(J1178)&gt;0,N(K1178)&lt;J1178),"🟡 FALTA EXECUTAR",IF(OR(M1178="PENDENTE",M1178="PARCIAL"),"🟡 FATURAMENTO PENDENTE","🟡 EMBARQUE PENDENTE")))))))))))</f>
        <v/>
      </c>
      <c r="D1178" s="4" t="n"/>
      <c r="E1178" s="5" t="n"/>
      <c r="F1178" s="5" t="n"/>
      <c r="G1178" s="5" t="n"/>
      <c r="H1178" s="5" t="n"/>
      <c r="I1178" s="5" t="n"/>
      <c r="J1178" s="6" t="n"/>
      <c r="K1178" s="6" t="n"/>
      <c r="L1178" s="7">
        <f>IF(OR(D1178="",N(J1178)=0),"",MIN(1,N(K1178)/J1178))</f>
        <v/>
      </c>
      <c r="M1178" s="5" t="n"/>
      <c r="N1178" s="5" t="n"/>
      <c r="O1178" s="5" t="n"/>
      <c r="P1178" s="5" t="n"/>
      <c r="Q1178" s="5" t="n"/>
      <c r="R1178" s="4" t="n"/>
      <c r="S1178" s="4" t="n"/>
      <c r="T1178" s="5" t="n"/>
      <c r="U1178" s="8">
        <f>IF(AND(V1178=1,D1178&lt;&gt;""),IF(D1178&gt;=corte,TODAY()-D1178,""),"")</f>
        <v/>
      </c>
      <c r="V1178" s="8">
        <f>IF(D1178="",0,IF(OR(AND(P1178&lt;&gt;"",S1178=""),AND(N(J1178)&gt;0,N(K1178)&lt;J1178),OR(M1178="PENDENTE",M1178="PARCIAL"),OR(N1178="PENDENTE",N1178="PARCIAL")),1,0))</f>
        <v/>
      </c>
      <c r="W1178" s="8">
        <f>IF(AND(V1178=1,D1178&lt;&gt;""),IF(D1178&gt;=corte,(B1178="CRÍTICO")*1E9+(100000-D1178)*10000+10000-ROW(),""),"")</f>
        <v/>
      </c>
      <c r="X1178" s="8">
        <f>IF(AND(V1178=1,D1178=pas_data,E1178=pas_turno),10000-ROW(),"")</f>
        <v/>
      </c>
    </row>
    <row r="1179">
      <c r="A1179" s="3">
        <f>IF(D1179="","","TT-"&amp;TEXT(ROW()-1,"00000"))</f>
        <v/>
      </c>
      <c r="B1179" s="3">
        <f>IF(D1179="","",IF(V1179=0,"CONCLUÍDO",IF(D1179&lt;corte,"HISTÓRICO",IF(OR(AND(ISNUMBER(R1179),R1179&lt;TODAY()),AND(OR(N1179="PENDENTE",N1179="PARCIAL"),D1179&lt;TODAY()-1)),"CRÍTICO",IF(OR(AND(P1179&lt;&gt;"",S1179=""),AND(N1179="REALIZADO",M1179="PENDENTE"),AND(ISNUMBER(R1179),R1179=TODAY())),"ATENÇÃO",IF(N(K1179)=0,"PENDENTE","EM ANDAMENTO"))))))</f>
        <v/>
      </c>
      <c r="C1179" s="3">
        <f>IF(D1179="","",IF(V1179=0,"🟢 OK",IF(D1179&lt;corte,"⚪ HISTÓRICO (sem baixa)",IF(AND(ISNUMBER(R1179),R1179&lt;TODAY()),"🔴 PRAZO VENCIDO",IF(AND(OR(N1179="PENDENTE",N1179="PARCIAL"),D1179&lt;TODAY()-1),"🔴 EMBARQUE ATRASADO",IF(AND(N1179="REALIZADO",M1179="PENDENTE"),"🟡 EMBARCADO SEM FATURAR",IF(AND(P1179&lt;&gt;"",S1179="",OR(Q1179="",R1179="")),"🟡 PENDÊNCIA SEM RESPONSÁVEL/PRAZO",IF(AND(ISNUMBER(R1179),R1179=TODAY()),"🟡 VENCE HOJE",IF(AND(P1179&lt;&gt;"",S1179=""),"🟡 PENDÊNCIA ABERTA",IF(AND(N(J1179)&gt;0,N(K1179)&lt;J1179),"🟡 FALTA EXECUTAR",IF(OR(M1179="PENDENTE",M1179="PARCIAL"),"🟡 FATURAMENTO PENDENTE","🟡 EMBARQUE PENDENTE")))))))))))</f>
        <v/>
      </c>
      <c r="D1179" s="4" t="n"/>
      <c r="E1179" s="5" t="n"/>
      <c r="F1179" s="5" t="n"/>
      <c r="G1179" s="5" t="n"/>
      <c r="H1179" s="5" t="n"/>
      <c r="I1179" s="5" t="n"/>
      <c r="J1179" s="6" t="n"/>
      <c r="K1179" s="6" t="n"/>
      <c r="L1179" s="7">
        <f>IF(OR(D1179="",N(J1179)=0),"",MIN(1,N(K1179)/J1179))</f>
        <v/>
      </c>
      <c r="M1179" s="5" t="n"/>
      <c r="N1179" s="5" t="n"/>
      <c r="O1179" s="5" t="n"/>
      <c r="P1179" s="5" t="n"/>
      <c r="Q1179" s="5" t="n"/>
      <c r="R1179" s="4" t="n"/>
      <c r="S1179" s="4" t="n"/>
      <c r="T1179" s="5" t="n"/>
      <c r="U1179" s="8">
        <f>IF(AND(V1179=1,D1179&lt;&gt;""),IF(D1179&gt;=corte,TODAY()-D1179,""),"")</f>
        <v/>
      </c>
      <c r="V1179" s="8">
        <f>IF(D1179="",0,IF(OR(AND(P1179&lt;&gt;"",S1179=""),AND(N(J1179)&gt;0,N(K1179)&lt;J1179),OR(M1179="PENDENTE",M1179="PARCIAL"),OR(N1179="PENDENTE",N1179="PARCIAL")),1,0))</f>
        <v/>
      </c>
      <c r="W1179" s="8">
        <f>IF(AND(V1179=1,D1179&lt;&gt;""),IF(D1179&gt;=corte,(B1179="CRÍTICO")*1E9+(100000-D1179)*10000+10000-ROW(),""),"")</f>
        <v/>
      </c>
      <c r="X1179" s="8">
        <f>IF(AND(V1179=1,D1179=pas_data,E1179=pas_turno),10000-ROW(),"")</f>
        <v/>
      </c>
    </row>
    <row r="1180">
      <c r="A1180" s="3">
        <f>IF(D1180="","","TT-"&amp;TEXT(ROW()-1,"00000"))</f>
        <v/>
      </c>
      <c r="B1180" s="3">
        <f>IF(D1180="","",IF(V1180=0,"CONCLUÍDO",IF(D1180&lt;corte,"HISTÓRICO",IF(OR(AND(ISNUMBER(R1180),R1180&lt;TODAY()),AND(OR(N1180="PENDENTE",N1180="PARCIAL"),D1180&lt;TODAY()-1)),"CRÍTICO",IF(OR(AND(P1180&lt;&gt;"",S1180=""),AND(N1180="REALIZADO",M1180="PENDENTE"),AND(ISNUMBER(R1180),R1180=TODAY())),"ATENÇÃO",IF(N(K1180)=0,"PENDENTE","EM ANDAMENTO"))))))</f>
        <v/>
      </c>
      <c r="C1180" s="3">
        <f>IF(D1180="","",IF(V1180=0,"🟢 OK",IF(D1180&lt;corte,"⚪ HISTÓRICO (sem baixa)",IF(AND(ISNUMBER(R1180),R1180&lt;TODAY()),"🔴 PRAZO VENCIDO",IF(AND(OR(N1180="PENDENTE",N1180="PARCIAL"),D1180&lt;TODAY()-1),"🔴 EMBARQUE ATRASADO",IF(AND(N1180="REALIZADO",M1180="PENDENTE"),"🟡 EMBARCADO SEM FATURAR",IF(AND(P1180&lt;&gt;"",S1180="",OR(Q1180="",R1180="")),"🟡 PENDÊNCIA SEM RESPONSÁVEL/PRAZO",IF(AND(ISNUMBER(R1180),R1180=TODAY()),"🟡 VENCE HOJE",IF(AND(P1180&lt;&gt;"",S1180=""),"🟡 PENDÊNCIA ABERTA",IF(AND(N(J1180)&gt;0,N(K1180)&lt;J1180),"🟡 FALTA EXECUTAR",IF(OR(M1180="PENDENTE",M1180="PARCIAL"),"🟡 FATURAMENTO PENDENTE","🟡 EMBARQUE PENDENTE")))))))))))</f>
        <v/>
      </c>
      <c r="D1180" s="4" t="n"/>
      <c r="E1180" s="5" t="n"/>
      <c r="F1180" s="5" t="n"/>
      <c r="G1180" s="5" t="n"/>
      <c r="H1180" s="5" t="n"/>
      <c r="I1180" s="5" t="n"/>
      <c r="J1180" s="6" t="n"/>
      <c r="K1180" s="6" t="n"/>
      <c r="L1180" s="7">
        <f>IF(OR(D1180="",N(J1180)=0),"",MIN(1,N(K1180)/J1180))</f>
        <v/>
      </c>
      <c r="M1180" s="5" t="n"/>
      <c r="N1180" s="5" t="n"/>
      <c r="O1180" s="5" t="n"/>
      <c r="P1180" s="5" t="n"/>
      <c r="Q1180" s="5" t="n"/>
      <c r="R1180" s="4" t="n"/>
      <c r="S1180" s="4" t="n"/>
      <c r="T1180" s="5" t="n"/>
      <c r="U1180" s="8">
        <f>IF(AND(V1180=1,D1180&lt;&gt;""),IF(D1180&gt;=corte,TODAY()-D1180,""),"")</f>
        <v/>
      </c>
      <c r="V1180" s="8">
        <f>IF(D1180="",0,IF(OR(AND(P1180&lt;&gt;"",S1180=""),AND(N(J1180)&gt;0,N(K1180)&lt;J1180),OR(M1180="PENDENTE",M1180="PARCIAL"),OR(N1180="PENDENTE",N1180="PARCIAL")),1,0))</f>
        <v/>
      </c>
      <c r="W1180" s="8">
        <f>IF(AND(V1180=1,D1180&lt;&gt;""),IF(D1180&gt;=corte,(B1180="CRÍTICO")*1E9+(100000-D1180)*10000+10000-ROW(),""),"")</f>
        <v/>
      </c>
      <c r="X1180" s="8">
        <f>IF(AND(V1180=1,D1180=pas_data,E1180=pas_turno),10000-ROW(),"")</f>
        <v/>
      </c>
    </row>
    <row r="1181">
      <c r="A1181" s="3">
        <f>IF(D1181="","","TT-"&amp;TEXT(ROW()-1,"00000"))</f>
        <v/>
      </c>
      <c r="B1181" s="3">
        <f>IF(D1181="","",IF(V1181=0,"CONCLUÍDO",IF(D1181&lt;corte,"HISTÓRICO",IF(OR(AND(ISNUMBER(R1181),R1181&lt;TODAY()),AND(OR(N1181="PENDENTE",N1181="PARCIAL"),D1181&lt;TODAY()-1)),"CRÍTICO",IF(OR(AND(P1181&lt;&gt;"",S1181=""),AND(N1181="REALIZADO",M1181="PENDENTE"),AND(ISNUMBER(R1181),R1181=TODAY())),"ATENÇÃO",IF(N(K1181)=0,"PENDENTE","EM ANDAMENTO"))))))</f>
        <v/>
      </c>
      <c r="C1181" s="3">
        <f>IF(D1181="","",IF(V1181=0,"🟢 OK",IF(D1181&lt;corte,"⚪ HISTÓRICO (sem baixa)",IF(AND(ISNUMBER(R1181),R1181&lt;TODAY()),"🔴 PRAZO VENCIDO",IF(AND(OR(N1181="PENDENTE",N1181="PARCIAL"),D1181&lt;TODAY()-1),"🔴 EMBARQUE ATRASADO",IF(AND(N1181="REALIZADO",M1181="PENDENTE"),"🟡 EMBARCADO SEM FATURAR",IF(AND(P1181&lt;&gt;"",S1181="",OR(Q1181="",R1181="")),"🟡 PENDÊNCIA SEM RESPONSÁVEL/PRAZO",IF(AND(ISNUMBER(R1181),R1181=TODAY()),"🟡 VENCE HOJE",IF(AND(P1181&lt;&gt;"",S1181=""),"🟡 PENDÊNCIA ABERTA",IF(AND(N(J1181)&gt;0,N(K1181)&lt;J1181),"🟡 FALTA EXECUTAR",IF(OR(M1181="PENDENTE",M1181="PARCIAL"),"🟡 FATURAMENTO PENDENTE","🟡 EMBARQUE PENDENTE")))))))))))</f>
        <v/>
      </c>
      <c r="D1181" s="4" t="n"/>
      <c r="E1181" s="5" t="n"/>
      <c r="F1181" s="5" t="n"/>
      <c r="G1181" s="5" t="n"/>
      <c r="H1181" s="5" t="n"/>
      <c r="I1181" s="5" t="n"/>
      <c r="J1181" s="6" t="n"/>
      <c r="K1181" s="6" t="n"/>
      <c r="L1181" s="7">
        <f>IF(OR(D1181="",N(J1181)=0),"",MIN(1,N(K1181)/J1181))</f>
        <v/>
      </c>
      <c r="M1181" s="5" t="n"/>
      <c r="N1181" s="5" t="n"/>
      <c r="O1181" s="5" t="n"/>
      <c r="P1181" s="5" t="n"/>
      <c r="Q1181" s="5" t="n"/>
      <c r="R1181" s="4" t="n"/>
      <c r="S1181" s="4" t="n"/>
      <c r="T1181" s="5" t="n"/>
      <c r="U1181" s="8">
        <f>IF(AND(V1181=1,D1181&lt;&gt;""),IF(D1181&gt;=corte,TODAY()-D1181,""),"")</f>
        <v/>
      </c>
      <c r="V1181" s="8">
        <f>IF(D1181="",0,IF(OR(AND(P1181&lt;&gt;"",S1181=""),AND(N(J1181)&gt;0,N(K1181)&lt;J1181),OR(M1181="PENDENTE",M1181="PARCIAL"),OR(N1181="PENDENTE",N1181="PARCIAL")),1,0))</f>
        <v/>
      </c>
      <c r="W1181" s="8">
        <f>IF(AND(V1181=1,D1181&lt;&gt;""),IF(D1181&gt;=corte,(B1181="CRÍTICO")*1E9+(100000-D1181)*10000+10000-ROW(),""),"")</f>
        <v/>
      </c>
      <c r="X1181" s="8">
        <f>IF(AND(V1181=1,D1181=pas_data,E1181=pas_turno),10000-ROW(),"")</f>
        <v/>
      </c>
    </row>
    <row r="1182">
      <c r="A1182" s="3">
        <f>IF(D1182="","","TT-"&amp;TEXT(ROW()-1,"00000"))</f>
        <v/>
      </c>
      <c r="B1182" s="3">
        <f>IF(D1182="","",IF(V1182=0,"CONCLUÍDO",IF(D1182&lt;corte,"HISTÓRICO",IF(OR(AND(ISNUMBER(R1182),R1182&lt;TODAY()),AND(OR(N1182="PENDENTE",N1182="PARCIAL"),D1182&lt;TODAY()-1)),"CRÍTICO",IF(OR(AND(P1182&lt;&gt;"",S1182=""),AND(N1182="REALIZADO",M1182="PENDENTE"),AND(ISNUMBER(R1182),R1182=TODAY())),"ATENÇÃO",IF(N(K1182)=0,"PENDENTE","EM ANDAMENTO"))))))</f>
        <v/>
      </c>
      <c r="C1182" s="3">
        <f>IF(D1182="","",IF(V1182=0,"🟢 OK",IF(D1182&lt;corte,"⚪ HISTÓRICO (sem baixa)",IF(AND(ISNUMBER(R1182),R1182&lt;TODAY()),"🔴 PRAZO VENCIDO",IF(AND(OR(N1182="PENDENTE",N1182="PARCIAL"),D1182&lt;TODAY()-1),"🔴 EMBARQUE ATRASADO",IF(AND(N1182="REALIZADO",M1182="PENDENTE"),"🟡 EMBARCADO SEM FATURAR",IF(AND(P1182&lt;&gt;"",S1182="",OR(Q1182="",R1182="")),"🟡 PENDÊNCIA SEM RESPONSÁVEL/PRAZO",IF(AND(ISNUMBER(R1182),R1182=TODAY()),"🟡 VENCE HOJE",IF(AND(P1182&lt;&gt;"",S1182=""),"🟡 PENDÊNCIA ABERTA",IF(AND(N(J1182)&gt;0,N(K1182)&lt;J1182),"🟡 FALTA EXECUTAR",IF(OR(M1182="PENDENTE",M1182="PARCIAL"),"🟡 FATURAMENTO PENDENTE","🟡 EMBARQUE PENDENTE")))))))))))</f>
        <v/>
      </c>
      <c r="D1182" s="4" t="n"/>
      <c r="E1182" s="5" t="n"/>
      <c r="F1182" s="5" t="n"/>
      <c r="G1182" s="5" t="n"/>
      <c r="H1182" s="5" t="n"/>
      <c r="I1182" s="5" t="n"/>
      <c r="J1182" s="6" t="n"/>
      <c r="K1182" s="6" t="n"/>
      <c r="L1182" s="7">
        <f>IF(OR(D1182="",N(J1182)=0),"",MIN(1,N(K1182)/J1182))</f>
        <v/>
      </c>
      <c r="M1182" s="5" t="n"/>
      <c r="N1182" s="5" t="n"/>
      <c r="O1182" s="5" t="n"/>
      <c r="P1182" s="5" t="n"/>
      <c r="Q1182" s="5" t="n"/>
      <c r="R1182" s="4" t="n"/>
      <c r="S1182" s="4" t="n"/>
      <c r="T1182" s="5" t="n"/>
      <c r="U1182" s="8">
        <f>IF(AND(V1182=1,D1182&lt;&gt;""),IF(D1182&gt;=corte,TODAY()-D1182,""),"")</f>
        <v/>
      </c>
      <c r="V1182" s="8">
        <f>IF(D1182="",0,IF(OR(AND(P1182&lt;&gt;"",S1182=""),AND(N(J1182)&gt;0,N(K1182)&lt;J1182),OR(M1182="PENDENTE",M1182="PARCIAL"),OR(N1182="PENDENTE",N1182="PARCIAL")),1,0))</f>
        <v/>
      </c>
      <c r="W1182" s="8">
        <f>IF(AND(V1182=1,D1182&lt;&gt;""),IF(D1182&gt;=corte,(B1182="CRÍTICO")*1E9+(100000-D1182)*10000+10000-ROW(),""),"")</f>
        <v/>
      </c>
      <c r="X1182" s="8">
        <f>IF(AND(V1182=1,D1182=pas_data,E1182=pas_turno),10000-ROW(),"")</f>
        <v/>
      </c>
    </row>
    <row r="1183">
      <c r="A1183" s="3">
        <f>IF(D1183="","","TT-"&amp;TEXT(ROW()-1,"00000"))</f>
        <v/>
      </c>
      <c r="B1183" s="3">
        <f>IF(D1183="","",IF(V1183=0,"CONCLUÍDO",IF(D1183&lt;corte,"HISTÓRICO",IF(OR(AND(ISNUMBER(R1183),R1183&lt;TODAY()),AND(OR(N1183="PENDENTE",N1183="PARCIAL"),D1183&lt;TODAY()-1)),"CRÍTICO",IF(OR(AND(P1183&lt;&gt;"",S1183=""),AND(N1183="REALIZADO",M1183="PENDENTE"),AND(ISNUMBER(R1183),R1183=TODAY())),"ATENÇÃO",IF(N(K1183)=0,"PENDENTE","EM ANDAMENTO"))))))</f>
        <v/>
      </c>
      <c r="C1183" s="3">
        <f>IF(D1183="","",IF(V1183=0,"🟢 OK",IF(D1183&lt;corte,"⚪ HISTÓRICO (sem baixa)",IF(AND(ISNUMBER(R1183),R1183&lt;TODAY()),"🔴 PRAZO VENCIDO",IF(AND(OR(N1183="PENDENTE",N1183="PARCIAL"),D1183&lt;TODAY()-1),"🔴 EMBARQUE ATRASADO",IF(AND(N1183="REALIZADO",M1183="PENDENTE"),"🟡 EMBARCADO SEM FATURAR",IF(AND(P1183&lt;&gt;"",S1183="",OR(Q1183="",R1183="")),"🟡 PENDÊNCIA SEM RESPONSÁVEL/PRAZO",IF(AND(ISNUMBER(R1183),R1183=TODAY()),"🟡 VENCE HOJE",IF(AND(P1183&lt;&gt;"",S1183=""),"🟡 PENDÊNCIA ABERTA",IF(AND(N(J1183)&gt;0,N(K1183)&lt;J1183),"🟡 FALTA EXECUTAR",IF(OR(M1183="PENDENTE",M1183="PARCIAL"),"🟡 FATURAMENTO PENDENTE","🟡 EMBARQUE PENDENTE")))))))))))</f>
        <v/>
      </c>
      <c r="D1183" s="4" t="n"/>
      <c r="E1183" s="5" t="n"/>
      <c r="F1183" s="5" t="n"/>
      <c r="G1183" s="5" t="n"/>
      <c r="H1183" s="5" t="n"/>
      <c r="I1183" s="5" t="n"/>
      <c r="J1183" s="6" t="n"/>
      <c r="K1183" s="6" t="n"/>
      <c r="L1183" s="7">
        <f>IF(OR(D1183="",N(J1183)=0),"",MIN(1,N(K1183)/J1183))</f>
        <v/>
      </c>
      <c r="M1183" s="5" t="n"/>
      <c r="N1183" s="5" t="n"/>
      <c r="O1183" s="5" t="n"/>
      <c r="P1183" s="5" t="n"/>
      <c r="Q1183" s="5" t="n"/>
      <c r="R1183" s="4" t="n"/>
      <c r="S1183" s="4" t="n"/>
      <c r="T1183" s="5" t="n"/>
      <c r="U1183" s="8">
        <f>IF(AND(V1183=1,D1183&lt;&gt;""),IF(D1183&gt;=corte,TODAY()-D1183,""),"")</f>
        <v/>
      </c>
      <c r="V1183" s="8">
        <f>IF(D1183="",0,IF(OR(AND(P1183&lt;&gt;"",S1183=""),AND(N(J1183)&gt;0,N(K1183)&lt;J1183),OR(M1183="PENDENTE",M1183="PARCIAL"),OR(N1183="PENDENTE",N1183="PARCIAL")),1,0))</f>
        <v/>
      </c>
      <c r="W1183" s="8">
        <f>IF(AND(V1183=1,D1183&lt;&gt;""),IF(D1183&gt;=corte,(B1183="CRÍTICO")*1E9+(100000-D1183)*10000+10000-ROW(),""),"")</f>
        <v/>
      </c>
      <c r="X1183" s="8">
        <f>IF(AND(V1183=1,D1183=pas_data,E1183=pas_turno),10000-ROW(),"")</f>
        <v/>
      </c>
    </row>
    <row r="1184">
      <c r="A1184" s="3">
        <f>IF(D1184="","","TT-"&amp;TEXT(ROW()-1,"00000"))</f>
        <v/>
      </c>
      <c r="B1184" s="3">
        <f>IF(D1184="","",IF(V1184=0,"CONCLUÍDO",IF(D1184&lt;corte,"HISTÓRICO",IF(OR(AND(ISNUMBER(R1184),R1184&lt;TODAY()),AND(OR(N1184="PENDENTE",N1184="PARCIAL"),D1184&lt;TODAY()-1)),"CRÍTICO",IF(OR(AND(P1184&lt;&gt;"",S1184=""),AND(N1184="REALIZADO",M1184="PENDENTE"),AND(ISNUMBER(R1184),R1184=TODAY())),"ATENÇÃO",IF(N(K1184)=0,"PENDENTE","EM ANDAMENTO"))))))</f>
        <v/>
      </c>
      <c r="C1184" s="3">
        <f>IF(D1184="","",IF(V1184=0,"🟢 OK",IF(D1184&lt;corte,"⚪ HISTÓRICO (sem baixa)",IF(AND(ISNUMBER(R1184),R1184&lt;TODAY()),"🔴 PRAZO VENCIDO",IF(AND(OR(N1184="PENDENTE",N1184="PARCIAL"),D1184&lt;TODAY()-1),"🔴 EMBARQUE ATRASADO",IF(AND(N1184="REALIZADO",M1184="PENDENTE"),"🟡 EMBARCADO SEM FATURAR",IF(AND(P1184&lt;&gt;"",S1184="",OR(Q1184="",R1184="")),"🟡 PENDÊNCIA SEM RESPONSÁVEL/PRAZO",IF(AND(ISNUMBER(R1184),R1184=TODAY()),"🟡 VENCE HOJE",IF(AND(P1184&lt;&gt;"",S1184=""),"🟡 PENDÊNCIA ABERTA",IF(AND(N(J1184)&gt;0,N(K1184)&lt;J1184),"🟡 FALTA EXECUTAR",IF(OR(M1184="PENDENTE",M1184="PARCIAL"),"🟡 FATURAMENTO PENDENTE","🟡 EMBARQUE PENDENTE")))))))))))</f>
        <v/>
      </c>
      <c r="D1184" s="4" t="n"/>
      <c r="E1184" s="5" t="n"/>
      <c r="F1184" s="5" t="n"/>
      <c r="G1184" s="5" t="n"/>
      <c r="H1184" s="5" t="n"/>
      <c r="I1184" s="5" t="n"/>
      <c r="J1184" s="6" t="n"/>
      <c r="K1184" s="6" t="n"/>
      <c r="L1184" s="7">
        <f>IF(OR(D1184="",N(J1184)=0),"",MIN(1,N(K1184)/J1184))</f>
        <v/>
      </c>
      <c r="M1184" s="5" t="n"/>
      <c r="N1184" s="5" t="n"/>
      <c r="O1184" s="5" t="n"/>
      <c r="P1184" s="5" t="n"/>
      <c r="Q1184" s="5" t="n"/>
      <c r="R1184" s="4" t="n"/>
      <c r="S1184" s="4" t="n"/>
      <c r="T1184" s="5" t="n"/>
      <c r="U1184" s="8">
        <f>IF(AND(V1184=1,D1184&lt;&gt;""),IF(D1184&gt;=corte,TODAY()-D1184,""),"")</f>
        <v/>
      </c>
      <c r="V1184" s="8">
        <f>IF(D1184="",0,IF(OR(AND(P1184&lt;&gt;"",S1184=""),AND(N(J1184)&gt;0,N(K1184)&lt;J1184),OR(M1184="PENDENTE",M1184="PARCIAL"),OR(N1184="PENDENTE",N1184="PARCIAL")),1,0))</f>
        <v/>
      </c>
      <c r="W1184" s="8">
        <f>IF(AND(V1184=1,D1184&lt;&gt;""),IF(D1184&gt;=corte,(B1184="CRÍTICO")*1E9+(100000-D1184)*10000+10000-ROW(),""),"")</f>
        <v/>
      </c>
      <c r="X1184" s="8">
        <f>IF(AND(V1184=1,D1184=pas_data,E1184=pas_turno),10000-ROW(),"")</f>
        <v/>
      </c>
    </row>
    <row r="1185">
      <c r="A1185" s="3">
        <f>IF(D1185="","","TT-"&amp;TEXT(ROW()-1,"00000"))</f>
        <v/>
      </c>
      <c r="B1185" s="3">
        <f>IF(D1185="","",IF(V1185=0,"CONCLUÍDO",IF(D1185&lt;corte,"HISTÓRICO",IF(OR(AND(ISNUMBER(R1185),R1185&lt;TODAY()),AND(OR(N1185="PENDENTE",N1185="PARCIAL"),D1185&lt;TODAY()-1)),"CRÍTICO",IF(OR(AND(P1185&lt;&gt;"",S1185=""),AND(N1185="REALIZADO",M1185="PENDENTE"),AND(ISNUMBER(R1185),R1185=TODAY())),"ATENÇÃO",IF(N(K1185)=0,"PENDENTE","EM ANDAMENTO"))))))</f>
        <v/>
      </c>
      <c r="C1185" s="3">
        <f>IF(D1185="","",IF(V1185=0,"🟢 OK",IF(D1185&lt;corte,"⚪ HISTÓRICO (sem baixa)",IF(AND(ISNUMBER(R1185),R1185&lt;TODAY()),"🔴 PRAZO VENCIDO",IF(AND(OR(N1185="PENDENTE",N1185="PARCIAL"),D1185&lt;TODAY()-1),"🔴 EMBARQUE ATRASADO",IF(AND(N1185="REALIZADO",M1185="PENDENTE"),"🟡 EMBARCADO SEM FATURAR",IF(AND(P1185&lt;&gt;"",S1185="",OR(Q1185="",R1185="")),"🟡 PENDÊNCIA SEM RESPONSÁVEL/PRAZO",IF(AND(ISNUMBER(R1185),R1185=TODAY()),"🟡 VENCE HOJE",IF(AND(P1185&lt;&gt;"",S1185=""),"🟡 PENDÊNCIA ABERTA",IF(AND(N(J1185)&gt;0,N(K1185)&lt;J1185),"🟡 FALTA EXECUTAR",IF(OR(M1185="PENDENTE",M1185="PARCIAL"),"🟡 FATURAMENTO PENDENTE","🟡 EMBARQUE PENDENTE")))))))))))</f>
        <v/>
      </c>
      <c r="D1185" s="4" t="n"/>
      <c r="E1185" s="5" t="n"/>
      <c r="F1185" s="5" t="n"/>
      <c r="G1185" s="5" t="n"/>
      <c r="H1185" s="5" t="n"/>
      <c r="I1185" s="5" t="n"/>
      <c r="J1185" s="6" t="n"/>
      <c r="K1185" s="6" t="n"/>
      <c r="L1185" s="7">
        <f>IF(OR(D1185="",N(J1185)=0),"",MIN(1,N(K1185)/J1185))</f>
        <v/>
      </c>
      <c r="M1185" s="5" t="n"/>
      <c r="N1185" s="5" t="n"/>
      <c r="O1185" s="5" t="n"/>
      <c r="P1185" s="5" t="n"/>
      <c r="Q1185" s="5" t="n"/>
      <c r="R1185" s="4" t="n"/>
      <c r="S1185" s="4" t="n"/>
      <c r="T1185" s="5" t="n"/>
      <c r="U1185" s="8">
        <f>IF(AND(V1185=1,D1185&lt;&gt;""),IF(D1185&gt;=corte,TODAY()-D1185,""),"")</f>
        <v/>
      </c>
      <c r="V1185" s="8">
        <f>IF(D1185="",0,IF(OR(AND(P1185&lt;&gt;"",S1185=""),AND(N(J1185)&gt;0,N(K1185)&lt;J1185),OR(M1185="PENDENTE",M1185="PARCIAL"),OR(N1185="PENDENTE",N1185="PARCIAL")),1,0))</f>
        <v/>
      </c>
      <c r="W1185" s="8">
        <f>IF(AND(V1185=1,D1185&lt;&gt;""),IF(D1185&gt;=corte,(B1185="CRÍTICO")*1E9+(100000-D1185)*10000+10000-ROW(),""),"")</f>
        <v/>
      </c>
      <c r="X1185" s="8">
        <f>IF(AND(V1185=1,D1185=pas_data,E1185=pas_turno),10000-ROW(),"")</f>
        <v/>
      </c>
    </row>
    <row r="1186">
      <c r="A1186" s="3">
        <f>IF(D1186="","","TT-"&amp;TEXT(ROW()-1,"00000"))</f>
        <v/>
      </c>
      <c r="B1186" s="3">
        <f>IF(D1186="","",IF(V1186=0,"CONCLUÍDO",IF(D1186&lt;corte,"HISTÓRICO",IF(OR(AND(ISNUMBER(R1186),R1186&lt;TODAY()),AND(OR(N1186="PENDENTE",N1186="PARCIAL"),D1186&lt;TODAY()-1)),"CRÍTICO",IF(OR(AND(P1186&lt;&gt;"",S1186=""),AND(N1186="REALIZADO",M1186="PENDENTE"),AND(ISNUMBER(R1186),R1186=TODAY())),"ATENÇÃO",IF(N(K1186)=0,"PENDENTE","EM ANDAMENTO"))))))</f>
        <v/>
      </c>
      <c r="C1186" s="3">
        <f>IF(D1186="","",IF(V1186=0,"🟢 OK",IF(D1186&lt;corte,"⚪ HISTÓRICO (sem baixa)",IF(AND(ISNUMBER(R1186),R1186&lt;TODAY()),"🔴 PRAZO VENCIDO",IF(AND(OR(N1186="PENDENTE",N1186="PARCIAL"),D1186&lt;TODAY()-1),"🔴 EMBARQUE ATRASADO",IF(AND(N1186="REALIZADO",M1186="PENDENTE"),"🟡 EMBARCADO SEM FATURAR",IF(AND(P1186&lt;&gt;"",S1186="",OR(Q1186="",R1186="")),"🟡 PENDÊNCIA SEM RESPONSÁVEL/PRAZO",IF(AND(ISNUMBER(R1186),R1186=TODAY()),"🟡 VENCE HOJE",IF(AND(P1186&lt;&gt;"",S1186=""),"🟡 PENDÊNCIA ABERTA",IF(AND(N(J1186)&gt;0,N(K1186)&lt;J1186),"🟡 FALTA EXECUTAR",IF(OR(M1186="PENDENTE",M1186="PARCIAL"),"🟡 FATURAMENTO PENDENTE","🟡 EMBARQUE PENDENTE")))))))))))</f>
        <v/>
      </c>
      <c r="D1186" s="4" t="n"/>
      <c r="E1186" s="5" t="n"/>
      <c r="F1186" s="5" t="n"/>
      <c r="G1186" s="5" t="n"/>
      <c r="H1186" s="5" t="n"/>
      <c r="I1186" s="5" t="n"/>
      <c r="J1186" s="6" t="n"/>
      <c r="K1186" s="6" t="n"/>
      <c r="L1186" s="7">
        <f>IF(OR(D1186="",N(J1186)=0),"",MIN(1,N(K1186)/J1186))</f>
        <v/>
      </c>
      <c r="M1186" s="5" t="n"/>
      <c r="N1186" s="5" t="n"/>
      <c r="O1186" s="5" t="n"/>
      <c r="P1186" s="5" t="n"/>
      <c r="Q1186" s="5" t="n"/>
      <c r="R1186" s="4" t="n"/>
      <c r="S1186" s="4" t="n"/>
      <c r="T1186" s="5" t="n"/>
      <c r="U1186" s="8">
        <f>IF(AND(V1186=1,D1186&lt;&gt;""),IF(D1186&gt;=corte,TODAY()-D1186,""),"")</f>
        <v/>
      </c>
      <c r="V1186" s="8">
        <f>IF(D1186="",0,IF(OR(AND(P1186&lt;&gt;"",S1186=""),AND(N(J1186)&gt;0,N(K1186)&lt;J1186),OR(M1186="PENDENTE",M1186="PARCIAL"),OR(N1186="PENDENTE",N1186="PARCIAL")),1,0))</f>
        <v/>
      </c>
      <c r="W1186" s="8">
        <f>IF(AND(V1186=1,D1186&lt;&gt;""),IF(D1186&gt;=corte,(B1186="CRÍTICO")*1E9+(100000-D1186)*10000+10000-ROW(),""),"")</f>
        <v/>
      </c>
      <c r="X1186" s="8">
        <f>IF(AND(V1186=1,D1186=pas_data,E1186=pas_turno),10000-ROW(),"")</f>
        <v/>
      </c>
    </row>
    <row r="1187">
      <c r="A1187" s="3">
        <f>IF(D1187="","","TT-"&amp;TEXT(ROW()-1,"00000"))</f>
        <v/>
      </c>
      <c r="B1187" s="3">
        <f>IF(D1187="","",IF(V1187=0,"CONCLUÍDO",IF(D1187&lt;corte,"HISTÓRICO",IF(OR(AND(ISNUMBER(R1187),R1187&lt;TODAY()),AND(OR(N1187="PENDENTE",N1187="PARCIAL"),D1187&lt;TODAY()-1)),"CRÍTICO",IF(OR(AND(P1187&lt;&gt;"",S1187=""),AND(N1187="REALIZADO",M1187="PENDENTE"),AND(ISNUMBER(R1187),R1187=TODAY())),"ATENÇÃO",IF(N(K1187)=0,"PENDENTE","EM ANDAMENTO"))))))</f>
        <v/>
      </c>
      <c r="C1187" s="3">
        <f>IF(D1187="","",IF(V1187=0,"🟢 OK",IF(D1187&lt;corte,"⚪ HISTÓRICO (sem baixa)",IF(AND(ISNUMBER(R1187),R1187&lt;TODAY()),"🔴 PRAZO VENCIDO",IF(AND(OR(N1187="PENDENTE",N1187="PARCIAL"),D1187&lt;TODAY()-1),"🔴 EMBARQUE ATRASADO",IF(AND(N1187="REALIZADO",M1187="PENDENTE"),"🟡 EMBARCADO SEM FATURAR",IF(AND(P1187&lt;&gt;"",S1187="",OR(Q1187="",R1187="")),"🟡 PENDÊNCIA SEM RESPONSÁVEL/PRAZO",IF(AND(ISNUMBER(R1187),R1187=TODAY()),"🟡 VENCE HOJE",IF(AND(P1187&lt;&gt;"",S1187=""),"🟡 PENDÊNCIA ABERTA",IF(AND(N(J1187)&gt;0,N(K1187)&lt;J1187),"🟡 FALTA EXECUTAR",IF(OR(M1187="PENDENTE",M1187="PARCIAL"),"🟡 FATURAMENTO PENDENTE","🟡 EMBARQUE PENDENTE")))))))))))</f>
        <v/>
      </c>
      <c r="D1187" s="4" t="n"/>
      <c r="E1187" s="5" t="n"/>
      <c r="F1187" s="5" t="n"/>
      <c r="G1187" s="5" t="n"/>
      <c r="H1187" s="5" t="n"/>
      <c r="I1187" s="5" t="n"/>
      <c r="J1187" s="6" t="n"/>
      <c r="K1187" s="6" t="n"/>
      <c r="L1187" s="7">
        <f>IF(OR(D1187="",N(J1187)=0),"",MIN(1,N(K1187)/J1187))</f>
        <v/>
      </c>
      <c r="M1187" s="5" t="n"/>
      <c r="N1187" s="5" t="n"/>
      <c r="O1187" s="5" t="n"/>
      <c r="P1187" s="5" t="n"/>
      <c r="Q1187" s="5" t="n"/>
      <c r="R1187" s="4" t="n"/>
      <c r="S1187" s="4" t="n"/>
      <c r="T1187" s="5" t="n"/>
      <c r="U1187" s="8">
        <f>IF(AND(V1187=1,D1187&lt;&gt;""),IF(D1187&gt;=corte,TODAY()-D1187,""),"")</f>
        <v/>
      </c>
      <c r="V1187" s="8">
        <f>IF(D1187="",0,IF(OR(AND(P1187&lt;&gt;"",S1187=""),AND(N(J1187)&gt;0,N(K1187)&lt;J1187),OR(M1187="PENDENTE",M1187="PARCIAL"),OR(N1187="PENDENTE",N1187="PARCIAL")),1,0))</f>
        <v/>
      </c>
      <c r="W1187" s="8">
        <f>IF(AND(V1187=1,D1187&lt;&gt;""),IF(D1187&gt;=corte,(B1187="CRÍTICO")*1E9+(100000-D1187)*10000+10000-ROW(),""),"")</f>
        <v/>
      </c>
      <c r="X1187" s="8">
        <f>IF(AND(V1187=1,D1187=pas_data,E1187=pas_turno),10000-ROW(),"")</f>
        <v/>
      </c>
    </row>
    <row r="1188">
      <c r="A1188" s="3">
        <f>IF(D1188="","","TT-"&amp;TEXT(ROW()-1,"00000"))</f>
        <v/>
      </c>
      <c r="B1188" s="3">
        <f>IF(D1188="","",IF(V1188=0,"CONCLUÍDO",IF(D1188&lt;corte,"HISTÓRICO",IF(OR(AND(ISNUMBER(R1188),R1188&lt;TODAY()),AND(OR(N1188="PENDENTE",N1188="PARCIAL"),D1188&lt;TODAY()-1)),"CRÍTICO",IF(OR(AND(P1188&lt;&gt;"",S1188=""),AND(N1188="REALIZADO",M1188="PENDENTE"),AND(ISNUMBER(R1188),R1188=TODAY())),"ATENÇÃO",IF(N(K1188)=0,"PENDENTE","EM ANDAMENTO"))))))</f>
        <v/>
      </c>
      <c r="C1188" s="3">
        <f>IF(D1188="","",IF(V1188=0,"🟢 OK",IF(D1188&lt;corte,"⚪ HISTÓRICO (sem baixa)",IF(AND(ISNUMBER(R1188),R1188&lt;TODAY()),"🔴 PRAZO VENCIDO",IF(AND(OR(N1188="PENDENTE",N1188="PARCIAL"),D1188&lt;TODAY()-1),"🔴 EMBARQUE ATRASADO",IF(AND(N1188="REALIZADO",M1188="PENDENTE"),"🟡 EMBARCADO SEM FATURAR",IF(AND(P1188&lt;&gt;"",S1188="",OR(Q1188="",R1188="")),"🟡 PENDÊNCIA SEM RESPONSÁVEL/PRAZO",IF(AND(ISNUMBER(R1188),R1188=TODAY()),"🟡 VENCE HOJE",IF(AND(P1188&lt;&gt;"",S1188=""),"🟡 PENDÊNCIA ABERTA",IF(AND(N(J1188)&gt;0,N(K1188)&lt;J1188),"🟡 FALTA EXECUTAR",IF(OR(M1188="PENDENTE",M1188="PARCIAL"),"🟡 FATURAMENTO PENDENTE","🟡 EMBARQUE PENDENTE")))))))))))</f>
        <v/>
      </c>
      <c r="D1188" s="4" t="n"/>
      <c r="E1188" s="5" t="n"/>
      <c r="F1188" s="5" t="n"/>
      <c r="G1188" s="5" t="n"/>
      <c r="H1188" s="5" t="n"/>
      <c r="I1188" s="5" t="n"/>
      <c r="J1188" s="6" t="n"/>
      <c r="K1188" s="6" t="n"/>
      <c r="L1188" s="7">
        <f>IF(OR(D1188="",N(J1188)=0),"",MIN(1,N(K1188)/J1188))</f>
        <v/>
      </c>
      <c r="M1188" s="5" t="n"/>
      <c r="N1188" s="5" t="n"/>
      <c r="O1188" s="5" t="n"/>
      <c r="P1188" s="5" t="n"/>
      <c r="Q1188" s="5" t="n"/>
      <c r="R1188" s="4" t="n"/>
      <c r="S1188" s="4" t="n"/>
      <c r="T1188" s="5" t="n"/>
      <c r="U1188" s="8">
        <f>IF(AND(V1188=1,D1188&lt;&gt;""),IF(D1188&gt;=corte,TODAY()-D1188,""),"")</f>
        <v/>
      </c>
      <c r="V1188" s="8">
        <f>IF(D1188="",0,IF(OR(AND(P1188&lt;&gt;"",S1188=""),AND(N(J1188)&gt;0,N(K1188)&lt;J1188),OR(M1188="PENDENTE",M1188="PARCIAL"),OR(N1188="PENDENTE",N1188="PARCIAL")),1,0))</f>
        <v/>
      </c>
      <c r="W1188" s="8">
        <f>IF(AND(V1188=1,D1188&lt;&gt;""),IF(D1188&gt;=corte,(B1188="CRÍTICO")*1E9+(100000-D1188)*10000+10000-ROW(),""),"")</f>
        <v/>
      </c>
      <c r="X1188" s="8">
        <f>IF(AND(V1188=1,D1188=pas_data,E1188=pas_turno),10000-ROW(),"")</f>
        <v/>
      </c>
    </row>
    <row r="1189">
      <c r="A1189" s="3">
        <f>IF(D1189="","","TT-"&amp;TEXT(ROW()-1,"00000"))</f>
        <v/>
      </c>
      <c r="B1189" s="3">
        <f>IF(D1189="","",IF(V1189=0,"CONCLUÍDO",IF(D1189&lt;corte,"HISTÓRICO",IF(OR(AND(ISNUMBER(R1189),R1189&lt;TODAY()),AND(OR(N1189="PENDENTE",N1189="PARCIAL"),D1189&lt;TODAY()-1)),"CRÍTICO",IF(OR(AND(P1189&lt;&gt;"",S1189=""),AND(N1189="REALIZADO",M1189="PENDENTE"),AND(ISNUMBER(R1189),R1189=TODAY())),"ATENÇÃO",IF(N(K1189)=0,"PENDENTE","EM ANDAMENTO"))))))</f>
        <v/>
      </c>
      <c r="C1189" s="3">
        <f>IF(D1189="","",IF(V1189=0,"🟢 OK",IF(D1189&lt;corte,"⚪ HISTÓRICO (sem baixa)",IF(AND(ISNUMBER(R1189),R1189&lt;TODAY()),"🔴 PRAZO VENCIDO",IF(AND(OR(N1189="PENDENTE",N1189="PARCIAL"),D1189&lt;TODAY()-1),"🔴 EMBARQUE ATRASADO",IF(AND(N1189="REALIZADO",M1189="PENDENTE"),"🟡 EMBARCADO SEM FATURAR",IF(AND(P1189&lt;&gt;"",S1189="",OR(Q1189="",R1189="")),"🟡 PENDÊNCIA SEM RESPONSÁVEL/PRAZO",IF(AND(ISNUMBER(R1189),R1189=TODAY()),"🟡 VENCE HOJE",IF(AND(P1189&lt;&gt;"",S1189=""),"🟡 PENDÊNCIA ABERTA",IF(AND(N(J1189)&gt;0,N(K1189)&lt;J1189),"🟡 FALTA EXECUTAR",IF(OR(M1189="PENDENTE",M1189="PARCIAL"),"🟡 FATURAMENTO PENDENTE","🟡 EMBARQUE PENDENTE")))))))))))</f>
        <v/>
      </c>
      <c r="D1189" s="4" t="n"/>
      <c r="E1189" s="5" t="n"/>
      <c r="F1189" s="5" t="n"/>
      <c r="G1189" s="5" t="n"/>
      <c r="H1189" s="5" t="n"/>
      <c r="I1189" s="5" t="n"/>
      <c r="J1189" s="6" t="n"/>
      <c r="K1189" s="6" t="n"/>
      <c r="L1189" s="7">
        <f>IF(OR(D1189="",N(J1189)=0),"",MIN(1,N(K1189)/J1189))</f>
        <v/>
      </c>
      <c r="M1189" s="5" t="n"/>
      <c r="N1189" s="5" t="n"/>
      <c r="O1189" s="5" t="n"/>
      <c r="P1189" s="5" t="n"/>
      <c r="Q1189" s="5" t="n"/>
      <c r="R1189" s="4" t="n"/>
      <c r="S1189" s="4" t="n"/>
      <c r="T1189" s="5" t="n"/>
      <c r="U1189" s="8">
        <f>IF(AND(V1189=1,D1189&lt;&gt;""),IF(D1189&gt;=corte,TODAY()-D1189,""),"")</f>
        <v/>
      </c>
      <c r="V1189" s="8">
        <f>IF(D1189="",0,IF(OR(AND(P1189&lt;&gt;"",S1189=""),AND(N(J1189)&gt;0,N(K1189)&lt;J1189),OR(M1189="PENDENTE",M1189="PARCIAL"),OR(N1189="PENDENTE",N1189="PARCIAL")),1,0))</f>
        <v/>
      </c>
      <c r="W1189" s="8">
        <f>IF(AND(V1189=1,D1189&lt;&gt;""),IF(D1189&gt;=corte,(B1189="CRÍTICO")*1E9+(100000-D1189)*10000+10000-ROW(),""),"")</f>
        <v/>
      </c>
      <c r="X1189" s="8">
        <f>IF(AND(V1189=1,D1189=pas_data,E1189=pas_turno),10000-ROW(),"")</f>
        <v/>
      </c>
    </row>
    <row r="1190">
      <c r="A1190" s="3">
        <f>IF(D1190="","","TT-"&amp;TEXT(ROW()-1,"00000"))</f>
        <v/>
      </c>
      <c r="B1190" s="3">
        <f>IF(D1190="","",IF(V1190=0,"CONCLUÍDO",IF(D1190&lt;corte,"HISTÓRICO",IF(OR(AND(ISNUMBER(R1190),R1190&lt;TODAY()),AND(OR(N1190="PENDENTE",N1190="PARCIAL"),D1190&lt;TODAY()-1)),"CRÍTICO",IF(OR(AND(P1190&lt;&gt;"",S1190=""),AND(N1190="REALIZADO",M1190="PENDENTE"),AND(ISNUMBER(R1190),R1190=TODAY())),"ATENÇÃO",IF(N(K1190)=0,"PENDENTE","EM ANDAMENTO"))))))</f>
        <v/>
      </c>
      <c r="C1190" s="3">
        <f>IF(D1190="","",IF(V1190=0,"🟢 OK",IF(D1190&lt;corte,"⚪ HISTÓRICO (sem baixa)",IF(AND(ISNUMBER(R1190),R1190&lt;TODAY()),"🔴 PRAZO VENCIDO",IF(AND(OR(N1190="PENDENTE",N1190="PARCIAL"),D1190&lt;TODAY()-1),"🔴 EMBARQUE ATRASADO",IF(AND(N1190="REALIZADO",M1190="PENDENTE"),"🟡 EMBARCADO SEM FATURAR",IF(AND(P1190&lt;&gt;"",S1190="",OR(Q1190="",R1190="")),"🟡 PENDÊNCIA SEM RESPONSÁVEL/PRAZO",IF(AND(ISNUMBER(R1190),R1190=TODAY()),"🟡 VENCE HOJE",IF(AND(P1190&lt;&gt;"",S1190=""),"🟡 PENDÊNCIA ABERTA",IF(AND(N(J1190)&gt;0,N(K1190)&lt;J1190),"🟡 FALTA EXECUTAR",IF(OR(M1190="PENDENTE",M1190="PARCIAL"),"🟡 FATURAMENTO PENDENTE","🟡 EMBARQUE PENDENTE")))))))))))</f>
        <v/>
      </c>
      <c r="D1190" s="4" t="n"/>
      <c r="E1190" s="5" t="n"/>
      <c r="F1190" s="5" t="n"/>
      <c r="G1190" s="5" t="n"/>
      <c r="H1190" s="5" t="n"/>
      <c r="I1190" s="5" t="n"/>
      <c r="J1190" s="6" t="n"/>
      <c r="K1190" s="6" t="n"/>
      <c r="L1190" s="7">
        <f>IF(OR(D1190="",N(J1190)=0),"",MIN(1,N(K1190)/J1190))</f>
        <v/>
      </c>
      <c r="M1190" s="5" t="n"/>
      <c r="N1190" s="5" t="n"/>
      <c r="O1190" s="5" t="n"/>
      <c r="P1190" s="5" t="n"/>
      <c r="Q1190" s="5" t="n"/>
      <c r="R1190" s="4" t="n"/>
      <c r="S1190" s="4" t="n"/>
      <c r="T1190" s="5" t="n"/>
      <c r="U1190" s="8">
        <f>IF(AND(V1190=1,D1190&lt;&gt;""),IF(D1190&gt;=corte,TODAY()-D1190,""),"")</f>
        <v/>
      </c>
      <c r="V1190" s="8">
        <f>IF(D1190="",0,IF(OR(AND(P1190&lt;&gt;"",S1190=""),AND(N(J1190)&gt;0,N(K1190)&lt;J1190),OR(M1190="PENDENTE",M1190="PARCIAL"),OR(N1190="PENDENTE",N1190="PARCIAL")),1,0))</f>
        <v/>
      </c>
      <c r="W1190" s="8">
        <f>IF(AND(V1190=1,D1190&lt;&gt;""),IF(D1190&gt;=corte,(B1190="CRÍTICO")*1E9+(100000-D1190)*10000+10000-ROW(),""),"")</f>
        <v/>
      </c>
      <c r="X1190" s="8">
        <f>IF(AND(V1190=1,D1190=pas_data,E1190=pas_turno),10000-ROW(),"")</f>
        <v/>
      </c>
    </row>
    <row r="1191">
      <c r="A1191" s="3">
        <f>IF(D1191="","","TT-"&amp;TEXT(ROW()-1,"00000"))</f>
        <v/>
      </c>
      <c r="B1191" s="3">
        <f>IF(D1191="","",IF(V1191=0,"CONCLUÍDO",IF(D1191&lt;corte,"HISTÓRICO",IF(OR(AND(ISNUMBER(R1191),R1191&lt;TODAY()),AND(OR(N1191="PENDENTE",N1191="PARCIAL"),D1191&lt;TODAY()-1)),"CRÍTICO",IF(OR(AND(P1191&lt;&gt;"",S1191=""),AND(N1191="REALIZADO",M1191="PENDENTE"),AND(ISNUMBER(R1191),R1191=TODAY())),"ATENÇÃO",IF(N(K1191)=0,"PENDENTE","EM ANDAMENTO"))))))</f>
        <v/>
      </c>
      <c r="C1191" s="3">
        <f>IF(D1191="","",IF(V1191=0,"🟢 OK",IF(D1191&lt;corte,"⚪ HISTÓRICO (sem baixa)",IF(AND(ISNUMBER(R1191),R1191&lt;TODAY()),"🔴 PRAZO VENCIDO",IF(AND(OR(N1191="PENDENTE",N1191="PARCIAL"),D1191&lt;TODAY()-1),"🔴 EMBARQUE ATRASADO",IF(AND(N1191="REALIZADO",M1191="PENDENTE"),"🟡 EMBARCADO SEM FATURAR",IF(AND(P1191&lt;&gt;"",S1191="",OR(Q1191="",R1191="")),"🟡 PENDÊNCIA SEM RESPONSÁVEL/PRAZO",IF(AND(ISNUMBER(R1191),R1191=TODAY()),"🟡 VENCE HOJE",IF(AND(P1191&lt;&gt;"",S1191=""),"🟡 PENDÊNCIA ABERTA",IF(AND(N(J1191)&gt;0,N(K1191)&lt;J1191),"🟡 FALTA EXECUTAR",IF(OR(M1191="PENDENTE",M1191="PARCIAL"),"🟡 FATURAMENTO PENDENTE","🟡 EMBARQUE PENDENTE")))))))))))</f>
        <v/>
      </c>
      <c r="D1191" s="4" t="n"/>
      <c r="E1191" s="5" t="n"/>
      <c r="F1191" s="5" t="n"/>
      <c r="G1191" s="5" t="n"/>
      <c r="H1191" s="5" t="n"/>
      <c r="I1191" s="5" t="n"/>
      <c r="J1191" s="6" t="n"/>
      <c r="K1191" s="6" t="n"/>
      <c r="L1191" s="7">
        <f>IF(OR(D1191="",N(J1191)=0),"",MIN(1,N(K1191)/J1191))</f>
        <v/>
      </c>
      <c r="M1191" s="5" t="n"/>
      <c r="N1191" s="5" t="n"/>
      <c r="O1191" s="5" t="n"/>
      <c r="P1191" s="5" t="n"/>
      <c r="Q1191" s="5" t="n"/>
      <c r="R1191" s="4" t="n"/>
      <c r="S1191" s="4" t="n"/>
      <c r="T1191" s="5" t="n"/>
      <c r="U1191" s="8">
        <f>IF(AND(V1191=1,D1191&lt;&gt;""),IF(D1191&gt;=corte,TODAY()-D1191,""),"")</f>
        <v/>
      </c>
      <c r="V1191" s="8">
        <f>IF(D1191="",0,IF(OR(AND(P1191&lt;&gt;"",S1191=""),AND(N(J1191)&gt;0,N(K1191)&lt;J1191),OR(M1191="PENDENTE",M1191="PARCIAL"),OR(N1191="PENDENTE",N1191="PARCIAL")),1,0))</f>
        <v/>
      </c>
      <c r="W1191" s="8">
        <f>IF(AND(V1191=1,D1191&lt;&gt;""),IF(D1191&gt;=corte,(B1191="CRÍTICO")*1E9+(100000-D1191)*10000+10000-ROW(),""),"")</f>
        <v/>
      </c>
      <c r="X1191" s="8">
        <f>IF(AND(V1191=1,D1191=pas_data,E1191=pas_turno),10000-ROW(),"")</f>
        <v/>
      </c>
    </row>
    <row r="1192">
      <c r="A1192" s="3">
        <f>IF(D1192="","","TT-"&amp;TEXT(ROW()-1,"00000"))</f>
        <v/>
      </c>
      <c r="B1192" s="3">
        <f>IF(D1192="","",IF(V1192=0,"CONCLUÍDO",IF(D1192&lt;corte,"HISTÓRICO",IF(OR(AND(ISNUMBER(R1192),R1192&lt;TODAY()),AND(OR(N1192="PENDENTE",N1192="PARCIAL"),D1192&lt;TODAY()-1)),"CRÍTICO",IF(OR(AND(P1192&lt;&gt;"",S1192=""),AND(N1192="REALIZADO",M1192="PENDENTE"),AND(ISNUMBER(R1192),R1192=TODAY())),"ATENÇÃO",IF(N(K1192)=0,"PENDENTE","EM ANDAMENTO"))))))</f>
        <v/>
      </c>
      <c r="C1192" s="3">
        <f>IF(D1192="","",IF(V1192=0,"🟢 OK",IF(D1192&lt;corte,"⚪ HISTÓRICO (sem baixa)",IF(AND(ISNUMBER(R1192),R1192&lt;TODAY()),"🔴 PRAZO VENCIDO",IF(AND(OR(N1192="PENDENTE",N1192="PARCIAL"),D1192&lt;TODAY()-1),"🔴 EMBARQUE ATRASADO",IF(AND(N1192="REALIZADO",M1192="PENDENTE"),"🟡 EMBARCADO SEM FATURAR",IF(AND(P1192&lt;&gt;"",S1192="",OR(Q1192="",R1192="")),"🟡 PENDÊNCIA SEM RESPONSÁVEL/PRAZO",IF(AND(ISNUMBER(R1192),R1192=TODAY()),"🟡 VENCE HOJE",IF(AND(P1192&lt;&gt;"",S1192=""),"🟡 PENDÊNCIA ABERTA",IF(AND(N(J1192)&gt;0,N(K1192)&lt;J1192),"🟡 FALTA EXECUTAR",IF(OR(M1192="PENDENTE",M1192="PARCIAL"),"🟡 FATURAMENTO PENDENTE","🟡 EMBARQUE PENDENTE")))))))))))</f>
        <v/>
      </c>
      <c r="D1192" s="4" t="n"/>
      <c r="E1192" s="5" t="n"/>
      <c r="F1192" s="5" t="n"/>
      <c r="G1192" s="5" t="n"/>
      <c r="H1192" s="5" t="n"/>
      <c r="I1192" s="5" t="n"/>
      <c r="J1192" s="6" t="n"/>
      <c r="K1192" s="6" t="n"/>
      <c r="L1192" s="7">
        <f>IF(OR(D1192="",N(J1192)=0),"",MIN(1,N(K1192)/J1192))</f>
        <v/>
      </c>
      <c r="M1192" s="5" t="n"/>
      <c r="N1192" s="5" t="n"/>
      <c r="O1192" s="5" t="n"/>
      <c r="P1192" s="5" t="n"/>
      <c r="Q1192" s="5" t="n"/>
      <c r="R1192" s="4" t="n"/>
      <c r="S1192" s="4" t="n"/>
      <c r="T1192" s="5" t="n"/>
      <c r="U1192" s="8">
        <f>IF(AND(V1192=1,D1192&lt;&gt;""),IF(D1192&gt;=corte,TODAY()-D1192,""),"")</f>
        <v/>
      </c>
      <c r="V1192" s="8">
        <f>IF(D1192="",0,IF(OR(AND(P1192&lt;&gt;"",S1192=""),AND(N(J1192)&gt;0,N(K1192)&lt;J1192),OR(M1192="PENDENTE",M1192="PARCIAL"),OR(N1192="PENDENTE",N1192="PARCIAL")),1,0))</f>
        <v/>
      </c>
      <c r="W1192" s="8">
        <f>IF(AND(V1192=1,D1192&lt;&gt;""),IF(D1192&gt;=corte,(B1192="CRÍTICO")*1E9+(100000-D1192)*10000+10000-ROW(),""),"")</f>
        <v/>
      </c>
      <c r="X1192" s="8">
        <f>IF(AND(V1192=1,D1192=pas_data,E1192=pas_turno),10000-ROW(),"")</f>
        <v/>
      </c>
    </row>
    <row r="1193">
      <c r="A1193" s="3">
        <f>IF(D1193="","","TT-"&amp;TEXT(ROW()-1,"00000"))</f>
        <v/>
      </c>
      <c r="B1193" s="3">
        <f>IF(D1193="","",IF(V1193=0,"CONCLUÍDO",IF(D1193&lt;corte,"HISTÓRICO",IF(OR(AND(ISNUMBER(R1193),R1193&lt;TODAY()),AND(OR(N1193="PENDENTE",N1193="PARCIAL"),D1193&lt;TODAY()-1)),"CRÍTICO",IF(OR(AND(P1193&lt;&gt;"",S1193=""),AND(N1193="REALIZADO",M1193="PENDENTE"),AND(ISNUMBER(R1193),R1193=TODAY())),"ATENÇÃO",IF(N(K1193)=0,"PENDENTE","EM ANDAMENTO"))))))</f>
        <v/>
      </c>
      <c r="C1193" s="3">
        <f>IF(D1193="","",IF(V1193=0,"🟢 OK",IF(D1193&lt;corte,"⚪ HISTÓRICO (sem baixa)",IF(AND(ISNUMBER(R1193),R1193&lt;TODAY()),"🔴 PRAZO VENCIDO",IF(AND(OR(N1193="PENDENTE",N1193="PARCIAL"),D1193&lt;TODAY()-1),"🔴 EMBARQUE ATRASADO",IF(AND(N1193="REALIZADO",M1193="PENDENTE"),"🟡 EMBARCADO SEM FATURAR",IF(AND(P1193&lt;&gt;"",S1193="",OR(Q1193="",R1193="")),"🟡 PENDÊNCIA SEM RESPONSÁVEL/PRAZO",IF(AND(ISNUMBER(R1193),R1193=TODAY()),"🟡 VENCE HOJE",IF(AND(P1193&lt;&gt;"",S1193=""),"🟡 PENDÊNCIA ABERTA",IF(AND(N(J1193)&gt;0,N(K1193)&lt;J1193),"🟡 FALTA EXECUTAR",IF(OR(M1193="PENDENTE",M1193="PARCIAL"),"🟡 FATURAMENTO PENDENTE","🟡 EMBARQUE PENDENTE")))))))))))</f>
        <v/>
      </c>
      <c r="D1193" s="4" t="n"/>
      <c r="E1193" s="5" t="n"/>
      <c r="F1193" s="5" t="n"/>
      <c r="G1193" s="5" t="n"/>
      <c r="H1193" s="5" t="n"/>
      <c r="I1193" s="5" t="n"/>
      <c r="J1193" s="6" t="n"/>
      <c r="K1193" s="6" t="n"/>
      <c r="L1193" s="7">
        <f>IF(OR(D1193="",N(J1193)=0),"",MIN(1,N(K1193)/J1193))</f>
        <v/>
      </c>
      <c r="M1193" s="5" t="n"/>
      <c r="N1193" s="5" t="n"/>
      <c r="O1193" s="5" t="n"/>
      <c r="P1193" s="5" t="n"/>
      <c r="Q1193" s="5" t="n"/>
      <c r="R1193" s="4" t="n"/>
      <c r="S1193" s="4" t="n"/>
      <c r="T1193" s="5" t="n"/>
      <c r="U1193" s="8">
        <f>IF(AND(V1193=1,D1193&lt;&gt;""),IF(D1193&gt;=corte,TODAY()-D1193,""),"")</f>
        <v/>
      </c>
      <c r="V1193" s="8">
        <f>IF(D1193="",0,IF(OR(AND(P1193&lt;&gt;"",S1193=""),AND(N(J1193)&gt;0,N(K1193)&lt;J1193),OR(M1193="PENDENTE",M1193="PARCIAL"),OR(N1193="PENDENTE",N1193="PARCIAL")),1,0))</f>
        <v/>
      </c>
      <c r="W1193" s="8">
        <f>IF(AND(V1193=1,D1193&lt;&gt;""),IF(D1193&gt;=corte,(B1193="CRÍTICO")*1E9+(100000-D1193)*10000+10000-ROW(),""),"")</f>
        <v/>
      </c>
      <c r="X1193" s="8">
        <f>IF(AND(V1193=1,D1193=pas_data,E1193=pas_turno),10000-ROW(),"")</f>
        <v/>
      </c>
    </row>
    <row r="1194">
      <c r="A1194" s="3">
        <f>IF(D1194="","","TT-"&amp;TEXT(ROW()-1,"00000"))</f>
        <v/>
      </c>
      <c r="B1194" s="3">
        <f>IF(D1194="","",IF(V1194=0,"CONCLUÍDO",IF(D1194&lt;corte,"HISTÓRICO",IF(OR(AND(ISNUMBER(R1194),R1194&lt;TODAY()),AND(OR(N1194="PENDENTE",N1194="PARCIAL"),D1194&lt;TODAY()-1)),"CRÍTICO",IF(OR(AND(P1194&lt;&gt;"",S1194=""),AND(N1194="REALIZADO",M1194="PENDENTE"),AND(ISNUMBER(R1194),R1194=TODAY())),"ATENÇÃO",IF(N(K1194)=0,"PENDENTE","EM ANDAMENTO"))))))</f>
        <v/>
      </c>
      <c r="C1194" s="3">
        <f>IF(D1194="","",IF(V1194=0,"🟢 OK",IF(D1194&lt;corte,"⚪ HISTÓRICO (sem baixa)",IF(AND(ISNUMBER(R1194),R1194&lt;TODAY()),"🔴 PRAZO VENCIDO",IF(AND(OR(N1194="PENDENTE",N1194="PARCIAL"),D1194&lt;TODAY()-1),"🔴 EMBARQUE ATRASADO",IF(AND(N1194="REALIZADO",M1194="PENDENTE"),"🟡 EMBARCADO SEM FATURAR",IF(AND(P1194&lt;&gt;"",S1194="",OR(Q1194="",R1194="")),"🟡 PENDÊNCIA SEM RESPONSÁVEL/PRAZO",IF(AND(ISNUMBER(R1194),R1194=TODAY()),"🟡 VENCE HOJE",IF(AND(P1194&lt;&gt;"",S1194=""),"🟡 PENDÊNCIA ABERTA",IF(AND(N(J1194)&gt;0,N(K1194)&lt;J1194),"🟡 FALTA EXECUTAR",IF(OR(M1194="PENDENTE",M1194="PARCIAL"),"🟡 FATURAMENTO PENDENTE","🟡 EMBARQUE PENDENTE")))))))))))</f>
        <v/>
      </c>
      <c r="D1194" s="4" t="n"/>
      <c r="E1194" s="5" t="n"/>
      <c r="F1194" s="5" t="n"/>
      <c r="G1194" s="5" t="n"/>
      <c r="H1194" s="5" t="n"/>
      <c r="I1194" s="5" t="n"/>
      <c r="J1194" s="6" t="n"/>
      <c r="K1194" s="6" t="n"/>
      <c r="L1194" s="7">
        <f>IF(OR(D1194="",N(J1194)=0),"",MIN(1,N(K1194)/J1194))</f>
        <v/>
      </c>
      <c r="M1194" s="5" t="n"/>
      <c r="N1194" s="5" t="n"/>
      <c r="O1194" s="5" t="n"/>
      <c r="P1194" s="5" t="n"/>
      <c r="Q1194" s="5" t="n"/>
      <c r="R1194" s="4" t="n"/>
      <c r="S1194" s="4" t="n"/>
      <c r="T1194" s="5" t="n"/>
      <c r="U1194" s="8">
        <f>IF(AND(V1194=1,D1194&lt;&gt;""),IF(D1194&gt;=corte,TODAY()-D1194,""),"")</f>
        <v/>
      </c>
      <c r="V1194" s="8">
        <f>IF(D1194="",0,IF(OR(AND(P1194&lt;&gt;"",S1194=""),AND(N(J1194)&gt;0,N(K1194)&lt;J1194),OR(M1194="PENDENTE",M1194="PARCIAL"),OR(N1194="PENDENTE",N1194="PARCIAL")),1,0))</f>
        <v/>
      </c>
      <c r="W1194" s="8">
        <f>IF(AND(V1194=1,D1194&lt;&gt;""),IF(D1194&gt;=corte,(B1194="CRÍTICO")*1E9+(100000-D1194)*10000+10000-ROW(),""),"")</f>
        <v/>
      </c>
      <c r="X1194" s="8">
        <f>IF(AND(V1194=1,D1194=pas_data,E1194=pas_turno),10000-ROW(),"")</f>
        <v/>
      </c>
    </row>
    <row r="1195">
      <c r="A1195" s="3">
        <f>IF(D1195="","","TT-"&amp;TEXT(ROW()-1,"00000"))</f>
        <v/>
      </c>
      <c r="B1195" s="3">
        <f>IF(D1195="","",IF(V1195=0,"CONCLUÍDO",IF(D1195&lt;corte,"HISTÓRICO",IF(OR(AND(ISNUMBER(R1195),R1195&lt;TODAY()),AND(OR(N1195="PENDENTE",N1195="PARCIAL"),D1195&lt;TODAY()-1)),"CRÍTICO",IF(OR(AND(P1195&lt;&gt;"",S1195=""),AND(N1195="REALIZADO",M1195="PENDENTE"),AND(ISNUMBER(R1195),R1195=TODAY())),"ATENÇÃO",IF(N(K1195)=0,"PENDENTE","EM ANDAMENTO"))))))</f>
        <v/>
      </c>
      <c r="C1195" s="3">
        <f>IF(D1195="","",IF(V1195=0,"🟢 OK",IF(D1195&lt;corte,"⚪ HISTÓRICO (sem baixa)",IF(AND(ISNUMBER(R1195),R1195&lt;TODAY()),"🔴 PRAZO VENCIDO",IF(AND(OR(N1195="PENDENTE",N1195="PARCIAL"),D1195&lt;TODAY()-1),"🔴 EMBARQUE ATRASADO",IF(AND(N1195="REALIZADO",M1195="PENDENTE"),"🟡 EMBARCADO SEM FATURAR",IF(AND(P1195&lt;&gt;"",S1195="",OR(Q1195="",R1195="")),"🟡 PENDÊNCIA SEM RESPONSÁVEL/PRAZO",IF(AND(ISNUMBER(R1195),R1195=TODAY()),"🟡 VENCE HOJE",IF(AND(P1195&lt;&gt;"",S1195=""),"🟡 PENDÊNCIA ABERTA",IF(AND(N(J1195)&gt;0,N(K1195)&lt;J1195),"🟡 FALTA EXECUTAR",IF(OR(M1195="PENDENTE",M1195="PARCIAL"),"🟡 FATURAMENTO PENDENTE","🟡 EMBARQUE PENDENTE")))))))))))</f>
        <v/>
      </c>
      <c r="D1195" s="4" t="n"/>
      <c r="E1195" s="5" t="n"/>
      <c r="F1195" s="5" t="n"/>
      <c r="G1195" s="5" t="n"/>
      <c r="H1195" s="5" t="n"/>
      <c r="I1195" s="5" t="n"/>
      <c r="J1195" s="6" t="n"/>
      <c r="K1195" s="6" t="n"/>
      <c r="L1195" s="7">
        <f>IF(OR(D1195="",N(J1195)=0),"",MIN(1,N(K1195)/J1195))</f>
        <v/>
      </c>
      <c r="M1195" s="5" t="n"/>
      <c r="N1195" s="5" t="n"/>
      <c r="O1195" s="5" t="n"/>
      <c r="P1195" s="5" t="n"/>
      <c r="Q1195" s="5" t="n"/>
      <c r="R1195" s="4" t="n"/>
      <c r="S1195" s="4" t="n"/>
      <c r="T1195" s="5" t="n"/>
      <c r="U1195" s="8">
        <f>IF(AND(V1195=1,D1195&lt;&gt;""),IF(D1195&gt;=corte,TODAY()-D1195,""),"")</f>
        <v/>
      </c>
      <c r="V1195" s="8">
        <f>IF(D1195="",0,IF(OR(AND(P1195&lt;&gt;"",S1195=""),AND(N(J1195)&gt;0,N(K1195)&lt;J1195),OR(M1195="PENDENTE",M1195="PARCIAL"),OR(N1195="PENDENTE",N1195="PARCIAL")),1,0))</f>
        <v/>
      </c>
      <c r="W1195" s="8">
        <f>IF(AND(V1195=1,D1195&lt;&gt;""),IF(D1195&gt;=corte,(B1195="CRÍTICO")*1E9+(100000-D1195)*10000+10000-ROW(),""),"")</f>
        <v/>
      </c>
      <c r="X1195" s="8">
        <f>IF(AND(V1195=1,D1195=pas_data,E1195=pas_turno),10000-ROW(),"")</f>
        <v/>
      </c>
    </row>
    <row r="1196">
      <c r="A1196" s="3">
        <f>IF(D1196="","","TT-"&amp;TEXT(ROW()-1,"00000"))</f>
        <v/>
      </c>
      <c r="B1196" s="3">
        <f>IF(D1196="","",IF(V1196=0,"CONCLUÍDO",IF(D1196&lt;corte,"HISTÓRICO",IF(OR(AND(ISNUMBER(R1196),R1196&lt;TODAY()),AND(OR(N1196="PENDENTE",N1196="PARCIAL"),D1196&lt;TODAY()-1)),"CRÍTICO",IF(OR(AND(P1196&lt;&gt;"",S1196=""),AND(N1196="REALIZADO",M1196="PENDENTE"),AND(ISNUMBER(R1196),R1196=TODAY())),"ATENÇÃO",IF(N(K1196)=0,"PENDENTE","EM ANDAMENTO"))))))</f>
        <v/>
      </c>
      <c r="C1196" s="3">
        <f>IF(D1196="","",IF(V1196=0,"🟢 OK",IF(D1196&lt;corte,"⚪ HISTÓRICO (sem baixa)",IF(AND(ISNUMBER(R1196),R1196&lt;TODAY()),"🔴 PRAZO VENCIDO",IF(AND(OR(N1196="PENDENTE",N1196="PARCIAL"),D1196&lt;TODAY()-1),"🔴 EMBARQUE ATRASADO",IF(AND(N1196="REALIZADO",M1196="PENDENTE"),"🟡 EMBARCADO SEM FATURAR",IF(AND(P1196&lt;&gt;"",S1196="",OR(Q1196="",R1196="")),"🟡 PENDÊNCIA SEM RESPONSÁVEL/PRAZO",IF(AND(ISNUMBER(R1196),R1196=TODAY()),"🟡 VENCE HOJE",IF(AND(P1196&lt;&gt;"",S1196=""),"🟡 PENDÊNCIA ABERTA",IF(AND(N(J1196)&gt;0,N(K1196)&lt;J1196),"🟡 FALTA EXECUTAR",IF(OR(M1196="PENDENTE",M1196="PARCIAL"),"🟡 FATURAMENTO PENDENTE","🟡 EMBARQUE PENDENTE")))))))))))</f>
        <v/>
      </c>
      <c r="D1196" s="4" t="n"/>
      <c r="E1196" s="5" t="n"/>
      <c r="F1196" s="5" t="n"/>
      <c r="G1196" s="5" t="n"/>
      <c r="H1196" s="5" t="n"/>
      <c r="I1196" s="5" t="n"/>
      <c r="J1196" s="6" t="n"/>
      <c r="K1196" s="6" t="n"/>
      <c r="L1196" s="7">
        <f>IF(OR(D1196="",N(J1196)=0),"",MIN(1,N(K1196)/J1196))</f>
        <v/>
      </c>
      <c r="M1196" s="5" t="n"/>
      <c r="N1196" s="5" t="n"/>
      <c r="O1196" s="5" t="n"/>
      <c r="P1196" s="5" t="n"/>
      <c r="Q1196" s="5" t="n"/>
      <c r="R1196" s="4" t="n"/>
      <c r="S1196" s="4" t="n"/>
      <c r="T1196" s="5" t="n"/>
      <c r="U1196" s="8">
        <f>IF(AND(V1196=1,D1196&lt;&gt;""),IF(D1196&gt;=corte,TODAY()-D1196,""),"")</f>
        <v/>
      </c>
      <c r="V1196" s="8">
        <f>IF(D1196="",0,IF(OR(AND(P1196&lt;&gt;"",S1196=""),AND(N(J1196)&gt;0,N(K1196)&lt;J1196),OR(M1196="PENDENTE",M1196="PARCIAL"),OR(N1196="PENDENTE",N1196="PARCIAL")),1,0))</f>
        <v/>
      </c>
      <c r="W1196" s="8">
        <f>IF(AND(V1196=1,D1196&lt;&gt;""),IF(D1196&gt;=corte,(B1196="CRÍTICO")*1E9+(100000-D1196)*10000+10000-ROW(),""),"")</f>
        <v/>
      </c>
      <c r="X1196" s="8">
        <f>IF(AND(V1196=1,D1196=pas_data,E1196=pas_turno),10000-ROW(),"")</f>
        <v/>
      </c>
    </row>
    <row r="1197">
      <c r="A1197" s="3">
        <f>IF(D1197="","","TT-"&amp;TEXT(ROW()-1,"00000"))</f>
        <v/>
      </c>
      <c r="B1197" s="3">
        <f>IF(D1197="","",IF(V1197=0,"CONCLUÍDO",IF(D1197&lt;corte,"HISTÓRICO",IF(OR(AND(ISNUMBER(R1197),R1197&lt;TODAY()),AND(OR(N1197="PENDENTE",N1197="PARCIAL"),D1197&lt;TODAY()-1)),"CRÍTICO",IF(OR(AND(P1197&lt;&gt;"",S1197=""),AND(N1197="REALIZADO",M1197="PENDENTE"),AND(ISNUMBER(R1197),R1197=TODAY())),"ATENÇÃO",IF(N(K1197)=0,"PENDENTE","EM ANDAMENTO"))))))</f>
        <v/>
      </c>
      <c r="C1197" s="3">
        <f>IF(D1197="","",IF(V1197=0,"🟢 OK",IF(D1197&lt;corte,"⚪ HISTÓRICO (sem baixa)",IF(AND(ISNUMBER(R1197),R1197&lt;TODAY()),"🔴 PRAZO VENCIDO",IF(AND(OR(N1197="PENDENTE",N1197="PARCIAL"),D1197&lt;TODAY()-1),"🔴 EMBARQUE ATRASADO",IF(AND(N1197="REALIZADO",M1197="PENDENTE"),"🟡 EMBARCADO SEM FATURAR",IF(AND(P1197&lt;&gt;"",S1197="",OR(Q1197="",R1197="")),"🟡 PENDÊNCIA SEM RESPONSÁVEL/PRAZO",IF(AND(ISNUMBER(R1197),R1197=TODAY()),"🟡 VENCE HOJE",IF(AND(P1197&lt;&gt;"",S1197=""),"🟡 PENDÊNCIA ABERTA",IF(AND(N(J1197)&gt;0,N(K1197)&lt;J1197),"🟡 FALTA EXECUTAR",IF(OR(M1197="PENDENTE",M1197="PARCIAL"),"🟡 FATURAMENTO PENDENTE","🟡 EMBARQUE PENDENTE")))))))))))</f>
        <v/>
      </c>
      <c r="D1197" s="4" t="n"/>
      <c r="E1197" s="5" t="n"/>
      <c r="F1197" s="5" t="n"/>
      <c r="G1197" s="5" t="n"/>
      <c r="H1197" s="5" t="n"/>
      <c r="I1197" s="5" t="n"/>
      <c r="J1197" s="6" t="n"/>
      <c r="K1197" s="6" t="n"/>
      <c r="L1197" s="7">
        <f>IF(OR(D1197="",N(J1197)=0),"",MIN(1,N(K1197)/J1197))</f>
        <v/>
      </c>
      <c r="M1197" s="5" t="n"/>
      <c r="N1197" s="5" t="n"/>
      <c r="O1197" s="5" t="n"/>
      <c r="P1197" s="5" t="n"/>
      <c r="Q1197" s="5" t="n"/>
      <c r="R1197" s="4" t="n"/>
      <c r="S1197" s="4" t="n"/>
      <c r="T1197" s="5" t="n"/>
      <c r="U1197" s="8">
        <f>IF(AND(V1197=1,D1197&lt;&gt;""),IF(D1197&gt;=corte,TODAY()-D1197,""),"")</f>
        <v/>
      </c>
      <c r="V1197" s="8">
        <f>IF(D1197="",0,IF(OR(AND(P1197&lt;&gt;"",S1197=""),AND(N(J1197)&gt;0,N(K1197)&lt;J1197),OR(M1197="PENDENTE",M1197="PARCIAL"),OR(N1197="PENDENTE",N1197="PARCIAL")),1,0))</f>
        <v/>
      </c>
      <c r="W1197" s="8">
        <f>IF(AND(V1197=1,D1197&lt;&gt;""),IF(D1197&gt;=corte,(B1197="CRÍTICO")*1E9+(100000-D1197)*10000+10000-ROW(),""),"")</f>
        <v/>
      </c>
      <c r="X1197" s="8">
        <f>IF(AND(V1197=1,D1197=pas_data,E1197=pas_turno),10000-ROW(),"")</f>
        <v/>
      </c>
    </row>
    <row r="1198">
      <c r="A1198" s="3">
        <f>IF(D1198="","","TT-"&amp;TEXT(ROW()-1,"00000"))</f>
        <v/>
      </c>
      <c r="B1198" s="3">
        <f>IF(D1198="","",IF(V1198=0,"CONCLUÍDO",IF(D1198&lt;corte,"HISTÓRICO",IF(OR(AND(ISNUMBER(R1198),R1198&lt;TODAY()),AND(OR(N1198="PENDENTE",N1198="PARCIAL"),D1198&lt;TODAY()-1)),"CRÍTICO",IF(OR(AND(P1198&lt;&gt;"",S1198=""),AND(N1198="REALIZADO",M1198="PENDENTE"),AND(ISNUMBER(R1198),R1198=TODAY())),"ATENÇÃO",IF(N(K1198)=0,"PENDENTE","EM ANDAMENTO"))))))</f>
        <v/>
      </c>
      <c r="C1198" s="3">
        <f>IF(D1198="","",IF(V1198=0,"🟢 OK",IF(D1198&lt;corte,"⚪ HISTÓRICO (sem baixa)",IF(AND(ISNUMBER(R1198),R1198&lt;TODAY()),"🔴 PRAZO VENCIDO",IF(AND(OR(N1198="PENDENTE",N1198="PARCIAL"),D1198&lt;TODAY()-1),"🔴 EMBARQUE ATRASADO",IF(AND(N1198="REALIZADO",M1198="PENDENTE"),"🟡 EMBARCADO SEM FATURAR",IF(AND(P1198&lt;&gt;"",S1198="",OR(Q1198="",R1198="")),"🟡 PENDÊNCIA SEM RESPONSÁVEL/PRAZO",IF(AND(ISNUMBER(R1198),R1198=TODAY()),"🟡 VENCE HOJE",IF(AND(P1198&lt;&gt;"",S1198=""),"🟡 PENDÊNCIA ABERTA",IF(AND(N(J1198)&gt;0,N(K1198)&lt;J1198),"🟡 FALTA EXECUTAR",IF(OR(M1198="PENDENTE",M1198="PARCIAL"),"🟡 FATURAMENTO PENDENTE","🟡 EMBARQUE PENDENTE")))))))))))</f>
        <v/>
      </c>
      <c r="D1198" s="4" t="n"/>
      <c r="E1198" s="5" t="n"/>
      <c r="F1198" s="5" t="n"/>
      <c r="G1198" s="5" t="n"/>
      <c r="H1198" s="5" t="n"/>
      <c r="I1198" s="5" t="n"/>
      <c r="J1198" s="6" t="n"/>
      <c r="K1198" s="6" t="n"/>
      <c r="L1198" s="7">
        <f>IF(OR(D1198="",N(J1198)=0),"",MIN(1,N(K1198)/J1198))</f>
        <v/>
      </c>
      <c r="M1198" s="5" t="n"/>
      <c r="N1198" s="5" t="n"/>
      <c r="O1198" s="5" t="n"/>
      <c r="P1198" s="5" t="n"/>
      <c r="Q1198" s="5" t="n"/>
      <c r="R1198" s="4" t="n"/>
      <c r="S1198" s="4" t="n"/>
      <c r="T1198" s="5" t="n"/>
      <c r="U1198" s="8">
        <f>IF(AND(V1198=1,D1198&lt;&gt;""),IF(D1198&gt;=corte,TODAY()-D1198,""),"")</f>
        <v/>
      </c>
      <c r="V1198" s="8">
        <f>IF(D1198="",0,IF(OR(AND(P1198&lt;&gt;"",S1198=""),AND(N(J1198)&gt;0,N(K1198)&lt;J1198),OR(M1198="PENDENTE",M1198="PARCIAL"),OR(N1198="PENDENTE",N1198="PARCIAL")),1,0))</f>
        <v/>
      </c>
      <c r="W1198" s="8">
        <f>IF(AND(V1198=1,D1198&lt;&gt;""),IF(D1198&gt;=corte,(B1198="CRÍTICO")*1E9+(100000-D1198)*10000+10000-ROW(),""),"")</f>
        <v/>
      </c>
      <c r="X1198" s="8">
        <f>IF(AND(V1198=1,D1198=pas_data,E1198=pas_turno),10000-ROW(),"")</f>
        <v/>
      </c>
    </row>
    <row r="1199">
      <c r="A1199" s="3">
        <f>IF(D1199="","","TT-"&amp;TEXT(ROW()-1,"00000"))</f>
        <v/>
      </c>
      <c r="B1199" s="3">
        <f>IF(D1199="","",IF(V1199=0,"CONCLUÍDO",IF(D1199&lt;corte,"HISTÓRICO",IF(OR(AND(ISNUMBER(R1199),R1199&lt;TODAY()),AND(OR(N1199="PENDENTE",N1199="PARCIAL"),D1199&lt;TODAY()-1)),"CRÍTICO",IF(OR(AND(P1199&lt;&gt;"",S1199=""),AND(N1199="REALIZADO",M1199="PENDENTE"),AND(ISNUMBER(R1199),R1199=TODAY())),"ATENÇÃO",IF(N(K1199)=0,"PENDENTE","EM ANDAMENTO"))))))</f>
        <v/>
      </c>
      <c r="C1199" s="3">
        <f>IF(D1199="","",IF(V1199=0,"🟢 OK",IF(D1199&lt;corte,"⚪ HISTÓRICO (sem baixa)",IF(AND(ISNUMBER(R1199),R1199&lt;TODAY()),"🔴 PRAZO VENCIDO",IF(AND(OR(N1199="PENDENTE",N1199="PARCIAL"),D1199&lt;TODAY()-1),"🔴 EMBARQUE ATRASADO",IF(AND(N1199="REALIZADO",M1199="PENDENTE"),"🟡 EMBARCADO SEM FATURAR",IF(AND(P1199&lt;&gt;"",S1199="",OR(Q1199="",R1199="")),"🟡 PENDÊNCIA SEM RESPONSÁVEL/PRAZO",IF(AND(ISNUMBER(R1199),R1199=TODAY()),"🟡 VENCE HOJE",IF(AND(P1199&lt;&gt;"",S1199=""),"🟡 PENDÊNCIA ABERTA",IF(AND(N(J1199)&gt;0,N(K1199)&lt;J1199),"🟡 FALTA EXECUTAR",IF(OR(M1199="PENDENTE",M1199="PARCIAL"),"🟡 FATURAMENTO PENDENTE","🟡 EMBARQUE PENDENTE")))))))))))</f>
        <v/>
      </c>
      <c r="D1199" s="4" t="n"/>
      <c r="E1199" s="5" t="n"/>
      <c r="F1199" s="5" t="n"/>
      <c r="G1199" s="5" t="n"/>
      <c r="H1199" s="5" t="n"/>
      <c r="I1199" s="5" t="n"/>
      <c r="J1199" s="6" t="n"/>
      <c r="K1199" s="6" t="n"/>
      <c r="L1199" s="7">
        <f>IF(OR(D1199="",N(J1199)=0),"",MIN(1,N(K1199)/J1199))</f>
        <v/>
      </c>
      <c r="M1199" s="5" t="n"/>
      <c r="N1199" s="5" t="n"/>
      <c r="O1199" s="5" t="n"/>
      <c r="P1199" s="5" t="n"/>
      <c r="Q1199" s="5" t="n"/>
      <c r="R1199" s="4" t="n"/>
      <c r="S1199" s="4" t="n"/>
      <c r="T1199" s="5" t="n"/>
      <c r="U1199" s="8">
        <f>IF(AND(V1199=1,D1199&lt;&gt;""),IF(D1199&gt;=corte,TODAY()-D1199,""),"")</f>
        <v/>
      </c>
      <c r="V1199" s="8">
        <f>IF(D1199="",0,IF(OR(AND(P1199&lt;&gt;"",S1199=""),AND(N(J1199)&gt;0,N(K1199)&lt;J1199),OR(M1199="PENDENTE",M1199="PARCIAL"),OR(N1199="PENDENTE",N1199="PARCIAL")),1,0))</f>
        <v/>
      </c>
      <c r="W1199" s="8">
        <f>IF(AND(V1199=1,D1199&lt;&gt;""),IF(D1199&gt;=corte,(B1199="CRÍTICO")*1E9+(100000-D1199)*10000+10000-ROW(),""),"")</f>
        <v/>
      </c>
      <c r="X1199" s="8">
        <f>IF(AND(V1199=1,D1199=pas_data,E1199=pas_turno),10000-ROW(),"")</f>
        <v/>
      </c>
    </row>
    <row r="1200">
      <c r="A1200" s="3">
        <f>IF(D1200="","","TT-"&amp;TEXT(ROW()-1,"00000"))</f>
        <v/>
      </c>
      <c r="B1200" s="3">
        <f>IF(D1200="","",IF(V1200=0,"CONCLUÍDO",IF(D1200&lt;corte,"HISTÓRICO",IF(OR(AND(ISNUMBER(R1200),R1200&lt;TODAY()),AND(OR(N1200="PENDENTE",N1200="PARCIAL"),D1200&lt;TODAY()-1)),"CRÍTICO",IF(OR(AND(P1200&lt;&gt;"",S1200=""),AND(N1200="REALIZADO",M1200="PENDENTE"),AND(ISNUMBER(R1200),R1200=TODAY())),"ATENÇÃO",IF(N(K1200)=0,"PENDENTE","EM ANDAMENTO"))))))</f>
        <v/>
      </c>
      <c r="C1200" s="3">
        <f>IF(D1200="","",IF(V1200=0,"🟢 OK",IF(D1200&lt;corte,"⚪ HISTÓRICO (sem baixa)",IF(AND(ISNUMBER(R1200),R1200&lt;TODAY()),"🔴 PRAZO VENCIDO",IF(AND(OR(N1200="PENDENTE",N1200="PARCIAL"),D1200&lt;TODAY()-1),"🔴 EMBARQUE ATRASADO",IF(AND(N1200="REALIZADO",M1200="PENDENTE"),"🟡 EMBARCADO SEM FATURAR",IF(AND(P1200&lt;&gt;"",S1200="",OR(Q1200="",R1200="")),"🟡 PENDÊNCIA SEM RESPONSÁVEL/PRAZO",IF(AND(ISNUMBER(R1200),R1200=TODAY()),"🟡 VENCE HOJE",IF(AND(P1200&lt;&gt;"",S1200=""),"🟡 PENDÊNCIA ABERTA",IF(AND(N(J1200)&gt;0,N(K1200)&lt;J1200),"🟡 FALTA EXECUTAR",IF(OR(M1200="PENDENTE",M1200="PARCIAL"),"🟡 FATURAMENTO PENDENTE","🟡 EMBARQUE PENDENTE")))))))))))</f>
        <v/>
      </c>
      <c r="D1200" s="4" t="n"/>
      <c r="E1200" s="5" t="n"/>
      <c r="F1200" s="5" t="n"/>
      <c r="G1200" s="5" t="n"/>
      <c r="H1200" s="5" t="n"/>
      <c r="I1200" s="5" t="n"/>
      <c r="J1200" s="6" t="n"/>
      <c r="K1200" s="6" t="n"/>
      <c r="L1200" s="7">
        <f>IF(OR(D1200="",N(J1200)=0),"",MIN(1,N(K1200)/J1200))</f>
        <v/>
      </c>
      <c r="M1200" s="5" t="n"/>
      <c r="N1200" s="5" t="n"/>
      <c r="O1200" s="5" t="n"/>
      <c r="P1200" s="5" t="n"/>
      <c r="Q1200" s="5" t="n"/>
      <c r="R1200" s="4" t="n"/>
      <c r="S1200" s="4" t="n"/>
      <c r="T1200" s="5" t="n"/>
      <c r="U1200" s="8">
        <f>IF(AND(V1200=1,D1200&lt;&gt;""),IF(D1200&gt;=corte,TODAY()-D1200,""),"")</f>
        <v/>
      </c>
      <c r="V1200" s="8">
        <f>IF(D1200="",0,IF(OR(AND(P1200&lt;&gt;"",S1200=""),AND(N(J1200)&gt;0,N(K1200)&lt;J1200),OR(M1200="PENDENTE",M1200="PARCIAL"),OR(N1200="PENDENTE",N1200="PARCIAL")),1,0))</f>
        <v/>
      </c>
      <c r="W1200" s="8">
        <f>IF(AND(V1200=1,D1200&lt;&gt;""),IF(D1200&gt;=corte,(B1200="CRÍTICO")*1E9+(100000-D1200)*10000+10000-ROW(),""),"")</f>
        <v/>
      </c>
      <c r="X1200" s="8">
        <f>IF(AND(V1200=1,D1200=pas_data,E1200=pas_turno),10000-ROW(),"")</f>
        <v/>
      </c>
    </row>
    <row r="1201">
      <c r="A1201" s="3">
        <f>IF(D1201="","","TT-"&amp;TEXT(ROW()-1,"00000"))</f>
        <v/>
      </c>
      <c r="B1201" s="3">
        <f>IF(D1201="","",IF(V1201=0,"CONCLUÍDO",IF(D1201&lt;corte,"HISTÓRICO",IF(OR(AND(ISNUMBER(R1201),R1201&lt;TODAY()),AND(OR(N1201="PENDENTE",N1201="PARCIAL"),D1201&lt;TODAY()-1)),"CRÍTICO",IF(OR(AND(P1201&lt;&gt;"",S1201=""),AND(N1201="REALIZADO",M1201="PENDENTE"),AND(ISNUMBER(R1201),R1201=TODAY())),"ATENÇÃO",IF(N(K1201)=0,"PENDENTE","EM ANDAMENTO"))))))</f>
        <v/>
      </c>
      <c r="C1201" s="3">
        <f>IF(D1201="","",IF(V1201=0,"🟢 OK",IF(D1201&lt;corte,"⚪ HISTÓRICO (sem baixa)",IF(AND(ISNUMBER(R1201),R1201&lt;TODAY()),"🔴 PRAZO VENCIDO",IF(AND(OR(N1201="PENDENTE",N1201="PARCIAL"),D1201&lt;TODAY()-1),"🔴 EMBARQUE ATRASADO",IF(AND(N1201="REALIZADO",M1201="PENDENTE"),"🟡 EMBARCADO SEM FATURAR",IF(AND(P1201&lt;&gt;"",S1201="",OR(Q1201="",R1201="")),"🟡 PENDÊNCIA SEM RESPONSÁVEL/PRAZO",IF(AND(ISNUMBER(R1201),R1201=TODAY()),"🟡 VENCE HOJE",IF(AND(P1201&lt;&gt;"",S1201=""),"🟡 PENDÊNCIA ABERTA",IF(AND(N(J1201)&gt;0,N(K1201)&lt;J1201),"🟡 FALTA EXECUTAR",IF(OR(M1201="PENDENTE",M1201="PARCIAL"),"🟡 FATURAMENTO PENDENTE","🟡 EMBARQUE PENDENTE")))))))))))</f>
        <v/>
      </c>
      <c r="D1201" s="4" t="n"/>
      <c r="E1201" s="5" t="n"/>
      <c r="F1201" s="5" t="n"/>
      <c r="G1201" s="5" t="n"/>
      <c r="H1201" s="5" t="n"/>
      <c r="I1201" s="5" t="n"/>
      <c r="J1201" s="6" t="n"/>
      <c r="K1201" s="6" t="n"/>
      <c r="L1201" s="7">
        <f>IF(OR(D1201="",N(J1201)=0),"",MIN(1,N(K1201)/J1201))</f>
        <v/>
      </c>
      <c r="M1201" s="5" t="n"/>
      <c r="N1201" s="5" t="n"/>
      <c r="O1201" s="5" t="n"/>
      <c r="P1201" s="5" t="n"/>
      <c r="Q1201" s="5" t="n"/>
      <c r="R1201" s="4" t="n"/>
      <c r="S1201" s="4" t="n"/>
      <c r="T1201" s="5" t="n"/>
      <c r="U1201" s="8">
        <f>IF(AND(V1201=1,D1201&lt;&gt;""),IF(D1201&gt;=corte,TODAY()-D1201,""),"")</f>
        <v/>
      </c>
      <c r="V1201" s="8">
        <f>IF(D1201="",0,IF(OR(AND(P1201&lt;&gt;"",S1201=""),AND(N(J1201)&gt;0,N(K1201)&lt;J1201),OR(M1201="PENDENTE",M1201="PARCIAL"),OR(N1201="PENDENTE",N1201="PARCIAL")),1,0))</f>
        <v/>
      </c>
      <c r="W1201" s="8">
        <f>IF(AND(V1201=1,D1201&lt;&gt;""),IF(D1201&gt;=corte,(B1201="CRÍTICO")*1E9+(100000-D1201)*10000+10000-ROW(),""),"")</f>
        <v/>
      </c>
      <c r="X1201" s="8">
        <f>IF(AND(V1201=1,D1201=pas_data,E1201=pas_turno),10000-ROW(),"")</f>
        <v/>
      </c>
    </row>
    <row r="1202">
      <c r="A1202" s="3">
        <f>IF(D1202="","","TT-"&amp;TEXT(ROW()-1,"00000"))</f>
        <v/>
      </c>
      <c r="B1202" s="3">
        <f>IF(D1202="","",IF(V1202=0,"CONCLUÍDO",IF(D1202&lt;corte,"HISTÓRICO",IF(OR(AND(ISNUMBER(R1202),R1202&lt;TODAY()),AND(OR(N1202="PENDENTE",N1202="PARCIAL"),D1202&lt;TODAY()-1)),"CRÍTICO",IF(OR(AND(P1202&lt;&gt;"",S1202=""),AND(N1202="REALIZADO",M1202="PENDENTE"),AND(ISNUMBER(R1202),R1202=TODAY())),"ATENÇÃO",IF(N(K1202)=0,"PENDENTE","EM ANDAMENTO"))))))</f>
        <v/>
      </c>
      <c r="C1202" s="3">
        <f>IF(D1202="","",IF(V1202=0,"🟢 OK",IF(D1202&lt;corte,"⚪ HISTÓRICO (sem baixa)",IF(AND(ISNUMBER(R1202),R1202&lt;TODAY()),"🔴 PRAZO VENCIDO",IF(AND(OR(N1202="PENDENTE",N1202="PARCIAL"),D1202&lt;TODAY()-1),"🔴 EMBARQUE ATRASADO",IF(AND(N1202="REALIZADO",M1202="PENDENTE"),"🟡 EMBARCADO SEM FATURAR",IF(AND(P1202&lt;&gt;"",S1202="",OR(Q1202="",R1202="")),"🟡 PENDÊNCIA SEM RESPONSÁVEL/PRAZO",IF(AND(ISNUMBER(R1202),R1202=TODAY()),"🟡 VENCE HOJE",IF(AND(P1202&lt;&gt;"",S1202=""),"🟡 PENDÊNCIA ABERTA",IF(AND(N(J1202)&gt;0,N(K1202)&lt;J1202),"🟡 FALTA EXECUTAR",IF(OR(M1202="PENDENTE",M1202="PARCIAL"),"🟡 FATURAMENTO PENDENTE","🟡 EMBARQUE PENDENTE")))))))))))</f>
        <v/>
      </c>
      <c r="D1202" s="4" t="n"/>
      <c r="E1202" s="5" t="n"/>
      <c r="F1202" s="5" t="n"/>
      <c r="G1202" s="5" t="n"/>
      <c r="H1202" s="5" t="n"/>
      <c r="I1202" s="5" t="n"/>
      <c r="J1202" s="6" t="n"/>
      <c r="K1202" s="6" t="n"/>
      <c r="L1202" s="7">
        <f>IF(OR(D1202="",N(J1202)=0),"",MIN(1,N(K1202)/J1202))</f>
        <v/>
      </c>
      <c r="M1202" s="5" t="n"/>
      <c r="N1202" s="5" t="n"/>
      <c r="O1202" s="5" t="n"/>
      <c r="P1202" s="5" t="n"/>
      <c r="Q1202" s="5" t="n"/>
      <c r="R1202" s="4" t="n"/>
      <c r="S1202" s="4" t="n"/>
      <c r="T1202" s="5" t="n"/>
      <c r="U1202" s="8">
        <f>IF(AND(V1202=1,D1202&lt;&gt;""),IF(D1202&gt;=corte,TODAY()-D1202,""),"")</f>
        <v/>
      </c>
      <c r="V1202" s="8">
        <f>IF(D1202="",0,IF(OR(AND(P1202&lt;&gt;"",S1202=""),AND(N(J1202)&gt;0,N(K1202)&lt;J1202),OR(M1202="PENDENTE",M1202="PARCIAL"),OR(N1202="PENDENTE",N1202="PARCIAL")),1,0))</f>
        <v/>
      </c>
      <c r="W1202" s="8">
        <f>IF(AND(V1202=1,D1202&lt;&gt;""),IF(D1202&gt;=corte,(B1202="CRÍTICO")*1E9+(100000-D1202)*10000+10000-ROW(),""),"")</f>
        <v/>
      </c>
      <c r="X1202" s="8">
        <f>IF(AND(V1202=1,D1202=pas_data,E1202=pas_turno),10000-ROW(),"")</f>
        <v/>
      </c>
    </row>
    <row r="1203">
      <c r="A1203" s="3">
        <f>IF(D1203="","","TT-"&amp;TEXT(ROW()-1,"00000"))</f>
        <v/>
      </c>
      <c r="B1203" s="3">
        <f>IF(D1203="","",IF(V1203=0,"CONCLUÍDO",IF(D1203&lt;corte,"HISTÓRICO",IF(OR(AND(ISNUMBER(R1203),R1203&lt;TODAY()),AND(OR(N1203="PENDENTE",N1203="PARCIAL"),D1203&lt;TODAY()-1)),"CRÍTICO",IF(OR(AND(P1203&lt;&gt;"",S1203=""),AND(N1203="REALIZADO",M1203="PENDENTE"),AND(ISNUMBER(R1203),R1203=TODAY())),"ATENÇÃO",IF(N(K1203)=0,"PENDENTE","EM ANDAMENTO"))))))</f>
        <v/>
      </c>
      <c r="C1203" s="3">
        <f>IF(D1203="","",IF(V1203=0,"🟢 OK",IF(D1203&lt;corte,"⚪ HISTÓRICO (sem baixa)",IF(AND(ISNUMBER(R1203),R1203&lt;TODAY()),"🔴 PRAZO VENCIDO",IF(AND(OR(N1203="PENDENTE",N1203="PARCIAL"),D1203&lt;TODAY()-1),"🔴 EMBARQUE ATRASADO",IF(AND(N1203="REALIZADO",M1203="PENDENTE"),"🟡 EMBARCADO SEM FATURAR",IF(AND(P1203&lt;&gt;"",S1203="",OR(Q1203="",R1203="")),"🟡 PENDÊNCIA SEM RESPONSÁVEL/PRAZO",IF(AND(ISNUMBER(R1203),R1203=TODAY()),"🟡 VENCE HOJE",IF(AND(P1203&lt;&gt;"",S1203=""),"🟡 PENDÊNCIA ABERTA",IF(AND(N(J1203)&gt;0,N(K1203)&lt;J1203),"🟡 FALTA EXECUTAR",IF(OR(M1203="PENDENTE",M1203="PARCIAL"),"🟡 FATURAMENTO PENDENTE","🟡 EMBARQUE PENDENTE")))))))))))</f>
        <v/>
      </c>
      <c r="D1203" s="4" t="n"/>
      <c r="E1203" s="5" t="n"/>
      <c r="F1203" s="5" t="n"/>
      <c r="G1203" s="5" t="n"/>
      <c r="H1203" s="5" t="n"/>
      <c r="I1203" s="5" t="n"/>
      <c r="J1203" s="6" t="n"/>
      <c r="K1203" s="6" t="n"/>
      <c r="L1203" s="7">
        <f>IF(OR(D1203="",N(J1203)=0),"",MIN(1,N(K1203)/J1203))</f>
        <v/>
      </c>
      <c r="M1203" s="5" t="n"/>
      <c r="N1203" s="5" t="n"/>
      <c r="O1203" s="5" t="n"/>
      <c r="P1203" s="5" t="n"/>
      <c r="Q1203" s="5" t="n"/>
      <c r="R1203" s="4" t="n"/>
      <c r="S1203" s="4" t="n"/>
      <c r="T1203" s="5" t="n"/>
      <c r="U1203" s="8">
        <f>IF(AND(V1203=1,D1203&lt;&gt;""),IF(D1203&gt;=corte,TODAY()-D1203,""),"")</f>
        <v/>
      </c>
      <c r="V1203" s="8">
        <f>IF(D1203="",0,IF(OR(AND(P1203&lt;&gt;"",S1203=""),AND(N(J1203)&gt;0,N(K1203)&lt;J1203),OR(M1203="PENDENTE",M1203="PARCIAL"),OR(N1203="PENDENTE",N1203="PARCIAL")),1,0))</f>
        <v/>
      </c>
      <c r="W1203" s="8">
        <f>IF(AND(V1203=1,D1203&lt;&gt;""),IF(D1203&gt;=corte,(B1203="CRÍTICO")*1E9+(100000-D1203)*10000+10000-ROW(),""),"")</f>
        <v/>
      </c>
      <c r="X1203" s="8">
        <f>IF(AND(V1203=1,D1203=pas_data,E1203=pas_turno),10000-ROW(),"")</f>
        <v/>
      </c>
    </row>
    <row r="1204">
      <c r="A1204" s="3">
        <f>IF(D1204="","","TT-"&amp;TEXT(ROW()-1,"00000"))</f>
        <v/>
      </c>
      <c r="B1204" s="3">
        <f>IF(D1204="","",IF(V1204=0,"CONCLUÍDO",IF(D1204&lt;corte,"HISTÓRICO",IF(OR(AND(ISNUMBER(R1204),R1204&lt;TODAY()),AND(OR(N1204="PENDENTE",N1204="PARCIAL"),D1204&lt;TODAY()-1)),"CRÍTICO",IF(OR(AND(P1204&lt;&gt;"",S1204=""),AND(N1204="REALIZADO",M1204="PENDENTE"),AND(ISNUMBER(R1204),R1204=TODAY())),"ATENÇÃO",IF(N(K1204)=0,"PENDENTE","EM ANDAMENTO"))))))</f>
        <v/>
      </c>
      <c r="C1204" s="3">
        <f>IF(D1204="","",IF(V1204=0,"🟢 OK",IF(D1204&lt;corte,"⚪ HISTÓRICO (sem baixa)",IF(AND(ISNUMBER(R1204),R1204&lt;TODAY()),"🔴 PRAZO VENCIDO",IF(AND(OR(N1204="PENDENTE",N1204="PARCIAL"),D1204&lt;TODAY()-1),"🔴 EMBARQUE ATRASADO",IF(AND(N1204="REALIZADO",M1204="PENDENTE"),"🟡 EMBARCADO SEM FATURAR",IF(AND(P1204&lt;&gt;"",S1204="",OR(Q1204="",R1204="")),"🟡 PENDÊNCIA SEM RESPONSÁVEL/PRAZO",IF(AND(ISNUMBER(R1204),R1204=TODAY()),"🟡 VENCE HOJE",IF(AND(P1204&lt;&gt;"",S1204=""),"🟡 PENDÊNCIA ABERTA",IF(AND(N(J1204)&gt;0,N(K1204)&lt;J1204),"🟡 FALTA EXECUTAR",IF(OR(M1204="PENDENTE",M1204="PARCIAL"),"🟡 FATURAMENTO PENDENTE","🟡 EMBARQUE PENDENTE")))))))))))</f>
        <v/>
      </c>
      <c r="D1204" s="4" t="n"/>
      <c r="E1204" s="5" t="n"/>
      <c r="F1204" s="5" t="n"/>
      <c r="G1204" s="5" t="n"/>
      <c r="H1204" s="5" t="n"/>
      <c r="I1204" s="5" t="n"/>
      <c r="J1204" s="6" t="n"/>
      <c r="K1204" s="6" t="n"/>
      <c r="L1204" s="7">
        <f>IF(OR(D1204="",N(J1204)=0),"",MIN(1,N(K1204)/J1204))</f>
        <v/>
      </c>
      <c r="M1204" s="5" t="n"/>
      <c r="N1204" s="5" t="n"/>
      <c r="O1204" s="5" t="n"/>
      <c r="P1204" s="5" t="n"/>
      <c r="Q1204" s="5" t="n"/>
      <c r="R1204" s="4" t="n"/>
      <c r="S1204" s="4" t="n"/>
      <c r="T1204" s="5" t="n"/>
      <c r="U1204" s="8">
        <f>IF(AND(V1204=1,D1204&lt;&gt;""),IF(D1204&gt;=corte,TODAY()-D1204,""),"")</f>
        <v/>
      </c>
      <c r="V1204" s="8">
        <f>IF(D1204="",0,IF(OR(AND(P1204&lt;&gt;"",S1204=""),AND(N(J1204)&gt;0,N(K1204)&lt;J1204),OR(M1204="PENDENTE",M1204="PARCIAL"),OR(N1204="PENDENTE",N1204="PARCIAL")),1,0))</f>
        <v/>
      </c>
      <c r="W1204" s="8">
        <f>IF(AND(V1204=1,D1204&lt;&gt;""),IF(D1204&gt;=corte,(B1204="CRÍTICO")*1E9+(100000-D1204)*10000+10000-ROW(),""),"")</f>
        <v/>
      </c>
      <c r="X1204" s="8">
        <f>IF(AND(V1204=1,D1204=pas_data,E1204=pas_turno),10000-ROW(),"")</f>
        <v/>
      </c>
    </row>
    <row r="1205">
      <c r="A1205" s="3">
        <f>IF(D1205="","","TT-"&amp;TEXT(ROW()-1,"00000"))</f>
        <v/>
      </c>
      <c r="B1205" s="3">
        <f>IF(D1205="","",IF(V1205=0,"CONCLUÍDO",IF(D1205&lt;corte,"HISTÓRICO",IF(OR(AND(ISNUMBER(R1205),R1205&lt;TODAY()),AND(OR(N1205="PENDENTE",N1205="PARCIAL"),D1205&lt;TODAY()-1)),"CRÍTICO",IF(OR(AND(P1205&lt;&gt;"",S1205=""),AND(N1205="REALIZADO",M1205="PENDENTE"),AND(ISNUMBER(R1205),R1205=TODAY())),"ATENÇÃO",IF(N(K1205)=0,"PENDENTE","EM ANDAMENTO"))))))</f>
        <v/>
      </c>
      <c r="C1205" s="3">
        <f>IF(D1205="","",IF(V1205=0,"🟢 OK",IF(D1205&lt;corte,"⚪ HISTÓRICO (sem baixa)",IF(AND(ISNUMBER(R1205),R1205&lt;TODAY()),"🔴 PRAZO VENCIDO",IF(AND(OR(N1205="PENDENTE",N1205="PARCIAL"),D1205&lt;TODAY()-1),"🔴 EMBARQUE ATRASADO",IF(AND(N1205="REALIZADO",M1205="PENDENTE"),"🟡 EMBARCADO SEM FATURAR",IF(AND(P1205&lt;&gt;"",S1205="",OR(Q1205="",R1205="")),"🟡 PENDÊNCIA SEM RESPONSÁVEL/PRAZO",IF(AND(ISNUMBER(R1205),R1205=TODAY()),"🟡 VENCE HOJE",IF(AND(P1205&lt;&gt;"",S1205=""),"🟡 PENDÊNCIA ABERTA",IF(AND(N(J1205)&gt;0,N(K1205)&lt;J1205),"🟡 FALTA EXECUTAR",IF(OR(M1205="PENDENTE",M1205="PARCIAL"),"🟡 FATURAMENTO PENDENTE","🟡 EMBARQUE PENDENTE")))))))))))</f>
        <v/>
      </c>
      <c r="D1205" s="4" t="n"/>
      <c r="E1205" s="5" t="n"/>
      <c r="F1205" s="5" t="n"/>
      <c r="G1205" s="5" t="n"/>
      <c r="H1205" s="5" t="n"/>
      <c r="I1205" s="5" t="n"/>
      <c r="J1205" s="6" t="n"/>
      <c r="K1205" s="6" t="n"/>
      <c r="L1205" s="7">
        <f>IF(OR(D1205="",N(J1205)=0),"",MIN(1,N(K1205)/J1205))</f>
        <v/>
      </c>
      <c r="M1205" s="5" t="n"/>
      <c r="N1205" s="5" t="n"/>
      <c r="O1205" s="5" t="n"/>
      <c r="P1205" s="5" t="n"/>
      <c r="Q1205" s="5" t="n"/>
      <c r="R1205" s="4" t="n"/>
      <c r="S1205" s="4" t="n"/>
      <c r="T1205" s="5" t="n"/>
      <c r="U1205" s="8">
        <f>IF(AND(V1205=1,D1205&lt;&gt;""),IF(D1205&gt;=corte,TODAY()-D1205,""),"")</f>
        <v/>
      </c>
      <c r="V1205" s="8">
        <f>IF(D1205="",0,IF(OR(AND(P1205&lt;&gt;"",S1205=""),AND(N(J1205)&gt;0,N(K1205)&lt;J1205),OR(M1205="PENDENTE",M1205="PARCIAL"),OR(N1205="PENDENTE",N1205="PARCIAL")),1,0))</f>
        <v/>
      </c>
      <c r="W1205" s="8">
        <f>IF(AND(V1205=1,D1205&lt;&gt;""),IF(D1205&gt;=corte,(B1205="CRÍTICO")*1E9+(100000-D1205)*10000+10000-ROW(),""),"")</f>
        <v/>
      </c>
      <c r="X1205" s="8">
        <f>IF(AND(V1205=1,D1205=pas_data,E1205=pas_turno),10000-ROW(),"")</f>
        <v/>
      </c>
    </row>
    <row r="1206">
      <c r="A1206" s="3">
        <f>IF(D1206="","","TT-"&amp;TEXT(ROW()-1,"00000"))</f>
        <v/>
      </c>
      <c r="B1206" s="3">
        <f>IF(D1206="","",IF(V1206=0,"CONCLUÍDO",IF(D1206&lt;corte,"HISTÓRICO",IF(OR(AND(ISNUMBER(R1206),R1206&lt;TODAY()),AND(OR(N1206="PENDENTE",N1206="PARCIAL"),D1206&lt;TODAY()-1)),"CRÍTICO",IF(OR(AND(P1206&lt;&gt;"",S1206=""),AND(N1206="REALIZADO",M1206="PENDENTE"),AND(ISNUMBER(R1206),R1206=TODAY())),"ATENÇÃO",IF(N(K1206)=0,"PENDENTE","EM ANDAMENTO"))))))</f>
        <v/>
      </c>
      <c r="C1206" s="3">
        <f>IF(D1206="","",IF(V1206=0,"🟢 OK",IF(D1206&lt;corte,"⚪ HISTÓRICO (sem baixa)",IF(AND(ISNUMBER(R1206),R1206&lt;TODAY()),"🔴 PRAZO VENCIDO",IF(AND(OR(N1206="PENDENTE",N1206="PARCIAL"),D1206&lt;TODAY()-1),"🔴 EMBARQUE ATRASADO",IF(AND(N1206="REALIZADO",M1206="PENDENTE"),"🟡 EMBARCADO SEM FATURAR",IF(AND(P1206&lt;&gt;"",S1206="",OR(Q1206="",R1206="")),"🟡 PENDÊNCIA SEM RESPONSÁVEL/PRAZO",IF(AND(ISNUMBER(R1206),R1206=TODAY()),"🟡 VENCE HOJE",IF(AND(P1206&lt;&gt;"",S1206=""),"🟡 PENDÊNCIA ABERTA",IF(AND(N(J1206)&gt;0,N(K1206)&lt;J1206),"🟡 FALTA EXECUTAR",IF(OR(M1206="PENDENTE",M1206="PARCIAL"),"🟡 FATURAMENTO PENDENTE","🟡 EMBARQUE PENDENTE")))))))))))</f>
        <v/>
      </c>
      <c r="D1206" s="4" t="n"/>
      <c r="E1206" s="5" t="n"/>
      <c r="F1206" s="5" t="n"/>
      <c r="G1206" s="5" t="n"/>
      <c r="H1206" s="5" t="n"/>
      <c r="I1206" s="5" t="n"/>
      <c r="J1206" s="6" t="n"/>
      <c r="K1206" s="6" t="n"/>
      <c r="L1206" s="7">
        <f>IF(OR(D1206="",N(J1206)=0),"",MIN(1,N(K1206)/J1206))</f>
        <v/>
      </c>
      <c r="M1206" s="5" t="n"/>
      <c r="N1206" s="5" t="n"/>
      <c r="O1206" s="5" t="n"/>
      <c r="P1206" s="5" t="n"/>
      <c r="Q1206" s="5" t="n"/>
      <c r="R1206" s="4" t="n"/>
      <c r="S1206" s="4" t="n"/>
      <c r="T1206" s="5" t="n"/>
      <c r="U1206" s="8">
        <f>IF(AND(V1206=1,D1206&lt;&gt;""),IF(D1206&gt;=corte,TODAY()-D1206,""),"")</f>
        <v/>
      </c>
      <c r="V1206" s="8">
        <f>IF(D1206="",0,IF(OR(AND(P1206&lt;&gt;"",S1206=""),AND(N(J1206)&gt;0,N(K1206)&lt;J1206),OR(M1206="PENDENTE",M1206="PARCIAL"),OR(N1206="PENDENTE",N1206="PARCIAL")),1,0))</f>
        <v/>
      </c>
      <c r="W1206" s="8">
        <f>IF(AND(V1206=1,D1206&lt;&gt;""),IF(D1206&gt;=corte,(B1206="CRÍTICO")*1E9+(100000-D1206)*10000+10000-ROW(),""),"")</f>
        <v/>
      </c>
      <c r="X1206" s="8">
        <f>IF(AND(V1206=1,D1206=pas_data,E1206=pas_turno),10000-ROW(),"")</f>
        <v/>
      </c>
    </row>
    <row r="1207">
      <c r="A1207" s="3">
        <f>IF(D1207="","","TT-"&amp;TEXT(ROW()-1,"00000"))</f>
        <v/>
      </c>
      <c r="B1207" s="3">
        <f>IF(D1207="","",IF(V1207=0,"CONCLUÍDO",IF(D1207&lt;corte,"HISTÓRICO",IF(OR(AND(ISNUMBER(R1207),R1207&lt;TODAY()),AND(OR(N1207="PENDENTE",N1207="PARCIAL"),D1207&lt;TODAY()-1)),"CRÍTICO",IF(OR(AND(P1207&lt;&gt;"",S1207=""),AND(N1207="REALIZADO",M1207="PENDENTE"),AND(ISNUMBER(R1207),R1207=TODAY())),"ATENÇÃO",IF(N(K1207)=0,"PENDENTE","EM ANDAMENTO"))))))</f>
        <v/>
      </c>
      <c r="C1207" s="3">
        <f>IF(D1207="","",IF(V1207=0,"🟢 OK",IF(D1207&lt;corte,"⚪ HISTÓRICO (sem baixa)",IF(AND(ISNUMBER(R1207),R1207&lt;TODAY()),"🔴 PRAZO VENCIDO",IF(AND(OR(N1207="PENDENTE",N1207="PARCIAL"),D1207&lt;TODAY()-1),"🔴 EMBARQUE ATRASADO",IF(AND(N1207="REALIZADO",M1207="PENDENTE"),"🟡 EMBARCADO SEM FATURAR",IF(AND(P1207&lt;&gt;"",S1207="",OR(Q1207="",R1207="")),"🟡 PENDÊNCIA SEM RESPONSÁVEL/PRAZO",IF(AND(ISNUMBER(R1207),R1207=TODAY()),"🟡 VENCE HOJE",IF(AND(P1207&lt;&gt;"",S1207=""),"🟡 PENDÊNCIA ABERTA",IF(AND(N(J1207)&gt;0,N(K1207)&lt;J1207),"🟡 FALTA EXECUTAR",IF(OR(M1207="PENDENTE",M1207="PARCIAL"),"🟡 FATURAMENTO PENDENTE","🟡 EMBARQUE PENDENTE")))))))))))</f>
        <v/>
      </c>
      <c r="D1207" s="4" t="n"/>
      <c r="E1207" s="5" t="n"/>
      <c r="F1207" s="5" t="n"/>
      <c r="G1207" s="5" t="n"/>
      <c r="H1207" s="5" t="n"/>
      <c r="I1207" s="5" t="n"/>
      <c r="J1207" s="6" t="n"/>
      <c r="K1207" s="6" t="n"/>
      <c r="L1207" s="7">
        <f>IF(OR(D1207="",N(J1207)=0),"",MIN(1,N(K1207)/J1207))</f>
        <v/>
      </c>
      <c r="M1207" s="5" t="n"/>
      <c r="N1207" s="5" t="n"/>
      <c r="O1207" s="5" t="n"/>
      <c r="P1207" s="5" t="n"/>
      <c r="Q1207" s="5" t="n"/>
      <c r="R1207" s="4" t="n"/>
      <c r="S1207" s="4" t="n"/>
      <c r="T1207" s="5" t="n"/>
      <c r="U1207" s="8">
        <f>IF(AND(V1207=1,D1207&lt;&gt;""),IF(D1207&gt;=corte,TODAY()-D1207,""),"")</f>
        <v/>
      </c>
      <c r="V1207" s="8">
        <f>IF(D1207="",0,IF(OR(AND(P1207&lt;&gt;"",S1207=""),AND(N(J1207)&gt;0,N(K1207)&lt;J1207),OR(M1207="PENDENTE",M1207="PARCIAL"),OR(N1207="PENDENTE",N1207="PARCIAL")),1,0))</f>
        <v/>
      </c>
      <c r="W1207" s="8">
        <f>IF(AND(V1207=1,D1207&lt;&gt;""),IF(D1207&gt;=corte,(B1207="CRÍTICO")*1E9+(100000-D1207)*10000+10000-ROW(),""),"")</f>
        <v/>
      </c>
      <c r="X1207" s="8">
        <f>IF(AND(V1207=1,D1207=pas_data,E1207=pas_turno),10000-ROW(),"")</f>
        <v/>
      </c>
    </row>
    <row r="1208">
      <c r="A1208" s="3">
        <f>IF(D1208="","","TT-"&amp;TEXT(ROW()-1,"00000"))</f>
        <v/>
      </c>
      <c r="B1208" s="3">
        <f>IF(D1208="","",IF(V1208=0,"CONCLUÍDO",IF(D1208&lt;corte,"HISTÓRICO",IF(OR(AND(ISNUMBER(R1208),R1208&lt;TODAY()),AND(OR(N1208="PENDENTE",N1208="PARCIAL"),D1208&lt;TODAY()-1)),"CRÍTICO",IF(OR(AND(P1208&lt;&gt;"",S1208=""),AND(N1208="REALIZADO",M1208="PENDENTE"),AND(ISNUMBER(R1208),R1208=TODAY())),"ATENÇÃO",IF(N(K1208)=0,"PENDENTE","EM ANDAMENTO"))))))</f>
        <v/>
      </c>
      <c r="C1208" s="3">
        <f>IF(D1208="","",IF(V1208=0,"🟢 OK",IF(D1208&lt;corte,"⚪ HISTÓRICO (sem baixa)",IF(AND(ISNUMBER(R1208),R1208&lt;TODAY()),"🔴 PRAZO VENCIDO",IF(AND(OR(N1208="PENDENTE",N1208="PARCIAL"),D1208&lt;TODAY()-1),"🔴 EMBARQUE ATRASADO",IF(AND(N1208="REALIZADO",M1208="PENDENTE"),"🟡 EMBARCADO SEM FATURAR",IF(AND(P1208&lt;&gt;"",S1208="",OR(Q1208="",R1208="")),"🟡 PENDÊNCIA SEM RESPONSÁVEL/PRAZO",IF(AND(ISNUMBER(R1208),R1208=TODAY()),"🟡 VENCE HOJE",IF(AND(P1208&lt;&gt;"",S1208=""),"🟡 PENDÊNCIA ABERTA",IF(AND(N(J1208)&gt;0,N(K1208)&lt;J1208),"🟡 FALTA EXECUTAR",IF(OR(M1208="PENDENTE",M1208="PARCIAL"),"🟡 FATURAMENTO PENDENTE","🟡 EMBARQUE PENDENTE")))))))))))</f>
        <v/>
      </c>
      <c r="D1208" s="4" t="n"/>
      <c r="E1208" s="5" t="n"/>
      <c r="F1208" s="5" t="n"/>
      <c r="G1208" s="5" t="n"/>
      <c r="H1208" s="5" t="n"/>
      <c r="I1208" s="5" t="n"/>
      <c r="J1208" s="6" t="n"/>
      <c r="K1208" s="6" t="n"/>
      <c r="L1208" s="7">
        <f>IF(OR(D1208="",N(J1208)=0),"",MIN(1,N(K1208)/J1208))</f>
        <v/>
      </c>
      <c r="M1208" s="5" t="n"/>
      <c r="N1208" s="5" t="n"/>
      <c r="O1208" s="5" t="n"/>
      <c r="P1208" s="5" t="n"/>
      <c r="Q1208" s="5" t="n"/>
      <c r="R1208" s="4" t="n"/>
      <c r="S1208" s="4" t="n"/>
      <c r="T1208" s="5" t="n"/>
      <c r="U1208" s="8">
        <f>IF(AND(V1208=1,D1208&lt;&gt;""),IF(D1208&gt;=corte,TODAY()-D1208,""),"")</f>
        <v/>
      </c>
      <c r="V1208" s="8">
        <f>IF(D1208="",0,IF(OR(AND(P1208&lt;&gt;"",S1208=""),AND(N(J1208)&gt;0,N(K1208)&lt;J1208),OR(M1208="PENDENTE",M1208="PARCIAL"),OR(N1208="PENDENTE",N1208="PARCIAL")),1,0))</f>
        <v/>
      </c>
      <c r="W1208" s="8">
        <f>IF(AND(V1208=1,D1208&lt;&gt;""),IF(D1208&gt;=corte,(B1208="CRÍTICO")*1E9+(100000-D1208)*10000+10000-ROW(),""),"")</f>
        <v/>
      </c>
      <c r="X1208" s="8">
        <f>IF(AND(V1208=1,D1208=pas_data,E1208=pas_turno),10000-ROW(),"")</f>
        <v/>
      </c>
    </row>
    <row r="1209">
      <c r="A1209" s="3">
        <f>IF(D1209="","","TT-"&amp;TEXT(ROW()-1,"00000"))</f>
        <v/>
      </c>
      <c r="B1209" s="3">
        <f>IF(D1209="","",IF(V1209=0,"CONCLUÍDO",IF(D1209&lt;corte,"HISTÓRICO",IF(OR(AND(ISNUMBER(R1209),R1209&lt;TODAY()),AND(OR(N1209="PENDENTE",N1209="PARCIAL"),D1209&lt;TODAY()-1)),"CRÍTICO",IF(OR(AND(P1209&lt;&gt;"",S1209=""),AND(N1209="REALIZADO",M1209="PENDENTE"),AND(ISNUMBER(R1209),R1209=TODAY())),"ATENÇÃO",IF(N(K1209)=0,"PENDENTE","EM ANDAMENTO"))))))</f>
        <v/>
      </c>
      <c r="C1209" s="3">
        <f>IF(D1209="","",IF(V1209=0,"🟢 OK",IF(D1209&lt;corte,"⚪ HISTÓRICO (sem baixa)",IF(AND(ISNUMBER(R1209),R1209&lt;TODAY()),"🔴 PRAZO VENCIDO",IF(AND(OR(N1209="PENDENTE",N1209="PARCIAL"),D1209&lt;TODAY()-1),"🔴 EMBARQUE ATRASADO",IF(AND(N1209="REALIZADO",M1209="PENDENTE"),"🟡 EMBARCADO SEM FATURAR",IF(AND(P1209&lt;&gt;"",S1209="",OR(Q1209="",R1209="")),"🟡 PENDÊNCIA SEM RESPONSÁVEL/PRAZO",IF(AND(ISNUMBER(R1209),R1209=TODAY()),"🟡 VENCE HOJE",IF(AND(P1209&lt;&gt;"",S1209=""),"🟡 PENDÊNCIA ABERTA",IF(AND(N(J1209)&gt;0,N(K1209)&lt;J1209),"🟡 FALTA EXECUTAR",IF(OR(M1209="PENDENTE",M1209="PARCIAL"),"🟡 FATURAMENTO PENDENTE","🟡 EMBARQUE PENDENTE")))))))))))</f>
        <v/>
      </c>
      <c r="D1209" s="4" t="n"/>
      <c r="E1209" s="5" t="n"/>
      <c r="F1209" s="5" t="n"/>
      <c r="G1209" s="5" t="n"/>
      <c r="H1209" s="5" t="n"/>
      <c r="I1209" s="5" t="n"/>
      <c r="J1209" s="6" t="n"/>
      <c r="K1209" s="6" t="n"/>
      <c r="L1209" s="7">
        <f>IF(OR(D1209="",N(J1209)=0),"",MIN(1,N(K1209)/J1209))</f>
        <v/>
      </c>
      <c r="M1209" s="5" t="n"/>
      <c r="N1209" s="5" t="n"/>
      <c r="O1209" s="5" t="n"/>
      <c r="P1209" s="5" t="n"/>
      <c r="Q1209" s="5" t="n"/>
      <c r="R1209" s="4" t="n"/>
      <c r="S1209" s="4" t="n"/>
      <c r="T1209" s="5" t="n"/>
      <c r="U1209" s="8">
        <f>IF(AND(V1209=1,D1209&lt;&gt;""),IF(D1209&gt;=corte,TODAY()-D1209,""),"")</f>
        <v/>
      </c>
      <c r="V1209" s="8">
        <f>IF(D1209="",0,IF(OR(AND(P1209&lt;&gt;"",S1209=""),AND(N(J1209)&gt;0,N(K1209)&lt;J1209),OR(M1209="PENDENTE",M1209="PARCIAL"),OR(N1209="PENDENTE",N1209="PARCIAL")),1,0))</f>
        <v/>
      </c>
      <c r="W1209" s="8">
        <f>IF(AND(V1209=1,D1209&lt;&gt;""),IF(D1209&gt;=corte,(B1209="CRÍTICO")*1E9+(100000-D1209)*10000+10000-ROW(),""),"")</f>
        <v/>
      </c>
      <c r="X1209" s="8">
        <f>IF(AND(V1209=1,D1209=pas_data,E1209=pas_turno),10000-ROW(),"")</f>
        <v/>
      </c>
    </row>
    <row r="1210">
      <c r="A1210" s="3">
        <f>IF(D1210="","","TT-"&amp;TEXT(ROW()-1,"00000"))</f>
        <v/>
      </c>
      <c r="B1210" s="3">
        <f>IF(D1210="","",IF(V1210=0,"CONCLUÍDO",IF(D1210&lt;corte,"HISTÓRICO",IF(OR(AND(ISNUMBER(R1210),R1210&lt;TODAY()),AND(OR(N1210="PENDENTE",N1210="PARCIAL"),D1210&lt;TODAY()-1)),"CRÍTICO",IF(OR(AND(P1210&lt;&gt;"",S1210=""),AND(N1210="REALIZADO",M1210="PENDENTE"),AND(ISNUMBER(R1210),R1210=TODAY())),"ATENÇÃO",IF(N(K1210)=0,"PENDENTE","EM ANDAMENTO"))))))</f>
        <v/>
      </c>
      <c r="C1210" s="3">
        <f>IF(D1210="","",IF(V1210=0,"🟢 OK",IF(D1210&lt;corte,"⚪ HISTÓRICO (sem baixa)",IF(AND(ISNUMBER(R1210),R1210&lt;TODAY()),"🔴 PRAZO VENCIDO",IF(AND(OR(N1210="PENDENTE",N1210="PARCIAL"),D1210&lt;TODAY()-1),"🔴 EMBARQUE ATRASADO",IF(AND(N1210="REALIZADO",M1210="PENDENTE"),"🟡 EMBARCADO SEM FATURAR",IF(AND(P1210&lt;&gt;"",S1210="",OR(Q1210="",R1210="")),"🟡 PENDÊNCIA SEM RESPONSÁVEL/PRAZO",IF(AND(ISNUMBER(R1210),R1210=TODAY()),"🟡 VENCE HOJE",IF(AND(P1210&lt;&gt;"",S1210=""),"🟡 PENDÊNCIA ABERTA",IF(AND(N(J1210)&gt;0,N(K1210)&lt;J1210),"🟡 FALTA EXECUTAR",IF(OR(M1210="PENDENTE",M1210="PARCIAL"),"🟡 FATURAMENTO PENDENTE","🟡 EMBARQUE PENDENTE")))))))))))</f>
        <v/>
      </c>
      <c r="D1210" s="4" t="n"/>
      <c r="E1210" s="5" t="n"/>
      <c r="F1210" s="5" t="n"/>
      <c r="G1210" s="5" t="n"/>
      <c r="H1210" s="5" t="n"/>
      <c r="I1210" s="5" t="n"/>
      <c r="J1210" s="6" t="n"/>
      <c r="K1210" s="6" t="n"/>
      <c r="L1210" s="7">
        <f>IF(OR(D1210="",N(J1210)=0),"",MIN(1,N(K1210)/J1210))</f>
        <v/>
      </c>
      <c r="M1210" s="5" t="n"/>
      <c r="N1210" s="5" t="n"/>
      <c r="O1210" s="5" t="n"/>
      <c r="P1210" s="5" t="n"/>
      <c r="Q1210" s="5" t="n"/>
      <c r="R1210" s="4" t="n"/>
      <c r="S1210" s="4" t="n"/>
      <c r="T1210" s="5" t="n"/>
      <c r="U1210" s="8">
        <f>IF(AND(V1210=1,D1210&lt;&gt;""),IF(D1210&gt;=corte,TODAY()-D1210,""),"")</f>
        <v/>
      </c>
      <c r="V1210" s="8">
        <f>IF(D1210="",0,IF(OR(AND(P1210&lt;&gt;"",S1210=""),AND(N(J1210)&gt;0,N(K1210)&lt;J1210),OR(M1210="PENDENTE",M1210="PARCIAL"),OR(N1210="PENDENTE",N1210="PARCIAL")),1,0))</f>
        <v/>
      </c>
      <c r="W1210" s="8">
        <f>IF(AND(V1210=1,D1210&lt;&gt;""),IF(D1210&gt;=corte,(B1210="CRÍTICO")*1E9+(100000-D1210)*10000+10000-ROW(),""),"")</f>
        <v/>
      </c>
      <c r="X1210" s="8">
        <f>IF(AND(V1210=1,D1210=pas_data,E1210=pas_turno),10000-ROW(),"")</f>
        <v/>
      </c>
    </row>
    <row r="1211">
      <c r="A1211" s="3">
        <f>IF(D1211="","","TT-"&amp;TEXT(ROW()-1,"00000"))</f>
        <v/>
      </c>
      <c r="B1211" s="3">
        <f>IF(D1211="","",IF(V1211=0,"CONCLUÍDO",IF(D1211&lt;corte,"HISTÓRICO",IF(OR(AND(ISNUMBER(R1211),R1211&lt;TODAY()),AND(OR(N1211="PENDENTE",N1211="PARCIAL"),D1211&lt;TODAY()-1)),"CRÍTICO",IF(OR(AND(P1211&lt;&gt;"",S1211=""),AND(N1211="REALIZADO",M1211="PENDENTE"),AND(ISNUMBER(R1211),R1211=TODAY())),"ATENÇÃO",IF(N(K1211)=0,"PENDENTE","EM ANDAMENTO"))))))</f>
        <v/>
      </c>
      <c r="C1211" s="3">
        <f>IF(D1211="","",IF(V1211=0,"🟢 OK",IF(D1211&lt;corte,"⚪ HISTÓRICO (sem baixa)",IF(AND(ISNUMBER(R1211),R1211&lt;TODAY()),"🔴 PRAZO VENCIDO",IF(AND(OR(N1211="PENDENTE",N1211="PARCIAL"),D1211&lt;TODAY()-1),"🔴 EMBARQUE ATRASADO",IF(AND(N1211="REALIZADO",M1211="PENDENTE"),"🟡 EMBARCADO SEM FATURAR",IF(AND(P1211&lt;&gt;"",S1211="",OR(Q1211="",R1211="")),"🟡 PENDÊNCIA SEM RESPONSÁVEL/PRAZO",IF(AND(ISNUMBER(R1211),R1211=TODAY()),"🟡 VENCE HOJE",IF(AND(P1211&lt;&gt;"",S1211=""),"🟡 PENDÊNCIA ABERTA",IF(AND(N(J1211)&gt;0,N(K1211)&lt;J1211),"🟡 FALTA EXECUTAR",IF(OR(M1211="PENDENTE",M1211="PARCIAL"),"🟡 FATURAMENTO PENDENTE","🟡 EMBARQUE PENDENTE")))))))))))</f>
        <v/>
      </c>
      <c r="D1211" s="4" t="n"/>
      <c r="E1211" s="5" t="n"/>
      <c r="F1211" s="5" t="n"/>
      <c r="G1211" s="5" t="n"/>
      <c r="H1211" s="5" t="n"/>
      <c r="I1211" s="5" t="n"/>
      <c r="J1211" s="6" t="n"/>
      <c r="K1211" s="6" t="n"/>
      <c r="L1211" s="7">
        <f>IF(OR(D1211="",N(J1211)=0),"",MIN(1,N(K1211)/J1211))</f>
        <v/>
      </c>
      <c r="M1211" s="5" t="n"/>
      <c r="N1211" s="5" t="n"/>
      <c r="O1211" s="5" t="n"/>
      <c r="P1211" s="5" t="n"/>
      <c r="Q1211" s="5" t="n"/>
      <c r="R1211" s="4" t="n"/>
      <c r="S1211" s="4" t="n"/>
      <c r="T1211" s="5" t="n"/>
      <c r="U1211" s="8">
        <f>IF(AND(V1211=1,D1211&lt;&gt;""),IF(D1211&gt;=corte,TODAY()-D1211,""),"")</f>
        <v/>
      </c>
      <c r="V1211" s="8">
        <f>IF(D1211="",0,IF(OR(AND(P1211&lt;&gt;"",S1211=""),AND(N(J1211)&gt;0,N(K1211)&lt;J1211),OR(M1211="PENDENTE",M1211="PARCIAL"),OR(N1211="PENDENTE",N1211="PARCIAL")),1,0))</f>
        <v/>
      </c>
      <c r="W1211" s="8">
        <f>IF(AND(V1211=1,D1211&lt;&gt;""),IF(D1211&gt;=corte,(B1211="CRÍTICO")*1E9+(100000-D1211)*10000+10000-ROW(),""),"")</f>
        <v/>
      </c>
      <c r="X1211" s="8">
        <f>IF(AND(V1211=1,D1211=pas_data,E1211=pas_turno),10000-ROW(),"")</f>
        <v/>
      </c>
    </row>
    <row r="1212">
      <c r="A1212" s="3">
        <f>IF(D1212="","","TT-"&amp;TEXT(ROW()-1,"00000"))</f>
        <v/>
      </c>
      <c r="B1212" s="3">
        <f>IF(D1212="","",IF(V1212=0,"CONCLUÍDO",IF(D1212&lt;corte,"HISTÓRICO",IF(OR(AND(ISNUMBER(R1212),R1212&lt;TODAY()),AND(OR(N1212="PENDENTE",N1212="PARCIAL"),D1212&lt;TODAY()-1)),"CRÍTICO",IF(OR(AND(P1212&lt;&gt;"",S1212=""),AND(N1212="REALIZADO",M1212="PENDENTE"),AND(ISNUMBER(R1212),R1212=TODAY())),"ATENÇÃO",IF(N(K1212)=0,"PENDENTE","EM ANDAMENTO"))))))</f>
        <v/>
      </c>
      <c r="C1212" s="3">
        <f>IF(D1212="","",IF(V1212=0,"🟢 OK",IF(D1212&lt;corte,"⚪ HISTÓRICO (sem baixa)",IF(AND(ISNUMBER(R1212),R1212&lt;TODAY()),"🔴 PRAZO VENCIDO",IF(AND(OR(N1212="PENDENTE",N1212="PARCIAL"),D1212&lt;TODAY()-1),"🔴 EMBARQUE ATRASADO",IF(AND(N1212="REALIZADO",M1212="PENDENTE"),"🟡 EMBARCADO SEM FATURAR",IF(AND(P1212&lt;&gt;"",S1212="",OR(Q1212="",R1212="")),"🟡 PENDÊNCIA SEM RESPONSÁVEL/PRAZO",IF(AND(ISNUMBER(R1212),R1212=TODAY()),"🟡 VENCE HOJE",IF(AND(P1212&lt;&gt;"",S1212=""),"🟡 PENDÊNCIA ABERTA",IF(AND(N(J1212)&gt;0,N(K1212)&lt;J1212),"🟡 FALTA EXECUTAR",IF(OR(M1212="PENDENTE",M1212="PARCIAL"),"🟡 FATURAMENTO PENDENTE","🟡 EMBARQUE PENDENTE")))))))))))</f>
        <v/>
      </c>
      <c r="D1212" s="4" t="n"/>
      <c r="E1212" s="5" t="n"/>
      <c r="F1212" s="5" t="n"/>
      <c r="G1212" s="5" t="n"/>
      <c r="H1212" s="5" t="n"/>
      <c r="I1212" s="5" t="n"/>
      <c r="J1212" s="6" t="n"/>
      <c r="K1212" s="6" t="n"/>
      <c r="L1212" s="7">
        <f>IF(OR(D1212="",N(J1212)=0),"",MIN(1,N(K1212)/J1212))</f>
        <v/>
      </c>
      <c r="M1212" s="5" t="n"/>
      <c r="N1212" s="5" t="n"/>
      <c r="O1212" s="5" t="n"/>
      <c r="P1212" s="5" t="n"/>
      <c r="Q1212" s="5" t="n"/>
      <c r="R1212" s="4" t="n"/>
      <c r="S1212" s="4" t="n"/>
      <c r="T1212" s="5" t="n"/>
      <c r="U1212" s="8">
        <f>IF(AND(V1212=1,D1212&lt;&gt;""),IF(D1212&gt;=corte,TODAY()-D1212,""),"")</f>
        <v/>
      </c>
      <c r="V1212" s="8">
        <f>IF(D1212="",0,IF(OR(AND(P1212&lt;&gt;"",S1212=""),AND(N(J1212)&gt;0,N(K1212)&lt;J1212),OR(M1212="PENDENTE",M1212="PARCIAL"),OR(N1212="PENDENTE",N1212="PARCIAL")),1,0))</f>
        <v/>
      </c>
      <c r="W1212" s="8">
        <f>IF(AND(V1212=1,D1212&lt;&gt;""),IF(D1212&gt;=corte,(B1212="CRÍTICO")*1E9+(100000-D1212)*10000+10000-ROW(),""),"")</f>
        <v/>
      </c>
      <c r="X1212" s="8">
        <f>IF(AND(V1212=1,D1212=pas_data,E1212=pas_turno),10000-ROW(),"")</f>
        <v/>
      </c>
    </row>
    <row r="1213">
      <c r="A1213" s="3">
        <f>IF(D1213="","","TT-"&amp;TEXT(ROW()-1,"00000"))</f>
        <v/>
      </c>
      <c r="B1213" s="3">
        <f>IF(D1213="","",IF(V1213=0,"CONCLUÍDO",IF(D1213&lt;corte,"HISTÓRICO",IF(OR(AND(ISNUMBER(R1213),R1213&lt;TODAY()),AND(OR(N1213="PENDENTE",N1213="PARCIAL"),D1213&lt;TODAY()-1)),"CRÍTICO",IF(OR(AND(P1213&lt;&gt;"",S1213=""),AND(N1213="REALIZADO",M1213="PENDENTE"),AND(ISNUMBER(R1213),R1213=TODAY())),"ATENÇÃO",IF(N(K1213)=0,"PENDENTE","EM ANDAMENTO"))))))</f>
        <v/>
      </c>
      <c r="C1213" s="3">
        <f>IF(D1213="","",IF(V1213=0,"🟢 OK",IF(D1213&lt;corte,"⚪ HISTÓRICO (sem baixa)",IF(AND(ISNUMBER(R1213),R1213&lt;TODAY()),"🔴 PRAZO VENCIDO",IF(AND(OR(N1213="PENDENTE",N1213="PARCIAL"),D1213&lt;TODAY()-1),"🔴 EMBARQUE ATRASADO",IF(AND(N1213="REALIZADO",M1213="PENDENTE"),"🟡 EMBARCADO SEM FATURAR",IF(AND(P1213&lt;&gt;"",S1213="",OR(Q1213="",R1213="")),"🟡 PENDÊNCIA SEM RESPONSÁVEL/PRAZO",IF(AND(ISNUMBER(R1213),R1213=TODAY()),"🟡 VENCE HOJE",IF(AND(P1213&lt;&gt;"",S1213=""),"🟡 PENDÊNCIA ABERTA",IF(AND(N(J1213)&gt;0,N(K1213)&lt;J1213),"🟡 FALTA EXECUTAR",IF(OR(M1213="PENDENTE",M1213="PARCIAL"),"🟡 FATURAMENTO PENDENTE","🟡 EMBARQUE PENDENTE")))))))))))</f>
        <v/>
      </c>
      <c r="D1213" s="4" t="n"/>
      <c r="E1213" s="5" t="n"/>
      <c r="F1213" s="5" t="n"/>
      <c r="G1213" s="5" t="n"/>
      <c r="H1213" s="5" t="n"/>
      <c r="I1213" s="5" t="n"/>
      <c r="J1213" s="6" t="n"/>
      <c r="K1213" s="6" t="n"/>
      <c r="L1213" s="7">
        <f>IF(OR(D1213="",N(J1213)=0),"",MIN(1,N(K1213)/J1213))</f>
        <v/>
      </c>
      <c r="M1213" s="5" t="n"/>
      <c r="N1213" s="5" t="n"/>
      <c r="O1213" s="5" t="n"/>
      <c r="P1213" s="5" t="n"/>
      <c r="Q1213" s="5" t="n"/>
      <c r="R1213" s="4" t="n"/>
      <c r="S1213" s="4" t="n"/>
      <c r="T1213" s="5" t="n"/>
      <c r="U1213" s="8">
        <f>IF(AND(V1213=1,D1213&lt;&gt;""),IF(D1213&gt;=corte,TODAY()-D1213,""),"")</f>
        <v/>
      </c>
      <c r="V1213" s="8">
        <f>IF(D1213="",0,IF(OR(AND(P1213&lt;&gt;"",S1213=""),AND(N(J1213)&gt;0,N(K1213)&lt;J1213),OR(M1213="PENDENTE",M1213="PARCIAL"),OR(N1213="PENDENTE",N1213="PARCIAL")),1,0))</f>
        <v/>
      </c>
      <c r="W1213" s="8">
        <f>IF(AND(V1213=1,D1213&lt;&gt;""),IF(D1213&gt;=corte,(B1213="CRÍTICO")*1E9+(100000-D1213)*10000+10000-ROW(),""),"")</f>
        <v/>
      </c>
      <c r="X1213" s="8">
        <f>IF(AND(V1213=1,D1213=pas_data,E1213=pas_turno),10000-ROW(),"")</f>
        <v/>
      </c>
    </row>
    <row r="1214">
      <c r="A1214" s="3">
        <f>IF(D1214="","","TT-"&amp;TEXT(ROW()-1,"00000"))</f>
        <v/>
      </c>
      <c r="B1214" s="3">
        <f>IF(D1214="","",IF(V1214=0,"CONCLUÍDO",IF(D1214&lt;corte,"HISTÓRICO",IF(OR(AND(ISNUMBER(R1214),R1214&lt;TODAY()),AND(OR(N1214="PENDENTE",N1214="PARCIAL"),D1214&lt;TODAY()-1)),"CRÍTICO",IF(OR(AND(P1214&lt;&gt;"",S1214=""),AND(N1214="REALIZADO",M1214="PENDENTE"),AND(ISNUMBER(R1214),R1214=TODAY())),"ATENÇÃO",IF(N(K1214)=0,"PENDENTE","EM ANDAMENTO"))))))</f>
        <v/>
      </c>
      <c r="C1214" s="3">
        <f>IF(D1214="","",IF(V1214=0,"🟢 OK",IF(D1214&lt;corte,"⚪ HISTÓRICO (sem baixa)",IF(AND(ISNUMBER(R1214),R1214&lt;TODAY()),"🔴 PRAZO VENCIDO",IF(AND(OR(N1214="PENDENTE",N1214="PARCIAL"),D1214&lt;TODAY()-1),"🔴 EMBARQUE ATRASADO",IF(AND(N1214="REALIZADO",M1214="PENDENTE"),"🟡 EMBARCADO SEM FATURAR",IF(AND(P1214&lt;&gt;"",S1214="",OR(Q1214="",R1214="")),"🟡 PENDÊNCIA SEM RESPONSÁVEL/PRAZO",IF(AND(ISNUMBER(R1214),R1214=TODAY()),"🟡 VENCE HOJE",IF(AND(P1214&lt;&gt;"",S1214=""),"🟡 PENDÊNCIA ABERTA",IF(AND(N(J1214)&gt;0,N(K1214)&lt;J1214),"🟡 FALTA EXECUTAR",IF(OR(M1214="PENDENTE",M1214="PARCIAL"),"🟡 FATURAMENTO PENDENTE","🟡 EMBARQUE PENDENTE")))))))))))</f>
        <v/>
      </c>
      <c r="D1214" s="4" t="n"/>
      <c r="E1214" s="5" t="n"/>
      <c r="F1214" s="5" t="n"/>
      <c r="G1214" s="5" t="n"/>
      <c r="H1214" s="5" t="n"/>
      <c r="I1214" s="5" t="n"/>
      <c r="J1214" s="6" t="n"/>
      <c r="K1214" s="6" t="n"/>
      <c r="L1214" s="7">
        <f>IF(OR(D1214="",N(J1214)=0),"",MIN(1,N(K1214)/J1214))</f>
        <v/>
      </c>
      <c r="M1214" s="5" t="n"/>
      <c r="N1214" s="5" t="n"/>
      <c r="O1214" s="5" t="n"/>
      <c r="P1214" s="5" t="n"/>
      <c r="Q1214" s="5" t="n"/>
      <c r="R1214" s="4" t="n"/>
      <c r="S1214" s="4" t="n"/>
      <c r="T1214" s="5" t="n"/>
      <c r="U1214" s="8">
        <f>IF(AND(V1214=1,D1214&lt;&gt;""),IF(D1214&gt;=corte,TODAY()-D1214,""),"")</f>
        <v/>
      </c>
      <c r="V1214" s="8">
        <f>IF(D1214="",0,IF(OR(AND(P1214&lt;&gt;"",S1214=""),AND(N(J1214)&gt;0,N(K1214)&lt;J1214),OR(M1214="PENDENTE",M1214="PARCIAL"),OR(N1214="PENDENTE",N1214="PARCIAL")),1,0))</f>
        <v/>
      </c>
      <c r="W1214" s="8">
        <f>IF(AND(V1214=1,D1214&lt;&gt;""),IF(D1214&gt;=corte,(B1214="CRÍTICO")*1E9+(100000-D1214)*10000+10000-ROW(),""),"")</f>
        <v/>
      </c>
      <c r="X1214" s="8">
        <f>IF(AND(V1214=1,D1214=pas_data,E1214=pas_turno),10000-ROW(),"")</f>
        <v/>
      </c>
    </row>
    <row r="1215">
      <c r="A1215" s="3">
        <f>IF(D1215="","","TT-"&amp;TEXT(ROW()-1,"00000"))</f>
        <v/>
      </c>
      <c r="B1215" s="3">
        <f>IF(D1215="","",IF(V1215=0,"CONCLUÍDO",IF(D1215&lt;corte,"HISTÓRICO",IF(OR(AND(ISNUMBER(R1215),R1215&lt;TODAY()),AND(OR(N1215="PENDENTE",N1215="PARCIAL"),D1215&lt;TODAY()-1)),"CRÍTICO",IF(OR(AND(P1215&lt;&gt;"",S1215=""),AND(N1215="REALIZADO",M1215="PENDENTE"),AND(ISNUMBER(R1215),R1215=TODAY())),"ATENÇÃO",IF(N(K1215)=0,"PENDENTE","EM ANDAMENTO"))))))</f>
        <v/>
      </c>
      <c r="C1215" s="3">
        <f>IF(D1215="","",IF(V1215=0,"🟢 OK",IF(D1215&lt;corte,"⚪ HISTÓRICO (sem baixa)",IF(AND(ISNUMBER(R1215),R1215&lt;TODAY()),"🔴 PRAZO VENCIDO",IF(AND(OR(N1215="PENDENTE",N1215="PARCIAL"),D1215&lt;TODAY()-1),"🔴 EMBARQUE ATRASADO",IF(AND(N1215="REALIZADO",M1215="PENDENTE"),"🟡 EMBARCADO SEM FATURAR",IF(AND(P1215&lt;&gt;"",S1215="",OR(Q1215="",R1215="")),"🟡 PENDÊNCIA SEM RESPONSÁVEL/PRAZO",IF(AND(ISNUMBER(R1215),R1215=TODAY()),"🟡 VENCE HOJE",IF(AND(P1215&lt;&gt;"",S1215=""),"🟡 PENDÊNCIA ABERTA",IF(AND(N(J1215)&gt;0,N(K1215)&lt;J1215),"🟡 FALTA EXECUTAR",IF(OR(M1215="PENDENTE",M1215="PARCIAL"),"🟡 FATURAMENTO PENDENTE","🟡 EMBARQUE PENDENTE")))))))))))</f>
        <v/>
      </c>
      <c r="D1215" s="4" t="n"/>
      <c r="E1215" s="5" t="n"/>
      <c r="F1215" s="5" t="n"/>
      <c r="G1215" s="5" t="n"/>
      <c r="H1215" s="5" t="n"/>
      <c r="I1215" s="5" t="n"/>
      <c r="J1215" s="6" t="n"/>
      <c r="K1215" s="6" t="n"/>
      <c r="L1215" s="7">
        <f>IF(OR(D1215="",N(J1215)=0),"",MIN(1,N(K1215)/J1215))</f>
        <v/>
      </c>
      <c r="M1215" s="5" t="n"/>
      <c r="N1215" s="5" t="n"/>
      <c r="O1215" s="5" t="n"/>
      <c r="P1215" s="5" t="n"/>
      <c r="Q1215" s="5" t="n"/>
      <c r="R1215" s="4" t="n"/>
      <c r="S1215" s="4" t="n"/>
      <c r="T1215" s="5" t="n"/>
      <c r="U1215" s="8">
        <f>IF(AND(V1215=1,D1215&lt;&gt;""),IF(D1215&gt;=corte,TODAY()-D1215,""),"")</f>
        <v/>
      </c>
      <c r="V1215" s="8">
        <f>IF(D1215="",0,IF(OR(AND(P1215&lt;&gt;"",S1215=""),AND(N(J1215)&gt;0,N(K1215)&lt;J1215),OR(M1215="PENDENTE",M1215="PARCIAL"),OR(N1215="PENDENTE",N1215="PARCIAL")),1,0))</f>
        <v/>
      </c>
      <c r="W1215" s="8">
        <f>IF(AND(V1215=1,D1215&lt;&gt;""),IF(D1215&gt;=corte,(B1215="CRÍTICO")*1E9+(100000-D1215)*10000+10000-ROW(),""),"")</f>
        <v/>
      </c>
      <c r="X1215" s="8">
        <f>IF(AND(V1215=1,D1215=pas_data,E1215=pas_turno),10000-ROW(),"")</f>
        <v/>
      </c>
    </row>
    <row r="1216">
      <c r="A1216" s="3">
        <f>IF(D1216="","","TT-"&amp;TEXT(ROW()-1,"00000"))</f>
        <v/>
      </c>
      <c r="B1216" s="3">
        <f>IF(D1216="","",IF(V1216=0,"CONCLUÍDO",IF(D1216&lt;corte,"HISTÓRICO",IF(OR(AND(ISNUMBER(R1216),R1216&lt;TODAY()),AND(OR(N1216="PENDENTE",N1216="PARCIAL"),D1216&lt;TODAY()-1)),"CRÍTICO",IF(OR(AND(P1216&lt;&gt;"",S1216=""),AND(N1216="REALIZADO",M1216="PENDENTE"),AND(ISNUMBER(R1216),R1216=TODAY())),"ATENÇÃO",IF(N(K1216)=0,"PENDENTE","EM ANDAMENTO"))))))</f>
        <v/>
      </c>
      <c r="C1216" s="3">
        <f>IF(D1216="","",IF(V1216=0,"🟢 OK",IF(D1216&lt;corte,"⚪ HISTÓRICO (sem baixa)",IF(AND(ISNUMBER(R1216),R1216&lt;TODAY()),"🔴 PRAZO VENCIDO",IF(AND(OR(N1216="PENDENTE",N1216="PARCIAL"),D1216&lt;TODAY()-1),"🔴 EMBARQUE ATRASADO",IF(AND(N1216="REALIZADO",M1216="PENDENTE"),"🟡 EMBARCADO SEM FATURAR",IF(AND(P1216&lt;&gt;"",S1216="",OR(Q1216="",R1216="")),"🟡 PENDÊNCIA SEM RESPONSÁVEL/PRAZO",IF(AND(ISNUMBER(R1216),R1216=TODAY()),"🟡 VENCE HOJE",IF(AND(P1216&lt;&gt;"",S1216=""),"🟡 PENDÊNCIA ABERTA",IF(AND(N(J1216)&gt;0,N(K1216)&lt;J1216),"🟡 FALTA EXECUTAR",IF(OR(M1216="PENDENTE",M1216="PARCIAL"),"🟡 FATURAMENTO PENDENTE","🟡 EMBARQUE PENDENTE")))))))))))</f>
        <v/>
      </c>
      <c r="D1216" s="4" t="n"/>
      <c r="E1216" s="5" t="n"/>
      <c r="F1216" s="5" t="n"/>
      <c r="G1216" s="5" t="n"/>
      <c r="H1216" s="5" t="n"/>
      <c r="I1216" s="5" t="n"/>
      <c r="J1216" s="6" t="n"/>
      <c r="K1216" s="6" t="n"/>
      <c r="L1216" s="7">
        <f>IF(OR(D1216="",N(J1216)=0),"",MIN(1,N(K1216)/J1216))</f>
        <v/>
      </c>
      <c r="M1216" s="5" t="n"/>
      <c r="N1216" s="5" t="n"/>
      <c r="O1216" s="5" t="n"/>
      <c r="P1216" s="5" t="n"/>
      <c r="Q1216" s="5" t="n"/>
      <c r="R1216" s="4" t="n"/>
      <c r="S1216" s="4" t="n"/>
      <c r="T1216" s="5" t="n"/>
      <c r="U1216" s="8">
        <f>IF(AND(V1216=1,D1216&lt;&gt;""),IF(D1216&gt;=corte,TODAY()-D1216,""),"")</f>
        <v/>
      </c>
      <c r="V1216" s="8">
        <f>IF(D1216="",0,IF(OR(AND(P1216&lt;&gt;"",S1216=""),AND(N(J1216)&gt;0,N(K1216)&lt;J1216),OR(M1216="PENDENTE",M1216="PARCIAL"),OR(N1216="PENDENTE",N1216="PARCIAL")),1,0))</f>
        <v/>
      </c>
      <c r="W1216" s="8">
        <f>IF(AND(V1216=1,D1216&lt;&gt;""),IF(D1216&gt;=corte,(B1216="CRÍTICO")*1E9+(100000-D1216)*10000+10000-ROW(),""),"")</f>
        <v/>
      </c>
      <c r="X1216" s="8">
        <f>IF(AND(V1216=1,D1216=pas_data,E1216=pas_turno),10000-ROW(),"")</f>
        <v/>
      </c>
    </row>
    <row r="1217">
      <c r="A1217" s="3">
        <f>IF(D1217="","","TT-"&amp;TEXT(ROW()-1,"00000"))</f>
        <v/>
      </c>
      <c r="B1217" s="3">
        <f>IF(D1217="","",IF(V1217=0,"CONCLUÍDO",IF(D1217&lt;corte,"HISTÓRICO",IF(OR(AND(ISNUMBER(R1217),R1217&lt;TODAY()),AND(OR(N1217="PENDENTE",N1217="PARCIAL"),D1217&lt;TODAY()-1)),"CRÍTICO",IF(OR(AND(P1217&lt;&gt;"",S1217=""),AND(N1217="REALIZADO",M1217="PENDENTE"),AND(ISNUMBER(R1217),R1217=TODAY())),"ATENÇÃO",IF(N(K1217)=0,"PENDENTE","EM ANDAMENTO"))))))</f>
        <v/>
      </c>
      <c r="C1217" s="3">
        <f>IF(D1217="","",IF(V1217=0,"🟢 OK",IF(D1217&lt;corte,"⚪ HISTÓRICO (sem baixa)",IF(AND(ISNUMBER(R1217),R1217&lt;TODAY()),"🔴 PRAZO VENCIDO",IF(AND(OR(N1217="PENDENTE",N1217="PARCIAL"),D1217&lt;TODAY()-1),"🔴 EMBARQUE ATRASADO",IF(AND(N1217="REALIZADO",M1217="PENDENTE"),"🟡 EMBARCADO SEM FATURAR",IF(AND(P1217&lt;&gt;"",S1217="",OR(Q1217="",R1217="")),"🟡 PENDÊNCIA SEM RESPONSÁVEL/PRAZO",IF(AND(ISNUMBER(R1217),R1217=TODAY()),"🟡 VENCE HOJE",IF(AND(P1217&lt;&gt;"",S1217=""),"🟡 PENDÊNCIA ABERTA",IF(AND(N(J1217)&gt;0,N(K1217)&lt;J1217),"🟡 FALTA EXECUTAR",IF(OR(M1217="PENDENTE",M1217="PARCIAL"),"🟡 FATURAMENTO PENDENTE","🟡 EMBARQUE PENDENTE")))))))))))</f>
        <v/>
      </c>
      <c r="D1217" s="4" t="n"/>
      <c r="E1217" s="5" t="n"/>
      <c r="F1217" s="5" t="n"/>
      <c r="G1217" s="5" t="n"/>
      <c r="H1217" s="5" t="n"/>
      <c r="I1217" s="5" t="n"/>
      <c r="J1217" s="6" t="n"/>
      <c r="K1217" s="6" t="n"/>
      <c r="L1217" s="7">
        <f>IF(OR(D1217="",N(J1217)=0),"",MIN(1,N(K1217)/J1217))</f>
        <v/>
      </c>
      <c r="M1217" s="5" t="n"/>
      <c r="N1217" s="5" t="n"/>
      <c r="O1217" s="5" t="n"/>
      <c r="P1217" s="5" t="n"/>
      <c r="Q1217" s="5" t="n"/>
      <c r="R1217" s="4" t="n"/>
      <c r="S1217" s="4" t="n"/>
      <c r="T1217" s="5" t="n"/>
      <c r="U1217" s="8">
        <f>IF(AND(V1217=1,D1217&lt;&gt;""),IF(D1217&gt;=corte,TODAY()-D1217,""),"")</f>
        <v/>
      </c>
      <c r="V1217" s="8">
        <f>IF(D1217="",0,IF(OR(AND(P1217&lt;&gt;"",S1217=""),AND(N(J1217)&gt;0,N(K1217)&lt;J1217),OR(M1217="PENDENTE",M1217="PARCIAL"),OR(N1217="PENDENTE",N1217="PARCIAL")),1,0))</f>
        <v/>
      </c>
      <c r="W1217" s="8">
        <f>IF(AND(V1217=1,D1217&lt;&gt;""),IF(D1217&gt;=corte,(B1217="CRÍTICO")*1E9+(100000-D1217)*10000+10000-ROW(),""),"")</f>
        <v/>
      </c>
      <c r="X1217" s="8">
        <f>IF(AND(V1217=1,D1217=pas_data,E1217=pas_turno),10000-ROW(),"")</f>
        <v/>
      </c>
    </row>
    <row r="1218">
      <c r="A1218" s="3">
        <f>IF(D1218="","","TT-"&amp;TEXT(ROW()-1,"00000"))</f>
        <v/>
      </c>
      <c r="B1218" s="3">
        <f>IF(D1218="","",IF(V1218=0,"CONCLUÍDO",IF(D1218&lt;corte,"HISTÓRICO",IF(OR(AND(ISNUMBER(R1218),R1218&lt;TODAY()),AND(OR(N1218="PENDENTE",N1218="PARCIAL"),D1218&lt;TODAY()-1)),"CRÍTICO",IF(OR(AND(P1218&lt;&gt;"",S1218=""),AND(N1218="REALIZADO",M1218="PENDENTE"),AND(ISNUMBER(R1218),R1218=TODAY())),"ATENÇÃO",IF(N(K1218)=0,"PENDENTE","EM ANDAMENTO"))))))</f>
        <v/>
      </c>
      <c r="C1218" s="3">
        <f>IF(D1218="","",IF(V1218=0,"🟢 OK",IF(D1218&lt;corte,"⚪ HISTÓRICO (sem baixa)",IF(AND(ISNUMBER(R1218),R1218&lt;TODAY()),"🔴 PRAZO VENCIDO",IF(AND(OR(N1218="PENDENTE",N1218="PARCIAL"),D1218&lt;TODAY()-1),"🔴 EMBARQUE ATRASADO",IF(AND(N1218="REALIZADO",M1218="PENDENTE"),"🟡 EMBARCADO SEM FATURAR",IF(AND(P1218&lt;&gt;"",S1218="",OR(Q1218="",R1218="")),"🟡 PENDÊNCIA SEM RESPONSÁVEL/PRAZO",IF(AND(ISNUMBER(R1218),R1218=TODAY()),"🟡 VENCE HOJE",IF(AND(P1218&lt;&gt;"",S1218=""),"🟡 PENDÊNCIA ABERTA",IF(AND(N(J1218)&gt;0,N(K1218)&lt;J1218),"🟡 FALTA EXECUTAR",IF(OR(M1218="PENDENTE",M1218="PARCIAL"),"🟡 FATURAMENTO PENDENTE","🟡 EMBARQUE PENDENTE")))))))))))</f>
        <v/>
      </c>
      <c r="D1218" s="4" t="n"/>
      <c r="E1218" s="5" t="n"/>
      <c r="F1218" s="5" t="n"/>
      <c r="G1218" s="5" t="n"/>
      <c r="H1218" s="5" t="n"/>
      <c r="I1218" s="5" t="n"/>
      <c r="J1218" s="6" t="n"/>
      <c r="K1218" s="6" t="n"/>
      <c r="L1218" s="7">
        <f>IF(OR(D1218="",N(J1218)=0),"",MIN(1,N(K1218)/J1218))</f>
        <v/>
      </c>
      <c r="M1218" s="5" t="n"/>
      <c r="N1218" s="5" t="n"/>
      <c r="O1218" s="5" t="n"/>
      <c r="P1218" s="5" t="n"/>
      <c r="Q1218" s="5" t="n"/>
      <c r="R1218" s="4" t="n"/>
      <c r="S1218" s="4" t="n"/>
      <c r="T1218" s="5" t="n"/>
      <c r="U1218" s="8">
        <f>IF(AND(V1218=1,D1218&lt;&gt;""),IF(D1218&gt;=corte,TODAY()-D1218,""),"")</f>
        <v/>
      </c>
      <c r="V1218" s="8">
        <f>IF(D1218="",0,IF(OR(AND(P1218&lt;&gt;"",S1218=""),AND(N(J1218)&gt;0,N(K1218)&lt;J1218),OR(M1218="PENDENTE",M1218="PARCIAL"),OR(N1218="PENDENTE",N1218="PARCIAL")),1,0))</f>
        <v/>
      </c>
      <c r="W1218" s="8">
        <f>IF(AND(V1218=1,D1218&lt;&gt;""),IF(D1218&gt;=corte,(B1218="CRÍTICO")*1E9+(100000-D1218)*10000+10000-ROW(),""),"")</f>
        <v/>
      </c>
      <c r="X1218" s="8">
        <f>IF(AND(V1218=1,D1218=pas_data,E1218=pas_turno),10000-ROW(),"")</f>
        <v/>
      </c>
    </row>
    <row r="1219">
      <c r="A1219" s="3">
        <f>IF(D1219="","","TT-"&amp;TEXT(ROW()-1,"00000"))</f>
        <v/>
      </c>
      <c r="B1219" s="3">
        <f>IF(D1219="","",IF(V1219=0,"CONCLUÍDO",IF(D1219&lt;corte,"HISTÓRICO",IF(OR(AND(ISNUMBER(R1219),R1219&lt;TODAY()),AND(OR(N1219="PENDENTE",N1219="PARCIAL"),D1219&lt;TODAY()-1)),"CRÍTICO",IF(OR(AND(P1219&lt;&gt;"",S1219=""),AND(N1219="REALIZADO",M1219="PENDENTE"),AND(ISNUMBER(R1219),R1219=TODAY())),"ATENÇÃO",IF(N(K1219)=0,"PENDENTE","EM ANDAMENTO"))))))</f>
        <v/>
      </c>
      <c r="C1219" s="3">
        <f>IF(D1219="","",IF(V1219=0,"🟢 OK",IF(D1219&lt;corte,"⚪ HISTÓRICO (sem baixa)",IF(AND(ISNUMBER(R1219),R1219&lt;TODAY()),"🔴 PRAZO VENCIDO",IF(AND(OR(N1219="PENDENTE",N1219="PARCIAL"),D1219&lt;TODAY()-1),"🔴 EMBARQUE ATRASADO",IF(AND(N1219="REALIZADO",M1219="PENDENTE"),"🟡 EMBARCADO SEM FATURAR",IF(AND(P1219&lt;&gt;"",S1219="",OR(Q1219="",R1219="")),"🟡 PENDÊNCIA SEM RESPONSÁVEL/PRAZO",IF(AND(ISNUMBER(R1219),R1219=TODAY()),"🟡 VENCE HOJE",IF(AND(P1219&lt;&gt;"",S1219=""),"🟡 PENDÊNCIA ABERTA",IF(AND(N(J1219)&gt;0,N(K1219)&lt;J1219),"🟡 FALTA EXECUTAR",IF(OR(M1219="PENDENTE",M1219="PARCIAL"),"🟡 FATURAMENTO PENDENTE","🟡 EMBARQUE PENDENTE")))))))))))</f>
        <v/>
      </c>
      <c r="D1219" s="4" t="n"/>
      <c r="E1219" s="5" t="n"/>
      <c r="F1219" s="5" t="n"/>
      <c r="G1219" s="5" t="n"/>
      <c r="H1219" s="5" t="n"/>
      <c r="I1219" s="5" t="n"/>
      <c r="J1219" s="6" t="n"/>
      <c r="K1219" s="6" t="n"/>
      <c r="L1219" s="7">
        <f>IF(OR(D1219="",N(J1219)=0),"",MIN(1,N(K1219)/J1219))</f>
        <v/>
      </c>
      <c r="M1219" s="5" t="n"/>
      <c r="N1219" s="5" t="n"/>
      <c r="O1219" s="5" t="n"/>
      <c r="P1219" s="5" t="n"/>
      <c r="Q1219" s="5" t="n"/>
      <c r="R1219" s="4" t="n"/>
      <c r="S1219" s="4" t="n"/>
      <c r="T1219" s="5" t="n"/>
      <c r="U1219" s="8">
        <f>IF(AND(V1219=1,D1219&lt;&gt;""),IF(D1219&gt;=corte,TODAY()-D1219,""),"")</f>
        <v/>
      </c>
      <c r="V1219" s="8">
        <f>IF(D1219="",0,IF(OR(AND(P1219&lt;&gt;"",S1219=""),AND(N(J1219)&gt;0,N(K1219)&lt;J1219),OR(M1219="PENDENTE",M1219="PARCIAL"),OR(N1219="PENDENTE",N1219="PARCIAL")),1,0))</f>
        <v/>
      </c>
      <c r="W1219" s="8">
        <f>IF(AND(V1219=1,D1219&lt;&gt;""),IF(D1219&gt;=corte,(B1219="CRÍTICO")*1E9+(100000-D1219)*10000+10000-ROW(),""),"")</f>
        <v/>
      </c>
      <c r="X1219" s="8">
        <f>IF(AND(V1219=1,D1219=pas_data,E1219=pas_turno),10000-ROW(),"")</f>
        <v/>
      </c>
    </row>
    <row r="1220">
      <c r="A1220" s="3">
        <f>IF(D1220="","","TT-"&amp;TEXT(ROW()-1,"00000"))</f>
        <v/>
      </c>
      <c r="B1220" s="3">
        <f>IF(D1220="","",IF(V1220=0,"CONCLUÍDO",IF(D1220&lt;corte,"HISTÓRICO",IF(OR(AND(ISNUMBER(R1220),R1220&lt;TODAY()),AND(OR(N1220="PENDENTE",N1220="PARCIAL"),D1220&lt;TODAY()-1)),"CRÍTICO",IF(OR(AND(P1220&lt;&gt;"",S1220=""),AND(N1220="REALIZADO",M1220="PENDENTE"),AND(ISNUMBER(R1220),R1220=TODAY())),"ATENÇÃO",IF(N(K1220)=0,"PENDENTE","EM ANDAMENTO"))))))</f>
        <v/>
      </c>
      <c r="C1220" s="3">
        <f>IF(D1220="","",IF(V1220=0,"🟢 OK",IF(D1220&lt;corte,"⚪ HISTÓRICO (sem baixa)",IF(AND(ISNUMBER(R1220),R1220&lt;TODAY()),"🔴 PRAZO VENCIDO",IF(AND(OR(N1220="PENDENTE",N1220="PARCIAL"),D1220&lt;TODAY()-1),"🔴 EMBARQUE ATRASADO",IF(AND(N1220="REALIZADO",M1220="PENDENTE"),"🟡 EMBARCADO SEM FATURAR",IF(AND(P1220&lt;&gt;"",S1220="",OR(Q1220="",R1220="")),"🟡 PENDÊNCIA SEM RESPONSÁVEL/PRAZO",IF(AND(ISNUMBER(R1220),R1220=TODAY()),"🟡 VENCE HOJE",IF(AND(P1220&lt;&gt;"",S1220=""),"🟡 PENDÊNCIA ABERTA",IF(AND(N(J1220)&gt;0,N(K1220)&lt;J1220),"🟡 FALTA EXECUTAR",IF(OR(M1220="PENDENTE",M1220="PARCIAL"),"🟡 FATURAMENTO PENDENTE","🟡 EMBARQUE PENDENTE")))))))))))</f>
        <v/>
      </c>
      <c r="D1220" s="4" t="n"/>
      <c r="E1220" s="5" t="n"/>
      <c r="F1220" s="5" t="n"/>
      <c r="G1220" s="5" t="n"/>
      <c r="H1220" s="5" t="n"/>
      <c r="I1220" s="5" t="n"/>
      <c r="J1220" s="6" t="n"/>
      <c r="K1220" s="6" t="n"/>
      <c r="L1220" s="7">
        <f>IF(OR(D1220="",N(J1220)=0),"",MIN(1,N(K1220)/J1220))</f>
        <v/>
      </c>
      <c r="M1220" s="5" t="n"/>
      <c r="N1220" s="5" t="n"/>
      <c r="O1220" s="5" t="n"/>
      <c r="P1220" s="5" t="n"/>
      <c r="Q1220" s="5" t="n"/>
      <c r="R1220" s="4" t="n"/>
      <c r="S1220" s="4" t="n"/>
      <c r="T1220" s="5" t="n"/>
      <c r="U1220" s="8">
        <f>IF(AND(V1220=1,D1220&lt;&gt;""),IF(D1220&gt;=corte,TODAY()-D1220,""),"")</f>
        <v/>
      </c>
      <c r="V1220" s="8">
        <f>IF(D1220="",0,IF(OR(AND(P1220&lt;&gt;"",S1220=""),AND(N(J1220)&gt;0,N(K1220)&lt;J1220),OR(M1220="PENDENTE",M1220="PARCIAL"),OR(N1220="PENDENTE",N1220="PARCIAL")),1,0))</f>
        <v/>
      </c>
      <c r="W1220" s="8">
        <f>IF(AND(V1220=1,D1220&lt;&gt;""),IF(D1220&gt;=corte,(B1220="CRÍTICO")*1E9+(100000-D1220)*10000+10000-ROW(),""),"")</f>
        <v/>
      </c>
      <c r="X1220" s="8">
        <f>IF(AND(V1220=1,D1220=pas_data,E1220=pas_turno),10000-ROW(),"")</f>
        <v/>
      </c>
    </row>
    <row r="1221">
      <c r="A1221" s="3">
        <f>IF(D1221="","","TT-"&amp;TEXT(ROW()-1,"00000"))</f>
        <v/>
      </c>
      <c r="B1221" s="3">
        <f>IF(D1221="","",IF(V1221=0,"CONCLUÍDO",IF(D1221&lt;corte,"HISTÓRICO",IF(OR(AND(ISNUMBER(R1221),R1221&lt;TODAY()),AND(OR(N1221="PENDENTE",N1221="PARCIAL"),D1221&lt;TODAY()-1)),"CRÍTICO",IF(OR(AND(P1221&lt;&gt;"",S1221=""),AND(N1221="REALIZADO",M1221="PENDENTE"),AND(ISNUMBER(R1221),R1221=TODAY())),"ATENÇÃO",IF(N(K1221)=0,"PENDENTE","EM ANDAMENTO"))))))</f>
        <v/>
      </c>
      <c r="C1221" s="3">
        <f>IF(D1221="","",IF(V1221=0,"🟢 OK",IF(D1221&lt;corte,"⚪ HISTÓRICO (sem baixa)",IF(AND(ISNUMBER(R1221),R1221&lt;TODAY()),"🔴 PRAZO VENCIDO",IF(AND(OR(N1221="PENDENTE",N1221="PARCIAL"),D1221&lt;TODAY()-1),"🔴 EMBARQUE ATRASADO",IF(AND(N1221="REALIZADO",M1221="PENDENTE"),"🟡 EMBARCADO SEM FATURAR",IF(AND(P1221&lt;&gt;"",S1221="",OR(Q1221="",R1221="")),"🟡 PENDÊNCIA SEM RESPONSÁVEL/PRAZO",IF(AND(ISNUMBER(R1221),R1221=TODAY()),"🟡 VENCE HOJE",IF(AND(P1221&lt;&gt;"",S1221=""),"🟡 PENDÊNCIA ABERTA",IF(AND(N(J1221)&gt;0,N(K1221)&lt;J1221),"🟡 FALTA EXECUTAR",IF(OR(M1221="PENDENTE",M1221="PARCIAL"),"🟡 FATURAMENTO PENDENTE","🟡 EMBARQUE PENDENTE")))))))))))</f>
        <v/>
      </c>
      <c r="D1221" s="4" t="n"/>
      <c r="E1221" s="5" t="n"/>
      <c r="F1221" s="5" t="n"/>
      <c r="G1221" s="5" t="n"/>
      <c r="H1221" s="5" t="n"/>
      <c r="I1221" s="5" t="n"/>
      <c r="J1221" s="6" t="n"/>
      <c r="K1221" s="6" t="n"/>
      <c r="L1221" s="7">
        <f>IF(OR(D1221="",N(J1221)=0),"",MIN(1,N(K1221)/J1221))</f>
        <v/>
      </c>
      <c r="M1221" s="5" t="n"/>
      <c r="N1221" s="5" t="n"/>
      <c r="O1221" s="5" t="n"/>
      <c r="P1221" s="5" t="n"/>
      <c r="Q1221" s="5" t="n"/>
      <c r="R1221" s="4" t="n"/>
      <c r="S1221" s="4" t="n"/>
      <c r="T1221" s="5" t="n"/>
      <c r="U1221" s="8">
        <f>IF(AND(V1221=1,D1221&lt;&gt;""),IF(D1221&gt;=corte,TODAY()-D1221,""),"")</f>
        <v/>
      </c>
      <c r="V1221" s="8">
        <f>IF(D1221="",0,IF(OR(AND(P1221&lt;&gt;"",S1221=""),AND(N(J1221)&gt;0,N(K1221)&lt;J1221),OR(M1221="PENDENTE",M1221="PARCIAL"),OR(N1221="PENDENTE",N1221="PARCIAL")),1,0))</f>
        <v/>
      </c>
      <c r="W1221" s="8">
        <f>IF(AND(V1221=1,D1221&lt;&gt;""),IF(D1221&gt;=corte,(B1221="CRÍTICO")*1E9+(100000-D1221)*10000+10000-ROW(),""),"")</f>
        <v/>
      </c>
      <c r="X1221" s="8">
        <f>IF(AND(V1221=1,D1221=pas_data,E1221=pas_turno),10000-ROW(),"")</f>
        <v/>
      </c>
    </row>
    <row r="1222">
      <c r="A1222" s="3">
        <f>IF(D1222="","","TT-"&amp;TEXT(ROW()-1,"00000"))</f>
        <v/>
      </c>
      <c r="B1222" s="3">
        <f>IF(D1222="","",IF(V1222=0,"CONCLUÍDO",IF(D1222&lt;corte,"HISTÓRICO",IF(OR(AND(ISNUMBER(R1222),R1222&lt;TODAY()),AND(OR(N1222="PENDENTE",N1222="PARCIAL"),D1222&lt;TODAY()-1)),"CRÍTICO",IF(OR(AND(P1222&lt;&gt;"",S1222=""),AND(N1222="REALIZADO",M1222="PENDENTE"),AND(ISNUMBER(R1222),R1222=TODAY())),"ATENÇÃO",IF(N(K1222)=0,"PENDENTE","EM ANDAMENTO"))))))</f>
        <v/>
      </c>
      <c r="C1222" s="3">
        <f>IF(D1222="","",IF(V1222=0,"🟢 OK",IF(D1222&lt;corte,"⚪ HISTÓRICO (sem baixa)",IF(AND(ISNUMBER(R1222),R1222&lt;TODAY()),"🔴 PRAZO VENCIDO",IF(AND(OR(N1222="PENDENTE",N1222="PARCIAL"),D1222&lt;TODAY()-1),"🔴 EMBARQUE ATRASADO",IF(AND(N1222="REALIZADO",M1222="PENDENTE"),"🟡 EMBARCADO SEM FATURAR",IF(AND(P1222&lt;&gt;"",S1222="",OR(Q1222="",R1222="")),"🟡 PENDÊNCIA SEM RESPONSÁVEL/PRAZO",IF(AND(ISNUMBER(R1222),R1222=TODAY()),"🟡 VENCE HOJE",IF(AND(P1222&lt;&gt;"",S1222=""),"🟡 PENDÊNCIA ABERTA",IF(AND(N(J1222)&gt;0,N(K1222)&lt;J1222),"🟡 FALTA EXECUTAR",IF(OR(M1222="PENDENTE",M1222="PARCIAL"),"🟡 FATURAMENTO PENDENTE","🟡 EMBARQUE PENDENTE")))))))))))</f>
        <v/>
      </c>
      <c r="D1222" s="4" t="n"/>
      <c r="E1222" s="5" t="n"/>
      <c r="F1222" s="5" t="n"/>
      <c r="G1222" s="5" t="n"/>
      <c r="H1222" s="5" t="n"/>
      <c r="I1222" s="5" t="n"/>
      <c r="J1222" s="6" t="n"/>
      <c r="K1222" s="6" t="n"/>
      <c r="L1222" s="7">
        <f>IF(OR(D1222="",N(J1222)=0),"",MIN(1,N(K1222)/J1222))</f>
        <v/>
      </c>
      <c r="M1222" s="5" t="n"/>
      <c r="N1222" s="5" t="n"/>
      <c r="O1222" s="5" t="n"/>
      <c r="P1222" s="5" t="n"/>
      <c r="Q1222" s="5" t="n"/>
      <c r="R1222" s="4" t="n"/>
      <c r="S1222" s="4" t="n"/>
      <c r="T1222" s="5" t="n"/>
      <c r="U1222" s="8">
        <f>IF(AND(V1222=1,D1222&lt;&gt;""),IF(D1222&gt;=corte,TODAY()-D1222,""),"")</f>
        <v/>
      </c>
      <c r="V1222" s="8">
        <f>IF(D1222="",0,IF(OR(AND(P1222&lt;&gt;"",S1222=""),AND(N(J1222)&gt;0,N(K1222)&lt;J1222),OR(M1222="PENDENTE",M1222="PARCIAL"),OR(N1222="PENDENTE",N1222="PARCIAL")),1,0))</f>
        <v/>
      </c>
      <c r="W1222" s="8">
        <f>IF(AND(V1222=1,D1222&lt;&gt;""),IF(D1222&gt;=corte,(B1222="CRÍTICO")*1E9+(100000-D1222)*10000+10000-ROW(),""),"")</f>
        <v/>
      </c>
      <c r="X1222" s="8">
        <f>IF(AND(V1222=1,D1222=pas_data,E1222=pas_turno),10000-ROW(),"")</f>
        <v/>
      </c>
    </row>
    <row r="1223">
      <c r="A1223" s="3">
        <f>IF(D1223="","","TT-"&amp;TEXT(ROW()-1,"00000"))</f>
        <v/>
      </c>
      <c r="B1223" s="3">
        <f>IF(D1223="","",IF(V1223=0,"CONCLUÍDO",IF(D1223&lt;corte,"HISTÓRICO",IF(OR(AND(ISNUMBER(R1223),R1223&lt;TODAY()),AND(OR(N1223="PENDENTE",N1223="PARCIAL"),D1223&lt;TODAY()-1)),"CRÍTICO",IF(OR(AND(P1223&lt;&gt;"",S1223=""),AND(N1223="REALIZADO",M1223="PENDENTE"),AND(ISNUMBER(R1223),R1223=TODAY())),"ATENÇÃO",IF(N(K1223)=0,"PENDENTE","EM ANDAMENTO"))))))</f>
        <v/>
      </c>
      <c r="C1223" s="3">
        <f>IF(D1223="","",IF(V1223=0,"🟢 OK",IF(D1223&lt;corte,"⚪ HISTÓRICO (sem baixa)",IF(AND(ISNUMBER(R1223),R1223&lt;TODAY()),"🔴 PRAZO VENCIDO",IF(AND(OR(N1223="PENDENTE",N1223="PARCIAL"),D1223&lt;TODAY()-1),"🔴 EMBARQUE ATRASADO",IF(AND(N1223="REALIZADO",M1223="PENDENTE"),"🟡 EMBARCADO SEM FATURAR",IF(AND(P1223&lt;&gt;"",S1223="",OR(Q1223="",R1223="")),"🟡 PENDÊNCIA SEM RESPONSÁVEL/PRAZO",IF(AND(ISNUMBER(R1223),R1223=TODAY()),"🟡 VENCE HOJE",IF(AND(P1223&lt;&gt;"",S1223=""),"🟡 PENDÊNCIA ABERTA",IF(AND(N(J1223)&gt;0,N(K1223)&lt;J1223),"🟡 FALTA EXECUTAR",IF(OR(M1223="PENDENTE",M1223="PARCIAL"),"🟡 FATURAMENTO PENDENTE","🟡 EMBARQUE PENDENTE")))))))))))</f>
        <v/>
      </c>
      <c r="D1223" s="4" t="n"/>
      <c r="E1223" s="5" t="n"/>
      <c r="F1223" s="5" t="n"/>
      <c r="G1223" s="5" t="n"/>
      <c r="H1223" s="5" t="n"/>
      <c r="I1223" s="5" t="n"/>
      <c r="J1223" s="6" t="n"/>
      <c r="K1223" s="6" t="n"/>
      <c r="L1223" s="7">
        <f>IF(OR(D1223="",N(J1223)=0),"",MIN(1,N(K1223)/J1223))</f>
        <v/>
      </c>
      <c r="M1223" s="5" t="n"/>
      <c r="N1223" s="5" t="n"/>
      <c r="O1223" s="5" t="n"/>
      <c r="P1223" s="5" t="n"/>
      <c r="Q1223" s="5" t="n"/>
      <c r="R1223" s="4" t="n"/>
      <c r="S1223" s="4" t="n"/>
      <c r="T1223" s="5" t="n"/>
      <c r="U1223" s="8">
        <f>IF(AND(V1223=1,D1223&lt;&gt;""),IF(D1223&gt;=corte,TODAY()-D1223,""),"")</f>
        <v/>
      </c>
      <c r="V1223" s="8">
        <f>IF(D1223="",0,IF(OR(AND(P1223&lt;&gt;"",S1223=""),AND(N(J1223)&gt;0,N(K1223)&lt;J1223),OR(M1223="PENDENTE",M1223="PARCIAL"),OR(N1223="PENDENTE",N1223="PARCIAL")),1,0))</f>
        <v/>
      </c>
      <c r="W1223" s="8">
        <f>IF(AND(V1223=1,D1223&lt;&gt;""),IF(D1223&gt;=corte,(B1223="CRÍTICO")*1E9+(100000-D1223)*10000+10000-ROW(),""),"")</f>
        <v/>
      </c>
      <c r="X1223" s="8">
        <f>IF(AND(V1223=1,D1223=pas_data,E1223=pas_turno),10000-ROW(),"")</f>
        <v/>
      </c>
    </row>
    <row r="1224">
      <c r="A1224" s="3">
        <f>IF(D1224="","","TT-"&amp;TEXT(ROW()-1,"00000"))</f>
        <v/>
      </c>
      <c r="B1224" s="3">
        <f>IF(D1224="","",IF(V1224=0,"CONCLUÍDO",IF(D1224&lt;corte,"HISTÓRICO",IF(OR(AND(ISNUMBER(R1224),R1224&lt;TODAY()),AND(OR(N1224="PENDENTE",N1224="PARCIAL"),D1224&lt;TODAY()-1)),"CRÍTICO",IF(OR(AND(P1224&lt;&gt;"",S1224=""),AND(N1224="REALIZADO",M1224="PENDENTE"),AND(ISNUMBER(R1224),R1224=TODAY())),"ATENÇÃO",IF(N(K1224)=0,"PENDENTE","EM ANDAMENTO"))))))</f>
        <v/>
      </c>
      <c r="C1224" s="3">
        <f>IF(D1224="","",IF(V1224=0,"🟢 OK",IF(D1224&lt;corte,"⚪ HISTÓRICO (sem baixa)",IF(AND(ISNUMBER(R1224),R1224&lt;TODAY()),"🔴 PRAZO VENCIDO",IF(AND(OR(N1224="PENDENTE",N1224="PARCIAL"),D1224&lt;TODAY()-1),"🔴 EMBARQUE ATRASADO",IF(AND(N1224="REALIZADO",M1224="PENDENTE"),"🟡 EMBARCADO SEM FATURAR",IF(AND(P1224&lt;&gt;"",S1224="",OR(Q1224="",R1224="")),"🟡 PENDÊNCIA SEM RESPONSÁVEL/PRAZO",IF(AND(ISNUMBER(R1224),R1224=TODAY()),"🟡 VENCE HOJE",IF(AND(P1224&lt;&gt;"",S1224=""),"🟡 PENDÊNCIA ABERTA",IF(AND(N(J1224)&gt;0,N(K1224)&lt;J1224),"🟡 FALTA EXECUTAR",IF(OR(M1224="PENDENTE",M1224="PARCIAL"),"🟡 FATURAMENTO PENDENTE","🟡 EMBARQUE PENDENTE")))))))))))</f>
        <v/>
      </c>
      <c r="D1224" s="4" t="n"/>
      <c r="E1224" s="5" t="n"/>
      <c r="F1224" s="5" t="n"/>
      <c r="G1224" s="5" t="n"/>
      <c r="H1224" s="5" t="n"/>
      <c r="I1224" s="5" t="n"/>
      <c r="J1224" s="6" t="n"/>
      <c r="K1224" s="6" t="n"/>
      <c r="L1224" s="7">
        <f>IF(OR(D1224="",N(J1224)=0),"",MIN(1,N(K1224)/J1224))</f>
        <v/>
      </c>
      <c r="M1224" s="5" t="n"/>
      <c r="N1224" s="5" t="n"/>
      <c r="O1224" s="5" t="n"/>
      <c r="P1224" s="5" t="n"/>
      <c r="Q1224" s="5" t="n"/>
      <c r="R1224" s="4" t="n"/>
      <c r="S1224" s="4" t="n"/>
      <c r="T1224" s="5" t="n"/>
      <c r="U1224" s="8">
        <f>IF(AND(V1224=1,D1224&lt;&gt;""),IF(D1224&gt;=corte,TODAY()-D1224,""),"")</f>
        <v/>
      </c>
      <c r="V1224" s="8">
        <f>IF(D1224="",0,IF(OR(AND(P1224&lt;&gt;"",S1224=""),AND(N(J1224)&gt;0,N(K1224)&lt;J1224),OR(M1224="PENDENTE",M1224="PARCIAL"),OR(N1224="PENDENTE",N1224="PARCIAL")),1,0))</f>
        <v/>
      </c>
      <c r="W1224" s="8">
        <f>IF(AND(V1224=1,D1224&lt;&gt;""),IF(D1224&gt;=corte,(B1224="CRÍTICO")*1E9+(100000-D1224)*10000+10000-ROW(),""),"")</f>
        <v/>
      </c>
      <c r="X1224" s="8">
        <f>IF(AND(V1224=1,D1224=pas_data,E1224=pas_turno),10000-ROW(),"")</f>
        <v/>
      </c>
    </row>
    <row r="1225">
      <c r="A1225" s="3">
        <f>IF(D1225="","","TT-"&amp;TEXT(ROW()-1,"00000"))</f>
        <v/>
      </c>
      <c r="B1225" s="3">
        <f>IF(D1225="","",IF(V1225=0,"CONCLUÍDO",IF(D1225&lt;corte,"HISTÓRICO",IF(OR(AND(ISNUMBER(R1225),R1225&lt;TODAY()),AND(OR(N1225="PENDENTE",N1225="PARCIAL"),D1225&lt;TODAY()-1)),"CRÍTICO",IF(OR(AND(P1225&lt;&gt;"",S1225=""),AND(N1225="REALIZADO",M1225="PENDENTE"),AND(ISNUMBER(R1225),R1225=TODAY())),"ATENÇÃO",IF(N(K1225)=0,"PENDENTE","EM ANDAMENTO"))))))</f>
        <v/>
      </c>
      <c r="C1225" s="3">
        <f>IF(D1225="","",IF(V1225=0,"🟢 OK",IF(D1225&lt;corte,"⚪ HISTÓRICO (sem baixa)",IF(AND(ISNUMBER(R1225),R1225&lt;TODAY()),"🔴 PRAZO VENCIDO",IF(AND(OR(N1225="PENDENTE",N1225="PARCIAL"),D1225&lt;TODAY()-1),"🔴 EMBARQUE ATRASADO",IF(AND(N1225="REALIZADO",M1225="PENDENTE"),"🟡 EMBARCADO SEM FATURAR",IF(AND(P1225&lt;&gt;"",S1225="",OR(Q1225="",R1225="")),"🟡 PENDÊNCIA SEM RESPONSÁVEL/PRAZO",IF(AND(ISNUMBER(R1225),R1225=TODAY()),"🟡 VENCE HOJE",IF(AND(P1225&lt;&gt;"",S1225=""),"🟡 PENDÊNCIA ABERTA",IF(AND(N(J1225)&gt;0,N(K1225)&lt;J1225),"🟡 FALTA EXECUTAR",IF(OR(M1225="PENDENTE",M1225="PARCIAL"),"🟡 FATURAMENTO PENDENTE","🟡 EMBARQUE PENDENTE")))))))))))</f>
        <v/>
      </c>
      <c r="D1225" s="4" t="n"/>
      <c r="E1225" s="5" t="n"/>
      <c r="F1225" s="5" t="n"/>
      <c r="G1225" s="5" t="n"/>
      <c r="H1225" s="5" t="n"/>
      <c r="I1225" s="5" t="n"/>
      <c r="J1225" s="6" t="n"/>
      <c r="K1225" s="6" t="n"/>
      <c r="L1225" s="7">
        <f>IF(OR(D1225="",N(J1225)=0),"",MIN(1,N(K1225)/J1225))</f>
        <v/>
      </c>
      <c r="M1225" s="5" t="n"/>
      <c r="N1225" s="5" t="n"/>
      <c r="O1225" s="5" t="n"/>
      <c r="P1225" s="5" t="n"/>
      <c r="Q1225" s="5" t="n"/>
      <c r="R1225" s="4" t="n"/>
      <c r="S1225" s="4" t="n"/>
      <c r="T1225" s="5" t="n"/>
      <c r="U1225" s="8">
        <f>IF(AND(V1225=1,D1225&lt;&gt;""),IF(D1225&gt;=corte,TODAY()-D1225,""),"")</f>
        <v/>
      </c>
      <c r="V1225" s="8">
        <f>IF(D1225="",0,IF(OR(AND(P1225&lt;&gt;"",S1225=""),AND(N(J1225)&gt;0,N(K1225)&lt;J1225),OR(M1225="PENDENTE",M1225="PARCIAL"),OR(N1225="PENDENTE",N1225="PARCIAL")),1,0))</f>
        <v/>
      </c>
      <c r="W1225" s="8">
        <f>IF(AND(V1225=1,D1225&lt;&gt;""),IF(D1225&gt;=corte,(B1225="CRÍTICO")*1E9+(100000-D1225)*10000+10000-ROW(),""),"")</f>
        <v/>
      </c>
      <c r="X1225" s="8">
        <f>IF(AND(V1225=1,D1225=pas_data,E1225=pas_turno),10000-ROW(),"")</f>
        <v/>
      </c>
    </row>
    <row r="1226">
      <c r="A1226" s="3">
        <f>IF(D1226="","","TT-"&amp;TEXT(ROW()-1,"00000"))</f>
        <v/>
      </c>
      <c r="B1226" s="3">
        <f>IF(D1226="","",IF(V1226=0,"CONCLUÍDO",IF(D1226&lt;corte,"HISTÓRICO",IF(OR(AND(ISNUMBER(R1226),R1226&lt;TODAY()),AND(OR(N1226="PENDENTE",N1226="PARCIAL"),D1226&lt;TODAY()-1)),"CRÍTICO",IF(OR(AND(P1226&lt;&gt;"",S1226=""),AND(N1226="REALIZADO",M1226="PENDENTE"),AND(ISNUMBER(R1226),R1226=TODAY())),"ATENÇÃO",IF(N(K1226)=0,"PENDENTE","EM ANDAMENTO"))))))</f>
        <v/>
      </c>
      <c r="C1226" s="3">
        <f>IF(D1226="","",IF(V1226=0,"🟢 OK",IF(D1226&lt;corte,"⚪ HISTÓRICO (sem baixa)",IF(AND(ISNUMBER(R1226),R1226&lt;TODAY()),"🔴 PRAZO VENCIDO",IF(AND(OR(N1226="PENDENTE",N1226="PARCIAL"),D1226&lt;TODAY()-1),"🔴 EMBARQUE ATRASADO",IF(AND(N1226="REALIZADO",M1226="PENDENTE"),"🟡 EMBARCADO SEM FATURAR",IF(AND(P1226&lt;&gt;"",S1226="",OR(Q1226="",R1226="")),"🟡 PENDÊNCIA SEM RESPONSÁVEL/PRAZO",IF(AND(ISNUMBER(R1226),R1226=TODAY()),"🟡 VENCE HOJE",IF(AND(P1226&lt;&gt;"",S1226=""),"🟡 PENDÊNCIA ABERTA",IF(AND(N(J1226)&gt;0,N(K1226)&lt;J1226),"🟡 FALTA EXECUTAR",IF(OR(M1226="PENDENTE",M1226="PARCIAL"),"🟡 FATURAMENTO PENDENTE","🟡 EMBARQUE PENDENTE")))))))))))</f>
        <v/>
      </c>
      <c r="D1226" s="4" t="n"/>
      <c r="E1226" s="5" t="n"/>
      <c r="F1226" s="5" t="n"/>
      <c r="G1226" s="5" t="n"/>
      <c r="H1226" s="5" t="n"/>
      <c r="I1226" s="5" t="n"/>
      <c r="J1226" s="6" t="n"/>
      <c r="K1226" s="6" t="n"/>
      <c r="L1226" s="7">
        <f>IF(OR(D1226="",N(J1226)=0),"",MIN(1,N(K1226)/J1226))</f>
        <v/>
      </c>
      <c r="M1226" s="5" t="n"/>
      <c r="N1226" s="5" t="n"/>
      <c r="O1226" s="5" t="n"/>
      <c r="P1226" s="5" t="n"/>
      <c r="Q1226" s="5" t="n"/>
      <c r="R1226" s="4" t="n"/>
      <c r="S1226" s="4" t="n"/>
      <c r="T1226" s="5" t="n"/>
      <c r="U1226" s="8">
        <f>IF(AND(V1226=1,D1226&lt;&gt;""),IF(D1226&gt;=corte,TODAY()-D1226,""),"")</f>
        <v/>
      </c>
      <c r="V1226" s="8">
        <f>IF(D1226="",0,IF(OR(AND(P1226&lt;&gt;"",S1226=""),AND(N(J1226)&gt;0,N(K1226)&lt;J1226),OR(M1226="PENDENTE",M1226="PARCIAL"),OR(N1226="PENDENTE",N1226="PARCIAL")),1,0))</f>
        <v/>
      </c>
      <c r="W1226" s="8">
        <f>IF(AND(V1226=1,D1226&lt;&gt;""),IF(D1226&gt;=corte,(B1226="CRÍTICO")*1E9+(100000-D1226)*10000+10000-ROW(),""),"")</f>
        <v/>
      </c>
      <c r="X1226" s="8">
        <f>IF(AND(V1226=1,D1226=pas_data,E1226=pas_turno),10000-ROW(),"")</f>
        <v/>
      </c>
    </row>
    <row r="1227">
      <c r="A1227" s="3">
        <f>IF(D1227="","","TT-"&amp;TEXT(ROW()-1,"00000"))</f>
        <v/>
      </c>
      <c r="B1227" s="3">
        <f>IF(D1227="","",IF(V1227=0,"CONCLUÍDO",IF(D1227&lt;corte,"HISTÓRICO",IF(OR(AND(ISNUMBER(R1227),R1227&lt;TODAY()),AND(OR(N1227="PENDENTE",N1227="PARCIAL"),D1227&lt;TODAY()-1)),"CRÍTICO",IF(OR(AND(P1227&lt;&gt;"",S1227=""),AND(N1227="REALIZADO",M1227="PENDENTE"),AND(ISNUMBER(R1227),R1227=TODAY())),"ATENÇÃO",IF(N(K1227)=0,"PENDENTE","EM ANDAMENTO"))))))</f>
        <v/>
      </c>
      <c r="C1227" s="3">
        <f>IF(D1227="","",IF(V1227=0,"🟢 OK",IF(D1227&lt;corte,"⚪ HISTÓRICO (sem baixa)",IF(AND(ISNUMBER(R1227),R1227&lt;TODAY()),"🔴 PRAZO VENCIDO",IF(AND(OR(N1227="PENDENTE",N1227="PARCIAL"),D1227&lt;TODAY()-1),"🔴 EMBARQUE ATRASADO",IF(AND(N1227="REALIZADO",M1227="PENDENTE"),"🟡 EMBARCADO SEM FATURAR",IF(AND(P1227&lt;&gt;"",S1227="",OR(Q1227="",R1227="")),"🟡 PENDÊNCIA SEM RESPONSÁVEL/PRAZO",IF(AND(ISNUMBER(R1227),R1227=TODAY()),"🟡 VENCE HOJE",IF(AND(P1227&lt;&gt;"",S1227=""),"🟡 PENDÊNCIA ABERTA",IF(AND(N(J1227)&gt;0,N(K1227)&lt;J1227),"🟡 FALTA EXECUTAR",IF(OR(M1227="PENDENTE",M1227="PARCIAL"),"🟡 FATURAMENTO PENDENTE","🟡 EMBARQUE PENDENTE")))))))))))</f>
        <v/>
      </c>
      <c r="D1227" s="4" t="n"/>
      <c r="E1227" s="5" t="n"/>
      <c r="F1227" s="5" t="n"/>
      <c r="G1227" s="5" t="n"/>
      <c r="H1227" s="5" t="n"/>
      <c r="I1227" s="5" t="n"/>
      <c r="J1227" s="6" t="n"/>
      <c r="K1227" s="6" t="n"/>
      <c r="L1227" s="7">
        <f>IF(OR(D1227="",N(J1227)=0),"",MIN(1,N(K1227)/J1227))</f>
        <v/>
      </c>
      <c r="M1227" s="5" t="n"/>
      <c r="N1227" s="5" t="n"/>
      <c r="O1227" s="5" t="n"/>
      <c r="P1227" s="5" t="n"/>
      <c r="Q1227" s="5" t="n"/>
      <c r="R1227" s="4" t="n"/>
      <c r="S1227" s="4" t="n"/>
      <c r="T1227" s="5" t="n"/>
      <c r="U1227" s="8">
        <f>IF(AND(V1227=1,D1227&lt;&gt;""),IF(D1227&gt;=corte,TODAY()-D1227,""),"")</f>
        <v/>
      </c>
      <c r="V1227" s="8">
        <f>IF(D1227="",0,IF(OR(AND(P1227&lt;&gt;"",S1227=""),AND(N(J1227)&gt;0,N(K1227)&lt;J1227),OR(M1227="PENDENTE",M1227="PARCIAL"),OR(N1227="PENDENTE",N1227="PARCIAL")),1,0))</f>
        <v/>
      </c>
      <c r="W1227" s="8">
        <f>IF(AND(V1227=1,D1227&lt;&gt;""),IF(D1227&gt;=corte,(B1227="CRÍTICO")*1E9+(100000-D1227)*10000+10000-ROW(),""),"")</f>
        <v/>
      </c>
      <c r="X1227" s="8">
        <f>IF(AND(V1227=1,D1227=pas_data,E1227=pas_turno),10000-ROW(),"")</f>
        <v/>
      </c>
    </row>
    <row r="1228">
      <c r="A1228" s="3">
        <f>IF(D1228="","","TT-"&amp;TEXT(ROW()-1,"00000"))</f>
        <v/>
      </c>
      <c r="B1228" s="3">
        <f>IF(D1228="","",IF(V1228=0,"CONCLUÍDO",IF(D1228&lt;corte,"HISTÓRICO",IF(OR(AND(ISNUMBER(R1228),R1228&lt;TODAY()),AND(OR(N1228="PENDENTE",N1228="PARCIAL"),D1228&lt;TODAY()-1)),"CRÍTICO",IF(OR(AND(P1228&lt;&gt;"",S1228=""),AND(N1228="REALIZADO",M1228="PENDENTE"),AND(ISNUMBER(R1228),R1228=TODAY())),"ATENÇÃO",IF(N(K1228)=0,"PENDENTE","EM ANDAMENTO"))))))</f>
        <v/>
      </c>
      <c r="C1228" s="3">
        <f>IF(D1228="","",IF(V1228=0,"🟢 OK",IF(D1228&lt;corte,"⚪ HISTÓRICO (sem baixa)",IF(AND(ISNUMBER(R1228),R1228&lt;TODAY()),"🔴 PRAZO VENCIDO",IF(AND(OR(N1228="PENDENTE",N1228="PARCIAL"),D1228&lt;TODAY()-1),"🔴 EMBARQUE ATRASADO",IF(AND(N1228="REALIZADO",M1228="PENDENTE"),"🟡 EMBARCADO SEM FATURAR",IF(AND(P1228&lt;&gt;"",S1228="",OR(Q1228="",R1228="")),"🟡 PENDÊNCIA SEM RESPONSÁVEL/PRAZO",IF(AND(ISNUMBER(R1228),R1228=TODAY()),"🟡 VENCE HOJE",IF(AND(P1228&lt;&gt;"",S1228=""),"🟡 PENDÊNCIA ABERTA",IF(AND(N(J1228)&gt;0,N(K1228)&lt;J1228),"🟡 FALTA EXECUTAR",IF(OR(M1228="PENDENTE",M1228="PARCIAL"),"🟡 FATURAMENTO PENDENTE","🟡 EMBARQUE PENDENTE")))))))))))</f>
        <v/>
      </c>
      <c r="D1228" s="4" t="n"/>
      <c r="E1228" s="5" t="n"/>
      <c r="F1228" s="5" t="n"/>
      <c r="G1228" s="5" t="n"/>
      <c r="H1228" s="5" t="n"/>
      <c r="I1228" s="5" t="n"/>
      <c r="J1228" s="6" t="n"/>
      <c r="K1228" s="6" t="n"/>
      <c r="L1228" s="7">
        <f>IF(OR(D1228="",N(J1228)=0),"",MIN(1,N(K1228)/J1228))</f>
        <v/>
      </c>
      <c r="M1228" s="5" t="n"/>
      <c r="N1228" s="5" t="n"/>
      <c r="O1228" s="5" t="n"/>
      <c r="P1228" s="5" t="n"/>
      <c r="Q1228" s="5" t="n"/>
      <c r="R1228" s="4" t="n"/>
      <c r="S1228" s="4" t="n"/>
      <c r="T1228" s="5" t="n"/>
      <c r="U1228" s="8">
        <f>IF(AND(V1228=1,D1228&lt;&gt;""),IF(D1228&gt;=corte,TODAY()-D1228,""),"")</f>
        <v/>
      </c>
      <c r="V1228" s="8">
        <f>IF(D1228="",0,IF(OR(AND(P1228&lt;&gt;"",S1228=""),AND(N(J1228)&gt;0,N(K1228)&lt;J1228),OR(M1228="PENDENTE",M1228="PARCIAL"),OR(N1228="PENDENTE",N1228="PARCIAL")),1,0))</f>
        <v/>
      </c>
      <c r="W1228" s="8">
        <f>IF(AND(V1228=1,D1228&lt;&gt;""),IF(D1228&gt;=corte,(B1228="CRÍTICO")*1E9+(100000-D1228)*10000+10000-ROW(),""),"")</f>
        <v/>
      </c>
      <c r="X1228" s="8">
        <f>IF(AND(V1228=1,D1228=pas_data,E1228=pas_turno),10000-ROW(),"")</f>
        <v/>
      </c>
    </row>
    <row r="1229">
      <c r="A1229" s="3">
        <f>IF(D1229="","","TT-"&amp;TEXT(ROW()-1,"00000"))</f>
        <v/>
      </c>
      <c r="B1229" s="3">
        <f>IF(D1229="","",IF(V1229=0,"CONCLUÍDO",IF(D1229&lt;corte,"HISTÓRICO",IF(OR(AND(ISNUMBER(R1229),R1229&lt;TODAY()),AND(OR(N1229="PENDENTE",N1229="PARCIAL"),D1229&lt;TODAY()-1)),"CRÍTICO",IF(OR(AND(P1229&lt;&gt;"",S1229=""),AND(N1229="REALIZADO",M1229="PENDENTE"),AND(ISNUMBER(R1229),R1229=TODAY())),"ATENÇÃO",IF(N(K1229)=0,"PENDENTE","EM ANDAMENTO"))))))</f>
        <v/>
      </c>
      <c r="C1229" s="3">
        <f>IF(D1229="","",IF(V1229=0,"🟢 OK",IF(D1229&lt;corte,"⚪ HISTÓRICO (sem baixa)",IF(AND(ISNUMBER(R1229),R1229&lt;TODAY()),"🔴 PRAZO VENCIDO",IF(AND(OR(N1229="PENDENTE",N1229="PARCIAL"),D1229&lt;TODAY()-1),"🔴 EMBARQUE ATRASADO",IF(AND(N1229="REALIZADO",M1229="PENDENTE"),"🟡 EMBARCADO SEM FATURAR",IF(AND(P1229&lt;&gt;"",S1229="",OR(Q1229="",R1229="")),"🟡 PENDÊNCIA SEM RESPONSÁVEL/PRAZO",IF(AND(ISNUMBER(R1229),R1229=TODAY()),"🟡 VENCE HOJE",IF(AND(P1229&lt;&gt;"",S1229=""),"🟡 PENDÊNCIA ABERTA",IF(AND(N(J1229)&gt;0,N(K1229)&lt;J1229),"🟡 FALTA EXECUTAR",IF(OR(M1229="PENDENTE",M1229="PARCIAL"),"🟡 FATURAMENTO PENDENTE","🟡 EMBARQUE PENDENTE")))))))))))</f>
        <v/>
      </c>
      <c r="D1229" s="4" t="n"/>
      <c r="E1229" s="5" t="n"/>
      <c r="F1229" s="5" t="n"/>
      <c r="G1229" s="5" t="n"/>
      <c r="H1229" s="5" t="n"/>
      <c r="I1229" s="5" t="n"/>
      <c r="J1229" s="6" t="n"/>
      <c r="K1229" s="6" t="n"/>
      <c r="L1229" s="7">
        <f>IF(OR(D1229="",N(J1229)=0),"",MIN(1,N(K1229)/J1229))</f>
        <v/>
      </c>
      <c r="M1229" s="5" t="n"/>
      <c r="N1229" s="5" t="n"/>
      <c r="O1229" s="5" t="n"/>
      <c r="P1229" s="5" t="n"/>
      <c r="Q1229" s="5" t="n"/>
      <c r="R1229" s="4" t="n"/>
      <c r="S1229" s="4" t="n"/>
      <c r="T1229" s="5" t="n"/>
      <c r="U1229" s="8">
        <f>IF(AND(V1229=1,D1229&lt;&gt;""),IF(D1229&gt;=corte,TODAY()-D1229,""),"")</f>
        <v/>
      </c>
      <c r="V1229" s="8">
        <f>IF(D1229="",0,IF(OR(AND(P1229&lt;&gt;"",S1229=""),AND(N(J1229)&gt;0,N(K1229)&lt;J1229),OR(M1229="PENDENTE",M1229="PARCIAL"),OR(N1229="PENDENTE",N1229="PARCIAL")),1,0))</f>
        <v/>
      </c>
      <c r="W1229" s="8">
        <f>IF(AND(V1229=1,D1229&lt;&gt;""),IF(D1229&gt;=corte,(B1229="CRÍTICO")*1E9+(100000-D1229)*10000+10000-ROW(),""),"")</f>
        <v/>
      </c>
      <c r="X1229" s="8">
        <f>IF(AND(V1229=1,D1229=pas_data,E1229=pas_turno),10000-ROW(),"")</f>
        <v/>
      </c>
    </row>
    <row r="1230">
      <c r="A1230" s="3">
        <f>IF(D1230="","","TT-"&amp;TEXT(ROW()-1,"00000"))</f>
        <v/>
      </c>
      <c r="B1230" s="3">
        <f>IF(D1230="","",IF(V1230=0,"CONCLUÍDO",IF(D1230&lt;corte,"HISTÓRICO",IF(OR(AND(ISNUMBER(R1230),R1230&lt;TODAY()),AND(OR(N1230="PENDENTE",N1230="PARCIAL"),D1230&lt;TODAY()-1)),"CRÍTICO",IF(OR(AND(P1230&lt;&gt;"",S1230=""),AND(N1230="REALIZADO",M1230="PENDENTE"),AND(ISNUMBER(R1230),R1230=TODAY())),"ATENÇÃO",IF(N(K1230)=0,"PENDENTE","EM ANDAMENTO"))))))</f>
        <v/>
      </c>
      <c r="C1230" s="3">
        <f>IF(D1230="","",IF(V1230=0,"🟢 OK",IF(D1230&lt;corte,"⚪ HISTÓRICO (sem baixa)",IF(AND(ISNUMBER(R1230),R1230&lt;TODAY()),"🔴 PRAZO VENCIDO",IF(AND(OR(N1230="PENDENTE",N1230="PARCIAL"),D1230&lt;TODAY()-1),"🔴 EMBARQUE ATRASADO",IF(AND(N1230="REALIZADO",M1230="PENDENTE"),"🟡 EMBARCADO SEM FATURAR",IF(AND(P1230&lt;&gt;"",S1230="",OR(Q1230="",R1230="")),"🟡 PENDÊNCIA SEM RESPONSÁVEL/PRAZO",IF(AND(ISNUMBER(R1230),R1230=TODAY()),"🟡 VENCE HOJE",IF(AND(P1230&lt;&gt;"",S1230=""),"🟡 PENDÊNCIA ABERTA",IF(AND(N(J1230)&gt;0,N(K1230)&lt;J1230),"🟡 FALTA EXECUTAR",IF(OR(M1230="PENDENTE",M1230="PARCIAL"),"🟡 FATURAMENTO PENDENTE","🟡 EMBARQUE PENDENTE")))))))))))</f>
        <v/>
      </c>
      <c r="D1230" s="4" t="n"/>
      <c r="E1230" s="5" t="n"/>
      <c r="F1230" s="5" t="n"/>
      <c r="G1230" s="5" t="n"/>
      <c r="H1230" s="5" t="n"/>
      <c r="I1230" s="5" t="n"/>
      <c r="J1230" s="6" t="n"/>
      <c r="K1230" s="6" t="n"/>
      <c r="L1230" s="7">
        <f>IF(OR(D1230="",N(J1230)=0),"",MIN(1,N(K1230)/J1230))</f>
        <v/>
      </c>
      <c r="M1230" s="5" t="n"/>
      <c r="N1230" s="5" t="n"/>
      <c r="O1230" s="5" t="n"/>
      <c r="P1230" s="5" t="n"/>
      <c r="Q1230" s="5" t="n"/>
      <c r="R1230" s="4" t="n"/>
      <c r="S1230" s="4" t="n"/>
      <c r="T1230" s="5" t="n"/>
      <c r="U1230" s="8">
        <f>IF(AND(V1230=1,D1230&lt;&gt;""),IF(D1230&gt;=corte,TODAY()-D1230,""),"")</f>
        <v/>
      </c>
      <c r="V1230" s="8">
        <f>IF(D1230="",0,IF(OR(AND(P1230&lt;&gt;"",S1230=""),AND(N(J1230)&gt;0,N(K1230)&lt;J1230),OR(M1230="PENDENTE",M1230="PARCIAL"),OR(N1230="PENDENTE",N1230="PARCIAL")),1,0))</f>
        <v/>
      </c>
      <c r="W1230" s="8">
        <f>IF(AND(V1230=1,D1230&lt;&gt;""),IF(D1230&gt;=corte,(B1230="CRÍTICO")*1E9+(100000-D1230)*10000+10000-ROW(),""),"")</f>
        <v/>
      </c>
      <c r="X1230" s="8">
        <f>IF(AND(V1230=1,D1230=pas_data,E1230=pas_turno),10000-ROW(),"")</f>
        <v/>
      </c>
    </row>
    <row r="1231">
      <c r="A1231" s="3">
        <f>IF(D1231="","","TT-"&amp;TEXT(ROW()-1,"00000"))</f>
        <v/>
      </c>
      <c r="B1231" s="3">
        <f>IF(D1231="","",IF(V1231=0,"CONCLUÍDO",IF(D1231&lt;corte,"HISTÓRICO",IF(OR(AND(ISNUMBER(R1231),R1231&lt;TODAY()),AND(OR(N1231="PENDENTE",N1231="PARCIAL"),D1231&lt;TODAY()-1)),"CRÍTICO",IF(OR(AND(P1231&lt;&gt;"",S1231=""),AND(N1231="REALIZADO",M1231="PENDENTE"),AND(ISNUMBER(R1231),R1231=TODAY())),"ATENÇÃO",IF(N(K1231)=0,"PENDENTE","EM ANDAMENTO"))))))</f>
        <v/>
      </c>
      <c r="C1231" s="3">
        <f>IF(D1231="","",IF(V1231=0,"🟢 OK",IF(D1231&lt;corte,"⚪ HISTÓRICO (sem baixa)",IF(AND(ISNUMBER(R1231),R1231&lt;TODAY()),"🔴 PRAZO VENCIDO",IF(AND(OR(N1231="PENDENTE",N1231="PARCIAL"),D1231&lt;TODAY()-1),"🔴 EMBARQUE ATRASADO",IF(AND(N1231="REALIZADO",M1231="PENDENTE"),"🟡 EMBARCADO SEM FATURAR",IF(AND(P1231&lt;&gt;"",S1231="",OR(Q1231="",R1231="")),"🟡 PENDÊNCIA SEM RESPONSÁVEL/PRAZO",IF(AND(ISNUMBER(R1231),R1231=TODAY()),"🟡 VENCE HOJE",IF(AND(P1231&lt;&gt;"",S1231=""),"🟡 PENDÊNCIA ABERTA",IF(AND(N(J1231)&gt;0,N(K1231)&lt;J1231),"🟡 FALTA EXECUTAR",IF(OR(M1231="PENDENTE",M1231="PARCIAL"),"🟡 FATURAMENTO PENDENTE","🟡 EMBARQUE PENDENTE")))))))))))</f>
        <v/>
      </c>
      <c r="D1231" s="4" t="n"/>
      <c r="E1231" s="5" t="n"/>
      <c r="F1231" s="5" t="n"/>
      <c r="G1231" s="5" t="n"/>
      <c r="H1231" s="5" t="n"/>
      <c r="I1231" s="5" t="n"/>
      <c r="J1231" s="6" t="n"/>
      <c r="K1231" s="6" t="n"/>
      <c r="L1231" s="7">
        <f>IF(OR(D1231="",N(J1231)=0),"",MIN(1,N(K1231)/J1231))</f>
        <v/>
      </c>
      <c r="M1231" s="5" t="n"/>
      <c r="N1231" s="5" t="n"/>
      <c r="O1231" s="5" t="n"/>
      <c r="P1231" s="5" t="n"/>
      <c r="Q1231" s="5" t="n"/>
      <c r="R1231" s="4" t="n"/>
      <c r="S1231" s="4" t="n"/>
      <c r="T1231" s="5" t="n"/>
      <c r="U1231" s="8">
        <f>IF(AND(V1231=1,D1231&lt;&gt;""),IF(D1231&gt;=corte,TODAY()-D1231,""),"")</f>
        <v/>
      </c>
      <c r="V1231" s="8">
        <f>IF(D1231="",0,IF(OR(AND(P1231&lt;&gt;"",S1231=""),AND(N(J1231)&gt;0,N(K1231)&lt;J1231),OR(M1231="PENDENTE",M1231="PARCIAL"),OR(N1231="PENDENTE",N1231="PARCIAL")),1,0))</f>
        <v/>
      </c>
      <c r="W1231" s="8">
        <f>IF(AND(V1231=1,D1231&lt;&gt;""),IF(D1231&gt;=corte,(B1231="CRÍTICO")*1E9+(100000-D1231)*10000+10000-ROW(),""),"")</f>
        <v/>
      </c>
      <c r="X1231" s="8">
        <f>IF(AND(V1231=1,D1231=pas_data,E1231=pas_turno),10000-ROW(),"")</f>
        <v/>
      </c>
    </row>
    <row r="1232">
      <c r="A1232" s="3">
        <f>IF(D1232="","","TT-"&amp;TEXT(ROW()-1,"00000"))</f>
        <v/>
      </c>
      <c r="B1232" s="3">
        <f>IF(D1232="","",IF(V1232=0,"CONCLUÍDO",IF(D1232&lt;corte,"HISTÓRICO",IF(OR(AND(ISNUMBER(R1232),R1232&lt;TODAY()),AND(OR(N1232="PENDENTE",N1232="PARCIAL"),D1232&lt;TODAY()-1)),"CRÍTICO",IF(OR(AND(P1232&lt;&gt;"",S1232=""),AND(N1232="REALIZADO",M1232="PENDENTE"),AND(ISNUMBER(R1232),R1232=TODAY())),"ATENÇÃO",IF(N(K1232)=0,"PENDENTE","EM ANDAMENTO"))))))</f>
        <v/>
      </c>
      <c r="C1232" s="3">
        <f>IF(D1232="","",IF(V1232=0,"🟢 OK",IF(D1232&lt;corte,"⚪ HISTÓRICO (sem baixa)",IF(AND(ISNUMBER(R1232),R1232&lt;TODAY()),"🔴 PRAZO VENCIDO",IF(AND(OR(N1232="PENDENTE",N1232="PARCIAL"),D1232&lt;TODAY()-1),"🔴 EMBARQUE ATRASADO",IF(AND(N1232="REALIZADO",M1232="PENDENTE"),"🟡 EMBARCADO SEM FATURAR",IF(AND(P1232&lt;&gt;"",S1232="",OR(Q1232="",R1232="")),"🟡 PENDÊNCIA SEM RESPONSÁVEL/PRAZO",IF(AND(ISNUMBER(R1232),R1232=TODAY()),"🟡 VENCE HOJE",IF(AND(P1232&lt;&gt;"",S1232=""),"🟡 PENDÊNCIA ABERTA",IF(AND(N(J1232)&gt;0,N(K1232)&lt;J1232),"🟡 FALTA EXECUTAR",IF(OR(M1232="PENDENTE",M1232="PARCIAL"),"🟡 FATURAMENTO PENDENTE","🟡 EMBARQUE PENDENTE")))))))))))</f>
        <v/>
      </c>
      <c r="D1232" s="4" t="n"/>
      <c r="E1232" s="5" t="n"/>
      <c r="F1232" s="5" t="n"/>
      <c r="G1232" s="5" t="n"/>
      <c r="H1232" s="5" t="n"/>
      <c r="I1232" s="5" t="n"/>
      <c r="J1232" s="6" t="n"/>
      <c r="K1232" s="6" t="n"/>
      <c r="L1232" s="7">
        <f>IF(OR(D1232="",N(J1232)=0),"",MIN(1,N(K1232)/J1232))</f>
        <v/>
      </c>
      <c r="M1232" s="5" t="n"/>
      <c r="N1232" s="5" t="n"/>
      <c r="O1232" s="5" t="n"/>
      <c r="P1232" s="5" t="n"/>
      <c r="Q1232" s="5" t="n"/>
      <c r="R1232" s="4" t="n"/>
      <c r="S1232" s="4" t="n"/>
      <c r="T1232" s="5" t="n"/>
      <c r="U1232" s="8">
        <f>IF(AND(V1232=1,D1232&lt;&gt;""),IF(D1232&gt;=corte,TODAY()-D1232,""),"")</f>
        <v/>
      </c>
      <c r="V1232" s="8">
        <f>IF(D1232="",0,IF(OR(AND(P1232&lt;&gt;"",S1232=""),AND(N(J1232)&gt;0,N(K1232)&lt;J1232),OR(M1232="PENDENTE",M1232="PARCIAL"),OR(N1232="PENDENTE",N1232="PARCIAL")),1,0))</f>
        <v/>
      </c>
      <c r="W1232" s="8">
        <f>IF(AND(V1232=1,D1232&lt;&gt;""),IF(D1232&gt;=corte,(B1232="CRÍTICO")*1E9+(100000-D1232)*10000+10000-ROW(),""),"")</f>
        <v/>
      </c>
      <c r="X1232" s="8">
        <f>IF(AND(V1232=1,D1232=pas_data,E1232=pas_turno),10000-ROW(),"")</f>
        <v/>
      </c>
    </row>
    <row r="1233">
      <c r="A1233" s="3">
        <f>IF(D1233="","","TT-"&amp;TEXT(ROW()-1,"00000"))</f>
        <v/>
      </c>
      <c r="B1233" s="3">
        <f>IF(D1233="","",IF(V1233=0,"CONCLUÍDO",IF(D1233&lt;corte,"HISTÓRICO",IF(OR(AND(ISNUMBER(R1233),R1233&lt;TODAY()),AND(OR(N1233="PENDENTE",N1233="PARCIAL"),D1233&lt;TODAY()-1)),"CRÍTICO",IF(OR(AND(P1233&lt;&gt;"",S1233=""),AND(N1233="REALIZADO",M1233="PENDENTE"),AND(ISNUMBER(R1233),R1233=TODAY())),"ATENÇÃO",IF(N(K1233)=0,"PENDENTE","EM ANDAMENTO"))))))</f>
        <v/>
      </c>
      <c r="C1233" s="3">
        <f>IF(D1233="","",IF(V1233=0,"🟢 OK",IF(D1233&lt;corte,"⚪ HISTÓRICO (sem baixa)",IF(AND(ISNUMBER(R1233),R1233&lt;TODAY()),"🔴 PRAZO VENCIDO",IF(AND(OR(N1233="PENDENTE",N1233="PARCIAL"),D1233&lt;TODAY()-1),"🔴 EMBARQUE ATRASADO",IF(AND(N1233="REALIZADO",M1233="PENDENTE"),"🟡 EMBARCADO SEM FATURAR",IF(AND(P1233&lt;&gt;"",S1233="",OR(Q1233="",R1233="")),"🟡 PENDÊNCIA SEM RESPONSÁVEL/PRAZO",IF(AND(ISNUMBER(R1233),R1233=TODAY()),"🟡 VENCE HOJE",IF(AND(P1233&lt;&gt;"",S1233=""),"🟡 PENDÊNCIA ABERTA",IF(AND(N(J1233)&gt;0,N(K1233)&lt;J1233),"🟡 FALTA EXECUTAR",IF(OR(M1233="PENDENTE",M1233="PARCIAL"),"🟡 FATURAMENTO PENDENTE","🟡 EMBARQUE PENDENTE")))))))))))</f>
        <v/>
      </c>
      <c r="D1233" s="4" t="n"/>
      <c r="E1233" s="5" t="n"/>
      <c r="F1233" s="5" t="n"/>
      <c r="G1233" s="5" t="n"/>
      <c r="H1233" s="5" t="n"/>
      <c r="I1233" s="5" t="n"/>
      <c r="J1233" s="6" t="n"/>
      <c r="K1233" s="6" t="n"/>
      <c r="L1233" s="7">
        <f>IF(OR(D1233="",N(J1233)=0),"",MIN(1,N(K1233)/J1233))</f>
        <v/>
      </c>
      <c r="M1233" s="5" t="n"/>
      <c r="N1233" s="5" t="n"/>
      <c r="O1233" s="5" t="n"/>
      <c r="P1233" s="5" t="n"/>
      <c r="Q1233" s="5" t="n"/>
      <c r="R1233" s="4" t="n"/>
      <c r="S1233" s="4" t="n"/>
      <c r="T1233" s="5" t="n"/>
      <c r="U1233" s="8">
        <f>IF(AND(V1233=1,D1233&lt;&gt;""),IF(D1233&gt;=corte,TODAY()-D1233,""),"")</f>
        <v/>
      </c>
      <c r="V1233" s="8">
        <f>IF(D1233="",0,IF(OR(AND(P1233&lt;&gt;"",S1233=""),AND(N(J1233)&gt;0,N(K1233)&lt;J1233),OR(M1233="PENDENTE",M1233="PARCIAL"),OR(N1233="PENDENTE",N1233="PARCIAL")),1,0))</f>
        <v/>
      </c>
      <c r="W1233" s="8">
        <f>IF(AND(V1233=1,D1233&lt;&gt;""),IF(D1233&gt;=corte,(B1233="CRÍTICO")*1E9+(100000-D1233)*10000+10000-ROW(),""),"")</f>
        <v/>
      </c>
      <c r="X1233" s="8">
        <f>IF(AND(V1233=1,D1233=pas_data,E1233=pas_turno),10000-ROW(),"")</f>
        <v/>
      </c>
    </row>
    <row r="1234">
      <c r="A1234" s="3">
        <f>IF(D1234="","","TT-"&amp;TEXT(ROW()-1,"00000"))</f>
        <v/>
      </c>
      <c r="B1234" s="3">
        <f>IF(D1234="","",IF(V1234=0,"CONCLUÍDO",IF(D1234&lt;corte,"HISTÓRICO",IF(OR(AND(ISNUMBER(R1234),R1234&lt;TODAY()),AND(OR(N1234="PENDENTE",N1234="PARCIAL"),D1234&lt;TODAY()-1)),"CRÍTICO",IF(OR(AND(P1234&lt;&gt;"",S1234=""),AND(N1234="REALIZADO",M1234="PENDENTE"),AND(ISNUMBER(R1234),R1234=TODAY())),"ATENÇÃO",IF(N(K1234)=0,"PENDENTE","EM ANDAMENTO"))))))</f>
        <v/>
      </c>
      <c r="C1234" s="3">
        <f>IF(D1234="","",IF(V1234=0,"🟢 OK",IF(D1234&lt;corte,"⚪ HISTÓRICO (sem baixa)",IF(AND(ISNUMBER(R1234),R1234&lt;TODAY()),"🔴 PRAZO VENCIDO",IF(AND(OR(N1234="PENDENTE",N1234="PARCIAL"),D1234&lt;TODAY()-1),"🔴 EMBARQUE ATRASADO",IF(AND(N1234="REALIZADO",M1234="PENDENTE"),"🟡 EMBARCADO SEM FATURAR",IF(AND(P1234&lt;&gt;"",S1234="",OR(Q1234="",R1234="")),"🟡 PENDÊNCIA SEM RESPONSÁVEL/PRAZO",IF(AND(ISNUMBER(R1234),R1234=TODAY()),"🟡 VENCE HOJE",IF(AND(P1234&lt;&gt;"",S1234=""),"🟡 PENDÊNCIA ABERTA",IF(AND(N(J1234)&gt;0,N(K1234)&lt;J1234),"🟡 FALTA EXECUTAR",IF(OR(M1234="PENDENTE",M1234="PARCIAL"),"🟡 FATURAMENTO PENDENTE","🟡 EMBARQUE PENDENTE")))))))))))</f>
        <v/>
      </c>
      <c r="D1234" s="4" t="n"/>
      <c r="E1234" s="5" t="n"/>
      <c r="F1234" s="5" t="n"/>
      <c r="G1234" s="5" t="n"/>
      <c r="H1234" s="5" t="n"/>
      <c r="I1234" s="5" t="n"/>
      <c r="J1234" s="6" t="n"/>
      <c r="K1234" s="6" t="n"/>
      <c r="L1234" s="7">
        <f>IF(OR(D1234="",N(J1234)=0),"",MIN(1,N(K1234)/J1234))</f>
        <v/>
      </c>
      <c r="M1234" s="5" t="n"/>
      <c r="N1234" s="5" t="n"/>
      <c r="O1234" s="5" t="n"/>
      <c r="P1234" s="5" t="n"/>
      <c r="Q1234" s="5" t="n"/>
      <c r="R1234" s="4" t="n"/>
      <c r="S1234" s="4" t="n"/>
      <c r="T1234" s="5" t="n"/>
      <c r="U1234" s="8">
        <f>IF(AND(V1234=1,D1234&lt;&gt;""),IF(D1234&gt;=corte,TODAY()-D1234,""),"")</f>
        <v/>
      </c>
      <c r="V1234" s="8">
        <f>IF(D1234="",0,IF(OR(AND(P1234&lt;&gt;"",S1234=""),AND(N(J1234)&gt;0,N(K1234)&lt;J1234),OR(M1234="PENDENTE",M1234="PARCIAL"),OR(N1234="PENDENTE",N1234="PARCIAL")),1,0))</f>
        <v/>
      </c>
      <c r="W1234" s="8">
        <f>IF(AND(V1234=1,D1234&lt;&gt;""),IF(D1234&gt;=corte,(B1234="CRÍTICO")*1E9+(100000-D1234)*10000+10000-ROW(),""),"")</f>
        <v/>
      </c>
      <c r="X1234" s="8">
        <f>IF(AND(V1234=1,D1234=pas_data,E1234=pas_turno),10000-ROW(),"")</f>
        <v/>
      </c>
    </row>
    <row r="1235">
      <c r="A1235" s="3">
        <f>IF(D1235="","","TT-"&amp;TEXT(ROW()-1,"00000"))</f>
        <v/>
      </c>
      <c r="B1235" s="3">
        <f>IF(D1235="","",IF(V1235=0,"CONCLUÍDO",IF(D1235&lt;corte,"HISTÓRICO",IF(OR(AND(ISNUMBER(R1235),R1235&lt;TODAY()),AND(OR(N1235="PENDENTE",N1235="PARCIAL"),D1235&lt;TODAY()-1)),"CRÍTICO",IF(OR(AND(P1235&lt;&gt;"",S1235=""),AND(N1235="REALIZADO",M1235="PENDENTE"),AND(ISNUMBER(R1235),R1235=TODAY())),"ATENÇÃO",IF(N(K1235)=0,"PENDENTE","EM ANDAMENTO"))))))</f>
        <v/>
      </c>
      <c r="C1235" s="3">
        <f>IF(D1235="","",IF(V1235=0,"🟢 OK",IF(D1235&lt;corte,"⚪ HISTÓRICO (sem baixa)",IF(AND(ISNUMBER(R1235),R1235&lt;TODAY()),"🔴 PRAZO VENCIDO",IF(AND(OR(N1235="PENDENTE",N1235="PARCIAL"),D1235&lt;TODAY()-1),"🔴 EMBARQUE ATRASADO",IF(AND(N1235="REALIZADO",M1235="PENDENTE"),"🟡 EMBARCADO SEM FATURAR",IF(AND(P1235&lt;&gt;"",S1235="",OR(Q1235="",R1235="")),"🟡 PENDÊNCIA SEM RESPONSÁVEL/PRAZO",IF(AND(ISNUMBER(R1235),R1235=TODAY()),"🟡 VENCE HOJE",IF(AND(P1235&lt;&gt;"",S1235=""),"🟡 PENDÊNCIA ABERTA",IF(AND(N(J1235)&gt;0,N(K1235)&lt;J1235),"🟡 FALTA EXECUTAR",IF(OR(M1235="PENDENTE",M1235="PARCIAL"),"🟡 FATURAMENTO PENDENTE","🟡 EMBARQUE PENDENTE")))))))))))</f>
        <v/>
      </c>
      <c r="D1235" s="4" t="n"/>
      <c r="E1235" s="5" t="n"/>
      <c r="F1235" s="5" t="n"/>
      <c r="G1235" s="5" t="n"/>
      <c r="H1235" s="5" t="n"/>
      <c r="I1235" s="5" t="n"/>
      <c r="J1235" s="6" t="n"/>
      <c r="K1235" s="6" t="n"/>
      <c r="L1235" s="7">
        <f>IF(OR(D1235="",N(J1235)=0),"",MIN(1,N(K1235)/J1235))</f>
        <v/>
      </c>
      <c r="M1235" s="5" t="n"/>
      <c r="N1235" s="5" t="n"/>
      <c r="O1235" s="5" t="n"/>
      <c r="P1235" s="5" t="n"/>
      <c r="Q1235" s="5" t="n"/>
      <c r="R1235" s="4" t="n"/>
      <c r="S1235" s="4" t="n"/>
      <c r="T1235" s="5" t="n"/>
      <c r="U1235" s="8">
        <f>IF(AND(V1235=1,D1235&lt;&gt;""),IF(D1235&gt;=corte,TODAY()-D1235,""),"")</f>
        <v/>
      </c>
      <c r="V1235" s="8">
        <f>IF(D1235="",0,IF(OR(AND(P1235&lt;&gt;"",S1235=""),AND(N(J1235)&gt;0,N(K1235)&lt;J1235),OR(M1235="PENDENTE",M1235="PARCIAL"),OR(N1235="PENDENTE",N1235="PARCIAL")),1,0))</f>
        <v/>
      </c>
      <c r="W1235" s="8">
        <f>IF(AND(V1235=1,D1235&lt;&gt;""),IF(D1235&gt;=corte,(B1235="CRÍTICO")*1E9+(100000-D1235)*10000+10000-ROW(),""),"")</f>
        <v/>
      </c>
      <c r="X1235" s="8">
        <f>IF(AND(V1235=1,D1235=pas_data,E1235=pas_turno),10000-ROW(),"")</f>
        <v/>
      </c>
    </row>
    <row r="1236">
      <c r="A1236" s="3">
        <f>IF(D1236="","","TT-"&amp;TEXT(ROW()-1,"00000"))</f>
        <v/>
      </c>
      <c r="B1236" s="3">
        <f>IF(D1236="","",IF(V1236=0,"CONCLUÍDO",IF(D1236&lt;corte,"HISTÓRICO",IF(OR(AND(ISNUMBER(R1236),R1236&lt;TODAY()),AND(OR(N1236="PENDENTE",N1236="PARCIAL"),D1236&lt;TODAY()-1)),"CRÍTICO",IF(OR(AND(P1236&lt;&gt;"",S1236=""),AND(N1236="REALIZADO",M1236="PENDENTE"),AND(ISNUMBER(R1236),R1236=TODAY())),"ATENÇÃO",IF(N(K1236)=0,"PENDENTE","EM ANDAMENTO"))))))</f>
        <v/>
      </c>
      <c r="C1236" s="3">
        <f>IF(D1236="","",IF(V1236=0,"🟢 OK",IF(D1236&lt;corte,"⚪ HISTÓRICO (sem baixa)",IF(AND(ISNUMBER(R1236),R1236&lt;TODAY()),"🔴 PRAZO VENCIDO",IF(AND(OR(N1236="PENDENTE",N1236="PARCIAL"),D1236&lt;TODAY()-1),"🔴 EMBARQUE ATRASADO",IF(AND(N1236="REALIZADO",M1236="PENDENTE"),"🟡 EMBARCADO SEM FATURAR",IF(AND(P1236&lt;&gt;"",S1236="",OR(Q1236="",R1236="")),"🟡 PENDÊNCIA SEM RESPONSÁVEL/PRAZO",IF(AND(ISNUMBER(R1236),R1236=TODAY()),"🟡 VENCE HOJE",IF(AND(P1236&lt;&gt;"",S1236=""),"🟡 PENDÊNCIA ABERTA",IF(AND(N(J1236)&gt;0,N(K1236)&lt;J1236),"🟡 FALTA EXECUTAR",IF(OR(M1236="PENDENTE",M1236="PARCIAL"),"🟡 FATURAMENTO PENDENTE","🟡 EMBARQUE PENDENTE")))))))))))</f>
        <v/>
      </c>
      <c r="D1236" s="4" t="n"/>
      <c r="E1236" s="5" t="n"/>
      <c r="F1236" s="5" t="n"/>
      <c r="G1236" s="5" t="n"/>
      <c r="H1236" s="5" t="n"/>
      <c r="I1236" s="5" t="n"/>
      <c r="J1236" s="6" t="n"/>
      <c r="K1236" s="6" t="n"/>
      <c r="L1236" s="7">
        <f>IF(OR(D1236="",N(J1236)=0),"",MIN(1,N(K1236)/J1236))</f>
        <v/>
      </c>
      <c r="M1236" s="5" t="n"/>
      <c r="N1236" s="5" t="n"/>
      <c r="O1236" s="5" t="n"/>
      <c r="P1236" s="5" t="n"/>
      <c r="Q1236" s="5" t="n"/>
      <c r="R1236" s="4" t="n"/>
      <c r="S1236" s="4" t="n"/>
      <c r="T1236" s="5" t="n"/>
      <c r="U1236" s="8">
        <f>IF(AND(V1236=1,D1236&lt;&gt;""),IF(D1236&gt;=corte,TODAY()-D1236,""),"")</f>
        <v/>
      </c>
      <c r="V1236" s="8">
        <f>IF(D1236="",0,IF(OR(AND(P1236&lt;&gt;"",S1236=""),AND(N(J1236)&gt;0,N(K1236)&lt;J1236),OR(M1236="PENDENTE",M1236="PARCIAL"),OR(N1236="PENDENTE",N1236="PARCIAL")),1,0))</f>
        <v/>
      </c>
      <c r="W1236" s="8">
        <f>IF(AND(V1236=1,D1236&lt;&gt;""),IF(D1236&gt;=corte,(B1236="CRÍTICO")*1E9+(100000-D1236)*10000+10000-ROW(),""),"")</f>
        <v/>
      </c>
      <c r="X1236" s="8">
        <f>IF(AND(V1236=1,D1236=pas_data,E1236=pas_turno),10000-ROW(),"")</f>
        <v/>
      </c>
    </row>
    <row r="1237">
      <c r="A1237" s="3">
        <f>IF(D1237="","","TT-"&amp;TEXT(ROW()-1,"00000"))</f>
        <v/>
      </c>
      <c r="B1237" s="3">
        <f>IF(D1237="","",IF(V1237=0,"CONCLUÍDO",IF(D1237&lt;corte,"HISTÓRICO",IF(OR(AND(ISNUMBER(R1237),R1237&lt;TODAY()),AND(OR(N1237="PENDENTE",N1237="PARCIAL"),D1237&lt;TODAY()-1)),"CRÍTICO",IF(OR(AND(P1237&lt;&gt;"",S1237=""),AND(N1237="REALIZADO",M1237="PENDENTE"),AND(ISNUMBER(R1237),R1237=TODAY())),"ATENÇÃO",IF(N(K1237)=0,"PENDENTE","EM ANDAMENTO"))))))</f>
        <v/>
      </c>
      <c r="C1237" s="3">
        <f>IF(D1237="","",IF(V1237=0,"🟢 OK",IF(D1237&lt;corte,"⚪ HISTÓRICO (sem baixa)",IF(AND(ISNUMBER(R1237),R1237&lt;TODAY()),"🔴 PRAZO VENCIDO",IF(AND(OR(N1237="PENDENTE",N1237="PARCIAL"),D1237&lt;TODAY()-1),"🔴 EMBARQUE ATRASADO",IF(AND(N1237="REALIZADO",M1237="PENDENTE"),"🟡 EMBARCADO SEM FATURAR",IF(AND(P1237&lt;&gt;"",S1237="",OR(Q1237="",R1237="")),"🟡 PENDÊNCIA SEM RESPONSÁVEL/PRAZO",IF(AND(ISNUMBER(R1237),R1237=TODAY()),"🟡 VENCE HOJE",IF(AND(P1237&lt;&gt;"",S1237=""),"🟡 PENDÊNCIA ABERTA",IF(AND(N(J1237)&gt;0,N(K1237)&lt;J1237),"🟡 FALTA EXECUTAR",IF(OR(M1237="PENDENTE",M1237="PARCIAL"),"🟡 FATURAMENTO PENDENTE","🟡 EMBARQUE PENDENTE")))))))))))</f>
        <v/>
      </c>
      <c r="D1237" s="4" t="n"/>
      <c r="E1237" s="5" t="n"/>
      <c r="F1237" s="5" t="n"/>
      <c r="G1237" s="5" t="n"/>
      <c r="H1237" s="5" t="n"/>
      <c r="I1237" s="5" t="n"/>
      <c r="J1237" s="6" t="n"/>
      <c r="K1237" s="6" t="n"/>
      <c r="L1237" s="7">
        <f>IF(OR(D1237="",N(J1237)=0),"",MIN(1,N(K1237)/J1237))</f>
        <v/>
      </c>
      <c r="M1237" s="5" t="n"/>
      <c r="N1237" s="5" t="n"/>
      <c r="O1237" s="5" t="n"/>
      <c r="P1237" s="5" t="n"/>
      <c r="Q1237" s="5" t="n"/>
      <c r="R1237" s="4" t="n"/>
      <c r="S1237" s="4" t="n"/>
      <c r="T1237" s="5" t="n"/>
      <c r="U1237" s="8">
        <f>IF(AND(V1237=1,D1237&lt;&gt;""),IF(D1237&gt;=corte,TODAY()-D1237,""),"")</f>
        <v/>
      </c>
      <c r="V1237" s="8">
        <f>IF(D1237="",0,IF(OR(AND(P1237&lt;&gt;"",S1237=""),AND(N(J1237)&gt;0,N(K1237)&lt;J1237),OR(M1237="PENDENTE",M1237="PARCIAL"),OR(N1237="PENDENTE",N1237="PARCIAL")),1,0))</f>
        <v/>
      </c>
      <c r="W1237" s="8">
        <f>IF(AND(V1237=1,D1237&lt;&gt;""),IF(D1237&gt;=corte,(B1237="CRÍTICO")*1E9+(100000-D1237)*10000+10000-ROW(),""),"")</f>
        <v/>
      </c>
      <c r="X1237" s="8">
        <f>IF(AND(V1237=1,D1237=pas_data,E1237=pas_turno),10000-ROW(),"")</f>
        <v/>
      </c>
    </row>
    <row r="1238">
      <c r="A1238" s="3">
        <f>IF(D1238="","","TT-"&amp;TEXT(ROW()-1,"00000"))</f>
        <v/>
      </c>
      <c r="B1238" s="3">
        <f>IF(D1238="","",IF(V1238=0,"CONCLUÍDO",IF(D1238&lt;corte,"HISTÓRICO",IF(OR(AND(ISNUMBER(R1238),R1238&lt;TODAY()),AND(OR(N1238="PENDENTE",N1238="PARCIAL"),D1238&lt;TODAY()-1)),"CRÍTICO",IF(OR(AND(P1238&lt;&gt;"",S1238=""),AND(N1238="REALIZADO",M1238="PENDENTE"),AND(ISNUMBER(R1238),R1238=TODAY())),"ATENÇÃO",IF(N(K1238)=0,"PENDENTE","EM ANDAMENTO"))))))</f>
        <v/>
      </c>
      <c r="C1238" s="3">
        <f>IF(D1238="","",IF(V1238=0,"🟢 OK",IF(D1238&lt;corte,"⚪ HISTÓRICO (sem baixa)",IF(AND(ISNUMBER(R1238),R1238&lt;TODAY()),"🔴 PRAZO VENCIDO",IF(AND(OR(N1238="PENDENTE",N1238="PARCIAL"),D1238&lt;TODAY()-1),"🔴 EMBARQUE ATRASADO",IF(AND(N1238="REALIZADO",M1238="PENDENTE"),"🟡 EMBARCADO SEM FATURAR",IF(AND(P1238&lt;&gt;"",S1238="",OR(Q1238="",R1238="")),"🟡 PENDÊNCIA SEM RESPONSÁVEL/PRAZO",IF(AND(ISNUMBER(R1238),R1238=TODAY()),"🟡 VENCE HOJE",IF(AND(P1238&lt;&gt;"",S1238=""),"🟡 PENDÊNCIA ABERTA",IF(AND(N(J1238)&gt;0,N(K1238)&lt;J1238),"🟡 FALTA EXECUTAR",IF(OR(M1238="PENDENTE",M1238="PARCIAL"),"🟡 FATURAMENTO PENDENTE","🟡 EMBARQUE PENDENTE")))))))))))</f>
        <v/>
      </c>
      <c r="D1238" s="4" t="n"/>
      <c r="E1238" s="5" t="n"/>
      <c r="F1238" s="5" t="n"/>
      <c r="G1238" s="5" t="n"/>
      <c r="H1238" s="5" t="n"/>
      <c r="I1238" s="5" t="n"/>
      <c r="J1238" s="6" t="n"/>
      <c r="K1238" s="6" t="n"/>
      <c r="L1238" s="7">
        <f>IF(OR(D1238="",N(J1238)=0),"",MIN(1,N(K1238)/J1238))</f>
        <v/>
      </c>
      <c r="M1238" s="5" t="n"/>
      <c r="N1238" s="5" t="n"/>
      <c r="O1238" s="5" t="n"/>
      <c r="P1238" s="5" t="n"/>
      <c r="Q1238" s="5" t="n"/>
      <c r="R1238" s="4" t="n"/>
      <c r="S1238" s="4" t="n"/>
      <c r="T1238" s="5" t="n"/>
      <c r="U1238" s="8">
        <f>IF(AND(V1238=1,D1238&lt;&gt;""),IF(D1238&gt;=corte,TODAY()-D1238,""),"")</f>
        <v/>
      </c>
      <c r="V1238" s="8">
        <f>IF(D1238="",0,IF(OR(AND(P1238&lt;&gt;"",S1238=""),AND(N(J1238)&gt;0,N(K1238)&lt;J1238),OR(M1238="PENDENTE",M1238="PARCIAL"),OR(N1238="PENDENTE",N1238="PARCIAL")),1,0))</f>
        <v/>
      </c>
      <c r="W1238" s="8">
        <f>IF(AND(V1238=1,D1238&lt;&gt;""),IF(D1238&gt;=corte,(B1238="CRÍTICO")*1E9+(100000-D1238)*10000+10000-ROW(),""),"")</f>
        <v/>
      </c>
      <c r="X1238" s="8">
        <f>IF(AND(V1238=1,D1238=pas_data,E1238=pas_turno),10000-ROW(),"")</f>
        <v/>
      </c>
    </row>
    <row r="1239">
      <c r="A1239" s="3">
        <f>IF(D1239="","","TT-"&amp;TEXT(ROW()-1,"00000"))</f>
        <v/>
      </c>
      <c r="B1239" s="3">
        <f>IF(D1239="","",IF(V1239=0,"CONCLUÍDO",IF(D1239&lt;corte,"HISTÓRICO",IF(OR(AND(ISNUMBER(R1239),R1239&lt;TODAY()),AND(OR(N1239="PENDENTE",N1239="PARCIAL"),D1239&lt;TODAY()-1)),"CRÍTICO",IF(OR(AND(P1239&lt;&gt;"",S1239=""),AND(N1239="REALIZADO",M1239="PENDENTE"),AND(ISNUMBER(R1239),R1239=TODAY())),"ATENÇÃO",IF(N(K1239)=0,"PENDENTE","EM ANDAMENTO"))))))</f>
        <v/>
      </c>
      <c r="C1239" s="3">
        <f>IF(D1239="","",IF(V1239=0,"🟢 OK",IF(D1239&lt;corte,"⚪ HISTÓRICO (sem baixa)",IF(AND(ISNUMBER(R1239),R1239&lt;TODAY()),"🔴 PRAZO VENCIDO",IF(AND(OR(N1239="PENDENTE",N1239="PARCIAL"),D1239&lt;TODAY()-1),"🔴 EMBARQUE ATRASADO",IF(AND(N1239="REALIZADO",M1239="PENDENTE"),"🟡 EMBARCADO SEM FATURAR",IF(AND(P1239&lt;&gt;"",S1239="",OR(Q1239="",R1239="")),"🟡 PENDÊNCIA SEM RESPONSÁVEL/PRAZO",IF(AND(ISNUMBER(R1239),R1239=TODAY()),"🟡 VENCE HOJE",IF(AND(P1239&lt;&gt;"",S1239=""),"🟡 PENDÊNCIA ABERTA",IF(AND(N(J1239)&gt;0,N(K1239)&lt;J1239),"🟡 FALTA EXECUTAR",IF(OR(M1239="PENDENTE",M1239="PARCIAL"),"🟡 FATURAMENTO PENDENTE","🟡 EMBARQUE PENDENTE")))))))))))</f>
        <v/>
      </c>
      <c r="D1239" s="4" t="n"/>
      <c r="E1239" s="5" t="n"/>
      <c r="F1239" s="5" t="n"/>
      <c r="G1239" s="5" t="n"/>
      <c r="H1239" s="5" t="n"/>
      <c r="I1239" s="5" t="n"/>
      <c r="J1239" s="6" t="n"/>
      <c r="K1239" s="6" t="n"/>
      <c r="L1239" s="7">
        <f>IF(OR(D1239="",N(J1239)=0),"",MIN(1,N(K1239)/J1239))</f>
        <v/>
      </c>
      <c r="M1239" s="5" t="n"/>
      <c r="N1239" s="5" t="n"/>
      <c r="O1239" s="5" t="n"/>
      <c r="P1239" s="5" t="n"/>
      <c r="Q1239" s="5" t="n"/>
      <c r="R1239" s="4" t="n"/>
      <c r="S1239" s="4" t="n"/>
      <c r="T1239" s="5" t="n"/>
      <c r="U1239" s="8">
        <f>IF(AND(V1239=1,D1239&lt;&gt;""),IF(D1239&gt;=corte,TODAY()-D1239,""),"")</f>
        <v/>
      </c>
      <c r="V1239" s="8">
        <f>IF(D1239="",0,IF(OR(AND(P1239&lt;&gt;"",S1239=""),AND(N(J1239)&gt;0,N(K1239)&lt;J1239),OR(M1239="PENDENTE",M1239="PARCIAL"),OR(N1239="PENDENTE",N1239="PARCIAL")),1,0))</f>
        <v/>
      </c>
      <c r="W1239" s="8">
        <f>IF(AND(V1239=1,D1239&lt;&gt;""),IF(D1239&gt;=corte,(B1239="CRÍTICO")*1E9+(100000-D1239)*10000+10000-ROW(),""),"")</f>
        <v/>
      </c>
      <c r="X1239" s="8">
        <f>IF(AND(V1239=1,D1239=pas_data,E1239=pas_turno),10000-ROW(),"")</f>
        <v/>
      </c>
    </row>
    <row r="1240">
      <c r="A1240" s="3">
        <f>IF(D1240="","","TT-"&amp;TEXT(ROW()-1,"00000"))</f>
        <v/>
      </c>
      <c r="B1240" s="3">
        <f>IF(D1240="","",IF(V1240=0,"CONCLUÍDO",IF(D1240&lt;corte,"HISTÓRICO",IF(OR(AND(ISNUMBER(R1240),R1240&lt;TODAY()),AND(OR(N1240="PENDENTE",N1240="PARCIAL"),D1240&lt;TODAY()-1)),"CRÍTICO",IF(OR(AND(P1240&lt;&gt;"",S1240=""),AND(N1240="REALIZADO",M1240="PENDENTE"),AND(ISNUMBER(R1240),R1240=TODAY())),"ATENÇÃO",IF(N(K1240)=0,"PENDENTE","EM ANDAMENTO"))))))</f>
        <v/>
      </c>
      <c r="C1240" s="3">
        <f>IF(D1240="","",IF(V1240=0,"🟢 OK",IF(D1240&lt;corte,"⚪ HISTÓRICO (sem baixa)",IF(AND(ISNUMBER(R1240),R1240&lt;TODAY()),"🔴 PRAZO VENCIDO",IF(AND(OR(N1240="PENDENTE",N1240="PARCIAL"),D1240&lt;TODAY()-1),"🔴 EMBARQUE ATRASADO",IF(AND(N1240="REALIZADO",M1240="PENDENTE"),"🟡 EMBARCADO SEM FATURAR",IF(AND(P1240&lt;&gt;"",S1240="",OR(Q1240="",R1240="")),"🟡 PENDÊNCIA SEM RESPONSÁVEL/PRAZO",IF(AND(ISNUMBER(R1240),R1240=TODAY()),"🟡 VENCE HOJE",IF(AND(P1240&lt;&gt;"",S1240=""),"🟡 PENDÊNCIA ABERTA",IF(AND(N(J1240)&gt;0,N(K1240)&lt;J1240),"🟡 FALTA EXECUTAR",IF(OR(M1240="PENDENTE",M1240="PARCIAL"),"🟡 FATURAMENTO PENDENTE","🟡 EMBARQUE PENDENTE")))))))))))</f>
        <v/>
      </c>
      <c r="D1240" s="4" t="n"/>
      <c r="E1240" s="5" t="n"/>
      <c r="F1240" s="5" t="n"/>
      <c r="G1240" s="5" t="n"/>
      <c r="H1240" s="5" t="n"/>
      <c r="I1240" s="5" t="n"/>
      <c r="J1240" s="6" t="n"/>
      <c r="K1240" s="6" t="n"/>
      <c r="L1240" s="7">
        <f>IF(OR(D1240="",N(J1240)=0),"",MIN(1,N(K1240)/J1240))</f>
        <v/>
      </c>
      <c r="M1240" s="5" t="n"/>
      <c r="N1240" s="5" t="n"/>
      <c r="O1240" s="5" t="n"/>
      <c r="P1240" s="5" t="n"/>
      <c r="Q1240" s="5" t="n"/>
      <c r="R1240" s="4" t="n"/>
      <c r="S1240" s="4" t="n"/>
      <c r="T1240" s="5" t="n"/>
      <c r="U1240" s="8">
        <f>IF(AND(V1240=1,D1240&lt;&gt;""),IF(D1240&gt;=corte,TODAY()-D1240,""),"")</f>
        <v/>
      </c>
      <c r="V1240" s="8">
        <f>IF(D1240="",0,IF(OR(AND(P1240&lt;&gt;"",S1240=""),AND(N(J1240)&gt;0,N(K1240)&lt;J1240),OR(M1240="PENDENTE",M1240="PARCIAL"),OR(N1240="PENDENTE",N1240="PARCIAL")),1,0))</f>
        <v/>
      </c>
      <c r="W1240" s="8">
        <f>IF(AND(V1240=1,D1240&lt;&gt;""),IF(D1240&gt;=corte,(B1240="CRÍTICO")*1E9+(100000-D1240)*10000+10000-ROW(),""),"")</f>
        <v/>
      </c>
      <c r="X1240" s="8">
        <f>IF(AND(V1240=1,D1240=pas_data,E1240=pas_turno),10000-ROW(),"")</f>
        <v/>
      </c>
    </row>
    <row r="1241">
      <c r="A1241" s="3">
        <f>IF(D1241="","","TT-"&amp;TEXT(ROW()-1,"00000"))</f>
        <v/>
      </c>
      <c r="B1241" s="3">
        <f>IF(D1241="","",IF(V1241=0,"CONCLUÍDO",IF(D1241&lt;corte,"HISTÓRICO",IF(OR(AND(ISNUMBER(R1241),R1241&lt;TODAY()),AND(OR(N1241="PENDENTE",N1241="PARCIAL"),D1241&lt;TODAY()-1)),"CRÍTICO",IF(OR(AND(P1241&lt;&gt;"",S1241=""),AND(N1241="REALIZADO",M1241="PENDENTE"),AND(ISNUMBER(R1241),R1241=TODAY())),"ATENÇÃO",IF(N(K1241)=0,"PENDENTE","EM ANDAMENTO"))))))</f>
        <v/>
      </c>
      <c r="C1241" s="3">
        <f>IF(D1241="","",IF(V1241=0,"🟢 OK",IF(D1241&lt;corte,"⚪ HISTÓRICO (sem baixa)",IF(AND(ISNUMBER(R1241),R1241&lt;TODAY()),"🔴 PRAZO VENCIDO",IF(AND(OR(N1241="PENDENTE",N1241="PARCIAL"),D1241&lt;TODAY()-1),"🔴 EMBARQUE ATRASADO",IF(AND(N1241="REALIZADO",M1241="PENDENTE"),"🟡 EMBARCADO SEM FATURAR",IF(AND(P1241&lt;&gt;"",S1241="",OR(Q1241="",R1241="")),"🟡 PENDÊNCIA SEM RESPONSÁVEL/PRAZO",IF(AND(ISNUMBER(R1241),R1241=TODAY()),"🟡 VENCE HOJE",IF(AND(P1241&lt;&gt;"",S1241=""),"🟡 PENDÊNCIA ABERTA",IF(AND(N(J1241)&gt;0,N(K1241)&lt;J1241),"🟡 FALTA EXECUTAR",IF(OR(M1241="PENDENTE",M1241="PARCIAL"),"🟡 FATURAMENTO PENDENTE","🟡 EMBARQUE PENDENTE")))))))))))</f>
        <v/>
      </c>
      <c r="D1241" s="4" t="n"/>
      <c r="E1241" s="5" t="n"/>
      <c r="F1241" s="5" t="n"/>
      <c r="G1241" s="5" t="n"/>
      <c r="H1241" s="5" t="n"/>
      <c r="I1241" s="5" t="n"/>
      <c r="J1241" s="6" t="n"/>
      <c r="K1241" s="6" t="n"/>
      <c r="L1241" s="7">
        <f>IF(OR(D1241="",N(J1241)=0),"",MIN(1,N(K1241)/J1241))</f>
        <v/>
      </c>
      <c r="M1241" s="5" t="n"/>
      <c r="N1241" s="5" t="n"/>
      <c r="O1241" s="5" t="n"/>
      <c r="P1241" s="5" t="n"/>
      <c r="Q1241" s="5" t="n"/>
      <c r="R1241" s="4" t="n"/>
      <c r="S1241" s="4" t="n"/>
      <c r="T1241" s="5" t="n"/>
      <c r="U1241" s="8">
        <f>IF(AND(V1241=1,D1241&lt;&gt;""),IF(D1241&gt;=corte,TODAY()-D1241,""),"")</f>
        <v/>
      </c>
      <c r="V1241" s="8">
        <f>IF(D1241="",0,IF(OR(AND(P1241&lt;&gt;"",S1241=""),AND(N(J1241)&gt;0,N(K1241)&lt;J1241),OR(M1241="PENDENTE",M1241="PARCIAL"),OR(N1241="PENDENTE",N1241="PARCIAL")),1,0))</f>
        <v/>
      </c>
      <c r="W1241" s="8">
        <f>IF(AND(V1241=1,D1241&lt;&gt;""),IF(D1241&gt;=corte,(B1241="CRÍTICO")*1E9+(100000-D1241)*10000+10000-ROW(),""),"")</f>
        <v/>
      </c>
      <c r="X1241" s="8">
        <f>IF(AND(V1241=1,D1241=pas_data,E1241=pas_turno),10000-ROW(),"")</f>
        <v/>
      </c>
    </row>
    <row r="1242">
      <c r="A1242" s="3">
        <f>IF(D1242="","","TT-"&amp;TEXT(ROW()-1,"00000"))</f>
        <v/>
      </c>
      <c r="B1242" s="3">
        <f>IF(D1242="","",IF(V1242=0,"CONCLUÍDO",IF(D1242&lt;corte,"HISTÓRICO",IF(OR(AND(ISNUMBER(R1242),R1242&lt;TODAY()),AND(OR(N1242="PENDENTE",N1242="PARCIAL"),D1242&lt;TODAY()-1)),"CRÍTICO",IF(OR(AND(P1242&lt;&gt;"",S1242=""),AND(N1242="REALIZADO",M1242="PENDENTE"),AND(ISNUMBER(R1242),R1242=TODAY())),"ATENÇÃO",IF(N(K1242)=0,"PENDENTE","EM ANDAMENTO"))))))</f>
        <v/>
      </c>
      <c r="C1242" s="3">
        <f>IF(D1242="","",IF(V1242=0,"🟢 OK",IF(D1242&lt;corte,"⚪ HISTÓRICO (sem baixa)",IF(AND(ISNUMBER(R1242),R1242&lt;TODAY()),"🔴 PRAZO VENCIDO",IF(AND(OR(N1242="PENDENTE",N1242="PARCIAL"),D1242&lt;TODAY()-1),"🔴 EMBARQUE ATRASADO",IF(AND(N1242="REALIZADO",M1242="PENDENTE"),"🟡 EMBARCADO SEM FATURAR",IF(AND(P1242&lt;&gt;"",S1242="",OR(Q1242="",R1242="")),"🟡 PENDÊNCIA SEM RESPONSÁVEL/PRAZO",IF(AND(ISNUMBER(R1242),R1242=TODAY()),"🟡 VENCE HOJE",IF(AND(P1242&lt;&gt;"",S1242=""),"🟡 PENDÊNCIA ABERTA",IF(AND(N(J1242)&gt;0,N(K1242)&lt;J1242),"🟡 FALTA EXECUTAR",IF(OR(M1242="PENDENTE",M1242="PARCIAL"),"🟡 FATURAMENTO PENDENTE","🟡 EMBARQUE PENDENTE")))))))))))</f>
        <v/>
      </c>
      <c r="D1242" s="4" t="n"/>
      <c r="E1242" s="5" t="n"/>
      <c r="F1242" s="5" t="n"/>
      <c r="G1242" s="5" t="n"/>
      <c r="H1242" s="5" t="n"/>
      <c r="I1242" s="5" t="n"/>
      <c r="J1242" s="6" t="n"/>
      <c r="K1242" s="6" t="n"/>
      <c r="L1242" s="7">
        <f>IF(OR(D1242="",N(J1242)=0),"",MIN(1,N(K1242)/J1242))</f>
        <v/>
      </c>
      <c r="M1242" s="5" t="n"/>
      <c r="N1242" s="5" t="n"/>
      <c r="O1242" s="5" t="n"/>
      <c r="P1242" s="5" t="n"/>
      <c r="Q1242" s="5" t="n"/>
      <c r="R1242" s="4" t="n"/>
      <c r="S1242" s="4" t="n"/>
      <c r="T1242" s="5" t="n"/>
      <c r="U1242" s="8">
        <f>IF(AND(V1242=1,D1242&lt;&gt;""),IF(D1242&gt;=corte,TODAY()-D1242,""),"")</f>
        <v/>
      </c>
      <c r="V1242" s="8">
        <f>IF(D1242="",0,IF(OR(AND(P1242&lt;&gt;"",S1242=""),AND(N(J1242)&gt;0,N(K1242)&lt;J1242),OR(M1242="PENDENTE",M1242="PARCIAL"),OR(N1242="PENDENTE",N1242="PARCIAL")),1,0))</f>
        <v/>
      </c>
      <c r="W1242" s="8">
        <f>IF(AND(V1242=1,D1242&lt;&gt;""),IF(D1242&gt;=corte,(B1242="CRÍTICO")*1E9+(100000-D1242)*10000+10000-ROW(),""),"")</f>
        <v/>
      </c>
      <c r="X1242" s="8">
        <f>IF(AND(V1242=1,D1242=pas_data,E1242=pas_turno),10000-ROW(),"")</f>
        <v/>
      </c>
    </row>
    <row r="1243">
      <c r="A1243" s="3">
        <f>IF(D1243="","","TT-"&amp;TEXT(ROW()-1,"00000"))</f>
        <v/>
      </c>
      <c r="B1243" s="3">
        <f>IF(D1243="","",IF(V1243=0,"CONCLUÍDO",IF(D1243&lt;corte,"HISTÓRICO",IF(OR(AND(ISNUMBER(R1243),R1243&lt;TODAY()),AND(OR(N1243="PENDENTE",N1243="PARCIAL"),D1243&lt;TODAY()-1)),"CRÍTICO",IF(OR(AND(P1243&lt;&gt;"",S1243=""),AND(N1243="REALIZADO",M1243="PENDENTE"),AND(ISNUMBER(R1243),R1243=TODAY())),"ATENÇÃO",IF(N(K1243)=0,"PENDENTE","EM ANDAMENTO"))))))</f>
        <v/>
      </c>
      <c r="C1243" s="3">
        <f>IF(D1243="","",IF(V1243=0,"🟢 OK",IF(D1243&lt;corte,"⚪ HISTÓRICO (sem baixa)",IF(AND(ISNUMBER(R1243),R1243&lt;TODAY()),"🔴 PRAZO VENCIDO",IF(AND(OR(N1243="PENDENTE",N1243="PARCIAL"),D1243&lt;TODAY()-1),"🔴 EMBARQUE ATRASADO",IF(AND(N1243="REALIZADO",M1243="PENDENTE"),"🟡 EMBARCADO SEM FATURAR",IF(AND(P1243&lt;&gt;"",S1243="",OR(Q1243="",R1243="")),"🟡 PENDÊNCIA SEM RESPONSÁVEL/PRAZO",IF(AND(ISNUMBER(R1243),R1243=TODAY()),"🟡 VENCE HOJE",IF(AND(P1243&lt;&gt;"",S1243=""),"🟡 PENDÊNCIA ABERTA",IF(AND(N(J1243)&gt;0,N(K1243)&lt;J1243),"🟡 FALTA EXECUTAR",IF(OR(M1243="PENDENTE",M1243="PARCIAL"),"🟡 FATURAMENTO PENDENTE","🟡 EMBARQUE PENDENTE")))))))))))</f>
        <v/>
      </c>
      <c r="D1243" s="4" t="n"/>
      <c r="E1243" s="5" t="n"/>
      <c r="F1243" s="5" t="n"/>
      <c r="G1243" s="5" t="n"/>
      <c r="H1243" s="5" t="n"/>
      <c r="I1243" s="5" t="n"/>
      <c r="J1243" s="6" t="n"/>
      <c r="K1243" s="6" t="n"/>
      <c r="L1243" s="7">
        <f>IF(OR(D1243="",N(J1243)=0),"",MIN(1,N(K1243)/J1243))</f>
        <v/>
      </c>
      <c r="M1243" s="5" t="n"/>
      <c r="N1243" s="5" t="n"/>
      <c r="O1243" s="5" t="n"/>
      <c r="P1243" s="5" t="n"/>
      <c r="Q1243" s="5" t="n"/>
      <c r="R1243" s="4" t="n"/>
      <c r="S1243" s="4" t="n"/>
      <c r="T1243" s="5" t="n"/>
      <c r="U1243" s="8">
        <f>IF(AND(V1243=1,D1243&lt;&gt;""),IF(D1243&gt;=corte,TODAY()-D1243,""),"")</f>
        <v/>
      </c>
      <c r="V1243" s="8">
        <f>IF(D1243="",0,IF(OR(AND(P1243&lt;&gt;"",S1243=""),AND(N(J1243)&gt;0,N(K1243)&lt;J1243),OR(M1243="PENDENTE",M1243="PARCIAL"),OR(N1243="PENDENTE",N1243="PARCIAL")),1,0))</f>
        <v/>
      </c>
      <c r="W1243" s="8">
        <f>IF(AND(V1243=1,D1243&lt;&gt;""),IF(D1243&gt;=corte,(B1243="CRÍTICO")*1E9+(100000-D1243)*10000+10000-ROW(),""),"")</f>
        <v/>
      </c>
      <c r="X1243" s="8">
        <f>IF(AND(V1243=1,D1243=pas_data,E1243=pas_turno),10000-ROW(),"")</f>
        <v/>
      </c>
    </row>
    <row r="1244">
      <c r="A1244" s="3">
        <f>IF(D1244="","","TT-"&amp;TEXT(ROW()-1,"00000"))</f>
        <v/>
      </c>
      <c r="B1244" s="3">
        <f>IF(D1244="","",IF(V1244=0,"CONCLUÍDO",IF(D1244&lt;corte,"HISTÓRICO",IF(OR(AND(ISNUMBER(R1244),R1244&lt;TODAY()),AND(OR(N1244="PENDENTE",N1244="PARCIAL"),D1244&lt;TODAY()-1)),"CRÍTICO",IF(OR(AND(P1244&lt;&gt;"",S1244=""),AND(N1244="REALIZADO",M1244="PENDENTE"),AND(ISNUMBER(R1244),R1244=TODAY())),"ATENÇÃO",IF(N(K1244)=0,"PENDENTE","EM ANDAMENTO"))))))</f>
        <v/>
      </c>
      <c r="C1244" s="3">
        <f>IF(D1244="","",IF(V1244=0,"🟢 OK",IF(D1244&lt;corte,"⚪ HISTÓRICO (sem baixa)",IF(AND(ISNUMBER(R1244),R1244&lt;TODAY()),"🔴 PRAZO VENCIDO",IF(AND(OR(N1244="PENDENTE",N1244="PARCIAL"),D1244&lt;TODAY()-1),"🔴 EMBARQUE ATRASADO",IF(AND(N1244="REALIZADO",M1244="PENDENTE"),"🟡 EMBARCADO SEM FATURAR",IF(AND(P1244&lt;&gt;"",S1244="",OR(Q1244="",R1244="")),"🟡 PENDÊNCIA SEM RESPONSÁVEL/PRAZO",IF(AND(ISNUMBER(R1244),R1244=TODAY()),"🟡 VENCE HOJE",IF(AND(P1244&lt;&gt;"",S1244=""),"🟡 PENDÊNCIA ABERTA",IF(AND(N(J1244)&gt;0,N(K1244)&lt;J1244),"🟡 FALTA EXECUTAR",IF(OR(M1244="PENDENTE",M1244="PARCIAL"),"🟡 FATURAMENTO PENDENTE","🟡 EMBARQUE PENDENTE")))))))))))</f>
        <v/>
      </c>
      <c r="D1244" s="4" t="n"/>
      <c r="E1244" s="5" t="n"/>
      <c r="F1244" s="5" t="n"/>
      <c r="G1244" s="5" t="n"/>
      <c r="H1244" s="5" t="n"/>
      <c r="I1244" s="5" t="n"/>
      <c r="J1244" s="6" t="n"/>
      <c r="K1244" s="6" t="n"/>
      <c r="L1244" s="7">
        <f>IF(OR(D1244="",N(J1244)=0),"",MIN(1,N(K1244)/J1244))</f>
        <v/>
      </c>
      <c r="M1244" s="5" t="n"/>
      <c r="N1244" s="5" t="n"/>
      <c r="O1244" s="5" t="n"/>
      <c r="P1244" s="5" t="n"/>
      <c r="Q1244" s="5" t="n"/>
      <c r="R1244" s="4" t="n"/>
      <c r="S1244" s="4" t="n"/>
      <c r="T1244" s="5" t="n"/>
      <c r="U1244" s="8">
        <f>IF(AND(V1244=1,D1244&lt;&gt;""),IF(D1244&gt;=corte,TODAY()-D1244,""),"")</f>
        <v/>
      </c>
      <c r="V1244" s="8">
        <f>IF(D1244="",0,IF(OR(AND(P1244&lt;&gt;"",S1244=""),AND(N(J1244)&gt;0,N(K1244)&lt;J1244),OR(M1244="PENDENTE",M1244="PARCIAL"),OR(N1244="PENDENTE",N1244="PARCIAL")),1,0))</f>
        <v/>
      </c>
      <c r="W1244" s="8">
        <f>IF(AND(V1244=1,D1244&lt;&gt;""),IF(D1244&gt;=corte,(B1244="CRÍTICO")*1E9+(100000-D1244)*10000+10000-ROW(),""),"")</f>
        <v/>
      </c>
      <c r="X1244" s="8">
        <f>IF(AND(V1244=1,D1244=pas_data,E1244=pas_turno),10000-ROW(),"")</f>
        <v/>
      </c>
    </row>
    <row r="1245">
      <c r="A1245" s="3">
        <f>IF(D1245="","","TT-"&amp;TEXT(ROW()-1,"00000"))</f>
        <v/>
      </c>
      <c r="B1245" s="3">
        <f>IF(D1245="","",IF(V1245=0,"CONCLUÍDO",IF(D1245&lt;corte,"HISTÓRICO",IF(OR(AND(ISNUMBER(R1245),R1245&lt;TODAY()),AND(OR(N1245="PENDENTE",N1245="PARCIAL"),D1245&lt;TODAY()-1)),"CRÍTICO",IF(OR(AND(P1245&lt;&gt;"",S1245=""),AND(N1245="REALIZADO",M1245="PENDENTE"),AND(ISNUMBER(R1245),R1245=TODAY())),"ATENÇÃO",IF(N(K1245)=0,"PENDENTE","EM ANDAMENTO"))))))</f>
        <v/>
      </c>
      <c r="C1245" s="3">
        <f>IF(D1245="","",IF(V1245=0,"🟢 OK",IF(D1245&lt;corte,"⚪ HISTÓRICO (sem baixa)",IF(AND(ISNUMBER(R1245),R1245&lt;TODAY()),"🔴 PRAZO VENCIDO",IF(AND(OR(N1245="PENDENTE",N1245="PARCIAL"),D1245&lt;TODAY()-1),"🔴 EMBARQUE ATRASADO",IF(AND(N1245="REALIZADO",M1245="PENDENTE"),"🟡 EMBARCADO SEM FATURAR",IF(AND(P1245&lt;&gt;"",S1245="",OR(Q1245="",R1245="")),"🟡 PENDÊNCIA SEM RESPONSÁVEL/PRAZO",IF(AND(ISNUMBER(R1245),R1245=TODAY()),"🟡 VENCE HOJE",IF(AND(P1245&lt;&gt;"",S1245=""),"🟡 PENDÊNCIA ABERTA",IF(AND(N(J1245)&gt;0,N(K1245)&lt;J1245),"🟡 FALTA EXECUTAR",IF(OR(M1245="PENDENTE",M1245="PARCIAL"),"🟡 FATURAMENTO PENDENTE","🟡 EMBARQUE PENDENTE")))))))))))</f>
        <v/>
      </c>
      <c r="D1245" s="4" t="n"/>
      <c r="E1245" s="5" t="n"/>
      <c r="F1245" s="5" t="n"/>
      <c r="G1245" s="5" t="n"/>
      <c r="H1245" s="5" t="n"/>
      <c r="I1245" s="5" t="n"/>
      <c r="J1245" s="6" t="n"/>
      <c r="K1245" s="6" t="n"/>
      <c r="L1245" s="7">
        <f>IF(OR(D1245="",N(J1245)=0),"",MIN(1,N(K1245)/J1245))</f>
        <v/>
      </c>
      <c r="M1245" s="5" t="n"/>
      <c r="N1245" s="5" t="n"/>
      <c r="O1245" s="5" t="n"/>
      <c r="P1245" s="5" t="n"/>
      <c r="Q1245" s="5" t="n"/>
      <c r="R1245" s="4" t="n"/>
      <c r="S1245" s="4" t="n"/>
      <c r="T1245" s="5" t="n"/>
      <c r="U1245" s="8">
        <f>IF(AND(V1245=1,D1245&lt;&gt;""),IF(D1245&gt;=corte,TODAY()-D1245,""),"")</f>
        <v/>
      </c>
      <c r="V1245" s="8">
        <f>IF(D1245="",0,IF(OR(AND(P1245&lt;&gt;"",S1245=""),AND(N(J1245)&gt;0,N(K1245)&lt;J1245),OR(M1245="PENDENTE",M1245="PARCIAL"),OR(N1245="PENDENTE",N1245="PARCIAL")),1,0))</f>
        <v/>
      </c>
      <c r="W1245" s="8">
        <f>IF(AND(V1245=1,D1245&lt;&gt;""),IF(D1245&gt;=corte,(B1245="CRÍTICO")*1E9+(100000-D1245)*10000+10000-ROW(),""),"")</f>
        <v/>
      </c>
      <c r="X1245" s="8">
        <f>IF(AND(V1245=1,D1245=pas_data,E1245=pas_turno),10000-ROW(),"")</f>
        <v/>
      </c>
    </row>
    <row r="1246">
      <c r="A1246" s="3">
        <f>IF(D1246="","","TT-"&amp;TEXT(ROW()-1,"00000"))</f>
        <v/>
      </c>
      <c r="B1246" s="3">
        <f>IF(D1246="","",IF(V1246=0,"CONCLUÍDO",IF(D1246&lt;corte,"HISTÓRICO",IF(OR(AND(ISNUMBER(R1246),R1246&lt;TODAY()),AND(OR(N1246="PENDENTE",N1246="PARCIAL"),D1246&lt;TODAY()-1)),"CRÍTICO",IF(OR(AND(P1246&lt;&gt;"",S1246=""),AND(N1246="REALIZADO",M1246="PENDENTE"),AND(ISNUMBER(R1246),R1246=TODAY())),"ATENÇÃO",IF(N(K1246)=0,"PENDENTE","EM ANDAMENTO"))))))</f>
        <v/>
      </c>
      <c r="C1246" s="3">
        <f>IF(D1246="","",IF(V1246=0,"🟢 OK",IF(D1246&lt;corte,"⚪ HISTÓRICO (sem baixa)",IF(AND(ISNUMBER(R1246),R1246&lt;TODAY()),"🔴 PRAZO VENCIDO",IF(AND(OR(N1246="PENDENTE",N1246="PARCIAL"),D1246&lt;TODAY()-1),"🔴 EMBARQUE ATRASADO",IF(AND(N1246="REALIZADO",M1246="PENDENTE"),"🟡 EMBARCADO SEM FATURAR",IF(AND(P1246&lt;&gt;"",S1246="",OR(Q1246="",R1246="")),"🟡 PENDÊNCIA SEM RESPONSÁVEL/PRAZO",IF(AND(ISNUMBER(R1246),R1246=TODAY()),"🟡 VENCE HOJE",IF(AND(P1246&lt;&gt;"",S1246=""),"🟡 PENDÊNCIA ABERTA",IF(AND(N(J1246)&gt;0,N(K1246)&lt;J1246),"🟡 FALTA EXECUTAR",IF(OR(M1246="PENDENTE",M1246="PARCIAL"),"🟡 FATURAMENTO PENDENTE","🟡 EMBARQUE PENDENTE")))))))))))</f>
        <v/>
      </c>
      <c r="D1246" s="4" t="n"/>
      <c r="E1246" s="5" t="n"/>
      <c r="F1246" s="5" t="n"/>
      <c r="G1246" s="5" t="n"/>
      <c r="H1246" s="5" t="n"/>
      <c r="I1246" s="5" t="n"/>
      <c r="J1246" s="6" t="n"/>
      <c r="K1246" s="6" t="n"/>
      <c r="L1246" s="7">
        <f>IF(OR(D1246="",N(J1246)=0),"",MIN(1,N(K1246)/J1246))</f>
        <v/>
      </c>
      <c r="M1246" s="5" t="n"/>
      <c r="N1246" s="5" t="n"/>
      <c r="O1246" s="5" t="n"/>
      <c r="P1246" s="5" t="n"/>
      <c r="Q1246" s="5" t="n"/>
      <c r="R1246" s="4" t="n"/>
      <c r="S1246" s="4" t="n"/>
      <c r="T1246" s="5" t="n"/>
      <c r="U1246" s="8">
        <f>IF(AND(V1246=1,D1246&lt;&gt;""),IF(D1246&gt;=corte,TODAY()-D1246,""),"")</f>
        <v/>
      </c>
      <c r="V1246" s="8">
        <f>IF(D1246="",0,IF(OR(AND(P1246&lt;&gt;"",S1246=""),AND(N(J1246)&gt;0,N(K1246)&lt;J1246),OR(M1246="PENDENTE",M1246="PARCIAL"),OR(N1246="PENDENTE",N1246="PARCIAL")),1,0))</f>
        <v/>
      </c>
      <c r="W1246" s="8">
        <f>IF(AND(V1246=1,D1246&lt;&gt;""),IF(D1246&gt;=corte,(B1246="CRÍTICO")*1E9+(100000-D1246)*10000+10000-ROW(),""),"")</f>
        <v/>
      </c>
      <c r="X1246" s="8">
        <f>IF(AND(V1246=1,D1246=pas_data,E1246=pas_turno),10000-ROW(),"")</f>
        <v/>
      </c>
    </row>
    <row r="1247">
      <c r="A1247" s="3">
        <f>IF(D1247="","","TT-"&amp;TEXT(ROW()-1,"00000"))</f>
        <v/>
      </c>
      <c r="B1247" s="3">
        <f>IF(D1247="","",IF(V1247=0,"CONCLUÍDO",IF(D1247&lt;corte,"HISTÓRICO",IF(OR(AND(ISNUMBER(R1247),R1247&lt;TODAY()),AND(OR(N1247="PENDENTE",N1247="PARCIAL"),D1247&lt;TODAY()-1)),"CRÍTICO",IF(OR(AND(P1247&lt;&gt;"",S1247=""),AND(N1247="REALIZADO",M1247="PENDENTE"),AND(ISNUMBER(R1247),R1247=TODAY())),"ATENÇÃO",IF(N(K1247)=0,"PENDENTE","EM ANDAMENTO"))))))</f>
        <v/>
      </c>
      <c r="C1247" s="3">
        <f>IF(D1247="","",IF(V1247=0,"🟢 OK",IF(D1247&lt;corte,"⚪ HISTÓRICO (sem baixa)",IF(AND(ISNUMBER(R1247),R1247&lt;TODAY()),"🔴 PRAZO VENCIDO",IF(AND(OR(N1247="PENDENTE",N1247="PARCIAL"),D1247&lt;TODAY()-1),"🔴 EMBARQUE ATRASADO",IF(AND(N1247="REALIZADO",M1247="PENDENTE"),"🟡 EMBARCADO SEM FATURAR",IF(AND(P1247&lt;&gt;"",S1247="",OR(Q1247="",R1247="")),"🟡 PENDÊNCIA SEM RESPONSÁVEL/PRAZO",IF(AND(ISNUMBER(R1247),R1247=TODAY()),"🟡 VENCE HOJE",IF(AND(P1247&lt;&gt;"",S1247=""),"🟡 PENDÊNCIA ABERTA",IF(AND(N(J1247)&gt;0,N(K1247)&lt;J1247),"🟡 FALTA EXECUTAR",IF(OR(M1247="PENDENTE",M1247="PARCIAL"),"🟡 FATURAMENTO PENDENTE","🟡 EMBARQUE PENDENTE")))))))))))</f>
        <v/>
      </c>
      <c r="D1247" s="4" t="n"/>
      <c r="E1247" s="5" t="n"/>
      <c r="F1247" s="5" t="n"/>
      <c r="G1247" s="5" t="n"/>
      <c r="H1247" s="5" t="n"/>
      <c r="I1247" s="5" t="n"/>
      <c r="J1247" s="6" t="n"/>
      <c r="K1247" s="6" t="n"/>
      <c r="L1247" s="7">
        <f>IF(OR(D1247="",N(J1247)=0),"",MIN(1,N(K1247)/J1247))</f>
        <v/>
      </c>
      <c r="M1247" s="5" t="n"/>
      <c r="N1247" s="5" t="n"/>
      <c r="O1247" s="5" t="n"/>
      <c r="P1247" s="5" t="n"/>
      <c r="Q1247" s="5" t="n"/>
      <c r="R1247" s="4" t="n"/>
      <c r="S1247" s="4" t="n"/>
      <c r="T1247" s="5" t="n"/>
      <c r="U1247" s="8">
        <f>IF(AND(V1247=1,D1247&lt;&gt;""),IF(D1247&gt;=corte,TODAY()-D1247,""),"")</f>
        <v/>
      </c>
      <c r="V1247" s="8">
        <f>IF(D1247="",0,IF(OR(AND(P1247&lt;&gt;"",S1247=""),AND(N(J1247)&gt;0,N(K1247)&lt;J1247),OR(M1247="PENDENTE",M1247="PARCIAL"),OR(N1247="PENDENTE",N1247="PARCIAL")),1,0))</f>
        <v/>
      </c>
      <c r="W1247" s="8">
        <f>IF(AND(V1247=1,D1247&lt;&gt;""),IF(D1247&gt;=corte,(B1247="CRÍTICO")*1E9+(100000-D1247)*10000+10000-ROW(),""),"")</f>
        <v/>
      </c>
      <c r="X1247" s="8">
        <f>IF(AND(V1247=1,D1247=pas_data,E1247=pas_turno),10000-ROW(),"")</f>
        <v/>
      </c>
    </row>
    <row r="1248">
      <c r="A1248" s="3">
        <f>IF(D1248="","","TT-"&amp;TEXT(ROW()-1,"00000"))</f>
        <v/>
      </c>
      <c r="B1248" s="3">
        <f>IF(D1248="","",IF(V1248=0,"CONCLUÍDO",IF(D1248&lt;corte,"HISTÓRICO",IF(OR(AND(ISNUMBER(R1248),R1248&lt;TODAY()),AND(OR(N1248="PENDENTE",N1248="PARCIAL"),D1248&lt;TODAY()-1)),"CRÍTICO",IF(OR(AND(P1248&lt;&gt;"",S1248=""),AND(N1248="REALIZADO",M1248="PENDENTE"),AND(ISNUMBER(R1248),R1248=TODAY())),"ATENÇÃO",IF(N(K1248)=0,"PENDENTE","EM ANDAMENTO"))))))</f>
        <v/>
      </c>
      <c r="C1248" s="3">
        <f>IF(D1248="","",IF(V1248=0,"🟢 OK",IF(D1248&lt;corte,"⚪ HISTÓRICO (sem baixa)",IF(AND(ISNUMBER(R1248),R1248&lt;TODAY()),"🔴 PRAZO VENCIDO",IF(AND(OR(N1248="PENDENTE",N1248="PARCIAL"),D1248&lt;TODAY()-1),"🔴 EMBARQUE ATRASADO",IF(AND(N1248="REALIZADO",M1248="PENDENTE"),"🟡 EMBARCADO SEM FATURAR",IF(AND(P1248&lt;&gt;"",S1248="",OR(Q1248="",R1248="")),"🟡 PENDÊNCIA SEM RESPONSÁVEL/PRAZO",IF(AND(ISNUMBER(R1248),R1248=TODAY()),"🟡 VENCE HOJE",IF(AND(P1248&lt;&gt;"",S1248=""),"🟡 PENDÊNCIA ABERTA",IF(AND(N(J1248)&gt;0,N(K1248)&lt;J1248),"🟡 FALTA EXECUTAR",IF(OR(M1248="PENDENTE",M1248="PARCIAL"),"🟡 FATURAMENTO PENDENTE","🟡 EMBARQUE PENDENTE")))))))))))</f>
        <v/>
      </c>
      <c r="D1248" s="4" t="n"/>
      <c r="E1248" s="5" t="n"/>
      <c r="F1248" s="5" t="n"/>
      <c r="G1248" s="5" t="n"/>
      <c r="H1248" s="5" t="n"/>
      <c r="I1248" s="5" t="n"/>
      <c r="J1248" s="6" t="n"/>
      <c r="K1248" s="6" t="n"/>
      <c r="L1248" s="7">
        <f>IF(OR(D1248="",N(J1248)=0),"",MIN(1,N(K1248)/J1248))</f>
        <v/>
      </c>
      <c r="M1248" s="5" t="n"/>
      <c r="N1248" s="5" t="n"/>
      <c r="O1248" s="5" t="n"/>
      <c r="P1248" s="5" t="n"/>
      <c r="Q1248" s="5" t="n"/>
      <c r="R1248" s="4" t="n"/>
      <c r="S1248" s="4" t="n"/>
      <c r="T1248" s="5" t="n"/>
      <c r="U1248" s="8">
        <f>IF(AND(V1248=1,D1248&lt;&gt;""),IF(D1248&gt;=corte,TODAY()-D1248,""),"")</f>
        <v/>
      </c>
      <c r="V1248" s="8">
        <f>IF(D1248="",0,IF(OR(AND(P1248&lt;&gt;"",S1248=""),AND(N(J1248)&gt;0,N(K1248)&lt;J1248),OR(M1248="PENDENTE",M1248="PARCIAL"),OR(N1248="PENDENTE",N1248="PARCIAL")),1,0))</f>
        <v/>
      </c>
      <c r="W1248" s="8">
        <f>IF(AND(V1248=1,D1248&lt;&gt;""),IF(D1248&gt;=corte,(B1248="CRÍTICO")*1E9+(100000-D1248)*10000+10000-ROW(),""),"")</f>
        <v/>
      </c>
      <c r="X1248" s="8">
        <f>IF(AND(V1248=1,D1248=pas_data,E1248=pas_turno),10000-ROW(),"")</f>
        <v/>
      </c>
    </row>
    <row r="1249">
      <c r="A1249" s="3">
        <f>IF(D1249="","","TT-"&amp;TEXT(ROW()-1,"00000"))</f>
        <v/>
      </c>
      <c r="B1249" s="3">
        <f>IF(D1249="","",IF(V1249=0,"CONCLUÍDO",IF(D1249&lt;corte,"HISTÓRICO",IF(OR(AND(ISNUMBER(R1249),R1249&lt;TODAY()),AND(OR(N1249="PENDENTE",N1249="PARCIAL"),D1249&lt;TODAY()-1)),"CRÍTICO",IF(OR(AND(P1249&lt;&gt;"",S1249=""),AND(N1249="REALIZADO",M1249="PENDENTE"),AND(ISNUMBER(R1249),R1249=TODAY())),"ATENÇÃO",IF(N(K1249)=0,"PENDENTE","EM ANDAMENTO"))))))</f>
        <v/>
      </c>
      <c r="C1249" s="3">
        <f>IF(D1249="","",IF(V1249=0,"🟢 OK",IF(D1249&lt;corte,"⚪ HISTÓRICO (sem baixa)",IF(AND(ISNUMBER(R1249),R1249&lt;TODAY()),"🔴 PRAZO VENCIDO",IF(AND(OR(N1249="PENDENTE",N1249="PARCIAL"),D1249&lt;TODAY()-1),"🔴 EMBARQUE ATRASADO",IF(AND(N1249="REALIZADO",M1249="PENDENTE"),"🟡 EMBARCADO SEM FATURAR",IF(AND(P1249&lt;&gt;"",S1249="",OR(Q1249="",R1249="")),"🟡 PENDÊNCIA SEM RESPONSÁVEL/PRAZO",IF(AND(ISNUMBER(R1249),R1249=TODAY()),"🟡 VENCE HOJE",IF(AND(P1249&lt;&gt;"",S1249=""),"🟡 PENDÊNCIA ABERTA",IF(AND(N(J1249)&gt;0,N(K1249)&lt;J1249),"🟡 FALTA EXECUTAR",IF(OR(M1249="PENDENTE",M1249="PARCIAL"),"🟡 FATURAMENTO PENDENTE","🟡 EMBARQUE PENDENTE")))))))))))</f>
        <v/>
      </c>
      <c r="D1249" s="4" t="n"/>
      <c r="E1249" s="5" t="n"/>
      <c r="F1249" s="5" t="n"/>
      <c r="G1249" s="5" t="n"/>
      <c r="H1249" s="5" t="n"/>
      <c r="I1249" s="5" t="n"/>
      <c r="J1249" s="6" t="n"/>
      <c r="K1249" s="6" t="n"/>
      <c r="L1249" s="7">
        <f>IF(OR(D1249="",N(J1249)=0),"",MIN(1,N(K1249)/J1249))</f>
        <v/>
      </c>
      <c r="M1249" s="5" t="n"/>
      <c r="N1249" s="5" t="n"/>
      <c r="O1249" s="5" t="n"/>
      <c r="P1249" s="5" t="n"/>
      <c r="Q1249" s="5" t="n"/>
      <c r="R1249" s="4" t="n"/>
      <c r="S1249" s="4" t="n"/>
      <c r="T1249" s="5" t="n"/>
      <c r="U1249" s="8">
        <f>IF(AND(V1249=1,D1249&lt;&gt;""),IF(D1249&gt;=corte,TODAY()-D1249,""),"")</f>
        <v/>
      </c>
      <c r="V1249" s="8">
        <f>IF(D1249="",0,IF(OR(AND(P1249&lt;&gt;"",S1249=""),AND(N(J1249)&gt;0,N(K1249)&lt;J1249),OR(M1249="PENDENTE",M1249="PARCIAL"),OR(N1249="PENDENTE",N1249="PARCIAL")),1,0))</f>
        <v/>
      </c>
      <c r="W1249" s="8">
        <f>IF(AND(V1249=1,D1249&lt;&gt;""),IF(D1249&gt;=corte,(B1249="CRÍTICO")*1E9+(100000-D1249)*10000+10000-ROW(),""),"")</f>
        <v/>
      </c>
      <c r="X1249" s="8">
        <f>IF(AND(V1249=1,D1249=pas_data,E1249=pas_turno),10000-ROW(),"")</f>
        <v/>
      </c>
    </row>
    <row r="1250">
      <c r="A1250" s="3">
        <f>IF(D1250="","","TT-"&amp;TEXT(ROW()-1,"00000"))</f>
        <v/>
      </c>
      <c r="B1250" s="3">
        <f>IF(D1250="","",IF(V1250=0,"CONCLUÍDO",IF(D1250&lt;corte,"HISTÓRICO",IF(OR(AND(ISNUMBER(R1250),R1250&lt;TODAY()),AND(OR(N1250="PENDENTE",N1250="PARCIAL"),D1250&lt;TODAY()-1)),"CRÍTICO",IF(OR(AND(P1250&lt;&gt;"",S1250=""),AND(N1250="REALIZADO",M1250="PENDENTE"),AND(ISNUMBER(R1250),R1250=TODAY())),"ATENÇÃO",IF(N(K1250)=0,"PENDENTE","EM ANDAMENTO"))))))</f>
        <v/>
      </c>
      <c r="C1250" s="3">
        <f>IF(D1250="","",IF(V1250=0,"🟢 OK",IF(D1250&lt;corte,"⚪ HISTÓRICO (sem baixa)",IF(AND(ISNUMBER(R1250),R1250&lt;TODAY()),"🔴 PRAZO VENCIDO",IF(AND(OR(N1250="PENDENTE",N1250="PARCIAL"),D1250&lt;TODAY()-1),"🔴 EMBARQUE ATRASADO",IF(AND(N1250="REALIZADO",M1250="PENDENTE"),"🟡 EMBARCADO SEM FATURAR",IF(AND(P1250&lt;&gt;"",S1250="",OR(Q1250="",R1250="")),"🟡 PENDÊNCIA SEM RESPONSÁVEL/PRAZO",IF(AND(ISNUMBER(R1250),R1250=TODAY()),"🟡 VENCE HOJE",IF(AND(P1250&lt;&gt;"",S1250=""),"🟡 PENDÊNCIA ABERTA",IF(AND(N(J1250)&gt;0,N(K1250)&lt;J1250),"🟡 FALTA EXECUTAR",IF(OR(M1250="PENDENTE",M1250="PARCIAL"),"🟡 FATURAMENTO PENDENTE","🟡 EMBARQUE PENDENTE")))))))))))</f>
        <v/>
      </c>
      <c r="D1250" s="4" t="n"/>
      <c r="E1250" s="5" t="n"/>
      <c r="F1250" s="5" t="n"/>
      <c r="G1250" s="5" t="n"/>
      <c r="H1250" s="5" t="n"/>
      <c r="I1250" s="5" t="n"/>
      <c r="J1250" s="6" t="n"/>
      <c r="K1250" s="6" t="n"/>
      <c r="L1250" s="7">
        <f>IF(OR(D1250="",N(J1250)=0),"",MIN(1,N(K1250)/J1250))</f>
        <v/>
      </c>
      <c r="M1250" s="5" t="n"/>
      <c r="N1250" s="5" t="n"/>
      <c r="O1250" s="5" t="n"/>
      <c r="P1250" s="5" t="n"/>
      <c r="Q1250" s="5" t="n"/>
      <c r="R1250" s="4" t="n"/>
      <c r="S1250" s="4" t="n"/>
      <c r="T1250" s="5" t="n"/>
      <c r="U1250" s="8">
        <f>IF(AND(V1250=1,D1250&lt;&gt;""),IF(D1250&gt;=corte,TODAY()-D1250,""),"")</f>
        <v/>
      </c>
      <c r="V1250" s="8">
        <f>IF(D1250="",0,IF(OR(AND(P1250&lt;&gt;"",S1250=""),AND(N(J1250)&gt;0,N(K1250)&lt;J1250),OR(M1250="PENDENTE",M1250="PARCIAL"),OR(N1250="PENDENTE",N1250="PARCIAL")),1,0))</f>
        <v/>
      </c>
      <c r="W1250" s="8">
        <f>IF(AND(V1250=1,D1250&lt;&gt;""),IF(D1250&gt;=corte,(B1250="CRÍTICO")*1E9+(100000-D1250)*10000+10000-ROW(),""),"")</f>
        <v/>
      </c>
      <c r="X1250" s="8">
        <f>IF(AND(V1250=1,D1250=pas_data,E1250=pas_turno),10000-ROW(),"")</f>
        <v/>
      </c>
    </row>
    <row r="1251">
      <c r="A1251" s="3">
        <f>IF(D1251="","","TT-"&amp;TEXT(ROW()-1,"00000"))</f>
        <v/>
      </c>
      <c r="B1251" s="3">
        <f>IF(D1251="","",IF(V1251=0,"CONCLUÍDO",IF(D1251&lt;corte,"HISTÓRICO",IF(OR(AND(ISNUMBER(R1251),R1251&lt;TODAY()),AND(OR(N1251="PENDENTE",N1251="PARCIAL"),D1251&lt;TODAY()-1)),"CRÍTICO",IF(OR(AND(P1251&lt;&gt;"",S1251=""),AND(N1251="REALIZADO",M1251="PENDENTE"),AND(ISNUMBER(R1251),R1251=TODAY())),"ATENÇÃO",IF(N(K1251)=0,"PENDENTE","EM ANDAMENTO"))))))</f>
        <v/>
      </c>
      <c r="C1251" s="3">
        <f>IF(D1251="","",IF(V1251=0,"🟢 OK",IF(D1251&lt;corte,"⚪ HISTÓRICO (sem baixa)",IF(AND(ISNUMBER(R1251),R1251&lt;TODAY()),"🔴 PRAZO VENCIDO",IF(AND(OR(N1251="PENDENTE",N1251="PARCIAL"),D1251&lt;TODAY()-1),"🔴 EMBARQUE ATRASADO",IF(AND(N1251="REALIZADO",M1251="PENDENTE"),"🟡 EMBARCADO SEM FATURAR",IF(AND(P1251&lt;&gt;"",S1251="",OR(Q1251="",R1251="")),"🟡 PENDÊNCIA SEM RESPONSÁVEL/PRAZO",IF(AND(ISNUMBER(R1251),R1251=TODAY()),"🟡 VENCE HOJE",IF(AND(P1251&lt;&gt;"",S1251=""),"🟡 PENDÊNCIA ABERTA",IF(AND(N(J1251)&gt;0,N(K1251)&lt;J1251),"🟡 FALTA EXECUTAR",IF(OR(M1251="PENDENTE",M1251="PARCIAL"),"🟡 FATURAMENTO PENDENTE","🟡 EMBARQUE PENDENTE")))))))))))</f>
        <v/>
      </c>
      <c r="D1251" s="4" t="n"/>
      <c r="E1251" s="5" t="n"/>
      <c r="F1251" s="5" t="n"/>
      <c r="G1251" s="5" t="n"/>
      <c r="H1251" s="5" t="n"/>
      <c r="I1251" s="5" t="n"/>
      <c r="J1251" s="6" t="n"/>
      <c r="K1251" s="6" t="n"/>
      <c r="L1251" s="7">
        <f>IF(OR(D1251="",N(J1251)=0),"",MIN(1,N(K1251)/J1251))</f>
        <v/>
      </c>
      <c r="M1251" s="5" t="n"/>
      <c r="N1251" s="5" t="n"/>
      <c r="O1251" s="5" t="n"/>
      <c r="P1251" s="5" t="n"/>
      <c r="Q1251" s="5" t="n"/>
      <c r="R1251" s="4" t="n"/>
      <c r="S1251" s="4" t="n"/>
      <c r="T1251" s="5" t="n"/>
      <c r="U1251" s="8">
        <f>IF(AND(V1251=1,D1251&lt;&gt;""),IF(D1251&gt;=corte,TODAY()-D1251,""),"")</f>
        <v/>
      </c>
      <c r="V1251" s="8">
        <f>IF(D1251="",0,IF(OR(AND(P1251&lt;&gt;"",S1251=""),AND(N(J1251)&gt;0,N(K1251)&lt;J1251),OR(M1251="PENDENTE",M1251="PARCIAL"),OR(N1251="PENDENTE",N1251="PARCIAL")),1,0))</f>
        <v/>
      </c>
      <c r="W1251" s="8">
        <f>IF(AND(V1251=1,D1251&lt;&gt;""),IF(D1251&gt;=corte,(B1251="CRÍTICO")*1E9+(100000-D1251)*10000+10000-ROW(),""),"")</f>
        <v/>
      </c>
      <c r="X1251" s="8">
        <f>IF(AND(V1251=1,D1251=pas_data,E1251=pas_turno),10000-ROW(),"")</f>
        <v/>
      </c>
    </row>
    <row r="1252">
      <c r="A1252" s="3">
        <f>IF(D1252="","","TT-"&amp;TEXT(ROW()-1,"00000"))</f>
        <v/>
      </c>
      <c r="B1252" s="3">
        <f>IF(D1252="","",IF(V1252=0,"CONCLUÍDO",IF(D1252&lt;corte,"HISTÓRICO",IF(OR(AND(ISNUMBER(R1252),R1252&lt;TODAY()),AND(OR(N1252="PENDENTE",N1252="PARCIAL"),D1252&lt;TODAY()-1)),"CRÍTICO",IF(OR(AND(P1252&lt;&gt;"",S1252=""),AND(N1252="REALIZADO",M1252="PENDENTE"),AND(ISNUMBER(R1252),R1252=TODAY())),"ATENÇÃO",IF(N(K1252)=0,"PENDENTE","EM ANDAMENTO"))))))</f>
        <v/>
      </c>
      <c r="C1252" s="3">
        <f>IF(D1252="","",IF(V1252=0,"🟢 OK",IF(D1252&lt;corte,"⚪ HISTÓRICO (sem baixa)",IF(AND(ISNUMBER(R1252),R1252&lt;TODAY()),"🔴 PRAZO VENCIDO",IF(AND(OR(N1252="PENDENTE",N1252="PARCIAL"),D1252&lt;TODAY()-1),"🔴 EMBARQUE ATRASADO",IF(AND(N1252="REALIZADO",M1252="PENDENTE"),"🟡 EMBARCADO SEM FATURAR",IF(AND(P1252&lt;&gt;"",S1252="",OR(Q1252="",R1252="")),"🟡 PENDÊNCIA SEM RESPONSÁVEL/PRAZO",IF(AND(ISNUMBER(R1252),R1252=TODAY()),"🟡 VENCE HOJE",IF(AND(P1252&lt;&gt;"",S1252=""),"🟡 PENDÊNCIA ABERTA",IF(AND(N(J1252)&gt;0,N(K1252)&lt;J1252),"🟡 FALTA EXECUTAR",IF(OR(M1252="PENDENTE",M1252="PARCIAL"),"🟡 FATURAMENTO PENDENTE","🟡 EMBARQUE PENDENTE")))))))))))</f>
        <v/>
      </c>
      <c r="D1252" s="4" t="n"/>
      <c r="E1252" s="5" t="n"/>
      <c r="F1252" s="5" t="n"/>
      <c r="G1252" s="5" t="n"/>
      <c r="H1252" s="5" t="n"/>
      <c r="I1252" s="5" t="n"/>
      <c r="J1252" s="6" t="n"/>
      <c r="K1252" s="6" t="n"/>
      <c r="L1252" s="7">
        <f>IF(OR(D1252="",N(J1252)=0),"",MIN(1,N(K1252)/J1252))</f>
        <v/>
      </c>
      <c r="M1252" s="5" t="n"/>
      <c r="N1252" s="5" t="n"/>
      <c r="O1252" s="5" t="n"/>
      <c r="P1252" s="5" t="n"/>
      <c r="Q1252" s="5" t="n"/>
      <c r="R1252" s="4" t="n"/>
      <c r="S1252" s="4" t="n"/>
      <c r="T1252" s="5" t="n"/>
      <c r="U1252" s="8">
        <f>IF(AND(V1252=1,D1252&lt;&gt;""),IF(D1252&gt;=corte,TODAY()-D1252,""),"")</f>
        <v/>
      </c>
      <c r="V1252" s="8">
        <f>IF(D1252="",0,IF(OR(AND(P1252&lt;&gt;"",S1252=""),AND(N(J1252)&gt;0,N(K1252)&lt;J1252),OR(M1252="PENDENTE",M1252="PARCIAL"),OR(N1252="PENDENTE",N1252="PARCIAL")),1,0))</f>
        <v/>
      </c>
      <c r="W1252" s="8">
        <f>IF(AND(V1252=1,D1252&lt;&gt;""),IF(D1252&gt;=corte,(B1252="CRÍTICO")*1E9+(100000-D1252)*10000+10000-ROW(),""),"")</f>
        <v/>
      </c>
      <c r="X1252" s="8">
        <f>IF(AND(V1252=1,D1252=pas_data,E1252=pas_turno),10000-ROW(),"")</f>
        <v/>
      </c>
    </row>
    <row r="1253">
      <c r="A1253" s="3">
        <f>IF(D1253="","","TT-"&amp;TEXT(ROW()-1,"00000"))</f>
        <v/>
      </c>
      <c r="B1253" s="3">
        <f>IF(D1253="","",IF(V1253=0,"CONCLUÍDO",IF(D1253&lt;corte,"HISTÓRICO",IF(OR(AND(ISNUMBER(R1253),R1253&lt;TODAY()),AND(OR(N1253="PENDENTE",N1253="PARCIAL"),D1253&lt;TODAY()-1)),"CRÍTICO",IF(OR(AND(P1253&lt;&gt;"",S1253=""),AND(N1253="REALIZADO",M1253="PENDENTE"),AND(ISNUMBER(R1253),R1253=TODAY())),"ATENÇÃO",IF(N(K1253)=0,"PENDENTE","EM ANDAMENTO"))))))</f>
        <v/>
      </c>
      <c r="C1253" s="3">
        <f>IF(D1253="","",IF(V1253=0,"🟢 OK",IF(D1253&lt;corte,"⚪ HISTÓRICO (sem baixa)",IF(AND(ISNUMBER(R1253),R1253&lt;TODAY()),"🔴 PRAZO VENCIDO",IF(AND(OR(N1253="PENDENTE",N1253="PARCIAL"),D1253&lt;TODAY()-1),"🔴 EMBARQUE ATRASADO",IF(AND(N1253="REALIZADO",M1253="PENDENTE"),"🟡 EMBARCADO SEM FATURAR",IF(AND(P1253&lt;&gt;"",S1253="",OR(Q1253="",R1253="")),"🟡 PENDÊNCIA SEM RESPONSÁVEL/PRAZO",IF(AND(ISNUMBER(R1253),R1253=TODAY()),"🟡 VENCE HOJE",IF(AND(P1253&lt;&gt;"",S1253=""),"🟡 PENDÊNCIA ABERTA",IF(AND(N(J1253)&gt;0,N(K1253)&lt;J1253),"🟡 FALTA EXECUTAR",IF(OR(M1253="PENDENTE",M1253="PARCIAL"),"🟡 FATURAMENTO PENDENTE","🟡 EMBARQUE PENDENTE")))))))))))</f>
        <v/>
      </c>
      <c r="D1253" s="4" t="n"/>
      <c r="E1253" s="5" t="n"/>
      <c r="F1253" s="5" t="n"/>
      <c r="G1253" s="5" t="n"/>
      <c r="H1253" s="5" t="n"/>
      <c r="I1253" s="5" t="n"/>
      <c r="J1253" s="6" t="n"/>
      <c r="K1253" s="6" t="n"/>
      <c r="L1253" s="7">
        <f>IF(OR(D1253="",N(J1253)=0),"",MIN(1,N(K1253)/J1253))</f>
        <v/>
      </c>
      <c r="M1253" s="5" t="n"/>
      <c r="N1253" s="5" t="n"/>
      <c r="O1253" s="5" t="n"/>
      <c r="P1253" s="5" t="n"/>
      <c r="Q1253" s="5" t="n"/>
      <c r="R1253" s="4" t="n"/>
      <c r="S1253" s="4" t="n"/>
      <c r="T1253" s="5" t="n"/>
      <c r="U1253" s="8">
        <f>IF(AND(V1253=1,D1253&lt;&gt;""),IF(D1253&gt;=corte,TODAY()-D1253,""),"")</f>
        <v/>
      </c>
      <c r="V1253" s="8">
        <f>IF(D1253="",0,IF(OR(AND(P1253&lt;&gt;"",S1253=""),AND(N(J1253)&gt;0,N(K1253)&lt;J1253),OR(M1253="PENDENTE",M1253="PARCIAL"),OR(N1253="PENDENTE",N1253="PARCIAL")),1,0))</f>
        <v/>
      </c>
      <c r="W1253" s="8">
        <f>IF(AND(V1253=1,D1253&lt;&gt;""),IF(D1253&gt;=corte,(B1253="CRÍTICO")*1E9+(100000-D1253)*10000+10000-ROW(),""),"")</f>
        <v/>
      </c>
      <c r="X1253" s="8">
        <f>IF(AND(V1253=1,D1253=pas_data,E1253=pas_turno),10000-ROW(),"")</f>
        <v/>
      </c>
    </row>
    <row r="1254">
      <c r="A1254" s="3">
        <f>IF(D1254="","","TT-"&amp;TEXT(ROW()-1,"00000"))</f>
        <v/>
      </c>
      <c r="B1254" s="3">
        <f>IF(D1254="","",IF(V1254=0,"CONCLUÍDO",IF(D1254&lt;corte,"HISTÓRICO",IF(OR(AND(ISNUMBER(R1254),R1254&lt;TODAY()),AND(OR(N1254="PENDENTE",N1254="PARCIAL"),D1254&lt;TODAY()-1)),"CRÍTICO",IF(OR(AND(P1254&lt;&gt;"",S1254=""),AND(N1254="REALIZADO",M1254="PENDENTE"),AND(ISNUMBER(R1254),R1254=TODAY())),"ATENÇÃO",IF(N(K1254)=0,"PENDENTE","EM ANDAMENTO"))))))</f>
        <v/>
      </c>
      <c r="C1254" s="3">
        <f>IF(D1254="","",IF(V1254=0,"🟢 OK",IF(D1254&lt;corte,"⚪ HISTÓRICO (sem baixa)",IF(AND(ISNUMBER(R1254),R1254&lt;TODAY()),"🔴 PRAZO VENCIDO",IF(AND(OR(N1254="PENDENTE",N1254="PARCIAL"),D1254&lt;TODAY()-1),"🔴 EMBARQUE ATRASADO",IF(AND(N1254="REALIZADO",M1254="PENDENTE"),"🟡 EMBARCADO SEM FATURAR",IF(AND(P1254&lt;&gt;"",S1254="",OR(Q1254="",R1254="")),"🟡 PENDÊNCIA SEM RESPONSÁVEL/PRAZO",IF(AND(ISNUMBER(R1254),R1254=TODAY()),"🟡 VENCE HOJE",IF(AND(P1254&lt;&gt;"",S1254=""),"🟡 PENDÊNCIA ABERTA",IF(AND(N(J1254)&gt;0,N(K1254)&lt;J1254),"🟡 FALTA EXECUTAR",IF(OR(M1254="PENDENTE",M1254="PARCIAL"),"🟡 FATURAMENTO PENDENTE","🟡 EMBARQUE PENDENTE")))))))))))</f>
        <v/>
      </c>
      <c r="D1254" s="4" t="n"/>
      <c r="E1254" s="5" t="n"/>
      <c r="F1254" s="5" t="n"/>
      <c r="G1254" s="5" t="n"/>
      <c r="H1254" s="5" t="n"/>
      <c r="I1254" s="5" t="n"/>
      <c r="J1254" s="6" t="n"/>
      <c r="K1254" s="6" t="n"/>
      <c r="L1254" s="7">
        <f>IF(OR(D1254="",N(J1254)=0),"",MIN(1,N(K1254)/J1254))</f>
        <v/>
      </c>
      <c r="M1254" s="5" t="n"/>
      <c r="N1254" s="5" t="n"/>
      <c r="O1254" s="5" t="n"/>
      <c r="P1254" s="5" t="n"/>
      <c r="Q1254" s="5" t="n"/>
      <c r="R1254" s="4" t="n"/>
      <c r="S1254" s="4" t="n"/>
      <c r="T1254" s="5" t="n"/>
      <c r="U1254" s="8">
        <f>IF(AND(V1254=1,D1254&lt;&gt;""),IF(D1254&gt;=corte,TODAY()-D1254,""),"")</f>
        <v/>
      </c>
      <c r="V1254" s="8">
        <f>IF(D1254="",0,IF(OR(AND(P1254&lt;&gt;"",S1254=""),AND(N(J1254)&gt;0,N(K1254)&lt;J1254),OR(M1254="PENDENTE",M1254="PARCIAL"),OR(N1254="PENDENTE",N1254="PARCIAL")),1,0))</f>
        <v/>
      </c>
      <c r="W1254" s="8">
        <f>IF(AND(V1254=1,D1254&lt;&gt;""),IF(D1254&gt;=corte,(B1254="CRÍTICO")*1E9+(100000-D1254)*10000+10000-ROW(),""),"")</f>
        <v/>
      </c>
      <c r="X1254" s="8">
        <f>IF(AND(V1254=1,D1254=pas_data,E1254=pas_turno),10000-ROW(),"")</f>
        <v/>
      </c>
    </row>
    <row r="1255">
      <c r="A1255" s="3">
        <f>IF(D1255="","","TT-"&amp;TEXT(ROW()-1,"00000"))</f>
        <v/>
      </c>
      <c r="B1255" s="3">
        <f>IF(D1255="","",IF(V1255=0,"CONCLUÍDO",IF(D1255&lt;corte,"HISTÓRICO",IF(OR(AND(ISNUMBER(R1255),R1255&lt;TODAY()),AND(OR(N1255="PENDENTE",N1255="PARCIAL"),D1255&lt;TODAY()-1)),"CRÍTICO",IF(OR(AND(P1255&lt;&gt;"",S1255=""),AND(N1255="REALIZADO",M1255="PENDENTE"),AND(ISNUMBER(R1255),R1255=TODAY())),"ATENÇÃO",IF(N(K1255)=0,"PENDENTE","EM ANDAMENTO"))))))</f>
        <v/>
      </c>
      <c r="C1255" s="3">
        <f>IF(D1255="","",IF(V1255=0,"🟢 OK",IF(D1255&lt;corte,"⚪ HISTÓRICO (sem baixa)",IF(AND(ISNUMBER(R1255),R1255&lt;TODAY()),"🔴 PRAZO VENCIDO",IF(AND(OR(N1255="PENDENTE",N1255="PARCIAL"),D1255&lt;TODAY()-1),"🔴 EMBARQUE ATRASADO",IF(AND(N1255="REALIZADO",M1255="PENDENTE"),"🟡 EMBARCADO SEM FATURAR",IF(AND(P1255&lt;&gt;"",S1255="",OR(Q1255="",R1255="")),"🟡 PENDÊNCIA SEM RESPONSÁVEL/PRAZO",IF(AND(ISNUMBER(R1255),R1255=TODAY()),"🟡 VENCE HOJE",IF(AND(P1255&lt;&gt;"",S1255=""),"🟡 PENDÊNCIA ABERTA",IF(AND(N(J1255)&gt;0,N(K1255)&lt;J1255),"🟡 FALTA EXECUTAR",IF(OR(M1255="PENDENTE",M1255="PARCIAL"),"🟡 FATURAMENTO PENDENTE","🟡 EMBARQUE PENDENTE")))))))))))</f>
        <v/>
      </c>
      <c r="D1255" s="4" t="n"/>
      <c r="E1255" s="5" t="n"/>
      <c r="F1255" s="5" t="n"/>
      <c r="G1255" s="5" t="n"/>
      <c r="H1255" s="5" t="n"/>
      <c r="I1255" s="5" t="n"/>
      <c r="J1255" s="6" t="n"/>
      <c r="K1255" s="6" t="n"/>
      <c r="L1255" s="7">
        <f>IF(OR(D1255="",N(J1255)=0),"",MIN(1,N(K1255)/J1255))</f>
        <v/>
      </c>
      <c r="M1255" s="5" t="n"/>
      <c r="N1255" s="5" t="n"/>
      <c r="O1255" s="5" t="n"/>
      <c r="P1255" s="5" t="n"/>
      <c r="Q1255" s="5" t="n"/>
      <c r="R1255" s="4" t="n"/>
      <c r="S1255" s="4" t="n"/>
      <c r="T1255" s="5" t="n"/>
      <c r="U1255" s="8">
        <f>IF(AND(V1255=1,D1255&lt;&gt;""),IF(D1255&gt;=corte,TODAY()-D1255,""),"")</f>
        <v/>
      </c>
      <c r="V1255" s="8">
        <f>IF(D1255="",0,IF(OR(AND(P1255&lt;&gt;"",S1255=""),AND(N(J1255)&gt;0,N(K1255)&lt;J1255),OR(M1255="PENDENTE",M1255="PARCIAL"),OR(N1255="PENDENTE",N1255="PARCIAL")),1,0))</f>
        <v/>
      </c>
      <c r="W1255" s="8">
        <f>IF(AND(V1255=1,D1255&lt;&gt;""),IF(D1255&gt;=corte,(B1255="CRÍTICO")*1E9+(100000-D1255)*10000+10000-ROW(),""),"")</f>
        <v/>
      </c>
      <c r="X1255" s="8">
        <f>IF(AND(V1255=1,D1255=pas_data,E1255=pas_turno),10000-ROW(),"")</f>
        <v/>
      </c>
    </row>
    <row r="1256">
      <c r="A1256" s="3">
        <f>IF(D1256="","","TT-"&amp;TEXT(ROW()-1,"00000"))</f>
        <v/>
      </c>
      <c r="B1256" s="3">
        <f>IF(D1256="","",IF(V1256=0,"CONCLUÍDO",IF(D1256&lt;corte,"HISTÓRICO",IF(OR(AND(ISNUMBER(R1256),R1256&lt;TODAY()),AND(OR(N1256="PENDENTE",N1256="PARCIAL"),D1256&lt;TODAY()-1)),"CRÍTICO",IF(OR(AND(P1256&lt;&gt;"",S1256=""),AND(N1256="REALIZADO",M1256="PENDENTE"),AND(ISNUMBER(R1256),R1256=TODAY())),"ATENÇÃO",IF(N(K1256)=0,"PENDENTE","EM ANDAMENTO"))))))</f>
        <v/>
      </c>
      <c r="C1256" s="3">
        <f>IF(D1256="","",IF(V1256=0,"🟢 OK",IF(D1256&lt;corte,"⚪ HISTÓRICO (sem baixa)",IF(AND(ISNUMBER(R1256),R1256&lt;TODAY()),"🔴 PRAZO VENCIDO",IF(AND(OR(N1256="PENDENTE",N1256="PARCIAL"),D1256&lt;TODAY()-1),"🔴 EMBARQUE ATRASADO",IF(AND(N1256="REALIZADO",M1256="PENDENTE"),"🟡 EMBARCADO SEM FATURAR",IF(AND(P1256&lt;&gt;"",S1256="",OR(Q1256="",R1256="")),"🟡 PENDÊNCIA SEM RESPONSÁVEL/PRAZO",IF(AND(ISNUMBER(R1256),R1256=TODAY()),"🟡 VENCE HOJE",IF(AND(P1256&lt;&gt;"",S1256=""),"🟡 PENDÊNCIA ABERTA",IF(AND(N(J1256)&gt;0,N(K1256)&lt;J1256),"🟡 FALTA EXECUTAR",IF(OR(M1256="PENDENTE",M1256="PARCIAL"),"🟡 FATURAMENTO PENDENTE","🟡 EMBARQUE PENDENTE")))))))))))</f>
        <v/>
      </c>
      <c r="D1256" s="4" t="n"/>
      <c r="E1256" s="5" t="n"/>
      <c r="F1256" s="5" t="n"/>
      <c r="G1256" s="5" t="n"/>
      <c r="H1256" s="5" t="n"/>
      <c r="I1256" s="5" t="n"/>
      <c r="J1256" s="6" t="n"/>
      <c r="K1256" s="6" t="n"/>
      <c r="L1256" s="7">
        <f>IF(OR(D1256="",N(J1256)=0),"",MIN(1,N(K1256)/J1256))</f>
        <v/>
      </c>
      <c r="M1256" s="5" t="n"/>
      <c r="N1256" s="5" t="n"/>
      <c r="O1256" s="5" t="n"/>
      <c r="P1256" s="5" t="n"/>
      <c r="Q1256" s="5" t="n"/>
      <c r="R1256" s="4" t="n"/>
      <c r="S1256" s="4" t="n"/>
      <c r="T1256" s="5" t="n"/>
      <c r="U1256" s="8">
        <f>IF(AND(V1256=1,D1256&lt;&gt;""),IF(D1256&gt;=corte,TODAY()-D1256,""),"")</f>
        <v/>
      </c>
      <c r="V1256" s="8">
        <f>IF(D1256="",0,IF(OR(AND(P1256&lt;&gt;"",S1256=""),AND(N(J1256)&gt;0,N(K1256)&lt;J1256),OR(M1256="PENDENTE",M1256="PARCIAL"),OR(N1256="PENDENTE",N1256="PARCIAL")),1,0))</f>
        <v/>
      </c>
      <c r="W1256" s="8">
        <f>IF(AND(V1256=1,D1256&lt;&gt;""),IF(D1256&gt;=corte,(B1256="CRÍTICO")*1E9+(100000-D1256)*10000+10000-ROW(),""),"")</f>
        <v/>
      </c>
      <c r="X1256" s="8">
        <f>IF(AND(V1256=1,D1256=pas_data,E1256=pas_turno),10000-ROW(),"")</f>
        <v/>
      </c>
    </row>
    <row r="1257">
      <c r="A1257" s="3">
        <f>IF(D1257="","","TT-"&amp;TEXT(ROW()-1,"00000"))</f>
        <v/>
      </c>
      <c r="B1257" s="3">
        <f>IF(D1257="","",IF(V1257=0,"CONCLUÍDO",IF(D1257&lt;corte,"HISTÓRICO",IF(OR(AND(ISNUMBER(R1257),R1257&lt;TODAY()),AND(OR(N1257="PENDENTE",N1257="PARCIAL"),D1257&lt;TODAY()-1)),"CRÍTICO",IF(OR(AND(P1257&lt;&gt;"",S1257=""),AND(N1257="REALIZADO",M1257="PENDENTE"),AND(ISNUMBER(R1257),R1257=TODAY())),"ATENÇÃO",IF(N(K1257)=0,"PENDENTE","EM ANDAMENTO"))))))</f>
        <v/>
      </c>
      <c r="C1257" s="3">
        <f>IF(D1257="","",IF(V1257=0,"🟢 OK",IF(D1257&lt;corte,"⚪ HISTÓRICO (sem baixa)",IF(AND(ISNUMBER(R1257),R1257&lt;TODAY()),"🔴 PRAZO VENCIDO",IF(AND(OR(N1257="PENDENTE",N1257="PARCIAL"),D1257&lt;TODAY()-1),"🔴 EMBARQUE ATRASADO",IF(AND(N1257="REALIZADO",M1257="PENDENTE"),"🟡 EMBARCADO SEM FATURAR",IF(AND(P1257&lt;&gt;"",S1257="",OR(Q1257="",R1257="")),"🟡 PENDÊNCIA SEM RESPONSÁVEL/PRAZO",IF(AND(ISNUMBER(R1257),R1257=TODAY()),"🟡 VENCE HOJE",IF(AND(P1257&lt;&gt;"",S1257=""),"🟡 PENDÊNCIA ABERTA",IF(AND(N(J1257)&gt;0,N(K1257)&lt;J1257),"🟡 FALTA EXECUTAR",IF(OR(M1257="PENDENTE",M1257="PARCIAL"),"🟡 FATURAMENTO PENDENTE","🟡 EMBARQUE PENDENTE")))))))))))</f>
        <v/>
      </c>
      <c r="D1257" s="4" t="n"/>
      <c r="E1257" s="5" t="n"/>
      <c r="F1257" s="5" t="n"/>
      <c r="G1257" s="5" t="n"/>
      <c r="H1257" s="5" t="n"/>
      <c r="I1257" s="5" t="n"/>
      <c r="J1257" s="6" t="n"/>
      <c r="K1257" s="6" t="n"/>
      <c r="L1257" s="7">
        <f>IF(OR(D1257="",N(J1257)=0),"",MIN(1,N(K1257)/J1257))</f>
        <v/>
      </c>
      <c r="M1257" s="5" t="n"/>
      <c r="N1257" s="5" t="n"/>
      <c r="O1257" s="5" t="n"/>
      <c r="P1257" s="5" t="n"/>
      <c r="Q1257" s="5" t="n"/>
      <c r="R1257" s="4" t="n"/>
      <c r="S1257" s="4" t="n"/>
      <c r="T1257" s="5" t="n"/>
      <c r="U1257" s="8">
        <f>IF(AND(V1257=1,D1257&lt;&gt;""),IF(D1257&gt;=corte,TODAY()-D1257,""),"")</f>
        <v/>
      </c>
      <c r="V1257" s="8">
        <f>IF(D1257="",0,IF(OR(AND(P1257&lt;&gt;"",S1257=""),AND(N(J1257)&gt;0,N(K1257)&lt;J1257),OR(M1257="PENDENTE",M1257="PARCIAL"),OR(N1257="PENDENTE",N1257="PARCIAL")),1,0))</f>
        <v/>
      </c>
      <c r="W1257" s="8">
        <f>IF(AND(V1257=1,D1257&lt;&gt;""),IF(D1257&gt;=corte,(B1257="CRÍTICO")*1E9+(100000-D1257)*10000+10000-ROW(),""),"")</f>
        <v/>
      </c>
      <c r="X1257" s="8">
        <f>IF(AND(V1257=1,D1257=pas_data,E1257=pas_turno),10000-ROW(),"")</f>
        <v/>
      </c>
    </row>
    <row r="1258">
      <c r="A1258" s="3">
        <f>IF(D1258="","","TT-"&amp;TEXT(ROW()-1,"00000"))</f>
        <v/>
      </c>
      <c r="B1258" s="3">
        <f>IF(D1258="","",IF(V1258=0,"CONCLUÍDO",IF(D1258&lt;corte,"HISTÓRICO",IF(OR(AND(ISNUMBER(R1258),R1258&lt;TODAY()),AND(OR(N1258="PENDENTE",N1258="PARCIAL"),D1258&lt;TODAY()-1)),"CRÍTICO",IF(OR(AND(P1258&lt;&gt;"",S1258=""),AND(N1258="REALIZADO",M1258="PENDENTE"),AND(ISNUMBER(R1258),R1258=TODAY())),"ATENÇÃO",IF(N(K1258)=0,"PENDENTE","EM ANDAMENTO"))))))</f>
        <v/>
      </c>
      <c r="C1258" s="3">
        <f>IF(D1258="","",IF(V1258=0,"🟢 OK",IF(D1258&lt;corte,"⚪ HISTÓRICO (sem baixa)",IF(AND(ISNUMBER(R1258),R1258&lt;TODAY()),"🔴 PRAZO VENCIDO",IF(AND(OR(N1258="PENDENTE",N1258="PARCIAL"),D1258&lt;TODAY()-1),"🔴 EMBARQUE ATRASADO",IF(AND(N1258="REALIZADO",M1258="PENDENTE"),"🟡 EMBARCADO SEM FATURAR",IF(AND(P1258&lt;&gt;"",S1258="",OR(Q1258="",R1258="")),"🟡 PENDÊNCIA SEM RESPONSÁVEL/PRAZO",IF(AND(ISNUMBER(R1258),R1258=TODAY()),"🟡 VENCE HOJE",IF(AND(P1258&lt;&gt;"",S1258=""),"🟡 PENDÊNCIA ABERTA",IF(AND(N(J1258)&gt;0,N(K1258)&lt;J1258),"🟡 FALTA EXECUTAR",IF(OR(M1258="PENDENTE",M1258="PARCIAL"),"🟡 FATURAMENTO PENDENTE","🟡 EMBARQUE PENDENTE")))))))))))</f>
        <v/>
      </c>
      <c r="D1258" s="4" t="n"/>
      <c r="E1258" s="5" t="n"/>
      <c r="F1258" s="5" t="n"/>
      <c r="G1258" s="5" t="n"/>
      <c r="H1258" s="5" t="n"/>
      <c r="I1258" s="5" t="n"/>
      <c r="J1258" s="6" t="n"/>
      <c r="K1258" s="6" t="n"/>
      <c r="L1258" s="7">
        <f>IF(OR(D1258="",N(J1258)=0),"",MIN(1,N(K1258)/J1258))</f>
        <v/>
      </c>
      <c r="M1258" s="5" t="n"/>
      <c r="N1258" s="5" t="n"/>
      <c r="O1258" s="5" t="n"/>
      <c r="P1258" s="5" t="n"/>
      <c r="Q1258" s="5" t="n"/>
      <c r="R1258" s="4" t="n"/>
      <c r="S1258" s="4" t="n"/>
      <c r="T1258" s="5" t="n"/>
      <c r="U1258" s="8">
        <f>IF(AND(V1258=1,D1258&lt;&gt;""),IF(D1258&gt;=corte,TODAY()-D1258,""),"")</f>
        <v/>
      </c>
      <c r="V1258" s="8">
        <f>IF(D1258="",0,IF(OR(AND(P1258&lt;&gt;"",S1258=""),AND(N(J1258)&gt;0,N(K1258)&lt;J1258),OR(M1258="PENDENTE",M1258="PARCIAL"),OR(N1258="PENDENTE",N1258="PARCIAL")),1,0))</f>
        <v/>
      </c>
      <c r="W1258" s="8">
        <f>IF(AND(V1258=1,D1258&lt;&gt;""),IF(D1258&gt;=corte,(B1258="CRÍTICO")*1E9+(100000-D1258)*10000+10000-ROW(),""),"")</f>
        <v/>
      </c>
      <c r="X1258" s="8">
        <f>IF(AND(V1258=1,D1258=pas_data,E1258=pas_turno),10000-ROW(),"")</f>
        <v/>
      </c>
    </row>
    <row r="1259">
      <c r="A1259" s="3">
        <f>IF(D1259="","","TT-"&amp;TEXT(ROW()-1,"00000"))</f>
        <v/>
      </c>
      <c r="B1259" s="3">
        <f>IF(D1259="","",IF(V1259=0,"CONCLUÍDO",IF(D1259&lt;corte,"HISTÓRICO",IF(OR(AND(ISNUMBER(R1259),R1259&lt;TODAY()),AND(OR(N1259="PENDENTE",N1259="PARCIAL"),D1259&lt;TODAY()-1)),"CRÍTICO",IF(OR(AND(P1259&lt;&gt;"",S1259=""),AND(N1259="REALIZADO",M1259="PENDENTE"),AND(ISNUMBER(R1259),R1259=TODAY())),"ATENÇÃO",IF(N(K1259)=0,"PENDENTE","EM ANDAMENTO"))))))</f>
        <v/>
      </c>
      <c r="C1259" s="3">
        <f>IF(D1259="","",IF(V1259=0,"🟢 OK",IF(D1259&lt;corte,"⚪ HISTÓRICO (sem baixa)",IF(AND(ISNUMBER(R1259),R1259&lt;TODAY()),"🔴 PRAZO VENCIDO",IF(AND(OR(N1259="PENDENTE",N1259="PARCIAL"),D1259&lt;TODAY()-1),"🔴 EMBARQUE ATRASADO",IF(AND(N1259="REALIZADO",M1259="PENDENTE"),"🟡 EMBARCADO SEM FATURAR",IF(AND(P1259&lt;&gt;"",S1259="",OR(Q1259="",R1259="")),"🟡 PENDÊNCIA SEM RESPONSÁVEL/PRAZO",IF(AND(ISNUMBER(R1259),R1259=TODAY()),"🟡 VENCE HOJE",IF(AND(P1259&lt;&gt;"",S1259=""),"🟡 PENDÊNCIA ABERTA",IF(AND(N(J1259)&gt;0,N(K1259)&lt;J1259),"🟡 FALTA EXECUTAR",IF(OR(M1259="PENDENTE",M1259="PARCIAL"),"🟡 FATURAMENTO PENDENTE","🟡 EMBARQUE PENDENTE")))))))))))</f>
        <v/>
      </c>
      <c r="D1259" s="4" t="n"/>
      <c r="E1259" s="5" t="n"/>
      <c r="F1259" s="5" t="n"/>
      <c r="G1259" s="5" t="n"/>
      <c r="H1259" s="5" t="n"/>
      <c r="I1259" s="5" t="n"/>
      <c r="J1259" s="6" t="n"/>
      <c r="K1259" s="6" t="n"/>
      <c r="L1259" s="7">
        <f>IF(OR(D1259="",N(J1259)=0),"",MIN(1,N(K1259)/J1259))</f>
        <v/>
      </c>
      <c r="M1259" s="5" t="n"/>
      <c r="N1259" s="5" t="n"/>
      <c r="O1259" s="5" t="n"/>
      <c r="P1259" s="5" t="n"/>
      <c r="Q1259" s="5" t="n"/>
      <c r="R1259" s="4" t="n"/>
      <c r="S1259" s="4" t="n"/>
      <c r="T1259" s="5" t="n"/>
      <c r="U1259" s="8">
        <f>IF(AND(V1259=1,D1259&lt;&gt;""),IF(D1259&gt;=corte,TODAY()-D1259,""),"")</f>
        <v/>
      </c>
      <c r="V1259" s="8">
        <f>IF(D1259="",0,IF(OR(AND(P1259&lt;&gt;"",S1259=""),AND(N(J1259)&gt;0,N(K1259)&lt;J1259),OR(M1259="PENDENTE",M1259="PARCIAL"),OR(N1259="PENDENTE",N1259="PARCIAL")),1,0))</f>
        <v/>
      </c>
      <c r="W1259" s="8">
        <f>IF(AND(V1259=1,D1259&lt;&gt;""),IF(D1259&gt;=corte,(B1259="CRÍTICO")*1E9+(100000-D1259)*10000+10000-ROW(),""),"")</f>
        <v/>
      </c>
      <c r="X1259" s="8">
        <f>IF(AND(V1259=1,D1259=pas_data,E1259=pas_turno),10000-ROW(),"")</f>
        <v/>
      </c>
    </row>
    <row r="1260">
      <c r="A1260" s="3">
        <f>IF(D1260="","","TT-"&amp;TEXT(ROW()-1,"00000"))</f>
        <v/>
      </c>
      <c r="B1260" s="3">
        <f>IF(D1260="","",IF(V1260=0,"CONCLUÍDO",IF(D1260&lt;corte,"HISTÓRICO",IF(OR(AND(ISNUMBER(R1260),R1260&lt;TODAY()),AND(OR(N1260="PENDENTE",N1260="PARCIAL"),D1260&lt;TODAY()-1)),"CRÍTICO",IF(OR(AND(P1260&lt;&gt;"",S1260=""),AND(N1260="REALIZADO",M1260="PENDENTE"),AND(ISNUMBER(R1260),R1260=TODAY())),"ATENÇÃO",IF(N(K1260)=0,"PENDENTE","EM ANDAMENTO"))))))</f>
        <v/>
      </c>
      <c r="C1260" s="3">
        <f>IF(D1260="","",IF(V1260=0,"🟢 OK",IF(D1260&lt;corte,"⚪ HISTÓRICO (sem baixa)",IF(AND(ISNUMBER(R1260),R1260&lt;TODAY()),"🔴 PRAZO VENCIDO",IF(AND(OR(N1260="PENDENTE",N1260="PARCIAL"),D1260&lt;TODAY()-1),"🔴 EMBARQUE ATRASADO",IF(AND(N1260="REALIZADO",M1260="PENDENTE"),"🟡 EMBARCADO SEM FATURAR",IF(AND(P1260&lt;&gt;"",S1260="",OR(Q1260="",R1260="")),"🟡 PENDÊNCIA SEM RESPONSÁVEL/PRAZO",IF(AND(ISNUMBER(R1260),R1260=TODAY()),"🟡 VENCE HOJE",IF(AND(P1260&lt;&gt;"",S1260=""),"🟡 PENDÊNCIA ABERTA",IF(AND(N(J1260)&gt;0,N(K1260)&lt;J1260),"🟡 FALTA EXECUTAR",IF(OR(M1260="PENDENTE",M1260="PARCIAL"),"🟡 FATURAMENTO PENDENTE","🟡 EMBARQUE PENDENTE")))))))))))</f>
        <v/>
      </c>
      <c r="D1260" s="4" t="n"/>
      <c r="E1260" s="5" t="n"/>
      <c r="F1260" s="5" t="n"/>
      <c r="G1260" s="5" t="n"/>
      <c r="H1260" s="5" t="n"/>
      <c r="I1260" s="5" t="n"/>
      <c r="J1260" s="6" t="n"/>
      <c r="K1260" s="6" t="n"/>
      <c r="L1260" s="7">
        <f>IF(OR(D1260="",N(J1260)=0),"",MIN(1,N(K1260)/J1260))</f>
        <v/>
      </c>
      <c r="M1260" s="5" t="n"/>
      <c r="N1260" s="5" t="n"/>
      <c r="O1260" s="5" t="n"/>
      <c r="P1260" s="5" t="n"/>
      <c r="Q1260" s="5" t="n"/>
      <c r="R1260" s="4" t="n"/>
      <c r="S1260" s="4" t="n"/>
      <c r="T1260" s="5" t="n"/>
      <c r="U1260" s="8">
        <f>IF(AND(V1260=1,D1260&lt;&gt;""),IF(D1260&gt;=corte,TODAY()-D1260,""),"")</f>
        <v/>
      </c>
      <c r="V1260" s="8">
        <f>IF(D1260="",0,IF(OR(AND(P1260&lt;&gt;"",S1260=""),AND(N(J1260)&gt;0,N(K1260)&lt;J1260),OR(M1260="PENDENTE",M1260="PARCIAL"),OR(N1260="PENDENTE",N1260="PARCIAL")),1,0))</f>
        <v/>
      </c>
      <c r="W1260" s="8">
        <f>IF(AND(V1260=1,D1260&lt;&gt;""),IF(D1260&gt;=corte,(B1260="CRÍTICO")*1E9+(100000-D1260)*10000+10000-ROW(),""),"")</f>
        <v/>
      </c>
      <c r="X1260" s="8">
        <f>IF(AND(V1260=1,D1260=pas_data,E1260=pas_turno),10000-ROW(),"")</f>
        <v/>
      </c>
    </row>
    <row r="1261">
      <c r="A1261" s="3">
        <f>IF(D1261="","","TT-"&amp;TEXT(ROW()-1,"00000"))</f>
        <v/>
      </c>
      <c r="B1261" s="3">
        <f>IF(D1261="","",IF(V1261=0,"CONCLUÍDO",IF(D1261&lt;corte,"HISTÓRICO",IF(OR(AND(ISNUMBER(R1261),R1261&lt;TODAY()),AND(OR(N1261="PENDENTE",N1261="PARCIAL"),D1261&lt;TODAY()-1)),"CRÍTICO",IF(OR(AND(P1261&lt;&gt;"",S1261=""),AND(N1261="REALIZADO",M1261="PENDENTE"),AND(ISNUMBER(R1261),R1261=TODAY())),"ATENÇÃO",IF(N(K1261)=0,"PENDENTE","EM ANDAMENTO"))))))</f>
        <v/>
      </c>
      <c r="C1261" s="3">
        <f>IF(D1261="","",IF(V1261=0,"🟢 OK",IF(D1261&lt;corte,"⚪ HISTÓRICO (sem baixa)",IF(AND(ISNUMBER(R1261),R1261&lt;TODAY()),"🔴 PRAZO VENCIDO",IF(AND(OR(N1261="PENDENTE",N1261="PARCIAL"),D1261&lt;TODAY()-1),"🔴 EMBARQUE ATRASADO",IF(AND(N1261="REALIZADO",M1261="PENDENTE"),"🟡 EMBARCADO SEM FATURAR",IF(AND(P1261&lt;&gt;"",S1261="",OR(Q1261="",R1261="")),"🟡 PENDÊNCIA SEM RESPONSÁVEL/PRAZO",IF(AND(ISNUMBER(R1261),R1261=TODAY()),"🟡 VENCE HOJE",IF(AND(P1261&lt;&gt;"",S1261=""),"🟡 PENDÊNCIA ABERTA",IF(AND(N(J1261)&gt;0,N(K1261)&lt;J1261),"🟡 FALTA EXECUTAR",IF(OR(M1261="PENDENTE",M1261="PARCIAL"),"🟡 FATURAMENTO PENDENTE","🟡 EMBARQUE PENDENTE")))))))))))</f>
        <v/>
      </c>
      <c r="D1261" s="4" t="n"/>
      <c r="E1261" s="5" t="n"/>
      <c r="F1261" s="5" t="n"/>
      <c r="G1261" s="5" t="n"/>
      <c r="H1261" s="5" t="n"/>
      <c r="I1261" s="5" t="n"/>
      <c r="J1261" s="6" t="n"/>
      <c r="K1261" s="6" t="n"/>
      <c r="L1261" s="7">
        <f>IF(OR(D1261="",N(J1261)=0),"",MIN(1,N(K1261)/J1261))</f>
        <v/>
      </c>
      <c r="M1261" s="5" t="n"/>
      <c r="N1261" s="5" t="n"/>
      <c r="O1261" s="5" t="n"/>
      <c r="P1261" s="5" t="n"/>
      <c r="Q1261" s="5" t="n"/>
      <c r="R1261" s="4" t="n"/>
      <c r="S1261" s="4" t="n"/>
      <c r="T1261" s="5" t="n"/>
      <c r="U1261" s="8">
        <f>IF(AND(V1261=1,D1261&lt;&gt;""),IF(D1261&gt;=corte,TODAY()-D1261,""),"")</f>
        <v/>
      </c>
      <c r="V1261" s="8">
        <f>IF(D1261="",0,IF(OR(AND(P1261&lt;&gt;"",S1261=""),AND(N(J1261)&gt;0,N(K1261)&lt;J1261),OR(M1261="PENDENTE",M1261="PARCIAL"),OR(N1261="PENDENTE",N1261="PARCIAL")),1,0))</f>
        <v/>
      </c>
      <c r="W1261" s="8">
        <f>IF(AND(V1261=1,D1261&lt;&gt;""),IF(D1261&gt;=corte,(B1261="CRÍTICO")*1E9+(100000-D1261)*10000+10000-ROW(),""),"")</f>
        <v/>
      </c>
      <c r="X1261" s="8">
        <f>IF(AND(V1261=1,D1261=pas_data,E1261=pas_turno),10000-ROW(),"")</f>
        <v/>
      </c>
    </row>
    <row r="1262">
      <c r="A1262" s="3">
        <f>IF(D1262="","","TT-"&amp;TEXT(ROW()-1,"00000"))</f>
        <v/>
      </c>
      <c r="B1262" s="3">
        <f>IF(D1262="","",IF(V1262=0,"CONCLUÍDO",IF(D1262&lt;corte,"HISTÓRICO",IF(OR(AND(ISNUMBER(R1262),R1262&lt;TODAY()),AND(OR(N1262="PENDENTE",N1262="PARCIAL"),D1262&lt;TODAY()-1)),"CRÍTICO",IF(OR(AND(P1262&lt;&gt;"",S1262=""),AND(N1262="REALIZADO",M1262="PENDENTE"),AND(ISNUMBER(R1262),R1262=TODAY())),"ATENÇÃO",IF(N(K1262)=0,"PENDENTE","EM ANDAMENTO"))))))</f>
        <v/>
      </c>
      <c r="C1262" s="3">
        <f>IF(D1262="","",IF(V1262=0,"🟢 OK",IF(D1262&lt;corte,"⚪ HISTÓRICO (sem baixa)",IF(AND(ISNUMBER(R1262),R1262&lt;TODAY()),"🔴 PRAZO VENCIDO",IF(AND(OR(N1262="PENDENTE",N1262="PARCIAL"),D1262&lt;TODAY()-1),"🔴 EMBARQUE ATRASADO",IF(AND(N1262="REALIZADO",M1262="PENDENTE"),"🟡 EMBARCADO SEM FATURAR",IF(AND(P1262&lt;&gt;"",S1262="",OR(Q1262="",R1262="")),"🟡 PENDÊNCIA SEM RESPONSÁVEL/PRAZO",IF(AND(ISNUMBER(R1262),R1262=TODAY()),"🟡 VENCE HOJE",IF(AND(P1262&lt;&gt;"",S1262=""),"🟡 PENDÊNCIA ABERTA",IF(AND(N(J1262)&gt;0,N(K1262)&lt;J1262),"🟡 FALTA EXECUTAR",IF(OR(M1262="PENDENTE",M1262="PARCIAL"),"🟡 FATURAMENTO PENDENTE","🟡 EMBARQUE PENDENTE")))))))))))</f>
        <v/>
      </c>
      <c r="D1262" s="4" t="n"/>
      <c r="E1262" s="5" t="n"/>
      <c r="F1262" s="5" t="n"/>
      <c r="G1262" s="5" t="n"/>
      <c r="H1262" s="5" t="n"/>
      <c r="I1262" s="5" t="n"/>
      <c r="J1262" s="6" t="n"/>
      <c r="K1262" s="6" t="n"/>
      <c r="L1262" s="7">
        <f>IF(OR(D1262="",N(J1262)=0),"",MIN(1,N(K1262)/J1262))</f>
        <v/>
      </c>
      <c r="M1262" s="5" t="n"/>
      <c r="N1262" s="5" t="n"/>
      <c r="O1262" s="5" t="n"/>
      <c r="P1262" s="5" t="n"/>
      <c r="Q1262" s="5" t="n"/>
      <c r="R1262" s="4" t="n"/>
      <c r="S1262" s="4" t="n"/>
      <c r="T1262" s="5" t="n"/>
      <c r="U1262" s="8">
        <f>IF(AND(V1262=1,D1262&lt;&gt;""),IF(D1262&gt;=corte,TODAY()-D1262,""),"")</f>
        <v/>
      </c>
      <c r="V1262" s="8">
        <f>IF(D1262="",0,IF(OR(AND(P1262&lt;&gt;"",S1262=""),AND(N(J1262)&gt;0,N(K1262)&lt;J1262),OR(M1262="PENDENTE",M1262="PARCIAL"),OR(N1262="PENDENTE",N1262="PARCIAL")),1,0))</f>
        <v/>
      </c>
      <c r="W1262" s="8">
        <f>IF(AND(V1262=1,D1262&lt;&gt;""),IF(D1262&gt;=corte,(B1262="CRÍTICO")*1E9+(100000-D1262)*10000+10000-ROW(),""),"")</f>
        <v/>
      </c>
      <c r="X1262" s="8">
        <f>IF(AND(V1262=1,D1262=pas_data,E1262=pas_turno),10000-ROW(),"")</f>
        <v/>
      </c>
    </row>
    <row r="1263">
      <c r="A1263" s="3">
        <f>IF(D1263="","","TT-"&amp;TEXT(ROW()-1,"00000"))</f>
        <v/>
      </c>
      <c r="B1263" s="3">
        <f>IF(D1263="","",IF(V1263=0,"CONCLUÍDO",IF(D1263&lt;corte,"HISTÓRICO",IF(OR(AND(ISNUMBER(R1263),R1263&lt;TODAY()),AND(OR(N1263="PENDENTE",N1263="PARCIAL"),D1263&lt;TODAY()-1)),"CRÍTICO",IF(OR(AND(P1263&lt;&gt;"",S1263=""),AND(N1263="REALIZADO",M1263="PENDENTE"),AND(ISNUMBER(R1263),R1263=TODAY())),"ATENÇÃO",IF(N(K1263)=0,"PENDENTE","EM ANDAMENTO"))))))</f>
        <v/>
      </c>
      <c r="C1263" s="3">
        <f>IF(D1263="","",IF(V1263=0,"🟢 OK",IF(D1263&lt;corte,"⚪ HISTÓRICO (sem baixa)",IF(AND(ISNUMBER(R1263),R1263&lt;TODAY()),"🔴 PRAZO VENCIDO",IF(AND(OR(N1263="PENDENTE",N1263="PARCIAL"),D1263&lt;TODAY()-1),"🔴 EMBARQUE ATRASADO",IF(AND(N1263="REALIZADO",M1263="PENDENTE"),"🟡 EMBARCADO SEM FATURAR",IF(AND(P1263&lt;&gt;"",S1263="",OR(Q1263="",R1263="")),"🟡 PENDÊNCIA SEM RESPONSÁVEL/PRAZO",IF(AND(ISNUMBER(R1263),R1263=TODAY()),"🟡 VENCE HOJE",IF(AND(P1263&lt;&gt;"",S1263=""),"🟡 PENDÊNCIA ABERTA",IF(AND(N(J1263)&gt;0,N(K1263)&lt;J1263),"🟡 FALTA EXECUTAR",IF(OR(M1263="PENDENTE",M1263="PARCIAL"),"🟡 FATURAMENTO PENDENTE","🟡 EMBARQUE PENDENTE")))))))))))</f>
        <v/>
      </c>
      <c r="D1263" s="4" t="n"/>
      <c r="E1263" s="5" t="n"/>
      <c r="F1263" s="5" t="n"/>
      <c r="G1263" s="5" t="n"/>
      <c r="H1263" s="5" t="n"/>
      <c r="I1263" s="5" t="n"/>
      <c r="J1263" s="6" t="n"/>
      <c r="K1263" s="6" t="n"/>
      <c r="L1263" s="7">
        <f>IF(OR(D1263="",N(J1263)=0),"",MIN(1,N(K1263)/J1263))</f>
        <v/>
      </c>
      <c r="M1263" s="5" t="n"/>
      <c r="N1263" s="5" t="n"/>
      <c r="O1263" s="5" t="n"/>
      <c r="P1263" s="5" t="n"/>
      <c r="Q1263" s="5" t="n"/>
      <c r="R1263" s="4" t="n"/>
      <c r="S1263" s="4" t="n"/>
      <c r="T1263" s="5" t="n"/>
      <c r="U1263" s="8">
        <f>IF(AND(V1263=1,D1263&lt;&gt;""),IF(D1263&gt;=corte,TODAY()-D1263,""),"")</f>
        <v/>
      </c>
      <c r="V1263" s="8">
        <f>IF(D1263="",0,IF(OR(AND(P1263&lt;&gt;"",S1263=""),AND(N(J1263)&gt;0,N(K1263)&lt;J1263),OR(M1263="PENDENTE",M1263="PARCIAL"),OR(N1263="PENDENTE",N1263="PARCIAL")),1,0))</f>
        <v/>
      </c>
      <c r="W1263" s="8">
        <f>IF(AND(V1263=1,D1263&lt;&gt;""),IF(D1263&gt;=corte,(B1263="CRÍTICO")*1E9+(100000-D1263)*10000+10000-ROW(),""),"")</f>
        <v/>
      </c>
      <c r="X1263" s="8">
        <f>IF(AND(V1263=1,D1263=pas_data,E1263=pas_turno),10000-ROW(),"")</f>
        <v/>
      </c>
    </row>
    <row r="1264">
      <c r="A1264" s="3">
        <f>IF(D1264="","","TT-"&amp;TEXT(ROW()-1,"00000"))</f>
        <v/>
      </c>
      <c r="B1264" s="3">
        <f>IF(D1264="","",IF(V1264=0,"CONCLUÍDO",IF(D1264&lt;corte,"HISTÓRICO",IF(OR(AND(ISNUMBER(R1264),R1264&lt;TODAY()),AND(OR(N1264="PENDENTE",N1264="PARCIAL"),D1264&lt;TODAY()-1)),"CRÍTICO",IF(OR(AND(P1264&lt;&gt;"",S1264=""),AND(N1264="REALIZADO",M1264="PENDENTE"),AND(ISNUMBER(R1264),R1264=TODAY())),"ATENÇÃO",IF(N(K1264)=0,"PENDENTE","EM ANDAMENTO"))))))</f>
        <v/>
      </c>
      <c r="C1264" s="3">
        <f>IF(D1264="","",IF(V1264=0,"🟢 OK",IF(D1264&lt;corte,"⚪ HISTÓRICO (sem baixa)",IF(AND(ISNUMBER(R1264),R1264&lt;TODAY()),"🔴 PRAZO VENCIDO",IF(AND(OR(N1264="PENDENTE",N1264="PARCIAL"),D1264&lt;TODAY()-1),"🔴 EMBARQUE ATRASADO",IF(AND(N1264="REALIZADO",M1264="PENDENTE"),"🟡 EMBARCADO SEM FATURAR",IF(AND(P1264&lt;&gt;"",S1264="",OR(Q1264="",R1264="")),"🟡 PENDÊNCIA SEM RESPONSÁVEL/PRAZO",IF(AND(ISNUMBER(R1264),R1264=TODAY()),"🟡 VENCE HOJE",IF(AND(P1264&lt;&gt;"",S1264=""),"🟡 PENDÊNCIA ABERTA",IF(AND(N(J1264)&gt;0,N(K1264)&lt;J1264),"🟡 FALTA EXECUTAR",IF(OR(M1264="PENDENTE",M1264="PARCIAL"),"🟡 FATURAMENTO PENDENTE","🟡 EMBARQUE PENDENTE")))))))))))</f>
        <v/>
      </c>
      <c r="D1264" s="4" t="n"/>
      <c r="E1264" s="5" t="n"/>
      <c r="F1264" s="5" t="n"/>
      <c r="G1264" s="5" t="n"/>
      <c r="H1264" s="5" t="n"/>
      <c r="I1264" s="5" t="n"/>
      <c r="J1264" s="6" t="n"/>
      <c r="K1264" s="6" t="n"/>
      <c r="L1264" s="7">
        <f>IF(OR(D1264="",N(J1264)=0),"",MIN(1,N(K1264)/J1264))</f>
        <v/>
      </c>
      <c r="M1264" s="5" t="n"/>
      <c r="N1264" s="5" t="n"/>
      <c r="O1264" s="5" t="n"/>
      <c r="P1264" s="5" t="n"/>
      <c r="Q1264" s="5" t="n"/>
      <c r="R1264" s="4" t="n"/>
      <c r="S1264" s="4" t="n"/>
      <c r="T1264" s="5" t="n"/>
      <c r="U1264" s="8">
        <f>IF(AND(V1264=1,D1264&lt;&gt;""),IF(D1264&gt;=corte,TODAY()-D1264,""),"")</f>
        <v/>
      </c>
      <c r="V1264" s="8">
        <f>IF(D1264="",0,IF(OR(AND(P1264&lt;&gt;"",S1264=""),AND(N(J1264)&gt;0,N(K1264)&lt;J1264),OR(M1264="PENDENTE",M1264="PARCIAL"),OR(N1264="PENDENTE",N1264="PARCIAL")),1,0))</f>
        <v/>
      </c>
      <c r="W1264" s="8">
        <f>IF(AND(V1264=1,D1264&lt;&gt;""),IF(D1264&gt;=corte,(B1264="CRÍTICO")*1E9+(100000-D1264)*10000+10000-ROW(),""),"")</f>
        <v/>
      </c>
      <c r="X1264" s="8">
        <f>IF(AND(V1264=1,D1264=pas_data,E1264=pas_turno),10000-ROW(),"")</f>
        <v/>
      </c>
    </row>
    <row r="1265">
      <c r="A1265" s="3">
        <f>IF(D1265="","","TT-"&amp;TEXT(ROW()-1,"00000"))</f>
        <v/>
      </c>
      <c r="B1265" s="3">
        <f>IF(D1265="","",IF(V1265=0,"CONCLUÍDO",IF(D1265&lt;corte,"HISTÓRICO",IF(OR(AND(ISNUMBER(R1265),R1265&lt;TODAY()),AND(OR(N1265="PENDENTE",N1265="PARCIAL"),D1265&lt;TODAY()-1)),"CRÍTICO",IF(OR(AND(P1265&lt;&gt;"",S1265=""),AND(N1265="REALIZADO",M1265="PENDENTE"),AND(ISNUMBER(R1265),R1265=TODAY())),"ATENÇÃO",IF(N(K1265)=0,"PENDENTE","EM ANDAMENTO"))))))</f>
        <v/>
      </c>
      <c r="C1265" s="3">
        <f>IF(D1265="","",IF(V1265=0,"🟢 OK",IF(D1265&lt;corte,"⚪ HISTÓRICO (sem baixa)",IF(AND(ISNUMBER(R1265),R1265&lt;TODAY()),"🔴 PRAZO VENCIDO",IF(AND(OR(N1265="PENDENTE",N1265="PARCIAL"),D1265&lt;TODAY()-1),"🔴 EMBARQUE ATRASADO",IF(AND(N1265="REALIZADO",M1265="PENDENTE"),"🟡 EMBARCADO SEM FATURAR",IF(AND(P1265&lt;&gt;"",S1265="",OR(Q1265="",R1265="")),"🟡 PENDÊNCIA SEM RESPONSÁVEL/PRAZO",IF(AND(ISNUMBER(R1265),R1265=TODAY()),"🟡 VENCE HOJE",IF(AND(P1265&lt;&gt;"",S1265=""),"🟡 PENDÊNCIA ABERTA",IF(AND(N(J1265)&gt;0,N(K1265)&lt;J1265),"🟡 FALTA EXECUTAR",IF(OR(M1265="PENDENTE",M1265="PARCIAL"),"🟡 FATURAMENTO PENDENTE","🟡 EMBARQUE PENDENTE")))))))))))</f>
        <v/>
      </c>
      <c r="D1265" s="4" t="n"/>
      <c r="E1265" s="5" t="n"/>
      <c r="F1265" s="5" t="n"/>
      <c r="G1265" s="5" t="n"/>
      <c r="H1265" s="5" t="n"/>
      <c r="I1265" s="5" t="n"/>
      <c r="J1265" s="6" t="n"/>
      <c r="K1265" s="6" t="n"/>
      <c r="L1265" s="7">
        <f>IF(OR(D1265="",N(J1265)=0),"",MIN(1,N(K1265)/J1265))</f>
        <v/>
      </c>
      <c r="M1265" s="5" t="n"/>
      <c r="N1265" s="5" t="n"/>
      <c r="O1265" s="5" t="n"/>
      <c r="P1265" s="5" t="n"/>
      <c r="Q1265" s="5" t="n"/>
      <c r="R1265" s="4" t="n"/>
      <c r="S1265" s="4" t="n"/>
      <c r="T1265" s="5" t="n"/>
      <c r="U1265" s="8">
        <f>IF(AND(V1265=1,D1265&lt;&gt;""),IF(D1265&gt;=corte,TODAY()-D1265,""),"")</f>
        <v/>
      </c>
      <c r="V1265" s="8">
        <f>IF(D1265="",0,IF(OR(AND(P1265&lt;&gt;"",S1265=""),AND(N(J1265)&gt;0,N(K1265)&lt;J1265),OR(M1265="PENDENTE",M1265="PARCIAL"),OR(N1265="PENDENTE",N1265="PARCIAL")),1,0))</f>
        <v/>
      </c>
      <c r="W1265" s="8">
        <f>IF(AND(V1265=1,D1265&lt;&gt;""),IF(D1265&gt;=corte,(B1265="CRÍTICO")*1E9+(100000-D1265)*10000+10000-ROW(),""),"")</f>
        <v/>
      </c>
      <c r="X1265" s="8">
        <f>IF(AND(V1265=1,D1265=pas_data,E1265=pas_turno),10000-ROW(),"")</f>
        <v/>
      </c>
    </row>
    <row r="1266">
      <c r="A1266" s="3">
        <f>IF(D1266="","","TT-"&amp;TEXT(ROW()-1,"00000"))</f>
        <v/>
      </c>
      <c r="B1266" s="3">
        <f>IF(D1266="","",IF(V1266=0,"CONCLUÍDO",IF(D1266&lt;corte,"HISTÓRICO",IF(OR(AND(ISNUMBER(R1266),R1266&lt;TODAY()),AND(OR(N1266="PENDENTE",N1266="PARCIAL"),D1266&lt;TODAY()-1)),"CRÍTICO",IF(OR(AND(P1266&lt;&gt;"",S1266=""),AND(N1266="REALIZADO",M1266="PENDENTE"),AND(ISNUMBER(R1266),R1266=TODAY())),"ATENÇÃO",IF(N(K1266)=0,"PENDENTE","EM ANDAMENTO"))))))</f>
        <v/>
      </c>
      <c r="C1266" s="3">
        <f>IF(D1266="","",IF(V1266=0,"🟢 OK",IF(D1266&lt;corte,"⚪ HISTÓRICO (sem baixa)",IF(AND(ISNUMBER(R1266),R1266&lt;TODAY()),"🔴 PRAZO VENCIDO",IF(AND(OR(N1266="PENDENTE",N1266="PARCIAL"),D1266&lt;TODAY()-1),"🔴 EMBARQUE ATRASADO",IF(AND(N1266="REALIZADO",M1266="PENDENTE"),"🟡 EMBARCADO SEM FATURAR",IF(AND(P1266&lt;&gt;"",S1266="",OR(Q1266="",R1266="")),"🟡 PENDÊNCIA SEM RESPONSÁVEL/PRAZO",IF(AND(ISNUMBER(R1266),R1266=TODAY()),"🟡 VENCE HOJE",IF(AND(P1266&lt;&gt;"",S1266=""),"🟡 PENDÊNCIA ABERTA",IF(AND(N(J1266)&gt;0,N(K1266)&lt;J1266),"🟡 FALTA EXECUTAR",IF(OR(M1266="PENDENTE",M1266="PARCIAL"),"🟡 FATURAMENTO PENDENTE","🟡 EMBARQUE PENDENTE")))))))))))</f>
        <v/>
      </c>
      <c r="D1266" s="4" t="n"/>
      <c r="E1266" s="5" t="n"/>
      <c r="F1266" s="5" t="n"/>
      <c r="G1266" s="5" t="n"/>
      <c r="H1266" s="5" t="n"/>
      <c r="I1266" s="5" t="n"/>
      <c r="J1266" s="6" t="n"/>
      <c r="K1266" s="6" t="n"/>
      <c r="L1266" s="7">
        <f>IF(OR(D1266="",N(J1266)=0),"",MIN(1,N(K1266)/J1266))</f>
        <v/>
      </c>
      <c r="M1266" s="5" t="n"/>
      <c r="N1266" s="5" t="n"/>
      <c r="O1266" s="5" t="n"/>
      <c r="P1266" s="5" t="n"/>
      <c r="Q1266" s="5" t="n"/>
      <c r="R1266" s="4" t="n"/>
      <c r="S1266" s="4" t="n"/>
      <c r="T1266" s="5" t="n"/>
      <c r="U1266" s="8">
        <f>IF(AND(V1266=1,D1266&lt;&gt;""),IF(D1266&gt;=corte,TODAY()-D1266,""),"")</f>
        <v/>
      </c>
      <c r="V1266" s="8">
        <f>IF(D1266="",0,IF(OR(AND(P1266&lt;&gt;"",S1266=""),AND(N(J1266)&gt;0,N(K1266)&lt;J1266),OR(M1266="PENDENTE",M1266="PARCIAL"),OR(N1266="PENDENTE",N1266="PARCIAL")),1,0))</f>
        <v/>
      </c>
      <c r="W1266" s="8">
        <f>IF(AND(V1266=1,D1266&lt;&gt;""),IF(D1266&gt;=corte,(B1266="CRÍTICO")*1E9+(100000-D1266)*10000+10000-ROW(),""),"")</f>
        <v/>
      </c>
      <c r="X1266" s="8">
        <f>IF(AND(V1266=1,D1266=pas_data,E1266=pas_turno),10000-ROW(),"")</f>
        <v/>
      </c>
    </row>
    <row r="1267">
      <c r="A1267" s="3">
        <f>IF(D1267="","","TT-"&amp;TEXT(ROW()-1,"00000"))</f>
        <v/>
      </c>
      <c r="B1267" s="3">
        <f>IF(D1267="","",IF(V1267=0,"CONCLUÍDO",IF(D1267&lt;corte,"HISTÓRICO",IF(OR(AND(ISNUMBER(R1267),R1267&lt;TODAY()),AND(OR(N1267="PENDENTE",N1267="PARCIAL"),D1267&lt;TODAY()-1)),"CRÍTICO",IF(OR(AND(P1267&lt;&gt;"",S1267=""),AND(N1267="REALIZADO",M1267="PENDENTE"),AND(ISNUMBER(R1267),R1267=TODAY())),"ATENÇÃO",IF(N(K1267)=0,"PENDENTE","EM ANDAMENTO"))))))</f>
        <v/>
      </c>
      <c r="C1267" s="3">
        <f>IF(D1267="","",IF(V1267=0,"🟢 OK",IF(D1267&lt;corte,"⚪ HISTÓRICO (sem baixa)",IF(AND(ISNUMBER(R1267),R1267&lt;TODAY()),"🔴 PRAZO VENCIDO",IF(AND(OR(N1267="PENDENTE",N1267="PARCIAL"),D1267&lt;TODAY()-1),"🔴 EMBARQUE ATRASADO",IF(AND(N1267="REALIZADO",M1267="PENDENTE"),"🟡 EMBARCADO SEM FATURAR",IF(AND(P1267&lt;&gt;"",S1267="",OR(Q1267="",R1267="")),"🟡 PENDÊNCIA SEM RESPONSÁVEL/PRAZO",IF(AND(ISNUMBER(R1267),R1267=TODAY()),"🟡 VENCE HOJE",IF(AND(P1267&lt;&gt;"",S1267=""),"🟡 PENDÊNCIA ABERTA",IF(AND(N(J1267)&gt;0,N(K1267)&lt;J1267),"🟡 FALTA EXECUTAR",IF(OR(M1267="PENDENTE",M1267="PARCIAL"),"🟡 FATURAMENTO PENDENTE","🟡 EMBARQUE PENDENTE")))))))))))</f>
        <v/>
      </c>
      <c r="D1267" s="4" t="n"/>
      <c r="E1267" s="5" t="n"/>
      <c r="F1267" s="5" t="n"/>
      <c r="G1267" s="5" t="n"/>
      <c r="H1267" s="5" t="n"/>
      <c r="I1267" s="5" t="n"/>
      <c r="J1267" s="6" t="n"/>
      <c r="K1267" s="6" t="n"/>
      <c r="L1267" s="7">
        <f>IF(OR(D1267="",N(J1267)=0),"",MIN(1,N(K1267)/J1267))</f>
        <v/>
      </c>
      <c r="M1267" s="5" t="n"/>
      <c r="N1267" s="5" t="n"/>
      <c r="O1267" s="5" t="n"/>
      <c r="P1267" s="5" t="n"/>
      <c r="Q1267" s="5" t="n"/>
      <c r="R1267" s="4" t="n"/>
      <c r="S1267" s="4" t="n"/>
      <c r="T1267" s="5" t="n"/>
      <c r="U1267" s="8">
        <f>IF(AND(V1267=1,D1267&lt;&gt;""),IF(D1267&gt;=corte,TODAY()-D1267,""),"")</f>
        <v/>
      </c>
      <c r="V1267" s="8">
        <f>IF(D1267="",0,IF(OR(AND(P1267&lt;&gt;"",S1267=""),AND(N(J1267)&gt;0,N(K1267)&lt;J1267),OR(M1267="PENDENTE",M1267="PARCIAL"),OR(N1267="PENDENTE",N1267="PARCIAL")),1,0))</f>
        <v/>
      </c>
      <c r="W1267" s="8">
        <f>IF(AND(V1267=1,D1267&lt;&gt;""),IF(D1267&gt;=corte,(B1267="CRÍTICO")*1E9+(100000-D1267)*10000+10000-ROW(),""),"")</f>
        <v/>
      </c>
      <c r="X1267" s="8">
        <f>IF(AND(V1267=1,D1267=pas_data,E1267=pas_turno),10000-ROW(),"")</f>
        <v/>
      </c>
    </row>
    <row r="1268">
      <c r="A1268" s="3">
        <f>IF(D1268="","","TT-"&amp;TEXT(ROW()-1,"00000"))</f>
        <v/>
      </c>
      <c r="B1268" s="3">
        <f>IF(D1268="","",IF(V1268=0,"CONCLUÍDO",IF(D1268&lt;corte,"HISTÓRICO",IF(OR(AND(ISNUMBER(R1268),R1268&lt;TODAY()),AND(OR(N1268="PENDENTE",N1268="PARCIAL"),D1268&lt;TODAY()-1)),"CRÍTICO",IF(OR(AND(P1268&lt;&gt;"",S1268=""),AND(N1268="REALIZADO",M1268="PENDENTE"),AND(ISNUMBER(R1268),R1268=TODAY())),"ATENÇÃO",IF(N(K1268)=0,"PENDENTE","EM ANDAMENTO"))))))</f>
        <v/>
      </c>
      <c r="C1268" s="3">
        <f>IF(D1268="","",IF(V1268=0,"🟢 OK",IF(D1268&lt;corte,"⚪ HISTÓRICO (sem baixa)",IF(AND(ISNUMBER(R1268),R1268&lt;TODAY()),"🔴 PRAZO VENCIDO",IF(AND(OR(N1268="PENDENTE",N1268="PARCIAL"),D1268&lt;TODAY()-1),"🔴 EMBARQUE ATRASADO",IF(AND(N1268="REALIZADO",M1268="PENDENTE"),"🟡 EMBARCADO SEM FATURAR",IF(AND(P1268&lt;&gt;"",S1268="",OR(Q1268="",R1268="")),"🟡 PENDÊNCIA SEM RESPONSÁVEL/PRAZO",IF(AND(ISNUMBER(R1268),R1268=TODAY()),"🟡 VENCE HOJE",IF(AND(P1268&lt;&gt;"",S1268=""),"🟡 PENDÊNCIA ABERTA",IF(AND(N(J1268)&gt;0,N(K1268)&lt;J1268),"🟡 FALTA EXECUTAR",IF(OR(M1268="PENDENTE",M1268="PARCIAL"),"🟡 FATURAMENTO PENDENTE","🟡 EMBARQUE PENDENTE")))))))))))</f>
        <v/>
      </c>
      <c r="D1268" s="4" t="n"/>
      <c r="E1268" s="5" t="n"/>
      <c r="F1268" s="5" t="n"/>
      <c r="G1268" s="5" t="n"/>
      <c r="H1268" s="5" t="n"/>
      <c r="I1268" s="5" t="n"/>
      <c r="J1268" s="6" t="n"/>
      <c r="K1268" s="6" t="n"/>
      <c r="L1268" s="7">
        <f>IF(OR(D1268="",N(J1268)=0),"",MIN(1,N(K1268)/J1268))</f>
        <v/>
      </c>
      <c r="M1268" s="5" t="n"/>
      <c r="N1268" s="5" t="n"/>
      <c r="O1268" s="5" t="n"/>
      <c r="P1268" s="5" t="n"/>
      <c r="Q1268" s="5" t="n"/>
      <c r="R1268" s="4" t="n"/>
      <c r="S1268" s="4" t="n"/>
      <c r="T1268" s="5" t="n"/>
      <c r="U1268" s="8">
        <f>IF(AND(V1268=1,D1268&lt;&gt;""),IF(D1268&gt;=corte,TODAY()-D1268,""),"")</f>
        <v/>
      </c>
      <c r="V1268" s="8">
        <f>IF(D1268="",0,IF(OR(AND(P1268&lt;&gt;"",S1268=""),AND(N(J1268)&gt;0,N(K1268)&lt;J1268),OR(M1268="PENDENTE",M1268="PARCIAL"),OR(N1268="PENDENTE",N1268="PARCIAL")),1,0))</f>
        <v/>
      </c>
      <c r="W1268" s="8">
        <f>IF(AND(V1268=1,D1268&lt;&gt;""),IF(D1268&gt;=corte,(B1268="CRÍTICO")*1E9+(100000-D1268)*10000+10000-ROW(),""),"")</f>
        <v/>
      </c>
      <c r="X1268" s="8">
        <f>IF(AND(V1268=1,D1268=pas_data,E1268=pas_turno),10000-ROW(),"")</f>
        <v/>
      </c>
    </row>
    <row r="1269">
      <c r="A1269" s="3">
        <f>IF(D1269="","","TT-"&amp;TEXT(ROW()-1,"00000"))</f>
        <v/>
      </c>
      <c r="B1269" s="3">
        <f>IF(D1269="","",IF(V1269=0,"CONCLUÍDO",IF(D1269&lt;corte,"HISTÓRICO",IF(OR(AND(ISNUMBER(R1269),R1269&lt;TODAY()),AND(OR(N1269="PENDENTE",N1269="PARCIAL"),D1269&lt;TODAY()-1)),"CRÍTICO",IF(OR(AND(P1269&lt;&gt;"",S1269=""),AND(N1269="REALIZADO",M1269="PENDENTE"),AND(ISNUMBER(R1269),R1269=TODAY())),"ATENÇÃO",IF(N(K1269)=0,"PENDENTE","EM ANDAMENTO"))))))</f>
        <v/>
      </c>
      <c r="C1269" s="3">
        <f>IF(D1269="","",IF(V1269=0,"🟢 OK",IF(D1269&lt;corte,"⚪ HISTÓRICO (sem baixa)",IF(AND(ISNUMBER(R1269),R1269&lt;TODAY()),"🔴 PRAZO VENCIDO",IF(AND(OR(N1269="PENDENTE",N1269="PARCIAL"),D1269&lt;TODAY()-1),"🔴 EMBARQUE ATRASADO",IF(AND(N1269="REALIZADO",M1269="PENDENTE"),"🟡 EMBARCADO SEM FATURAR",IF(AND(P1269&lt;&gt;"",S1269="",OR(Q1269="",R1269="")),"🟡 PENDÊNCIA SEM RESPONSÁVEL/PRAZO",IF(AND(ISNUMBER(R1269),R1269=TODAY()),"🟡 VENCE HOJE",IF(AND(P1269&lt;&gt;"",S1269=""),"🟡 PENDÊNCIA ABERTA",IF(AND(N(J1269)&gt;0,N(K1269)&lt;J1269),"🟡 FALTA EXECUTAR",IF(OR(M1269="PENDENTE",M1269="PARCIAL"),"🟡 FATURAMENTO PENDENTE","🟡 EMBARQUE PENDENTE")))))))))))</f>
        <v/>
      </c>
      <c r="D1269" s="4" t="n"/>
      <c r="E1269" s="5" t="n"/>
      <c r="F1269" s="5" t="n"/>
      <c r="G1269" s="5" t="n"/>
      <c r="H1269" s="5" t="n"/>
      <c r="I1269" s="5" t="n"/>
      <c r="J1269" s="6" t="n"/>
      <c r="K1269" s="6" t="n"/>
      <c r="L1269" s="7">
        <f>IF(OR(D1269="",N(J1269)=0),"",MIN(1,N(K1269)/J1269))</f>
        <v/>
      </c>
      <c r="M1269" s="5" t="n"/>
      <c r="N1269" s="5" t="n"/>
      <c r="O1269" s="5" t="n"/>
      <c r="P1269" s="5" t="n"/>
      <c r="Q1269" s="5" t="n"/>
      <c r="R1269" s="4" t="n"/>
      <c r="S1269" s="4" t="n"/>
      <c r="T1269" s="5" t="n"/>
      <c r="U1269" s="8">
        <f>IF(AND(V1269=1,D1269&lt;&gt;""),IF(D1269&gt;=corte,TODAY()-D1269,""),"")</f>
        <v/>
      </c>
      <c r="V1269" s="8">
        <f>IF(D1269="",0,IF(OR(AND(P1269&lt;&gt;"",S1269=""),AND(N(J1269)&gt;0,N(K1269)&lt;J1269),OR(M1269="PENDENTE",M1269="PARCIAL"),OR(N1269="PENDENTE",N1269="PARCIAL")),1,0))</f>
        <v/>
      </c>
      <c r="W1269" s="8">
        <f>IF(AND(V1269=1,D1269&lt;&gt;""),IF(D1269&gt;=corte,(B1269="CRÍTICO")*1E9+(100000-D1269)*10000+10000-ROW(),""),"")</f>
        <v/>
      </c>
      <c r="X1269" s="8">
        <f>IF(AND(V1269=1,D1269=pas_data,E1269=pas_turno),10000-ROW(),"")</f>
        <v/>
      </c>
    </row>
    <row r="1270">
      <c r="A1270" s="3">
        <f>IF(D1270="","","TT-"&amp;TEXT(ROW()-1,"00000"))</f>
        <v/>
      </c>
      <c r="B1270" s="3">
        <f>IF(D1270="","",IF(V1270=0,"CONCLUÍDO",IF(D1270&lt;corte,"HISTÓRICO",IF(OR(AND(ISNUMBER(R1270),R1270&lt;TODAY()),AND(OR(N1270="PENDENTE",N1270="PARCIAL"),D1270&lt;TODAY()-1)),"CRÍTICO",IF(OR(AND(P1270&lt;&gt;"",S1270=""),AND(N1270="REALIZADO",M1270="PENDENTE"),AND(ISNUMBER(R1270),R1270=TODAY())),"ATENÇÃO",IF(N(K1270)=0,"PENDENTE","EM ANDAMENTO"))))))</f>
        <v/>
      </c>
      <c r="C1270" s="3">
        <f>IF(D1270="","",IF(V1270=0,"🟢 OK",IF(D1270&lt;corte,"⚪ HISTÓRICO (sem baixa)",IF(AND(ISNUMBER(R1270),R1270&lt;TODAY()),"🔴 PRAZO VENCIDO",IF(AND(OR(N1270="PENDENTE",N1270="PARCIAL"),D1270&lt;TODAY()-1),"🔴 EMBARQUE ATRASADO",IF(AND(N1270="REALIZADO",M1270="PENDENTE"),"🟡 EMBARCADO SEM FATURAR",IF(AND(P1270&lt;&gt;"",S1270="",OR(Q1270="",R1270="")),"🟡 PENDÊNCIA SEM RESPONSÁVEL/PRAZO",IF(AND(ISNUMBER(R1270),R1270=TODAY()),"🟡 VENCE HOJE",IF(AND(P1270&lt;&gt;"",S1270=""),"🟡 PENDÊNCIA ABERTA",IF(AND(N(J1270)&gt;0,N(K1270)&lt;J1270),"🟡 FALTA EXECUTAR",IF(OR(M1270="PENDENTE",M1270="PARCIAL"),"🟡 FATURAMENTO PENDENTE","🟡 EMBARQUE PENDENTE")))))))))))</f>
        <v/>
      </c>
      <c r="D1270" s="4" t="n"/>
      <c r="E1270" s="5" t="n"/>
      <c r="F1270" s="5" t="n"/>
      <c r="G1270" s="5" t="n"/>
      <c r="H1270" s="5" t="n"/>
      <c r="I1270" s="5" t="n"/>
      <c r="J1270" s="6" t="n"/>
      <c r="K1270" s="6" t="n"/>
      <c r="L1270" s="7">
        <f>IF(OR(D1270="",N(J1270)=0),"",MIN(1,N(K1270)/J1270))</f>
        <v/>
      </c>
      <c r="M1270" s="5" t="n"/>
      <c r="N1270" s="5" t="n"/>
      <c r="O1270" s="5" t="n"/>
      <c r="P1270" s="5" t="n"/>
      <c r="Q1270" s="5" t="n"/>
      <c r="R1270" s="4" t="n"/>
      <c r="S1270" s="4" t="n"/>
      <c r="T1270" s="5" t="n"/>
      <c r="U1270" s="8">
        <f>IF(AND(V1270=1,D1270&lt;&gt;""),IF(D1270&gt;=corte,TODAY()-D1270,""),"")</f>
        <v/>
      </c>
      <c r="V1270" s="8">
        <f>IF(D1270="",0,IF(OR(AND(P1270&lt;&gt;"",S1270=""),AND(N(J1270)&gt;0,N(K1270)&lt;J1270),OR(M1270="PENDENTE",M1270="PARCIAL"),OR(N1270="PENDENTE",N1270="PARCIAL")),1,0))</f>
        <v/>
      </c>
      <c r="W1270" s="8">
        <f>IF(AND(V1270=1,D1270&lt;&gt;""),IF(D1270&gt;=corte,(B1270="CRÍTICO")*1E9+(100000-D1270)*10000+10000-ROW(),""),"")</f>
        <v/>
      </c>
      <c r="X1270" s="8">
        <f>IF(AND(V1270=1,D1270=pas_data,E1270=pas_turno),10000-ROW(),"")</f>
        <v/>
      </c>
    </row>
    <row r="1271">
      <c r="A1271" s="3">
        <f>IF(D1271="","","TT-"&amp;TEXT(ROW()-1,"00000"))</f>
        <v/>
      </c>
      <c r="B1271" s="3">
        <f>IF(D1271="","",IF(V1271=0,"CONCLUÍDO",IF(D1271&lt;corte,"HISTÓRICO",IF(OR(AND(ISNUMBER(R1271),R1271&lt;TODAY()),AND(OR(N1271="PENDENTE",N1271="PARCIAL"),D1271&lt;TODAY()-1)),"CRÍTICO",IF(OR(AND(P1271&lt;&gt;"",S1271=""),AND(N1271="REALIZADO",M1271="PENDENTE"),AND(ISNUMBER(R1271),R1271=TODAY())),"ATENÇÃO",IF(N(K1271)=0,"PENDENTE","EM ANDAMENTO"))))))</f>
        <v/>
      </c>
      <c r="C1271" s="3">
        <f>IF(D1271="","",IF(V1271=0,"🟢 OK",IF(D1271&lt;corte,"⚪ HISTÓRICO (sem baixa)",IF(AND(ISNUMBER(R1271),R1271&lt;TODAY()),"🔴 PRAZO VENCIDO",IF(AND(OR(N1271="PENDENTE",N1271="PARCIAL"),D1271&lt;TODAY()-1),"🔴 EMBARQUE ATRASADO",IF(AND(N1271="REALIZADO",M1271="PENDENTE"),"🟡 EMBARCADO SEM FATURAR",IF(AND(P1271&lt;&gt;"",S1271="",OR(Q1271="",R1271="")),"🟡 PENDÊNCIA SEM RESPONSÁVEL/PRAZO",IF(AND(ISNUMBER(R1271),R1271=TODAY()),"🟡 VENCE HOJE",IF(AND(P1271&lt;&gt;"",S1271=""),"🟡 PENDÊNCIA ABERTA",IF(AND(N(J1271)&gt;0,N(K1271)&lt;J1271),"🟡 FALTA EXECUTAR",IF(OR(M1271="PENDENTE",M1271="PARCIAL"),"🟡 FATURAMENTO PENDENTE","🟡 EMBARQUE PENDENTE")))))))))))</f>
        <v/>
      </c>
      <c r="D1271" s="4" t="n"/>
      <c r="E1271" s="5" t="n"/>
      <c r="F1271" s="5" t="n"/>
      <c r="G1271" s="5" t="n"/>
      <c r="H1271" s="5" t="n"/>
      <c r="I1271" s="5" t="n"/>
      <c r="J1271" s="6" t="n"/>
      <c r="K1271" s="6" t="n"/>
      <c r="L1271" s="7">
        <f>IF(OR(D1271="",N(J1271)=0),"",MIN(1,N(K1271)/J1271))</f>
        <v/>
      </c>
      <c r="M1271" s="5" t="n"/>
      <c r="N1271" s="5" t="n"/>
      <c r="O1271" s="5" t="n"/>
      <c r="P1271" s="5" t="n"/>
      <c r="Q1271" s="5" t="n"/>
      <c r="R1271" s="4" t="n"/>
      <c r="S1271" s="4" t="n"/>
      <c r="T1271" s="5" t="n"/>
      <c r="U1271" s="8">
        <f>IF(AND(V1271=1,D1271&lt;&gt;""),IF(D1271&gt;=corte,TODAY()-D1271,""),"")</f>
        <v/>
      </c>
      <c r="V1271" s="8">
        <f>IF(D1271="",0,IF(OR(AND(P1271&lt;&gt;"",S1271=""),AND(N(J1271)&gt;0,N(K1271)&lt;J1271),OR(M1271="PENDENTE",M1271="PARCIAL"),OR(N1271="PENDENTE",N1271="PARCIAL")),1,0))</f>
        <v/>
      </c>
      <c r="W1271" s="8">
        <f>IF(AND(V1271=1,D1271&lt;&gt;""),IF(D1271&gt;=corte,(B1271="CRÍTICO")*1E9+(100000-D1271)*10000+10000-ROW(),""),"")</f>
        <v/>
      </c>
      <c r="X1271" s="8">
        <f>IF(AND(V1271=1,D1271=pas_data,E1271=pas_turno),10000-ROW(),"")</f>
        <v/>
      </c>
    </row>
    <row r="1272">
      <c r="A1272" s="3">
        <f>IF(D1272="","","TT-"&amp;TEXT(ROW()-1,"00000"))</f>
        <v/>
      </c>
      <c r="B1272" s="3">
        <f>IF(D1272="","",IF(V1272=0,"CONCLUÍDO",IF(D1272&lt;corte,"HISTÓRICO",IF(OR(AND(ISNUMBER(R1272),R1272&lt;TODAY()),AND(OR(N1272="PENDENTE",N1272="PARCIAL"),D1272&lt;TODAY()-1)),"CRÍTICO",IF(OR(AND(P1272&lt;&gt;"",S1272=""),AND(N1272="REALIZADO",M1272="PENDENTE"),AND(ISNUMBER(R1272),R1272=TODAY())),"ATENÇÃO",IF(N(K1272)=0,"PENDENTE","EM ANDAMENTO"))))))</f>
        <v/>
      </c>
      <c r="C1272" s="3">
        <f>IF(D1272="","",IF(V1272=0,"🟢 OK",IF(D1272&lt;corte,"⚪ HISTÓRICO (sem baixa)",IF(AND(ISNUMBER(R1272),R1272&lt;TODAY()),"🔴 PRAZO VENCIDO",IF(AND(OR(N1272="PENDENTE",N1272="PARCIAL"),D1272&lt;TODAY()-1),"🔴 EMBARQUE ATRASADO",IF(AND(N1272="REALIZADO",M1272="PENDENTE"),"🟡 EMBARCADO SEM FATURAR",IF(AND(P1272&lt;&gt;"",S1272="",OR(Q1272="",R1272="")),"🟡 PENDÊNCIA SEM RESPONSÁVEL/PRAZO",IF(AND(ISNUMBER(R1272),R1272=TODAY()),"🟡 VENCE HOJE",IF(AND(P1272&lt;&gt;"",S1272=""),"🟡 PENDÊNCIA ABERTA",IF(AND(N(J1272)&gt;0,N(K1272)&lt;J1272),"🟡 FALTA EXECUTAR",IF(OR(M1272="PENDENTE",M1272="PARCIAL"),"🟡 FATURAMENTO PENDENTE","🟡 EMBARQUE PENDENTE")))))))))))</f>
        <v/>
      </c>
      <c r="D1272" s="4" t="n"/>
      <c r="E1272" s="5" t="n"/>
      <c r="F1272" s="5" t="n"/>
      <c r="G1272" s="5" t="n"/>
      <c r="H1272" s="5" t="n"/>
      <c r="I1272" s="5" t="n"/>
      <c r="J1272" s="6" t="n"/>
      <c r="K1272" s="6" t="n"/>
      <c r="L1272" s="7">
        <f>IF(OR(D1272="",N(J1272)=0),"",MIN(1,N(K1272)/J1272))</f>
        <v/>
      </c>
      <c r="M1272" s="5" t="n"/>
      <c r="N1272" s="5" t="n"/>
      <c r="O1272" s="5" t="n"/>
      <c r="P1272" s="5" t="n"/>
      <c r="Q1272" s="5" t="n"/>
      <c r="R1272" s="4" t="n"/>
      <c r="S1272" s="4" t="n"/>
      <c r="T1272" s="5" t="n"/>
      <c r="U1272" s="8">
        <f>IF(AND(V1272=1,D1272&lt;&gt;""),IF(D1272&gt;=corte,TODAY()-D1272,""),"")</f>
        <v/>
      </c>
      <c r="V1272" s="8">
        <f>IF(D1272="",0,IF(OR(AND(P1272&lt;&gt;"",S1272=""),AND(N(J1272)&gt;0,N(K1272)&lt;J1272),OR(M1272="PENDENTE",M1272="PARCIAL"),OR(N1272="PENDENTE",N1272="PARCIAL")),1,0))</f>
        <v/>
      </c>
      <c r="W1272" s="8">
        <f>IF(AND(V1272=1,D1272&lt;&gt;""),IF(D1272&gt;=corte,(B1272="CRÍTICO")*1E9+(100000-D1272)*10000+10000-ROW(),""),"")</f>
        <v/>
      </c>
      <c r="X1272" s="8">
        <f>IF(AND(V1272=1,D1272=pas_data,E1272=pas_turno),10000-ROW(),"")</f>
        <v/>
      </c>
    </row>
    <row r="1273">
      <c r="A1273" s="3">
        <f>IF(D1273="","","TT-"&amp;TEXT(ROW()-1,"00000"))</f>
        <v/>
      </c>
      <c r="B1273" s="3">
        <f>IF(D1273="","",IF(V1273=0,"CONCLUÍDO",IF(D1273&lt;corte,"HISTÓRICO",IF(OR(AND(ISNUMBER(R1273),R1273&lt;TODAY()),AND(OR(N1273="PENDENTE",N1273="PARCIAL"),D1273&lt;TODAY()-1)),"CRÍTICO",IF(OR(AND(P1273&lt;&gt;"",S1273=""),AND(N1273="REALIZADO",M1273="PENDENTE"),AND(ISNUMBER(R1273),R1273=TODAY())),"ATENÇÃO",IF(N(K1273)=0,"PENDENTE","EM ANDAMENTO"))))))</f>
        <v/>
      </c>
      <c r="C1273" s="3">
        <f>IF(D1273="","",IF(V1273=0,"🟢 OK",IF(D1273&lt;corte,"⚪ HISTÓRICO (sem baixa)",IF(AND(ISNUMBER(R1273),R1273&lt;TODAY()),"🔴 PRAZO VENCIDO",IF(AND(OR(N1273="PENDENTE",N1273="PARCIAL"),D1273&lt;TODAY()-1),"🔴 EMBARQUE ATRASADO",IF(AND(N1273="REALIZADO",M1273="PENDENTE"),"🟡 EMBARCADO SEM FATURAR",IF(AND(P1273&lt;&gt;"",S1273="",OR(Q1273="",R1273="")),"🟡 PENDÊNCIA SEM RESPONSÁVEL/PRAZO",IF(AND(ISNUMBER(R1273),R1273=TODAY()),"🟡 VENCE HOJE",IF(AND(P1273&lt;&gt;"",S1273=""),"🟡 PENDÊNCIA ABERTA",IF(AND(N(J1273)&gt;0,N(K1273)&lt;J1273),"🟡 FALTA EXECUTAR",IF(OR(M1273="PENDENTE",M1273="PARCIAL"),"🟡 FATURAMENTO PENDENTE","🟡 EMBARQUE PENDENTE")))))))))))</f>
        <v/>
      </c>
      <c r="D1273" s="4" t="n"/>
      <c r="E1273" s="5" t="n"/>
      <c r="F1273" s="5" t="n"/>
      <c r="G1273" s="5" t="n"/>
      <c r="H1273" s="5" t="n"/>
      <c r="I1273" s="5" t="n"/>
      <c r="J1273" s="6" t="n"/>
      <c r="K1273" s="6" t="n"/>
      <c r="L1273" s="7">
        <f>IF(OR(D1273="",N(J1273)=0),"",MIN(1,N(K1273)/J1273))</f>
        <v/>
      </c>
      <c r="M1273" s="5" t="n"/>
      <c r="N1273" s="5" t="n"/>
      <c r="O1273" s="5" t="n"/>
      <c r="P1273" s="5" t="n"/>
      <c r="Q1273" s="5" t="n"/>
      <c r="R1273" s="4" t="n"/>
      <c r="S1273" s="4" t="n"/>
      <c r="T1273" s="5" t="n"/>
      <c r="U1273" s="8">
        <f>IF(AND(V1273=1,D1273&lt;&gt;""),IF(D1273&gt;=corte,TODAY()-D1273,""),"")</f>
        <v/>
      </c>
      <c r="V1273" s="8">
        <f>IF(D1273="",0,IF(OR(AND(P1273&lt;&gt;"",S1273=""),AND(N(J1273)&gt;0,N(K1273)&lt;J1273),OR(M1273="PENDENTE",M1273="PARCIAL"),OR(N1273="PENDENTE",N1273="PARCIAL")),1,0))</f>
        <v/>
      </c>
      <c r="W1273" s="8">
        <f>IF(AND(V1273=1,D1273&lt;&gt;""),IF(D1273&gt;=corte,(B1273="CRÍTICO")*1E9+(100000-D1273)*10000+10000-ROW(),""),"")</f>
        <v/>
      </c>
      <c r="X1273" s="8">
        <f>IF(AND(V1273=1,D1273=pas_data,E1273=pas_turno),10000-ROW(),"")</f>
        <v/>
      </c>
    </row>
    <row r="1274">
      <c r="A1274" s="3">
        <f>IF(D1274="","","TT-"&amp;TEXT(ROW()-1,"00000"))</f>
        <v/>
      </c>
      <c r="B1274" s="3">
        <f>IF(D1274="","",IF(V1274=0,"CONCLUÍDO",IF(D1274&lt;corte,"HISTÓRICO",IF(OR(AND(ISNUMBER(R1274),R1274&lt;TODAY()),AND(OR(N1274="PENDENTE",N1274="PARCIAL"),D1274&lt;TODAY()-1)),"CRÍTICO",IF(OR(AND(P1274&lt;&gt;"",S1274=""),AND(N1274="REALIZADO",M1274="PENDENTE"),AND(ISNUMBER(R1274),R1274=TODAY())),"ATENÇÃO",IF(N(K1274)=0,"PENDENTE","EM ANDAMENTO"))))))</f>
        <v/>
      </c>
      <c r="C1274" s="3">
        <f>IF(D1274="","",IF(V1274=0,"🟢 OK",IF(D1274&lt;corte,"⚪ HISTÓRICO (sem baixa)",IF(AND(ISNUMBER(R1274),R1274&lt;TODAY()),"🔴 PRAZO VENCIDO",IF(AND(OR(N1274="PENDENTE",N1274="PARCIAL"),D1274&lt;TODAY()-1),"🔴 EMBARQUE ATRASADO",IF(AND(N1274="REALIZADO",M1274="PENDENTE"),"🟡 EMBARCADO SEM FATURAR",IF(AND(P1274&lt;&gt;"",S1274="",OR(Q1274="",R1274="")),"🟡 PENDÊNCIA SEM RESPONSÁVEL/PRAZO",IF(AND(ISNUMBER(R1274),R1274=TODAY()),"🟡 VENCE HOJE",IF(AND(P1274&lt;&gt;"",S1274=""),"🟡 PENDÊNCIA ABERTA",IF(AND(N(J1274)&gt;0,N(K1274)&lt;J1274),"🟡 FALTA EXECUTAR",IF(OR(M1274="PENDENTE",M1274="PARCIAL"),"🟡 FATURAMENTO PENDENTE","🟡 EMBARQUE PENDENTE")))))))))))</f>
        <v/>
      </c>
      <c r="D1274" s="4" t="n"/>
      <c r="E1274" s="5" t="n"/>
      <c r="F1274" s="5" t="n"/>
      <c r="G1274" s="5" t="n"/>
      <c r="H1274" s="5" t="n"/>
      <c r="I1274" s="5" t="n"/>
      <c r="J1274" s="6" t="n"/>
      <c r="K1274" s="6" t="n"/>
      <c r="L1274" s="7">
        <f>IF(OR(D1274="",N(J1274)=0),"",MIN(1,N(K1274)/J1274))</f>
        <v/>
      </c>
      <c r="M1274" s="5" t="n"/>
      <c r="N1274" s="5" t="n"/>
      <c r="O1274" s="5" t="n"/>
      <c r="P1274" s="5" t="n"/>
      <c r="Q1274" s="5" t="n"/>
      <c r="R1274" s="4" t="n"/>
      <c r="S1274" s="4" t="n"/>
      <c r="T1274" s="5" t="n"/>
      <c r="U1274" s="8">
        <f>IF(AND(V1274=1,D1274&lt;&gt;""),IF(D1274&gt;=corte,TODAY()-D1274,""),"")</f>
        <v/>
      </c>
      <c r="V1274" s="8">
        <f>IF(D1274="",0,IF(OR(AND(P1274&lt;&gt;"",S1274=""),AND(N(J1274)&gt;0,N(K1274)&lt;J1274),OR(M1274="PENDENTE",M1274="PARCIAL"),OR(N1274="PENDENTE",N1274="PARCIAL")),1,0))</f>
        <v/>
      </c>
      <c r="W1274" s="8">
        <f>IF(AND(V1274=1,D1274&lt;&gt;""),IF(D1274&gt;=corte,(B1274="CRÍTICO")*1E9+(100000-D1274)*10000+10000-ROW(),""),"")</f>
        <v/>
      </c>
      <c r="X1274" s="8">
        <f>IF(AND(V1274=1,D1274=pas_data,E1274=pas_turno),10000-ROW(),"")</f>
        <v/>
      </c>
    </row>
    <row r="1275">
      <c r="A1275" s="3">
        <f>IF(D1275="","","TT-"&amp;TEXT(ROW()-1,"00000"))</f>
        <v/>
      </c>
      <c r="B1275" s="3">
        <f>IF(D1275="","",IF(V1275=0,"CONCLUÍDO",IF(D1275&lt;corte,"HISTÓRICO",IF(OR(AND(ISNUMBER(R1275),R1275&lt;TODAY()),AND(OR(N1275="PENDENTE",N1275="PARCIAL"),D1275&lt;TODAY()-1)),"CRÍTICO",IF(OR(AND(P1275&lt;&gt;"",S1275=""),AND(N1275="REALIZADO",M1275="PENDENTE"),AND(ISNUMBER(R1275),R1275=TODAY())),"ATENÇÃO",IF(N(K1275)=0,"PENDENTE","EM ANDAMENTO"))))))</f>
        <v/>
      </c>
      <c r="C1275" s="3">
        <f>IF(D1275="","",IF(V1275=0,"🟢 OK",IF(D1275&lt;corte,"⚪ HISTÓRICO (sem baixa)",IF(AND(ISNUMBER(R1275),R1275&lt;TODAY()),"🔴 PRAZO VENCIDO",IF(AND(OR(N1275="PENDENTE",N1275="PARCIAL"),D1275&lt;TODAY()-1),"🔴 EMBARQUE ATRASADO",IF(AND(N1275="REALIZADO",M1275="PENDENTE"),"🟡 EMBARCADO SEM FATURAR",IF(AND(P1275&lt;&gt;"",S1275="",OR(Q1275="",R1275="")),"🟡 PENDÊNCIA SEM RESPONSÁVEL/PRAZO",IF(AND(ISNUMBER(R1275),R1275=TODAY()),"🟡 VENCE HOJE",IF(AND(P1275&lt;&gt;"",S1275=""),"🟡 PENDÊNCIA ABERTA",IF(AND(N(J1275)&gt;0,N(K1275)&lt;J1275),"🟡 FALTA EXECUTAR",IF(OR(M1275="PENDENTE",M1275="PARCIAL"),"🟡 FATURAMENTO PENDENTE","🟡 EMBARQUE PENDENTE")))))))))))</f>
        <v/>
      </c>
      <c r="D1275" s="4" t="n"/>
      <c r="E1275" s="5" t="n"/>
      <c r="F1275" s="5" t="n"/>
      <c r="G1275" s="5" t="n"/>
      <c r="H1275" s="5" t="n"/>
      <c r="I1275" s="5" t="n"/>
      <c r="J1275" s="6" t="n"/>
      <c r="K1275" s="6" t="n"/>
      <c r="L1275" s="7">
        <f>IF(OR(D1275="",N(J1275)=0),"",MIN(1,N(K1275)/J1275))</f>
        <v/>
      </c>
      <c r="M1275" s="5" t="n"/>
      <c r="N1275" s="5" t="n"/>
      <c r="O1275" s="5" t="n"/>
      <c r="P1275" s="5" t="n"/>
      <c r="Q1275" s="5" t="n"/>
      <c r="R1275" s="4" t="n"/>
      <c r="S1275" s="4" t="n"/>
      <c r="T1275" s="5" t="n"/>
      <c r="U1275" s="8">
        <f>IF(AND(V1275=1,D1275&lt;&gt;""),IF(D1275&gt;=corte,TODAY()-D1275,""),"")</f>
        <v/>
      </c>
      <c r="V1275" s="8">
        <f>IF(D1275="",0,IF(OR(AND(P1275&lt;&gt;"",S1275=""),AND(N(J1275)&gt;0,N(K1275)&lt;J1275),OR(M1275="PENDENTE",M1275="PARCIAL"),OR(N1275="PENDENTE",N1275="PARCIAL")),1,0))</f>
        <v/>
      </c>
      <c r="W1275" s="8">
        <f>IF(AND(V1275=1,D1275&lt;&gt;""),IF(D1275&gt;=corte,(B1275="CRÍTICO")*1E9+(100000-D1275)*10000+10000-ROW(),""),"")</f>
        <v/>
      </c>
      <c r="X1275" s="8">
        <f>IF(AND(V1275=1,D1275=pas_data,E1275=pas_turno),10000-ROW(),"")</f>
        <v/>
      </c>
    </row>
    <row r="1276">
      <c r="A1276" s="3">
        <f>IF(D1276="","","TT-"&amp;TEXT(ROW()-1,"00000"))</f>
        <v/>
      </c>
      <c r="B1276" s="3">
        <f>IF(D1276="","",IF(V1276=0,"CONCLUÍDO",IF(D1276&lt;corte,"HISTÓRICO",IF(OR(AND(ISNUMBER(R1276),R1276&lt;TODAY()),AND(OR(N1276="PENDENTE",N1276="PARCIAL"),D1276&lt;TODAY()-1)),"CRÍTICO",IF(OR(AND(P1276&lt;&gt;"",S1276=""),AND(N1276="REALIZADO",M1276="PENDENTE"),AND(ISNUMBER(R1276),R1276=TODAY())),"ATENÇÃO",IF(N(K1276)=0,"PENDENTE","EM ANDAMENTO"))))))</f>
        <v/>
      </c>
      <c r="C1276" s="3">
        <f>IF(D1276="","",IF(V1276=0,"🟢 OK",IF(D1276&lt;corte,"⚪ HISTÓRICO (sem baixa)",IF(AND(ISNUMBER(R1276),R1276&lt;TODAY()),"🔴 PRAZO VENCIDO",IF(AND(OR(N1276="PENDENTE",N1276="PARCIAL"),D1276&lt;TODAY()-1),"🔴 EMBARQUE ATRASADO",IF(AND(N1276="REALIZADO",M1276="PENDENTE"),"🟡 EMBARCADO SEM FATURAR",IF(AND(P1276&lt;&gt;"",S1276="",OR(Q1276="",R1276="")),"🟡 PENDÊNCIA SEM RESPONSÁVEL/PRAZO",IF(AND(ISNUMBER(R1276),R1276=TODAY()),"🟡 VENCE HOJE",IF(AND(P1276&lt;&gt;"",S1276=""),"🟡 PENDÊNCIA ABERTA",IF(AND(N(J1276)&gt;0,N(K1276)&lt;J1276),"🟡 FALTA EXECUTAR",IF(OR(M1276="PENDENTE",M1276="PARCIAL"),"🟡 FATURAMENTO PENDENTE","🟡 EMBARQUE PENDENTE")))))))))))</f>
        <v/>
      </c>
      <c r="D1276" s="4" t="n"/>
      <c r="E1276" s="5" t="n"/>
      <c r="F1276" s="5" t="n"/>
      <c r="G1276" s="5" t="n"/>
      <c r="H1276" s="5" t="n"/>
      <c r="I1276" s="5" t="n"/>
      <c r="J1276" s="6" t="n"/>
      <c r="K1276" s="6" t="n"/>
      <c r="L1276" s="7">
        <f>IF(OR(D1276="",N(J1276)=0),"",MIN(1,N(K1276)/J1276))</f>
        <v/>
      </c>
      <c r="M1276" s="5" t="n"/>
      <c r="N1276" s="5" t="n"/>
      <c r="O1276" s="5" t="n"/>
      <c r="P1276" s="5" t="n"/>
      <c r="Q1276" s="5" t="n"/>
      <c r="R1276" s="4" t="n"/>
      <c r="S1276" s="4" t="n"/>
      <c r="T1276" s="5" t="n"/>
      <c r="U1276" s="8">
        <f>IF(AND(V1276=1,D1276&lt;&gt;""),IF(D1276&gt;=corte,TODAY()-D1276,""),"")</f>
        <v/>
      </c>
      <c r="V1276" s="8">
        <f>IF(D1276="",0,IF(OR(AND(P1276&lt;&gt;"",S1276=""),AND(N(J1276)&gt;0,N(K1276)&lt;J1276),OR(M1276="PENDENTE",M1276="PARCIAL"),OR(N1276="PENDENTE",N1276="PARCIAL")),1,0))</f>
        <v/>
      </c>
      <c r="W1276" s="8">
        <f>IF(AND(V1276=1,D1276&lt;&gt;""),IF(D1276&gt;=corte,(B1276="CRÍTICO")*1E9+(100000-D1276)*10000+10000-ROW(),""),"")</f>
        <v/>
      </c>
      <c r="X1276" s="8">
        <f>IF(AND(V1276=1,D1276=pas_data,E1276=pas_turno),10000-ROW(),"")</f>
        <v/>
      </c>
    </row>
    <row r="1277">
      <c r="A1277" s="3">
        <f>IF(D1277="","","TT-"&amp;TEXT(ROW()-1,"00000"))</f>
        <v/>
      </c>
      <c r="B1277" s="3">
        <f>IF(D1277="","",IF(V1277=0,"CONCLUÍDO",IF(D1277&lt;corte,"HISTÓRICO",IF(OR(AND(ISNUMBER(R1277),R1277&lt;TODAY()),AND(OR(N1277="PENDENTE",N1277="PARCIAL"),D1277&lt;TODAY()-1)),"CRÍTICO",IF(OR(AND(P1277&lt;&gt;"",S1277=""),AND(N1277="REALIZADO",M1277="PENDENTE"),AND(ISNUMBER(R1277),R1277=TODAY())),"ATENÇÃO",IF(N(K1277)=0,"PENDENTE","EM ANDAMENTO"))))))</f>
        <v/>
      </c>
      <c r="C1277" s="3">
        <f>IF(D1277="","",IF(V1277=0,"🟢 OK",IF(D1277&lt;corte,"⚪ HISTÓRICO (sem baixa)",IF(AND(ISNUMBER(R1277),R1277&lt;TODAY()),"🔴 PRAZO VENCIDO",IF(AND(OR(N1277="PENDENTE",N1277="PARCIAL"),D1277&lt;TODAY()-1),"🔴 EMBARQUE ATRASADO",IF(AND(N1277="REALIZADO",M1277="PENDENTE"),"🟡 EMBARCADO SEM FATURAR",IF(AND(P1277&lt;&gt;"",S1277="",OR(Q1277="",R1277="")),"🟡 PENDÊNCIA SEM RESPONSÁVEL/PRAZO",IF(AND(ISNUMBER(R1277),R1277=TODAY()),"🟡 VENCE HOJE",IF(AND(P1277&lt;&gt;"",S1277=""),"🟡 PENDÊNCIA ABERTA",IF(AND(N(J1277)&gt;0,N(K1277)&lt;J1277),"🟡 FALTA EXECUTAR",IF(OR(M1277="PENDENTE",M1277="PARCIAL"),"🟡 FATURAMENTO PENDENTE","🟡 EMBARQUE PENDENTE")))))))))))</f>
        <v/>
      </c>
      <c r="D1277" s="4" t="n"/>
      <c r="E1277" s="5" t="n"/>
      <c r="F1277" s="5" t="n"/>
      <c r="G1277" s="5" t="n"/>
      <c r="H1277" s="5" t="n"/>
      <c r="I1277" s="5" t="n"/>
      <c r="J1277" s="6" t="n"/>
      <c r="K1277" s="6" t="n"/>
      <c r="L1277" s="7">
        <f>IF(OR(D1277="",N(J1277)=0),"",MIN(1,N(K1277)/J1277))</f>
        <v/>
      </c>
      <c r="M1277" s="5" t="n"/>
      <c r="N1277" s="5" t="n"/>
      <c r="O1277" s="5" t="n"/>
      <c r="P1277" s="5" t="n"/>
      <c r="Q1277" s="5" t="n"/>
      <c r="R1277" s="4" t="n"/>
      <c r="S1277" s="4" t="n"/>
      <c r="T1277" s="5" t="n"/>
      <c r="U1277" s="8">
        <f>IF(AND(V1277=1,D1277&lt;&gt;""),IF(D1277&gt;=corte,TODAY()-D1277,""),"")</f>
        <v/>
      </c>
      <c r="V1277" s="8">
        <f>IF(D1277="",0,IF(OR(AND(P1277&lt;&gt;"",S1277=""),AND(N(J1277)&gt;0,N(K1277)&lt;J1277),OR(M1277="PENDENTE",M1277="PARCIAL"),OR(N1277="PENDENTE",N1277="PARCIAL")),1,0))</f>
        <v/>
      </c>
      <c r="W1277" s="8">
        <f>IF(AND(V1277=1,D1277&lt;&gt;""),IF(D1277&gt;=corte,(B1277="CRÍTICO")*1E9+(100000-D1277)*10000+10000-ROW(),""),"")</f>
        <v/>
      </c>
      <c r="X1277" s="8">
        <f>IF(AND(V1277=1,D1277=pas_data,E1277=pas_turno),10000-ROW(),"")</f>
        <v/>
      </c>
    </row>
    <row r="1278">
      <c r="A1278" s="3">
        <f>IF(D1278="","","TT-"&amp;TEXT(ROW()-1,"00000"))</f>
        <v/>
      </c>
      <c r="B1278" s="3">
        <f>IF(D1278="","",IF(V1278=0,"CONCLUÍDO",IF(D1278&lt;corte,"HISTÓRICO",IF(OR(AND(ISNUMBER(R1278),R1278&lt;TODAY()),AND(OR(N1278="PENDENTE",N1278="PARCIAL"),D1278&lt;TODAY()-1)),"CRÍTICO",IF(OR(AND(P1278&lt;&gt;"",S1278=""),AND(N1278="REALIZADO",M1278="PENDENTE"),AND(ISNUMBER(R1278),R1278=TODAY())),"ATENÇÃO",IF(N(K1278)=0,"PENDENTE","EM ANDAMENTO"))))))</f>
        <v/>
      </c>
      <c r="C1278" s="3">
        <f>IF(D1278="","",IF(V1278=0,"🟢 OK",IF(D1278&lt;corte,"⚪ HISTÓRICO (sem baixa)",IF(AND(ISNUMBER(R1278),R1278&lt;TODAY()),"🔴 PRAZO VENCIDO",IF(AND(OR(N1278="PENDENTE",N1278="PARCIAL"),D1278&lt;TODAY()-1),"🔴 EMBARQUE ATRASADO",IF(AND(N1278="REALIZADO",M1278="PENDENTE"),"🟡 EMBARCADO SEM FATURAR",IF(AND(P1278&lt;&gt;"",S1278="",OR(Q1278="",R1278="")),"🟡 PENDÊNCIA SEM RESPONSÁVEL/PRAZO",IF(AND(ISNUMBER(R1278),R1278=TODAY()),"🟡 VENCE HOJE",IF(AND(P1278&lt;&gt;"",S1278=""),"🟡 PENDÊNCIA ABERTA",IF(AND(N(J1278)&gt;0,N(K1278)&lt;J1278),"🟡 FALTA EXECUTAR",IF(OR(M1278="PENDENTE",M1278="PARCIAL"),"🟡 FATURAMENTO PENDENTE","🟡 EMBARQUE PENDENTE")))))))))))</f>
        <v/>
      </c>
      <c r="D1278" s="4" t="n"/>
      <c r="E1278" s="5" t="n"/>
      <c r="F1278" s="5" t="n"/>
      <c r="G1278" s="5" t="n"/>
      <c r="H1278" s="5" t="n"/>
      <c r="I1278" s="5" t="n"/>
      <c r="J1278" s="6" t="n"/>
      <c r="K1278" s="6" t="n"/>
      <c r="L1278" s="7">
        <f>IF(OR(D1278="",N(J1278)=0),"",MIN(1,N(K1278)/J1278))</f>
        <v/>
      </c>
      <c r="M1278" s="5" t="n"/>
      <c r="N1278" s="5" t="n"/>
      <c r="O1278" s="5" t="n"/>
      <c r="P1278" s="5" t="n"/>
      <c r="Q1278" s="5" t="n"/>
      <c r="R1278" s="4" t="n"/>
      <c r="S1278" s="4" t="n"/>
      <c r="T1278" s="5" t="n"/>
      <c r="U1278" s="8">
        <f>IF(AND(V1278=1,D1278&lt;&gt;""),IF(D1278&gt;=corte,TODAY()-D1278,""),"")</f>
        <v/>
      </c>
      <c r="V1278" s="8">
        <f>IF(D1278="",0,IF(OR(AND(P1278&lt;&gt;"",S1278=""),AND(N(J1278)&gt;0,N(K1278)&lt;J1278),OR(M1278="PENDENTE",M1278="PARCIAL"),OR(N1278="PENDENTE",N1278="PARCIAL")),1,0))</f>
        <v/>
      </c>
      <c r="W1278" s="8">
        <f>IF(AND(V1278=1,D1278&lt;&gt;""),IF(D1278&gt;=corte,(B1278="CRÍTICO")*1E9+(100000-D1278)*10000+10000-ROW(),""),"")</f>
        <v/>
      </c>
      <c r="X1278" s="8">
        <f>IF(AND(V1278=1,D1278=pas_data,E1278=pas_turno),10000-ROW(),"")</f>
        <v/>
      </c>
    </row>
    <row r="1279">
      <c r="A1279" s="3">
        <f>IF(D1279="","","TT-"&amp;TEXT(ROW()-1,"00000"))</f>
        <v/>
      </c>
      <c r="B1279" s="3">
        <f>IF(D1279="","",IF(V1279=0,"CONCLUÍDO",IF(D1279&lt;corte,"HISTÓRICO",IF(OR(AND(ISNUMBER(R1279),R1279&lt;TODAY()),AND(OR(N1279="PENDENTE",N1279="PARCIAL"),D1279&lt;TODAY()-1)),"CRÍTICO",IF(OR(AND(P1279&lt;&gt;"",S1279=""),AND(N1279="REALIZADO",M1279="PENDENTE"),AND(ISNUMBER(R1279),R1279=TODAY())),"ATENÇÃO",IF(N(K1279)=0,"PENDENTE","EM ANDAMENTO"))))))</f>
        <v/>
      </c>
      <c r="C1279" s="3">
        <f>IF(D1279="","",IF(V1279=0,"🟢 OK",IF(D1279&lt;corte,"⚪ HISTÓRICO (sem baixa)",IF(AND(ISNUMBER(R1279),R1279&lt;TODAY()),"🔴 PRAZO VENCIDO",IF(AND(OR(N1279="PENDENTE",N1279="PARCIAL"),D1279&lt;TODAY()-1),"🔴 EMBARQUE ATRASADO",IF(AND(N1279="REALIZADO",M1279="PENDENTE"),"🟡 EMBARCADO SEM FATURAR",IF(AND(P1279&lt;&gt;"",S1279="",OR(Q1279="",R1279="")),"🟡 PENDÊNCIA SEM RESPONSÁVEL/PRAZO",IF(AND(ISNUMBER(R1279),R1279=TODAY()),"🟡 VENCE HOJE",IF(AND(P1279&lt;&gt;"",S1279=""),"🟡 PENDÊNCIA ABERTA",IF(AND(N(J1279)&gt;0,N(K1279)&lt;J1279),"🟡 FALTA EXECUTAR",IF(OR(M1279="PENDENTE",M1279="PARCIAL"),"🟡 FATURAMENTO PENDENTE","🟡 EMBARQUE PENDENTE")))))))))))</f>
        <v/>
      </c>
      <c r="D1279" s="4" t="n"/>
      <c r="E1279" s="5" t="n"/>
      <c r="F1279" s="5" t="n"/>
      <c r="G1279" s="5" t="n"/>
      <c r="H1279" s="5" t="n"/>
      <c r="I1279" s="5" t="n"/>
      <c r="J1279" s="6" t="n"/>
      <c r="K1279" s="6" t="n"/>
      <c r="L1279" s="7">
        <f>IF(OR(D1279="",N(J1279)=0),"",MIN(1,N(K1279)/J1279))</f>
        <v/>
      </c>
      <c r="M1279" s="5" t="n"/>
      <c r="N1279" s="5" t="n"/>
      <c r="O1279" s="5" t="n"/>
      <c r="P1279" s="5" t="n"/>
      <c r="Q1279" s="5" t="n"/>
      <c r="R1279" s="4" t="n"/>
      <c r="S1279" s="4" t="n"/>
      <c r="T1279" s="5" t="n"/>
      <c r="U1279" s="8">
        <f>IF(AND(V1279=1,D1279&lt;&gt;""),IF(D1279&gt;=corte,TODAY()-D1279,""),"")</f>
        <v/>
      </c>
      <c r="V1279" s="8">
        <f>IF(D1279="",0,IF(OR(AND(P1279&lt;&gt;"",S1279=""),AND(N(J1279)&gt;0,N(K1279)&lt;J1279),OR(M1279="PENDENTE",M1279="PARCIAL"),OR(N1279="PENDENTE",N1279="PARCIAL")),1,0))</f>
        <v/>
      </c>
      <c r="W1279" s="8">
        <f>IF(AND(V1279=1,D1279&lt;&gt;""),IF(D1279&gt;=corte,(B1279="CRÍTICO")*1E9+(100000-D1279)*10000+10000-ROW(),""),"")</f>
        <v/>
      </c>
      <c r="X1279" s="8">
        <f>IF(AND(V1279=1,D1279=pas_data,E1279=pas_turno),10000-ROW(),"")</f>
        <v/>
      </c>
    </row>
    <row r="1280">
      <c r="A1280" s="3">
        <f>IF(D1280="","","TT-"&amp;TEXT(ROW()-1,"00000"))</f>
        <v/>
      </c>
      <c r="B1280" s="3">
        <f>IF(D1280="","",IF(V1280=0,"CONCLUÍDO",IF(D1280&lt;corte,"HISTÓRICO",IF(OR(AND(ISNUMBER(R1280),R1280&lt;TODAY()),AND(OR(N1280="PENDENTE",N1280="PARCIAL"),D1280&lt;TODAY()-1)),"CRÍTICO",IF(OR(AND(P1280&lt;&gt;"",S1280=""),AND(N1280="REALIZADO",M1280="PENDENTE"),AND(ISNUMBER(R1280),R1280=TODAY())),"ATENÇÃO",IF(N(K1280)=0,"PENDENTE","EM ANDAMENTO"))))))</f>
        <v/>
      </c>
      <c r="C1280" s="3">
        <f>IF(D1280="","",IF(V1280=0,"🟢 OK",IF(D1280&lt;corte,"⚪ HISTÓRICO (sem baixa)",IF(AND(ISNUMBER(R1280),R1280&lt;TODAY()),"🔴 PRAZO VENCIDO",IF(AND(OR(N1280="PENDENTE",N1280="PARCIAL"),D1280&lt;TODAY()-1),"🔴 EMBARQUE ATRASADO",IF(AND(N1280="REALIZADO",M1280="PENDENTE"),"🟡 EMBARCADO SEM FATURAR",IF(AND(P1280&lt;&gt;"",S1280="",OR(Q1280="",R1280="")),"🟡 PENDÊNCIA SEM RESPONSÁVEL/PRAZO",IF(AND(ISNUMBER(R1280),R1280=TODAY()),"🟡 VENCE HOJE",IF(AND(P1280&lt;&gt;"",S1280=""),"🟡 PENDÊNCIA ABERTA",IF(AND(N(J1280)&gt;0,N(K1280)&lt;J1280),"🟡 FALTA EXECUTAR",IF(OR(M1280="PENDENTE",M1280="PARCIAL"),"🟡 FATURAMENTO PENDENTE","🟡 EMBARQUE PENDENTE")))))))))))</f>
        <v/>
      </c>
      <c r="D1280" s="4" t="n"/>
      <c r="E1280" s="5" t="n"/>
      <c r="F1280" s="5" t="n"/>
      <c r="G1280" s="5" t="n"/>
      <c r="H1280" s="5" t="n"/>
      <c r="I1280" s="5" t="n"/>
      <c r="J1280" s="6" t="n"/>
      <c r="K1280" s="6" t="n"/>
      <c r="L1280" s="7">
        <f>IF(OR(D1280="",N(J1280)=0),"",MIN(1,N(K1280)/J1280))</f>
        <v/>
      </c>
      <c r="M1280" s="5" t="n"/>
      <c r="N1280" s="5" t="n"/>
      <c r="O1280" s="5" t="n"/>
      <c r="P1280" s="5" t="n"/>
      <c r="Q1280" s="5" t="n"/>
      <c r="R1280" s="4" t="n"/>
      <c r="S1280" s="4" t="n"/>
      <c r="T1280" s="5" t="n"/>
      <c r="U1280" s="8">
        <f>IF(AND(V1280=1,D1280&lt;&gt;""),IF(D1280&gt;=corte,TODAY()-D1280,""),"")</f>
        <v/>
      </c>
      <c r="V1280" s="8">
        <f>IF(D1280="",0,IF(OR(AND(P1280&lt;&gt;"",S1280=""),AND(N(J1280)&gt;0,N(K1280)&lt;J1280),OR(M1280="PENDENTE",M1280="PARCIAL"),OR(N1280="PENDENTE",N1280="PARCIAL")),1,0))</f>
        <v/>
      </c>
      <c r="W1280" s="8">
        <f>IF(AND(V1280=1,D1280&lt;&gt;""),IF(D1280&gt;=corte,(B1280="CRÍTICO")*1E9+(100000-D1280)*10000+10000-ROW(),""),"")</f>
        <v/>
      </c>
      <c r="X1280" s="8">
        <f>IF(AND(V1280=1,D1280=pas_data,E1280=pas_turno),10000-ROW(),"")</f>
        <v/>
      </c>
    </row>
    <row r="1281">
      <c r="A1281" s="3">
        <f>IF(D1281="","","TT-"&amp;TEXT(ROW()-1,"00000"))</f>
        <v/>
      </c>
      <c r="B1281" s="3">
        <f>IF(D1281="","",IF(V1281=0,"CONCLUÍDO",IF(D1281&lt;corte,"HISTÓRICO",IF(OR(AND(ISNUMBER(R1281),R1281&lt;TODAY()),AND(OR(N1281="PENDENTE",N1281="PARCIAL"),D1281&lt;TODAY()-1)),"CRÍTICO",IF(OR(AND(P1281&lt;&gt;"",S1281=""),AND(N1281="REALIZADO",M1281="PENDENTE"),AND(ISNUMBER(R1281),R1281=TODAY())),"ATENÇÃO",IF(N(K1281)=0,"PENDENTE","EM ANDAMENTO"))))))</f>
        <v/>
      </c>
      <c r="C1281" s="3">
        <f>IF(D1281="","",IF(V1281=0,"🟢 OK",IF(D1281&lt;corte,"⚪ HISTÓRICO (sem baixa)",IF(AND(ISNUMBER(R1281),R1281&lt;TODAY()),"🔴 PRAZO VENCIDO",IF(AND(OR(N1281="PENDENTE",N1281="PARCIAL"),D1281&lt;TODAY()-1),"🔴 EMBARQUE ATRASADO",IF(AND(N1281="REALIZADO",M1281="PENDENTE"),"🟡 EMBARCADO SEM FATURAR",IF(AND(P1281&lt;&gt;"",S1281="",OR(Q1281="",R1281="")),"🟡 PENDÊNCIA SEM RESPONSÁVEL/PRAZO",IF(AND(ISNUMBER(R1281),R1281=TODAY()),"🟡 VENCE HOJE",IF(AND(P1281&lt;&gt;"",S1281=""),"🟡 PENDÊNCIA ABERTA",IF(AND(N(J1281)&gt;0,N(K1281)&lt;J1281),"🟡 FALTA EXECUTAR",IF(OR(M1281="PENDENTE",M1281="PARCIAL"),"🟡 FATURAMENTO PENDENTE","🟡 EMBARQUE PENDENTE")))))))))))</f>
        <v/>
      </c>
      <c r="D1281" s="4" t="n"/>
      <c r="E1281" s="5" t="n"/>
      <c r="F1281" s="5" t="n"/>
      <c r="G1281" s="5" t="n"/>
      <c r="H1281" s="5" t="n"/>
      <c r="I1281" s="5" t="n"/>
      <c r="J1281" s="6" t="n"/>
      <c r="K1281" s="6" t="n"/>
      <c r="L1281" s="7">
        <f>IF(OR(D1281="",N(J1281)=0),"",MIN(1,N(K1281)/J1281))</f>
        <v/>
      </c>
      <c r="M1281" s="5" t="n"/>
      <c r="N1281" s="5" t="n"/>
      <c r="O1281" s="5" t="n"/>
      <c r="P1281" s="5" t="n"/>
      <c r="Q1281" s="5" t="n"/>
      <c r="R1281" s="4" t="n"/>
      <c r="S1281" s="4" t="n"/>
      <c r="T1281" s="5" t="n"/>
      <c r="U1281" s="8">
        <f>IF(AND(V1281=1,D1281&lt;&gt;""),IF(D1281&gt;=corte,TODAY()-D1281,""),"")</f>
        <v/>
      </c>
      <c r="V1281" s="8">
        <f>IF(D1281="",0,IF(OR(AND(P1281&lt;&gt;"",S1281=""),AND(N(J1281)&gt;0,N(K1281)&lt;J1281),OR(M1281="PENDENTE",M1281="PARCIAL"),OR(N1281="PENDENTE",N1281="PARCIAL")),1,0))</f>
        <v/>
      </c>
      <c r="W1281" s="8">
        <f>IF(AND(V1281=1,D1281&lt;&gt;""),IF(D1281&gt;=corte,(B1281="CRÍTICO")*1E9+(100000-D1281)*10000+10000-ROW(),""),"")</f>
        <v/>
      </c>
      <c r="X1281" s="8">
        <f>IF(AND(V1281=1,D1281=pas_data,E1281=pas_turno),10000-ROW(),"")</f>
        <v/>
      </c>
    </row>
    <row r="1282">
      <c r="A1282" s="3">
        <f>IF(D1282="","","TT-"&amp;TEXT(ROW()-1,"00000"))</f>
        <v/>
      </c>
      <c r="B1282" s="3">
        <f>IF(D1282="","",IF(V1282=0,"CONCLUÍDO",IF(D1282&lt;corte,"HISTÓRICO",IF(OR(AND(ISNUMBER(R1282),R1282&lt;TODAY()),AND(OR(N1282="PENDENTE",N1282="PARCIAL"),D1282&lt;TODAY()-1)),"CRÍTICO",IF(OR(AND(P1282&lt;&gt;"",S1282=""),AND(N1282="REALIZADO",M1282="PENDENTE"),AND(ISNUMBER(R1282),R1282=TODAY())),"ATENÇÃO",IF(N(K1282)=0,"PENDENTE","EM ANDAMENTO"))))))</f>
        <v/>
      </c>
      <c r="C1282" s="3">
        <f>IF(D1282="","",IF(V1282=0,"🟢 OK",IF(D1282&lt;corte,"⚪ HISTÓRICO (sem baixa)",IF(AND(ISNUMBER(R1282),R1282&lt;TODAY()),"🔴 PRAZO VENCIDO",IF(AND(OR(N1282="PENDENTE",N1282="PARCIAL"),D1282&lt;TODAY()-1),"🔴 EMBARQUE ATRASADO",IF(AND(N1282="REALIZADO",M1282="PENDENTE"),"🟡 EMBARCADO SEM FATURAR",IF(AND(P1282&lt;&gt;"",S1282="",OR(Q1282="",R1282="")),"🟡 PENDÊNCIA SEM RESPONSÁVEL/PRAZO",IF(AND(ISNUMBER(R1282),R1282=TODAY()),"🟡 VENCE HOJE",IF(AND(P1282&lt;&gt;"",S1282=""),"🟡 PENDÊNCIA ABERTA",IF(AND(N(J1282)&gt;0,N(K1282)&lt;J1282),"🟡 FALTA EXECUTAR",IF(OR(M1282="PENDENTE",M1282="PARCIAL"),"🟡 FATURAMENTO PENDENTE","🟡 EMBARQUE PENDENTE")))))))))))</f>
        <v/>
      </c>
      <c r="D1282" s="4" t="n"/>
      <c r="E1282" s="5" t="n"/>
      <c r="F1282" s="5" t="n"/>
      <c r="G1282" s="5" t="n"/>
      <c r="H1282" s="5" t="n"/>
      <c r="I1282" s="5" t="n"/>
      <c r="J1282" s="6" t="n"/>
      <c r="K1282" s="6" t="n"/>
      <c r="L1282" s="7">
        <f>IF(OR(D1282="",N(J1282)=0),"",MIN(1,N(K1282)/J1282))</f>
        <v/>
      </c>
      <c r="M1282" s="5" t="n"/>
      <c r="N1282" s="5" t="n"/>
      <c r="O1282" s="5" t="n"/>
      <c r="P1282" s="5" t="n"/>
      <c r="Q1282" s="5" t="n"/>
      <c r="R1282" s="4" t="n"/>
      <c r="S1282" s="4" t="n"/>
      <c r="T1282" s="5" t="n"/>
      <c r="U1282" s="8">
        <f>IF(AND(V1282=1,D1282&lt;&gt;""),IF(D1282&gt;=corte,TODAY()-D1282,""),"")</f>
        <v/>
      </c>
      <c r="V1282" s="8">
        <f>IF(D1282="",0,IF(OR(AND(P1282&lt;&gt;"",S1282=""),AND(N(J1282)&gt;0,N(K1282)&lt;J1282),OR(M1282="PENDENTE",M1282="PARCIAL"),OR(N1282="PENDENTE",N1282="PARCIAL")),1,0))</f>
        <v/>
      </c>
      <c r="W1282" s="8">
        <f>IF(AND(V1282=1,D1282&lt;&gt;""),IF(D1282&gt;=corte,(B1282="CRÍTICO")*1E9+(100000-D1282)*10000+10000-ROW(),""),"")</f>
        <v/>
      </c>
      <c r="X1282" s="8">
        <f>IF(AND(V1282=1,D1282=pas_data,E1282=pas_turno),10000-ROW(),"")</f>
        <v/>
      </c>
    </row>
    <row r="1283">
      <c r="A1283" s="3">
        <f>IF(D1283="","","TT-"&amp;TEXT(ROW()-1,"00000"))</f>
        <v/>
      </c>
      <c r="B1283" s="3">
        <f>IF(D1283="","",IF(V1283=0,"CONCLUÍDO",IF(D1283&lt;corte,"HISTÓRICO",IF(OR(AND(ISNUMBER(R1283),R1283&lt;TODAY()),AND(OR(N1283="PENDENTE",N1283="PARCIAL"),D1283&lt;TODAY()-1)),"CRÍTICO",IF(OR(AND(P1283&lt;&gt;"",S1283=""),AND(N1283="REALIZADO",M1283="PENDENTE"),AND(ISNUMBER(R1283),R1283=TODAY())),"ATENÇÃO",IF(N(K1283)=0,"PENDENTE","EM ANDAMENTO"))))))</f>
        <v/>
      </c>
      <c r="C1283" s="3">
        <f>IF(D1283="","",IF(V1283=0,"🟢 OK",IF(D1283&lt;corte,"⚪ HISTÓRICO (sem baixa)",IF(AND(ISNUMBER(R1283),R1283&lt;TODAY()),"🔴 PRAZO VENCIDO",IF(AND(OR(N1283="PENDENTE",N1283="PARCIAL"),D1283&lt;TODAY()-1),"🔴 EMBARQUE ATRASADO",IF(AND(N1283="REALIZADO",M1283="PENDENTE"),"🟡 EMBARCADO SEM FATURAR",IF(AND(P1283&lt;&gt;"",S1283="",OR(Q1283="",R1283="")),"🟡 PENDÊNCIA SEM RESPONSÁVEL/PRAZO",IF(AND(ISNUMBER(R1283),R1283=TODAY()),"🟡 VENCE HOJE",IF(AND(P1283&lt;&gt;"",S1283=""),"🟡 PENDÊNCIA ABERTA",IF(AND(N(J1283)&gt;0,N(K1283)&lt;J1283),"🟡 FALTA EXECUTAR",IF(OR(M1283="PENDENTE",M1283="PARCIAL"),"🟡 FATURAMENTO PENDENTE","🟡 EMBARQUE PENDENTE")))))))))))</f>
        <v/>
      </c>
      <c r="D1283" s="4" t="n"/>
      <c r="E1283" s="5" t="n"/>
      <c r="F1283" s="5" t="n"/>
      <c r="G1283" s="5" t="n"/>
      <c r="H1283" s="5" t="n"/>
      <c r="I1283" s="5" t="n"/>
      <c r="J1283" s="6" t="n"/>
      <c r="K1283" s="6" t="n"/>
      <c r="L1283" s="7">
        <f>IF(OR(D1283="",N(J1283)=0),"",MIN(1,N(K1283)/J1283))</f>
        <v/>
      </c>
      <c r="M1283" s="5" t="n"/>
      <c r="N1283" s="5" t="n"/>
      <c r="O1283" s="5" t="n"/>
      <c r="P1283" s="5" t="n"/>
      <c r="Q1283" s="5" t="n"/>
      <c r="R1283" s="4" t="n"/>
      <c r="S1283" s="4" t="n"/>
      <c r="T1283" s="5" t="n"/>
      <c r="U1283" s="8">
        <f>IF(AND(V1283=1,D1283&lt;&gt;""),IF(D1283&gt;=corte,TODAY()-D1283,""),"")</f>
        <v/>
      </c>
      <c r="V1283" s="8">
        <f>IF(D1283="",0,IF(OR(AND(P1283&lt;&gt;"",S1283=""),AND(N(J1283)&gt;0,N(K1283)&lt;J1283),OR(M1283="PENDENTE",M1283="PARCIAL"),OR(N1283="PENDENTE",N1283="PARCIAL")),1,0))</f>
        <v/>
      </c>
      <c r="W1283" s="8">
        <f>IF(AND(V1283=1,D1283&lt;&gt;""),IF(D1283&gt;=corte,(B1283="CRÍTICO")*1E9+(100000-D1283)*10000+10000-ROW(),""),"")</f>
        <v/>
      </c>
      <c r="X1283" s="8">
        <f>IF(AND(V1283=1,D1283=pas_data,E1283=pas_turno),10000-ROW(),"")</f>
        <v/>
      </c>
    </row>
    <row r="1284">
      <c r="A1284" s="3">
        <f>IF(D1284="","","TT-"&amp;TEXT(ROW()-1,"00000"))</f>
        <v/>
      </c>
      <c r="B1284" s="3">
        <f>IF(D1284="","",IF(V1284=0,"CONCLUÍDO",IF(D1284&lt;corte,"HISTÓRICO",IF(OR(AND(ISNUMBER(R1284),R1284&lt;TODAY()),AND(OR(N1284="PENDENTE",N1284="PARCIAL"),D1284&lt;TODAY()-1)),"CRÍTICO",IF(OR(AND(P1284&lt;&gt;"",S1284=""),AND(N1284="REALIZADO",M1284="PENDENTE"),AND(ISNUMBER(R1284),R1284=TODAY())),"ATENÇÃO",IF(N(K1284)=0,"PENDENTE","EM ANDAMENTO"))))))</f>
        <v/>
      </c>
      <c r="C1284" s="3">
        <f>IF(D1284="","",IF(V1284=0,"🟢 OK",IF(D1284&lt;corte,"⚪ HISTÓRICO (sem baixa)",IF(AND(ISNUMBER(R1284),R1284&lt;TODAY()),"🔴 PRAZO VENCIDO",IF(AND(OR(N1284="PENDENTE",N1284="PARCIAL"),D1284&lt;TODAY()-1),"🔴 EMBARQUE ATRASADO",IF(AND(N1284="REALIZADO",M1284="PENDENTE"),"🟡 EMBARCADO SEM FATURAR",IF(AND(P1284&lt;&gt;"",S1284="",OR(Q1284="",R1284="")),"🟡 PENDÊNCIA SEM RESPONSÁVEL/PRAZO",IF(AND(ISNUMBER(R1284),R1284=TODAY()),"🟡 VENCE HOJE",IF(AND(P1284&lt;&gt;"",S1284=""),"🟡 PENDÊNCIA ABERTA",IF(AND(N(J1284)&gt;0,N(K1284)&lt;J1284),"🟡 FALTA EXECUTAR",IF(OR(M1284="PENDENTE",M1284="PARCIAL"),"🟡 FATURAMENTO PENDENTE","🟡 EMBARQUE PENDENTE")))))))))))</f>
        <v/>
      </c>
      <c r="D1284" s="4" t="n"/>
      <c r="E1284" s="5" t="n"/>
      <c r="F1284" s="5" t="n"/>
      <c r="G1284" s="5" t="n"/>
      <c r="H1284" s="5" t="n"/>
      <c r="I1284" s="5" t="n"/>
      <c r="J1284" s="6" t="n"/>
      <c r="K1284" s="6" t="n"/>
      <c r="L1284" s="7">
        <f>IF(OR(D1284="",N(J1284)=0),"",MIN(1,N(K1284)/J1284))</f>
        <v/>
      </c>
      <c r="M1284" s="5" t="n"/>
      <c r="N1284" s="5" t="n"/>
      <c r="O1284" s="5" t="n"/>
      <c r="P1284" s="5" t="n"/>
      <c r="Q1284" s="5" t="n"/>
      <c r="R1284" s="4" t="n"/>
      <c r="S1284" s="4" t="n"/>
      <c r="T1284" s="5" t="n"/>
      <c r="U1284" s="8">
        <f>IF(AND(V1284=1,D1284&lt;&gt;""),IF(D1284&gt;=corte,TODAY()-D1284,""),"")</f>
        <v/>
      </c>
      <c r="V1284" s="8">
        <f>IF(D1284="",0,IF(OR(AND(P1284&lt;&gt;"",S1284=""),AND(N(J1284)&gt;0,N(K1284)&lt;J1284),OR(M1284="PENDENTE",M1284="PARCIAL"),OR(N1284="PENDENTE",N1284="PARCIAL")),1,0))</f>
        <v/>
      </c>
      <c r="W1284" s="8">
        <f>IF(AND(V1284=1,D1284&lt;&gt;""),IF(D1284&gt;=corte,(B1284="CRÍTICO")*1E9+(100000-D1284)*10000+10000-ROW(),""),"")</f>
        <v/>
      </c>
      <c r="X1284" s="8">
        <f>IF(AND(V1284=1,D1284=pas_data,E1284=pas_turno),10000-ROW(),"")</f>
        <v/>
      </c>
    </row>
    <row r="1285">
      <c r="A1285" s="3">
        <f>IF(D1285="","","TT-"&amp;TEXT(ROW()-1,"00000"))</f>
        <v/>
      </c>
      <c r="B1285" s="3">
        <f>IF(D1285="","",IF(V1285=0,"CONCLUÍDO",IF(D1285&lt;corte,"HISTÓRICO",IF(OR(AND(ISNUMBER(R1285),R1285&lt;TODAY()),AND(OR(N1285="PENDENTE",N1285="PARCIAL"),D1285&lt;TODAY()-1)),"CRÍTICO",IF(OR(AND(P1285&lt;&gt;"",S1285=""),AND(N1285="REALIZADO",M1285="PENDENTE"),AND(ISNUMBER(R1285),R1285=TODAY())),"ATENÇÃO",IF(N(K1285)=0,"PENDENTE","EM ANDAMENTO"))))))</f>
        <v/>
      </c>
      <c r="C1285" s="3">
        <f>IF(D1285="","",IF(V1285=0,"🟢 OK",IF(D1285&lt;corte,"⚪ HISTÓRICO (sem baixa)",IF(AND(ISNUMBER(R1285),R1285&lt;TODAY()),"🔴 PRAZO VENCIDO",IF(AND(OR(N1285="PENDENTE",N1285="PARCIAL"),D1285&lt;TODAY()-1),"🔴 EMBARQUE ATRASADO",IF(AND(N1285="REALIZADO",M1285="PENDENTE"),"🟡 EMBARCADO SEM FATURAR",IF(AND(P1285&lt;&gt;"",S1285="",OR(Q1285="",R1285="")),"🟡 PENDÊNCIA SEM RESPONSÁVEL/PRAZO",IF(AND(ISNUMBER(R1285),R1285=TODAY()),"🟡 VENCE HOJE",IF(AND(P1285&lt;&gt;"",S1285=""),"🟡 PENDÊNCIA ABERTA",IF(AND(N(J1285)&gt;0,N(K1285)&lt;J1285),"🟡 FALTA EXECUTAR",IF(OR(M1285="PENDENTE",M1285="PARCIAL"),"🟡 FATURAMENTO PENDENTE","🟡 EMBARQUE PENDENTE")))))))))))</f>
        <v/>
      </c>
      <c r="D1285" s="4" t="n"/>
      <c r="E1285" s="5" t="n"/>
      <c r="F1285" s="5" t="n"/>
      <c r="G1285" s="5" t="n"/>
      <c r="H1285" s="5" t="n"/>
      <c r="I1285" s="5" t="n"/>
      <c r="J1285" s="6" t="n"/>
      <c r="K1285" s="6" t="n"/>
      <c r="L1285" s="7">
        <f>IF(OR(D1285="",N(J1285)=0),"",MIN(1,N(K1285)/J1285))</f>
        <v/>
      </c>
      <c r="M1285" s="5" t="n"/>
      <c r="N1285" s="5" t="n"/>
      <c r="O1285" s="5" t="n"/>
      <c r="P1285" s="5" t="n"/>
      <c r="Q1285" s="5" t="n"/>
      <c r="R1285" s="4" t="n"/>
      <c r="S1285" s="4" t="n"/>
      <c r="T1285" s="5" t="n"/>
      <c r="U1285" s="8">
        <f>IF(AND(V1285=1,D1285&lt;&gt;""),IF(D1285&gt;=corte,TODAY()-D1285,""),"")</f>
        <v/>
      </c>
      <c r="V1285" s="8">
        <f>IF(D1285="",0,IF(OR(AND(P1285&lt;&gt;"",S1285=""),AND(N(J1285)&gt;0,N(K1285)&lt;J1285),OR(M1285="PENDENTE",M1285="PARCIAL"),OR(N1285="PENDENTE",N1285="PARCIAL")),1,0))</f>
        <v/>
      </c>
      <c r="W1285" s="8">
        <f>IF(AND(V1285=1,D1285&lt;&gt;""),IF(D1285&gt;=corte,(B1285="CRÍTICO")*1E9+(100000-D1285)*10000+10000-ROW(),""),"")</f>
        <v/>
      </c>
      <c r="X1285" s="8">
        <f>IF(AND(V1285=1,D1285=pas_data,E1285=pas_turno),10000-ROW(),"")</f>
        <v/>
      </c>
    </row>
    <row r="1286">
      <c r="A1286" s="3">
        <f>IF(D1286="","","TT-"&amp;TEXT(ROW()-1,"00000"))</f>
        <v/>
      </c>
      <c r="B1286" s="3">
        <f>IF(D1286="","",IF(V1286=0,"CONCLUÍDO",IF(D1286&lt;corte,"HISTÓRICO",IF(OR(AND(ISNUMBER(R1286),R1286&lt;TODAY()),AND(OR(N1286="PENDENTE",N1286="PARCIAL"),D1286&lt;TODAY()-1)),"CRÍTICO",IF(OR(AND(P1286&lt;&gt;"",S1286=""),AND(N1286="REALIZADO",M1286="PENDENTE"),AND(ISNUMBER(R1286),R1286=TODAY())),"ATENÇÃO",IF(N(K1286)=0,"PENDENTE","EM ANDAMENTO"))))))</f>
        <v/>
      </c>
      <c r="C1286" s="3">
        <f>IF(D1286="","",IF(V1286=0,"🟢 OK",IF(D1286&lt;corte,"⚪ HISTÓRICO (sem baixa)",IF(AND(ISNUMBER(R1286),R1286&lt;TODAY()),"🔴 PRAZO VENCIDO",IF(AND(OR(N1286="PENDENTE",N1286="PARCIAL"),D1286&lt;TODAY()-1),"🔴 EMBARQUE ATRASADO",IF(AND(N1286="REALIZADO",M1286="PENDENTE"),"🟡 EMBARCADO SEM FATURAR",IF(AND(P1286&lt;&gt;"",S1286="",OR(Q1286="",R1286="")),"🟡 PENDÊNCIA SEM RESPONSÁVEL/PRAZO",IF(AND(ISNUMBER(R1286),R1286=TODAY()),"🟡 VENCE HOJE",IF(AND(P1286&lt;&gt;"",S1286=""),"🟡 PENDÊNCIA ABERTA",IF(AND(N(J1286)&gt;0,N(K1286)&lt;J1286),"🟡 FALTA EXECUTAR",IF(OR(M1286="PENDENTE",M1286="PARCIAL"),"🟡 FATURAMENTO PENDENTE","🟡 EMBARQUE PENDENTE")))))))))))</f>
        <v/>
      </c>
      <c r="D1286" s="4" t="n"/>
      <c r="E1286" s="5" t="n"/>
      <c r="F1286" s="5" t="n"/>
      <c r="G1286" s="5" t="n"/>
      <c r="H1286" s="5" t="n"/>
      <c r="I1286" s="5" t="n"/>
      <c r="J1286" s="6" t="n"/>
      <c r="K1286" s="6" t="n"/>
      <c r="L1286" s="7">
        <f>IF(OR(D1286="",N(J1286)=0),"",MIN(1,N(K1286)/J1286))</f>
        <v/>
      </c>
      <c r="M1286" s="5" t="n"/>
      <c r="N1286" s="5" t="n"/>
      <c r="O1286" s="5" t="n"/>
      <c r="P1286" s="5" t="n"/>
      <c r="Q1286" s="5" t="n"/>
      <c r="R1286" s="4" t="n"/>
      <c r="S1286" s="4" t="n"/>
      <c r="T1286" s="5" t="n"/>
      <c r="U1286" s="8">
        <f>IF(AND(V1286=1,D1286&lt;&gt;""),IF(D1286&gt;=corte,TODAY()-D1286,""),"")</f>
        <v/>
      </c>
      <c r="V1286" s="8">
        <f>IF(D1286="",0,IF(OR(AND(P1286&lt;&gt;"",S1286=""),AND(N(J1286)&gt;0,N(K1286)&lt;J1286),OR(M1286="PENDENTE",M1286="PARCIAL"),OR(N1286="PENDENTE",N1286="PARCIAL")),1,0))</f>
        <v/>
      </c>
      <c r="W1286" s="8">
        <f>IF(AND(V1286=1,D1286&lt;&gt;""),IF(D1286&gt;=corte,(B1286="CRÍTICO")*1E9+(100000-D1286)*10000+10000-ROW(),""),"")</f>
        <v/>
      </c>
      <c r="X1286" s="8">
        <f>IF(AND(V1286=1,D1286=pas_data,E1286=pas_turno),10000-ROW(),"")</f>
        <v/>
      </c>
    </row>
    <row r="1287">
      <c r="A1287" s="3">
        <f>IF(D1287="","","TT-"&amp;TEXT(ROW()-1,"00000"))</f>
        <v/>
      </c>
      <c r="B1287" s="3">
        <f>IF(D1287="","",IF(V1287=0,"CONCLUÍDO",IF(D1287&lt;corte,"HISTÓRICO",IF(OR(AND(ISNUMBER(R1287),R1287&lt;TODAY()),AND(OR(N1287="PENDENTE",N1287="PARCIAL"),D1287&lt;TODAY()-1)),"CRÍTICO",IF(OR(AND(P1287&lt;&gt;"",S1287=""),AND(N1287="REALIZADO",M1287="PENDENTE"),AND(ISNUMBER(R1287),R1287=TODAY())),"ATENÇÃO",IF(N(K1287)=0,"PENDENTE","EM ANDAMENTO"))))))</f>
        <v/>
      </c>
      <c r="C1287" s="3">
        <f>IF(D1287="","",IF(V1287=0,"🟢 OK",IF(D1287&lt;corte,"⚪ HISTÓRICO (sem baixa)",IF(AND(ISNUMBER(R1287),R1287&lt;TODAY()),"🔴 PRAZO VENCIDO",IF(AND(OR(N1287="PENDENTE",N1287="PARCIAL"),D1287&lt;TODAY()-1),"🔴 EMBARQUE ATRASADO",IF(AND(N1287="REALIZADO",M1287="PENDENTE"),"🟡 EMBARCADO SEM FATURAR",IF(AND(P1287&lt;&gt;"",S1287="",OR(Q1287="",R1287="")),"🟡 PENDÊNCIA SEM RESPONSÁVEL/PRAZO",IF(AND(ISNUMBER(R1287),R1287=TODAY()),"🟡 VENCE HOJE",IF(AND(P1287&lt;&gt;"",S1287=""),"🟡 PENDÊNCIA ABERTA",IF(AND(N(J1287)&gt;0,N(K1287)&lt;J1287),"🟡 FALTA EXECUTAR",IF(OR(M1287="PENDENTE",M1287="PARCIAL"),"🟡 FATURAMENTO PENDENTE","🟡 EMBARQUE PENDENTE")))))))))))</f>
        <v/>
      </c>
      <c r="D1287" s="4" t="n"/>
      <c r="E1287" s="5" t="n"/>
      <c r="F1287" s="5" t="n"/>
      <c r="G1287" s="5" t="n"/>
      <c r="H1287" s="5" t="n"/>
      <c r="I1287" s="5" t="n"/>
      <c r="J1287" s="6" t="n"/>
      <c r="K1287" s="6" t="n"/>
      <c r="L1287" s="7">
        <f>IF(OR(D1287="",N(J1287)=0),"",MIN(1,N(K1287)/J1287))</f>
        <v/>
      </c>
      <c r="M1287" s="5" t="n"/>
      <c r="N1287" s="5" t="n"/>
      <c r="O1287" s="5" t="n"/>
      <c r="P1287" s="5" t="n"/>
      <c r="Q1287" s="5" t="n"/>
      <c r="R1287" s="4" t="n"/>
      <c r="S1287" s="4" t="n"/>
      <c r="T1287" s="5" t="n"/>
      <c r="U1287" s="8">
        <f>IF(AND(V1287=1,D1287&lt;&gt;""),IF(D1287&gt;=corte,TODAY()-D1287,""),"")</f>
        <v/>
      </c>
      <c r="V1287" s="8">
        <f>IF(D1287="",0,IF(OR(AND(P1287&lt;&gt;"",S1287=""),AND(N(J1287)&gt;0,N(K1287)&lt;J1287),OR(M1287="PENDENTE",M1287="PARCIAL"),OR(N1287="PENDENTE",N1287="PARCIAL")),1,0))</f>
        <v/>
      </c>
      <c r="W1287" s="8">
        <f>IF(AND(V1287=1,D1287&lt;&gt;""),IF(D1287&gt;=corte,(B1287="CRÍTICO")*1E9+(100000-D1287)*10000+10000-ROW(),""),"")</f>
        <v/>
      </c>
      <c r="X1287" s="8">
        <f>IF(AND(V1287=1,D1287=pas_data,E1287=pas_turno),10000-ROW(),"")</f>
        <v/>
      </c>
    </row>
    <row r="1288">
      <c r="A1288" s="3">
        <f>IF(D1288="","","TT-"&amp;TEXT(ROW()-1,"00000"))</f>
        <v/>
      </c>
      <c r="B1288" s="3">
        <f>IF(D1288="","",IF(V1288=0,"CONCLUÍDO",IF(D1288&lt;corte,"HISTÓRICO",IF(OR(AND(ISNUMBER(R1288),R1288&lt;TODAY()),AND(OR(N1288="PENDENTE",N1288="PARCIAL"),D1288&lt;TODAY()-1)),"CRÍTICO",IF(OR(AND(P1288&lt;&gt;"",S1288=""),AND(N1288="REALIZADO",M1288="PENDENTE"),AND(ISNUMBER(R1288),R1288=TODAY())),"ATENÇÃO",IF(N(K1288)=0,"PENDENTE","EM ANDAMENTO"))))))</f>
        <v/>
      </c>
      <c r="C1288" s="3">
        <f>IF(D1288="","",IF(V1288=0,"🟢 OK",IF(D1288&lt;corte,"⚪ HISTÓRICO (sem baixa)",IF(AND(ISNUMBER(R1288),R1288&lt;TODAY()),"🔴 PRAZO VENCIDO",IF(AND(OR(N1288="PENDENTE",N1288="PARCIAL"),D1288&lt;TODAY()-1),"🔴 EMBARQUE ATRASADO",IF(AND(N1288="REALIZADO",M1288="PENDENTE"),"🟡 EMBARCADO SEM FATURAR",IF(AND(P1288&lt;&gt;"",S1288="",OR(Q1288="",R1288="")),"🟡 PENDÊNCIA SEM RESPONSÁVEL/PRAZO",IF(AND(ISNUMBER(R1288),R1288=TODAY()),"🟡 VENCE HOJE",IF(AND(P1288&lt;&gt;"",S1288=""),"🟡 PENDÊNCIA ABERTA",IF(AND(N(J1288)&gt;0,N(K1288)&lt;J1288),"🟡 FALTA EXECUTAR",IF(OR(M1288="PENDENTE",M1288="PARCIAL"),"🟡 FATURAMENTO PENDENTE","🟡 EMBARQUE PENDENTE")))))))))))</f>
        <v/>
      </c>
      <c r="D1288" s="4" t="n"/>
      <c r="E1288" s="5" t="n"/>
      <c r="F1288" s="5" t="n"/>
      <c r="G1288" s="5" t="n"/>
      <c r="H1288" s="5" t="n"/>
      <c r="I1288" s="5" t="n"/>
      <c r="J1288" s="6" t="n"/>
      <c r="K1288" s="6" t="n"/>
      <c r="L1288" s="7">
        <f>IF(OR(D1288="",N(J1288)=0),"",MIN(1,N(K1288)/J1288))</f>
        <v/>
      </c>
      <c r="M1288" s="5" t="n"/>
      <c r="N1288" s="5" t="n"/>
      <c r="O1288" s="5" t="n"/>
      <c r="P1288" s="5" t="n"/>
      <c r="Q1288" s="5" t="n"/>
      <c r="R1288" s="4" t="n"/>
      <c r="S1288" s="4" t="n"/>
      <c r="T1288" s="5" t="n"/>
      <c r="U1288" s="8">
        <f>IF(AND(V1288=1,D1288&lt;&gt;""),IF(D1288&gt;=corte,TODAY()-D1288,""),"")</f>
        <v/>
      </c>
      <c r="V1288" s="8">
        <f>IF(D1288="",0,IF(OR(AND(P1288&lt;&gt;"",S1288=""),AND(N(J1288)&gt;0,N(K1288)&lt;J1288),OR(M1288="PENDENTE",M1288="PARCIAL"),OR(N1288="PENDENTE",N1288="PARCIAL")),1,0))</f>
        <v/>
      </c>
      <c r="W1288" s="8">
        <f>IF(AND(V1288=1,D1288&lt;&gt;""),IF(D1288&gt;=corte,(B1288="CRÍTICO")*1E9+(100000-D1288)*10000+10000-ROW(),""),"")</f>
        <v/>
      </c>
      <c r="X1288" s="8">
        <f>IF(AND(V1288=1,D1288=pas_data,E1288=pas_turno),10000-ROW(),"")</f>
        <v/>
      </c>
    </row>
    <row r="1289">
      <c r="A1289" s="3">
        <f>IF(D1289="","","TT-"&amp;TEXT(ROW()-1,"00000"))</f>
        <v/>
      </c>
      <c r="B1289" s="3">
        <f>IF(D1289="","",IF(V1289=0,"CONCLUÍDO",IF(D1289&lt;corte,"HISTÓRICO",IF(OR(AND(ISNUMBER(R1289),R1289&lt;TODAY()),AND(OR(N1289="PENDENTE",N1289="PARCIAL"),D1289&lt;TODAY()-1)),"CRÍTICO",IF(OR(AND(P1289&lt;&gt;"",S1289=""),AND(N1289="REALIZADO",M1289="PENDENTE"),AND(ISNUMBER(R1289),R1289=TODAY())),"ATENÇÃO",IF(N(K1289)=0,"PENDENTE","EM ANDAMENTO"))))))</f>
        <v/>
      </c>
      <c r="C1289" s="3">
        <f>IF(D1289="","",IF(V1289=0,"🟢 OK",IF(D1289&lt;corte,"⚪ HISTÓRICO (sem baixa)",IF(AND(ISNUMBER(R1289),R1289&lt;TODAY()),"🔴 PRAZO VENCIDO",IF(AND(OR(N1289="PENDENTE",N1289="PARCIAL"),D1289&lt;TODAY()-1),"🔴 EMBARQUE ATRASADO",IF(AND(N1289="REALIZADO",M1289="PENDENTE"),"🟡 EMBARCADO SEM FATURAR",IF(AND(P1289&lt;&gt;"",S1289="",OR(Q1289="",R1289="")),"🟡 PENDÊNCIA SEM RESPONSÁVEL/PRAZO",IF(AND(ISNUMBER(R1289),R1289=TODAY()),"🟡 VENCE HOJE",IF(AND(P1289&lt;&gt;"",S1289=""),"🟡 PENDÊNCIA ABERTA",IF(AND(N(J1289)&gt;0,N(K1289)&lt;J1289),"🟡 FALTA EXECUTAR",IF(OR(M1289="PENDENTE",M1289="PARCIAL"),"🟡 FATURAMENTO PENDENTE","🟡 EMBARQUE PENDENTE")))))))))))</f>
        <v/>
      </c>
      <c r="D1289" s="4" t="n"/>
      <c r="E1289" s="5" t="n"/>
      <c r="F1289" s="5" t="n"/>
      <c r="G1289" s="5" t="n"/>
      <c r="H1289" s="5" t="n"/>
      <c r="I1289" s="5" t="n"/>
      <c r="J1289" s="6" t="n"/>
      <c r="K1289" s="6" t="n"/>
      <c r="L1289" s="7">
        <f>IF(OR(D1289="",N(J1289)=0),"",MIN(1,N(K1289)/J1289))</f>
        <v/>
      </c>
      <c r="M1289" s="5" t="n"/>
      <c r="N1289" s="5" t="n"/>
      <c r="O1289" s="5" t="n"/>
      <c r="P1289" s="5" t="n"/>
      <c r="Q1289" s="5" t="n"/>
      <c r="R1289" s="4" t="n"/>
      <c r="S1289" s="4" t="n"/>
      <c r="T1289" s="5" t="n"/>
      <c r="U1289" s="8">
        <f>IF(AND(V1289=1,D1289&lt;&gt;""),IF(D1289&gt;=corte,TODAY()-D1289,""),"")</f>
        <v/>
      </c>
      <c r="V1289" s="8">
        <f>IF(D1289="",0,IF(OR(AND(P1289&lt;&gt;"",S1289=""),AND(N(J1289)&gt;0,N(K1289)&lt;J1289),OR(M1289="PENDENTE",M1289="PARCIAL"),OR(N1289="PENDENTE",N1289="PARCIAL")),1,0))</f>
        <v/>
      </c>
      <c r="W1289" s="8">
        <f>IF(AND(V1289=1,D1289&lt;&gt;""),IF(D1289&gt;=corte,(B1289="CRÍTICO")*1E9+(100000-D1289)*10000+10000-ROW(),""),"")</f>
        <v/>
      </c>
      <c r="X1289" s="8">
        <f>IF(AND(V1289=1,D1289=pas_data,E1289=pas_turno),10000-ROW(),"")</f>
        <v/>
      </c>
    </row>
    <row r="1290">
      <c r="A1290" s="3">
        <f>IF(D1290="","","TT-"&amp;TEXT(ROW()-1,"00000"))</f>
        <v/>
      </c>
      <c r="B1290" s="3">
        <f>IF(D1290="","",IF(V1290=0,"CONCLUÍDO",IF(D1290&lt;corte,"HISTÓRICO",IF(OR(AND(ISNUMBER(R1290),R1290&lt;TODAY()),AND(OR(N1290="PENDENTE",N1290="PARCIAL"),D1290&lt;TODAY()-1)),"CRÍTICO",IF(OR(AND(P1290&lt;&gt;"",S1290=""),AND(N1290="REALIZADO",M1290="PENDENTE"),AND(ISNUMBER(R1290),R1290=TODAY())),"ATENÇÃO",IF(N(K1290)=0,"PENDENTE","EM ANDAMENTO"))))))</f>
        <v/>
      </c>
      <c r="C1290" s="3">
        <f>IF(D1290="","",IF(V1290=0,"🟢 OK",IF(D1290&lt;corte,"⚪ HISTÓRICO (sem baixa)",IF(AND(ISNUMBER(R1290),R1290&lt;TODAY()),"🔴 PRAZO VENCIDO",IF(AND(OR(N1290="PENDENTE",N1290="PARCIAL"),D1290&lt;TODAY()-1),"🔴 EMBARQUE ATRASADO",IF(AND(N1290="REALIZADO",M1290="PENDENTE"),"🟡 EMBARCADO SEM FATURAR",IF(AND(P1290&lt;&gt;"",S1290="",OR(Q1290="",R1290="")),"🟡 PENDÊNCIA SEM RESPONSÁVEL/PRAZO",IF(AND(ISNUMBER(R1290),R1290=TODAY()),"🟡 VENCE HOJE",IF(AND(P1290&lt;&gt;"",S1290=""),"🟡 PENDÊNCIA ABERTA",IF(AND(N(J1290)&gt;0,N(K1290)&lt;J1290),"🟡 FALTA EXECUTAR",IF(OR(M1290="PENDENTE",M1290="PARCIAL"),"🟡 FATURAMENTO PENDENTE","🟡 EMBARQUE PENDENTE")))))))))))</f>
        <v/>
      </c>
      <c r="D1290" s="4" t="n"/>
      <c r="E1290" s="5" t="n"/>
      <c r="F1290" s="5" t="n"/>
      <c r="G1290" s="5" t="n"/>
      <c r="H1290" s="5" t="n"/>
      <c r="I1290" s="5" t="n"/>
      <c r="J1290" s="6" t="n"/>
      <c r="K1290" s="6" t="n"/>
      <c r="L1290" s="7">
        <f>IF(OR(D1290="",N(J1290)=0),"",MIN(1,N(K1290)/J1290))</f>
        <v/>
      </c>
      <c r="M1290" s="5" t="n"/>
      <c r="N1290" s="5" t="n"/>
      <c r="O1290" s="5" t="n"/>
      <c r="P1290" s="5" t="n"/>
      <c r="Q1290" s="5" t="n"/>
      <c r="R1290" s="4" t="n"/>
      <c r="S1290" s="4" t="n"/>
      <c r="T1290" s="5" t="n"/>
      <c r="U1290" s="8">
        <f>IF(AND(V1290=1,D1290&lt;&gt;""),IF(D1290&gt;=corte,TODAY()-D1290,""),"")</f>
        <v/>
      </c>
      <c r="V1290" s="8">
        <f>IF(D1290="",0,IF(OR(AND(P1290&lt;&gt;"",S1290=""),AND(N(J1290)&gt;0,N(K1290)&lt;J1290),OR(M1290="PENDENTE",M1290="PARCIAL"),OR(N1290="PENDENTE",N1290="PARCIAL")),1,0))</f>
        <v/>
      </c>
      <c r="W1290" s="8">
        <f>IF(AND(V1290=1,D1290&lt;&gt;""),IF(D1290&gt;=corte,(B1290="CRÍTICO")*1E9+(100000-D1290)*10000+10000-ROW(),""),"")</f>
        <v/>
      </c>
      <c r="X1290" s="8">
        <f>IF(AND(V1290=1,D1290=pas_data,E1290=pas_turno),10000-ROW(),"")</f>
        <v/>
      </c>
    </row>
    <row r="1291">
      <c r="A1291" s="3">
        <f>IF(D1291="","","TT-"&amp;TEXT(ROW()-1,"00000"))</f>
        <v/>
      </c>
      <c r="B1291" s="3">
        <f>IF(D1291="","",IF(V1291=0,"CONCLUÍDO",IF(D1291&lt;corte,"HISTÓRICO",IF(OR(AND(ISNUMBER(R1291),R1291&lt;TODAY()),AND(OR(N1291="PENDENTE",N1291="PARCIAL"),D1291&lt;TODAY()-1)),"CRÍTICO",IF(OR(AND(P1291&lt;&gt;"",S1291=""),AND(N1291="REALIZADO",M1291="PENDENTE"),AND(ISNUMBER(R1291),R1291=TODAY())),"ATENÇÃO",IF(N(K1291)=0,"PENDENTE","EM ANDAMENTO"))))))</f>
        <v/>
      </c>
      <c r="C1291" s="3">
        <f>IF(D1291="","",IF(V1291=0,"🟢 OK",IF(D1291&lt;corte,"⚪ HISTÓRICO (sem baixa)",IF(AND(ISNUMBER(R1291),R1291&lt;TODAY()),"🔴 PRAZO VENCIDO",IF(AND(OR(N1291="PENDENTE",N1291="PARCIAL"),D1291&lt;TODAY()-1),"🔴 EMBARQUE ATRASADO",IF(AND(N1291="REALIZADO",M1291="PENDENTE"),"🟡 EMBARCADO SEM FATURAR",IF(AND(P1291&lt;&gt;"",S1291="",OR(Q1291="",R1291="")),"🟡 PENDÊNCIA SEM RESPONSÁVEL/PRAZO",IF(AND(ISNUMBER(R1291),R1291=TODAY()),"🟡 VENCE HOJE",IF(AND(P1291&lt;&gt;"",S1291=""),"🟡 PENDÊNCIA ABERTA",IF(AND(N(J1291)&gt;0,N(K1291)&lt;J1291),"🟡 FALTA EXECUTAR",IF(OR(M1291="PENDENTE",M1291="PARCIAL"),"🟡 FATURAMENTO PENDENTE","🟡 EMBARQUE PENDENTE")))))))))))</f>
        <v/>
      </c>
      <c r="D1291" s="4" t="n"/>
      <c r="E1291" s="5" t="n"/>
      <c r="F1291" s="5" t="n"/>
      <c r="G1291" s="5" t="n"/>
      <c r="H1291" s="5" t="n"/>
      <c r="I1291" s="5" t="n"/>
      <c r="J1291" s="6" t="n"/>
      <c r="K1291" s="6" t="n"/>
      <c r="L1291" s="7">
        <f>IF(OR(D1291="",N(J1291)=0),"",MIN(1,N(K1291)/J1291))</f>
        <v/>
      </c>
      <c r="M1291" s="5" t="n"/>
      <c r="N1291" s="5" t="n"/>
      <c r="O1291" s="5" t="n"/>
      <c r="P1291" s="5" t="n"/>
      <c r="Q1291" s="5" t="n"/>
      <c r="R1291" s="4" t="n"/>
      <c r="S1291" s="4" t="n"/>
      <c r="T1291" s="5" t="n"/>
      <c r="U1291" s="8">
        <f>IF(AND(V1291=1,D1291&lt;&gt;""),IF(D1291&gt;=corte,TODAY()-D1291,""),"")</f>
        <v/>
      </c>
      <c r="V1291" s="8">
        <f>IF(D1291="",0,IF(OR(AND(P1291&lt;&gt;"",S1291=""),AND(N(J1291)&gt;0,N(K1291)&lt;J1291),OR(M1291="PENDENTE",M1291="PARCIAL"),OR(N1291="PENDENTE",N1291="PARCIAL")),1,0))</f>
        <v/>
      </c>
      <c r="W1291" s="8">
        <f>IF(AND(V1291=1,D1291&lt;&gt;""),IF(D1291&gt;=corte,(B1291="CRÍTICO")*1E9+(100000-D1291)*10000+10000-ROW(),""),"")</f>
        <v/>
      </c>
      <c r="X1291" s="8">
        <f>IF(AND(V1291=1,D1291=pas_data,E1291=pas_turno),10000-ROW(),"")</f>
        <v/>
      </c>
    </row>
    <row r="1292">
      <c r="A1292" s="3">
        <f>IF(D1292="","","TT-"&amp;TEXT(ROW()-1,"00000"))</f>
        <v/>
      </c>
      <c r="B1292" s="3">
        <f>IF(D1292="","",IF(V1292=0,"CONCLUÍDO",IF(D1292&lt;corte,"HISTÓRICO",IF(OR(AND(ISNUMBER(R1292),R1292&lt;TODAY()),AND(OR(N1292="PENDENTE",N1292="PARCIAL"),D1292&lt;TODAY()-1)),"CRÍTICO",IF(OR(AND(P1292&lt;&gt;"",S1292=""),AND(N1292="REALIZADO",M1292="PENDENTE"),AND(ISNUMBER(R1292),R1292=TODAY())),"ATENÇÃO",IF(N(K1292)=0,"PENDENTE","EM ANDAMENTO"))))))</f>
        <v/>
      </c>
      <c r="C1292" s="3">
        <f>IF(D1292="","",IF(V1292=0,"🟢 OK",IF(D1292&lt;corte,"⚪ HISTÓRICO (sem baixa)",IF(AND(ISNUMBER(R1292),R1292&lt;TODAY()),"🔴 PRAZO VENCIDO",IF(AND(OR(N1292="PENDENTE",N1292="PARCIAL"),D1292&lt;TODAY()-1),"🔴 EMBARQUE ATRASADO",IF(AND(N1292="REALIZADO",M1292="PENDENTE"),"🟡 EMBARCADO SEM FATURAR",IF(AND(P1292&lt;&gt;"",S1292="",OR(Q1292="",R1292="")),"🟡 PENDÊNCIA SEM RESPONSÁVEL/PRAZO",IF(AND(ISNUMBER(R1292),R1292=TODAY()),"🟡 VENCE HOJE",IF(AND(P1292&lt;&gt;"",S1292=""),"🟡 PENDÊNCIA ABERTA",IF(AND(N(J1292)&gt;0,N(K1292)&lt;J1292),"🟡 FALTA EXECUTAR",IF(OR(M1292="PENDENTE",M1292="PARCIAL"),"🟡 FATURAMENTO PENDENTE","🟡 EMBARQUE PENDENTE")))))))))))</f>
        <v/>
      </c>
      <c r="D1292" s="4" t="n"/>
      <c r="E1292" s="5" t="n"/>
      <c r="F1292" s="5" t="n"/>
      <c r="G1292" s="5" t="n"/>
      <c r="H1292" s="5" t="n"/>
      <c r="I1292" s="5" t="n"/>
      <c r="J1292" s="6" t="n"/>
      <c r="K1292" s="6" t="n"/>
      <c r="L1292" s="7">
        <f>IF(OR(D1292="",N(J1292)=0),"",MIN(1,N(K1292)/J1292))</f>
        <v/>
      </c>
      <c r="M1292" s="5" t="n"/>
      <c r="N1292" s="5" t="n"/>
      <c r="O1292" s="5" t="n"/>
      <c r="P1292" s="5" t="n"/>
      <c r="Q1292" s="5" t="n"/>
      <c r="R1292" s="4" t="n"/>
      <c r="S1292" s="4" t="n"/>
      <c r="T1292" s="5" t="n"/>
      <c r="U1292" s="8">
        <f>IF(AND(V1292=1,D1292&lt;&gt;""),IF(D1292&gt;=corte,TODAY()-D1292,""),"")</f>
        <v/>
      </c>
      <c r="V1292" s="8">
        <f>IF(D1292="",0,IF(OR(AND(P1292&lt;&gt;"",S1292=""),AND(N(J1292)&gt;0,N(K1292)&lt;J1292),OR(M1292="PENDENTE",M1292="PARCIAL"),OR(N1292="PENDENTE",N1292="PARCIAL")),1,0))</f>
        <v/>
      </c>
      <c r="W1292" s="8">
        <f>IF(AND(V1292=1,D1292&lt;&gt;""),IF(D1292&gt;=corte,(B1292="CRÍTICO")*1E9+(100000-D1292)*10000+10000-ROW(),""),"")</f>
        <v/>
      </c>
      <c r="X1292" s="8">
        <f>IF(AND(V1292=1,D1292=pas_data,E1292=pas_turno),10000-ROW(),"")</f>
        <v/>
      </c>
    </row>
    <row r="1293">
      <c r="A1293" s="3">
        <f>IF(D1293="","","TT-"&amp;TEXT(ROW()-1,"00000"))</f>
        <v/>
      </c>
      <c r="B1293" s="3">
        <f>IF(D1293="","",IF(V1293=0,"CONCLUÍDO",IF(D1293&lt;corte,"HISTÓRICO",IF(OR(AND(ISNUMBER(R1293),R1293&lt;TODAY()),AND(OR(N1293="PENDENTE",N1293="PARCIAL"),D1293&lt;TODAY()-1)),"CRÍTICO",IF(OR(AND(P1293&lt;&gt;"",S1293=""),AND(N1293="REALIZADO",M1293="PENDENTE"),AND(ISNUMBER(R1293),R1293=TODAY())),"ATENÇÃO",IF(N(K1293)=0,"PENDENTE","EM ANDAMENTO"))))))</f>
        <v/>
      </c>
      <c r="C1293" s="3">
        <f>IF(D1293="","",IF(V1293=0,"🟢 OK",IF(D1293&lt;corte,"⚪ HISTÓRICO (sem baixa)",IF(AND(ISNUMBER(R1293),R1293&lt;TODAY()),"🔴 PRAZO VENCIDO",IF(AND(OR(N1293="PENDENTE",N1293="PARCIAL"),D1293&lt;TODAY()-1),"🔴 EMBARQUE ATRASADO",IF(AND(N1293="REALIZADO",M1293="PENDENTE"),"🟡 EMBARCADO SEM FATURAR",IF(AND(P1293&lt;&gt;"",S1293="",OR(Q1293="",R1293="")),"🟡 PENDÊNCIA SEM RESPONSÁVEL/PRAZO",IF(AND(ISNUMBER(R1293),R1293=TODAY()),"🟡 VENCE HOJE",IF(AND(P1293&lt;&gt;"",S1293=""),"🟡 PENDÊNCIA ABERTA",IF(AND(N(J1293)&gt;0,N(K1293)&lt;J1293),"🟡 FALTA EXECUTAR",IF(OR(M1293="PENDENTE",M1293="PARCIAL"),"🟡 FATURAMENTO PENDENTE","🟡 EMBARQUE PENDENTE")))))))))))</f>
        <v/>
      </c>
      <c r="D1293" s="4" t="n"/>
      <c r="E1293" s="5" t="n"/>
      <c r="F1293" s="5" t="n"/>
      <c r="G1293" s="5" t="n"/>
      <c r="H1293" s="5" t="n"/>
      <c r="I1293" s="5" t="n"/>
      <c r="J1293" s="6" t="n"/>
      <c r="K1293" s="6" t="n"/>
      <c r="L1293" s="7">
        <f>IF(OR(D1293="",N(J1293)=0),"",MIN(1,N(K1293)/J1293))</f>
        <v/>
      </c>
      <c r="M1293" s="5" t="n"/>
      <c r="N1293" s="5" t="n"/>
      <c r="O1293" s="5" t="n"/>
      <c r="P1293" s="5" t="n"/>
      <c r="Q1293" s="5" t="n"/>
      <c r="R1293" s="4" t="n"/>
      <c r="S1293" s="4" t="n"/>
      <c r="T1293" s="5" t="n"/>
      <c r="U1293" s="8">
        <f>IF(AND(V1293=1,D1293&lt;&gt;""),IF(D1293&gt;=corte,TODAY()-D1293,""),"")</f>
        <v/>
      </c>
      <c r="V1293" s="8">
        <f>IF(D1293="",0,IF(OR(AND(P1293&lt;&gt;"",S1293=""),AND(N(J1293)&gt;0,N(K1293)&lt;J1293),OR(M1293="PENDENTE",M1293="PARCIAL"),OR(N1293="PENDENTE",N1293="PARCIAL")),1,0))</f>
        <v/>
      </c>
      <c r="W1293" s="8">
        <f>IF(AND(V1293=1,D1293&lt;&gt;""),IF(D1293&gt;=corte,(B1293="CRÍTICO")*1E9+(100000-D1293)*10000+10000-ROW(),""),"")</f>
        <v/>
      </c>
      <c r="X1293" s="8">
        <f>IF(AND(V1293=1,D1293=pas_data,E1293=pas_turno),10000-ROW(),"")</f>
        <v/>
      </c>
    </row>
    <row r="1294">
      <c r="A1294" s="3">
        <f>IF(D1294="","","TT-"&amp;TEXT(ROW()-1,"00000"))</f>
        <v/>
      </c>
      <c r="B1294" s="3">
        <f>IF(D1294="","",IF(V1294=0,"CONCLUÍDO",IF(D1294&lt;corte,"HISTÓRICO",IF(OR(AND(ISNUMBER(R1294),R1294&lt;TODAY()),AND(OR(N1294="PENDENTE",N1294="PARCIAL"),D1294&lt;TODAY()-1)),"CRÍTICO",IF(OR(AND(P1294&lt;&gt;"",S1294=""),AND(N1294="REALIZADO",M1294="PENDENTE"),AND(ISNUMBER(R1294),R1294=TODAY())),"ATENÇÃO",IF(N(K1294)=0,"PENDENTE","EM ANDAMENTO"))))))</f>
        <v/>
      </c>
      <c r="C1294" s="3">
        <f>IF(D1294="","",IF(V1294=0,"🟢 OK",IF(D1294&lt;corte,"⚪ HISTÓRICO (sem baixa)",IF(AND(ISNUMBER(R1294),R1294&lt;TODAY()),"🔴 PRAZO VENCIDO",IF(AND(OR(N1294="PENDENTE",N1294="PARCIAL"),D1294&lt;TODAY()-1),"🔴 EMBARQUE ATRASADO",IF(AND(N1294="REALIZADO",M1294="PENDENTE"),"🟡 EMBARCADO SEM FATURAR",IF(AND(P1294&lt;&gt;"",S1294="",OR(Q1294="",R1294="")),"🟡 PENDÊNCIA SEM RESPONSÁVEL/PRAZO",IF(AND(ISNUMBER(R1294),R1294=TODAY()),"🟡 VENCE HOJE",IF(AND(P1294&lt;&gt;"",S1294=""),"🟡 PENDÊNCIA ABERTA",IF(AND(N(J1294)&gt;0,N(K1294)&lt;J1294),"🟡 FALTA EXECUTAR",IF(OR(M1294="PENDENTE",M1294="PARCIAL"),"🟡 FATURAMENTO PENDENTE","🟡 EMBARQUE PENDENTE")))))))))))</f>
        <v/>
      </c>
      <c r="D1294" s="4" t="n"/>
      <c r="E1294" s="5" t="n"/>
      <c r="F1294" s="5" t="n"/>
      <c r="G1294" s="5" t="n"/>
      <c r="H1294" s="5" t="n"/>
      <c r="I1294" s="5" t="n"/>
      <c r="J1294" s="6" t="n"/>
      <c r="K1294" s="6" t="n"/>
      <c r="L1294" s="7">
        <f>IF(OR(D1294="",N(J1294)=0),"",MIN(1,N(K1294)/J1294))</f>
        <v/>
      </c>
      <c r="M1294" s="5" t="n"/>
      <c r="N1294" s="5" t="n"/>
      <c r="O1294" s="5" t="n"/>
      <c r="P1294" s="5" t="n"/>
      <c r="Q1294" s="5" t="n"/>
      <c r="R1294" s="4" t="n"/>
      <c r="S1294" s="4" t="n"/>
      <c r="T1294" s="5" t="n"/>
      <c r="U1294" s="8">
        <f>IF(AND(V1294=1,D1294&lt;&gt;""),IF(D1294&gt;=corte,TODAY()-D1294,""),"")</f>
        <v/>
      </c>
      <c r="V1294" s="8">
        <f>IF(D1294="",0,IF(OR(AND(P1294&lt;&gt;"",S1294=""),AND(N(J1294)&gt;0,N(K1294)&lt;J1294),OR(M1294="PENDENTE",M1294="PARCIAL"),OR(N1294="PENDENTE",N1294="PARCIAL")),1,0))</f>
        <v/>
      </c>
      <c r="W1294" s="8">
        <f>IF(AND(V1294=1,D1294&lt;&gt;""),IF(D1294&gt;=corte,(B1294="CRÍTICO")*1E9+(100000-D1294)*10000+10000-ROW(),""),"")</f>
        <v/>
      </c>
      <c r="X1294" s="8">
        <f>IF(AND(V1294=1,D1294=pas_data,E1294=pas_turno),10000-ROW(),"")</f>
        <v/>
      </c>
    </row>
    <row r="1295">
      <c r="A1295" s="3">
        <f>IF(D1295="","","TT-"&amp;TEXT(ROW()-1,"00000"))</f>
        <v/>
      </c>
      <c r="B1295" s="3">
        <f>IF(D1295="","",IF(V1295=0,"CONCLUÍDO",IF(D1295&lt;corte,"HISTÓRICO",IF(OR(AND(ISNUMBER(R1295),R1295&lt;TODAY()),AND(OR(N1295="PENDENTE",N1295="PARCIAL"),D1295&lt;TODAY()-1)),"CRÍTICO",IF(OR(AND(P1295&lt;&gt;"",S1295=""),AND(N1295="REALIZADO",M1295="PENDENTE"),AND(ISNUMBER(R1295),R1295=TODAY())),"ATENÇÃO",IF(N(K1295)=0,"PENDENTE","EM ANDAMENTO"))))))</f>
        <v/>
      </c>
      <c r="C1295" s="3">
        <f>IF(D1295="","",IF(V1295=0,"🟢 OK",IF(D1295&lt;corte,"⚪ HISTÓRICO (sem baixa)",IF(AND(ISNUMBER(R1295),R1295&lt;TODAY()),"🔴 PRAZO VENCIDO",IF(AND(OR(N1295="PENDENTE",N1295="PARCIAL"),D1295&lt;TODAY()-1),"🔴 EMBARQUE ATRASADO",IF(AND(N1295="REALIZADO",M1295="PENDENTE"),"🟡 EMBARCADO SEM FATURAR",IF(AND(P1295&lt;&gt;"",S1295="",OR(Q1295="",R1295="")),"🟡 PENDÊNCIA SEM RESPONSÁVEL/PRAZO",IF(AND(ISNUMBER(R1295),R1295=TODAY()),"🟡 VENCE HOJE",IF(AND(P1295&lt;&gt;"",S1295=""),"🟡 PENDÊNCIA ABERTA",IF(AND(N(J1295)&gt;0,N(K1295)&lt;J1295),"🟡 FALTA EXECUTAR",IF(OR(M1295="PENDENTE",M1295="PARCIAL"),"🟡 FATURAMENTO PENDENTE","🟡 EMBARQUE PENDENTE")))))))))))</f>
        <v/>
      </c>
      <c r="D1295" s="4" t="n"/>
      <c r="E1295" s="5" t="n"/>
      <c r="F1295" s="5" t="n"/>
      <c r="G1295" s="5" t="n"/>
      <c r="H1295" s="5" t="n"/>
      <c r="I1295" s="5" t="n"/>
      <c r="J1295" s="6" t="n"/>
      <c r="K1295" s="6" t="n"/>
      <c r="L1295" s="7">
        <f>IF(OR(D1295="",N(J1295)=0),"",MIN(1,N(K1295)/J1295))</f>
        <v/>
      </c>
      <c r="M1295" s="5" t="n"/>
      <c r="N1295" s="5" t="n"/>
      <c r="O1295" s="5" t="n"/>
      <c r="P1295" s="5" t="n"/>
      <c r="Q1295" s="5" t="n"/>
      <c r="R1295" s="4" t="n"/>
      <c r="S1295" s="4" t="n"/>
      <c r="T1295" s="5" t="n"/>
      <c r="U1295" s="8">
        <f>IF(AND(V1295=1,D1295&lt;&gt;""),IF(D1295&gt;=corte,TODAY()-D1295,""),"")</f>
        <v/>
      </c>
      <c r="V1295" s="8">
        <f>IF(D1295="",0,IF(OR(AND(P1295&lt;&gt;"",S1295=""),AND(N(J1295)&gt;0,N(K1295)&lt;J1295),OR(M1295="PENDENTE",M1295="PARCIAL"),OR(N1295="PENDENTE",N1295="PARCIAL")),1,0))</f>
        <v/>
      </c>
      <c r="W1295" s="8">
        <f>IF(AND(V1295=1,D1295&lt;&gt;""),IF(D1295&gt;=corte,(B1295="CRÍTICO")*1E9+(100000-D1295)*10000+10000-ROW(),""),"")</f>
        <v/>
      </c>
      <c r="X1295" s="8">
        <f>IF(AND(V1295=1,D1295=pas_data,E1295=pas_turno),10000-ROW(),"")</f>
        <v/>
      </c>
    </row>
    <row r="1296">
      <c r="A1296" s="3">
        <f>IF(D1296="","","TT-"&amp;TEXT(ROW()-1,"00000"))</f>
        <v/>
      </c>
      <c r="B1296" s="3">
        <f>IF(D1296="","",IF(V1296=0,"CONCLUÍDO",IF(D1296&lt;corte,"HISTÓRICO",IF(OR(AND(ISNUMBER(R1296),R1296&lt;TODAY()),AND(OR(N1296="PENDENTE",N1296="PARCIAL"),D1296&lt;TODAY()-1)),"CRÍTICO",IF(OR(AND(P1296&lt;&gt;"",S1296=""),AND(N1296="REALIZADO",M1296="PENDENTE"),AND(ISNUMBER(R1296),R1296=TODAY())),"ATENÇÃO",IF(N(K1296)=0,"PENDENTE","EM ANDAMENTO"))))))</f>
        <v/>
      </c>
      <c r="C1296" s="3">
        <f>IF(D1296="","",IF(V1296=0,"🟢 OK",IF(D1296&lt;corte,"⚪ HISTÓRICO (sem baixa)",IF(AND(ISNUMBER(R1296),R1296&lt;TODAY()),"🔴 PRAZO VENCIDO",IF(AND(OR(N1296="PENDENTE",N1296="PARCIAL"),D1296&lt;TODAY()-1),"🔴 EMBARQUE ATRASADO",IF(AND(N1296="REALIZADO",M1296="PENDENTE"),"🟡 EMBARCADO SEM FATURAR",IF(AND(P1296&lt;&gt;"",S1296="",OR(Q1296="",R1296="")),"🟡 PENDÊNCIA SEM RESPONSÁVEL/PRAZO",IF(AND(ISNUMBER(R1296),R1296=TODAY()),"🟡 VENCE HOJE",IF(AND(P1296&lt;&gt;"",S1296=""),"🟡 PENDÊNCIA ABERTA",IF(AND(N(J1296)&gt;0,N(K1296)&lt;J1296),"🟡 FALTA EXECUTAR",IF(OR(M1296="PENDENTE",M1296="PARCIAL"),"🟡 FATURAMENTO PENDENTE","🟡 EMBARQUE PENDENTE")))))))))))</f>
        <v/>
      </c>
      <c r="D1296" s="4" t="n"/>
      <c r="E1296" s="5" t="n"/>
      <c r="F1296" s="5" t="n"/>
      <c r="G1296" s="5" t="n"/>
      <c r="H1296" s="5" t="n"/>
      <c r="I1296" s="5" t="n"/>
      <c r="J1296" s="6" t="n"/>
      <c r="K1296" s="6" t="n"/>
      <c r="L1296" s="7">
        <f>IF(OR(D1296="",N(J1296)=0),"",MIN(1,N(K1296)/J1296))</f>
        <v/>
      </c>
      <c r="M1296" s="5" t="n"/>
      <c r="N1296" s="5" t="n"/>
      <c r="O1296" s="5" t="n"/>
      <c r="P1296" s="5" t="n"/>
      <c r="Q1296" s="5" t="n"/>
      <c r="R1296" s="4" t="n"/>
      <c r="S1296" s="4" t="n"/>
      <c r="T1296" s="5" t="n"/>
      <c r="U1296" s="8">
        <f>IF(AND(V1296=1,D1296&lt;&gt;""),IF(D1296&gt;=corte,TODAY()-D1296,""),"")</f>
        <v/>
      </c>
      <c r="V1296" s="8">
        <f>IF(D1296="",0,IF(OR(AND(P1296&lt;&gt;"",S1296=""),AND(N(J1296)&gt;0,N(K1296)&lt;J1296),OR(M1296="PENDENTE",M1296="PARCIAL"),OR(N1296="PENDENTE",N1296="PARCIAL")),1,0))</f>
        <v/>
      </c>
      <c r="W1296" s="8">
        <f>IF(AND(V1296=1,D1296&lt;&gt;""),IF(D1296&gt;=corte,(B1296="CRÍTICO")*1E9+(100000-D1296)*10000+10000-ROW(),""),"")</f>
        <v/>
      </c>
      <c r="X1296" s="8">
        <f>IF(AND(V1296=1,D1296=pas_data,E1296=pas_turno),10000-ROW(),"")</f>
        <v/>
      </c>
    </row>
    <row r="1297">
      <c r="A1297" s="3">
        <f>IF(D1297="","","TT-"&amp;TEXT(ROW()-1,"00000"))</f>
        <v/>
      </c>
      <c r="B1297" s="3">
        <f>IF(D1297="","",IF(V1297=0,"CONCLUÍDO",IF(D1297&lt;corte,"HISTÓRICO",IF(OR(AND(ISNUMBER(R1297),R1297&lt;TODAY()),AND(OR(N1297="PENDENTE",N1297="PARCIAL"),D1297&lt;TODAY()-1)),"CRÍTICO",IF(OR(AND(P1297&lt;&gt;"",S1297=""),AND(N1297="REALIZADO",M1297="PENDENTE"),AND(ISNUMBER(R1297),R1297=TODAY())),"ATENÇÃO",IF(N(K1297)=0,"PENDENTE","EM ANDAMENTO"))))))</f>
        <v/>
      </c>
      <c r="C1297" s="3">
        <f>IF(D1297="","",IF(V1297=0,"🟢 OK",IF(D1297&lt;corte,"⚪ HISTÓRICO (sem baixa)",IF(AND(ISNUMBER(R1297),R1297&lt;TODAY()),"🔴 PRAZO VENCIDO",IF(AND(OR(N1297="PENDENTE",N1297="PARCIAL"),D1297&lt;TODAY()-1),"🔴 EMBARQUE ATRASADO",IF(AND(N1297="REALIZADO",M1297="PENDENTE"),"🟡 EMBARCADO SEM FATURAR",IF(AND(P1297&lt;&gt;"",S1297="",OR(Q1297="",R1297="")),"🟡 PENDÊNCIA SEM RESPONSÁVEL/PRAZO",IF(AND(ISNUMBER(R1297),R1297=TODAY()),"🟡 VENCE HOJE",IF(AND(P1297&lt;&gt;"",S1297=""),"🟡 PENDÊNCIA ABERTA",IF(AND(N(J1297)&gt;0,N(K1297)&lt;J1297),"🟡 FALTA EXECUTAR",IF(OR(M1297="PENDENTE",M1297="PARCIAL"),"🟡 FATURAMENTO PENDENTE","🟡 EMBARQUE PENDENTE")))))))))))</f>
        <v/>
      </c>
      <c r="D1297" s="4" t="n"/>
      <c r="E1297" s="5" t="n"/>
      <c r="F1297" s="5" t="n"/>
      <c r="G1297" s="5" t="n"/>
      <c r="H1297" s="5" t="n"/>
      <c r="I1297" s="5" t="n"/>
      <c r="J1297" s="6" t="n"/>
      <c r="K1297" s="6" t="n"/>
      <c r="L1297" s="7">
        <f>IF(OR(D1297="",N(J1297)=0),"",MIN(1,N(K1297)/J1297))</f>
        <v/>
      </c>
      <c r="M1297" s="5" t="n"/>
      <c r="N1297" s="5" t="n"/>
      <c r="O1297" s="5" t="n"/>
      <c r="P1297" s="5" t="n"/>
      <c r="Q1297" s="5" t="n"/>
      <c r="R1297" s="4" t="n"/>
      <c r="S1297" s="4" t="n"/>
      <c r="T1297" s="5" t="n"/>
      <c r="U1297" s="8">
        <f>IF(AND(V1297=1,D1297&lt;&gt;""),IF(D1297&gt;=corte,TODAY()-D1297,""),"")</f>
        <v/>
      </c>
      <c r="V1297" s="8">
        <f>IF(D1297="",0,IF(OR(AND(P1297&lt;&gt;"",S1297=""),AND(N(J1297)&gt;0,N(K1297)&lt;J1297),OR(M1297="PENDENTE",M1297="PARCIAL"),OR(N1297="PENDENTE",N1297="PARCIAL")),1,0))</f>
        <v/>
      </c>
      <c r="W1297" s="8">
        <f>IF(AND(V1297=1,D1297&lt;&gt;""),IF(D1297&gt;=corte,(B1297="CRÍTICO")*1E9+(100000-D1297)*10000+10000-ROW(),""),"")</f>
        <v/>
      </c>
      <c r="X1297" s="8">
        <f>IF(AND(V1297=1,D1297=pas_data,E1297=pas_turno),10000-ROW(),"")</f>
        <v/>
      </c>
    </row>
    <row r="1298">
      <c r="A1298" s="3">
        <f>IF(D1298="","","TT-"&amp;TEXT(ROW()-1,"00000"))</f>
        <v/>
      </c>
      <c r="B1298" s="3">
        <f>IF(D1298="","",IF(V1298=0,"CONCLUÍDO",IF(D1298&lt;corte,"HISTÓRICO",IF(OR(AND(ISNUMBER(R1298),R1298&lt;TODAY()),AND(OR(N1298="PENDENTE",N1298="PARCIAL"),D1298&lt;TODAY()-1)),"CRÍTICO",IF(OR(AND(P1298&lt;&gt;"",S1298=""),AND(N1298="REALIZADO",M1298="PENDENTE"),AND(ISNUMBER(R1298),R1298=TODAY())),"ATENÇÃO",IF(N(K1298)=0,"PENDENTE","EM ANDAMENTO"))))))</f>
        <v/>
      </c>
      <c r="C1298" s="3">
        <f>IF(D1298="","",IF(V1298=0,"🟢 OK",IF(D1298&lt;corte,"⚪ HISTÓRICO (sem baixa)",IF(AND(ISNUMBER(R1298),R1298&lt;TODAY()),"🔴 PRAZO VENCIDO",IF(AND(OR(N1298="PENDENTE",N1298="PARCIAL"),D1298&lt;TODAY()-1),"🔴 EMBARQUE ATRASADO",IF(AND(N1298="REALIZADO",M1298="PENDENTE"),"🟡 EMBARCADO SEM FATURAR",IF(AND(P1298&lt;&gt;"",S1298="",OR(Q1298="",R1298="")),"🟡 PENDÊNCIA SEM RESPONSÁVEL/PRAZO",IF(AND(ISNUMBER(R1298),R1298=TODAY()),"🟡 VENCE HOJE",IF(AND(P1298&lt;&gt;"",S1298=""),"🟡 PENDÊNCIA ABERTA",IF(AND(N(J1298)&gt;0,N(K1298)&lt;J1298),"🟡 FALTA EXECUTAR",IF(OR(M1298="PENDENTE",M1298="PARCIAL"),"🟡 FATURAMENTO PENDENTE","🟡 EMBARQUE PENDENTE")))))))))))</f>
        <v/>
      </c>
      <c r="D1298" s="4" t="n"/>
      <c r="E1298" s="5" t="n"/>
      <c r="F1298" s="5" t="n"/>
      <c r="G1298" s="5" t="n"/>
      <c r="H1298" s="5" t="n"/>
      <c r="I1298" s="5" t="n"/>
      <c r="J1298" s="6" t="n"/>
      <c r="K1298" s="6" t="n"/>
      <c r="L1298" s="7">
        <f>IF(OR(D1298="",N(J1298)=0),"",MIN(1,N(K1298)/J1298))</f>
        <v/>
      </c>
      <c r="M1298" s="5" t="n"/>
      <c r="N1298" s="5" t="n"/>
      <c r="O1298" s="5" t="n"/>
      <c r="P1298" s="5" t="n"/>
      <c r="Q1298" s="5" t="n"/>
      <c r="R1298" s="4" t="n"/>
      <c r="S1298" s="4" t="n"/>
      <c r="T1298" s="5" t="n"/>
      <c r="U1298" s="8">
        <f>IF(AND(V1298=1,D1298&lt;&gt;""),IF(D1298&gt;=corte,TODAY()-D1298,""),"")</f>
        <v/>
      </c>
      <c r="V1298" s="8">
        <f>IF(D1298="",0,IF(OR(AND(P1298&lt;&gt;"",S1298=""),AND(N(J1298)&gt;0,N(K1298)&lt;J1298),OR(M1298="PENDENTE",M1298="PARCIAL"),OR(N1298="PENDENTE",N1298="PARCIAL")),1,0))</f>
        <v/>
      </c>
      <c r="W1298" s="8">
        <f>IF(AND(V1298=1,D1298&lt;&gt;""),IF(D1298&gt;=corte,(B1298="CRÍTICO")*1E9+(100000-D1298)*10000+10000-ROW(),""),"")</f>
        <v/>
      </c>
      <c r="X1298" s="8">
        <f>IF(AND(V1298=1,D1298=pas_data,E1298=pas_turno),10000-ROW(),"")</f>
        <v/>
      </c>
    </row>
    <row r="1299">
      <c r="A1299" s="3">
        <f>IF(D1299="","","TT-"&amp;TEXT(ROW()-1,"00000"))</f>
        <v/>
      </c>
      <c r="B1299" s="3">
        <f>IF(D1299="","",IF(V1299=0,"CONCLUÍDO",IF(D1299&lt;corte,"HISTÓRICO",IF(OR(AND(ISNUMBER(R1299),R1299&lt;TODAY()),AND(OR(N1299="PENDENTE",N1299="PARCIAL"),D1299&lt;TODAY()-1)),"CRÍTICO",IF(OR(AND(P1299&lt;&gt;"",S1299=""),AND(N1299="REALIZADO",M1299="PENDENTE"),AND(ISNUMBER(R1299),R1299=TODAY())),"ATENÇÃO",IF(N(K1299)=0,"PENDENTE","EM ANDAMENTO"))))))</f>
        <v/>
      </c>
      <c r="C1299" s="3">
        <f>IF(D1299="","",IF(V1299=0,"🟢 OK",IF(D1299&lt;corte,"⚪ HISTÓRICO (sem baixa)",IF(AND(ISNUMBER(R1299),R1299&lt;TODAY()),"🔴 PRAZO VENCIDO",IF(AND(OR(N1299="PENDENTE",N1299="PARCIAL"),D1299&lt;TODAY()-1),"🔴 EMBARQUE ATRASADO",IF(AND(N1299="REALIZADO",M1299="PENDENTE"),"🟡 EMBARCADO SEM FATURAR",IF(AND(P1299&lt;&gt;"",S1299="",OR(Q1299="",R1299="")),"🟡 PENDÊNCIA SEM RESPONSÁVEL/PRAZO",IF(AND(ISNUMBER(R1299),R1299=TODAY()),"🟡 VENCE HOJE",IF(AND(P1299&lt;&gt;"",S1299=""),"🟡 PENDÊNCIA ABERTA",IF(AND(N(J1299)&gt;0,N(K1299)&lt;J1299),"🟡 FALTA EXECUTAR",IF(OR(M1299="PENDENTE",M1299="PARCIAL"),"🟡 FATURAMENTO PENDENTE","🟡 EMBARQUE PENDENTE")))))))))))</f>
        <v/>
      </c>
      <c r="D1299" s="4" t="n"/>
      <c r="E1299" s="5" t="n"/>
      <c r="F1299" s="5" t="n"/>
      <c r="G1299" s="5" t="n"/>
      <c r="H1299" s="5" t="n"/>
      <c r="I1299" s="5" t="n"/>
      <c r="J1299" s="6" t="n"/>
      <c r="K1299" s="6" t="n"/>
      <c r="L1299" s="7">
        <f>IF(OR(D1299="",N(J1299)=0),"",MIN(1,N(K1299)/J1299))</f>
        <v/>
      </c>
      <c r="M1299" s="5" t="n"/>
      <c r="N1299" s="5" t="n"/>
      <c r="O1299" s="5" t="n"/>
      <c r="P1299" s="5" t="n"/>
      <c r="Q1299" s="5" t="n"/>
      <c r="R1299" s="4" t="n"/>
      <c r="S1299" s="4" t="n"/>
      <c r="T1299" s="5" t="n"/>
      <c r="U1299" s="8">
        <f>IF(AND(V1299=1,D1299&lt;&gt;""),IF(D1299&gt;=corte,TODAY()-D1299,""),"")</f>
        <v/>
      </c>
      <c r="V1299" s="8">
        <f>IF(D1299="",0,IF(OR(AND(P1299&lt;&gt;"",S1299=""),AND(N(J1299)&gt;0,N(K1299)&lt;J1299),OR(M1299="PENDENTE",M1299="PARCIAL"),OR(N1299="PENDENTE",N1299="PARCIAL")),1,0))</f>
        <v/>
      </c>
      <c r="W1299" s="8">
        <f>IF(AND(V1299=1,D1299&lt;&gt;""),IF(D1299&gt;=corte,(B1299="CRÍTICO")*1E9+(100000-D1299)*10000+10000-ROW(),""),"")</f>
        <v/>
      </c>
      <c r="X1299" s="8">
        <f>IF(AND(V1299=1,D1299=pas_data,E1299=pas_turno),10000-ROW(),"")</f>
        <v/>
      </c>
    </row>
    <row r="1300">
      <c r="A1300" s="3">
        <f>IF(D1300="","","TT-"&amp;TEXT(ROW()-1,"00000"))</f>
        <v/>
      </c>
      <c r="B1300" s="3">
        <f>IF(D1300="","",IF(V1300=0,"CONCLUÍDO",IF(D1300&lt;corte,"HISTÓRICO",IF(OR(AND(ISNUMBER(R1300),R1300&lt;TODAY()),AND(OR(N1300="PENDENTE",N1300="PARCIAL"),D1300&lt;TODAY()-1)),"CRÍTICO",IF(OR(AND(P1300&lt;&gt;"",S1300=""),AND(N1300="REALIZADO",M1300="PENDENTE"),AND(ISNUMBER(R1300),R1300=TODAY())),"ATENÇÃO",IF(N(K1300)=0,"PENDENTE","EM ANDAMENTO"))))))</f>
        <v/>
      </c>
      <c r="C1300" s="3">
        <f>IF(D1300="","",IF(V1300=0,"🟢 OK",IF(D1300&lt;corte,"⚪ HISTÓRICO (sem baixa)",IF(AND(ISNUMBER(R1300),R1300&lt;TODAY()),"🔴 PRAZO VENCIDO",IF(AND(OR(N1300="PENDENTE",N1300="PARCIAL"),D1300&lt;TODAY()-1),"🔴 EMBARQUE ATRASADO",IF(AND(N1300="REALIZADO",M1300="PENDENTE"),"🟡 EMBARCADO SEM FATURAR",IF(AND(P1300&lt;&gt;"",S1300="",OR(Q1300="",R1300="")),"🟡 PENDÊNCIA SEM RESPONSÁVEL/PRAZO",IF(AND(ISNUMBER(R1300),R1300=TODAY()),"🟡 VENCE HOJE",IF(AND(P1300&lt;&gt;"",S1300=""),"🟡 PENDÊNCIA ABERTA",IF(AND(N(J1300)&gt;0,N(K1300)&lt;J1300),"🟡 FALTA EXECUTAR",IF(OR(M1300="PENDENTE",M1300="PARCIAL"),"🟡 FATURAMENTO PENDENTE","🟡 EMBARQUE PENDENTE")))))))))))</f>
        <v/>
      </c>
      <c r="D1300" s="4" t="n"/>
      <c r="E1300" s="5" t="n"/>
      <c r="F1300" s="5" t="n"/>
      <c r="G1300" s="5" t="n"/>
      <c r="H1300" s="5" t="n"/>
      <c r="I1300" s="5" t="n"/>
      <c r="J1300" s="6" t="n"/>
      <c r="K1300" s="6" t="n"/>
      <c r="L1300" s="7">
        <f>IF(OR(D1300="",N(J1300)=0),"",MIN(1,N(K1300)/J1300))</f>
        <v/>
      </c>
      <c r="M1300" s="5" t="n"/>
      <c r="N1300" s="5" t="n"/>
      <c r="O1300" s="5" t="n"/>
      <c r="P1300" s="5" t="n"/>
      <c r="Q1300" s="5" t="n"/>
      <c r="R1300" s="4" t="n"/>
      <c r="S1300" s="4" t="n"/>
      <c r="T1300" s="5" t="n"/>
      <c r="U1300" s="8">
        <f>IF(AND(V1300=1,D1300&lt;&gt;""),IF(D1300&gt;=corte,TODAY()-D1300,""),"")</f>
        <v/>
      </c>
      <c r="V1300" s="8">
        <f>IF(D1300="",0,IF(OR(AND(P1300&lt;&gt;"",S1300=""),AND(N(J1300)&gt;0,N(K1300)&lt;J1300),OR(M1300="PENDENTE",M1300="PARCIAL"),OR(N1300="PENDENTE",N1300="PARCIAL")),1,0))</f>
        <v/>
      </c>
      <c r="W1300" s="8">
        <f>IF(AND(V1300=1,D1300&lt;&gt;""),IF(D1300&gt;=corte,(B1300="CRÍTICO")*1E9+(100000-D1300)*10000+10000-ROW(),""),"")</f>
        <v/>
      </c>
      <c r="X1300" s="8">
        <f>IF(AND(V1300=1,D1300=pas_data,E1300=pas_turno),10000-ROW(),"")</f>
        <v/>
      </c>
    </row>
    <row r="1301">
      <c r="A1301" s="3">
        <f>IF(D1301="","","TT-"&amp;TEXT(ROW()-1,"00000"))</f>
        <v/>
      </c>
      <c r="B1301" s="3">
        <f>IF(D1301="","",IF(V1301=0,"CONCLUÍDO",IF(D1301&lt;corte,"HISTÓRICO",IF(OR(AND(ISNUMBER(R1301),R1301&lt;TODAY()),AND(OR(N1301="PENDENTE",N1301="PARCIAL"),D1301&lt;TODAY()-1)),"CRÍTICO",IF(OR(AND(P1301&lt;&gt;"",S1301=""),AND(N1301="REALIZADO",M1301="PENDENTE"),AND(ISNUMBER(R1301),R1301=TODAY())),"ATENÇÃO",IF(N(K1301)=0,"PENDENTE","EM ANDAMENTO"))))))</f>
        <v/>
      </c>
      <c r="C1301" s="3">
        <f>IF(D1301="","",IF(V1301=0,"🟢 OK",IF(D1301&lt;corte,"⚪ HISTÓRICO (sem baixa)",IF(AND(ISNUMBER(R1301),R1301&lt;TODAY()),"🔴 PRAZO VENCIDO",IF(AND(OR(N1301="PENDENTE",N1301="PARCIAL"),D1301&lt;TODAY()-1),"🔴 EMBARQUE ATRASADO",IF(AND(N1301="REALIZADO",M1301="PENDENTE"),"🟡 EMBARCADO SEM FATURAR",IF(AND(P1301&lt;&gt;"",S1301="",OR(Q1301="",R1301="")),"🟡 PENDÊNCIA SEM RESPONSÁVEL/PRAZO",IF(AND(ISNUMBER(R1301),R1301=TODAY()),"🟡 VENCE HOJE",IF(AND(P1301&lt;&gt;"",S1301=""),"🟡 PENDÊNCIA ABERTA",IF(AND(N(J1301)&gt;0,N(K1301)&lt;J1301),"🟡 FALTA EXECUTAR",IF(OR(M1301="PENDENTE",M1301="PARCIAL"),"🟡 FATURAMENTO PENDENTE","🟡 EMBARQUE PENDENTE")))))))))))</f>
        <v/>
      </c>
      <c r="D1301" s="4" t="n"/>
      <c r="E1301" s="5" t="n"/>
      <c r="F1301" s="5" t="n"/>
      <c r="G1301" s="5" t="n"/>
      <c r="H1301" s="5" t="n"/>
      <c r="I1301" s="5" t="n"/>
      <c r="J1301" s="6" t="n"/>
      <c r="K1301" s="6" t="n"/>
      <c r="L1301" s="7">
        <f>IF(OR(D1301="",N(J1301)=0),"",MIN(1,N(K1301)/J1301))</f>
        <v/>
      </c>
      <c r="M1301" s="5" t="n"/>
      <c r="N1301" s="5" t="n"/>
      <c r="O1301" s="5" t="n"/>
      <c r="P1301" s="5" t="n"/>
      <c r="Q1301" s="5" t="n"/>
      <c r="R1301" s="4" t="n"/>
      <c r="S1301" s="4" t="n"/>
      <c r="T1301" s="5" t="n"/>
      <c r="U1301" s="8">
        <f>IF(AND(V1301=1,D1301&lt;&gt;""),IF(D1301&gt;=corte,TODAY()-D1301,""),"")</f>
        <v/>
      </c>
      <c r="V1301" s="8">
        <f>IF(D1301="",0,IF(OR(AND(P1301&lt;&gt;"",S1301=""),AND(N(J1301)&gt;0,N(K1301)&lt;J1301),OR(M1301="PENDENTE",M1301="PARCIAL"),OR(N1301="PENDENTE",N1301="PARCIAL")),1,0))</f>
        <v/>
      </c>
      <c r="W1301" s="8">
        <f>IF(AND(V1301=1,D1301&lt;&gt;""),IF(D1301&gt;=corte,(B1301="CRÍTICO")*1E9+(100000-D1301)*10000+10000-ROW(),""),"")</f>
        <v/>
      </c>
      <c r="X1301" s="8">
        <f>IF(AND(V1301=1,D1301=pas_data,E1301=pas_turno),10000-ROW(),"")</f>
        <v/>
      </c>
    </row>
    <row r="1302">
      <c r="A1302" s="3">
        <f>IF(D1302="","","TT-"&amp;TEXT(ROW()-1,"00000"))</f>
        <v/>
      </c>
      <c r="B1302" s="3">
        <f>IF(D1302="","",IF(V1302=0,"CONCLUÍDO",IF(D1302&lt;corte,"HISTÓRICO",IF(OR(AND(ISNUMBER(R1302),R1302&lt;TODAY()),AND(OR(N1302="PENDENTE",N1302="PARCIAL"),D1302&lt;TODAY()-1)),"CRÍTICO",IF(OR(AND(P1302&lt;&gt;"",S1302=""),AND(N1302="REALIZADO",M1302="PENDENTE"),AND(ISNUMBER(R1302),R1302=TODAY())),"ATENÇÃO",IF(N(K1302)=0,"PENDENTE","EM ANDAMENTO"))))))</f>
        <v/>
      </c>
      <c r="C1302" s="3">
        <f>IF(D1302="","",IF(V1302=0,"🟢 OK",IF(D1302&lt;corte,"⚪ HISTÓRICO (sem baixa)",IF(AND(ISNUMBER(R1302),R1302&lt;TODAY()),"🔴 PRAZO VENCIDO",IF(AND(OR(N1302="PENDENTE",N1302="PARCIAL"),D1302&lt;TODAY()-1),"🔴 EMBARQUE ATRASADO",IF(AND(N1302="REALIZADO",M1302="PENDENTE"),"🟡 EMBARCADO SEM FATURAR",IF(AND(P1302&lt;&gt;"",S1302="",OR(Q1302="",R1302="")),"🟡 PENDÊNCIA SEM RESPONSÁVEL/PRAZO",IF(AND(ISNUMBER(R1302),R1302=TODAY()),"🟡 VENCE HOJE",IF(AND(P1302&lt;&gt;"",S1302=""),"🟡 PENDÊNCIA ABERTA",IF(AND(N(J1302)&gt;0,N(K1302)&lt;J1302),"🟡 FALTA EXECUTAR",IF(OR(M1302="PENDENTE",M1302="PARCIAL"),"🟡 FATURAMENTO PENDENTE","🟡 EMBARQUE PENDENTE")))))))))))</f>
        <v/>
      </c>
      <c r="D1302" s="4" t="n"/>
      <c r="E1302" s="5" t="n"/>
      <c r="F1302" s="5" t="n"/>
      <c r="G1302" s="5" t="n"/>
      <c r="H1302" s="5" t="n"/>
      <c r="I1302" s="5" t="n"/>
      <c r="J1302" s="6" t="n"/>
      <c r="K1302" s="6" t="n"/>
      <c r="L1302" s="7">
        <f>IF(OR(D1302="",N(J1302)=0),"",MIN(1,N(K1302)/J1302))</f>
        <v/>
      </c>
      <c r="M1302" s="5" t="n"/>
      <c r="N1302" s="5" t="n"/>
      <c r="O1302" s="5" t="n"/>
      <c r="P1302" s="5" t="n"/>
      <c r="Q1302" s="5" t="n"/>
      <c r="R1302" s="4" t="n"/>
      <c r="S1302" s="4" t="n"/>
      <c r="T1302" s="5" t="n"/>
      <c r="U1302" s="8">
        <f>IF(AND(V1302=1,D1302&lt;&gt;""),IF(D1302&gt;=corte,TODAY()-D1302,""),"")</f>
        <v/>
      </c>
      <c r="V1302" s="8">
        <f>IF(D1302="",0,IF(OR(AND(P1302&lt;&gt;"",S1302=""),AND(N(J1302)&gt;0,N(K1302)&lt;J1302),OR(M1302="PENDENTE",M1302="PARCIAL"),OR(N1302="PENDENTE",N1302="PARCIAL")),1,0))</f>
        <v/>
      </c>
      <c r="W1302" s="8">
        <f>IF(AND(V1302=1,D1302&lt;&gt;""),IF(D1302&gt;=corte,(B1302="CRÍTICO")*1E9+(100000-D1302)*10000+10000-ROW(),""),"")</f>
        <v/>
      </c>
      <c r="X1302" s="8">
        <f>IF(AND(V1302=1,D1302=pas_data,E1302=pas_turno),10000-ROW(),"")</f>
        <v/>
      </c>
    </row>
    <row r="1303">
      <c r="A1303" s="3">
        <f>IF(D1303="","","TT-"&amp;TEXT(ROW()-1,"00000"))</f>
        <v/>
      </c>
      <c r="B1303" s="3">
        <f>IF(D1303="","",IF(V1303=0,"CONCLUÍDO",IF(D1303&lt;corte,"HISTÓRICO",IF(OR(AND(ISNUMBER(R1303),R1303&lt;TODAY()),AND(OR(N1303="PENDENTE",N1303="PARCIAL"),D1303&lt;TODAY()-1)),"CRÍTICO",IF(OR(AND(P1303&lt;&gt;"",S1303=""),AND(N1303="REALIZADO",M1303="PENDENTE"),AND(ISNUMBER(R1303),R1303=TODAY())),"ATENÇÃO",IF(N(K1303)=0,"PENDENTE","EM ANDAMENTO"))))))</f>
        <v/>
      </c>
      <c r="C1303" s="3">
        <f>IF(D1303="","",IF(V1303=0,"🟢 OK",IF(D1303&lt;corte,"⚪ HISTÓRICO (sem baixa)",IF(AND(ISNUMBER(R1303),R1303&lt;TODAY()),"🔴 PRAZO VENCIDO",IF(AND(OR(N1303="PENDENTE",N1303="PARCIAL"),D1303&lt;TODAY()-1),"🔴 EMBARQUE ATRASADO",IF(AND(N1303="REALIZADO",M1303="PENDENTE"),"🟡 EMBARCADO SEM FATURAR",IF(AND(P1303&lt;&gt;"",S1303="",OR(Q1303="",R1303="")),"🟡 PENDÊNCIA SEM RESPONSÁVEL/PRAZO",IF(AND(ISNUMBER(R1303),R1303=TODAY()),"🟡 VENCE HOJE",IF(AND(P1303&lt;&gt;"",S1303=""),"🟡 PENDÊNCIA ABERTA",IF(AND(N(J1303)&gt;0,N(K1303)&lt;J1303),"🟡 FALTA EXECUTAR",IF(OR(M1303="PENDENTE",M1303="PARCIAL"),"🟡 FATURAMENTO PENDENTE","🟡 EMBARQUE PENDENTE")))))))))))</f>
        <v/>
      </c>
      <c r="D1303" s="4" t="n"/>
      <c r="E1303" s="5" t="n"/>
      <c r="F1303" s="5" t="n"/>
      <c r="G1303" s="5" t="n"/>
      <c r="H1303" s="5" t="n"/>
      <c r="I1303" s="5" t="n"/>
      <c r="J1303" s="6" t="n"/>
      <c r="K1303" s="6" t="n"/>
      <c r="L1303" s="7">
        <f>IF(OR(D1303="",N(J1303)=0),"",MIN(1,N(K1303)/J1303))</f>
        <v/>
      </c>
      <c r="M1303" s="5" t="n"/>
      <c r="N1303" s="5" t="n"/>
      <c r="O1303" s="5" t="n"/>
      <c r="P1303" s="5" t="n"/>
      <c r="Q1303" s="5" t="n"/>
      <c r="R1303" s="4" t="n"/>
      <c r="S1303" s="4" t="n"/>
      <c r="T1303" s="5" t="n"/>
      <c r="U1303" s="8">
        <f>IF(AND(V1303=1,D1303&lt;&gt;""),IF(D1303&gt;=corte,TODAY()-D1303,""),"")</f>
        <v/>
      </c>
      <c r="V1303" s="8">
        <f>IF(D1303="",0,IF(OR(AND(P1303&lt;&gt;"",S1303=""),AND(N(J1303)&gt;0,N(K1303)&lt;J1303),OR(M1303="PENDENTE",M1303="PARCIAL"),OR(N1303="PENDENTE",N1303="PARCIAL")),1,0))</f>
        <v/>
      </c>
      <c r="W1303" s="8">
        <f>IF(AND(V1303=1,D1303&lt;&gt;""),IF(D1303&gt;=corte,(B1303="CRÍTICO")*1E9+(100000-D1303)*10000+10000-ROW(),""),"")</f>
        <v/>
      </c>
      <c r="X1303" s="8">
        <f>IF(AND(V1303=1,D1303=pas_data,E1303=pas_turno),10000-ROW(),"")</f>
        <v/>
      </c>
    </row>
    <row r="1304">
      <c r="A1304" s="3">
        <f>IF(D1304="","","TT-"&amp;TEXT(ROW()-1,"00000"))</f>
        <v/>
      </c>
      <c r="B1304" s="3">
        <f>IF(D1304="","",IF(V1304=0,"CONCLUÍDO",IF(D1304&lt;corte,"HISTÓRICO",IF(OR(AND(ISNUMBER(R1304),R1304&lt;TODAY()),AND(OR(N1304="PENDENTE",N1304="PARCIAL"),D1304&lt;TODAY()-1)),"CRÍTICO",IF(OR(AND(P1304&lt;&gt;"",S1304=""),AND(N1304="REALIZADO",M1304="PENDENTE"),AND(ISNUMBER(R1304),R1304=TODAY())),"ATENÇÃO",IF(N(K1304)=0,"PENDENTE","EM ANDAMENTO"))))))</f>
        <v/>
      </c>
      <c r="C1304" s="3">
        <f>IF(D1304="","",IF(V1304=0,"🟢 OK",IF(D1304&lt;corte,"⚪ HISTÓRICO (sem baixa)",IF(AND(ISNUMBER(R1304),R1304&lt;TODAY()),"🔴 PRAZO VENCIDO",IF(AND(OR(N1304="PENDENTE",N1304="PARCIAL"),D1304&lt;TODAY()-1),"🔴 EMBARQUE ATRASADO",IF(AND(N1304="REALIZADO",M1304="PENDENTE"),"🟡 EMBARCADO SEM FATURAR",IF(AND(P1304&lt;&gt;"",S1304="",OR(Q1304="",R1304="")),"🟡 PENDÊNCIA SEM RESPONSÁVEL/PRAZO",IF(AND(ISNUMBER(R1304),R1304=TODAY()),"🟡 VENCE HOJE",IF(AND(P1304&lt;&gt;"",S1304=""),"🟡 PENDÊNCIA ABERTA",IF(AND(N(J1304)&gt;0,N(K1304)&lt;J1304),"🟡 FALTA EXECUTAR",IF(OR(M1304="PENDENTE",M1304="PARCIAL"),"🟡 FATURAMENTO PENDENTE","🟡 EMBARQUE PENDENTE")))))))))))</f>
        <v/>
      </c>
      <c r="D1304" s="4" t="n"/>
      <c r="E1304" s="5" t="n"/>
      <c r="F1304" s="5" t="n"/>
      <c r="G1304" s="5" t="n"/>
      <c r="H1304" s="5" t="n"/>
      <c r="I1304" s="5" t="n"/>
      <c r="J1304" s="6" t="n"/>
      <c r="K1304" s="6" t="n"/>
      <c r="L1304" s="7">
        <f>IF(OR(D1304="",N(J1304)=0),"",MIN(1,N(K1304)/J1304))</f>
        <v/>
      </c>
      <c r="M1304" s="5" t="n"/>
      <c r="N1304" s="5" t="n"/>
      <c r="O1304" s="5" t="n"/>
      <c r="P1304" s="5" t="n"/>
      <c r="Q1304" s="5" t="n"/>
      <c r="R1304" s="4" t="n"/>
      <c r="S1304" s="4" t="n"/>
      <c r="T1304" s="5" t="n"/>
      <c r="U1304" s="8">
        <f>IF(AND(V1304=1,D1304&lt;&gt;""),IF(D1304&gt;=corte,TODAY()-D1304,""),"")</f>
        <v/>
      </c>
      <c r="V1304" s="8">
        <f>IF(D1304="",0,IF(OR(AND(P1304&lt;&gt;"",S1304=""),AND(N(J1304)&gt;0,N(K1304)&lt;J1304),OR(M1304="PENDENTE",M1304="PARCIAL"),OR(N1304="PENDENTE",N1304="PARCIAL")),1,0))</f>
        <v/>
      </c>
      <c r="W1304" s="8">
        <f>IF(AND(V1304=1,D1304&lt;&gt;""),IF(D1304&gt;=corte,(B1304="CRÍTICO")*1E9+(100000-D1304)*10000+10000-ROW(),""),"")</f>
        <v/>
      </c>
      <c r="X1304" s="8">
        <f>IF(AND(V1304=1,D1304=pas_data,E1304=pas_turno),10000-ROW(),"")</f>
        <v/>
      </c>
    </row>
    <row r="1305">
      <c r="A1305" s="3">
        <f>IF(D1305="","","TT-"&amp;TEXT(ROW()-1,"00000"))</f>
        <v/>
      </c>
      <c r="B1305" s="3">
        <f>IF(D1305="","",IF(V1305=0,"CONCLUÍDO",IF(D1305&lt;corte,"HISTÓRICO",IF(OR(AND(ISNUMBER(R1305),R1305&lt;TODAY()),AND(OR(N1305="PENDENTE",N1305="PARCIAL"),D1305&lt;TODAY()-1)),"CRÍTICO",IF(OR(AND(P1305&lt;&gt;"",S1305=""),AND(N1305="REALIZADO",M1305="PENDENTE"),AND(ISNUMBER(R1305),R1305=TODAY())),"ATENÇÃO",IF(N(K1305)=0,"PENDENTE","EM ANDAMENTO"))))))</f>
        <v/>
      </c>
      <c r="C1305" s="3">
        <f>IF(D1305="","",IF(V1305=0,"🟢 OK",IF(D1305&lt;corte,"⚪ HISTÓRICO (sem baixa)",IF(AND(ISNUMBER(R1305),R1305&lt;TODAY()),"🔴 PRAZO VENCIDO",IF(AND(OR(N1305="PENDENTE",N1305="PARCIAL"),D1305&lt;TODAY()-1),"🔴 EMBARQUE ATRASADO",IF(AND(N1305="REALIZADO",M1305="PENDENTE"),"🟡 EMBARCADO SEM FATURAR",IF(AND(P1305&lt;&gt;"",S1305="",OR(Q1305="",R1305="")),"🟡 PENDÊNCIA SEM RESPONSÁVEL/PRAZO",IF(AND(ISNUMBER(R1305),R1305=TODAY()),"🟡 VENCE HOJE",IF(AND(P1305&lt;&gt;"",S1305=""),"🟡 PENDÊNCIA ABERTA",IF(AND(N(J1305)&gt;0,N(K1305)&lt;J1305),"🟡 FALTA EXECUTAR",IF(OR(M1305="PENDENTE",M1305="PARCIAL"),"🟡 FATURAMENTO PENDENTE","🟡 EMBARQUE PENDENTE")))))))))))</f>
        <v/>
      </c>
      <c r="D1305" s="4" t="n"/>
      <c r="E1305" s="5" t="n"/>
      <c r="F1305" s="5" t="n"/>
      <c r="G1305" s="5" t="n"/>
      <c r="H1305" s="5" t="n"/>
      <c r="I1305" s="5" t="n"/>
      <c r="J1305" s="6" t="n"/>
      <c r="K1305" s="6" t="n"/>
      <c r="L1305" s="7">
        <f>IF(OR(D1305="",N(J1305)=0),"",MIN(1,N(K1305)/J1305))</f>
        <v/>
      </c>
      <c r="M1305" s="5" t="n"/>
      <c r="N1305" s="5" t="n"/>
      <c r="O1305" s="5" t="n"/>
      <c r="P1305" s="5" t="n"/>
      <c r="Q1305" s="5" t="n"/>
      <c r="R1305" s="4" t="n"/>
      <c r="S1305" s="4" t="n"/>
      <c r="T1305" s="5" t="n"/>
      <c r="U1305" s="8">
        <f>IF(AND(V1305=1,D1305&lt;&gt;""),IF(D1305&gt;=corte,TODAY()-D1305,""),"")</f>
        <v/>
      </c>
      <c r="V1305" s="8">
        <f>IF(D1305="",0,IF(OR(AND(P1305&lt;&gt;"",S1305=""),AND(N(J1305)&gt;0,N(K1305)&lt;J1305),OR(M1305="PENDENTE",M1305="PARCIAL"),OR(N1305="PENDENTE",N1305="PARCIAL")),1,0))</f>
        <v/>
      </c>
      <c r="W1305" s="8">
        <f>IF(AND(V1305=1,D1305&lt;&gt;""),IF(D1305&gt;=corte,(B1305="CRÍTICO")*1E9+(100000-D1305)*10000+10000-ROW(),""),"")</f>
        <v/>
      </c>
      <c r="X1305" s="8">
        <f>IF(AND(V1305=1,D1305=pas_data,E1305=pas_turno),10000-ROW(),"")</f>
        <v/>
      </c>
    </row>
    <row r="1306">
      <c r="A1306" s="3">
        <f>IF(D1306="","","TT-"&amp;TEXT(ROW()-1,"00000"))</f>
        <v/>
      </c>
      <c r="B1306" s="3">
        <f>IF(D1306="","",IF(V1306=0,"CONCLUÍDO",IF(D1306&lt;corte,"HISTÓRICO",IF(OR(AND(ISNUMBER(R1306),R1306&lt;TODAY()),AND(OR(N1306="PENDENTE",N1306="PARCIAL"),D1306&lt;TODAY()-1)),"CRÍTICO",IF(OR(AND(P1306&lt;&gt;"",S1306=""),AND(N1306="REALIZADO",M1306="PENDENTE"),AND(ISNUMBER(R1306),R1306=TODAY())),"ATENÇÃO",IF(N(K1306)=0,"PENDENTE","EM ANDAMENTO"))))))</f>
        <v/>
      </c>
      <c r="C1306" s="3">
        <f>IF(D1306="","",IF(V1306=0,"🟢 OK",IF(D1306&lt;corte,"⚪ HISTÓRICO (sem baixa)",IF(AND(ISNUMBER(R1306),R1306&lt;TODAY()),"🔴 PRAZO VENCIDO",IF(AND(OR(N1306="PENDENTE",N1306="PARCIAL"),D1306&lt;TODAY()-1),"🔴 EMBARQUE ATRASADO",IF(AND(N1306="REALIZADO",M1306="PENDENTE"),"🟡 EMBARCADO SEM FATURAR",IF(AND(P1306&lt;&gt;"",S1306="",OR(Q1306="",R1306="")),"🟡 PENDÊNCIA SEM RESPONSÁVEL/PRAZO",IF(AND(ISNUMBER(R1306),R1306=TODAY()),"🟡 VENCE HOJE",IF(AND(P1306&lt;&gt;"",S1306=""),"🟡 PENDÊNCIA ABERTA",IF(AND(N(J1306)&gt;0,N(K1306)&lt;J1306),"🟡 FALTA EXECUTAR",IF(OR(M1306="PENDENTE",M1306="PARCIAL"),"🟡 FATURAMENTO PENDENTE","🟡 EMBARQUE PENDENTE")))))))))))</f>
        <v/>
      </c>
      <c r="D1306" s="4" t="n"/>
      <c r="E1306" s="5" t="n"/>
      <c r="F1306" s="5" t="n"/>
      <c r="G1306" s="5" t="n"/>
      <c r="H1306" s="5" t="n"/>
      <c r="I1306" s="5" t="n"/>
      <c r="J1306" s="6" t="n"/>
      <c r="K1306" s="6" t="n"/>
      <c r="L1306" s="7">
        <f>IF(OR(D1306="",N(J1306)=0),"",MIN(1,N(K1306)/J1306))</f>
        <v/>
      </c>
      <c r="M1306" s="5" t="n"/>
      <c r="N1306" s="5" t="n"/>
      <c r="O1306" s="5" t="n"/>
      <c r="P1306" s="5" t="n"/>
      <c r="Q1306" s="5" t="n"/>
      <c r="R1306" s="4" t="n"/>
      <c r="S1306" s="4" t="n"/>
      <c r="T1306" s="5" t="n"/>
      <c r="U1306" s="8">
        <f>IF(AND(V1306=1,D1306&lt;&gt;""),IF(D1306&gt;=corte,TODAY()-D1306,""),"")</f>
        <v/>
      </c>
      <c r="V1306" s="8">
        <f>IF(D1306="",0,IF(OR(AND(P1306&lt;&gt;"",S1306=""),AND(N(J1306)&gt;0,N(K1306)&lt;J1306),OR(M1306="PENDENTE",M1306="PARCIAL"),OR(N1306="PENDENTE",N1306="PARCIAL")),1,0))</f>
        <v/>
      </c>
      <c r="W1306" s="8">
        <f>IF(AND(V1306=1,D1306&lt;&gt;""),IF(D1306&gt;=corte,(B1306="CRÍTICO")*1E9+(100000-D1306)*10000+10000-ROW(),""),"")</f>
        <v/>
      </c>
      <c r="X1306" s="8">
        <f>IF(AND(V1306=1,D1306=pas_data,E1306=pas_turno),10000-ROW(),"")</f>
        <v/>
      </c>
    </row>
    <row r="1307">
      <c r="A1307" s="3">
        <f>IF(D1307="","","TT-"&amp;TEXT(ROW()-1,"00000"))</f>
        <v/>
      </c>
      <c r="B1307" s="3">
        <f>IF(D1307="","",IF(V1307=0,"CONCLUÍDO",IF(D1307&lt;corte,"HISTÓRICO",IF(OR(AND(ISNUMBER(R1307),R1307&lt;TODAY()),AND(OR(N1307="PENDENTE",N1307="PARCIAL"),D1307&lt;TODAY()-1)),"CRÍTICO",IF(OR(AND(P1307&lt;&gt;"",S1307=""),AND(N1307="REALIZADO",M1307="PENDENTE"),AND(ISNUMBER(R1307),R1307=TODAY())),"ATENÇÃO",IF(N(K1307)=0,"PENDENTE","EM ANDAMENTO"))))))</f>
        <v/>
      </c>
      <c r="C1307" s="3">
        <f>IF(D1307="","",IF(V1307=0,"🟢 OK",IF(D1307&lt;corte,"⚪ HISTÓRICO (sem baixa)",IF(AND(ISNUMBER(R1307),R1307&lt;TODAY()),"🔴 PRAZO VENCIDO",IF(AND(OR(N1307="PENDENTE",N1307="PARCIAL"),D1307&lt;TODAY()-1),"🔴 EMBARQUE ATRASADO",IF(AND(N1307="REALIZADO",M1307="PENDENTE"),"🟡 EMBARCADO SEM FATURAR",IF(AND(P1307&lt;&gt;"",S1307="",OR(Q1307="",R1307="")),"🟡 PENDÊNCIA SEM RESPONSÁVEL/PRAZO",IF(AND(ISNUMBER(R1307),R1307=TODAY()),"🟡 VENCE HOJE",IF(AND(P1307&lt;&gt;"",S1307=""),"🟡 PENDÊNCIA ABERTA",IF(AND(N(J1307)&gt;0,N(K1307)&lt;J1307),"🟡 FALTA EXECUTAR",IF(OR(M1307="PENDENTE",M1307="PARCIAL"),"🟡 FATURAMENTO PENDENTE","🟡 EMBARQUE PENDENTE")))))))))))</f>
        <v/>
      </c>
      <c r="D1307" s="4" t="n"/>
      <c r="E1307" s="5" t="n"/>
      <c r="F1307" s="5" t="n"/>
      <c r="G1307" s="5" t="n"/>
      <c r="H1307" s="5" t="n"/>
      <c r="I1307" s="5" t="n"/>
      <c r="J1307" s="6" t="n"/>
      <c r="K1307" s="6" t="n"/>
      <c r="L1307" s="7">
        <f>IF(OR(D1307="",N(J1307)=0),"",MIN(1,N(K1307)/J1307))</f>
        <v/>
      </c>
      <c r="M1307" s="5" t="n"/>
      <c r="N1307" s="5" t="n"/>
      <c r="O1307" s="5" t="n"/>
      <c r="P1307" s="5" t="n"/>
      <c r="Q1307" s="5" t="n"/>
      <c r="R1307" s="4" t="n"/>
      <c r="S1307" s="4" t="n"/>
      <c r="T1307" s="5" t="n"/>
      <c r="U1307" s="8">
        <f>IF(AND(V1307=1,D1307&lt;&gt;""),IF(D1307&gt;=corte,TODAY()-D1307,""),"")</f>
        <v/>
      </c>
      <c r="V1307" s="8">
        <f>IF(D1307="",0,IF(OR(AND(P1307&lt;&gt;"",S1307=""),AND(N(J1307)&gt;0,N(K1307)&lt;J1307),OR(M1307="PENDENTE",M1307="PARCIAL"),OR(N1307="PENDENTE",N1307="PARCIAL")),1,0))</f>
        <v/>
      </c>
      <c r="W1307" s="8">
        <f>IF(AND(V1307=1,D1307&lt;&gt;""),IF(D1307&gt;=corte,(B1307="CRÍTICO")*1E9+(100000-D1307)*10000+10000-ROW(),""),"")</f>
        <v/>
      </c>
      <c r="X1307" s="8">
        <f>IF(AND(V1307=1,D1307=pas_data,E1307=pas_turno),10000-ROW(),"")</f>
        <v/>
      </c>
    </row>
    <row r="1308">
      <c r="A1308" s="3">
        <f>IF(D1308="","","TT-"&amp;TEXT(ROW()-1,"00000"))</f>
        <v/>
      </c>
      <c r="B1308" s="3">
        <f>IF(D1308="","",IF(V1308=0,"CONCLUÍDO",IF(D1308&lt;corte,"HISTÓRICO",IF(OR(AND(ISNUMBER(R1308),R1308&lt;TODAY()),AND(OR(N1308="PENDENTE",N1308="PARCIAL"),D1308&lt;TODAY()-1)),"CRÍTICO",IF(OR(AND(P1308&lt;&gt;"",S1308=""),AND(N1308="REALIZADO",M1308="PENDENTE"),AND(ISNUMBER(R1308),R1308=TODAY())),"ATENÇÃO",IF(N(K1308)=0,"PENDENTE","EM ANDAMENTO"))))))</f>
        <v/>
      </c>
      <c r="C1308" s="3">
        <f>IF(D1308="","",IF(V1308=0,"🟢 OK",IF(D1308&lt;corte,"⚪ HISTÓRICO (sem baixa)",IF(AND(ISNUMBER(R1308),R1308&lt;TODAY()),"🔴 PRAZO VENCIDO",IF(AND(OR(N1308="PENDENTE",N1308="PARCIAL"),D1308&lt;TODAY()-1),"🔴 EMBARQUE ATRASADO",IF(AND(N1308="REALIZADO",M1308="PENDENTE"),"🟡 EMBARCADO SEM FATURAR",IF(AND(P1308&lt;&gt;"",S1308="",OR(Q1308="",R1308="")),"🟡 PENDÊNCIA SEM RESPONSÁVEL/PRAZO",IF(AND(ISNUMBER(R1308),R1308=TODAY()),"🟡 VENCE HOJE",IF(AND(P1308&lt;&gt;"",S1308=""),"🟡 PENDÊNCIA ABERTA",IF(AND(N(J1308)&gt;0,N(K1308)&lt;J1308),"🟡 FALTA EXECUTAR",IF(OR(M1308="PENDENTE",M1308="PARCIAL"),"🟡 FATURAMENTO PENDENTE","🟡 EMBARQUE PENDENTE")))))))))))</f>
        <v/>
      </c>
      <c r="D1308" s="4" t="n"/>
      <c r="E1308" s="5" t="n"/>
      <c r="F1308" s="5" t="n"/>
      <c r="G1308" s="5" t="n"/>
      <c r="H1308" s="5" t="n"/>
      <c r="I1308" s="5" t="n"/>
      <c r="J1308" s="6" t="n"/>
      <c r="K1308" s="6" t="n"/>
      <c r="L1308" s="7">
        <f>IF(OR(D1308="",N(J1308)=0),"",MIN(1,N(K1308)/J1308))</f>
        <v/>
      </c>
      <c r="M1308" s="5" t="n"/>
      <c r="N1308" s="5" t="n"/>
      <c r="O1308" s="5" t="n"/>
      <c r="P1308" s="5" t="n"/>
      <c r="Q1308" s="5" t="n"/>
      <c r="R1308" s="4" t="n"/>
      <c r="S1308" s="4" t="n"/>
      <c r="T1308" s="5" t="n"/>
      <c r="U1308" s="8">
        <f>IF(AND(V1308=1,D1308&lt;&gt;""),IF(D1308&gt;=corte,TODAY()-D1308,""),"")</f>
        <v/>
      </c>
      <c r="V1308" s="8">
        <f>IF(D1308="",0,IF(OR(AND(P1308&lt;&gt;"",S1308=""),AND(N(J1308)&gt;0,N(K1308)&lt;J1308),OR(M1308="PENDENTE",M1308="PARCIAL"),OR(N1308="PENDENTE",N1308="PARCIAL")),1,0))</f>
        <v/>
      </c>
      <c r="W1308" s="8">
        <f>IF(AND(V1308=1,D1308&lt;&gt;""),IF(D1308&gt;=corte,(B1308="CRÍTICO")*1E9+(100000-D1308)*10000+10000-ROW(),""),"")</f>
        <v/>
      </c>
      <c r="X1308" s="8">
        <f>IF(AND(V1308=1,D1308=pas_data,E1308=pas_turno),10000-ROW(),"")</f>
        <v/>
      </c>
    </row>
    <row r="1309">
      <c r="A1309" s="3">
        <f>IF(D1309="","","TT-"&amp;TEXT(ROW()-1,"00000"))</f>
        <v/>
      </c>
      <c r="B1309" s="3">
        <f>IF(D1309="","",IF(V1309=0,"CONCLUÍDO",IF(D1309&lt;corte,"HISTÓRICO",IF(OR(AND(ISNUMBER(R1309),R1309&lt;TODAY()),AND(OR(N1309="PENDENTE",N1309="PARCIAL"),D1309&lt;TODAY()-1)),"CRÍTICO",IF(OR(AND(P1309&lt;&gt;"",S1309=""),AND(N1309="REALIZADO",M1309="PENDENTE"),AND(ISNUMBER(R1309),R1309=TODAY())),"ATENÇÃO",IF(N(K1309)=0,"PENDENTE","EM ANDAMENTO"))))))</f>
        <v/>
      </c>
      <c r="C1309" s="3">
        <f>IF(D1309="","",IF(V1309=0,"🟢 OK",IF(D1309&lt;corte,"⚪ HISTÓRICO (sem baixa)",IF(AND(ISNUMBER(R1309),R1309&lt;TODAY()),"🔴 PRAZO VENCIDO",IF(AND(OR(N1309="PENDENTE",N1309="PARCIAL"),D1309&lt;TODAY()-1),"🔴 EMBARQUE ATRASADO",IF(AND(N1309="REALIZADO",M1309="PENDENTE"),"🟡 EMBARCADO SEM FATURAR",IF(AND(P1309&lt;&gt;"",S1309="",OR(Q1309="",R1309="")),"🟡 PENDÊNCIA SEM RESPONSÁVEL/PRAZO",IF(AND(ISNUMBER(R1309),R1309=TODAY()),"🟡 VENCE HOJE",IF(AND(P1309&lt;&gt;"",S1309=""),"🟡 PENDÊNCIA ABERTA",IF(AND(N(J1309)&gt;0,N(K1309)&lt;J1309),"🟡 FALTA EXECUTAR",IF(OR(M1309="PENDENTE",M1309="PARCIAL"),"🟡 FATURAMENTO PENDENTE","🟡 EMBARQUE PENDENTE")))))))))))</f>
        <v/>
      </c>
      <c r="D1309" s="4" t="n"/>
      <c r="E1309" s="5" t="n"/>
      <c r="F1309" s="5" t="n"/>
      <c r="G1309" s="5" t="n"/>
      <c r="H1309" s="5" t="n"/>
      <c r="I1309" s="5" t="n"/>
      <c r="J1309" s="6" t="n"/>
      <c r="K1309" s="6" t="n"/>
      <c r="L1309" s="7">
        <f>IF(OR(D1309="",N(J1309)=0),"",MIN(1,N(K1309)/J1309))</f>
        <v/>
      </c>
      <c r="M1309" s="5" t="n"/>
      <c r="N1309" s="5" t="n"/>
      <c r="O1309" s="5" t="n"/>
      <c r="P1309" s="5" t="n"/>
      <c r="Q1309" s="5" t="n"/>
      <c r="R1309" s="4" t="n"/>
      <c r="S1309" s="4" t="n"/>
      <c r="T1309" s="5" t="n"/>
      <c r="U1309" s="8">
        <f>IF(AND(V1309=1,D1309&lt;&gt;""),IF(D1309&gt;=corte,TODAY()-D1309,""),"")</f>
        <v/>
      </c>
      <c r="V1309" s="8">
        <f>IF(D1309="",0,IF(OR(AND(P1309&lt;&gt;"",S1309=""),AND(N(J1309)&gt;0,N(K1309)&lt;J1309),OR(M1309="PENDENTE",M1309="PARCIAL"),OR(N1309="PENDENTE",N1309="PARCIAL")),1,0))</f>
        <v/>
      </c>
      <c r="W1309" s="8">
        <f>IF(AND(V1309=1,D1309&lt;&gt;""),IF(D1309&gt;=corte,(B1309="CRÍTICO")*1E9+(100000-D1309)*10000+10000-ROW(),""),"")</f>
        <v/>
      </c>
      <c r="X1309" s="8">
        <f>IF(AND(V1309=1,D1309=pas_data,E1309=pas_turno),10000-ROW(),"")</f>
        <v/>
      </c>
    </row>
    <row r="1310">
      <c r="A1310" s="3">
        <f>IF(D1310="","","TT-"&amp;TEXT(ROW()-1,"00000"))</f>
        <v/>
      </c>
      <c r="B1310" s="3">
        <f>IF(D1310="","",IF(V1310=0,"CONCLUÍDO",IF(D1310&lt;corte,"HISTÓRICO",IF(OR(AND(ISNUMBER(R1310),R1310&lt;TODAY()),AND(OR(N1310="PENDENTE",N1310="PARCIAL"),D1310&lt;TODAY()-1)),"CRÍTICO",IF(OR(AND(P1310&lt;&gt;"",S1310=""),AND(N1310="REALIZADO",M1310="PENDENTE"),AND(ISNUMBER(R1310),R1310=TODAY())),"ATENÇÃO",IF(N(K1310)=0,"PENDENTE","EM ANDAMENTO"))))))</f>
        <v/>
      </c>
      <c r="C1310" s="3">
        <f>IF(D1310="","",IF(V1310=0,"🟢 OK",IF(D1310&lt;corte,"⚪ HISTÓRICO (sem baixa)",IF(AND(ISNUMBER(R1310),R1310&lt;TODAY()),"🔴 PRAZO VENCIDO",IF(AND(OR(N1310="PENDENTE",N1310="PARCIAL"),D1310&lt;TODAY()-1),"🔴 EMBARQUE ATRASADO",IF(AND(N1310="REALIZADO",M1310="PENDENTE"),"🟡 EMBARCADO SEM FATURAR",IF(AND(P1310&lt;&gt;"",S1310="",OR(Q1310="",R1310="")),"🟡 PENDÊNCIA SEM RESPONSÁVEL/PRAZO",IF(AND(ISNUMBER(R1310),R1310=TODAY()),"🟡 VENCE HOJE",IF(AND(P1310&lt;&gt;"",S1310=""),"🟡 PENDÊNCIA ABERTA",IF(AND(N(J1310)&gt;0,N(K1310)&lt;J1310),"🟡 FALTA EXECUTAR",IF(OR(M1310="PENDENTE",M1310="PARCIAL"),"🟡 FATURAMENTO PENDENTE","🟡 EMBARQUE PENDENTE")))))))))))</f>
        <v/>
      </c>
      <c r="D1310" s="4" t="n"/>
      <c r="E1310" s="5" t="n"/>
      <c r="F1310" s="5" t="n"/>
      <c r="G1310" s="5" t="n"/>
      <c r="H1310" s="5" t="n"/>
      <c r="I1310" s="5" t="n"/>
      <c r="J1310" s="6" t="n"/>
      <c r="K1310" s="6" t="n"/>
      <c r="L1310" s="7">
        <f>IF(OR(D1310="",N(J1310)=0),"",MIN(1,N(K1310)/J1310))</f>
        <v/>
      </c>
      <c r="M1310" s="5" t="n"/>
      <c r="N1310" s="5" t="n"/>
      <c r="O1310" s="5" t="n"/>
      <c r="P1310" s="5" t="n"/>
      <c r="Q1310" s="5" t="n"/>
      <c r="R1310" s="4" t="n"/>
      <c r="S1310" s="4" t="n"/>
      <c r="T1310" s="5" t="n"/>
      <c r="U1310" s="8">
        <f>IF(AND(V1310=1,D1310&lt;&gt;""),IF(D1310&gt;=corte,TODAY()-D1310,""),"")</f>
        <v/>
      </c>
      <c r="V1310" s="8">
        <f>IF(D1310="",0,IF(OR(AND(P1310&lt;&gt;"",S1310=""),AND(N(J1310)&gt;0,N(K1310)&lt;J1310),OR(M1310="PENDENTE",M1310="PARCIAL"),OR(N1310="PENDENTE",N1310="PARCIAL")),1,0))</f>
        <v/>
      </c>
      <c r="W1310" s="8">
        <f>IF(AND(V1310=1,D1310&lt;&gt;""),IF(D1310&gt;=corte,(B1310="CRÍTICO")*1E9+(100000-D1310)*10000+10000-ROW(),""),"")</f>
        <v/>
      </c>
      <c r="X1310" s="8">
        <f>IF(AND(V1310=1,D1310=pas_data,E1310=pas_turno),10000-ROW(),"")</f>
        <v/>
      </c>
    </row>
    <row r="1311">
      <c r="A1311" s="3">
        <f>IF(D1311="","","TT-"&amp;TEXT(ROW()-1,"00000"))</f>
        <v/>
      </c>
      <c r="B1311" s="3">
        <f>IF(D1311="","",IF(V1311=0,"CONCLUÍDO",IF(D1311&lt;corte,"HISTÓRICO",IF(OR(AND(ISNUMBER(R1311),R1311&lt;TODAY()),AND(OR(N1311="PENDENTE",N1311="PARCIAL"),D1311&lt;TODAY()-1)),"CRÍTICO",IF(OR(AND(P1311&lt;&gt;"",S1311=""),AND(N1311="REALIZADO",M1311="PENDENTE"),AND(ISNUMBER(R1311),R1311=TODAY())),"ATENÇÃO",IF(N(K1311)=0,"PENDENTE","EM ANDAMENTO"))))))</f>
        <v/>
      </c>
      <c r="C1311" s="3">
        <f>IF(D1311="","",IF(V1311=0,"🟢 OK",IF(D1311&lt;corte,"⚪ HISTÓRICO (sem baixa)",IF(AND(ISNUMBER(R1311),R1311&lt;TODAY()),"🔴 PRAZO VENCIDO",IF(AND(OR(N1311="PENDENTE",N1311="PARCIAL"),D1311&lt;TODAY()-1),"🔴 EMBARQUE ATRASADO",IF(AND(N1311="REALIZADO",M1311="PENDENTE"),"🟡 EMBARCADO SEM FATURAR",IF(AND(P1311&lt;&gt;"",S1311="",OR(Q1311="",R1311="")),"🟡 PENDÊNCIA SEM RESPONSÁVEL/PRAZO",IF(AND(ISNUMBER(R1311),R1311=TODAY()),"🟡 VENCE HOJE",IF(AND(P1311&lt;&gt;"",S1311=""),"🟡 PENDÊNCIA ABERTA",IF(AND(N(J1311)&gt;0,N(K1311)&lt;J1311),"🟡 FALTA EXECUTAR",IF(OR(M1311="PENDENTE",M1311="PARCIAL"),"🟡 FATURAMENTO PENDENTE","🟡 EMBARQUE PENDENTE")))))))))))</f>
        <v/>
      </c>
      <c r="D1311" s="4" t="n"/>
      <c r="E1311" s="5" t="n"/>
      <c r="F1311" s="5" t="n"/>
      <c r="G1311" s="5" t="n"/>
      <c r="H1311" s="5" t="n"/>
      <c r="I1311" s="5" t="n"/>
      <c r="J1311" s="6" t="n"/>
      <c r="K1311" s="6" t="n"/>
      <c r="L1311" s="7">
        <f>IF(OR(D1311="",N(J1311)=0),"",MIN(1,N(K1311)/J1311))</f>
        <v/>
      </c>
      <c r="M1311" s="5" t="n"/>
      <c r="N1311" s="5" t="n"/>
      <c r="O1311" s="5" t="n"/>
      <c r="P1311" s="5" t="n"/>
      <c r="Q1311" s="5" t="n"/>
      <c r="R1311" s="4" t="n"/>
      <c r="S1311" s="4" t="n"/>
      <c r="T1311" s="5" t="n"/>
      <c r="U1311" s="8">
        <f>IF(AND(V1311=1,D1311&lt;&gt;""),IF(D1311&gt;=corte,TODAY()-D1311,""),"")</f>
        <v/>
      </c>
      <c r="V1311" s="8">
        <f>IF(D1311="",0,IF(OR(AND(P1311&lt;&gt;"",S1311=""),AND(N(J1311)&gt;0,N(K1311)&lt;J1311),OR(M1311="PENDENTE",M1311="PARCIAL"),OR(N1311="PENDENTE",N1311="PARCIAL")),1,0))</f>
        <v/>
      </c>
      <c r="W1311" s="8">
        <f>IF(AND(V1311=1,D1311&lt;&gt;""),IF(D1311&gt;=corte,(B1311="CRÍTICO")*1E9+(100000-D1311)*10000+10000-ROW(),""),"")</f>
        <v/>
      </c>
      <c r="X1311" s="8">
        <f>IF(AND(V1311=1,D1311=pas_data,E1311=pas_turno),10000-ROW(),"")</f>
        <v/>
      </c>
    </row>
    <row r="1312">
      <c r="A1312" s="3">
        <f>IF(D1312="","","TT-"&amp;TEXT(ROW()-1,"00000"))</f>
        <v/>
      </c>
      <c r="B1312" s="3">
        <f>IF(D1312="","",IF(V1312=0,"CONCLUÍDO",IF(D1312&lt;corte,"HISTÓRICO",IF(OR(AND(ISNUMBER(R1312),R1312&lt;TODAY()),AND(OR(N1312="PENDENTE",N1312="PARCIAL"),D1312&lt;TODAY()-1)),"CRÍTICO",IF(OR(AND(P1312&lt;&gt;"",S1312=""),AND(N1312="REALIZADO",M1312="PENDENTE"),AND(ISNUMBER(R1312),R1312=TODAY())),"ATENÇÃO",IF(N(K1312)=0,"PENDENTE","EM ANDAMENTO"))))))</f>
        <v/>
      </c>
      <c r="C1312" s="3">
        <f>IF(D1312="","",IF(V1312=0,"🟢 OK",IF(D1312&lt;corte,"⚪ HISTÓRICO (sem baixa)",IF(AND(ISNUMBER(R1312),R1312&lt;TODAY()),"🔴 PRAZO VENCIDO",IF(AND(OR(N1312="PENDENTE",N1312="PARCIAL"),D1312&lt;TODAY()-1),"🔴 EMBARQUE ATRASADO",IF(AND(N1312="REALIZADO",M1312="PENDENTE"),"🟡 EMBARCADO SEM FATURAR",IF(AND(P1312&lt;&gt;"",S1312="",OR(Q1312="",R1312="")),"🟡 PENDÊNCIA SEM RESPONSÁVEL/PRAZO",IF(AND(ISNUMBER(R1312),R1312=TODAY()),"🟡 VENCE HOJE",IF(AND(P1312&lt;&gt;"",S1312=""),"🟡 PENDÊNCIA ABERTA",IF(AND(N(J1312)&gt;0,N(K1312)&lt;J1312),"🟡 FALTA EXECUTAR",IF(OR(M1312="PENDENTE",M1312="PARCIAL"),"🟡 FATURAMENTO PENDENTE","🟡 EMBARQUE PENDENTE")))))))))))</f>
        <v/>
      </c>
      <c r="D1312" s="4" t="n"/>
      <c r="E1312" s="5" t="n"/>
      <c r="F1312" s="5" t="n"/>
      <c r="G1312" s="5" t="n"/>
      <c r="H1312" s="5" t="n"/>
      <c r="I1312" s="5" t="n"/>
      <c r="J1312" s="6" t="n"/>
      <c r="K1312" s="6" t="n"/>
      <c r="L1312" s="7">
        <f>IF(OR(D1312="",N(J1312)=0),"",MIN(1,N(K1312)/J1312))</f>
        <v/>
      </c>
      <c r="M1312" s="5" t="n"/>
      <c r="N1312" s="5" t="n"/>
      <c r="O1312" s="5" t="n"/>
      <c r="P1312" s="5" t="n"/>
      <c r="Q1312" s="5" t="n"/>
      <c r="R1312" s="4" t="n"/>
      <c r="S1312" s="4" t="n"/>
      <c r="T1312" s="5" t="n"/>
      <c r="U1312" s="8">
        <f>IF(AND(V1312=1,D1312&lt;&gt;""),IF(D1312&gt;=corte,TODAY()-D1312,""),"")</f>
        <v/>
      </c>
      <c r="V1312" s="8">
        <f>IF(D1312="",0,IF(OR(AND(P1312&lt;&gt;"",S1312=""),AND(N(J1312)&gt;0,N(K1312)&lt;J1312),OR(M1312="PENDENTE",M1312="PARCIAL"),OR(N1312="PENDENTE",N1312="PARCIAL")),1,0))</f>
        <v/>
      </c>
      <c r="W1312" s="8">
        <f>IF(AND(V1312=1,D1312&lt;&gt;""),IF(D1312&gt;=corte,(B1312="CRÍTICO")*1E9+(100000-D1312)*10000+10000-ROW(),""),"")</f>
        <v/>
      </c>
      <c r="X1312" s="8">
        <f>IF(AND(V1312=1,D1312=pas_data,E1312=pas_turno),10000-ROW(),"")</f>
        <v/>
      </c>
    </row>
    <row r="1313">
      <c r="A1313" s="3">
        <f>IF(D1313="","","TT-"&amp;TEXT(ROW()-1,"00000"))</f>
        <v/>
      </c>
      <c r="B1313" s="3">
        <f>IF(D1313="","",IF(V1313=0,"CONCLUÍDO",IF(D1313&lt;corte,"HISTÓRICO",IF(OR(AND(ISNUMBER(R1313),R1313&lt;TODAY()),AND(OR(N1313="PENDENTE",N1313="PARCIAL"),D1313&lt;TODAY()-1)),"CRÍTICO",IF(OR(AND(P1313&lt;&gt;"",S1313=""),AND(N1313="REALIZADO",M1313="PENDENTE"),AND(ISNUMBER(R1313),R1313=TODAY())),"ATENÇÃO",IF(N(K1313)=0,"PENDENTE","EM ANDAMENTO"))))))</f>
        <v/>
      </c>
      <c r="C1313" s="3">
        <f>IF(D1313="","",IF(V1313=0,"🟢 OK",IF(D1313&lt;corte,"⚪ HISTÓRICO (sem baixa)",IF(AND(ISNUMBER(R1313),R1313&lt;TODAY()),"🔴 PRAZO VENCIDO",IF(AND(OR(N1313="PENDENTE",N1313="PARCIAL"),D1313&lt;TODAY()-1),"🔴 EMBARQUE ATRASADO",IF(AND(N1313="REALIZADO",M1313="PENDENTE"),"🟡 EMBARCADO SEM FATURAR",IF(AND(P1313&lt;&gt;"",S1313="",OR(Q1313="",R1313="")),"🟡 PENDÊNCIA SEM RESPONSÁVEL/PRAZO",IF(AND(ISNUMBER(R1313),R1313=TODAY()),"🟡 VENCE HOJE",IF(AND(P1313&lt;&gt;"",S1313=""),"🟡 PENDÊNCIA ABERTA",IF(AND(N(J1313)&gt;0,N(K1313)&lt;J1313),"🟡 FALTA EXECUTAR",IF(OR(M1313="PENDENTE",M1313="PARCIAL"),"🟡 FATURAMENTO PENDENTE","🟡 EMBARQUE PENDENTE")))))))))))</f>
        <v/>
      </c>
      <c r="D1313" s="4" t="n"/>
      <c r="E1313" s="5" t="n"/>
      <c r="F1313" s="5" t="n"/>
      <c r="G1313" s="5" t="n"/>
      <c r="H1313" s="5" t="n"/>
      <c r="I1313" s="5" t="n"/>
      <c r="J1313" s="6" t="n"/>
      <c r="K1313" s="6" t="n"/>
      <c r="L1313" s="7">
        <f>IF(OR(D1313="",N(J1313)=0),"",MIN(1,N(K1313)/J1313))</f>
        <v/>
      </c>
      <c r="M1313" s="5" t="n"/>
      <c r="N1313" s="5" t="n"/>
      <c r="O1313" s="5" t="n"/>
      <c r="P1313" s="5" t="n"/>
      <c r="Q1313" s="5" t="n"/>
      <c r="R1313" s="4" t="n"/>
      <c r="S1313" s="4" t="n"/>
      <c r="T1313" s="5" t="n"/>
      <c r="U1313" s="8">
        <f>IF(AND(V1313=1,D1313&lt;&gt;""),IF(D1313&gt;=corte,TODAY()-D1313,""),"")</f>
        <v/>
      </c>
      <c r="V1313" s="8">
        <f>IF(D1313="",0,IF(OR(AND(P1313&lt;&gt;"",S1313=""),AND(N(J1313)&gt;0,N(K1313)&lt;J1313),OR(M1313="PENDENTE",M1313="PARCIAL"),OR(N1313="PENDENTE",N1313="PARCIAL")),1,0))</f>
        <v/>
      </c>
      <c r="W1313" s="8">
        <f>IF(AND(V1313=1,D1313&lt;&gt;""),IF(D1313&gt;=corte,(B1313="CRÍTICO")*1E9+(100000-D1313)*10000+10000-ROW(),""),"")</f>
        <v/>
      </c>
      <c r="X1313" s="8">
        <f>IF(AND(V1313=1,D1313=pas_data,E1313=pas_turno),10000-ROW(),"")</f>
        <v/>
      </c>
    </row>
    <row r="1314">
      <c r="A1314" s="3">
        <f>IF(D1314="","","TT-"&amp;TEXT(ROW()-1,"00000"))</f>
        <v/>
      </c>
      <c r="B1314" s="3">
        <f>IF(D1314="","",IF(V1314=0,"CONCLUÍDO",IF(D1314&lt;corte,"HISTÓRICO",IF(OR(AND(ISNUMBER(R1314),R1314&lt;TODAY()),AND(OR(N1314="PENDENTE",N1314="PARCIAL"),D1314&lt;TODAY()-1)),"CRÍTICO",IF(OR(AND(P1314&lt;&gt;"",S1314=""),AND(N1314="REALIZADO",M1314="PENDENTE"),AND(ISNUMBER(R1314),R1314=TODAY())),"ATENÇÃO",IF(N(K1314)=0,"PENDENTE","EM ANDAMENTO"))))))</f>
        <v/>
      </c>
      <c r="C1314" s="3">
        <f>IF(D1314="","",IF(V1314=0,"🟢 OK",IF(D1314&lt;corte,"⚪ HISTÓRICO (sem baixa)",IF(AND(ISNUMBER(R1314),R1314&lt;TODAY()),"🔴 PRAZO VENCIDO",IF(AND(OR(N1314="PENDENTE",N1314="PARCIAL"),D1314&lt;TODAY()-1),"🔴 EMBARQUE ATRASADO",IF(AND(N1314="REALIZADO",M1314="PENDENTE"),"🟡 EMBARCADO SEM FATURAR",IF(AND(P1314&lt;&gt;"",S1314="",OR(Q1314="",R1314="")),"🟡 PENDÊNCIA SEM RESPONSÁVEL/PRAZO",IF(AND(ISNUMBER(R1314),R1314=TODAY()),"🟡 VENCE HOJE",IF(AND(P1314&lt;&gt;"",S1314=""),"🟡 PENDÊNCIA ABERTA",IF(AND(N(J1314)&gt;0,N(K1314)&lt;J1314),"🟡 FALTA EXECUTAR",IF(OR(M1314="PENDENTE",M1314="PARCIAL"),"🟡 FATURAMENTO PENDENTE","🟡 EMBARQUE PENDENTE")))))))))))</f>
        <v/>
      </c>
      <c r="D1314" s="4" t="n"/>
      <c r="E1314" s="5" t="n"/>
      <c r="F1314" s="5" t="n"/>
      <c r="G1314" s="5" t="n"/>
      <c r="H1314" s="5" t="n"/>
      <c r="I1314" s="5" t="n"/>
      <c r="J1314" s="6" t="n"/>
      <c r="K1314" s="6" t="n"/>
      <c r="L1314" s="7">
        <f>IF(OR(D1314="",N(J1314)=0),"",MIN(1,N(K1314)/J1314))</f>
        <v/>
      </c>
      <c r="M1314" s="5" t="n"/>
      <c r="N1314" s="5" t="n"/>
      <c r="O1314" s="5" t="n"/>
      <c r="P1314" s="5" t="n"/>
      <c r="Q1314" s="5" t="n"/>
      <c r="R1314" s="4" t="n"/>
      <c r="S1314" s="4" t="n"/>
      <c r="T1314" s="5" t="n"/>
      <c r="U1314" s="8">
        <f>IF(AND(V1314=1,D1314&lt;&gt;""),IF(D1314&gt;=corte,TODAY()-D1314,""),"")</f>
        <v/>
      </c>
      <c r="V1314" s="8">
        <f>IF(D1314="",0,IF(OR(AND(P1314&lt;&gt;"",S1314=""),AND(N(J1314)&gt;0,N(K1314)&lt;J1314),OR(M1314="PENDENTE",M1314="PARCIAL"),OR(N1314="PENDENTE",N1314="PARCIAL")),1,0))</f>
        <v/>
      </c>
      <c r="W1314" s="8">
        <f>IF(AND(V1314=1,D1314&lt;&gt;""),IF(D1314&gt;=corte,(B1314="CRÍTICO")*1E9+(100000-D1314)*10000+10000-ROW(),""),"")</f>
        <v/>
      </c>
      <c r="X1314" s="8">
        <f>IF(AND(V1314=1,D1314=pas_data,E1314=pas_turno),10000-ROW(),"")</f>
        <v/>
      </c>
    </row>
    <row r="1315">
      <c r="A1315" s="3">
        <f>IF(D1315="","","TT-"&amp;TEXT(ROW()-1,"00000"))</f>
        <v/>
      </c>
      <c r="B1315" s="3">
        <f>IF(D1315="","",IF(V1315=0,"CONCLUÍDO",IF(D1315&lt;corte,"HISTÓRICO",IF(OR(AND(ISNUMBER(R1315),R1315&lt;TODAY()),AND(OR(N1315="PENDENTE",N1315="PARCIAL"),D1315&lt;TODAY()-1)),"CRÍTICO",IF(OR(AND(P1315&lt;&gt;"",S1315=""),AND(N1315="REALIZADO",M1315="PENDENTE"),AND(ISNUMBER(R1315),R1315=TODAY())),"ATENÇÃO",IF(N(K1315)=0,"PENDENTE","EM ANDAMENTO"))))))</f>
        <v/>
      </c>
      <c r="C1315" s="3">
        <f>IF(D1315="","",IF(V1315=0,"🟢 OK",IF(D1315&lt;corte,"⚪ HISTÓRICO (sem baixa)",IF(AND(ISNUMBER(R1315),R1315&lt;TODAY()),"🔴 PRAZO VENCIDO",IF(AND(OR(N1315="PENDENTE",N1315="PARCIAL"),D1315&lt;TODAY()-1),"🔴 EMBARQUE ATRASADO",IF(AND(N1315="REALIZADO",M1315="PENDENTE"),"🟡 EMBARCADO SEM FATURAR",IF(AND(P1315&lt;&gt;"",S1315="",OR(Q1315="",R1315="")),"🟡 PENDÊNCIA SEM RESPONSÁVEL/PRAZO",IF(AND(ISNUMBER(R1315),R1315=TODAY()),"🟡 VENCE HOJE",IF(AND(P1315&lt;&gt;"",S1315=""),"🟡 PENDÊNCIA ABERTA",IF(AND(N(J1315)&gt;0,N(K1315)&lt;J1315),"🟡 FALTA EXECUTAR",IF(OR(M1315="PENDENTE",M1315="PARCIAL"),"🟡 FATURAMENTO PENDENTE","🟡 EMBARQUE PENDENTE")))))))))))</f>
        <v/>
      </c>
      <c r="D1315" s="4" t="n"/>
      <c r="E1315" s="5" t="n"/>
      <c r="F1315" s="5" t="n"/>
      <c r="G1315" s="5" t="n"/>
      <c r="H1315" s="5" t="n"/>
      <c r="I1315" s="5" t="n"/>
      <c r="J1315" s="6" t="n"/>
      <c r="K1315" s="6" t="n"/>
      <c r="L1315" s="7">
        <f>IF(OR(D1315="",N(J1315)=0),"",MIN(1,N(K1315)/J1315))</f>
        <v/>
      </c>
      <c r="M1315" s="5" t="n"/>
      <c r="N1315" s="5" t="n"/>
      <c r="O1315" s="5" t="n"/>
      <c r="P1315" s="5" t="n"/>
      <c r="Q1315" s="5" t="n"/>
      <c r="R1315" s="4" t="n"/>
      <c r="S1315" s="4" t="n"/>
      <c r="T1315" s="5" t="n"/>
      <c r="U1315" s="8">
        <f>IF(AND(V1315=1,D1315&lt;&gt;""),IF(D1315&gt;=corte,TODAY()-D1315,""),"")</f>
        <v/>
      </c>
      <c r="V1315" s="8">
        <f>IF(D1315="",0,IF(OR(AND(P1315&lt;&gt;"",S1315=""),AND(N(J1315)&gt;0,N(K1315)&lt;J1315),OR(M1315="PENDENTE",M1315="PARCIAL"),OR(N1315="PENDENTE",N1315="PARCIAL")),1,0))</f>
        <v/>
      </c>
      <c r="W1315" s="8">
        <f>IF(AND(V1315=1,D1315&lt;&gt;""),IF(D1315&gt;=corte,(B1315="CRÍTICO")*1E9+(100000-D1315)*10000+10000-ROW(),""),"")</f>
        <v/>
      </c>
      <c r="X1315" s="8">
        <f>IF(AND(V1315=1,D1315=pas_data,E1315=pas_turno),10000-ROW(),"")</f>
        <v/>
      </c>
    </row>
    <row r="1316">
      <c r="A1316" s="3">
        <f>IF(D1316="","","TT-"&amp;TEXT(ROW()-1,"00000"))</f>
        <v/>
      </c>
      <c r="B1316" s="3">
        <f>IF(D1316="","",IF(V1316=0,"CONCLUÍDO",IF(D1316&lt;corte,"HISTÓRICO",IF(OR(AND(ISNUMBER(R1316),R1316&lt;TODAY()),AND(OR(N1316="PENDENTE",N1316="PARCIAL"),D1316&lt;TODAY()-1)),"CRÍTICO",IF(OR(AND(P1316&lt;&gt;"",S1316=""),AND(N1316="REALIZADO",M1316="PENDENTE"),AND(ISNUMBER(R1316),R1316=TODAY())),"ATENÇÃO",IF(N(K1316)=0,"PENDENTE","EM ANDAMENTO"))))))</f>
        <v/>
      </c>
      <c r="C1316" s="3">
        <f>IF(D1316="","",IF(V1316=0,"🟢 OK",IF(D1316&lt;corte,"⚪ HISTÓRICO (sem baixa)",IF(AND(ISNUMBER(R1316),R1316&lt;TODAY()),"🔴 PRAZO VENCIDO",IF(AND(OR(N1316="PENDENTE",N1316="PARCIAL"),D1316&lt;TODAY()-1),"🔴 EMBARQUE ATRASADO",IF(AND(N1316="REALIZADO",M1316="PENDENTE"),"🟡 EMBARCADO SEM FATURAR",IF(AND(P1316&lt;&gt;"",S1316="",OR(Q1316="",R1316="")),"🟡 PENDÊNCIA SEM RESPONSÁVEL/PRAZO",IF(AND(ISNUMBER(R1316),R1316=TODAY()),"🟡 VENCE HOJE",IF(AND(P1316&lt;&gt;"",S1316=""),"🟡 PENDÊNCIA ABERTA",IF(AND(N(J1316)&gt;0,N(K1316)&lt;J1316),"🟡 FALTA EXECUTAR",IF(OR(M1316="PENDENTE",M1316="PARCIAL"),"🟡 FATURAMENTO PENDENTE","🟡 EMBARQUE PENDENTE")))))))))))</f>
        <v/>
      </c>
      <c r="D1316" s="4" t="n"/>
      <c r="E1316" s="5" t="n"/>
      <c r="F1316" s="5" t="n"/>
      <c r="G1316" s="5" t="n"/>
      <c r="H1316" s="5" t="n"/>
      <c r="I1316" s="5" t="n"/>
      <c r="J1316" s="6" t="n"/>
      <c r="K1316" s="6" t="n"/>
      <c r="L1316" s="7">
        <f>IF(OR(D1316="",N(J1316)=0),"",MIN(1,N(K1316)/J1316))</f>
        <v/>
      </c>
      <c r="M1316" s="5" t="n"/>
      <c r="N1316" s="5" t="n"/>
      <c r="O1316" s="5" t="n"/>
      <c r="P1316" s="5" t="n"/>
      <c r="Q1316" s="5" t="n"/>
      <c r="R1316" s="4" t="n"/>
      <c r="S1316" s="4" t="n"/>
      <c r="T1316" s="5" t="n"/>
      <c r="U1316" s="8">
        <f>IF(AND(V1316=1,D1316&lt;&gt;""),IF(D1316&gt;=corte,TODAY()-D1316,""),"")</f>
        <v/>
      </c>
      <c r="V1316" s="8">
        <f>IF(D1316="",0,IF(OR(AND(P1316&lt;&gt;"",S1316=""),AND(N(J1316)&gt;0,N(K1316)&lt;J1316),OR(M1316="PENDENTE",M1316="PARCIAL"),OR(N1316="PENDENTE",N1316="PARCIAL")),1,0))</f>
        <v/>
      </c>
      <c r="W1316" s="8">
        <f>IF(AND(V1316=1,D1316&lt;&gt;""),IF(D1316&gt;=corte,(B1316="CRÍTICO")*1E9+(100000-D1316)*10000+10000-ROW(),""),"")</f>
        <v/>
      </c>
      <c r="X1316" s="8">
        <f>IF(AND(V1316=1,D1316=pas_data,E1316=pas_turno),10000-ROW(),"")</f>
        <v/>
      </c>
    </row>
    <row r="1317">
      <c r="A1317" s="3">
        <f>IF(D1317="","","TT-"&amp;TEXT(ROW()-1,"00000"))</f>
        <v/>
      </c>
      <c r="B1317" s="3">
        <f>IF(D1317="","",IF(V1317=0,"CONCLUÍDO",IF(D1317&lt;corte,"HISTÓRICO",IF(OR(AND(ISNUMBER(R1317),R1317&lt;TODAY()),AND(OR(N1317="PENDENTE",N1317="PARCIAL"),D1317&lt;TODAY()-1)),"CRÍTICO",IF(OR(AND(P1317&lt;&gt;"",S1317=""),AND(N1317="REALIZADO",M1317="PENDENTE"),AND(ISNUMBER(R1317),R1317=TODAY())),"ATENÇÃO",IF(N(K1317)=0,"PENDENTE","EM ANDAMENTO"))))))</f>
        <v/>
      </c>
      <c r="C1317" s="3">
        <f>IF(D1317="","",IF(V1317=0,"🟢 OK",IF(D1317&lt;corte,"⚪ HISTÓRICO (sem baixa)",IF(AND(ISNUMBER(R1317),R1317&lt;TODAY()),"🔴 PRAZO VENCIDO",IF(AND(OR(N1317="PENDENTE",N1317="PARCIAL"),D1317&lt;TODAY()-1),"🔴 EMBARQUE ATRASADO",IF(AND(N1317="REALIZADO",M1317="PENDENTE"),"🟡 EMBARCADO SEM FATURAR",IF(AND(P1317&lt;&gt;"",S1317="",OR(Q1317="",R1317="")),"🟡 PENDÊNCIA SEM RESPONSÁVEL/PRAZO",IF(AND(ISNUMBER(R1317),R1317=TODAY()),"🟡 VENCE HOJE",IF(AND(P1317&lt;&gt;"",S1317=""),"🟡 PENDÊNCIA ABERTA",IF(AND(N(J1317)&gt;0,N(K1317)&lt;J1317),"🟡 FALTA EXECUTAR",IF(OR(M1317="PENDENTE",M1317="PARCIAL"),"🟡 FATURAMENTO PENDENTE","🟡 EMBARQUE PENDENTE")))))))))))</f>
        <v/>
      </c>
      <c r="D1317" s="4" t="n"/>
      <c r="E1317" s="5" t="n"/>
      <c r="F1317" s="5" t="n"/>
      <c r="G1317" s="5" t="n"/>
      <c r="H1317" s="5" t="n"/>
      <c r="I1317" s="5" t="n"/>
      <c r="J1317" s="6" t="n"/>
      <c r="K1317" s="6" t="n"/>
      <c r="L1317" s="7">
        <f>IF(OR(D1317="",N(J1317)=0),"",MIN(1,N(K1317)/J1317))</f>
        <v/>
      </c>
      <c r="M1317" s="5" t="n"/>
      <c r="N1317" s="5" t="n"/>
      <c r="O1317" s="5" t="n"/>
      <c r="P1317" s="5" t="n"/>
      <c r="Q1317" s="5" t="n"/>
      <c r="R1317" s="4" t="n"/>
      <c r="S1317" s="4" t="n"/>
      <c r="T1317" s="5" t="n"/>
      <c r="U1317" s="8">
        <f>IF(AND(V1317=1,D1317&lt;&gt;""),IF(D1317&gt;=corte,TODAY()-D1317,""),"")</f>
        <v/>
      </c>
      <c r="V1317" s="8">
        <f>IF(D1317="",0,IF(OR(AND(P1317&lt;&gt;"",S1317=""),AND(N(J1317)&gt;0,N(K1317)&lt;J1317),OR(M1317="PENDENTE",M1317="PARCIAL"),OR(N1317="PENDENTE",N1317="PARCIAL")),1,0))</f>
        <v/>
      </c>
      <c r="W1317" s="8">
        <f>IF(AND(V1317=1,D1317&lt;&gt;""),IF(D1317&gt;=corte,(B1317="CRÍTICO")*1E9+(100000-D1317)*10000+10000-ROW(),""),"")</f>
        <v/>
      </c>
      <c r="X1317" s="8">
        <f>IF(AND(V1317=1,D1317=pas_data,E1317=pas_turno),10000-ROW(),"")</f>
        <v/>
      </c>
    </row>
    <row r="1318">
      <c r="A1318" s="3">
        <f>IF(D1318="","","TT-"&amp;TEXT(ROW()-1,"00000"))</f>
        <v/>
      </c>
      <c r="B1318" s="3">
        <f>IF(D1318="","",IF(V1318=0,"CONCLUÍDO",IF(D1318&lt;corte,"HISTÓRICO",IF(OR(AND(ISNUMBER(R1318),R1318&lt;TODAY()),AND(OR(N1318="PENDENTE",N1318="PARCIAL"),D1318&lt;TODAY()-1)),"CRÍTICO",IF(OR(AND(P1318&lt;&gt;"",S1318=""),AND(N1318="REALIZADO",M1318="PENDENTE"),AND(ISNUMBER(R1318),R1318=TODAY())),"ATENÇÃO",IF(N(K1318)=0,"PENDENTE","EM ANDAMENTO"))))))</f>
        <v/>
      </c>
      <c r="C1318" s="3">
        <f>IF(D1318="","",IF(V1318=0,"🟢 OK",IF(D1318&lt;corte,"⚪ HISTÓRICO (sem baixa)",IF(AND(ISNUMBER(R1318),R1318&lt;TODAY()),"🔴 PRAZO VENCIDO",IF(AND(OR(N1318="PENDENTE",N1318="PARCIAL"),D1318&lt;TODAY()-1),"🔴 EMBARQUE ATRASADO",IF(AND(N1318="REALIZADO",M1318="PENDENTE"),"🟡 EMBARCADO SEM FATURAR",IF(AND(P1318&lt;&gt;"",S1318="",OR(Q1318="",R1318="")),"🟡 PENDÊNCIA SEM RESPONSÁVEL/PRAZO",IF(AND(ISNUMBER(R1318),R1318=TODAY()),"🟡 VENCE HOJE",IF(AND(P1318&lt;&gt;"",S1318=""),"🟡 PENDÊNCIA ABERTA",IF(AND(N(J1318)&gt;0,N(K1318)&lt;J1318),"🟡 FALTA EXECUTAR",IF(OR(M1318="PENDENTE",M1318="PARCIAL"),"🟡 FATURAMENTO PENDENTE","🟡 EMBARQUE PENDENTE")))))))))))</f>
        <v/>
      </c>
      <c r="D1318" s="4" t="n"/>
      <c r="E1318" s="5" t="n"/>
      <c r="F1318" s="5" t="n"/>
      <c r="G1318" s="5" t="n"/>
      <c r="H1318" s="5" t="n"/>
      <c r="I1318" s="5" t="n"/>
      <c r="J1318" s="6" t="n"/>
      <c r="K1318" s="6" t="n"/>
      <c r="L1318" s="7">
        <f>IF(OR(D1318="",N(J1318)=0),"",MIN(1,N(K1318)/J1318))</f>
        <v/>
      </c>
      <c r="M1318" s="5" t="n"/>
      <c r="N1318" s="5" t="n"/>
      <c r="O1318" s="5" t="n"/>
      <c r="P1318" s="5" t="n"/>
      <c r="Q1318" s="5" t="n"/>
      <c r="R1318" s="4" t="n"/>
      <c r="S1318" s="4" t="n"/>
      <c r="T1318" s="5" t="n"/>
      <c r="U1318" s="8">
        <f>IF(AND(V1318=1,D1318&lt;&gt;""),IF(D1318&gt;=corte,TODAY()-D1318,""),"")</f>
        <v/>
      </c>
      <c r="V1318" s="8">
        <f>IF(D1318="",0,IF(OR(AND(P1318&lt;&gt;"",S1318=""),AND(N(J1318)&gt;0,N(K1318)&lt;J1318),OR(M1318="PENDENTE",M1318="PARCIAL"),OR(N1318="PENDENTE",N1318="PARCIAL")),1,0))</f>
        <v/>
      </c>
      <c r="W1318" s="8">
        <f>IF(AND(V1318=1,D1318&lt;&gt;""),IF(D1318&gt;=corte,(B1318="CRÍTICO")*1E9+(100000-D1318)*10000+10000-ROW(),""),"")</f>
        <v/>
      </c>
      <c r="X1318" s="8">
        <f>IF(AND(V1318=1,D1318=pas_data,E1318=pas_turno),10000-ROW(),"")</f>
        <v/>
      </c>
    </row>
    <row r="1319">
      <c r="A1319" s="3">
        <f>IF(D1319="","","TT-"&amp;TEXT(ROW()-1,"00000"))</f>
        <v/>
      </c>
      <c r="B1319" s="3">
        <f>IF(D1319="","",IF(V1319=0,"CONCLUÍDO",IF(D1319&lt;corte,"HISTÓRICO",IF(OR(AND(ISNUMBER(R1319),R1319&lt;TODAY()),AND(OR(N1319="PENDENTE",N1319="PARCIAL"),D1319&lt;TODAY()-1)),"CRÍTICO",IF(OR(AND(P1319&lt;&gt;"",S1319=""),AND(N1319="REALIZADO",M1319="PENDENTE"),AND(ISNUMBER(R1319),R1319=TODAY())),"ATENÇÃO",IF(N(K1319)=0,"PENDENTE","EM ANDAMENTO"))))))</f>
        <v/>
      </c>
      <c r="C1319" s="3">
        <f>IF(D1319="","",IF(V1319=0,"🟢 OK",IF(D1319&lt;corte,"⚪ HISTÓRICO (sem baixa)",IF(AND(ISNUMBER(R1319),R1319&lt;TODAY()),"🔴 PRAZO VENCIDO",IF(AND(OR(N1319="PENDENTE",N1319="PARCIAL"),D1319&lt;TODAY()-1),"🔴 EMBARQUE ATRASADO",IF(AND(N1319="REALIZADO",M1319="PENDENTE"),"🟡 EMBARCADO SEM FATURAR",IF(AND(P1319&lt;&gt;"",S1319="",OR(Q1319="",R1319="")),"🟡 PENDÊNCIA SEM RESPONSÁVEL/PRAZO",IF(AND(ISNUMBER(R1319),R1319=TODAY()),"🟡 VENCE HOJE",IF(AND(P1319&lt;&gt;"",S1319=""),"🟡 PENDÊNCIA ABERTA",IF(AND(N(J1319)&gt;0,N(K1319)&lt;J1319),"🟡 FALTA EXECUTAR",IF(OR(M1319="PENDENTE",M1319="PARCIAL"),"🟡 FATURAMENTO PENDENTE","🟡 EMBARQUE PENDENTE")))))))))))</f>
        <v/>
      </c>
      <c r="D1319" s="4" t="n"/>
      <c r="E1319" s="5" t="n"/>
      <c r="F1319" s="5" t="n"/>
      <c r="G1319" s="5" t="n"/>
      <c r="H1319" s="5" t="n"/>
      <c r="I1319" s="5" t="n"/>
      <c r="J1319" s="6" t="n"/>
      <c r="K1319" s="6" t="n"/>
      <c r="L1319" s="7">
        <f>IF(OR(D1319="",N(J1319)=0),"",MIN(1,N(K1319)/J1319))</f>
        <v/>
      </c>
      <c r="M1319" s="5" t="n"/>
      <c r="N1319" s="5" t="n"/>
      <c r="O1319" s="5" t="n"/>
      <c r="P1319" s="5" t="n"/>
      <c r="Q1319" s="5" t="n"/>
      <c r="R1319" s="4" t="n"/>
      <c r="S1319" s="4" t="n"/>
      <c r="T1319" s="5" t="n"/>
      <c r="U1319" s="8">
        <f>IF(AND(V1319=1,D1319&lt;&gt;""),IF(D1319&gt;=corte,TODAY()-D1319,""),"")</f>
        <v/>
      </c>
      <c r="V1319" s="8">
        <f>IF(D1319="",0,IF(OR(AND(P1319&lt;&gt;"",S1319=""),AND(N(J1319)&gt;0,N(K1319)&lt;J1319),OR(M1319="PENDENTE",M1319="PARCIAL"),OR(N1319="PENDENTE",N1319="PARCIAL")),1,0))</f>
        <v/>
      </c>
      <c r="W1319" s="8">
        <f>IF(AND(V1319=1,D1319&lt;&gt;""),IF(D1319&gt;=corte,(B1319="CRÍTICO")*1E9+(100000-D1319)*10000+10000-ROW(),""),"")</f>
        <v/>
      </c>
      <c r="X1319" s="8">
        <f>IF(AND(V1319=1,D1319=pas_data,E1319=pas_turno),10000-ROW(),"")</f>
        <v/>
      </c>
    </row>
    <row r="1320">
      <c r="A1320" s="3">
        <f>IF(D1320="","","TT-"&amp;TEXT(ROW()-1,"00000"))</f>
        <v/>
      </c>
      <c r="B1320" s="3">
        <f>IF(D1320="","",IF(V1320=0,"CONCLUÍDO",IF(D1320&lt;corte,"HISTÓRICO",IF(OR(AND(ISNUMBER(R1320),R1320&lt;TODAY()),AND(OR(N1320="PENDENTE",N1320="PARCIAL"),D1320&lt;TODAY()-1)),"CRÍTICO",IF(OR(AND(P1320&lt;&gt;"",S1320=""),AND(N1320="REALIZADO",M1320="PENDENTE"),AND(ISNUMBER(R1320),R1320=TODAY())),"ATENÇÃO",IF(N(K1320)=0,"PENDENTE","EM ANDAMENTO"))))))</f>
        <v/>
      </c>
      <c r="C1320" s="3">
        <f>IF(D1320="","",IF(V1320=0,"🟢 OK",IF(D1320&lt;corte,"⚪ HISTÓRICO (sem baixa)",IF(AND(ISNUMBER(R1320),R1320&lt;TODAY()),"🔴 PRAZO VENCIDO",IF(AND(OR(N1320="PENDENTE",N1320="PARCIAL"),D1320&lt;TODAY()-1),"🔴 EMBARQUE ATRASADO",IF(AND(N1320="REALIZADO",M1320="PENDENTE"),"🟡 EMBARCADO SEM FATURAR",IF(AND(P1320&lt;&gt;"",S1320="",OR(Q1320="",R1320="")),"🟡 PENDÊNCIA SEM RESPONSÁVEL/PRAZO",IF(AND(ISNUMBER(R1320),R1320=TODAY()),"🟡 VENCE HOJE",IF(AND(P1320&lt;&gt;"",S1320=""),"🟡 PENDÊNCIA ABERTA",IF(AND(N(J1320)&gt;0,N(K1320)&lt;J1320),"🟡 FALTA EXECUTAR",IF(OR(M1320="PENDENTE",M1320="PARCIAL"),"🟡 FATURAMENTO PENDENTE","🟡 EMBARQUE PENDENTE")))))))))))</f>
        <v/>
      </c>
      <c r="D1320" s="4" t="n"/>
      <c r="E1320" s="5" t="n"/>
      <c r="F1320" s="5" t="n"/>
      <c r="G1320" s="5" t="n"/>
      <c r="H1320" s="5" t="n"/>
      <c r="I1320" s="5" t="n"/>
      <c r="J1320" s="6" t="n"/>
      <c r="K1320" s="6" t="n"/>
      <c r="L1320" s="7">
        <f>IF(OR(D1320="",N(J1320)=0),"",MIN(1,N(K1320)/J1320))</f>
        <v/>
      </c>
      <c r="M1320" s="5" t="n"/>
      <c r="N1320" s="5" t="n"/>
      <c r="O1320" s="5" t="n"/>
      <c r="P1320" s="5" t="n"/>
      <c r="Q1320" s="5" t="n"/>
      <c r="R1320" s="4" t="n"/>
      <c r="S1320" s="4" t="n"/>
      <c r="T1320" s="5" t="n"/>
      <c r="U1320" s="8">
        <f>IF(AND(V1320=1,D1320&lt;&gt;""),IF(D1320&gt;=corte,TODAY()-D1320,""),"")</f>
        <v/>
      </c>
      <c r="V1320" s="8">
        <f>IF(D1320="",0,IF(OR(AND(P1320&lt;&gt;"",S1320=""),AND(N(J1320)&gt;0,N(K1320)&lt;J1320),OR(M1320="PENDENTE",M1320="PARCIAL"),OR(N1320="PENDENTE",N1320="PARCIAL")),1,0))</f>
        <v/>
      </c>
      <c r="W1320" s="8">
        <f>IF(AND(V1320=1,D1320&lt;&gt;""),IF(D1320&gt;=corte,(B1320="CRÍTICO")*1E9+(100000-D1320)*10000+10000-ROW(),""),"")</f>
        <v/>
      </c>
      <c r="X1320" s="8">
        <f>IF(AND(V1320=1,D1320=pas_data,E1320=pas_turno),10000-ROW(),"")</f>
        <v/>
      </c>
    </row>
    <row r="1321">
      <c r="A1321" s="3">
        <f>IF(D1321="","","TT-"&amp;TEXT(ROW()-1,"00000"))</f>
        <v/>
      </c>
      <c r="B1321" s="3">
        <f>IF(D1321="","",IF(V1321=0,"CONCLUÍDO",IF(D1321&lt;corte,"HISTÓRICO",IF(OR(AND(ISNUMBER(R1321),R1321&lt;TODAY()),AND(OR(N1321="PENDENTE",N1321="PARCIAL"),D1321&lt;TODAY()-1)),"CRÍTICO",IF(OR(AND(P1321&lt;&gt;"",S1321=""),AND(N1321="REALIZADO",M1321="PENDENTE"),AND(ISNUMBER(R1321),R1321=TODAY())),"ATENÇÃO",IF(N(K1321)=0,"PENDENTE","EM ANDAMENTO"))))))</f>
        <v/>
      </c>
      <c r="C1321" s="3">
        <f>IF(D1321="","",IF(V1321=0,"🟢 OK",IF(D1321&lt;corte,"⚪ HISTÓRICO (sem baixa)",IF(AND(ISNUMBER(R1321),R1321&lt;TODAY()),"🔴 PRAZO VENCIDO",IF(AND(OR(N1321="PENDENTE",N1321="PARCIAL"),D1321&lt;TODAY()-1),"🔴 EMBARQUE ATRASADO",IF(AND(N1321="REALIZADO",M1321="PENDENTE"),"🟡 EMBARCADO SEM FATURAR",IF(AND(P1321&lt;&gt;"",S1321="",OR(Q1321="",R1321="")),"🟡 PENDÊNCIA SEM RESPONSÁVEL/PRAZO",IF(AND(ISNUMBER(R1321),R1321=TODAY()),"🟡 VENCE HOJE",IF(AND(P1321&lt;&gt;"",S1321=""),"🟡 PENDÊNCIA ABERTA",IF(AND(N(J1321)&gt;0,N(K1321)&lt;J1321),"🟡 FALTA EXECUTAR",IF(OR(M1321="PENDENTE",M1321="PARCIAL"),"🟡 FATURAMENTO PENDENTE","🟡 EMBARQUE PENDENTE")))))))))))</f>
        <v/>
      </c>
      <c r="D1321" s="4" t="n"/>
      <c r="E1321" s="5" t="n"/>
      <c r="F1321" s="5" t="n"/>
      <c r="G1321" s="5" t="n"/>
      <c r="H1321" s="5" t="n"/>
      <c r="I1321" s="5" t="n"/>
      <c r="J1321" s="6" t="n"/>
      <c r="K1321" s="6" t="n"/>
      <c r="L1321" s="7">
        <f>IF(OR(D1321="",N(J1321)=0),"",MIN(1,N(K1321)/J1321))</f>
        <v/>
      </c>
      <c r="M1321" s="5" t="n"/>
      <c r="N1321" s="5" t="n"/>
      <c r="O1321" s="5" t="n"/>
      <c r="P1321" s="5" t="n"/>
      <c r="Q1321" s="5" t="n"/>
      <c r="R1321" s="4" t="n"/>
      <c r="S1321" s="4" t="n"/>
      <c r="T1321" s="5" t="n"/>
      <c r="U1321" s="8">
        <f>IF(AND(V1321=1,D1321&lt;&gt;""),IF(D1321&gt;=corte,TODAY()-D1321,""),"")</f>
        <v/>
      </c>
      <c r="V1321" s="8">
        <f>IF(D1321="",0,IF(OR(AND(P1321&lt;&gt;"",S1321=""),AND(N(J1321)&gt;0,N(K1321)&lt;J1321),OR(M1321="PENDENTE",M1321="PARCIAL"),OR(N1321="PENDENTE",N1321="PARCIAL")),1,0))</f>
        <v/>
      </c>
      <c r="W1321" s="8">
        <f>IF(AND(V1321=1,D1321&lt;&gt;""),IF(D1321&gt;=corte,(B1321="CRÍTICO")*1E9+(100000-D1321)*10000+10000-ROW(),""),"")</f>
        <v/>
      </c>
      <c r="X1321" s="8">
        <f>IF(AND(V1321=1,D1321=pas_data,E1321=pas_turno),10000-ROW(),"")</f>
        <v/>
      </c>
    </row>
    <row r="1322">
      <c r="A1322" s="3">
        <f>IF(D1322="","","TT-"&amp;TEXT(ROW()-1,"00000"))</f>
        <v/>
      </c>
      <c r="B1322" s="3">
        <f>IF(D1322="","",IF(V1322=0,"CONCLUÍDO",IF(D1322&lt;corte,"HISTÓRICO",IF(OR(AND(ISNUMBER(R1322),R1322&lt;TODAY()),AND(OR(N1322="PENDENTE",N1322="PARCIAL"),D1322&lt;TODAY()-1)),"CRÍTICO",IF(OR(AND(P1322&lt;&gt;"",S1322=""),AND(N1322="REALIZADO",M1322="PENDENTE"),AND(ISNUMBER(R1322),R1322=TODAY())),"ATENÇÃO",IF(N(K1322)=0,"PENDENTE","EM ANDAMENTO"))))))</f>
        <v/>
      </c>
      <c r="C1322" s="3">
        <f>IF(D1322="","",IF(V1322=0,"🟢 OK",IF(D1322&lt;corte,"⚪ HISTÓRICO (sem baixa)",IF(AND(ISNUMBER(R1322),R1322&lt;TODAY()),"🔴 PRAZO VENCIDO",IF(AND(OR(N1322="PENDENTE",N1322="PARCIAL"),D1322&lt;TODAY()-1),"🔴 EMBARQUE ATRASADO",IF(AND(N1322="REALIZADO",M1322="PENDENTE"),"🟡 EMBARCADO SEM FATURAR",IF(AND(P1322&lt;&gt;"",S1322="",OR(Q1322="",R1322="")),"🟡 PENDÊNCIA SEM RESPONSÁVEL/PRAZO",IF(AND(ISNUMBER(R1322),R1322=TODAY()),"🟡 VENCE HOJE",IF(AND(P1322&lt;&gt;"",S1322=""),"🟡 PENDÊNCIA ABERTA",IF(AND(N(J1322)&gt;0,N(K1322)&lt;J1322),"🟡 FALTA EXECUTAR",IF(OR(M1322="PENDENTE",M1322="PARCIAL"),"🟡 FATURAMENTO PENDENTE","🟡 EMBARQUE PENDENTE")))))))))))</f>
        <v/>
      </c>
      <c r="D1322" s="4" t="n"/>
      <c r="E1322" s="5" t="n"/>
      <c r="F1322" s="5" t="n"/>
      <c r="G1322" s="5" t="n"/>
      <c r="H1322" s="5" t="n"/>
      <c r="I1322" s="5" t="n"/>
      <c r="J1322" s="6" t="n"/>
      <c r="K1322" s="6" t="n"/>
      <c r="L1322" s="7">
        <f>IF(OR(D1322="",N(J1322)=0),"",MIN(1,N(K1322)/J1322))</f>
        <v/>
      </c>
      <c r="M1322" s="5" t="n"/>
      <c r="N1322" s="5" t="n"/>
      <c r="O1322" s="5" t="n"/>
      <c r="P1322" s="5" t="n"/>
      <c r="Q1322" s="5" t="n"/>
      <c r="R1322" s="4" t="n"/>
      <c r="S1322" s="4" t="n"/>
      <c r="T1322" s="5" t="n"/>
      <c r="U1322" s="8">
        <f>IF(AND(V1322=1,D1322&lt;&gt;""),IF(D1322&gt;=corte,TODAY()-D1322,""),"")</f>
        <v/>
      </c>
      <c r="V1322" s="8">
        <f>IF(D1322="",0,IF(OR(AND(P1322&lt;&gt;"",S1322=""),AND(N(J1322)&gt;0,N(K1322)&lt;J1322),OR(M1322="PENDENTE",M1322="PARCIAL"),OR(N1322="PENDENTE",N1322="PARCIAL")),1,0))</f>
        <v/>
      </c>
      <c r="W1322" s="8">
        <f>IF(AND(V1322=1,D1322&lt;&gt;""),IF(D1322&gt;=corte,(B1322="CRÍTICO")*1E9+(100000-D1322)*10000+10000-ROW(),""),"")</f>
        <v/>
      </c>
      <c r="X1322" s="8">
        <f>IF(AND(V1322=1,D1322=pas_data,E1322=pas_turno),10000-ROW(),"")</f>
        <v/>
      </c>
    </row>
    <row r="1323">
      <c r="A1323" s="3">
        <f>IF(D1323="","","TT-"&amp;TEXT(ROW()-1,"00000"))</f>
        <v/>
      </c>
      <c r="B1323" s="3">
        <f>IF(D1323="","",IF(V1323=0,"CONCLUÍDO",IF(D1323&lt;corte,"HISTÓRICO",IF(OR(AND(ISNUMBER(R1323),R1323&lt;TODAY()),AND(OR(N1323="PENDENTE",N1323="PARCIAL"),D1323&lt;TODAY()-1)),"CRÍTICO",IF(OR(AND(P1323&lt;&gt;"",S1323=""),AND(N1323="REALIZADO",M1323="PENDENTE"),AND(ISNUMBER(R1323),R1323=TODAY())),"ATENÇÃO",IF(N(K1323)=0,"PENDENTE","EM ANDAMENTO"))))))</f>
        <v/>
      </c>
      <c r="C1323" s="3">
        <f>IF(D1323="","",IF(V1323=0,"🟢 OK",IF(D1323&lt;corte,"⚪ HISTÓRICO (sem baixa)",IF(AND(ISNUMBER(R1323),R1323&lt;TODAY()),"🔴 PRAZO VENCIDO",IF(AND(OR(N1323="PENDENTE",N1323="PARCIAL"),D1323&lt;TODAY()-1),"🔴 EMBARQUE ATRASADO",IF(AND(N1323="REALIZADO",M1323="PENDENTE"),"🟡 EMBARCADO SEM FATURAR",IF(AND(P1323&lt;&gt;"",S1323="",OR(Q1323="",R1323="")),"🟡 PENDÊNCIA SEM RESPONSÁVEL/PRAZO",IF(AND(ISNUMBER(R1323),R1323=TODAY()),"🟡 VENCE HOJE",IF(AND(P1323&lt;&gt;"",S1323=""),"🟡 PENDÊNCIA ABERTA",IF(AND(N(J1323)&gt;0,N(K1323)&lt;J1323),"🟡 FALTA EXECUTAR",IF(OR(M1323="PENDENTE",M1323="PARCIAL"),"🟡 FATURAMENTO PENDENTE","🟡 EMBARQUE PENDENTE")))))))))))</f>
        <v/>
      </c>
      <c r="D1323" s="4" t="n"/>
      <c r="E1323" s="5" t="n"/>
      <c r="F1323" s="5" t="n"/>
      <c r="G1323" s="5" t="n"/>
      <c r="H1323" s="5" t="n"/>
      <c r="I1323" s="5" t="n"/>
      <c r="J1323" s="6" t="n"/>
      <c r="K1323" s="6" t="n"/>
      <c r="L1323" s="7">
        <f>IF(OR(D1323="",N(J1323)=0),"",MIN(1,N(K1323)/J1323))</f>
        <v/>
      </c>
      <c r="M1323" s="5" t="n"/>
      <c r="N1323" s="5" t="n"/>
      <c r="O1323" s="5" t="n"/>
      <c r="P1323" s="5" t="n"/>
      <c r="Q1323" s="5" t="n"/>
      <c r="R1323" s="4" t="n"/>
      <c r="S1323" s="4" t="n"/>
      <c r="T1323" s="5" t="n"/>
      <c r="U1323" s="8">
        <f>IF(AND(V1323=1,D1323&lt;&gt;""),IF(D1323&gt;=corte,TODAY()-D1323,""),"")</f>
        <v/>
      </c>
      <c r="V1323" s="8">
        <f>IF(D1323="",0,IF(OR(AND(P1323&lt;&gt;"",S1323=""),AND(N(J1323)&gt;0,N(K1323)&lt;J1323),OR(M1323="PENDENTE",M1323="PARCIAL"),OR(N1323="PENDENTE",N1323="PARCIAL")),1,0))</f>
        <v/>
      </c>
      <c r="W1323" s="8">
        <f>IF(AND(V1323=1,D1323&lt;&gt;""),IF(D1323&gt;=corte,(B1323="CRÍTICO")*1E9+(100000-D1323)*10000+10000-ROW(),""),"")</f>
        <v/>
      </c>
      <c r="X1323" s="8">
        <f>IF(AND(V1323=1,D1323=pas_data,E1323=pas_turno),10000-ROW(),"")</f>
        <v/>
      </c>
    </row>
    <row r="1324">
      <c r="A1324" s="3">
        <f>IF(D1324="","","TT-"&amp;TEXT(ROW()-1,"00000"))</f>
        <v/>
      </c>
      <c r="B1324" s="3">
        <f>IF(D1324="","",IF(V1324=0,"CONCLUÍDO",IF(D1324&lt;corte,"HISTÓRICO",IF(OR(AND(ISNUMBER(R1324),R1324&lt;TODAY()),AND(OR(N1324="PENDENTE",N1324="PARCIAL"),D1324&lt;TODAY()-1)),"CRÍTICO",IF(OR(AND(P1324&lt;&gt;"",S1324=""),AND(N1324="REALIZADO",M1324="PENDENTE"),AND(ISNUMBER(R1324),R1324=TODAY())),"ATENÇÃO",IF(N(K1324)=0,"PENDENTE","EM ANDAMENTO"))))))</f>
        <v/>
      </c>
      <c r="C1324" s="3">
        <f>IF(D1324="","",IF(V1324=0,"🟢 OK",IF(D1324&lt;corte,"⚪ HISTÓRICO (sem baixa)",IF(AND(ISNUMBER(R1324),R1324&lt;TODAY()),"🔴 PRAZO VENCIDO",IF(AND(OR(N1324="PENDENTE",N1324="PARCIAL"),D1324&lt;TODAY()-1),"🔴 EMBARQUE ATRASADO",IF(AND(N1324="REALIZADO",M1324="PENDENTE"),"🟡 EMBARCADO SEM FATURAR",IF(AND(P1324&lt;&gt;"",S1324="",OR(Q1324="",R1324="")),"🟡 PENDÊNCIA SEM RESPONSÁVEL/PRAZO",IF(AND(ISNUMBER(R1324),R1324=TODAY()),"🟡 VENCE HOJE",IF(AND(P1324&lt;&gt;"",S1324=""),"🟡 PENDÊNCIA ABERTA",IF(AND(N(J1324)&gt;0,N(K1324)&lt;J1324),"🟡 FALTA EXECUTAR",IF(OR(M1324="PENDENTE",M1324="PARCIAL"),"🟡 FATURAMENTO PENDENTE","🟡 EMBARQUE PENDENTE")))))))))))</f>
        <v/>
      </c>
      <c r="D1324" s="4" t="n"/>
      <c r="E1324" s="5" t="n"/>
      <c r="F1324" s="5" t="n"/>
      <c r="G1324" s="5" t="n"/>
      <c r="H1324" s="5" t="n"/>
      <c r="I1324" s="5" t="n"/>
      <c r="J1324" s="6" t="n"/>
      <c r="K1324" s="6" t="n"/>
      <c r="L1324" s="7">
        <f>IF(OR(D1324="",N(J1324)=0),"",MIN(1,N(K1324)/J1324))</f>
        <v/>
      </c>
      <c r="M1324" s="5" t="n"/>
      <c r="N1324" s="5" t="n"/>
      <c r="O1324" s="5" t="n"/>
      <c r="P1324" s="5" t="n"/>
      <c r="Q1324" s="5" t="n"/>
      <c r="R1324" s="4" t="n"/>
      <c r="S1324" s="4" t="n"/>
      <c r="T1324" s="5" t="n"/>
      <c r="U1324" s="8">
        <f>IF(AND(V1324=1,D1324&lt;&gt;""),IF(D1324&gt;=corte,TODAY()-D1324,""),"")</f>
        <v/>
      </c>
      <c r="V1324" s="8">
        <f>IF(D1324="",0,IF(OR(AND(P1324&lt;&gt;"",S1324=""),AND(N(J1324)&gt;0,N(K1324)&lt;J1324),OR(M1324="PENDENTE",M1324="PARCIAL"),OR(N1324="PENDENTE",N1324="PARCIAL")),1,0))</f>
        <v/>
      </c>
      <c r="W1324" s="8">
        <f>IF(AND(V1324=1,D1324&lt;&gt;""),IF(D1324&gt;=corte,(B1324="CRÍTICO")*1E9+(100000-D1324)*10000+10000-ROW(),""),"")</f>
        <v/>
      </c>
      <c r="X1324" s="8">
        <f>IF(AND(V1324=1,D1324=pas_data,E1324=pas_turno),10000-ROW(),"")</f>
        <v/>
      </c>
    </row>
    <row r="1325">
      <c r="A1325" s="3">
        <f>IF(D1325="","","TT-"&amp;TEXT(ROW()-1,"00000"))</f>
        <v/>
      </c>
      <c r="B1325" s="3">
        <f>IF(D1325="","",IF(V1325=0,"CONCLUÍDO",IF(D1325&lt;corte,"HISTÓRICO",IF(OR(AND(ISNUMBER(R1325),R1325&lt;TODAY()),AND(OR(N1325="PENDENTE",N1325="PARCIAL"),D1325&lt;TODAY()-1)),"CRÍTICO",IF(OR(AND(P1325&lt;&gt;"",S1325=""),AND(N1325="REALIZADO",M1325="PENDENTE"),AND(ISNUMBER(R1325),R1325=TODAY())),"ATENÇÃO",IF(N(K1325)=0,"PENDENTE","EM ANDAMENTO"))))))</f>
        <v/>
      </c>
      <c r="C1325" s="3">
        <f>IF(D1325="","",IF(V1325=0,"🟢 OK",IF(D1325&lt;corte,"⚪ HISTÓRICO (sem baixa)",IF(AND(ISNUMBER(R1325),R1325&lt;TODAY()),"🔴 PRAZO VENCIDO",IF(AND(OR(N1325="PENDENTE",N1325="PARCIAL"),D1325&lt;TODAY()-1),"🔴 EMBARQUE ATRASADO",IF(AND(N1325="REALIZADO",M1325="PENDENTE"),"🟡 EMBARCADO SEM FATURAR",IF(AND(P1325&lt;&gt;"",S1325="",OR(Q1325="",R1325="")),"🟡 PENDÊNCIA SEM RESPONSÁVEL/PRAZO",IF(AND(ISNUMBER(R1325),R1325=TODAY()),"🟡 VENCE HOJE",IF(AND(P1325&lt;&gt;"",S1325=""),"🟡 PENDÊNCIA ABERTA",IF(AND(N(J1325)&gt;0,N(K1325)&lt;J1325),"🟡 FALTA EXECUTAR",IF(OR(M1325="PENDENTE",M1325="PARCIAL"),"🟡 FATURAMENTO PENDENTE","🟡 EMBARQUE PENDENTE")))))))))))</f>
        <v/>
      </c>
      <c r="D1325" s="4" t="n"/>
      <c r="E1325" s="5" t="n"/>
      <c r="F1325" s="5" t="n"/>
      <c r="G1325" s="5" t="n"/>
      <c r="H1325" s="5" t="n"/>
      <c r="I1325" s="5" t="n"/>
      <c r="J1325" s="6" t="n"/>
      <c r="K1325" s="6" t="n"/>
      <c r="L1325" s="7">
        <f>IF(OR(D1325="",N(J1325)=0),"",MIN(1,N(K1325)/J1325))</f>
        <v/>
      </c>
      <c r="M1325" s="5" t="n"/>
      <c r="N1325" s="5" t="n"/>
      <c r="O1325" s="5" t="n"/>
      <c r="P1325" s="5" t="n"/>
      <c r="Q1325" s="5" t="n"/>
      <c r="R1325" s="4" t="n"/>
      <c r="S1325" s="4" t="n"/>
      <c r="T1325" s="5" t="n"/>
      <c r="U1325" s="8">
        <f>IF(AND(V1325=1,D1325&lt;&gt;""),IF(D1325&gt;=corte,TODAY()-D1325,""),"")</f>
        <v/>
      </c>
      <c r="V1325" s="8">
        <f>IF(D1325="",0,IF(OR(AND(P1325&lt;&gt;"",S1325=""),AND(N(J1325)&gt;0,N(K1325)&lt;J1325),OR(M1325="PENDENTE",M1325="PARCIAL"),OR(N1325="PENDENTE",N1325="PARCIAL")),1,0))</f>
        <v/>
      </c>
      <c r="W1325" s="8">
        <f>IF(AND(V1325=1,D1325&lt;&gt;""),IF(D1325&gt;=corte,(B1325="CRÍTICO")*1E9+(100000-D1325)*10000+10000-ROW(),""),"")</f>
        <v/>
      </c>
      <c r="X1325" s="8">
        <f>IF(AND(V1325=1,D1325=pas_data,E1325=pas_turno),10000-ROW(),"")</f>
        <v/>
      </c>
    </row>
    <row r="1326">
      <c r="A1326" s="3">
        <f>IF(D1326="","","TT-"&amp;TEXT(ROW()-1,"00000"))</f>
        <v/>
      </c>
      <c r="B1326" s="3">
        <f>IF(D1326="","",IF(V1326=0,"CONCLUÍDO",IF(D1326&lt;corte,"HISTÓRICO",IF(OR(AND(ISNUMBER(R1326),R1326&lt;TODAY()),AND(OR(N1326="PENDENTE",N1326="PARCIAL"),D1326&lt;TODAY()-1)),"CRÍTICO",IF(OR(AND(P1326&lt;&gt;"",S1326=""),AND(N1326="REALIZADO",M1326="PENDENTE"),AND(ISNUMBER(R1326),R1326=TODAY())),"ATENÇÃO",IF(N(K1326)=0,"PENDENTE","EM ANDAMENTO"))))))</f>
        <v/>
      </c>
      <c r="C1326" s="3">
        <f>IF(D1326="","",IF(V1326=0,"🟢 OK",IF(D1326&lt;corte,"⚪ HISTÓRICO (sem baixa)",IF(AND(ISNUMBER(R1326),R1326&lt;TODAY()),"🔴 PRAZO VENCIDO",IF(AND(OR(N1326="PENDENTE",N1326="PARCIAL"),D1326&lt;TODAY()-1),"🔴 EMBARQUE ATRASADO",IF(AND(N1326="REALIZADO",M1326="PENDENTE"),"🟡 EMBARCADO SEM FATURAR",IF(AND(P1326&lt;&gt;"",S1326="",OR(Q1326="",R1326="")),"🟡 PENDÊNCIA SEM RESPONSÁVEL/PRAZO",IF(AND(ISNUMBER(R1326),R1326=TODAY()),"🟡 VENCE HOJE",IF(AND(P1326&lt;&gt;"",S1326=""),"🟡 PENDÊNCIA ABERTA",IF(AND(N(J1326)&gt;0,N(K1326)&lt;J1326),"🟡 FALTA EXECUTAR",IF(OR(M1326="PENDENTE",M1326="PARCIAL"),"🟡 FATURAMENTO PENDENTE","🟡 EMBARQUE PENDENTE")))))))))))</f>
        <v/>
      </c>
      <c r="D1326" s="4" t="n"/>
      <c r="E1326" s="5" t="n"/>
      <c r="F1326" s="5" t="n"/>
      <c r="G1326" s="5" t="n"/>
      <c r="H1326" s="5" t="n"/>
      <c r="I1326" s="5" t="n"/>
      <c r="J1326" s="6" t="n"/>
      <c r="K1326" s="6" t="n"/>
      <c r="L1326" s="7">
        <f>IF(OR(D1326="",N(J1326)=0),"",MIN(1,N(K1326)/J1326))</f>
        <v/>
      </c>
      <c r="M1326" s="5" t="n"/>
      <c r="N1326" s="5" t="n"/>
      <c r="O1326" s="5" t="n"/>
      <c r="P1326" s="5" t="n"/>
      <c r="Q1326" s="5" t="n"/>
      <c r="R1326" s="4" t="n"/>
      <c r="S1326" s="4" t="n"/>
      <c r="T1326" s="5" t="n"/>
      <c r="U1326" s="8">
        <f>IF(AND(V1326=1,D1326&lt;&gt;""),IF(D1326&gt;=corte,TODAY()-D1326,""),"")</f>
        <v/>
      </c>
      <c r="V1326" s="8">
        <f>IF(D1326="",0,IF(OR(AND(P1326&lt;&gt;"",S1326=""),AND(N(J1326)&gt;0,N(K1326)&lt;J1326),OR(M1326="PENDENTE",M1326="PARCIAL"),OR(N1326="PENDENTE",N1326="PARCIAL")),1,0))</f>
        <v/>
      </c>
      <c r="W1326" s="8">
        <f>IF(AND(V1326=1,D1326&lt;&gt;""),IF(D1326&gt;=corte,(B1326="CRÍTICO")*1E9+(100000-D1326)*10000+10000-ROW(),""),"")</f>
        <v/>
      </c>
      <c r="X1326" s="8">
        <f>IF(AND(V1326=1,D1326=pas_data,E1326=pas_turno),10000-ROW(),"")</f>
        <v/>
      </c>
    </row>
    <row r="1327">
      <c r="A1327" s="3">
        <f>IF(D1327="","","TT-"&amp;TEXT(ROW()-1,"00000"))</f>
        <v/>
      </c>
      <c r="B1327" s="3">
        <f>IF(D1327="","",IF(V1327=0,"CONCLUÍDO",IF(D1327&lt;corte,"HISTÓRICO",IF(OR(AND(ISNUMBER(R1327),R1327&lt;TODAY()),AND(OR(N1327="PENDENTE",N1327="PARCIAL"),D1327&lt;TODAY()-1)),"CRÍTICO",IF(OR(AND(P1327&lt;&gt;"",S1327=""),AND(N1327="REALIZADO",M1327="PENDENTE"),AND(ISNUMBER(R1327),R1327=TODAY())),"ATENÇÃO",IF(N(K1327)=0,"PENDENTE","EM ANDAMENTO"))))))</f>
        <v/>
      </c>
      <c r="C1327" s="3">
        <f>IF(D1327="","",IF(V1327=0,"🟢 OK",IF(D1327&lt;corte,"⚪ HISTÓRICO (sem baixa)",IF(AND(ISNUMBER(R1327),R1327&lt;TODAY()),"🔴 PRAZO VENCIDO",IF(AND(OR(N1327="PENDENTE",N1327="PARCIAL"),D1327&lt;TODAY()-1),"🔴 EMBARQUE ATRASADO",IF(AND(N1327="REALIZADO",M1327="PENDENTE"),"🟡 EMBARCADO SEM FATURAR",IF(AND(P1327&lt;&gt;"",S1327="",OR(Q1327="",R1327="")),"🟡 PENDÊNCIA SEM RESPONSÁVEL/PRAZO",IF(AND(ISNUMBER(R1327),R1327=TODAY()),"🟡 VENCE HOJE",IF(AND(P1327&lt;&gt;"",S1327=""),"🟡 PENDÊNCIA ABERTA",IF(AND(N(J1327)&gt;0,N(K1327)&lt;J1327),"🟡 FALTA EXECUTAR",IF(OR(M1327="PENDENTE",M1327="PARCIAL"),"🟡 FATURAMENTO PENDENTE","🟡 EMBARQUE PENDENTE")))))))))))</f>
        <v/>
      </c>
      <c r="D1327" s="4" t="n"/>
      <c r="E1327" s="5" t="n"/>
      <c r="F1327" s="5" t="n"/>
      <c r="G1327" s="5" t="n"/>
      <c r="H1327" s="5" t="n"/>
      <c r="I1327" s="5" t="n"/>
      <c r="J1327" s="6" t="n"/>
      <c r="K1327" s="6" t="n"/>
      <c r="L1327" s="7">
        <f>IF(OR(D1327="",N(J1327)=0),"",MIN(1,N(K1327)/J1327))</f>
        <v/>
      </c>
      <c r="M1327" s="5" t="n"/>
      <c r="N1327" s="5" t="n"/>
      <c r="O1327" s="5" t="n"/>
      <c r="P1327" s="5" t="n"/>
      <c r="Q1327" s="5" t="n"/>
      <c r="R1327" s="4" t="n"/>
      <c r="S1327" s="4" t="n"/>
      <c r="T1327" s="5" t="n"/>
      <c r="U1327" s="8">
        <f>IF(AND(V1327=1,D1327&lt;&gt;""),IF(D1327&gt;=corte,TODAY()-D1327,""),"")</f>
        <v/>
      </c>
      <c r="V1327" s="8">
        <f>IF(D1327="",0,IF(OR(AND(P1327&lt;&gt;"",S1327=""),AND(N(J1327)&gt;0,N(K1327)&lt;J1327),OR(M1327="PENDENTE",M1327="PARCIAL"),OR(N1327="PENDENTE",N1327="PARCIAL")),1,0))</f>
        <v/>
      </c>
      <c r="W1327" s="8">
        <f>IF(AND(V1327=1,D1327&lt;&gt;""),IF(D1327&gt;=corte,(B1327="CRÍTICO")*1E9+(100000-D1327)*10000+10000-ROW(),""),"")</f>
        <v/>
      </c>
      <c r="X1327" s="8">
        <f>IF(AND(V1327=1,D1327=pas_data,E1327=pas_turno),10000-ROW(),"")</f>
        <v/>
      </c>
    </row>
    <row r="1328">
      <c r="A1328" s="3">
        <f>IF(D1328="","","TT-"&amp;TEXT(ROW()-1,"00000"))</f>
        <v/>
      </c>
      <c r="B1328" s="3">
        <f>IF(D1328="","",IF(V1328=0,"CONCLUÍDO",IF(D1328&lt;corte,"HISTÓRICO",IF(OR(AND(ISNUMBER(R1328),R1328&lt;TODAY()),AND(OR(N1328="PENDENTE",N1328="PARCIAL"),D1328&lt;TODAY()-1)),"CRÍTICO",IF(OR(AND(P1328&lt;&gt;"",S1328=""),AND(N1328="REALIZADO",M1328="PENDENTE"),AND(ISNUMBER(R1328),R1328=TODAY())),"ATENÇÃO",IF(N(K1328)=0,"PENDENTE","EM ANDAMENTO"))))))</f>
        <v/>
      </c>
      <c r="C1328" s="3">
        <f>IF(D1328="","",IF(V1328=0,"🟢 OK",IF(D1328&lt;corte,"⚪ HISTÓRICO (sem baixa)",IF(AND(ISNUMBER(R1328),R1328&lt;TODAY()),"🔴 PRAZO VENCIDO",IF(AND(OR(N1328="PENDENTE",N1328="PARCIAL"),D1328&lt;TODAY()-1),"🔴 EMBARQUE ATRASADO",IF(AND(N1328="REALIZADO",M1328="PENDENTE"),"🟡 EMBARCADO SEM FATURAR",IF(AND(P1328&lt;&gt;"",S1328="",OR(Q1328="",R1328="")),"🟡 PENDÊNCIA SEM RESPONSÁVEL/PRAZO",IF(AND(ISNUMBER(R1328),R1328=TODAY()),"🟡 VENCE HOJE",IF(AND(P1328&lt;&gt;"",S1328=""),"🟡 PENDÊNCIA ABERTA",IF(AND(N(J1328)&gt;0,N(K1328)&lt;J1328),"🟡 FALTA EXECUTAR",IF(OR(M1328="PENDENTE",M1328="PARCIAL"),"🟡 FATURAMENTO PENDENTE","🟡 EMBARQUE PENDENTE")))))))))))</f>
        <v/>
      </c>
      <c r="D1328" s="4" t="n"/>
      <c r="E1328" s="5" t="n"/>
      <c r="F1328" s="5" t="n"/>
      <c r="G1328" s="5" t="n"/>
      <c r="H1328" s="5" t="n"/>
      <c r="I1328" s="5" t="n"/>
      <c r="J1328" s="6" t="n"/>
      <c r="K1328" s="6" t="n"/>
      <c r="L1328" s="7">
        <f>IF(OR(D1328="",N(J1328)=0),"",MIN(1,N(K1328)/J1328))</f>
        <v/>
      </c>
      <c r="M1328" s="5" t="n"/>
      <c r="N1328" s="5" t="n"/>
      <c r="O1328" s="5" t="n"/>
      <c r="P1328" s="5" t="n"/>
      <c r="Q1328" s="5" t="n"/>
      <c r="R1328" s="4" t="n"/>
      <c r="S1328" s="4" t="n"/>
      <c r="T1328" s="5" t="n"/>
      <c r="U1328" s="8">
        <f>IF(AND(V1328=1,D1328&lt;&gt;""),IF(D1328&gt;=corte,TODAY()-D1328,""),"")</f>
        <v/>
      </c>
      <c r="V1328" s="8">
        <f>IF(D1328="",0,IF(OR(AND(P1328&lt;&gt;"",S1328=""),AND(N(J1328)&gt;0,N(K1328)&lt;J1328),OR(M1328="PENDENTE",M1328="PARCIAL"),OR(N1328="PENDENTE",N1328="PARCIAL")),1,0))</f>
        <v/>
      </c>
      <c r="W1328" s="8">
        <f>IF(AND(V1328=1,D1328&lt;&gt;""),IF(D1328&gt;=corte,(B1328="CRÍTICO")*1E9+(100000-D1328)*10000+10000-ROW(),""),"")</f>
        <v/>
      </c>
      <c r="X1328" s="8">
        <f>IF(AND(V1328=1,D1328=pas_data,E1328=pas_turno),10000-ROW(),"")</f>
        <v/>
      </c>
    </row>
    <row r="1329">
      <c r="A1329" s="3">
        <f>IF(D1329="","","TT-"&amp;TEXT(ROW()-1,"00000"))</f>
        <v/>
      </c>
      <c r="B1329" s="3">
        <f>IF(D1329="","",IF(V1329=0,"CONCLUÍDO",IF(D1329&lt;corte,"HISTÓRICO",IF(OR(AND(ISNUMBER(R1329),R1329&lt;TODAY()),AND(OR(N1329="PENDENTE",N1329="PARCIAL"),D1329&lt;TODAY()-1)),"CRÍTICO",IF(OR(AND(P1329&lt;&gt;"",S1329=""),AND(N1329="REALIZADO",M1329="PENDENTE"),AND(ISNUMBER(R1329),R1329=TODAY())),"ATENÇÃO",IF(N(K1329)=0,"PENDENTE","EM ANDAMENTO"))))))</f>
        <v/>
      </c>
      <c r="C1329" s="3">
        <f>IF(D1329="","",IF(V1329=0,"🟢 OK",IF(D1329&lt;corte,"⚪ HISTÓRICO (sem baixa)",IF(AND(ISNUMBER(R1329),R1329&lt;TODAY()),"🔴 PRAZO VENCIDO",IF(AND(OR(N1329="PENDENTE",N1329="PARCIAL"),D1329&lt;TODAY()-1),"🔴 EMBARQUE ATRASADO",IF(AND(N1329="REALIZADO",M1329="PENDENTE"),"🟡 EMBARCADO SEM FATURAR",IF(AND(P1329&lt;&gt;"",S1329="",OR(Q1329="",R1329="")),"🟡 PENDÊNCIA SEM RESPONSÁVEL/PRAZO",IF(AND(ISNUMBER(R1329),R1329=TODAY()),"🟡 VENCE HOJE",IF(AND(P1329&lt;&gt;"",S1329=""),"🟡 PENDÊNCIA ABERTA",IF(AND(N(J1329)&gt;0,N(K1329)&lt;J1329),"🟡 FALTA EXECUTAR",IF(OR(M1329="PENDENTE",M1329="PARCIAL"),"🟡 FATURAMENTO PENDENTE","🟡 EMBARQUE PENDENTE")))))))))))</f>
        <v/>
      </c>
      <c r="D1329" s="4" t="n"/>
      <c r="E1329" s="5" t="n"/>
      <c r="F1329" s="5" t="n"/>
      <c r="G1329" s="5" t="n"/>
      <c r="H1329" s="5" t="n"/>
      <c r="I1329" s="5" t="n"/>
      <c r="J1329" s="6" t="n"/>
      <c r="K1329" s="6" t="n"/>
      <c r="L1329" s="7">
        <f>IF(OR(D1329="",N(J1329)=0),"",MIN(1,N(K1329)/J1329))</f>
        <v/>
      </c>
      <c r="M1329" s="5" t="n"/>
      <c r="N1329" s="5" t="n"/>
      <c r="O1329" s="5" t="n"/>
      <c r="P1329" s="5" t="n"/>
      <c r="Q1329" s="5" t="n"/>
      <c r="R1329" s="4" t="n"/>
      <c r="S1329" s="4" t="n"/>
      <c r="T1329" s="5" t="n"/>
      <c r="U1329" s="8">
        <f>IF(AND(V1329=1,D1329&lt;&gt;""),IF(D1329&gt;=corte,TODAY()-D1329,""),"")</f>
        <v/>
      </c>
      <c r="V1329" s="8">
        <f>IF(D1329="",0,IF(OR(AND(P1329&lt;&gt;"",S1329=""),AND(N(J1329)&gt;0,N(K1329)&lt;J1329),OR(M1329="PENDENTE",M1329="PARCIAL"),OR(N1329="PENDENTE",N1329="PARCIAL")),1,0))</f>
        <v/>
      </c>
      <c r="W1329" s="8">
        <f>IF(AND(V1329=1,D1329&lt;&gt;""),IF(D1329&gt;=corte,(B1329="CRÍTICO")*1E9+(100000-D1329)*10000+10000-ROW(),""),"")</f>
        <v/>
      </c>
      <c r="X1329" s="8">
        <f>IF(AND(V1329=1,D1329=pas_data,E1329=pas_turno),10000-ROW(),"")</f>
        <v/>
      </c>
    </row>
    <row r="1330">
      <c r="A1330" s="3">
        <f>IF(D1330="","","TT-"&amp;TEXT(ROW()-1,"00000"))</f>
        <v/>
      </c>
      <c r="B1330" s="3">
        <f>IF(D1330="","",IF(V1330=0,"CONCLUÍDO",IF(D1330&lt;corte,"HISTÓRICO",IF(OR(AND(ISNUMBER(R1330),R1330&lt;TODAY()),AND(OR(N1330="PENDENTE",N1330="PARCIAL"),D1330&lt;TODAY()-1)),"CRÍTICO",IF(OR(AND(P1330&lt;&gt;"",S1330=""),AND(N1330="REALIZADO",M1330="PENDENTE"),AND(ISNUMBER(R1330),R1330=TODAY())),"ATENÇÃO",IF(N(K1330)=0,"PENDENTE","EM ANDAMENTO"))))))</f>
        <v/>
      </c>
      <c r="C1330" s="3">
        <f>IF(D1330="","",IF(V1330=0,"🟢 OK",IF(D1330&lt;corte,"⚪ HISTÓRICO (sem baixa)",IF(AND(ISNUMBER(R1330),R1330&lt;TODAY()),"🔴 PRAZO VENCIDO",IF(AND(OR(N1330="PENDENTE",N1330="PARCIAL"),D1330&lt;TODAY()-1),"🔴 EMBARQUE ATRASADO",IF(AND(N1330="REALIZADO",M1330="PENDENTE"),"🟡 EMBARCADO SEM FATURAR",IF(AND(P1330&lt;&gt;"",S1330="",OR(Q1330="",R1330="")),"🟡 PENDÊNCIA SEM RESPONSÁVEL/PRAZO",IF(AND(ISNUMBER(R1330),R1330=TODAY()),"🟡 VENCE HOJE",IF(AND(P1330&lt;&gt;"",S1330=""),"🟡 PENDÊNCIA ABERTA",IF(AND(N(J1330)&gt;0,N(K1330)&lt;J1330),"🟡 FALTA EXECUTAR",IF(OR(M1330="PENDENTE",M1330="PARCIAL"),"🟡 FATURAMENTO PENDENTE","🟡 EMBARQUE PENDENTE")))))))))))</f>
        <v/>
      </c>
      <c r="D1330" s="4" t="n"/>
      <c r="E1330" s="5" t="n"/>
      <c r="F1330" s="5" t="n"/>
      <c r="G1330" s="5" t="n"/>
      <c r="H1330" s="5" t="n"/>
      <c r="I1330" s="5" t="n"/>
      <c r="J1330" s="6" t="n"/>
      <c r="K1330" s="6" t="n"/>
      <c r="L1330" s="7">
        <f>IF(OR(D1330="",N(J1330)=0),"",MIN(1,N(K1330)/J1330))</f>
        <v/>
      </c>
      <c r="M1330" s="5" t="n"/>
      <c r="N1330" s="5" t="n"/>
      <c r="O1330" s="5" t="n"/>
      <c r="P1330" s="5" t="n"/>
      <c r="Q1330" s="5" t="n"/>
      <c r="R1330" s="4" t="n"/>
      <c r="S1330" s="4" t="n"/>
      <c r="T1330" s="5" t="n"/>
      <c r="U1330" s="8">
        <f>IF(AND(V1330=1,D1330&lt;&gt;""),IF(D1330&gt;=corte,TODAY()-D1330,""),"")</f>
        <v/>
      </c>
      <c r="V1330" s="8">
        <f>IF(D1330="",0,IF(OR(AND(P1330&lt;&gt;"",S1330=""),AND(N(J1330)&gt;0,N(K1330)&lt;J1330),OR(M1330="PENDENTE",M1330="PARCIAL"),OR(N1330="PENDENTE",N1330="PARCIAL")),1,0))</f>
        <v/>
      </c>
      <c r="W1330" s="8">
        <f>IF(AND(V1330=1,D1330&lt;&gt;""),IF(D1330&gt;=corte,(B1330="CRÍTICO")*1E9+(100000-D1330)*10000+10000-ROW(),""),"")</f>
        <v/>
      </c>
      <c r="X1330" s="8">
        <f>IF(AND(V1330=1,D1330=pas_data,E1330=pas_turno),10000-ROW(),"")</f>
        <v/>
      </c>
    </row>
    <row r="1331">
      <c r="A1331" s="3">
        <f>IF(D1331="","","TT-"&amp;TEXT(ROW()-1,"00000"))</f>
        <v/>
      </c>
      <c r="B1331" s="3">
        <f>IF(D1331="","",IF(V1331=0,"CONCLUÍDO",IF(D1331&lt;corte,"HISTÓRICO",IF(OR(AND(ISNUMBER(R1331),R1331&lt;TODAY()),AND(OR(N1331="PENDENTE",N1331="PARCIAL"),D1331&lt;TODAY()-1)),"CRÍTICO",IF(OR(AND(P1331&lt;&gt;"",S1331=""),AND(N1331="REALIZADO",M1331="PENDENTE"),AND(ISNUMBER(R1331),R1331=TODAY())),"ATENÇÃO",IF(N(K1331)=0,"PENDENTE","EM ANDAMENTO"))))))</f>
        <v/>
      </c>
      <c r="C1331" s="3">
        <f>IF(D1331="","",IF(V1331=0,"🟢 OK",IF(D1331&lt;corte,"⚪ HISTÓRICO (sem baixa)",IF(AND(ISNUMBER(R1331),R1331&lt;TODAY()),"🔴 PRAZO VENCIDO",IF(AND(OR(N1331="PENDENTE",N1331="PARCIAL"),D1331&lt;TODAY()-1),"🔴 EMBARQUE ATRASADO",IF(AND(N1331="REALIZADO",M1331="PENDENTE"),"🟡 EMBARCADO SEM FATURAR",IF(AND(P1331&lt;&gt;"",S1331="",OR(Q1331="",R1331="")),"🟡 PENDÊNCIA SEM RESPONSÁVEL/PRAZO",IF(AND(ISNUMBER(R1331),R1331=TODAY()),"🟡 VENCE HOJE",IF(AND(P1331&lt;&gt;"",S1331=""),"🟡 PENDÊNCIA ABERTA",IF(AND(N(J1331)&gt;0,N(K1331)&lt;J1331),"🟡 FALTA EXECUTAR",IF(OR(M1331="PENDENTE",M1331="PARCIAL"),"🟡 FATURAMENTO PENDENTE","🟡 EMBARQUE PENDENTE")))))))))))</f>
        <v/>
      </c>
      <c r="D1331" s="4" t="n"/>
      <c r="E1331" s="5" t="n"/>
      <c r="F1331" s="5" t="n"/>
      <c r="G1331" s="5" t="n"/>
      <c r="H1331" s="5" t="n"/>
      <c r="I1331" s="5" t="n"/>
      <c r="J1331" s="6" t="n"/>
      <c r="K1331" s="6" t="n"/>
      <c r="L1331" s="7">
        <f>IF(OR(D1331="",N(J1331)=0),"",MIN(1,N(K1331)/J1331))</f>
        <v/>
      </c>
      <c r="M1331" s="5" t="n"/>
      <c r="N1331" s="5" t="n"/>
      <c r="O1331" s="5" t="n"/>
      <c r="P1331" s="5" t="n"/>
      <c r="Q1331" s="5" t="n"/>
      <c r="R1331" s="4" t="n"/>
      <c r="S1331" s="4" t="n"/>
      <c r="T1331" s="5" t="n"/>
      <c r="U1331" s="8">
        <f>IF(AND(V1331=1,D1331&lt;&gt;""),IF(D1331&gt;=corte,TODAY()-D1331,""),"")</f>
        <v/>
      </c>
      <c r="V1331" s="8">
        <f>IF(D1331="",0,IF(OR(AND(P1331&lt;&gt;"",S1331=""),AND(N(J1331)&gt;0,N(K1331)&lt;J1331),OR(M1331="PENDENTE",M1331="PARCIAL"),OR(N1331="PENDENTE",N1331="PARCIAL")),1,0))</f>
        <v/>
      </c>
      <c r="W1331" s="8">
        <f>IF(AND(V1331=1,D1331&lt;&gt;""),IF(D1331&gt;=corte,(B1331="CRÍTICO")*1E9+(100000-D1331)*10000+10000-ROW(),""),"")</f>
        <v/>
      </c>
      <c r="X1331" s="8">
        <f>IF(AND(V1331=1,D1331=pas_data,E1331=pas_turno),10000-ROW(),"")</f>
        <v/>
      </c>
    </row>
    <row r="1332">
      <c r="A1332" s="3">
        <f>IF(D1332="","","TT-"&amp;TEXT(ROW()-1,"00000"))</f>
        <v/>
      </c>
      <c r="B1332" s="3">
        <f>IF(D1332="","",IF(V1332=0,"CONCLUÍDO",IF(D1332&lt;corte,"HISTÓRICO",IF(OR(AND(ISNUMBER(R1332),R1332&lt;TODAY()),AND(OR(N1332="PENDENTE",N1332="PARCIAL"),D1332&lt;TODAY()-1)),"CRÍTICO",IF(OR(AND(P1332&lt;&gt;"",S1332=""),AND(N1332="REALIZADO",M1332="PENDENTE"),AND(ISNUMBER(R1332),R1332=TODAY())),"ATENÇÃO",IF(N(K1332)=0,"PENDENTE","EM ANDAMENTO"))))))</f>
        <v/>
      </c>
      <c r="C1332" s="3">
        <f>IF(D1332="","",IF(V1332=0,"🟢 OK",IF(D1332&lt;corte,"⚪ HISTÓRICO (sem baixa)",IF(AND(ISNUMBER(R1332),R1332&lt;TODAY()),"🔴 PRAZO VENCIDO",IF(AND(OR(N1332="PENDENTE",N1332="PARCIAL"),D1332&lt;TODAY()-1),"🔴 EMBARQUE ATRASADO",IF(AND(N1332="REALIZADO",M1332="PENDENTE"),"🟡 EMBARCADO SEM FATURAR",IF(AND(P1332&lt;&gt;"",S1332="",OR(Q1332="",R1332="")),"🟡 PENDÊNCIA SEM RESPONSÁVEL/PRAZO",IF(AND(ISNUMBER(R1332),R1332=TODAY()),"🟡 VENCE HOJE",IF(AND(P1332&lt;&gt;"",S1332=""),"🟡 PENDÊNCIA ABERTA",IF(AND(N(J1332)&gt;0,N(K1332)&lt;J1332),"🟡 FALTA EXECUTAR",IF(OR(M1332="PENDENTE",M1332="PARCIAL"),"🟡 FATURAMENTO PENDENTE","🟡 EMBARQUE PENDENTE")))))))))))</f>
        <v/>
      </c>
      <c r="D1332" s="4" t="n"/>
      <c r="E1332" s="5" t="n"/>
      <c r="F1332" s="5" t="n"/>
      <c r="G1332" s="5" t="n"/>
      <c r="H1332" s="5" t="n"/>
      <c r="I1332" s="5" t="n"/>
      <c r="J1332" s="6" t="n"/>
      <c r="K1332" s="6" t="n"/>
      <c r="L1332" s="7">
        <f>IF(OR(D1332="",N(J1332)=0),"",MIN(1,N(K1332)/J1332))</f>
        <v/>
      </c>
      <c r="M1332" s="5" t="n"/>
      <c r="N1332" s="5" t="n"/>
      <c r="O1332" s="5" t="n"/>
      <c r="P1332" s="5" t="n"/>
      <c r="Q1332" s="5" t="n"/>
      <c r="R1332" s="4" t="n"/>
      <c r="S1332" s="4" t="n"/>
      <c r="T1332" s="5" t="n"/>
      <c r="U1332" s="8">
        <f>IF(AND(V1332=1,D1332&lt;&gt;""),IF(D1332&gt;=corte,TODAY()-D1332,""),"")</f>
        <v/>
      </c>
      <c r="V1332" s="8">
        <f>IF(D1332="",0,IF(OR(AND(P1332&lt;&gt;"",S1332=""),AND(N(J1332)&gt;0,N(K1332)&lt;J1332),OR(M1332="PENDENTE",M1332="PARCIAL"),OR(N1332="PENDENTE",N1332="PARCIAL")),1,0))</f>
        <v/>
      </c>
      <c r="W1332" s="8">
        <f>IF(AND(V1332=1,D1332&lt;&gt;""),IF(D1332&gt;=corte,(B1332="CRÍTICO")*1E9+(100000-D1332)*10000+10000-ROW(),""),"")</f>
        <v/>
      </c>
      <c r="X1332" s="8">
        <f>IF(AND(V1332=1,D1332=pas_data,E1332=pas_turno),10000-ROW(),"")</f>
        <v/>
      </c>
    </row>
    <row r="1333">
      <c r="A1333" s="3">
        <f>IF(D1333="","","TT-"&amp;TEXT(ROW()-1,"00000"))</f>
        <v/>
      </c>
      <c r="B1333" s="3">
        <f>IF(D1333="","",IF(V1333=0,"CONCLUÍDO",IF(D1333&lt;corte,"HISTÓRICO",IF(OR(AND(ISNUMBER(R1333),R1333&lt;TODAY()),AND(OR(N1333="PENDENTE",N1333="PARCIAL"),D1333&lt;TODAY()-1)),"CRÍTICO",IF(OR(AND(P1333&lt;&gt;"",S1333=""),AND(N1333="REALIZADO",M1333="PENDENTE"),AND(ISNUMBER(R1333),R1333=TODAY())),"ATENÇÃO",IF(N(K1333)=0,"PENDENTE","EM ANDAMENTO"))))))</f>
        <v/>
      </c>
      <c r="C1333" s="3">
        <f>IF(D1333="","",IF(V1333=0,"🟢 OK",IF(D1333&lt;corte,"⚪ HISTÓRICO (sem baixa)",IF(AND(ISNUMBER(R1333),R1333&lt;TODAY()),"🔴 PRAZO VENCIDO",IF(AND(OR(N1333="PENDENTE",N1333="PARCIAL"),D1333&lt;TODAY()-1),"🔴 EMBARQUE ATRASADO",IF(AND(N1333="REALIZADO",M1333="PENDENTE"),"🟡 EMBARCADO SEM FATURAR",IF(AND(P1333&lt;&gt;"",S1333="",OR(Q1333="",R1333="")),"🟡 PENDÊNCIA SEM RESPONSÁVEL/PRAZO",IF(AND(ISNUMBER(R1333),R1333=TODAY()),"🟡 VENCE HOJE",IF(AND(P1333&lt;&gt;"",S1333=""),"🟡 PENDÊNCIA ABERTA",IF(AND(N(J1333)&gt;0,N(K1333)&lt;J1333),"🟡 FALTA EXECUTAR",IF(OR(M1333="PENDENTE",M1333="PARCIAL"),"🟡 FATURAMENTO PENDENTE","🟡 EMBARQUE PENDENTE")))))))))))</f>
        <v/>
      </c>
      <c r="D1333" s="4" t="n"/>
      <c r="E1333" s="5" t="n"/>
      <c r="F1333" s="5" t="n"/>
      <c r="G1333" s="5" t="n"/>
      <c r="H1333" s="5" t="n"/>
      <c r="I1333" s="5" t="n"/>
      <c r="J1333" s="6" t="n"/>
      <c r="K1333" s="6" t="n"/>
      <c r="L1333" s="7">
        <f>IF(OR(D1333="",N(J1333)=0),"",MIN(1,N(K1333)/J1333))</f>
        <v/>
      </c>
      <c r="M1333" s="5" t="n"/>
      <c r="N1333" s="5" t="n"/>
      <c r="O1333" s="5" t="n"/>
      <c r="P1333" s="5" t="n"/>
      <c r="Q1333" s="5" t="n"/>
      <c r="R1333" s="4" t="n"/>
      <c r="S1333" s="4" t="n"/>
      <c r="T1333" s="5" t="n"/>
      <c r="U1333" s="8">
        <f>IF(AND(V1333=1,D1333&lt;&gt;""),IF(D1333&gt;=corte,TODAY()-D1333,""),"")</f>
        <v/>
      </c>
      <c r="V1333" s="8">
        <f>IF(D1333="",0,IF(OR(AND(P1333&lt;&gt;"",S1333=""),AND(N(J1333)&gt;0,N(K1333)&lt;J1333),OR(M1333="PENDENTE",M1333="PARCIAL"),OR(N1333="PENDENTE",N1333="PARCIAL")),1,0))</f>
        <v/>
      </c>
      <c r="W1333" s="8">
        <f>IF(AND(V1333=1,D1333&lt;&gt;""),IF(D1333&gt;=corte,(B1333="CRÍTICO")*1E9+(100000-D1333)*10000+10000-ROW(),""),"")</f>
        <v/>
      </c>
      <c r="X1333" s="8">
        <f>IF(AND(V1333=1,D1333=pas_data,E1333=pas_turno),10000-ROW(),"")</f>
        <v/>
      </c>
    </row>
    <row r="1334">
      <c r="A1334" s="3">
        <f>IF(D1334="","","TT-"&amp;TEXT(ROW()-1,"00000"))</f>
        <v/>
      </c>
      <c r="B1334" s="3">
        <f>IF(D1334="","",IF(V1334=0,"CONCLUÍDO",IF(D1334&lt;corte,"HISTÓRICO",IF(OR(AND(ISNUMBER(R1334),R1334&lt;TODAY()),AND(OR(N1334="PENDENTE",N1334="PARCIAL"),D1334&lt;TODAY()-1)),"CRÍTICO",IF(OR(AND(P1334&lt;&gt;"",S1334=""),AND(N1334="REALIZADO",M1334="PENDENTE"),AND(ISNUMBER(R1334),R1334=TODAY())),"ATENÇÃO",IF(N(K1334)=0,"PENDENTE","EM ANDAMENTO"))))))</f>
        <v/>
      </c>
      <c r="C1334" s="3">
        <f>IF(D1334="","",IF(V1334=0,"🟢 OK",IF(D1334&lt;corte,"⚪ HISTÓRICO (sem baixa)",IF(AND(ISNUMBER(R1334),R1334&lt;TODAY()),"🔴 PRAZO VENCIDO",IF(AND(OR(N1334="PENDENTE",N1334="PARCIAL"),D1334&lt;TODAY()-1),"🔴 EMBARQUE ATRASADO",IF(AND(N1334="REALIZADO",M1334="PENDENTE"),"🟡 EMBARCADO SEM FATURAR",IF(AND(P1334&lt;&gt;"",S1334="",OR(Q1334="",R1334="")),"🟡 PENDÊNCIA SEM RESPONSÁVEL/PRAZO",IF(AND(ISNUMBER(R1334),R1334=TODAY()),"🟡 VENCE HOJE",IF(AND(P1334&lt;&gt;"",S1334=""),"🟡 PENDÊNCIA ABERTA",IF(AND(N(J1334)&gt;0,N(K1334)&lt;J1334),"🟡 FALTA EXECUTAR",IF(OR(M1334="PENDENTE",M1334="PARCIAL"),"🟡 FATURAMENTO PENDENTE","🟡 EMBARQUE PENDENTE")))))))))))</f>
        <v/>
      </c>
      <c r="D1334" s="4" t="n"/>
      <c r="E1334" s="5" t="n"/>
      <c r="F1334" s="5" t="n"/>
      <c r="G1334" s="5" t="n"/>
      <c r="H1334" s="5" t="n"/>
      <c r="I1334" s="5" t="n"/>
      <c r="J1334" s="6" t="n"/>
      <c r="K1334" s="6" t="n"/>
      <c r="L1334" s="7">
        <f>IF(OR(D1334="",N(J1334)=0),"",MIN(1,N(K1334)/J1334))</f>
        <v/>
      </c>
      <c r="M1334" s="5" t="n"/>
      <c r="N1334" s="5" t="n"/>
      <c r="O1334" s="5" t="n"/>
      <c r="P1334" s="5" t="n"/>
      <c r="Q1334" s="5" t="n"/>
      <c r="R1334" s="4" t="n"/>
      <c r="S1334" s="4" t="n"/>
      <c r="T1334" s="5" t="n"/>
      <c r="U1334" s="8">
        <f>IF(AND(V1334=1,D1334&lt;&gt;""),IF(D1334&gt;=corte,TODAY()-D1334,""),"")</f>
        <v/>
      </c>
      <c r="V1334" s="8">
        <f>IF(D1334="",0,IF(OR(AND(P1334&lt;&gt;"",S1334=""),AND(N(J1334)&gt;0,N(K1334)&lt;J1334),OR(M1334="PENDENTE",M1334="PARCIAL"),OR(N1334="PENDENTE",N1334="PARCIAL")),1,0))</f>
        <v/>
      </c>
      <c r="W1334" s="8">
        <f>IF(AND(V1334=1,D1334&lt;&gt;""),IF(D1334&gt;=corte,(B1334="CRÍTICO")*1E9+(100000-D1334)*10000+10000-ROW(),""),"")</f>
        <v/>
      </c>
      <c r="X1334" s="8">
        <f>IF(AND(V1334=1,D1334=pas_data,E1334=pas_turno),10000-ROW(),"")</f>
        <v/>
      </c>
    </row>
    <row r="1335">
      <c r="A1335" s="3">
        <f>IF(D1335="","","TT-"&amp;TEXT(ROW()-1,"00000"))</f>
        <v/>
      </c>
      <c r="B1335" s="3">
        <f>IF(D1335="","",IF(V1335=0,"CONCLUÍDO",IF(D1335&lt;corte,"HISTÓRICO",IF(OR(AND(ISNUMBER(R1335),R1335&lt;TODAY()),AND(OR(N1335="PENDENTE",N1335="PARCIAL"),D1335&lt;TODAY()-1)),"CRÍTICO",IF(OR(AND(P1335&lt;&gt;"",S1335=""),AND(N1335="REALIZADO",M1335="PENDENTE"),AND(ISNUMBER(R1335),R1335=TODAY())),"ATENÇÃO",IF(N(K1335)=0,"PENDENTE","EM ANDAMENTO"))))))</f>
        <v/>
      </c>
      <c r="C1335" s="3">
        <f>IF(D1335="","",IF(V1335=0,"🟢 OK",IF(D1335&lt;corte,"⚪ HISTÓRICO (sem baixa)",IF(AND(ISNUMBER(R1335),R1335&lt;TODAY()),"🔴 PRAZO VENCIDO",IF(AND(OR(N1335="PENDENTE",N1335="PARCIAL"),D1335&lt;TODAY()-1),"🔴 EMBARQUE ATRASADO",IF(AND(N1335="REALIZADO",M1335="PENDENTE"),"🟡 EMBARCADO SEM FATURAR",IF(AND(P1335&lt;&gt;"",S1335="",OR(Q1335="",R1335="")),"🟡 PENDÊNCIA SEM RESPONSÁVEL/PRAZO",IF(AND(ISNUMBER(R1335),R1335=TODAY()),"🟡 VENCE HOJE",IF(AND(P1335&lt;&gt;"",S1335=""),"🟡 PENDÊNCIA ABERTA",IF(AND(N(J1335)&gt;0,N(K1335)&lt;J1335),"🟡 FALTA EXECUTAR",IF(OR(M1335="PENDENTE",M1335="PARCIAL"),"🟡 FATURAMENTO PENDENTE","🟡 EMBARQUE PENDENTE")))))))))))</f>
        <v/>
      </c>
      <c r="D1335" s="4" t="n"/>
      <c r="E1335" s="5" t="n"/>
      <c r="F1335" s="5" t="n"/>
      <c r="G1335" s="5" t="n"/>
      <c r="H1335" s="5" t="n"/>
      <c r="I1335" s="5" t="n"/>
      <c r="J1335" s="6" t="n"/>
      <c r="K1335" s="6" t="n"/>
      <c r="L1335" s="7">
        <f>IF(OR(D1335="",N(J1335)=0),"",MIN(1,N(K1335)/J1335))</f>
        <v/>
      </c>
      <c r="M1335" s="5" t="n"/>
      <c r="N1335" s="5" t="n"/>
      <c r="O1335" s="5" t="n"/>
      <c r="P1335" s="5" t="n"/>
      <c r="Q1335" s="5" t="n"/>
      <c r="R1335" s="4" t="n"/>
      <c r="S1335" s="4" t="n"/>
      <c r="T1335" s="5" t="n"/>
      <c r="U1335" s="8">
        <f>IF(AND(V1335=1,D1335&lt;&gt;""),IF(D1335&gt;=corte,TODAY()-D1335,""),"")</f>
        <v/>
      </c>
      <c r="V1335" s="8">
        <f>IF(D1335="",0,IF(OR(AND(P1335&lt;&gt;"",S1335=""),AND(N(J1335)&gt;0,N(K1335)&lt;J1335),OR(M1335="PENDENTE",M1335="PARCIAL"),OR(N1335="PENDENTE",N1335="PARCIAL")),1,0))</f>
        <v/>
      </c>
      <c r="W1335" s="8">
        <f>IF(AND(V1335=1,D1335&lt;&gt;""),IF(D1335&gt;=corte,(B1335="CRÍTICO")*1E9+(100000-D1335)*10000+10000-ROW(),""),"")</f>
        <v/>
      </c>
      <c r="X1335" s="8">
        <f>IF(AND(V1335=1,D1335=pas_data,E1335=pas_turno),10000-ROW(),"")</f>
        <v/>
      </c>
    </row>
    <row r="1336">
      <c r="A1336" s="3">
        <f>IF(D1336="","","TT-"&amp;TEXT(ROW()-1,"00000"))</f>
        <v/>
      </c>
      <c r="B1336" s="3">
        <f>IF(D1336="","",IF(V1336=0,"CONCLUÍDO",IF(D1336&lt;corte,"HISTÓRICO",IF(OR(AND(ISNUMBER(R1336),R1336&lt;TODAY()),AND(OR(N1336="PENDENTE",N1336="PARCIAL"),D1336&lt;TODAY()-1)),"CRÍTICO",IF(OR(AND(P1336&lt;&gt;"",S1336=""),AND(N1336="REALIZADO",M1336="PENDENTE"),AND(ISNUMBER(R1336),R1336=TODAY())),"ATENÇÃO",IF(N(K1336)=0,"PENDENTE","EM ANDAMENTO"))))))</f>
        <v/>
      </c>
      <c r="C1336" s="3">
        <f>IF(D1336="","",IF(V1336=0,"🟢 OK",IF(D1336&lt;corte,"⚪ HISTÓRICO (sem baixa)",IF(AND(ISNUMBER(R1336),R1336&lt;TODAY()),"🔴 PRAZO VENCIDO",IF(AND(OR(N1336="PENDENTE",N1336="PARCIAL"),D1336&lt;TODAY()-1),"🔴 EMBARQUE ATRASADO",IF(AND(N1336="REALIZADO",M1336="PENDENTE"),"🟡 EMBARCADO SEM FATURAR",IF(AND(P1336&lt;&gt;"",S1336="",OR(Q1336="",R1336="")),"🟡 PENDÊNCIA SEM RESPONSÁVEL/PRAZO",IF(AND(ISNUMBER(R1336),R1336=TODAY()),"🟡 VENCE HOJE",IF(AND(P1336&lt;&gt;"",S1336=""),"🟡 PENDÊNCIA ABERTA",IF(AND(N(J1336)&gt;0,N(K1336)&lt;J1336),"🟡 FALTA EXECUTAR",IF(OR(M1336="PENDENTE",M1336="PARCIAL"),"🟡 FATURAMENTO PENDENTE","🟡 EMBARQUE PENDENTE")))))))))))</f>
        <v/>
      </c>
      <c r="D1336" s="4" t="n"/>
      <c r="E1336" s="5" t="n"/>
      <c r="F1336" s="5" t="n"/>
      <c r="G1336" s="5" t="n"/>
      <c r="H1336" s="5" t="n"/>
      <c r="I1336" s="5" t="n"/>
      <c r="J1336" s="6" t="n"/>
      <c r="K1336" s="6" t="n"/>
      <c r="L1336" s="7">
        <f>IF(OR(D1336="",N(J1336)=0),"",MIN(1,N(K1336)/J1336))</f>
        <v/>
      </c>
      <c r="M1336" s="5" t="n"/>
      <c r="N1336" s="5" t="n"/>
      <c r="O1336" s="5" t="n"/>
      <c r="P1336" s="5" t="n"/>
      <c r="Q1336" s="5" t="n"/>
      <c r="R1336" s="4" t="n"/>
      <c r="S1336" s="4" t="n"/>
      <c r="T1336" s="5" t="n"/>
      <c r="U1336" s="8">
        <f>IF(AND(V1336=1,D1336&lt;&gt;""),IF(D1336&gt;=corte,TODAY()-D1336,""),"")</f>
        <v/>
      </c>
      <c r="V1336" s="8">
        <f>IF(D1336="",0,IF(OR(AND(P1336&lt;&gt;"",S1336=""),AND(N(J1336)&gt;0,N(K1336)&lt;J1336),OR(M1336="PENDENTE",M1336="PARCIAL"),OR(N1336="PENDENTE",N1336="PARCIAL")),1,0))</f>
        <v/>
      </c>
      <c r="W1336" s="8">
        <f>IF(AND(V1336=1,D1336&lt;&gt;""),IF(D1336&gt;=corte,(B1336="CRÍTICO")*1E9+(100000-D1336)*10000+10000-ROW(),""),"")</f>
        <v/>
      </c>
      <c r="X1336" s="8">
        <f>IF(AND(V1336=1,D1336=pas_data,E1336=pas_turno),10000-ROW(),"")</f>
        <v/>
      </c>
    </row>
    <row r="1337">
      <c r="A1337" s="3">
        <f>IF(D1337="","","TT-"&amp;TEXT(ROW()-1,"00000"))</f>
        <v/>
      </c>
      <c r="B1337" s="3">
        <f>IF(D1337="","",IF(V1337=0,"CONCLUÍDO",IF(D1337&lt;corte,"HISTÓRICO",IF(OR(AND(ISNUMBER(R1337),R1337&lt;TODAY()),AND(OR(N1337="PENDENTE",N1337="PARCIAL"),D1337&lt;TODAY()-1)),"CRÍTICO",IF(OR(AND(P1337&lt;&gt;"",S1337=""),AND(N1337="REALIZADO",M1337="PENDENTE"),AND(ISNUMBER(R1337),R1337=TODAY())),"ATENÇÃO",IF(N(K1337)=0,"PENDENTE","EM ANDAMENTO"))))))</f>
        <v/>
      </c>
      <c r="C1337" s="3">
        <f>IF(D1337="","",IF(V1337=0,"🟢 OK",IF(D1337&lt;corte,"⚪ HISTÓRICO (sem baixa)",IF(AND(ISNUMBER(R1337),R1337&lt;TODAY()),"🔴 PRAZO VENCIDO",IF(AND(OR(N1337="PENDENTE",N1337="PARCIAL"),D1337&lt;TODAY()-1),"🔴 EMBARQUE ATRASADO",IF(AND(N1337="REALIZADO",M1337="PENDENTE"),"🟡 EMBARCADO SEM FATURAR",IF(AND(P1337&lt;&gt;"",S1337="",OR(Q1337="",R1337="")),"🟡 PENDÊNCIA SEM RESPONSÁVEL/PRAZO",IF(AND(ISNUMBER(R1337),R1337=TODAY()),"🟡 VENCE HOJE",IF(AND(P1337&lt;&gt;"",S1337=""),"🟡 PENDÊNCIA ABERTA",IF(AND(N(J1337)&gt;0,N(K1337)&lt;J1337),"🟡 FALTA EXECUTAR",IF(OR(M1337="PENDENTE",M1337="PARCIAL"),"🟡 FATURAMENTO PENDENTE","🟡 EMBARQUE PENDENTE")))))))))))</f>
        <v/>
      </c>
      <c r="D1337" s="4" t="n"/>
      <c r="E1337" s="5" t="n"/>
      <c r="F1337" s="5" t="n"/>
      <c r="G1337" s="5" t="n"/>
      <c r="H1337" s="5" t="n"/>
      <c r="I1337" s="5" t="n"/>
      <c r="J1337" s="6" t="n"/>
      <c r="K1337" s="6" t="n"/>
      <c r="L1337" s="7">
        <f>IF(OR(D1337="",N(J1337)=0),"",MIN(1,N(K1337)/J1337))</f>
        <v/>
      </c>
      <c r="M1337" s="5" t="n"/>
      <c r="N1337" s="5" t="n"/>
      <c r="O1337" s="5" t="n"/>
      <c r="P1337" s="5" t="n"/>
      <c r="Q1337" s="5" t="n"/>
      <c r="R1337" s="4" t="n"/>
      <c r="S1337" s="4" t="n"/>
      <c r="T1337" s="5" t="n"/>
      <c r="U1337" s="8">
        <f>IF(AND(V1337=1,D1337&lt;&gt;""),IF(D1337&gt;=corte,TODAY()-D1337,""),"")</f>
        <v/>
      </c>
      <c r="V1337" s="8">
        <f>IF(D1337="",0,IF(OR(AND(P1337&lt;&gt;"",S1337=""),AND(N(J1337)&gt;0,N(K1337)&lt;J1337),OR(M1337="PENDENTE",M1337="PARCIAL"),OR(N1337="PENDENTE",N1337="PARCIAL")),1,0))</f>
        <v/>
      </c>
      <c r="W1337" s="8">
        <f>IF(AND(V1337=1,D1337&lt;&gt;""),IF(D1337&gt;=corte,(B1337="CRÍTICO")*1E9+(100000-D1337)*10000+10000-ROW(),""),"")</f>
        <v/>
      </c>
      <c r="X1337" s="8">
        <f>IF(AND(V1337=1,D1337=pas_data,E1337=pas_turno),10000-ROW(),"")</f>
        <v/>
      </c>
    </row>
    <row r="1338">
      <c r="A1338" s="3">
        <f>IF(D1338="","","TT-"&amp;TEXT(ROW()-1,"00000"))</f>
        <v/>
      </c>
      <c r="B1338" s="3">
        <f>IF(D1338="","",IF(V1338=0,"CONCLUÍDO",IF(D1338&lt;corte,"HISTÓRICO",IF(OR(AND(ISNUMBER(R1338),R1338&lt;TODAY()),AND(OR(N1338="PENDENTE",N1338="PARCIAL"),D1338&lt;TODAY()-1)),"CRÍTICO",IF(OR(AND(P1338&lt;&gt;"",S1338=""),AND(N1338="REALIZADO",M1338="PENDENTE"),AND(ISNUMBER(R1338),R1338=TODAY())),"ATENÇÃO",IF(N(K1338)=0,"PENDENTE","EM ANDAMENTO"))))))</f>
        <v/>
      </c>
      <c r="C1338" s="3">
        <f>IF(D1338="","",IF(V1338=0,"🟢 OK",IF(D1338&lt;corte,"⚪ HISTÓRICO (sem baixa)",IF(AND(ISNUMBER(R1338),R1338&lt;TODAY()),"🔴 PRAZO VENCIDO",IF(AND(OR(N1338="PENDENTE",N1338="PARCIAL"),D1338&lt;TODAY()-1),"🔴 EMBARQUE ATRASADO",IF(AND(N1338="REALIZADO",M1338="PENDENTE"),"🟡 EMBARCADO SEM FATURAR",IF(AND(P1338&lt;&gt;"",S1338="",OR(Q1338="",R1338="")),"🟡 PENDÊNCIA SEM RESPONSÁVEL/PRAZO",IF(AND(ISNUMBER(R1338),R1338=TODAY()),"🟡 VENCE HOJE",IF(AND(P1338&lt;&gt;"",S1338=""),"🟡 PENDÊNCIA ABERTA",IF(AND(N(J1338)&gt;0,N(K1338)&lt;J1338),"🟡 FALTA EXECUTAR",IF(OR(M1338="PENDENTE",M1338="PARCIAL"),"🟡 FATURAMENTO PENDENTE","🟡 EMBARQUE PENDENTE")))))))))))</f>
        <v/>
      </c>
      <c r="D1338" s="4" t="n"/>
      <c r="E1338" s="5" t="n"/>
      <c r="F1338" s="5" t="n"/>
      <c r="G1338" s="5" t="n"/>
      <c r="H1338" s="5" t="n"/>
      <c r="I1338" s="5" t="n"/>
      <c r="J1338" s="6" t="n"/>
      <c r="K1338" s="6" t="n"/>
      <c r="L1338" s="7">
        <f>IF(OR(D1338="",N(J1338)=0),"",MIN(1,N(K1338)/J1338))</f>
        <v/>
      </c>
      <c r="M1338" s="5" t="n"/>
      <c r="N1338" s="5" t="n"/>
      <c r="O1338" s="5" t="n"/>
      <c r="P1338" s="5" t="n"/>
      <c r="Q1338" s="5" t="n"/>
      <c r="R1338" s="4" t="n"/>
      <c r="S1338" s="4" t="n"/>
      <c r="T1338" s="5" t="n"/>
      <c r="U1338" s="8">
        <f>IF(AND(V1338=1,D1338&lt;&gt;""),IF(D1338&gt;=corte,TODAY()-D1338,""),"")</f>
        <v/>
      </c>
      <c r="V1338" s="8">
        <f>IF(D1338="",0,IF(OR(AND(P1338&lt;&gt;"",S1338=""),AND(N(J1338)&gt;0,N(K1338)&lt;J1338),OR(M1338="PENDENTE",M1338="PARCIAL"),OR(N1338="PENDENTE",N1338="PARCIAL")),1,0))</f>
        <v/>
      </c>
      <c r="W1338" s="8">
        <f>IF(AND(V1338=1,D1338&lt;&gt;""),IF(D1338&gt;=corte,(B1338="CRÍTICO")*1E9+(100000-D1338)*10000+10000-ROW(),""),"")</f>
        <v/>
      </c>
      <c r="X1338" s="8">
        <f>IF(AND(V1338=1,D1338=pas_data,E1338=pas_turno),10000-ROW(),"")</f>
        <v/>
      </c>
    </row>
    <row r="1339">
      <c r="A1339" s="3">
        <f>IF(D1339="","","TT-"&amp;TEXT(ROW()-1,"00000"))</f>
        <v/>
      </c>
      <c r="B1339" s="3">
        <f>IF(D1339="","",IF(V1339=0,"CONCLUÍDO",IF(D1339&lt;corte,"HISTÓRICO",IF(OR(AND(ISNUMBER(R1339),R1339&lt;TODAY()),AND(OR(N1339="PENDENTE",N1339="PARCIAL"),D1339&lt;TODAY()-1)),"CRÍTICO",IF(OR(AND(P1339&lt;&gt;"",S1339=""),AND(N1339="REALIZADO",M1339="PENDENTE"),AND(ISNUMBER(R1339),R1339=TODAY())),"ATENÇÃO",IF(N(K1339)=0,"PENDENTE","EM ANDAMENTO"))))))</f>
        <v/>
      </c>
      <c r="C1339" s="3">
        <f>IF(D1339="","",IF(V1339=0,"🟢 OK",IF(D1339&lt;corte,"⚪ HISTÓRICO (sem baixa)",IF(AND(ISNUMBER(R1339),R1339&lt;TODAY()),"🔴 PRAZO VENCIDO",IF(AND(OR(N1339="PENDENTE",N1339="PARCIAL"),D1339&lt;TODAY()-1),"🔴 EMBARQUE ATRASADO",IF(AND(N1339="REALIZADO",M1339="PENDENTE"),"🟡 EMBARCADO SEM FATURAR",IF(AND(P1339&lt;&gt;"",S1339="",OR(Q1339="",R1339="")),"🟡 PENDÊNCIA SEM RESPONSÁVEL/PRAZO",IF(AND(ISNUMBER(R1339),R1339=TODAY()),"🟡 VENCE HOJE",IF(AND(P1339&lt;&gt;"",S1339=""),"🟡 PENDÊNCIA ABERTA",IF(AND(N(J1339)&gt;0,N(K1339)&lt;J1339),"🟡 FALTA EXECUTAR",IF(OR(M1339="PENDENTE",M1339="PARCIAL"),"🟡 FATURAMENTO PENDENTE","🟡 EMBARQUE PENDENTE")))))))))))</f>
        <v/>
      </c>
      <c r="D1339" s="4" t="n"/>
      <c r="E1339" s="5" t="n"/>
      <c r="F1339" s="5" t="n"/>
      <c r="G1339" s="5" t="n"/>
      <c r="H1339" s="5" t="n"/>
      <c r="I1339" s="5" t="n"/>
      <c r="J1339" s="6" t="n"/>
      <c r="K1339" s="6" t="n"/>
      <c r="L1339" s="7">
        <f>IF(OR(D1339="",N(J1339)=0),"",MIN(1,N(K1339)/J1339))</f>
        <v/>
      </c>
      <c r="M1339" s="5" t="n"/>
      <c r="N1339" s="5" t="n"/>
      <c r="O1339" s="5" t="n"/>
      <c r="P1339" s="5" t="n"/>
      <c r="Q1339" s="5" t="n"/>
      <c r="R1339" s="4" t="n"/>
      <c r="S1339" s="4" t="n"/>
      <c r="T1339" s="5" t="n"/>
      <c r="U1339" s="8">
        <f>IF(AND(V1339=1,D1339&lt;&gt;""),IF(D1339&gt;=corte,TODAY()-D1339,""),"")</f>
        <v/>
      </c>
      <c r="V1339" s="8">
        <f>IF(D1339="",0,IF(OR(AND(P1339&lt;&gt;"",S1339=""),AND(N(J1339)&gt;0,N(K1339)&lt;J1339),OR(M1339="PENDENTE",M1339="PARCIAL"),OR(N1339="PENDENTE",N1339="PARCIAL")),1,0))</f>
        <v/>
      </c>
      <c r="W1339" s="8">
        <f>IF(AND(V1339=1,D1339&lt;&gt;""),IF(D1339&gt;=corte,(B1339="CRÍTICO")*1E9+(100000-D1339)*10000+10000-ROW(),""),"")</f>
        <v/>
      </c>
      <c r="X1339" s="8">
        <f>IF(AND(V1339=1,D1339=pas_data,E1339=pas_turno),10000-ROW(),"")</f>
        <v/>
      </c>
    </row>
    <row r="1340">
      <c r="A1340" s="3">
        <f>IF(D1340="","","TT-"&amp;TEXT(ROW()-1,"00000"))</f>
        <v/>
      </c>
      <c r="B1340" s="3">
        <f>IF(D1340="","",IF(V1340=0,"CONCLUÍDO",IF(D1340&lt;corte,"HISTÓRICO",IF(OR(AND(ISNUMBER(R1340),R1340&lt;TODAY()),AND(OR(N1340="PENDENTE",N1340="PARCIAL"),D1340&lt;TODAY()-1)),"CRÍTICO",IF(OR(AND(P1340&lt;&gt;"",S1340=""),AND(N1340="REALIZADO",M1340="PENDENTE"),AND(ISNUMBER(R1340),R1340=TODAY())),"ATENÇÃO",IF(N(K1340)=0,"PENDENTE","EM ANDAMENTO"))))))</f>
        <v/>
      </c>
      <c r="C1340" s="3">
        <f>IF(D1340="","",IF(V1340=0,"🟢 OK",IF(D1340&lt;corte,"⚪ HISTÓRICO (sem baixa)",IF(AND(ISNUMBER(R1340),R1340&lt;TODAY()),"🔴 PRAZO VENCIDO",IF(AND(OR(N1340="PENDENTE",N1340="PARCIAL"),D1340&lt;TODAY()-1),"🔴 EMBARQUE ATRASADO",IF(AND(N1340="REALIZADO",M1340="PENDENTE"),"🟡 EMBARCADO SEM FATURAR",IF(AND(P1340&lt;&gt;"",S1340="",OR(Q1340="",R1340="")),"🟡 PENDÊNCIA SEM RESPONSÁVEL/PRAZO",IF(AND(ISNUMBER(R1340),R1340=TODAY()),"🟡 VENCE HOJE",IF(AND(P1340&lt;&gt;"",S1340=""),"🟡 PENDÊNCIA ABERTA",IF(AND(N(J1340)&gt;0,N(K1340)&lt;J1340),"🟡 FALTA EXECUTAR",IF(OR(M1340="PENDENTE",M1340="PARCIAL"),"🟡 FATURAMENTO PENDENTE","🟡 EMBARQUE PENDENTE")))))))))))</f>
        <v/>
      </c>
      <c r="D1340" s="4" t="n"/>
      <c r="E1340" s="5" t="n"/>
      <c r="F1340" s="5" t="n"/>
      <c r="G1340" s="5" t="n"/>
      <c r="H1340" s="5" t="n"/>
      <c r="I1340" s="5" t="n"/>
      <c r="J1340" s="6" t="n"/>
      <c r="K1340" s="6" t="n"/>
      <c r="L1340" s="7">
        <f>IF(OR(D1340="",N(J1340)=0),"",MIN(1,N(K1340)/J1340))</f>
        <v/>
      </c>
      <c r="M1340" s="5" t="n"/>
      <c r="N1340" s="5" t="n"/>
      <c r="O1340" s="5" t="n"/>
      <c r="P1340" s="5" t="n"/>
      <c r="Q1340" s="5" t="n"/>
      <c r="R1340" s="4" t="n"/>
      <c r="S1340" s="4" t="n"/>
      <c r="T1340" s="5" t="n"/>
      <c r="U1340" s="8">
        <f>IF(AND(V1340=1,D1340&lt;&gt;""),IF(D1340&gt;=corte,TODAY()-D1340,""),"")</f>
        <v/>
      </c>
      <c r="V1340" s="8">
        <f>IF(D1340="",0,IF(OR(AND(P1340&lt;&gt;"",S1340=""),AND(N(J1340)&gt;0,N(K1340)&lt;J1340),OR(M1340="PENDENTE",M1340="PARCIAL"),OR(N1340="PENDENTE",N1340="PARCIAL")),1,0))</f>
        <v/>
      </c>
      <c r="W1340" s="8">
        <f>IF(AND(V1340=1,D1340&lt;&gt;""),IF(D1340&gt;=corte,(B1340="CRÍTICO")*1E9+(100000-D1340)*10000+10000-ROW(),""),"")</f>
        <v/>
      </c>
      <c r="X1340" s="8">
        <f>IF(AND(V1340=1,D1340=pas_data,E1340=pas_turno),10000-ROW(),"")</f>
        <v/>
      </c>
    </row>
    <row r="1341">
      <c r="A1341" s="3">
        <f>IF(D1341="","","TT-"&amp;TEXT(ROW()-1,"00000"))</f>
        <v/>
      </c>
      <c r="B1341" s="3">
        <f>IF(D1341="","",IF(V1341=0,"CONCLUÍDO",IF(D1341&lt;corte,"HISTÓRICO",IF(OR(AND(ISNUMBER(R1341),R1341&lt;TODAY()),AND(OR(N1341="PENDENTE",N1341="PARCIAL"),D1341&lt;TODAY()-1)),"CRÍTICO",IF(OR(AND(P1341&lt;&gt;"",S1341=""),AND(N1341="REALIZADO",M1341="PENDENTE"),AND(ISNUMBER(R1341),R1341=TODAY())),"ATENÇÃO",IF(N(K1341)=0,"PENDENTE","EM ANDAMENTO"))))))</f>
        <v/>
      </c>
      <c r="C1341" s="3">
        <f>IF(D1341="","",IF(V1341=0,"🟢 OK",IF(D1341&lt;corte,"⚪ HISTÓRICO (sem baixa)",IF(AND(ISNUMBER(R1341),R1341&lt;TODAY()),"🔴 PRAZO VENCIDO",IF(AND(OR(N1341="PENDENTE",N1341="PARCIAL"),D1341&lt;TODAY()-1),"🔴 EMBARQUE ATRASADO",IF(AND(N1341="REALIZADO",M1341="PENDENTE"),"🟡 EMBARCADO SEM FATURAR",IF(AND(P1341&lt;&gt;"",S1341="",OR(Q1341="",R1341="")),"🟡 PENDÊNCIA SEM RESPONSÁVEL/PRAZO",IF(AND(ISNUMBER(R1341),R1341=TODAY()),"🟡 VENCE HOJE",IF(AND(P1341&lt;&gt;"",S1341=""),"🟡 PENDÊNCIA ABERTA",IF(AND(N(J1341)&gt;0,N(K1341)&lt;J1341),"🟡 FALTA EXECUTAR",IF(OR(M1341="PENDENTE",M1341="PARCIAL"),"🟡 FATURAMENTO PENDENTE","🟡 EMBARQUE PENDENTE")))))))))))</f>
        <v/>
      </c>
      <c r="D1341" s="4" t="n"/>
      <c r="E1341" s="5" t="n"/>
      <c r="F1341" s="5" t="n"/>
      <c r="G1341" s="5" t="n"/>
      <c r="H1341" s="5" t="n"/>
      <c r="I1341" s="5" t="n"/>
      <c r="J1341" s="6" t="n"/>
      <c r="K1341" s="6" t="n"/>
      <c r="L1341" s="7">
        <f>IF(OR(D1341="",N(J1341)=0),"",MIN(1,N(K1341)/J1341))</f>
        <v/>
      </c>
      <c r="M1341" s="5" t="n"/>
      <c r="N1341" s="5" t="n"/>
      <c r="O1341" s="5" t="n"/>
      <c r="P1341" s="5" t="n"/>
      <c r="Q1341" s="5" t="n"/>
      <c r="R1341" s="4" t="n"/>
      <c r="S1341" s="4" t="n"/>
      <c r="T1341" s="5" t="n"/>
      <c r="U1341" s="8">
        <f>IF(AND(V1341=1,D1341&lt;&gt;""),IF(D1341&gt;=corte,TODAY()-D1341,""),"")</f>
        <v/>
      </c>
      <c r="V1341" s="8">
        <f>IF(D1341="",0,IF(OR(AND(P1341&lt;&gt;"",S1341=""),AND(N(J1341)&gt;0,N(K1341)&lt;J1341),OR(M1341="PENDENTE",M1341="PARCIAL"),OR(N1341="PENDENTE",N1341="PARCIAL")),1,0))</f>
        <v/>
      </c>
      <c r="W1341" s="8">
        <f>IF(AND(V1341=1,D1341&lt;&gt;""),IF(D1341&gt;=corte,(B1341="CRÍTICO")*1E9+(100000-D1341)*10000+10000-ROW(),""),"")</f>
        <v/>
      </c>
      <c r="X1341" s="8">
        <f>IF(AND(V1341=1,D1341=pas_data,E1341=pas_turno),10000-ROW(),"")</f>
        <v/>
      </c>
    </row>
    <row r="1342">
      <c r="A1342" s="3">
        <f>IF(D1342="","","TT-"&amp;TEXT(ROW()-1,"00000"))</f>
        <v/>
      </c>
      <c r="B1342" s="3">
        <f>IF(D1342="","",IF(V1342=0,"CONCLUÍDO",IF(D1342&lt;corte,"HISTÓRICO",IF(OR(AND(ISNUMBER(R1342),R1342&lt;TODAY()),AND(OR(N1342="PENDENTE",N1342="PARCIAL"),D1342&lt;TODAY()-1)),"CRÍTICO",IF(OR(AND(P1342&lt;&gt;"",S1342=""),AND(N1342="REALIZADO",M1342="PENDENTE"),AND(ISNUMBER(R1342),R1342=TODAY())),"ATENÇÃO",IF(N(K1342)=0,"PENDENTE","EM ANDAMENTO"))))))</f>
        <v/>
      </c>
      <c r="C1342" s="3">
        <f>IF(D1342="","",IF(V1342=0,"🟢 OK",IF(D1342&lt;corte,"⚪ HISTÓRICO (sem baixa)",IF(AND(ISNUMBER(R1342),R1342&lt;TODAY()),"🔴 PRAZO VENCIDO",IF(AND(OR(N1342="PENDENTE",N1342="PARCIAL"),D1342&lt;TODAY()-1),"🔴 EMBARQUE ATRASADO",IF(AND(N1342="REALIZADO",M1342="PENDENTE"),"🟡 EMBARCADO SEM FATURAR",IF(AND(P1342&lt;&gt;"",S1342="",OR(Q1342="",R1342="")),"🟡 PENDÊNCIA SEM RESPONSÁVEL/PRAZO",IF(AND(ISNUMBER(R1342),R1342=TODAY()),"🟡 VENCE HOJE",IF(AND(P1342&lt;&gt;"",S1342=""),"🟡 PENDÊNCIA ABERTA",IF(AND(N(J1342)&gt;0,N(K1342)&lt;J1342),"🟡 FALTA EXECUTAR",IF(OR(M1342="PENDENTE",M1342="PARCIAL"),"🟡 FATURAMENTO PENDENTE","🟡 EMBARQUE PENDENTE")))))))))))</f>
        <v/>
      </c>
      <c r="D1342" s="4" t="n"/>
      <c r="E1342" s="5" t="n"/>
      <c r="F1342" s="5" t="n"/>
      <c r="G1342" s="5" t="n"/>
      <c r="H1342" s="5" t="n"/>
      <c r="I1342" s="5" t="n"/>
      <c r="J1342" s="6" t="n"/>
      <c r="K1342" s="6" t="n"/>
      <c r="L1342" s="7">
        <f>IF(OR(D1342="",N(J1342)=0),"",MIN(1,N(K1342)/J1342))</f>
        <v/>
      </c>
      <c r="M1342" s="5" t="n"/>
      <c r="N1342" s="5" t="n"/>
      <c r="O1342" s="5" t="n"/>
      <c r="P1342" s="5" t="n"/>
      <c r="Q1342" s="5" t="n"/>
      <c r="R1342" s="4" t="n"/>
      <c r="S1342" s="4" t="n"/>
      <c r="T1342" s="5" t="n"/>
      <c r="U1342" s="8">
        <f>IF(AND(V1342=1,D1342&lt;&gt;""),IF(D1342&gt;=corte,TODAY()-D1342,""),"")</f>
        <v/>
      </c>
      <c r="V1342" s="8">
        <f>IF(D1342="",0,IF(OR(AND(P1342&lt;&gt;"",S1342=""),AND(N(J1342)&gt;0,N(K1342)&lt;J1342),OR(M1342="PENDENTE",M1342="PARCIAL"),OR(N1342="PENDENTE",N1342="PARCIAL")),1,0))</f>
        <v/>
      </c>
      <c r="W1342" s="8">
        <f>IF(AND(V1342=1,D1342&lt;&gt;""),IF(D1342&gt;=corte,(B1342="CRÍTICO")*1E9+(100000-D1342)*10000+10000-ROW(),""),"")</f>
        <v/>
      </c>
      <c r="X1342" s="8">
        <f>IF(AND(V1342=1,D1342=pas_data,E1342=pas_turno),10000-ROW(),"")</f>
        <v/>
      </c>
    </row>
    <row r="1343">
      <c r="A1343" s="3">
        <f>IF(D1343="","","TT-"&amp;TEXT(ROW()-1,"00000"))</f>
        <v/>
      </c>
      <c r="B1343" s="3">
        <f>IF(D1343="","",IF(V1343=0,"CONCLUÍDO",IF(D1343&lt;corte,"HISTÓRICO",IF(OR(AND(ISNUMBER(R1343),R1343&lt;TODAY()),AND(OR(N1343="PENDENTE",N1343="PARCIAL"),D1343&lt;TODAY()-1)),"CRÍTICO",IF(OR(AND(P1343&lt;&gt;"",S1343=""),AND(N1343="REALIZADO",M1343="PENDENTE"),AND(ISNUMBER(R1343),R1343=TODAY())),"ATENÇÃO",IF(N(K1343)=0,"PENDENTE","EM ANDAMENTO"))))))</f>
        <v/>
      </c>
      <c r="C1343" s="3">
        <f>IF(D1343="","",IF(V1343=0,"🟢 OK",IF(D1343&lt;corte,"⚪ HISTÓRICO (sem baixa)",IF(AND(ISNUMBER(R1343),R1343&lt;TODAY()),"🔴 PRAZO VENCIDO",IF(AND(OR(N1343="PENDENTE",N1343="PARCIAL"),D1343&lt;TODAY()-1),"🔴 EMBARQUE ATRASADO",IF(AND(N1343="REALIZADO",M1343="PENDENTE"),"🟡 EMBARCADO SEM FATURAR",IF(AND(P1343&lt;&gt;"",S1343="",OR(Q1343="",R1343="")),"🟡 PENDÊNCIA SEM RESPONSÁVEL/PRAZO",IF(AND(ISNUMBER(R1343),R1343=TODAY()),"🟡 VENCE HOJE",IF(AND(P1343&lt;&gt;"",S1343=""),"🟡 PENDÊNCIA ABERTA",IF(AND(N(J1343)&gt;0,N(K1343)&lt;J1343),"🟡 FALTA EXECUTAR",IF(OR(M1343="PENDENTE",M1343="PARCIAL"),"🟡 FATURAMENTO PENDENTE","🟡 EMBARQUE PENDENTE")))))))))))</f>
        <v/>
      </c>
      <c r="D1343" s="4" t="n"/>
      <c r="E1343" s="5" t="n"/>
      <c r="F1343" s="5" t="n"/>
      <c r="G1343" s="5" t="n"/>
      <c r="H1343" s="5" t="n"/>
      <c r="I1343" s="5" t="n"/>
      <c r="J1343" s="6" t="n"/>
      <c r="K1343" s="6" t="n"/>
      <c r="L1343" s="7">
        <f>IF(OR(D1343="",N(J1343)=0),"",MIN(1,N(K1343)/J1343))</f>
        <v/>
      </c>
      <c r="M1343" s="5" t="n"/>
      <c r="N1343" s="5" t="n"/>
      <c r="O1343" s="5" t="n"/>
      <c r="P1343" s="5" t="n"/>
      <c r="Q1343" s="5" t="n"/>
      <c r="R1343" s="4" t="n"/>
      <c r="S1343" s="4" t="n"/>
      <c r="T1343" s="5" t="n"/>
      <c r="U1343" s="8">
        <f>IF(AND(V1343=1,D1343&lt;&gt;""),IF(D1343&gt;=corte,TODAY()-D1343,""),"")</f>
        <v/>
      </c>
      <c r="V1343" s="8">
        <f>IF(D1343="",0,IF(OR(AND(P1343&lt;&gt;"",S1343=""),AND(N(J1343)&gt;0,N(K1343)&lt;J1343),OR(M1343="PENDENTE",M1343="PARCIAL"),OR(N1343="PENDENTE",N1343="PARCIAL")),1,0))</f>
        <v/>
      </c>
      <c r="W1343" s="8">
        <f>IF(AND(V1343=1,D1343&lt;&gt;""),IF(D1343&gt;=corte,(B1343="CRÍTICO")*1E9+(100000-D1343)*10000+10000-ROW(),""),"")</f>
        <v/>
      </c>
      <c r="X1343" s="8">
        <f>IF(AND(V1343=1,D1343=pas_data,E1343=pas_turno),10000-ROW(),"")</f>
        <v/>
      </c>
    </row>
    <row r="1344">
      <c r="A1344" s="3">
        <f>IF(D1344="","","TT-"&amp;TEXT(ROW()-1,"00000"))</f>
        <v/>
      </c>
      <c r="B1344" s="3">
        <f>IF(D1344="","",IF(V1344=0,"CONCLUÍDO",IF(D1344&lt;corte,"HISTÓRICO",IF(OR(AND(ISNUMBER(R1344),R1344&lt;TODAY()),AND(OR(N1344="PENDENTE",N1344="PARCIAL"),D1344&lt;TODAY()-1)),"CRÍTICO",IF(OR(AND(P1344&lt;&gt;"",S1344=""),AND(N1344="REALIZADO",M1344="PENDENTE"),AND(ISNUMBER(R1344),R1344=TODAY())),"ATENÇÃO",IF(N(K1344)=0,"PENDENTE","EM ANDAMENTO"))))))</f>
        <v/>
      </c>
      <c r="C1344" s="3">
        <f>IF(D1344="","",IF(V1344=0,"🟢 OK",IF(D1344&lt;corte,"⚪ HISTÓRICO (sem baixa)",IF(AND(ISNUMBER(R1344),R1344&lt;TODAY()),"🔴 PRAZO VENCIDO",IF(AND(OR(N1344="PENDENTE",N1344="PARCIAL"),D1344&lt;TODAY()-1),"🔴 EMBARQUE ATRASADO",IF(AND(N1344="REALIZADO",M1344="PENDENTE"),"🟡 EMBARCADO SEM FATURAR",IF(AND(P1344&lt;&gt;"",S1344="",OR(Q1344="",R1344="")),"🟡 PENDÊNCIA SEM RESPONSÁVEL/PRAZO",IF(AND(ISNUMBER(R1344),R1344=TODAY()),"🟡 VENCE HOJE",IF(AND(P1344&lt;&gt;"",S1344=""),"🟡 PENDÊNCIA ABERTA",IF(AND(N(J1344)&gt;0,N(K1344)&lt;J1344),"🟡 FALTA EXECUTAR",IF(OR(M1344="PENDENTE",M1344="PARCIAL"),"🟡 FATURAMENTO PENDENTE","🟡 EMBARQUE PENDENTE")))))))))))</f>
        <v/>
      </c>
      <c r="D1344" s="4" t="n"/>
      <c r="E1344" s="5" t="n"/>
      <c r="F1344" s="5" t="n"/>
      <c r="G1344" s="5" t="n"/>
      <c r="H1344" s="5" t="n"/>
      <c r="I1344" s="5" t="n"/>
      <c r="J1344" s="6" t="n"/>
      <c r="K1344" s="6" t="n"/>
      <c r="L1344" s="7">
        <f>IF(OR(D1344="",N(J1344)=0),"",MIN(1,N(K1344)/J1344))</f>
        <v/>
      </c>
      <c r="M1344" s="5" t="n"/>
      <c r="N1344" s="5" t="n"/>
      <c r="O1344" s="5" t="n"/>
      <c r="P1344" s="5" t="n"/>
      <c r="Q1344" s="5" t="n"/>
      <c r="R1344" s="4" t="n"/>
      <c r="S1344" s="4" t="n"/>
      <c r="T1344" s="5" t="n"/>
      <c r="U1344" s="8">
        <f>IF(AND(V1344=1,D1344&lt;&gt;""),IF(D1344&gt;=corte,TODAY()-D1344,""),"")</f>
        <v/>
      </c>
      <c r="V1344" s="8">
        <f>IF(D1344="",0,IF(OR(AND(P1344&lt;&gt;"",S1344=""),AND(N(J1344)&gt;0,N(K1344)&lt;J1344),OR(M1344="PENDENTE",M1344="PARCIAL"),OR(N1344="PENDENTE",N1344="PARCIAL")),1,0))</f>
        <v/>
      </c>
      <c r="W1344" s="8">
        <f>IF(AND(V1344=1,D1344&lt;&gt;""),IF(D1344&gt;=corte,(B1344="CRÍTICO")*1E9+(100000-D1344)*10000+10000-ROW(),""),"")</f>
        <v/>
      </c>
      <c r="X1344" s="8">
        <f>IF(AND(V1344=1,D1344=pas_data,E1344=pas_turno),10000-ROW(),"")</f>
        <v/>
      </c>
    </row>
    <row r="1345">
      <c r="A1345" s="3">
        <f>IF(D1345="","","TT-"&amp;TEXT(ROW()-1,"00000"))</f>
        <v/>
      </c>
      <c r="B1345" s="3">
        <f>IF(D1345="","",IF(V1345=0,"CONCLUÍDO",IF(D1345&lt;corte,"HISTÓRICO",IF(OR(AND(ISNUMBER(R1345),R1345&lt;TODAY()),AND(OR(N1345="PENDENTE",N1345="PARCIAL"),D1345&lt;TODAY()-1)),"CRÍTICO",IF(OR(AND(P1345&lt;&gt;"",S1345=""),AND(N1345="REALIZADO",M1345="PENDENTE"),AND(ISNUMBER(R1345),R1345=TODAY())),"ATENÇÃO",IF(N(K1345)=0,"PENDENTE","EM ANDAMENTO"))))))</f>
        <v/>
      </c>
      <c r="C1345" s="3">
        <f>IF(D1345="","",IF(V1345=0,"🟢 OK",IF(D1345&lt;corte,"⚪ HISTÓRICO (sem baixa)",IF(AND(ISNUMBER(R1345),R1345&lt;TODAY()),"🔴 PRAZO VENCIDO",IF(AND(OR(N1345="PENDENTE",N1345="PARCIAL"),D1345&lt;TODAY()-1),"🔴 EMBARQUE ATRASADO",IF(AND(N1345="REALIZADO",M1345="PENDENTE"),"🟡 EMBARCADO SEM FATURAR",IF(AND(P1345&lt;&gt;"",S1345="",OR(Q1345="",R1345="")),"🟡 PENDÊNCIA SEM RESPONSÁVEL/PRAZO",IF(AND(ISNUMBER(R1345),R1345=TODAY()),"🟡 VENCE HOJE",IF(AND(P1345&lt;&gt;"",S1345=""),"🟡 PENDÊNCIA ABERTA",IF(AND(N(J1345)&gt;0,N(K1345)&lt;J1345),"🟡 FALTA EXECUTAR",IF(OR(M1345="PENDENTE",M1345="PARCIAL"),"🟡 FATURAMENTO PENDENTE","🟡 EMBARQUE PENDENTE")))))))))))</f>
        <v/>
      </c>
      <c r="D1345" s="4" t="n"/>
      <c r="E1345" s="5" t="n"/>
      <c r="F1345" s="5" t="n"/>
      <c r="G1345" s="5" t="n"/>
      <c r="H1345" s="5" t="n"/>
      <c r="I1345" s="5" t="n"/>
      <c r="J1345" s="6" t="n"/>
      <c r="K1345" s="6" t="n"/>
      <c r="L1345" s="7">
        <f>IF(OR(D1345="",N(J1345)=0),"",MIN(1,N(K1345)/J1345))</f>
        <v/>
      </c>
      <c r="M1345" s="5" t="n"/>
      <c r="N1345" s="5" t="n"/>
      <c r="O1345" s="5" t="n"/>
      <c r="P1345" s="5" t="n"/>
      <c r="Q1345" s="5" t="n"/>
      <c r="R1345" s="4" t="n"/>
      <c r="S1345" s="4" t="n"/>
      <c r="T1345" s="5" t="n"/>
      <c r="U1345" s="8">
        <f>IF(AND(V1345=1,D1345&lt;&gt;""),IF(D1345&gt;=corte,TODAY()-D1345,""),"")</f>
        <v/>
      </c>
      <c r="V1345" s="8">
        <f>IF(D1345="",0,IF(OR(AND(P1345&lt;&gt;"",S1345=""),AND(N(J1345)&gt;0,N(K1345)&lt;J1345),OR(M1345="PENDENTE",M1345="PARCIAL"),OR(N1345="PENDENTE",N1345="PARCIAL")),1,0))</f>
        <v/>
      </c>
      <c r="W1345" s="8">
        <f>IF(AND(V1345=1,D1345&lt;&gt;""),IF(D1345&gt;=corte,(B1345="CRÍTICO")*1E9+(100000-D1345)*10000+10000-ROW(),""),"")</f>
        <v/>
      </c>
      <c r="X1345" s="8">
        <f>IF(AND(V1345=1,D1345=pas_data,E1345=pas_turno),10000-ROW(),"")</f>
        <v/>
      </c>
    </row>
    <row r="1346">
      <c r="A1346" s="3">
        <f>IF(D1346="","","TT-"&amp;TEXT(ROW()-1,"00000"))</f>
        <v/>
      </c>
      <c r="B1346" s="3">
        <f>IF(D1346="","",IF(V1346=0,"CONCLUÍDO",IF(D1346&lt;corte,"HISTÓRICO",IF(OR(AND(ISNUMBER(R1346),R1346&lt;TODAY()),AND(OR(N1346="PENDENTE",N1346="PARCIAL"),D1346&lt;TODAY()-1)),"CRÍTICO",IF(OR(AND(P1346&lt;&gt;"",S1346=""),AND(N1346="REALIZADO",M1346="PENDENTE"),AND(ISNUMBER(R1346),R1346=TODAY())),"ATENÇÃO",IF(N(K1346)=0,"PENDENTE","EM ANDAMENTO"))))))</f>
        <v/>
      </c>
      <c r="C1346" s="3">
        <f>IF(D1346="","",IF(V1346=0,"🟢 OK",IF(D1346&lt;corte,"⚪ HISTÓRICO (sem baixa)",IF(AND(ISNUMBER(R1346),R1346&lt;TODAY()),"🔴 PRAZO VENCIDO",IF(AND(OR(N1346="PENDENTE",N1346="PARCIAL"),D1346&lt;TODAY()-1),"🔴 EMBARQUE ATRASADO",IF(AND(N1346="REALIZADO",M1346="PENDENTE"),"🟡 EMBARCADO SEM FATURAR",IF(AND(P1346&lt;&gt;"",S1346="",OR(Q1346="",R1346="")),"🟡 PENDÊNCIA SEM RESPONSÁVEL/PRAZO",IF(AND(ISNUMBER(R1346),R1346=TODAY()),"🟡 VENCE HOJE",IF(AND(P1346&lt;&gt;"",S1346=""),"🟡 PENDÊNCIA ABERTA",IF(AND(N(J1346)&gt;0,N(K1346)&lt;J1346),"🟡 FALTA EXECUTAR",IF(OR(M1346="PENDENTE",M1346="PARCIAL"),"🟡 FATURAMENTO PENDENTE","🟡 EMBARQUE PENDENTE")))))))))))</f>
        <v/>
      </c>
      <c r="D1346" s="4" t="n"/>
      <c r="E1346" s="5" t="n"/>
      <c r="F1346" s="5" t="n"/>
      <c r="G1346" s="5" t="n"/>
      <c r="H1346" s="5" t="n"/>
      <c r="I1346" s="5" t="n"/>
      <c r="J1346" s="6" t="n"/>
      <c r="K1346" s="6" t="n"/>
      <c r="L1346" s="7">
        <f>IF(OR(D1346="",N(J1346)=0),"",MIN(1,N(K1346)/J1346))</f>
        <v/>
      </c>
      <c r="M1346" s="5" t="n"/>
      <c r="N1346" s="5" t="n"/>
      <c r="O1346" s="5" t="n"/>
      <c r="P1346" s="5" t="n"/>
      <c r="Q1346" s="5" t="n"/>
      <c r="R1346" s="4" t="n"/>
      <c r="S1346" s="4" t="n"/>
      <c r="T1346" s="5" t="n"/>
      <c r="U1346" s="8">
        <f>IF(AND(V1346=1,D1346&lt;&gt;""),IF(D1346&gt;=corte,TODAY()-D1346,""),"")</f>
        <v/>
      </c>
      <c r="V1346" s="8">
        <f>IF(D1346="",0,IF(OR(AND(P1346&lt;&gt;"",S1346=""),AND(N(J1346)&gt;0,N(K1346)&lt;J1346),OR(M1346="PENDENTE",M1346="PARCIAL"),OR(N1346="PENDENTE",N1346="PARCIAL")),1,0))</f>
        <v/>
      </c>
      <c r="W1346" s="8">
        <f>IF(AND(V1346=1,D1346&lt;&gt;""),IF(D1346&gt;=corte,(B1346="CRÍTICO")*1E9+(100000-D1346)*10000+10000-ROW(),""),"")</f>
        <v/>
      </c>
      <c r="X1346" s="8">
        <f>IF(AND(V1346=1,D1346=pas_data,E1346=pas_turno),10000-ROW(),"")</f>
        <v/>
      </c>
    </row>
    <row r="1347">
      <c r="A1347" s="3">
        <f>IF(D1347="","","TT-"&amp;TEXT(ROW()-1,"00000"))</f>
        <v/>
      </c>
      <c r="B1347" s="3">
        <f>IF(D1347="","",IF(V1347=0,"CONCLUÍDO",IF(D1347&lt;corte,"HISTÓRICO",IF(OR(AND(ISNUMBER(R1347),R1347&lt;TODAY()),AND(OR(N1347="PENDENTE",N1347="PARCIAL"),D1347&lt;TODAY()-1)),"CRÍTICO",IF(OR(AND(P1347&lt;&gt;"",S1347=""),AND(N1347="REALIZADO",M1347="PENDENTE"),AND(ISNUMBER(R1347),R1347=TODAY())),"ATENÇÃO",IF(N(K1347)=0,"PENDENTE","EM ANDAMENTO"))))))</f>
        <v/>
      </c>
      <c r="C1347" s="3">
        <f>IF(D1347="","",IF(V1347=0,"🟢 OK",IF(D1347&lt;corte,"⚪ HISTÓRICO (sem baixa)",IF(AND(ISNUMBER(R1347),R1347&lt;TODAY()),"🔴 PRAZO VENCIDO",IF(AND(OR(N1347="PENDENTE",N1347="PARCIAL"),D1347&lt;TODAY()-1),"🔴 EMBARQUE ATRASADO",IF(AND(N1347="REALIZADO",M1347="PENDENTE"),"🟡 EMBARCADO SEM FATURAR",IF(AND(P1347&lt;&gt;"",S1347="",OR(Q1347="",R1347="")),"🟡 PENDÊNCIA SEM RESPONSÁVEL/PRAZO",IF(AND(ISNUMBER(R1347),R1347=TODAY()),"🟡 VENCE HOJE",IF(AND(P1347&lt;&gt;"",S1347=""),"🟡 PENDÊNCIA ABERTA",IF(AND(N(J1347)&gt;0,N(K1347)&lt;J1347),"🟡 FALTA EXECUTAR",IF(OR(M1347="PENDENTE",M1347="PARCIAL"),"🟡 FATURAMENTO PENDENTE","🟡 EMBARQUE PENDENTE")))))))))))</f>
        <v/>
      </c>
      <c r="D1347" s="4" t="n"/>
      <c r="E1347" s="5" t="n"/>
      <c r="F1347" s="5" t="n"/>
      <c r="G1347" s="5" t="n"/>
      <c r="H1347" s="5" t="n"/>
      <c r="I1347" s="5" t="n"/>
      <c r="J1347" s="6" t="n"/>
      <c r="K1347" s="6" t="n"/>
      <c r="L1347" s="7">
        <f>IF(OR(D1347="",N(J1347)=0),"",MIN(1,N(K1347)/J1347))</f>
        <v/>
      </c>
      <c r="M1347" s="5" t="n"/>
      <c r="N1347" s="5" t="n"/>
      <c r="O1347" s="5" t="n"/>
      <c r="P1347" s="5" t="n"/>
      <c r="Q1347" s="5" t="n"/>
      <c r="R1347" s="4" t="n"/>
      <c r="S1347" s="4" t="n"/>
      <c r="T1347" s="5" t="n"/>
      <c r="U1347" s="8">
        <f>IF(AND(V1347=1,D1347&lt;&gt;""),IF(D1347&gt;=corte,TODAY()-D1347,""),"")</f>
        <v/>
      </c>
      <c r="V1347" s="8">
        <f>IF(D1347="",0,IF(OR(AND(P1347&lt;&gt;"",S1347=""),AND(N(J1347)&gt;0,N(K1347)&lt;J1347),OR(M1347="PENDENTE",M1347="PARCIAL"),OR(N1347="PENDENTE",N1347="PARCIAL")),1,0))</f>
        <v/>
      </c>
      <c r="W1347" s="8">
        <f>IF(AND(V1347=1,D1347&lt;&gt;""),IF(D1347&gt;=corte,(B1347="CRÍTICO")*1E9+(100000-D1347)*10000+10000-ROW(),""),"")</f>
        <v/>
      </c>
      <c r="X1347" s="8">
        <f>IF(AND(V1347=1,D1347=pas_data,E1347=pas_turno),10000-ROW(),"")</f>
        <v/>
      </c>
    </row>
    <row r="1348">
      <c r="A1348" s="3">
        <f>IF(D1348="","","TT-"&amp;TEXT(ROW()-1,"00000"))</f>
        <v/>
      </c>
      <c r="B1348" s="3">
        <f>IF(D1348="","",IF(V1348=0,"CONCLUÍDO",IF(D1348&lt;corte,"HISTÓRICO",IF(OR(AND(ISNUMBER(R1348),R1348&lt;TODAY()),AND(OR(N1348="PENDENTE",N1348="PARCIAL"),D1348&lt;TODAY()-1)),"CRÍTICO",IF(OR(AND(P1348&lt;&gt;"",S1348=""),AND(N1348="REALIZADO",M1348="PENDENTE"),AND(ISNUMBER(R1348),R1348=TODAY())),"ATENÇÃO",IF(N(K1348)=0,"PENDENTE","EM ANDAMENTO"))))))</f>
        <v/>
      </c>
      <c r="C1348" s="3">
        <f>IF(D1348="","",IF(V1348=0,"🟢 OK",IF(D1348&lt;corte,"⚪ HISTÓRICO (sem baixa)",IF(AND(ISNUMBER(R1348),R1348&lt;TODAY()),"🔴 PRAZO VENCIDO",IF(AND(OR(N1348="PENDENTE",N1348="PARCIAL"),D1348&lt;TODAY()-1),"🔴 EMBARQUE ATRASADO",IF(AND(N1348="REALIZADO",M1348="PENDENTE"),"🟡 EMBARCADO SEM FATURAR",IF(AND(P1348&lt;&gt;"",S1348="",OR(Q1348="",R1348="")),"🟡 PENDÊNCIA SEM RESPONSÁVEL/PRAZO",IF(AND(ISNUMBER(R1348),R1348=TODAY()),"🟡 VENCE HOJE",IF(AND(P1348&lt;&gt;"",S1348=""),"🟡 PENDÊNCIA ABERTA",IF(AND(N(J1348)&gt;0,N(K1348)&lt;J1348),"🟡 FALTA EXECUTAR",IF(OR(M1348="PENDENTE",M1348="PARCIAL"),"🟡 FATURAMENTO PENDENTE","🟡 EMBARQUE PENDENTE")))))))))))</f>
        <v/>
      </c>
      <c r="D1348" s="4" t="n"/>
      <c r="E1348" s="5" t="n"/>
      <c r="F1348" s="5" t="n"/>
      <c r="G1348" s="5" t="n"/>
      <c r="H1348" s="5" t="n"/>
      <c r="I1348" s="5" t="n"/>
      <c r="J1348" s="6" t="n"/>
      <c r="K1348" s="6" t="n"/>
      <c r="L1348" s="7">
        <f>IF(OR(D1348="",N(J1348)=0),"",MIN(1,N(K1348)/J1348))</f>
        <v/>
      </c>
      <c r="M1348" s="5" t="n"/>
      <c r="N1348" s="5" t="n"/>
      <c r="O1348" s="5" t="n"/>
      <c r="P1348" s="5" t="n"/>
      <c r="Q1348" s="5" t="n"/>
      <c r="R1348" s="4" t="n"/>
      <c r="S1348" s="4" t="n"/>
      <c r="T1348" s="5" t="n"/>
      <c r="U1348" s="8">
        <f>IF(AND(V1348=1,D1348&lt;&gt;""),IF(D1348&gt;=corte,TODAY()-D1348,""),"")</f>
        <v/>
      </c>
      <c r="V1348" s="8">
        <f>IF(D1348="",0,IF(OR(AND(P1348&lt;&gt;"",S1348=""),AND(N(J1348)&gt;0,N(K1348)&lt;J1348),OR(M1348="PENDENTE",M1348="PARCIAL"),OR(N1348="PENDENTE",N1348="PARCIAL")),1,0))</f>
        <v/>
      </c>
      <c r="W1348" s="8">
        <f>IF(AND(V1348=1,D1348&lt;&gt;""),IF(D1348&gt;=corte,(B1348="CRÍTICO")*1E9+(100000-D1348)*10000+10000-ROW(),""),"")</f>
        <v/>
      </c>
      <c r="X1348" s="8">
        <f>IF(AND(V1348=1,D1348=pas_data,E1348=pas_turno),10000-ROW(),"")</f>
        <v/>
      </c>
    </row>
    <row r="1349">
      <c r="A1349" s="3">
        <f>IF(D1349="","","TT-"&amp;TEXT(ROW()-1,"00000"))</f>
        <v/>
      </c>
      <c r="B1349" s="3">
        <f>IF(D1349="","",IF(V1349=0,"CONCLUÍDO",IF(D1349&lt;corte,"HISTÓRICO",IF(OR(AND(ISNUMBER(R1349),R1349&lt;TODAY()),AND(OR(N1349="PENDENTE",N1349="PARCIAL"),D1349&lt;TODAY()-1)),"CRÍTICO",IF(OR(AND(P1349&lt;&gt;"",S1349=""),AND(N1349="REALIZADO",M1349="PENDENTE"),AND(ISNUMBER(R1349),R1349=TODAY())),"ATENÇÃO",IF(N(K1349)=0,"PENDENTE","EM ANDAMENTO"))))))</f>
        <v/>
      </c>
      <c r="C1349" s="3">
        <f>IF(D1349="","",IF(V1349=0,"🟢 OK",IF(D1349&lt;corte,"⚪ HISTÓRICO (sem baixa)",IF(AND(ISNUMBER(R1349),R1349&lt;TODAY()),"🔴 PRAZO VENCIDO",IF(AND(OR(N1349="PENDENTE",N1349="PARCIAL"),D1349&lt;TODAY()-1),"🔴 EMBARQUE ATRASADO",IF(AND(N1349="REALIZADO",M1349="PENDENTE"),"🟡 EMBARCADO SEM FATURAR",IF(AND(P1349&lt;&gt;"",S1349="",OR(Q1349="",R1349="")),"🟡 PENDÊNCIA SEM RESPONSÁVEL/PRAZO",IF(AND(ISNUMBER(R1349),R1349=TODAY()),"🟡 VENCE HOJE",IF(AND(P1349&lt;&gt;"",S1349=""),"🟡 PENDÊNCIA ABERTA",IF(AND(N(J1349)&gt;0,N(K1349)&lt;J1349),"🟡 FALTA EXECUTAR",IF(OR(M1349="PENDENTE",M1349="PARCIAL"),"🟡 FATURAMENTO PENDENTE","🟡 EMBARQUE PENDENTE")))))))))))</f>
        <v/>
      </c>
      <c r="D1349" s="4" t="n"/>
      <c r="E1349" s="5" t="n"/>
      <c r="F1349" s="5" t="n"/>
      <c r="G1349" s="5" t="n"/>
      <c r="H1349" s="5" t="n"/>
      <c r="I1349" s="5" t="n"/>
      <c r="J1349" s="6" t="n"/>
      <c r="K1349" s="6" t="n"/>
      <c r="L1349" s="7">
        <f>IF(OR(D1349="",N(J1349)=0),"",MIN(1,N(K1349)/J1349))</f>
        <v/>
      </c>
      <c r="M1349" s="5" t="n"/>
      <c r="N1349" s="5" t="n"/>
      <c r="O1349" s="5" t="n"/>
      <c r="P1349" s="5" t="n"/>
      <c r="Q1349" s="5" t="n"/>
      <c r="R1349" s="4" t="n"/>
      <c r="S1349" s="4" t="n"/>
      <c r="T1349" s="5" t="n"/>
      <c r="U1349" s="8">
        <f>IF(AND(V1349=1,D1349&lt;&gt;""),IF(D1349&gt;=corte,TODAY()-D1349,""),"")</f>
        <v/>
      </c>
      <c r="V1349" s="8">
        <f>IF(D1349="",0,IF(OR(AND(P1349&lt;&gt;"",S1349=""),AND(N(J1349)&gt;0,N(K1349)&lt;J1349),OR(M1349="PENDENTE",M1349="PARCIAL"),OR(N1349="PENDENTE",N1349="PARCIAL")),1,0))</f>
        <v/>
      </c>
      <c r="W1349" s="8">
        <f>IF(AND(V1349=1,D1349&lt;&gt;""),IF(D1349&gt;=corte,(B1349="CRÍTICO")*1E9+(100000-D1349)*10000+10000-ROW(),""),"")</f>
        <v/>
      </c>
      <c r="X1349" s="8">
        <f>IF(AND(V1349=1,D1349=pas_data,E1349=pas_turno),10000-ROW(),"")</f>
        <v/>
      </c>
    </row>
    <row r="1350">
      <c r="A1350" s="3">
        <f>IF(D1350="","","TT-"&amp;TEXT(ROW()-1,"00000"))</f>
        <v/>
      </c>
      <c r="B1350" s="3">
        <f>IF(D1350="","",IF(V1350=0,"CONCLUÍDO",IF(D1350&lt;corte,"HISTÓRICO",IF(OR(AND(ISNUMBER(R1350),R1350&lt;TODAY()),AND(OR(N1350="PENDENTE",N1350="PARCIAL"),D1350&lt;TODAY()-1)),"CRÍTICO",IF(OR(AND(P1350&lt;&gt;"",S1350=""),AND(N1350="REALIZADO",M1350="PENDENTE"),AND(ISNUMBER(R1350),R1350=TODAY())),"ATENÇÃO",IF(N(K1350)=0,"PENDENTE","EM ANDAMENTO"))))))</f>
        <v/>
      </c>
      <c r="C1350" s="3">
        <f>IF(D1350="","",IF(V1350=0,"🟢 OK",IF(D1350&lt;corte,"⚪ HISTÓRICO (sem baixa)",IF(AND(ISNUMBER(R1350),R1350&lt;TODAY()),"🔴 PRAZO VENCIDO",IF(AND(OR(N1350="PENDENTE",N1350="PARCIAL"),D1350&lt;TODAY()-1),"🔴 EMBARQUE ATRASADO",IF(AND(N1350="REALIZADO",M1350="PENDENTE"),"🟡 EMBARCADO SEM FATURAR",IF(AND(P1350&lt;&gt;"",S1350="",OR(Q1350="",R1350="")),"🟡 PENDÊNCIA SEM RESPONSÁVEL/PRAZO",IF(AND(ISNUMBER(R1350),R1350=TODAY()),"🟡 VENCE HOJE",IF(AND(P1350&lt;&gt;"",S1350=""),"🟡 PENDÊNCIA ABERTA",IF(AND(N(J1350)&gt;0,N(K1350)&lt;J1350),"🟡 FALTA EXECUTAR",IF(OR(M1350="PENDENTE",M1350="PARCIAL"),"🟡 FATURAMENTO PENDENTE","🟡 EMBARQUE PENDENTE")))))))))))</f>
        <v/>
      </c>
      <c r="D1350" s="4" t="n"/>
      <c r="E1350" s="5" t="n"/>
      <c r="F1350" s="5" t="n"/>
      <c r="G1350" s="5" t="n"/>
      <c r="H1350" s="5" t="n"/>
      <c r="I1350" s="5" t="n"/>
      <c r="J1350" s="6" t="n"/>
      <c r="K1350" s="6" t="n"/>
      <c r="L1350" s="7">
        <f>IF(OR(D1350="",N(J1350)=0),"",MIN(1,N(K1350)/J1350))</f>
        <v/>
      </c>
      <c r="M1350" s="5" t="n"/>
      <c r="N1350" s="5" t="n"/>
      <c r="O1350" s="5" t="n"/>
      <c r="P1350" s="5" t="n"/>
      <c r="Q1350" s="5" t="n"/>
      <c r="R1350" s="4" t="n"/>
      <c r="S1350" s="4" t="n"/>
      <c r="T1350" s="5" t="n"/>
      <c r="U1350" s="8">
        <f>IF(AND(V1350=1,D1350&lt;&gt;""),IF(D1350&gt;=corte,TODAY()-D1350,""),"")</f>
        <v/>
      </c>
      <c r="V1350" s="8">
        <f>IF(D1350="",0,IF(OR(AND(P1350&lt;&gt;"",S1350=""),AND(N(J1350)&gt;0,N(K1350)&lt;J1350),OR(M1350="PENDENTE",M1350="PARCIAL"),OR(N1350="PENDENTE",N1350="PARCIAL")),1,0))</f>
        <v/>
      </c>
      <c r="W1350" s="8">
        <f>IF(AND(V1350=1,D1350&lt;&gt;""),IF(D1350&gt;=corte,(B1350="CRÍTICO")*1E9+(100000-D1350)*10000+10000-ROW(),""),"")</f>
        <v/>
      </c>
      <c r="X1350" s="8">
        <f>IF(AND(V1350=1,D1350=pas_data,E1350=pas_turno),10000-ROW(),"")</f>
        <v/>
      </c>
    </row>
    <row r="1351">
      <c r="A1351" s="3">
        <f>IF(D1351="","","TT-"&amp;TEXT(ROW()-1,"00000"))</f>
        <v/>
      </c>
      <c r="B1351" s="3">
        <f>IF(D1351="","",IF(V1351=0,"CONCLUÍDO",IF(D1351&lt;corte,"HISTÓRICO",IF(OR(AND(ISNUMBER(R1351),R1351&lt;TODAY()),AND(OR(N1351="PENDENTE",N1351="PARCIAL"),D1351&lt;TODAY()-1)),"CRÍTICO",IF(OR(AND(P1351&lt;&gt;"",S1351=""),AND(N1351="REALIZADO",M1351="PENDENTE"),AND(ISNUMBER(R1351),R1351=TODAY())),"ATENÇÃO",IF(N(K1351)=0,"PENDENTE","EM ANDAMENTO"))))))</f>
        <v/>
      </c>
      <c r="C1351" s="3">
        <f>IF(D1351="","",IF(V1351=0,"🟢 OK",IF(D1351&lt;corte,"⚪ HISTÓRICO (sem baixa)",IF(AND(ISNUMBER(R1351),R1351&lt;TODAY()),"🔴 PRAZO VENCIDO",IF(AND(OR(N1351="PENDENTE",N1351="PARCIAL"),D1351&lt;TODAY()-1),"🔴 EMBARQUE ATRASADO",IF(AND(N1351="REALIZADO",M1351="PENDENTE"),"🟡 EMBARCADO SEM FATURAR",IF(AND(P1351&lt;&gt;"",S1351="",OR(Q1351="",R1351="")),"🟡 PENDÊNCIA SEM RESPONSÁVEL/PRAZO",IF(AND(ISNUMBER(R1351),R1351=TODAY()),"🟡 VENCE HOJE",IF(AND(P1351&lt;&gt;"",S1351=""),"🟡 PENDÊNCIA ABERTA",IF(AND(N(J1351)&gt;0,N(K1351)&lt;J1351),"🟡 FALTA EXECUTAR",IF(OR(M1351="PENDENTE",M1351="PARCIAL"),"🟡 FATURAMENTO PENDENTE","🟡 EMBARQUE PENDENTE")))))))))))</f>
        <v/>
      </c>
      <c r="D1351" s="4" t="n"/>
      <c r="E1351" s="5" t="n"/>
      <c r="F1351" s="5" t="n"/>
      <c r="G1351" s="5" t="n"/>
      <c r="H1351" s="5" t="n"/>
      <c r="I1351" s="5" t="n"/>
      <c r="J1351" s="6" t="n"/>
      <c r="K1351" s="6" t="n"/>
      <c r="L1351" s="7">
        <f>IF(OR(D1351="",N(J1351)=0),"",MIN(1,N(K1351)/J1351))</f>
        <v/>
      </c>
      <c r="M1351" s="5" t="n"/>
      <c r="N1351" s="5" t="n"/>
      <c r="O1351" s="5" t="n"/>
      <c r="P1351" s="5" t="n"/>
      <c r="Q1351" s="5" t="n"/>
      <c r="R1351" s="4" t="n"/>
      <c r="S1351" s="4" t="n"/>
      <c r="T1351" s="5" t="n"/>
      <c r="U1351" s="8">
        <f>IF(AND(V1351=1,D1351&lt;&gt;""),IF(D1351&gt;=corte,TODAY()-D1351,""),"")</f>
        <v/>
      </c>
      <c r="V1351" s="8">
        <f>IF(D1351="",0,IF(OR(AND(P1351&lt;&gt;"",S1351=""),AND(N(J1351)&gt;0,N(K1351)&lt;J1351),OR(M1351="PENDENTE",M1351="PARCIAL"),OR(N1351="PENDENTE",N1351="PARCIAL")),1,0))</f>
        <v/>
      </c>
      <c r="W1351" s="8">
        <f>IF(AND(V1351=1,D1351&lt;&gt;""),IF(D1351&gt;=corte,(B1351="CRÍTICO")*1E9+(100000-D1351)*10000+10000-ROW(),""),"")</f>
        <v/>
      </c>
      <c r="X1351" s="8">
        <f>IF(AND(V1351=1,D1351=pas_data,E1351=pas_turno),10000-ROW(),"")</f>
        <v/>
      </c>
    </row>
    <row r="1352">
      <c r="A1352" s="3">
        <f>IF(D1352="","","TT-"&amp;TEXT(ROW()-1,"00000"))</f>
        <v/>
      </c>
      <c r="B1352" s="3">
        <f>IF(D1352="","",IF(V1352=0,"CONCLUÍDO",IF(D1352&lt;corte,"HISTÓRICO",IF(OR(AND(ISNUMBER(R1352),R1352&lt;TODAY()),AND(OR(N1352="PENDENTE",N1352="PARCIAL"),D1352&lt;TODAY()-1)),"CRÍTICO",IF(OR(AND(P1352&lt;&gt;"",S1352=""),AND(N1352="REALIZADO",M1352="PENDENTE"),AND(ISNUMBER(R1352),R1352=TODAY())),"ATENÇÃO",IF(N(K1352)=0,"PENDENTE","EM ANDAMENTO"))))))</f>
        <v/>
      </c>
      <c r="C1352" s="3">
        <f>IF(D1352="","",IF(V1352=0,"🟢 OK",IF(D1352&lt;corte,"⚪ HISTÓRICO (sem baixa)",IF(AND(ISNUMBER(R1352),R1352&lt;TODAY()),"🔴 PRAZO VENCIDO",IF(AND(OR(N1352="PENDENTE",N1352="PARCIAL"),D1352&lt;TODAY()-1),"🔴 EMBARQUE ATRASADO",IF(AND(N1352="REALIZADO",M1352="PENDENTE"),"🟡 EMBARCADO SEM FATURAR",IF(AND(P1352&lt;&gt;"",S1352="",OR(Q1352="",R1352="")),"🟡 PENDÊNCIA SEM RESPONSÁVEL/PRAZO",IF(AND(ISNUMBER(R1352),R1352=TODAY()),"🟡 VENCE HOJE",IF(AND(P1352&lt;&gt;"",S1352=""),"🟡 PENDÊNCIA ABERTA",IF(AND(N(J1352)&gt;0,N(K1352)&lt;J1352),"🟡 FALTA EXECUTAR",IF(OR(M1352="PENDENTE",M1352="PARCIAL"),"🟡 FATURAMENTO PENDENTE","🟡 EMBARQUE PENDENTE")))))))))))</f>
        <v/>
      </c>
      <c r="D1352" s="4" t="n"/>
      <c r="E1352" s="5" t="n"/>
      <c r="F1352" s="5" t="n"/>
      <c r="G1352" s="5" t="n"/>
      <c r="H1352" s="5" t="n"/>
      <c r="I1352" s="5" t="n"/>
      <c r="J1352" s="6" t="n"/>
      <c r="K1352" s="6" t="n"/>
      <c r="L1352" s="7">
        <f>IF(OR(D1352="",N(J1352)=0),"",MIN(1,N(K1352)/J1352))</f>
        <v/>
      </c>
      <c r="M1352" s="5" t="n"/>
      <c r="N1352" s="5" t="n"/>
      <c r="O1352" s="5" t="n"/>
      <c r="P1352" s="5" t="n"/>
      <c r="Q1352" s="5" t="n"/>
      <c r="R1352" s="4" t="n"/>
      <c r="S1352" s="4" t="n"/>
      <c r="T1352" s="5" t="n"/>
      <c r="U1352" s="8">
        <f>IF(AND(V1352=1,D1352&lt;&gt;""),IF(D1352&gt;=corte,TODAY()-D1352,""),"")</f>
        <v/>
      </c>
      <c r="V1352" s="8">
        <f>IF(D1352="",0,IF(OR(AND(P1352&lt;&gt;"",S1352=""),AND(N(J1352)&gt;0,N(K1352)&lt;J1352),OR(M1352="PENDENTE",M1352="PARCIAL"),OR(N1352="PENDENTE",N1352="PARCIAL")),1,0))</f>
        <v/>
      </c>
      <c r="W1352" s="8">
        <f>IF(AND(V1352=1,D1352&lt;&gt;""),IF(D1352&gt;=corte,(B1352="CRÍTICO")*1E9+(100000-D1352)*10000+10000-ROW(),""),"")</f>
        <v/>
      </c>
      <c r="X1352" s="8">
        <f>IF(AND(V1352=1,D1352=pas_data,E1352=pas_turno),10000-ROW(),"")</f>
        <v/>
      </c>
    </row>
    <row r="1353">
      <c r="A1353" s="3">
        <f>IF(D1353="","","TT-"&amp;TEXT(ROW()-1,"00000"))</f>
        <v/>
      </c>
      <c r="B1353" s="3">
        <f>IF(D1353="","",IF(V1353=0,"CONCLUÍDO",IF(D1353&lt;corte,"HISTÓRICO",IF(OR(AND(ISNUMBER(R1353),R1353&lt;TODAY()),AND(OR(N1353="PENDENTE",N1353="PARCIAL"),D1353&lt;TODAY()-1)),"CRÍTICO",IF(OR(AND(P1353&lt;&gt;"",S1353=""),AND(N1353="REALIZADO",M1353="PENDENTE"),AND(ISNUMBER(R1353),R1353=TODAY())),"ATENÇÃO",IF(N(K1353)=0,"PENDENTE","EM ANDAMENTO"))))))</f>
        <v/>
      </c>
      <c r="C1353" s="3">
        <f>IF(D1353="","",IF(V1353=0,"🟢 OK",IF(D1353&lt;corte,"⚪ HISTÓRICO (sem baixa)",IF(AND(ISNUMBER(R1353),R1353&lt;TODAY()),"🔴 PRAZO VENCIDO",IF(AND(OR(N1353="PENDENTE",N1353="PARCIAL"),D1353&lt;TODAY()-1),"🔴 EMBARQUE ATRASADO",IF(AND(N1353="REALIZADO",M1353="PENDENTE"),"🟡 EMBARCADO SEM FATURAR",IF(AND(P1353&lt;&gt;"",S1353="",OR(Q1353="",R1353="")),"🟡 PENDÊNCIA SEM RESPONSÁVEL/PRAZO",IF(AND(ISNUMBER(R1353),R1353=TODAY()),"🟡 VENCE HOJE",IF(AND(P1353&lt;&gt;"",S1353=""),"🟡 PENDÊNCIA ABERTA",IF(AND(N(J1353)&gt;0,N(K1353)&lt;J1353),"🟡 FALTA EXECUTAR",IF(OR(M1353="PENDENTE",M1353="PARCIAL"),"🟡 FATURAMENTO PENDENTE","🟡 EMBARQUE PENDENTE")))))))))))</f>
        <v/>
      </c>
      <c r="D1353" s="4" t="n"/>
      <c r="E1353" s="5" t="n"/>
      <c r="F1353" s="5" t="n"/>
      <c r="G1353" s="5" t="n"/>
      <c r="H1353" s="5" t="n"/>
      <c r="I1353" s="5" t="n"/>
      <c r="J1353" s="6" t="n"/>
      <c r="K1353" s="6" t="n"/>
      <c r="L1353" s="7">
        <f>IF(OR(D1353="",N(J1353)=0),"",MIN(1,N(K1353)/J1353))</f>
        <v/>
      </c>
      <c r="M1353" s="5" t="n"/>
      <c r="N1353" s="5" t="n"/>
      <c r="O1353" s="5" t="n"/>
      <c r="P1353" s="5" t="n"/>
      <c r="Q1353" s="5" t="n"/>
      <c r="R1353" s="4" t="n"/>
      <c r="S1353" s="4" t="n"/>
      <c r="T1353" s="5" t="n"/>
      <c r="U1353" s="8">
        <f>IF(AND(V1353=1,D1353&lt;&gt;""),IF(D1353&gt;=corte,TODAY()-D1353,""),"")</f>
        <v/>
      </c>
      <c r="V1353" s="8">
        <f>IF(D1353="",0,IF(OR(AND(P1353&lt;&gt;"",S1353=""),AND(N(J1353)&gt;0,N(K1353)&lt;J1353),OR(M1353="PENDENTE",M1353="PARCIAL"),OR(N1353="PENDENTE",N1353="PARCIAL")),1,0))</f>
        <v/>
      </c>
      <c r="W1353" s="8">
        <f>IF(AND(V1353=1,D1353&lt;&gt;""),IF(D1353&gt;=corte,(B1353="CRÍTICO")*1E9+(100000-D1353)*10000+10000-ROW(),""),"")</f>
        <v/>
      </c>
      <c r="X1353" s="8">
        <f>IF(AND(V1353=1,D1353=pas_data,E1353=pas_turno),10000-ROW(),"")</f>
        <v/>
      </c>
    </row>
    <row r="1354">
      <c r="A1354" s="3">
        <f>IF(D1354="","","TT-"&amp;TEXT(ROW()-1,"00000"))</f>
        <v/>
      </c>
      <c r="B1354" s="3">
        <f>IF(D1354="","",IF(V1354=0,"CONCLUÍDO",IF(D1354&lt;corte,"HISTÓRICO",IF(OR(AND(ISNUMBER(R1354),R1354&lt;TODAY()),AND(OR(N1354="PENDENTE",N1354="PARCIAL"),D1354&lt;TODAY()-1)),"CRÍTICO",IF(OR(AND(P1354&lt;&gt;"",S1354=""),AND(N1354="REALIZADO",M1354="PENDENTE"),AND(ISNUMBER(R1354),R1354=TODAY())),"ATENÇÃO",IF(N(K1354)=0,"PENDENTE","EM ANDAMENTO"))))))</f>
        <v/>
      </c>
      <c r="C1354" s="3">
        <f>IF(D1354="","",IF(V1354=0,"🟢 OK",IF(D1354&lt;corte,"⚪ HISTÓRICO (sem baixa)",IF(AND(ISNUMBER(R1354),R1354&lt;TODAY()),"🔴 PRAZO VENCIDO",IF(AND(OR(N1354="PENDENTE",N1354="PARCIAL"),D1354&lt;TODAY()-1),"🔴 EMBARQUE ATRASADO",IF(AND(N1354="REALIZADO",M1354="PENDENTE"),"🟡 EMBARCADO SEM FATURAR",IF(AND(P1354&lt;&gt;"",S1354="",OR(Q1354="",R1354="")),"🟡 PENDÊNCIA SEM RESPONSÁVEL/PRAZO",IF(AND(ISNUMBER(R1354),R1354=TODAY()),"🟡 VENCE HOJE",IF(AND(P1354&lt;&gt;"",S1354=""),"🟡 PENDÊNCIA ABERTA",IF(AND(N(J1354)&gt;0,N(K1354)&lt;J1354),"🟡 FALTA EXECUTAR",IF(OR(M1354="PENDENTE",M1354="PARCIAL"),"🟡 FATURAMENTO PENDENTE","🟡 EMBARQUE PENDENTE")))))))))))</f>
        <v/>
      </c>
      <c r="D1354" s="4" t="n"/>
      <c r="E1354" s="5" t="n"/>
      <c r="F1354" s="5" t="n"/>
      <c r="G1354" s="5" t="n"/>
      <c r="H1354" s="5" t="n"/>
      <c r="I1354" s="5" t="n"/>
      <c r="J1354" s="6" t="n"/>
      <c r="K1354" s="6" t="n"/>
      <c r="L1354" s="7">
        <f>IF(OR(D1354="",N(J1354)=0),"",MIN(1,N(K1354)/J1354))</f>
        <v/>
      </c>
      <c r="M1354" s="5" t="n"/>
      <c r="N1354" s="5" t="n"/>
      <c r="O1354" s="5" t="n"/>
      <c r="P1354" s="5" t="n"/>
      <c r="Q1354" s="5" t="n"/>
      <c r="R1354" s="4" t="n"/>
      <c r="S1354" s="4" t="n"/>
      <c r="T1354" s="5" t="n"/>
      <c r="U1354" s="8">
        <f>IF(AND(V1354=1,D1354&lt;&gt;""),IF(D1354&gt;=corte,TODAY()-D1354,""),"")</f>
        <v/>
      </c>
      <c r="V1354" s="8">
        <f>IF(D1354="",0,IF(OR(AND(P1354&lt;&gt;"",S1354=""),AND(N(J1354)&gt;0,N(K1354)&lt;J1354),OR(M1354="PENDENTE",M1354="PARCIAL"),OR(N1354="PENDENTE",N1354="PARCIAL")),1,0))</f>
        <v/>
      </c>
      <c r="W1354" s="8">
        <f>IF(AND(V1354=1,D1354&lt;&gt;""),IF(D1354&gt;=corte,(B1354="CRÍTICO")*1E9+(100000-D1354)*10000+10000-ROW(),""),"")</f>
        <v/>
      </c>
      <c r="X1354" s="8">
        <f>IF(AND(V1354=1,D1354=pas_data,E1354=pas_turno),10000-ROW(),"")</f>
        <v/>
      </c>
    </row>
    <row r="1355">
      <c r="A1355" s="3">
        <f>IF(D1355="","","TT-"&amp;TEXT(ROW()-1,"00000"))</f>
        <v/>
      </c>
      <c r="B1355" s="3">
        <f>IF(D1355="","",IF(V1355=0,"CONCLUÍDO",IF(D1355&lt;corte,"HISTÓRICO",IF(OR(AND(ISNUMBER(R1355),R1355&lt;TODAY()),AND(OR(N1355="PENDENTE",N1355="PARCIAL"),D1355&lt;TODAY()-1)),"CRÍTICO",IF(OR(AND(P1355&lt;&gt;"",S1355=""),AND(N1355="REALIZADO",M1355="PENDENTE"),AND(ISNUMBER(R1355),R1355=TODAY())),"ATENÇÃO",IF(N(K1355)=0,"PENDENTE","EM ANDAMENTO"))))))</f>
        <v/>
      </c>
      <c r="C1355" s="3">
        <f>IF(D1355="","",IF(V1355=0,"🟢 OK",IF(D1355&lt;corte,"⚪ HISTÓRICO (sem baixa)",IF(AND(ISNUMBER(R1355),R1355&lt;TODAY()),"🔴 PRAZO VENCIDO",IF(AND(OR(N1355="PENDENTE",N1355="PARCIAL"),D1355&lt;TODAY()-1),"🔴 EMBARQUE ATRASADO",IF(AND(N1355="REALIZADO",M1355="PENDENTE"),"🟡 EMBARCADO SEM FATURAR",IF(AND(P1355&lt;&gt;"",S1355="",OR(Q1355="",R1355="")),"🟡 PENDÊNCIA SEM RESPONSÁVEL/PRAZO",IF(AND(ISNUMBER(R1355),R1355=TODAY()),"🟡 VENCE HOJE",IF(AND(P1355&lt;&gt;"",S1355=""),"🟡 PENDÊNCIA ABERTA",IF(AND(N(J1355)&gt;0,N(K1355)&lt;J1355),"🟡 FALTA EXECUTAR",IF(OR(M1355="PENDENTE",M1355="PARCIAL"),"🟡 FATURAMENTO PENDENTE","🟡 EMBARQUE PENDENTE")))))))))))</f>
        <v/>
      </c>
      <c r="D1355" s="4" t="n"/>
      <c r="E1355" s="5" t="n"/>
      <c r="F1355" s="5" t="n"/>
      <c r="G1355" s="5" t="n"/>
      <c r="H1355" s="5" t="n"/>
      <c r="I1355" s="5" t="n"/>
      <c r="J1355" s="6" t="n"/>
      <c r="K1355" s="6" t="n"/>
      <c r="L1355" s="7">
        <f>IF(OR(D1355="",N(J1355)=0),"",MIN(1,N(K1355)/J1355))</f>
        <v/>
      </c>
      <c r="M1355" s="5" t="n"/>
      <c r="N1355" s="5" t="n"/>
      <c r="O1355" s="5" t="n"/>
      <c r="P1355" s="5" t="n"/>
      <c r="Q1355" s="5" t="n"/>
      <c r="R1355" s="4" t="n"/>
      <c r="S1355" s="4" t="n"/>
      <c r="T1355" s="5" t="n"/>
      <c r="U1355" s="8">
        <f>IF(AND(V1355=1,D1355&lt;&gt;""),IF(D1355&gt;=corte,TODAY()-D1355,""),"")</f>
        <v/>
      </c>
      <c r="V1355" s="8">
        <f>IF(D1355="",0,IF(OR(AND(P1355&lt;&gt;"",S1355=""),AND(N(J1355)&gt;0,N(K1355)&lt;J1355),OR(M1355="PENDENTE",M1355="PARCIAL"),OR(N1355="PENDENTE",N1355="PARCIAL")),1,0))</f>
        <v/>
      </c>
      <c r="W1355" s="8">
        <f>IF(AND(V1355=1,D1355&lt;&gt;""),IF(D1355&gt;=corte,(B1355="CRÍTICO")*1E9+(100000-D1355)*10000+10000-ROW(),""),"")</f>
        <v/>
      </c>
      <c r="X1355" s="8">
        <f>IF(AND(V1355=1,D1355=pas_data,E1355=pas_turno),10000-ROW(),"")</f>
        <v/>
      </c>
    </row>
    <row r="1356">
      <c r="A1356" s="3">
        <f>IF(D1356="","","TT-"&amp;TEXT(ROW()-1,"00000"))</f>
        <v/>
      </c>
      <c r="B1356" s="3">
        <f>IF(D1356="","",IF(V1356=0,"CONCLUÍDO",IF(D1356&lt;corte,"HISTÓRICO",IF(OR(AND(ISNUMBER(R1356),R1356&lt;TODAY()),AND(OR(N1356="PENDENTE",N1356="PARCIAL"),D1356&lt;TODAY()-1)),"CRÍTICO",IF(OR(AND(P1356&lt;&gt;"",S1356=""),AND(N1356="REALIZADO",M1356="PENDENTE"),AND(ISNUMBER(R1356),R1356=TODAY())),"ATENÇÃO",IF(N(K1356)=0,"PENDENTE","EM ANDAMENTO"))))))</f>
        <v/>
      </c>
      <c r="C1356" s="3">
        <f>IF(D1356="","",IF(V1356=0,"🟢 OK",IF(D1356&lt;corte,"⚪ HISTÓRICO (sem baixa)",IF(AND(ISNUMBER(R1356),R1356&lt;TODAY()),"🔴 PRAZO VENCIDO",IF(AND(OR(N1356="PENDENTE",N1356="PARCIAL"),D1356&lt;TODAY()-1),"🔴 EMBARQUE ATRASADO",IF(AND(N1356="REALIZADO",M1356="PENDENTE"),"🟡 EMBARCADO SEM FATURAR",IF(AND(P1356&lt;&gt;"",S1356="",OR(Q1356="",R1356="")),"🟡 PENDÊNCIA SEM RESPONSÁVEL/PRAZO",IF(AND(ISNUMBER(R1356),R1356=TODAY()),"🟡 VENCE HOJE",IF(AND(P1356&lt;&gt;"",S1356=""),"🟡 PENDÊNCIA ABERTA",IF(AND(N(J1356)&gt;0,N(K1356)&lt;J1356),"🟡 FALTA EXECUTAR",IF(OR(M1356="PENDENTE",M1356="PARCIAL"),"🟡 FATURAMENTO PENDENTE","🟡 EMBARQUE PENDENTE")))))))))))</f>
        <v/>
      </c>
      <c r="D1356" s="4" t="n"/>
      <c r="E1356" s="5" t="n"/>
      <c r="F1356" s="5" t="n"/>
      <c r="G1356" s="5" t="n"/>
      <c r="H1356" s="5" t="n"/>
      <c r="I1356" s="5" t="n"/>
      <c r="J1356" s="6" t="n"/>
      <c r="K1356" s="6" t="n"/>
      <c r="L1356" s="7">
        <f>IF(OR(D1356="",N(J1356)=0),"",MIN(1,N(K1356)/J1356))</f>
        <v/>
      </c>
      <c r="M1356" s="5" t="n"/>
      <c r="N1356" s="5" t="n"/>
      <c r="O1356" s="5" t="n"/>
      <c r="P1356" s="5" t="n"/>
      <c r="Q1356" s="5" t="n"/>
      <c r="R1356" s="4" t="n"/>
      <c r="S1356" s="4" t="n"/>
      <c r="T1356" s="5" t="n"/>
      <c r="U1356" s="8">
        <f>IF(AND(V1356=1,D1356&lt;&gt;""),IF(D1356&gt;=corte,TODAY()-D1356,""),"")</f>
        <v/>
      </c>
      <c r="V1356" s="8">
        <f>IF(D1356="",0,IF(OR(AND(P1356&lt;&gt;"",S1356=""),AND(N(J1356)&gt;0,N(K1356)&lt;J1356),OR(M1356="PENDENTE",M1356="PARCIAL"),OR(N1356="PENDENTE",N1356="PARCIAL")),1,0))</f>
        <v/>
      </c>
      <c r="W1356" s="8">
        <f>IF(AND(V1356=1,D1356&lt;&gt;""),IF(D1356&gt;=corte,(B1356="CRÍTICO")*1E9+(100000-D1356)*10000+10000-ROW(),""),"")</f>
        <v/>
      </c>
      <c r="X1356" s="8">
        <f>IF(AND(V1356=1,D1356=pas_data,E1356=pas_turno),10000-ROW(),"")</f>
        <v/>
      </c>
    </row>
    <row r="1357">
      <c r="A1357" s="3">
        <f>IF(D1357="","","TT-"&amp;TEXT(ROW()-1,"00000"))</f>
        <v/>
      </c>
      <c r="B1357" s="3">
        <f>IF(D1357="","",IF(V1357=0,"CONCLUÍDO",IF(D1357&lt;corte,"HISTÓRICO",IF(OR(AND(ISNUMBER(R1357),R1357&lt;TODAY()),AND(OR(N1357="PENDENTE",N1357="PARCIAL"),D1357&lt;TODAY()-1)),"CRÍTICO",IF(OR(AND(P1357&lt;&gt;"",S1357=""),AND(N1357="REALIZADO",M1357="PENDENTE"),AND(ISNUMBER(R1357),R1357=TODAY())),"ATENÇÃO",IF(N(K1357)=0,"PENDENTE","EM ANDAMENTO"))))))</f>
        <v/>
      </c>
      <c r="C1357" s="3">
        <f>IF(D1357="","",IF(V1357=0,"🟢 OK",IF(D1357&lt;corte,"⚪ HISTÓRICO (sem baixa)",IF(AND(ISNUMBER(R1357),R1357&lt;TODAY()),"🔴 PRAZO VENCIDO",IF(AND(OR(N1357="PENDENTE",N1357="PARCIAL"),D1357&lt;TODAY()-1),"🔴 EMBARQUE ATRASADO",IF(AND(N1357="REALIZADO",M1357="PENDENTE"),"🟡 EMBARCADO SEM FATURAR",IF(AND(P1357&lt;&gt;"",S1357="",OR(Q1357="",R1357="")),"🟡 PENDÊNCIA SEM RESPONSÁVEL/PRAZO",IF(AND(ISNUMBER(R1357),R1357=TODAY()),"🟡 VENCE HOJE",IF(AND(P1357&lt;&gt;"",S1357=""),"🟡 PENDÊNCIA ABERTA",IF(AND(N(J1357)&gt;0,N(K1357)&lt;J1357),"🟡 FALTA EXECUTAR",IF(OR(M1357="PENDENTE",M1357="PARCIAL"),"🟡 FATURAMENTO PENDENTE","🟡 EMBARQUE PENDENTE")))))))))))</f>
        <v/>
      </c>
      <c r="D1357" s="4" t="n"/>
      <c r="E1357" s="5" t="n"/>
      <c r="F1357" s="5" t="n"/>
      <c r="G1357" s="5" t="n"/>
      <c r="H1357" s="5" t="n"/>
      <c r="I1357" s="5" t="n"/>
      <c r="J1357" s="6" t="n"/>
      <c r="K1357" s="6" t="n"/>
      <c r="L1357" s="7">
        <f>IF(OR(D1357="",N(J1357)=0),"",MIN(1,N(K1357)/J1357))</f>
        <v/>
      </c>
      <c r="M1357" s="5" t="n"/>
      <c r="N1357" s="5" t="n"/>
      <c r="O1357" s="5" t="n"/>
      <c r="P1357" s="5" t="n"/>
      <c r="Q1357" s="5" t="n"/>
      <c r="R1357" s="4" t="n"/>
      <c r="S1357" s="4" t="n"/>
      <c r="T1357" s="5" t="n"/>
      <c r="U1357" s="8">
        <f>IF(AND(V1357=1,D1357&lt;&gt;""),IF(D1357&gt;=corte,TODAY()-D1357,""),"")</f>
        <v/>
      </c>
      <c r="V1357" s="8">
        <f>IF(D1357="",0,IF(OR(AND(P1357&lt;&gt;"",S1357=""),AND(N(J1357)&gt;0,N(K1357)&lt;J1357),OR(M1357="PENDENTE",M1357="PARCIAL"),OR(N1357="PENDENTE",N1357="PARCIAL")),1,0))</f>
        <v/>
      </c>
      <c r="W1357" s="8">
        <f>IF(AND(V1357=1,D1357&lt;&gt;""),IF(D1357&gt;=corte,(B1357="CRÍTICO")*1E9+(100000-D1357)*10000+10000-ROW(),""),"")</f>
        <v/>
      </c>
      <c r="X1357" s="8">
        <f>IF(AND(V1357=1,D1357=pas_data,E1357=pas_turno),10000-ROW(),"")</f>
        <v/>
      </c>
    </row>
    <row r="1358">
      <c r="A1358" s="3">
        <f>IF(D1358="","","TT-"&amp;TEXT(ROW()-1,"00000"))</f>
        <v/>
      </c>
      <c r="B1358" s="3">
        <f>IF(D1358="","",IF(V1358=0,"CONCLUÍDO",IF(D1358&lt;corte,"HISTÓRICO",IF(OR(AND(ISNUMBER(R1358),R1358&lt;TODAY()),AND(OR(N1358="PENDENTE",N1358="PARCIAL"),D1358&lt;TODAY()-1)),"CRÍTICO",IF(OR(AND(P1358&lt;&gt;"",S1358=""),AND(N1358="REALIZADO",M1358="PENDENTE"),AND(ISNUMBER(R1358),R1358=TODAY())),"ATENÇÃO",IF(N(K1358)=0,"PENDENTE","EM ANDAMENTO"))))))</f>
        <v/>
      </c>
      <c r="C1358" s="3">
        <f>IF(D1358="","",IF(V1358=0,"🟢 OK",IF(D1358&lt;corte,"⚪ HISTÓRICO (sem baixa)",IF(AND(ISNUMBER(R1358),R1358&lt;TODAY()),"🔴 PRAZO VENCIDO",IF(AND(OR(N1358="PENDENTE",N1358="PARCIAL"),D1358&lt;TODAY()-1),"🔴 EMBARQUE ATRASADO",IF(AND(N1358="REALIZADO",M1358="PENDENTE"),"🟡 EMBARCADO SEM FATURAR",IF(AND(P1358&lt;&gt;"",S1358="",OR(Q1358="",R1358="")),"🟡 PENDÊNCIA SEM RESPONSÁVEL/PRAZO",IF(AND(ISNUMBER(R1358),R1358=TODAY()),"🟡 VENCE HOJE",IF(AND(P1358&lt;&gt;"",S1358=""),"🟡 PENDÊNCIA ABERTA",IF(AND(N(J1358)&gt;0,N(K1358)&lt;J1358),"🟡 FALTA EXECUTAR",IF(OR(M1358="PENDENTE",M1358="PARCIAL"),"🟡 FATURAMENTO PENDENTE","🟡 EMBARQUE PENDENTE")))))))))))</f>
        <v/>
      </c>
      <c r="D1358" s="4" t="n"/>
      <c r="E1358" s="5" t="n"/>
      <c r="F1358" s="5" t="n"/>
      <c r="G1358" s="5" t="n"/>
      <c r="H1358" s="5" t="n"/>
      <c r="I1358" s="5" t="n"/>
      <c r="J1358" s="6" t="n"/>
      <c r="K1358" s="6" t="n"/>
      <c r="L1358" s="7">
        <f>IF(OR(D1358="",N(J1358)=0),"",MIN(1,N(K1358)/J1358))</f>
        <v/>
      </c>
      <c r="M1358" s="5" t="n"/>
      <c r="N1358" s="5" t="n"/>
      <c r="O1358" s="5" t="n"/>
      <c r="P1358" s="5" t="n"/>
      <c r="Q1358" s="5" t="n"/>
      <c r="R1358" s="4" t="n"/>
      <c r="S1358" s="4" t="n"/>
      <c r="T1358" s="5" t="n"/>
      <c r="U1358" s="8">
        <f>IF(AND(V1358=1,D1358&lt;&gt;""),IF(D1358&gt;=corte,TODAY()-D1358,""),"")</f>
        <v/>
      </c>
      <c r="V1358" s="8">
        <f>IF(D1358="",0,IF(OR(AND(P1358&lt;&gt;"",S1358=""),AND(N(J1358)&gt;0,N(K1358)&lt;J1358),OR(M1358="PENDENTE",M1358="PARCIAL"),OR(N1358="PENDENTE",N1358="PARCIAL")),1,0))</f>
        <v/>
      </c>
      <c r="W1358" s="8">
        <f>IF(AND(V1358=1,D1358&lt;&gt;""),IF(D1358&gt;=corte,(B1358="CRÍTICO")*1E9+(100000-D1358)*10000+10000-ROW(),""),"")</f>
        <v/>
      </c>
      <c r="X1358" s="8">
        <f>IF(AND(V1358=1,D1358=pas_data,E1358=pas_turno),10000-ROW(),"")</f>
        <v/>
      </c>
    </row>
    <row r="1359">
      <c r="A1359" s="3">
        <f>IF(D1359="","","TT-"&amp;TEXT(ROW()-1,"00000"))</f>
        <v/>
      </c>
      <c r="B1359" s="3">
        <f>IF(D1359="","",IF(V1359=0,"CONCLUÍDO",IF(D1359&lt;corte,"HISTÓRICO",IF(OR(AND(ISNUMBER(R1359),R1359&lt;TODAY()),AND(OR(N1359="PENDENTE",N1359="PARCIAL"),D1359&lt;TODAY()-1)),"CRÍTICO",IF(OR(AND(P1359&lt;&gt;"",S1359=""),AND(N1359="REALIZADO",M1359="PENDENTE"),AND(ISNUMBER(R1359),R1359=TODAY())),"ATENÇÃO",IF(N(K1359)=0,"PENDENTE","EM ANDAMENTO"))))))</f>
        <v/>
      </c>
      <c r="C1359" s="3">
        <f>IF(D1359="","",IF(V1359=0,"🟢 OK",IF(D1359&lt;corte,"⚪ HISTÓRICO (sem baixa)",IF(AND(ISNUMBER(R1359),R1359&lt;TODAY()),"🔴 PRAZO VENCIDO",IF(AND(OR(N1359="PENDENTE",N1359="PARCIAL"),D1359&lt;TODAY()-1),"🔴 EMBARQUE ATRASADO",IF(AND(N1359="REALIZADO",M1359="PENDENTE"),"🟡 EMBARCADO SEM FATURAR",IF(AND(P1359&lt;&gt;"",S1359="",OR(Q1359="",R1359="")),"🟡 PENDÊNCIA SEM RESPONSÁVEL/PRAZO",IF(AND(ISNUMBER(R1359),R1359=TODAY()),"🟡 VENCE HOJE",IF(AND(P1359&lt;&gt;"",S1359=""),"🟡 PENDÊNCIA ABERTA",IF(AND(N(J1359)&gt;0,N(K1359)&lt;J1359),"🟡 FALTA EXECUTAR",IF(OR(M1359="PENDENTE",M1359="PARCIAL"),"🟡 FATURAMENTO PENDENTE","🟡 EMBARQUE PENDENTE")))))))))))</f>
        <v/>
      </c>
      <c r="D1359" s="4" t="n"/>
      <c r="E1359" s="5" t="n"/>
      <c r="F1359" s="5" t="n"/>
      <c r="G1359" s="5" t="n"/>
      <c r="H1359" s="5" t="n"/>
      <c r="I1359" s="5" t="n"/>
      <c r="J1359" s="6" t="n"/>
      <c r="K1359" s="6" t="n"/>
      <c r="L1359" s="7">
        <f>IF(OR(D1359="",N(J1359)=0),"",MIN(1,N(K1359)/J1359))</f>
        <v/>
      </c>
      <c r="M1359" s="5" t="n"/>
      <c r="N1359" s="5" t="n"/>
      <c r="O1359" s="5" t="n"/>
      <c r="P1359" s="5" t="n"/>
      <c r="Q1359" s="5" t="n"/>
      <c r="R1359" s="4" t="n"/>
      <c r="S1359" s="4" t="n"/>
      <c r="T1359" s="5" t="n"/>
      <c r="U1359" s="8">
        <f>IF(AND(V1359=1,D1359&lt;&gt;""),IF(D1359&gt;=corte,TODAY()-D1359,""),"")</f>
        <v/>
      </c>
      <c r="V1359" s="8">
        <f>IF(D1359="",0,IF(OR(AND(P1359&lt;&gt;"",S1359=""),AND(N(J1359)&gt;0,N(K1359)&lt;J1359),OR(M1359="PENDENTE",M1359="PARCIAL"),OR(N1359="PENDENTE",N1359="PARCIAL")),1,0))</f>
        <v/>
      </c>
      <c r="W1359" s="8">
        <f>IF(AND(V1359=1,D1359&lt;&gt;""),IF(D1359&gt;=corte,(B1359="CRÍTICO")*1E9+(100000-D1359)*10000+10000-ROW(),""),"")</f>
        <v/>
      </c>
      <c r="X1359" s="8">
        <f>IF(AND(V1359=1,D1359=pas_data,E1359=pas_turno),10000-ROW(),"")</f>
        <v/>
      </c>
    </row>
    <row r="1360">
      <c r="A1360" s="3">
        <f>IF(D1360="","","TT-"&amp;TEXT(ROW()-1,"00000"))</f>
        <v/>
      </c>
      <c r="B1360" s="3">
        <f>IF(D1360="","",IF(V1360=0,"CONCLUÍDO",IF(D1360&lt;corte,"HISTÓRICO",IF(OR(AND(ISNUMBER(R1360),R1360&lt;TODAY()),AND(OR(N1360="PENDENTE",N1360="PARCIAL"),D1360&lt;TODAY()-1)),"CRÍTICO",IF(OR(AND(P1360&lt;&gt;"",S1360=""),AND(N1360="REALIZADO",M1360="PENDENTE"),AND(ISNUMBER(R1360),R1360=TODAY())),"ATENÇÃO",IF(N(K1360)=0,"PENDENTE","EM ANDAMENTO"))))))</f>
        <v/>
      </c>
      <c r="C1360" s="3">
        <f>IF(D1360="","",IF(V1360=0,"🟢 OK",IF(D1360&lt;corte,"⚪ HISTÓRICO (sem baixa)",IF(AND(ISNUMBER(R1360),R1360&lt;TODAY()),"🔴 PRAZO VENCIDO",IF(AND(OR(N1360="PENDENTE",N1360="PARCIAL"),D1360&lt;TODAY()-1),"🔴 EMBARQUE ATRASADO",IF(AND(N1360="REALIZADO",M1360="PENDENTE"),"🟡 EMBARCADO SEM FATURAR",IF(AND(P1360&lt;&gt;"",S1360="",OR(Q1360="",R1360="")),"🟡 PENDÊNCIA SEM RESPONSÁVEL/PRAZO",IF(AND(ISNUMBER(R1360),R1360=TODAY()),"🟡 VENCE HOJE",IF(AND(P1360&lt;&gt;"",S1360=""),"🟡 PENDÊNCIA ABERTA",IF(AND(N(J1360)&gt;0,N(K1360)&lt;J1360),"🟡 FALTA EXECUTAR",IF(OR(M1360="PENDENTE",M1360="PARCIAL"),"🟡 FATURAMENTO PENDENTE","🟡 EMBARQUE PENDENTE")))))))))))</f>
        <v/>
      </c>
      <c r="D1360" s="4" t="n"/>
      <c r="E1360" s="5" t="n"/>
      <c r="F1360" s="5" t="n"/>
      <c r="G1360" s="5" t="n"/>
      <c r="H1360" s="5" t="n"/>
      <c r="I1360" s="5" t="n"/>
      <c r="J1360" s="6" t="n"/>
      <c r="K1360" s="6" t="n"/>
      <c r="L1360" s="7">
        <f>IF(OR(D1360="",N(J1360)=0),"",MIN(1,N(K1360)/J1360))</f>
        <v/>
      </c>
      <c r="M1360" s="5" t="n"/>
      <c r="N1360" s="5" t="n"/>
      <c r="O1360" s="5" t="n"/>
      <c r="P1360" s="5" t="n"/>
      <c r="Q1360" s="5" t="n"/>
      <c r="R1360" s="4" t="n"/>
      <c r="S1360" s="4" t="n"/>
      <c r="T1360" s="5" t="n"/>
      <c r="U1360" s="8">
        <f>IF(AND(V1360=1,D1360&lt;&gt;""),IF(D1360&gt;=corte,TODAY()-D1360,""),"")</f>
        <v/>
      </c>
      <c r="V1360" s="8">
        <f>IF(D1360="",0,IF(OR(AND(P1360&lt;&gt;"",S1360=""),AND(N(J1360)&gt;0,N(K1360)&lt;J1360),OR(M1360="PENDENTE",M1360="PARCIAL"),OR(N1360="PENDENTE",N1360="PARCIAL")),1,0))</f>
        <v/>
      </c>
      <c r="W1360" s="8">
        <f>IF(AND(V1360=1,D1360&lt;&gt;""),IF(D1360&gt;=corte,(B1360="CRÍTICO")*1E9+(100000-D1360)*10000+10000-ROW(),""),"")</f>
        <v/>
      </c>
      <c r="X1360" s="8">
        <f>IF(AND(V1360=1,D1360=pas_data,E1360=pas_turno),10000-ROW(),"")</f>
        <v/>
      </c>
    </row>
    <row r="1361">
      <c r="A1361" s="3">
        <f>IF(D1361="","","TT-"&amp;TEXT(ROW()-1,"00000"))</f>
        <v/>
      </c>
      <c r="B1361" s="3">
        <f>IF(D1361="","",IF(V1361=0,"CONCLUÍDO",IF(D1361&lt;corte,"HISTÓRICO",IF(OR(AND(ISNUMBER(R1361),R1361&lt;TODAY()),AND(OR(N1361="PENDENTE",N1361="PARCIAL"),D1361&lt;TODAY()-1)),"CRÍTICO",IF(OR(AND(P1361&lt;&gt;"",S1361=""),AND(N1361="REALIZADO",M1361="PENDENTE"),AND(ISNUMBER(R1361),R1361=TODAY())),"ATENÇÃO",IF(N(K1361)=0,"PENDENTE","EM ANDAMENTO"))))))</f>
        <v/>
      </c>
      <c r="C1361" s="3">
        <f>IF(D1361="","",IF(V1361=0,"🟢 OK",IF(D1361&lt;corte,"⚪ HISTÓRICO (sem baixa)",IF(AND(ISNUMBER(R1361),R1361&lt;TODAY()),"🔴 PRAZO VENCIDO",IF(AND(OR(N1361="PENDENTE",N1361="PARCIAL"),D1361&lt;TODAY()-1),"🔴 EMBARQUE ATRASADO",IF(AND(N1361="REALIZADO",M1361="PENDENTE"),"🟡 EMBARCADO SEM FATURAR",IF(AND(P1361&lt;&gt;"",S1361="",OR(Q1361="",R1361="")),"🟡 PENDÊNCIA SEM RESPONSÁVEL/PRAZO",IF(AND(ISNUMBER(R1361),R1361=TODAY()),"🟡 VENCE HOJE",IF(AND(P1361&lt;&gt;"",S1361=""),"🟡 PENDÊNCIA ABERTA",IF(AND(N(J1361)&gt;0,N(K1361)&lt;J1361),"🟡 FALTA EXECUTAR",IF(OR(M1361="PENDENTE",M1361="PARCIAL"),"🟡 FATURAMENTO PENDENTE","🟡 EMBARQUE PENDENTE")))))))))))</f>
        <v/>
      </c>
      <c r="D1361" s="4" t="n"/>
      <c r="E1361" s="5" t="n"/>
      <c r="F1361" s="5" t="n"/>
      <c r="G1361" s="5" t="n"/>
      <c r="H1361" s="5" t="n"/>
      <c r="I1361" s="5" t="n"/>
      <c r="J1361" s="6" t="n"/>
      <c r="K1361" s="6" t="n"/>
      <c r="L1361" s="7">
        <f>IF(OR(D1361="",N(J1361)=0),"",MIN(1,N(K1361)/J1361))</f>
        <v/>
      </c>
      <c r="M1361" s="5" t="n"/>
      <c r="N1361" s="5" t="n"/>
      <c r="O1361" s="5" t="n"/>
      <c r="P1361" s="5" t="n"/>
      <c r="Q1361" s="5" t="n"/>
      <c r="R1361" s="4" t="n"/>
      <c r="S1361" s="4" t="n"/>
      <c r="T1361" s="5" t="n"/>
      <c r="U1361" s="8">
        <f>IF(AND(V1361=1,D1361&lt;&gt;""),IF(D1361&gt;=corte,TODAY()-D1361,""),"")</f>
        <v/>
      </c>
      <c r="V1361" s="8">
        <f>IF(D1361="",0,IF(OR(AND(P1361&lt;&gt;"",S1361=""),AND(N(J1361)&gt;0,N(K1361)&lt;J1361),OR(M1361="PENDENTE",M1361="PARCIAL"),OR(N1361="PENDENTE",N1361="PARCIAL")),1,0))</f>
        <v/>
      </c>
      <c r="W1361" s="8">
        <f>IF(AND(V1361=1,D1361&lt;&gt;""),IF(D1361&gt;=corte,(B1361="CRÍTICO")*1E9+(100000-D1361)*10000+10000-ROW(),""),"")</f>
        <v/>
      </c>
      <c r="X1361" s="8">
        <f>IF(AND(V1361=1,D1361=pas_data,E1361=pas_turno),10000-ROW(),"")</f>
        <v/>
      </c>
    </row>
    <row r="1362">
      <c r="A1362" s="3">
        <f>IF(D1362="","","TT-"&amp;TEXT(ROW()-1,"00000"))</f>
        <v/>
      </c>
      <c r="B1362" s="3">
        <f>IF(D1362="","",IF(V1362=0,"CONCLUÍDO",IF(D1362&lt;corte,"HISTÓRICO",IF(OR(AND(ISNUMBER(R1362),R1362&lt;TODAY()),AND(OR(N1362="PENDENTE",N1362="PARCIAL"),D1362&lt;TODAY()-1)),"CRÍTICO",IF(OR(AND(P1362&lt;&gt;"",S1362=""),AND(N1362="REALIZADO",M1362="PENDENTE"),AND(ISNUMBER(R1362),R1362=TODAY())),"ATENÇÃO",IF(N(K1362)=0,"PENDENTE","EM ANDAMENTO"))))))</f>
        <v/>
      </c>
      <c r="C1362" s="3">
        <f>IF(D1362="","",IF(V1362=0,"🟢 OK",IF(D1362&lt;corte,"⚪ HISTÓRICO (sem baixa)",IF(AND(ISNUMBER(R1362),R1362&lt;TODAY()),"🔴 PRAZO VENCIDO",IF(AND(OR(N1362="PENDENTE",N1362="PARCIAL"),D1362&lt;TODAY()-1),"🔴 EMBARQUE ATRASADO",IF(AND(N1362="REALIZADO",M1362="PENDENTE"),"🟡 EMBARCADO SEM FATURAR",IF(AND(P1362&lt;&gt;"",S1362="",OR(Q1362="",R1362="")),"🟡 PENDÊNCIA SEM RESPONSÁVEL/PRAZO",IF(AND(ISNUMBER(R1362),R1362=TODAY()),"🟡 VENCE HOJE",IF(AND(P1362&lt;&gt;"",S1362=""),"🟡 PENDÊNCIA ABERTA",IF(AND(N(J1362)&gt;0,N(K1362)&lt;J1362),"🟡 FALTA EXECUTAR",IF(OR(M1362="PENDENTE",M1362="PARCIAL"),"🟡 FATURAMENTO PENDENTE","🟡 EMBARQUE PENDENTE")))))))))))</f>
        <v/>
      </c>
      <c r="D1362" s="4" t="n"/>
      <c r="E1362" s="5" t="n"/>
      <c r="F1362" s="5" t="n"/>
      <c r="G1362" s="5" t="n"/>
      <c r="H1362" s="5" t="n"/>
      <c r="I1362" s="5" t="n"/>
      <c r="J1362" s="6" t="n"/>
      <c r="K1362" s="6" t="n"/>
      <c r="L1362" s="7">
        <f>IF(OR(D1362="",N(J1362)=0),"",MIN(1,N(K1362)/J1362))</f>
        <v/>
      </c>
      <c r="M1362" s="5" t="n"/>
      <c r="N1362" s="5" t="n"/>
      <c r="O1362" s="5" t="n"/>
      <c r="P1362" s="5" t="n"/>
      <c r="Q1362" s="5" t="n"/>
      <c r="R1362" s="4" t="n"/>
      <c r="S1362" s="4" t="n"/>
      <c r="T1362" s="5" t="n"/>
      <c r="U1362" s="8">
        <f>IF(AND(V1362=1,D1362&lt;&gt;""),IF(D1362&gt;=corte,TODAY()-D1362,""),"")</f>
        <v/>
      </c>
      <c r="V1362" s="8">
        <f>IF(D1362="",0,IF(OR(AND(P1362&lt;&gt;"",S1362=""),AND(N(J1362)&gt;0,N(K1362)&lt;J1362),OR(M1362="PENDENTE",M1362="PARCIAL"),OR(N1362="PENDENTE",N1362="PARCIAL")),1,0))</f>
        <v/>
      </c>
      <c r="W1362" s="8">
        <f>IF(AND(V1362=1,D1362&lt;&gt;""),IF(D1362&gt;=corte,(B1362="CRÍTICO")*1E9+(100000-D1362)*10000+10000-ROW(),""),"")</f>
        <v/>
      </c>
      <c r="X1362" s="8">
        <f>IF(AND(V1362=1,D1362=pas_data,E1362=pas_turno),10000-ROW(),"")</f>
        <v/>
      </c>
    </row>
    <row r="1363">
      <c r="A1363" s="3">
        <f>IF(D1363="","","TT-"&amp;TEXT(ROW()-1,"00000"))</f>
        <v/>
      </c>
      <c r="B1363" s="3">
        <f>IF(D1363="","",IF(V1363=0,"CONCLUÍDO",IF(D1363&lt;corte,"HISTÓRICO",IF(OR(AND(ISNUMBER(R1363),R1363&lt;TODAY()),AND(OR(N1363="PENDENTE",N1363="PARCIAL"),D1363&lt;TODAY()-1)),"CRÍTICO",IF(OR(AND(P1363&lt;&gt;"",S1363=""),AND(N1363="REALIZADO",M1363="PENDENTE"),AND(ISNUMBER(R1363),R1363=TODAY())),"ATENÇÃO",IF(N(K1363)=0,"PENDENTE","EM ANDAMENTO"))))))</f>
        <v/>
      </c>
      <c r="C1363" s="3">
        <f>IF(D1363="","",IF(V1363=0,"🟢 OK",IF(D1363&lt;corte,"⚪ HISTÓRICO (sem baixa)",IF(AND(ISNUMBER(R1363),R1363&lt;TODAY()),"🔴 PRAZO VENCIDO",IF(AND(OR(N1363="PENDENTE",N1363="PARCIAL"),D1363&lt;TODAY()-1),"🔴 EMBARQUE ATRASADO",IF(AND(N1363="REALIZADO",M1363="PENDENTE"),"🟡 EMBARCADO SEM FATURAR",IF(AND(P1363&lt;&gt;"",S1363="",OR(Q1363="",R1363="")),"🟡 PENDÊNCIA SEM RESPONSÁVEL/PRAZO",IF(AND(ISNUMBER(R1363),R1363=TODAY()),"🟡 VENCE HOJE",IF(AND(P1363&lt;&gt;"",S1363=""),"🟡 PENDÊNCIA ABERTA",IF(AND(N(J1363)&gt;0,N(K1363)&lt;J1363),"🟡 FALTA EXECUTAR",IF(OR(M1363="PENDENTE",M1363="PARCIAL"),"🟡 FATURAMENTO PENDENTE","🟡 EMBARQUE PENDENTE")))))))))))</f>
        <v/>
      </c>
      <c r="D1363" s="4" t="n"/>
      <c r="E1363" s="5" t="n"/>
      <c r="F1363" s="5" t="n"/>
      <c r="G1363" s="5" t="n"/>
      <c r="H1363" s="5" t="n"/>
      <c r="I1363" s="5" t="n"/>
      <c r="J1363" s="6" t="n"/>
      <c r="K1363" s="6" t="n"/>
      <c r="L1363" s="7">
        <f>IF(OR(D1363="",N(J1363)=0),"",MIN(1,N(K1363)/J1363))</f>
        <v/>
      </c>
      <c r="M1363" s="5" t="n"/>
      <c r="N1363" s="5" t="n"/>
      <c r="O1363" s="5" t="n"/>
      <c r="P1363" s="5" t="n"/>
      <c r="Q1363" s="5" t="n"/>
      <c r="R1363" s="4" t="n"/>
      <c r="S1363" s="4" t="n"/>
      <c r="T1363" s="5" t="n"/>
      <c r="U1363" s="8">
        <f>IF(AND(V1363=1,D1363&lt;&gt;""),IF(D1363&gt;=corte,TODAY()-D1363,""),"")</f>
        <v/>
      </c>
      <c r="V1363" s="8">
        <f>IF(D1363="",0,IF(OR(AND(P1363&lt;&gt;"",S1363=""),AND(N(J1363)&gt;0,N(K1363)&lt;J1363),OR(M1363="PENDENTE",M1363="PARCIAL"),OR(N1363="PENDENTE",N1363="PARCIAL")),1,0))</f>
        <v/>
      </c>
      <c r="W1363" s="8">
        <f>IF(AND(V1363=1,D1363&lt;&gt;""),IF(D1363&gt;=corte,(B1363="CRÍTICO")*1E9+(100000-D1363)*10000+10000-ROW(),""),"")</f>
        <v/>
      </c>
      <c r="X1363" s="8">
        <f>IF(AND(V1363=1,D1363=pas_data,E1363=pas_turno),10000-ROW(),"")</f>
        <v/>
      </c>
    </row>
    <row r="1364">
      <c r="A1364" s="3">
        <f>IF(D1364="","","TT-"&amp;TEXT(ROW()-1,"00000"))</f>
        <v/>
      </c>
      <c r="B1364" s="3">
        <f>IF(D1364="","",IF(V1364=0,"CONCLUÍDO",IF(D1364&lt;corte,"HISTÓRICO",IF(OR(AND(ISNUMBER(R1364),R1364&lt;TODAY()),AND(OR(N1364="PENDENTE",N1364="PARCIAL"),D1364&lt;TODAY()-1)),"CRÍTICO",IF(OR(AND(P1364&lt;&gt;"",S1364=""),AND(N1364="REALIZADO",M1364="PENDENTE"),AND(ISNUMBER(R1364),R1364=TODAY())),"ATENÇÃO",IF(N(K1364)=0,"PENDENTE","EM ANDAMENTO"))))))</f>
        <v/>
      </c>
      <c r="C1364" s="3">
        <f>IF(D1364="","",IF(V1364=0,"🟢 OK",IF(D1364&lt;corte,"⚪ HISTÓRICO (sem baixa)",IF(AND(ISNUMBER(R1364),R1364&lt;TODAY()),"🔴 PRAZO VENCIDO",IF(AND(OR(N1364="PENDENTE",N1364="PARCIAL"),D1364&lt;TODAY()-1),"🔴 EMBARQUE ATRASADO",IF(AND(N1364="REALIZADO",M1364="PENDENTE"),"🟡 EMBARCADO SEM FATURAR",IF(AND(P1364&lt;&gt;"",S1364="",OR(Q1364="",R1364="")),"🟡 PENDÊNCIA SEM RESPONSÁVEL/PRAZO",IF(AND(ISNUMBER(R1364),R1364=TODAY()),"🟡 VENCE HOJE",IF(AND(P1364&lt;&gt;"",S1364=""),"🟡 PENDÊNCIA ABERTA",IF(AND(N(J1364)&gt;0,N(K1364)&lt;J1364),"🟡 FALTA EXECUTAR",IF(OR(M1364="PENDENTE",M1364="PARCIAL"),"🟡 FATURAMENTO PENDENTE","🟡 EMBARQUE PENDENTE")))))))))))</f>
        <v/>
      </c>
      <c r="D1364" s="4" t="n"/>
      <c r="E1364" s="5" t="n"/>
      <c r="F1364" s="5" t="n"/>
      <c r="G1364" s="5" t="n"/>
      <c r="H1364" s="5" t="n"/>
      <c r="I1364" s="5" t="n"/>
      <c r="J1364" s="6" t="n"/>
      <c r="K1364" s="6" t="n"/>
      <c r="L1364" s="7">
        <f>IF(OR(D1364="",N(J1364)=0),"",MIN(1,N(K1364)/J1364))</f>
        <v/>
      </c>
      <c r="M1364" s="5" t="n"/>
      <c r="N1364" s="5" t="n"/>
      <c r="O1364" s="5" t="n"/>
      <c r="P1364" s="5" t="n"/>
      <c r="Q1364" s="5" t="n"/>
      <c r="R1364" s="4" t="n"/>
      <c r="S1364" s="4" t="n"/>
      <c r="T1364" s="5" t="n"/>
      <c r="U1364" s="8">
        <f>IF(AND(V1364=1,D1364&lt;&gt;""),IF(D1364&gt;=corte,TODAY()-D1364,""),"")</f>
        <v/>
      </c>
      <c r="V1364" s="8">
        <f>IF(D1364="",0,IF(OR(AND(P1364&lt;&gt;"",S1364=""),AND(N(J1364)&gt;0,N(K1364)&lt;J1364),OR(M1364="PENDENTE",M1364="PARCIAL"),OR(N1364="PENDENTE",N1364="PARCIAL")),1,0))</f>
        <v/>
      </c>
      <c r="W1364" s="8">
        <f>IF(AND(V1364=1,D1364&lt;&gt;""),IF(D1364&gt;=corte,(B1364="CRÍTICO")*1E9+(100000-D1364)*10000+10000-ROW(),""),"")</f>
        <v/>
      </c>
      <c r="X1364" s="8">
        <f>IF(AND(V1364=1,D1364=pas_data,E1364=pas_turno),10000-ROW(),"")</f>
        <v/>
      </c>
    </row>
    <row r="1365">
      <c r="A1365" s="3">
        <f>IF(D1365="","","TT-"&amp;TEXT(ROW()-1,"00000"))</f>
        <v/>
      </c>
      <c r="B1365" s="3">
        <f>IF(D1365="","",IF(V1365=0,"CONCLUÍDO",IF(D1365&lt;corte,"HISTÓRICO",IF(OR(AND(ISNUMBER(R1365),R1365&lt;TODAY()),AND(OR(N1365="PENDENTE",N1365="PARCIAL"),D1365&lt;TODAY()-1)),"CRÍTICO",IF(OR(AND(P1365&lt;&gt;"",S1365=""),AND(N1365="REALIZADO",M1365="PENDENTE"),AND(ISNUMBER(R1365),R1365=TODAY())),"ATENÇÃO",IF(N(K1365)=0,"PENDENTE","EM ANDAMENTO"))))))</f>
        <v/>
      </c>
      <c r="C1365" s="3">
        <f>IF(D1365="","",IF(V1365=0,"🟢 OK",IF(D1365&lt;corte,"⚪ HISTÓRICO (sem baixa)",IF(AND(ISNUMBER(R1365),R1365&lt;TODAY()),"🔴 PRAZO VENCIDO",IF(AND(OR(N1365="PENDENTE",N1365="PARCIAL"),D1365&lt;TODAY()-1),"🔴 EMBARQUE ATRASADO",IF(AND(N1365="REALIZADO",M1365="PENDENTE"),"🟡 EMBARCADO SEM FATURAR",IF(AND(P1365&lt;&gt;"",S1365="",OR(Q1365="",R1365="")),"🟡 PENDÊNCIA SEM RESPONSÁVEL/PRAZO",IF(AND(ISNUMBER(R1365),R1365=TODAY()),"🟡 VENCE HOJE",IF(AND(P1365&lt;&gt;"",S1365=""),"🟡 PENDÊNCIA ABERTA",IF(AND(N(J1365)&gt;0,N(K1365)&lt;J1365),"🟡 FALTA EXECUTAR",IF(OR(M1365="PENDENTE",M1365="PARCIAL"),"🟡 FATURAMENTO PENDENTE","🟡 EMBARQUE PENDENTE")))))))))))</f>
        <v/>
      </c>
      <c r="D1365" s="4" t="n"/>
      <c r="E1365" s="5" t="n"/>
      <c r="F1365" s="5" t="n"/>
      <c r="G1365" s="5" t="n"/>
      <c r="H1365" s="5" t="n"/>
      <c r="I1365" s="5" t="n"/>
      <c r="J1365" s="6" t="n"/>
      <c r="K1365" s="6" t="n"/>
      <c r="L1365" s="7">
        <f>IF(OR(D1365="",N(J1365)=0),"",MIN(1,N(K1365)/J1365))</f>
        <v/>
      </c>
      <c r="M1365" s="5" t="n"/>
      <c r="N1365" s="5" t="n"/>
      <c r="O1365" s="5" t="n"/>
      <c r="P1365" s="5" t="n"/>
      <c r="Q1365" s="5" t="n"/>
      <c r="R1365" s="4" t="n"/>
      <c r="S1365" s="4" t="n"/>
      <c r="T1365" s="5" t="n"/>
      <c r="U1365" s="8">
        <f>IF(AND(V1365=1,D1365&lt;&gt;""),IF(D1365&gt;=corte,TODAY()-D1365,""),"")</f>
        <v/>
      </c>
      <c r="V1365" s="8">
        <f>IF(D1365="",0,IF(OR(AND(P1365&lt;&gt;"",S1365=""),AND(N(J1365)&gt;0,N(K1365)&lt;J1365),OR(M1365="PENDENTE",M1365="PARCIAL"),OR(N1365="PENDENTE",N1365="PARCIAL")),1,0))</f>
        <v/>
      </c>
      <c r="W1365" s="8">
        <f>IF(AND(V1365=1,D1365&lt;&gt;""),IF(D1365&gt;=corte,(B1365="CRÍTICO")*1E9+(100000-D1365)*10000+10000-ROW(),""),"")</f>
        <v/>
      </c>
      <c r="X1365" s="8">
        <f>IF(AND(V1365=1,D1365=pas_data,E1365=pas_turno),10000-ROW(),"")</f>
        <v/>
      </c>
    </row>
    <row r="1366">
      <c r="A1366" s="3">
        <f>IF(D1366="","","TT-"&amp;TEXT(ROW()-1,"00000"))</f>
        <v/>
      </c>
      <c r="B1366" s="3">
        <f>IF(D1366="","",IF(V1366=0,"CONCLUÍDO",IF(D1366&lt;corte,"HISTÓRICO",IF(OR(AND(ISNUMBER(R1366),R1366&lt;TODAY()),AND(OR(N1366="PENDENTE",N1366="PARCIAL"),D1366&lt;TODAY()-1)),"CRÍTICO",IF(OR(AND(P1366&lt;&gt;"",S1366=""),AND(N1366="REALIZADO",M1366="PENDENTE"),AND(ISNUMBER(R1366),R1366=TODAY())),"ATENÇÃO",IF(N(K1366)=0,"PENDENTE","EM ANDAMENTO"))))))</f>
        <v/>
      </c>
      <c r="C1366" s="3">
        <f>IF(D1366="","",IF(V1366=0,"🟢 OK",IF(D1366&lt;corte,"⚪ HISTÓRICO (sem baixa)",IF(AND(ISNUMBER(R1366),R1366&lt;TODAY()),"🔴 PRAZO VENCIDO",IF(AND(OR(N1366="PENDENTE",N1366="PARCIAL"),D1366&lt;TODAY()-1),"🔴 EMBARQUE ATRASADO",IF(AND(N1366="REALIZADO",M1366="PENDENTE"),"🟡 EMBARCADO SEM FATURAR",IF(AND(P1366&lt;&gt;"",S1366="",OR(Q1366="",R1366="")),"🟡 PENDÊNCIA SEM RESPONSÁVEL/PRAZO",IF(AND(ISNUMBER(R1366),R1366=TODAY()),"🟡 VENCE HOJE",IF(AND(P1366&lt;&gt;"",S1366=""),"🟡 PENDÊNCIA ABERTA",IF(AND(N(J1366)&gt;0,N(K1366)&lt;J1366),"🟡 FALTA EXECUTAR",IF(OR(M1366="PENDENTE",M1366="PARCIAL"),"🟡 FATURAMENTO PENDENTE","🟡 EMBARQUE PENDENTE")))))))))))</f>
        <v/>
      </c>
      <c r="D1366" s="4" t="n"/>
      <c r="E1366" s="5" t="n"/>
      <c r="F1366" s="5" t="n"/>
      <c r="G1366" s="5" t="n"/>
      <c r="H1366" s="5" t="n"/>
      <c r="I1366" s="5" t="n"/>
      <c r="J1366" s="6" t="n"/>
      <c r="K1366" s="6" t="n"/>
      <c r="L1366" s="7">
        <f>IF(OR(D1366="",N(J1366)=0),"",MIN(1,N(K1366)/J1366))</f>
        <v/>
      </c>
      <c r="M1366" s="5" t="n"/>
      <c r="N1366" s="5" t="n"/>
      <c r="O1366" s="5" t="n"/>
      <c r="P1366" s="5" t="n"/>
      <c r="Q1366" s="5" t="n"/>
      <c r="R1366" s="4" t="n"/>
      <c r="S1366" s="4" t="n"/>
      <c r="T1366" s="5" t="n"/>
      <c r="U1366" s="8">
        <f>IF(AND(V1366=1,D1366&lt;&gt;""),IF(D1366&gt;=corte,TODAY()-D1366,""),"")</f>
        <v/>
      </c>
      <c r="V1366" s="8">
        <f>IF(D1366="",0,IF(OR(AND(P1366&lt;&gt;"",S1366=""),AND(N(J1366)&gt;0,N(K1366)&lt;J1366),OR(M1366="PENDENTE",M1366="PARCIAL"),OR(N1366="PENDENTE",N1366="PARCIAL")),1,0))</f>
        <v/>
      </c>
      <c r="W1366" s="8">
        <f>IF(AND(V1366=1,D1366&lt;&gt;""),IF(D1366&gt;=corte,(B1366="CRÍTICO")*1E9+(100000-D1366)*10000+10000-ROW(),""),"")</f>
        <v/>
      </c>
      <c r="X1366" s="8">
        <f>IF(AND(V1366=1,D1366=pas_data,E1366=pas_turno),10000-ROW(),"")</f>
        <v/>
      </c>
    </row>
    <row r="1367">
      <c r="A1367" s="3">
        <f>IF(D1367="","","TT-"&amp;TEXT(ROW()-1,"00000"))</f>
        <v/>
      </c>
      <c r="B1367" s="3">
        <f>IF(D1367="","",IF(V1367=0,"CONCLUÍDO",IF(D1367&lt;corte,"HISTÓRICO",IF(OR(AND(ISNUMBER(R1367),R1367&lt;TODAY()),AND(OR(N1367="PENDENTE",N1367="PARCIAL"),D1367&lt;TODAY()-1)),"CRÍTICO",IF(OR(AND(P1367&lt;&gt;"",S1367=""),AND(N1367="REALIZADO",M1367="PENDENTE"),AND(ISNUMBER(R1367),R1367=TODAY())),"ATENÇÃO",IF(N(K1367)=0,"PENDENTE","EM ANDAMENTO"))))))</f>
        <v/>
      </c>
      <c r="C1367" s="3">
        <f>IF(D1367="","",IF(V1367=0,"🟢 OK",IF(D1367&lt;corte,"⚪ HISTÓRICO (sem baixa)",IF(AND(ISNUMBER(R1367),R1367&lt;TODAY()),"🔴 PRAZO VENCIDO",IF(AND(OR(N1367="PENDENTE",N1367="PARCIAL"),D1367&lt;TODAY()-1),"🔴 EMBARQUE ATRASADO",IF(AND(N1367="REALIZADO",M1367="PENDENTE"),"🟡 EMBARCADO SEM FATURAR",IF(AND(P1367&lt;&gt;"",S1367="",OR(Q1367="",R1367="")),"🟡 PENDÊNCIA SEM RESPONSÁVEL/PRAZO",IF(AND(ISNUMBER(R1367),R1367=TODAY()),"🟡 VENCE HOJE",IF(AND(P1367&lt;&gt;"",S1367=""),"🟡 PENDÊNCIA ABERTA",IF(AND(N(J1367)&gt;0,N(K1367)&lt;J1367),"🟡 FALTA EXECUTAR",IF(OR(M1367="PENDENTE",M1367="PARCIAL"),"🟡 FATURAMENTO PENDENTE","🟡 EMBARQUE PENDENTE")))))))))))</f>
        <v/>
      </c>
      <c r="D1367" s="4" t="n"/>
      <c r="E1367" s="5" t="n"/>
      <c r="F1367" s="5" t="n"/>
      <c r="G1367" s="5" t="n"/>
      <c r="H1367" s="5" t="n"/>
      <c r="I1367" s="5" t="n"/>
      <c r="J1367" s="6" t="n"/>
      <c r="K1367" s="6" t="n"/>
      <c r="L1367" s="7">
        <f>IF(OR(D1367="",N(J1367)=0),"",MIN(1,N(K1367)/J1367))</f>
        <v/>
      </c>
      <c r="M1367" s="5" t="n"/>
      <c r="N1367" s="5" t="n"/>
      <c r="O1367" s="5" t="n"/>
      <c r="P1367" s="5" t="n"/>
      <c r="Q1367" s="5" t="n"/>
      <c r="R1367" s="4" t="n"/>
      <c r="S1367" s="4" t="n"/>
      <c r="T1367" s="5" t="n"/>
      <c r="U1367" s="8">
        <f>IF(AND(V1367=1,D1367&lt;&gt;""),IF(D1367&gt;=corte,TODAY()-D1367,""),"")</f>
        <v/>
      </c>
      <c r="V1367" s="8">
        <f>IF(D1367="",0,IF(OR(AND(P1367&lt;&gt;"",S1367=""),AND(N(J1367)&gt;0,N(K1367)&lt;J1367),OR(M1367="PENDENTE",M1367="PARCIAL"),OR(N1367="PENDENTE",N1367="PARCIAL")),1,0))</f>
        <v/>
      </c>
      <c r="W1367" s="8">
        <f>IF(AND(V1367=1,D1367&lt;&gt;""),IF(D1367&gt;=corte,(B1367="CRÍTICO")*1E9+(100000-D1367)*10000+10000-ROW(),""),"")</f>
        <v/>
      </c>
      <c r="X1367" s="8">
        <f>IF(AND(V1367=1,D1367=pas_data,E1367=pas_turno),10000-ROW(),"")</f>
        <v/>
      </c>
    </row>
    <row r="1368">
      <c r="A1368" s="3">
        <f>IF(D1368="","","TT-"&amp;TEXT(ROW()-1,"00000"))</f>
        <v/>
      </c>
      <c r="B1368" s="3">
        <f>IF(D1368="","",IF(V1368=0,"CONCLUÍDO",IF(D1368&lt;corte,"HISTÓRICO",IF(OR(AND(ISNUMBER(R1368),R1368&lt;TODAY()),AND(OR(N1368="PENDENTE",N1368="PARCIAL"),D1368&lt;TODAY()-1)),"CRÍTICO",IF(OR(AND(P1368&lt;&gt;"",S1368=""),AND(N1368="REALIZADO",M1368="PENDENTE"),AND(ISNUMBER(R1368),R1368=TODAY())),"ATENÇÃO",IF(N(K1368)=0,"PENDENTE","EM ANDAMENTO"))))))</f>
        <v/>
      </c>
      <c r="C1368" s="3">
        <f>IF(D1368="","",IF(V1368=0,"🟢 OK",IF(D1368&lt;corte,"⚪ HISTÓRICO (sem baixa)",IF(AND(ISNUMBER(R1368),R1368&lt;TODAY()),"🔴 PRAZO VENCIDO",IF(AND(OR(N1368="PENDENTE",N1368="PARCIAL"),D1368&lt;TODAY()-1),"🔴 EMBARQUE ATRASADO",IF(AND(N1368="REALIZADO",M1368="PENDENTE"),"🟡 EMBARCADO SEM FATURAR",IF(AND(P1368&lt;&gt;"",S1368="",OR(Q1368="",R1368="")),"🟡 PENDÊNCIA SEM RESPONSÁVEL/PRAZO",IF(AND(ISNUMBER(R1368),R1368=TODAY()),"🟡 VENCE HOJE",IF(AND(P1368&lt;&gt;"",S1368=""),"🟡 PENDÊNCIA ABERTA",IF(AND(N(J1368)&gt;0,N(K1368)&lt;J1368),"🟡 FALTA EXECUTAR",IF(OR(M1368="PENDENTE",M1368="PARCIAL"),"🟡 FATURAMENTO PENDENTE","🟡 EMBARQUE PENDENTE")))))))))))</f>
        <v/>
      </c>
      <c r="D1368" s="4" t="n"/>
      <c r="E1368" s="5" t="n"/>
      <c r="F1368" s="5" t="n"/>
      <c r="G1368" s="5" t="n"/>
      <c r="H1368" s="5" t="n"/>
      <c r="I1368" s="5" t="n"/>
      <c r="J1368" s="6" t="n"/>
      <c r="K1368" s="6" t="n"/>
      <c r="L1368" s="7">
        <f>IF(OR(D1368="",N(J1368)=0),"",MIN(1,N(K1368)/J1368))</f>
        <v/>
      </c>
      <c r="M1368" s="5" t="n"/>
      <c r="N1368" s="5" t="n"/>
      <c r="O1368" s="5" t="n"/>
      <c r="P1368" s="5" t="n"/>
      <c r="Q1368" s="5" t="n"/>
      <c r="R1368" s="4" t="n"/>
      <c r="S1368" s="4" t="n"/>
      <c r="T1368" s="5" t="n"/>
      <c r="U1368" s="8">
        <f>IF(AND(V1368=1,D1368&lt;&gt;""),IF(D1368&gt;=corte,TODAY()-D1368,""),"")</f>
        <v/>
      </c>
      <c r="V1368" s="8">
        <f>IF(D1368="",0,IF(OR(AND(P1368&lt;&gt;"",S1368=""),AND(N(J1368)&gt;0,N(K1368)&lt;J1368),OR(M1368="PENDENTE",M1368="PARCIAL"),OR(N1368="PENDENTE",N1368="PARCIAL")),1,0))</f>
        <v/>
      </c>
      <c r="W1368" s="8">
        <f>IF(AND(V1368=1,D1368&lt;&gt;""),IF(D1368&gt;=corte,(B1368="CRÍTICO")*1E9+(100000-D1368)*10000+10000-ROW(),""),"")</f>
        <v/>
      </c>
      <c r="X1368" s="8">
        <f>IF(AND(V1368=1,D1368=pas_data,E1368=pas_turno),10000-ROW(),"")</f>
        <v/>
      </c>
    </row>
    <row r="1369">
      <c r="A1369" s="3">
        <f>IF(D1369="","","TT-"&amp;TEXT(ROW()-1,"00000"))</f>
        <v/>
      </c>
      <c r="B1369" s="3">
        <f>IF(D1369="","",IF(V1369=0,"CONCLUÍDO",IF(D1369&lt;corte,"HISTÓRICO",IF(OR(AND(ISNUMBER(R1369),R1369&lt;TODAY()),AND(OR(N1369="PENDENTE",N1369="PARCIAL"),D1369&lt;TODAY()-1)),"CRÍTICO",IF(OR(AND(P1369&lt;&gt;"",S1369=""),AND(N1369="REALIZADO",M1369="PENDENTE"),AND(ISNUMBER(R1369),R1369=TODAY())),"ATENÇÃO",IF(N(K1369)=0,"PENDENTE","EM ANDAMENTO"))))))</f>
        <v/>
      </c>
      <c r="C1369" s="3">
        <f>IF(D1369="","",IF(V1369=0,"🟢 OK",IF(D1369&lt;corte,"⚪ HISTÓRICO (sem baixa)",IF(AND(ISNUMBER(R1369),R1369&lt;TODAY()),"🔴 PRAZO VENCIDO",IF(AND(OR(N1369="PENDENTE",N1369="PARCIAL"),D1369&lt;TODAY()-1),"🔴 EMBARQUE ATRASADO",IF(AND(N1369="REALIZADO",M1369="PENDENTE"),"🟡 EMBARCADO SEM FATURAR",IF(AND(P1369&lt;&gt;"",S1369="",OR(Q1369="",R1369="")),"🟡 PENDÊNCIA SEM RESPONSÁVEL/PRAZO",IF(AND(ISNUMBER(R1369),R1369=TODAY()),"🟡 VENCE HOJE",IF(AND(P1369&lt;&gt;"",S1369=""),"🟡 PENDÊNCIA ABERTA",IF(AND(N(J1369)&gt;0,N(K1369)&lt;J1369),"🟡 FALTA EXECUTAR",IF(OR(M1369="PENDENTE",M1369="PARCIAL"),"🟡 FATURAMENTO PENDENTE","🟡 EMBARQUE PENDENTE")))))))))))</f>
        <v/>
      </c>
      <c r="D1369" s="4" t="n"/>
      <c r="E1369" s="5" t="n"/>
      <c r="F1369" s="5" t="n"/>
      <c r="G1369" s="5" t="n"/>
      <c r="H1369" s="5" t="n"/>
      <c r="I1369" s="5" t="n"/>
      <c r="J1369" s="6" t="n"/>
      <c r="K1369" s="6" t="n"/>
      <c r="L1369" s="7">
        <f>IF(OR(D1369="",N(J1369)=0),"",MIN(1,N(K1369)/J1369))</f>
        <v/>
      </c>
      <c r="M1369" s="5" t="n"/>
      <c r="N1369" s="5" t="n"/>
      <c r="O1369" s="5" t="n"/>
      <c r="P1369" s="5" t="n"/>
      <c r="Q1369" s="5" t="n"/>
      <c r="R1369" s="4" t="n"/>
      <c r="S1369" s="4" t="n"/>
      <c r="T1369" s="5" t="n"/>
      <c r="U1369" s="8">
        <f>IF(AND(V1369=1,D1369&lt;&gt;""),IF(D1369&gt;=corte,TODAY()-D1369,""),"")</f>
        <v/>
      </c>
      <c r="V1369" s="8">
        <f>IF(D1369="",0,IF(OR(AND(P1369&lt;&gt;"",S1369=""),AND(N(J1369)&gt;0,N(K1369)&lt;J1369),OR(M1369="PENDENTE",M1369="PARCIAL"),OR(N1369="PENDENTE",N1369="PARCIAL")),1,0))</f>
        <v/>
      </c>
      <c r="W1369" s="8">
        <f>IF(AND(V1369=1,D1369&lt;&gt;""),IF(D1369&gt;=corte,(B1369="CRÍTICO")*1E9+(100000-D1369)*10000+10000-ROW(),""),"")</f>
        <v/>
      </c>
      <c r="X1369" s="8">
        <f>IF(AND(V1369=1,D1369=pas_data,E1369=pas_turno),10000-ROW(),"")</f>
        <v/>
      </c>
    </row>
    <row r="1370">
      <c r="A1370" s="3">
        <f>IF(D1370="","","TT-"&amp;TEXT(ROW()-1,"00000"))</f>
        <v/>
      </c>
      <c r="B1370" s="3">
        <f>IF(D1370="","",IF(V1370=0,"CONCLUÍDO",IF(D1370&lt;corte,"HISTÓRICO",IF(OR(AND(ISNUMBER(R1370),R1370&lt;TODAY()),AND(OR(N1370="PENDENTE",N1370="PARCIAL"),D1370&lt;TODAY()-1)),"CRÍTICO",IF(OR(AND(P1370&lt;&gt;"",S1370=""),AND(N1370="REALIZADO",M1370="PENDENTE"),AND(ISNUMBER(R1370),R1370=TODAY())),"ATENÇÃO",IF(N(K1370)=0,"PENDENTE","EM ANDAMENTO"))))))</f>
        <v/>
      </c>
      <c r="C1370" s="3">
        <f>IF(D1370="","",IF(V1370=0,"🟢 OK",IF(D1370&lt;corte,"⚪ HISTÓRICO (sem baixa)",IF(AND(ISNUMBER(R1370),R1370&lt;TODAY()),"🔴 PRAZO VENCIDO",IF(AND(OR(N1370="PENDENTE",N1370="PARCIAL"),D1370&lt;TODAY()-1),"🔴 EMBARQUE ATRASADO",IF(AND(N1370="REALIZADO",M1370="PENDENTE"),"🟡 EMBARCADO SEM FATURAR",IF(AND(P1370&lt;&gt;"",S1370="",OR(Q1370="",R1370="")),"🟡 PENDÊNCIA SEM RESPONSÁVEL/PRAZO",IF(AND(ISNUMBER(R1370),R1370=TODAY()),"🟡 VENCE HOJE",IF(AND(P1370&lt;&gt;"",S1370=""),"🟡 PENDÊNCIA ABERTA",IF(AND(N(J1370)&gt;0,N(K1370)&lt;J1370),"🟡 FALTA EXECUTAR",IF(OR(M1370="PENDENTE",M1370="PARCIAL"),"🟡 FATURAMENTO PENDENTE","🟡 EMBARQUE PENDENTE")))))))))))</f>
        <v/>
      </c>
      <c r="D1370" s="4" t="n"/>
      <c r="E1370" s="5" t="n"/>
      <c r="F1370" s="5" t="n"/>
      <c r="G1370" s="5" t="n"/>
      <c r="H1370" s="5" t="n"/>
      <c r="I1370" s="5" t="n"/>
      <c r="J1370" s="6" t="n"/>
      <c r="K1370" s="6" t="n"/>
      <c r="L1370" s="7">
        <f>IF(OR(D1370="",N(J1370)=0),"",MIN(1,N(K1370)/J1370))</f>
        <v/>
      </c>
      <c r="M1370" s="5" t="n"/>
      <c r="N1370" s="5" t="n"/>
      <c r="O1370" s="5" t="n"/>
      <c r="P1370" s="5" t="n"/>
      <c r="Q1370" s="5" t="n"/>
      <c r="R1370" s="4" t="n"/>
      <c r="S1370" s="4" t="n"/>
      <c r="T1370" s="5" t="n"/>
      <c r="U1370" s="8">
        <f>IF(AND(V1370=1,D1370&lt;&gt;""),IF(D1370&gt;=corte,TODAY()-D1370,""),"")</f>
        <v/>
      </c>
      <c r="V1370" s="8">
        <f>IF(D1370="",0,IF(OR(AND(P1370&lt;&gt;"",S1370=""),AND(N(J1370)&gt;0,N(K1370)&lt;J1370),OR(M1370="PENDENTE",M1370="PARCIAL"),OR(N1370="PENDENTE",N1370="PARCIAL")),1,0))</f>
        <v/>
      </c>
      <c r="W1370" s="8">
        <f>IF(AND(V1370=1,D1370&lt;&gt;""),IF(D1370&gt;=corte,(B1370="CRÍTICO")*1E9+(100000-D1370)*10000+10000-ROW(),""),"")</f>
        <v/>
      </c>
      <c r="X1370" s="8">
        <f>IF(AND(V1370=1,D1370=pas_data,E1370=pas_turno),10000-ROW(),"")</f>
        <v/>
      </c>
    </row>
    <row r="1371">
      <c r="A1371" s="3">
        <f>IF(D1371="","","TT-"&amp;TEXT(ROW()-1,"00000"))</f>
        <v/>
      </c>
      <c r="B1371" s="3">
        <f>IF(D1371="","",IF(V1371=0,"CONCLUÍDO",IF(D1371&lt;corte,"HISTÓRICO",IF(OR(AND(ISNUMBER(R1371),R1371&lt;TODAY()),AND(OR(N1371="PENDENTE",N1371="PARCIAL"),D1371&lt;TODAY()-1)),"CRÍTICO",IF(OR(AND(P1371&lt;&gt;"",S1371=""),AND(N1371="REALIZADO",M1371="PENDENTE"),AND(ISNUMBER(R1371),R1371=TODAY())),"ATENÇÃO",IF(N(K1371)=0,"PENDENTE","EM ANDAMENTO"))))))</f>
        <v/>
      </c>
      <c r="C1371" s="3">
        <f>IF(D1371="","",IF(V1371=0,"🟢 OK",IF(D1371&lt;corte,"⚪ HISTÓRICO (sem baixa)",IF(AND(ISNUMBER(R1371),R1371&lt;TODAY()),"🔴 PRAZO VENCIDO",IF(AND(OR(N1371="PENDENTE",N1371="PARCIAL"),D1371&lt;TODAY()-1),"🔴 EMBARQUE ATRASADO",IF(AND(N1371="REALIZADO",M1371="PENDENTE"),"🟡 EMBARCADO SEM FATURAR",IF(AND(P1371&lt;&gt;"",S1371="",OR(Q1371="",R1371="")),"🟡 PENDÊNCIA SEM RESPONSÁVEL/PRAZO",IF(AND(ISNUMBER(R1371),R1371=TODAY()),"🟡 VENCE HOJE",IF(AND(P1371&lt;&gt;"",S1371=""),"🟡 PENDÊNCIA ABERTA",IF(AND(N(J1371)&gt;0,N(K1371)&lt;J1371),"🟡 FALTA EXECUTAR",IF(OR(M1371="PENDENTE",M1371="PARCIAL"),"🟡 FATURAMENTO PENDENTE","🟡 EMBARQUE PENDENTE")))))))))))</f>
        <v/>
      </c>
      <c r="D1371" s="4" t="n"/>
      <c r="E1371" s="5" t="n"/>
      <c r="F1371" s="5" t="n"/>
      <c r="G1371" s="5" t="n"/>
      <c r="H1371" s="5" t="n"/>
      <c r="I1371" s="5" t="n"/>
      <c r="J1371" s="6" t="n"/>
      <c r="K1371" s="6" t="n"/>
      <c r="L1371" s="7">
        <f>IF(OR(D1371="",N(J1371)=0),"",MIN(1,N(K1371)/J1371))</f>
        <v/>
      </c>
      <c r="M1371" s="5" t="n"/>
      <c r="N1371" s="5" t="n"/>
      <c r="O1371" s="5" t="n"/>
      <c r="P1371" s="5" t="n"/>
      <c r="Q1371" s="5" t="n"/>
      <c r="R1371" s="4" t="n"/>
      <c r="S1371" s="4" t="n"/>
      <c r="T1371" s="5" t="n"/>
      <c r="U1371" s="8">
        <f>IF(AND(V1371=1,D1371&lt;&gt;""),IF(D1371&gt;=corte,TODAY()-D1371,""),"")</f>
        <v/>
      </c>
      <c r="V1371" s="8">
        <f>IF(D1371="",0,IF(OR(AND(P1371&lt;&gt;"",S1371=""),AND(N(J1371)&gt;0,N(K1371)&lt;J1371),OR(M1371="PENDENTE",M1371="PARCIAL"),OR(N1371="PENDENTE",N1371="PARCIAL")),1,0))</f>
        <v/>
      </c>
      <c r="W1371" s="8">
        <f>IF(AND(V1371=1,D1371&lt;&gt;""),IF(D1371&gt;=corte,(B1371="CRÍTICO")*1E9+(100000-D1371)*10000+10000-ROW(),""),"")</f>
        <v/>
      </c>
      <c r="X1371" s="8">
        <f>IF(AND(V1371=1,D1371=pas_data,E1371=pas_turno),10000-ROW(),"")</f>
        <v/>
      </c>
    </row>
    <row r="1372">
      <c r="A1372" s="3">
        <f>IF(D1372="","","TT-"&amp;TEXT(ROW()-1,"00000"))</f>
        <v/>
      </c>
      <c r="B1372" s="3">
        <f>IF(D1372="","",IF(V1372=0,"CONCLUÍDO",IF(D1372&lt;corte,"HISTÓRICO",IF(OR(AND(ISNUMBER(R1372),R1372&lt;TODAY()),AND(OR(N1372="PENDENTE",N1372="PARCIAL"),D1372&lt;TODAY()-1)),"CRÍTICO",IF(OR(AND(P1372&lt;&gt;"",S1372=""),AND(N1372="REALIZADO",M1372="PENDENTE"),AND(ISNUMBER(R1372),R1372=TODAY())),"ATENÇÃO",IF(N(K1372)=0,"PENDENTE","EM ANDAMENTO"))))))</f>
        <v/>
      </c>
      <c r="C1372" s="3">
        <f>IF(D1372="","",IF(V1372=0,"🟢 OK",IF(D1372&lt;corte,"⚪ HISTÓRICO (sem baixa)",IF(AND(ISNUMBER(R1372),R1372&lt;TODAY()),"🔴 PRAZO VENCIDO",IF(AND(OR(N1372="PENDENTE",N1372="PARCIAL"),D1372&lt;TODAY()-1),"🔴 EMBARQUE ATRASADO",IF(AND(N1372="REALIZADO",M1372="PENDENTE"),"🟡 EMBARCADO SEM FATURAR",IF(AND(P1372&lt;&gt;"",S1372="",OR(Q1372="",R1372="")),"🟡 PENDÊNCIA SEM RESPONSÁVEL/PRAZO",IF(AND(ISNUMBER(R1372),R1372=TODAY()),"🟡 VENCE HOJE",IF(AND(P1372&lt;&gt;"",S1372=""),"🟡 PENDÊNCIA ABERTA",IF(AND(N(J1372)&gt;0,N(K1372)&lt;J1372),"🟡 FALTA EXECUTAR",IF(OR(M1372="PENDENTE",M1372="PARCIAL"),"🟡 FATURAMENTO PENDENTE","🟡 EMBARQUE PENDENTE")))))))))))</f>
        <v/>
      </c>
      <c r="D1372" s="4" t="n"/>
      <c r="E1372" s="5" t="n"/>
      <c r="F1372" s="5" t="n"/>
      <c r="G1372" s="5" t="n"/>
      <c r="H1372" s="5" t="n"/>
      <c r="I1372" s="5" t="n"/>
      <c r="J1372" s="6" t="n"/>
      <c r="K1372" s="6" t="n"/>
      <c r="L1372" s="7">
        <f>IF(OR(D1372="",N(J1372)=0),"",MIN(1,N(K1372)/J1372))</f>
        <v/>
      </c>
      <c r="M1372" s="5" t="n"/>
      <c r="N1372" s="5" t="n"/>
      <c r="O1372" s="5" t="n"/>
      <c r="P1372" s="5" t="n"/>
      <c r="Q1372" s="5" t="n"/>
      <c r="R1372" s="4" t="n"/>
      <c r="S1372" s="4" t="n"/>
      <c r="T1372" s="5" t="n"/>
      <c r="U1372" s="8">
        <f>IF(AND(V1372=1,D1372&lt;&gt;""),IF(D1372&gt;=corte,TODAY()-D1372,""),"")</f>
        <v/>
      </c>
      <c r="V1372" s="8">
        <f>IF(D1372="",0,IF(OR(AND(P1372&lt;&gt;"",S1372=""),AND(N(J1372)&gt;0,N(K1372)&lt;J1372),OR(M1372="PENDENTE",M1372="PARCIAL"),OR(N1372="PENDENTE",N1372="PARCIAL")),1,0))</f>
        <v/>
      </c>
      <c r="W1372" s="8">
        <f>IF(AND(V1372=1,D1372&lt;&gt;""),IF(D1372&gt;=corte,(B1372="CRÍTICO")*1E9+(100000-D1372)*10000+10000-ROW(),""),"")</f>
        <v/>
      </c>
      <c r="X1372" s="8">
        <f>IF(AND(V1372=1,D1372=pas_data,E1372=pas_turno),10000-ROW(),"")</f>
        <v/>
      </c>
    </row>
    <row r="1373">
      <c r="A1373" s="3">
        <f>IF(D1373="","","TT-"&amp;TEXT(ROW()-1,"00000"))</f>
        <v/>
      </c>
      <c r="B1373" s="3">
        <f>IF(D1373="","",IF(V1373=0,"CONCLUÍDO",IF(D1373&lt;corte,"HISTÓRICO",IF(OR(AND(ISNUMBER(R1373),R1373&lt;TODAY()),AND(OR(N1373="PENDENTE",N1373="PARCIAL"),D1373&lt;TODAY()-1)),"CRÍTICO",IF(OR(AND(P1373&lt;&gt;"",S1373=""),AND(N1373="REALIZADO",M1373="PENDENTE"),AND(ISNUMBER(R1373),R1373=TODAY())),"ATENÇÃO",IF(N(K1373)=0,"PENDENTE","EM ANDAMENTO"))))))</f>
        <v/>
      </c>
      <c r="C1373" s="3">
        <f>IF(D1373="","",IF(V1373=0,"🟢 OK",IF(D1373&lt;corte,"⚪ HISTÓRICO (sem baixa)",IF(AND(ISNUMBER(R1373),R1373&lt;TODAY()),"🔴 PRAZO VENCIDO",IF(AND(OR(N1373="PENDENTE",N1373="PARCIAL"),D1373&lt;TODAY()-1),"🔴 EMBARQUE ATRASADO",IF(AND(N1373="REALIZADO",M1373="PENDENTE"),"🟡 EMBARCADO SEM FATURAR",IF(AND(P1373&lt;&gt;"",S1373="",OR(Q1373="",R1373="")),"🟡 PENDÊNCIA SEM RESPONSÁVEL/PRAZO",IF(AND(ISNUMBER(R1373),R1373=TODAY()),"🟡 VENCE HOJE",IF(AND(P1373&lt;&gt;"",S1373=""),"🟡 PENDÊNCIA ABERTA",IF(AND(N(J1373)&gt;0,N(K1373)&lt;J1373),"🟡 FALTA EXECUTAR",IF(OR(M1373="PENDENTE",M1373="PARCIAL"),"🟡 FATURAMENTO PENDENTE","🟡 EMBARQUE PENDENTE")))))))))))</f>
        <v/>
      </c>
      <c r="D1373" s="4" t="n"/>
      <c r="E1373" s="5" t="n"/>
      <c r="F1373" s="5" t="n"/>
      <c r="G1373" s="5" t="n"/>
      <c r="H1373" s="5" t="n"/>
      <c r="I1373" s="5" t="n"/>
      <c r="J1373" s="6" t="n"/>
      <c r="K1373" s="6" t="n"/>
      <c r="L1373" s="7">
        <f>IF(OR(D1373="",N(J1373)=0),"",MIN(1,N(K1373)/J1373))</f>
        <v/>
      </c>
      <c r="M1373" s="5" t="n"/>
      <c r="N1373" s="5" t="n"/>
      <c r="O1373" s="5" t="n"/>
      <c r="P1373" s="5" t="n"/>
      <c r="Q1373" s="5" t="n"/>
      <c r="R1373" s="4" t="n"/>
      <c r="S1373" s="4" t="n"/>
      <c r="T1373" s="5" t="n"/>
      <c r="U1373" s="8">
        <f>IF(AND(V1373=1,D1373&lt;&gt;""),IF(D1373&gt;=corte,TODAY()-D1373,""),"")</f>
        <v/>
      </c>
      <c r="V1373" s="8">
        <f>IF(D1373="",0,IF(OR(AND(P1373&lt;&gt;"",S1373=""),AND(N(J1373)&gt;0,N(K1373)&lt;J1373),OR(M1373="PENDENTE",M1373="PARCIAL"),OR(N1373="PENDENTE",N1373="PARCIAL")),1,0))</f>
        <v/>
      </c>
      <c r="W1373" s="8">
        <f>IF(AND(V1373=1,D1373&lt;&gt;""),IF(D1373&gt;=corte,(B1373="CRÍTICO")*1E9+(100000-D1373)*10000+10000-ROW(),""),"")</f>
        <v/>
      </c>
      <c r="X1373" s="8">
        <f>IF(AND(V1373=1,D1373=pas_data,E1373=pas_turno),10000-ROW(),"")</f>
        <v/>
      </c>
    </row>
    <row r="1374">
      <c r="A1374" s="3">
        <f>IF(D1374="","","TT-"&amp;TEXT(ROW()-1,"00000"))</f>
        <v/>
      </c>
      <c r="B1374" s="3">
        <f>IF(D1374="","",IF(V1374=0,"CONCLUÍDO",IF(D1374&lt;corte,"HISTÓRICO",IF(OR(AND(ISNUMBER(R1374),R1374&lt;TODAY()),AND(OR(N1374="PENDENTE",N1374="PARCIAL"),D1374&lt;TODAY()-1)),"CRÍTICO",IF(OR(AND(P1374&lt;&gt;"",S1374=""),AND(N1374="REALIZADO",M1374="PENDENTE"),AND(ISNUMBER(R1374),R1374=TODAY())),"ATENÇÃO",IF(N(K1374)=0,"PENDENTE","EM ANDAMENTO"))))))</f>
        <v/>
      </c>
      <c r="C1374" s="3">
        <f>IF(D1374="","",IF(V1374=0,"🟢 OK",IF(D1374&lt;corte,"⚪ HISTÓRICO (sem baixa)",IF(AND(ISNUMBER(R1374),R1374&lt;TODAY()),"🔴 PRAZO VENCIDO",IF(AND(OR(N1374="PENDENTE",N1374="PARCIAL"),D1374&lt;TODAY()-1),"🔴 EMBARQUE ATRASADO",IF(AND(N1374="REALIZADO",M1374="PENDENTE"),"🟡 EMBARCADO SEM FATURAR",IF(AND(P1374&lt;&gt;"",S1374="",OR(Q1374="",R1374="")),"🟡 PENDÊNCIA SEM RESPONSÁVEL/PRAZO",IF(AND(ISNUMBER(R1374),R1374=TODAY()),"🟡 VENCE HOJE",IF(AND(P1374&lt;&gt;"",S1374=""),"🟡 PENDÊNCIA ABERTA",IF(AND(N(J1374)&gt;0,N(K1374)&lt;J1374),"🟡 FALTA EXECUTAR",IF(OR(M1374="PENDENTE",M1374="PARCIAL"),"🟡 FATURAMENTO PENDENTE","🟡 EMBARQUE PENDENTE")))))))))))</f>
        <v/>
      </c>
      <c r="D1374" s="4" t="n"/>
      <c r="E1374" s="5" t="n"/>
      <c r="F1374" s="5" t="n"/>
      <c r="G1374" s="5" t="n"/>
      <c r="H1374" s="5" t="n"/>
      <c r="I1374" s="5" t="n"/>
      <c r="J1374" s="6" t="n"/>
      <c r="K1374" s="6" t="n"/>
      <c r="L1374" s="7">
        <f>IF(OR(D1374="",N(J1374)=0),"",MIN(1,N(K1374)/J1374))</f>
        <v/>
      </c>
      <c r="M1374" s="5" t="n"/>
      <c r="N1374" s="5" t="n"/>
      <c r="O1374" s="5" t="n"/>
      <c r="P1374" s="5" t="n"/>
      <c r="Q1374" s="5" t="n"/>
      <c r="R1374" s="4" t="n"/>
      <c r="S1374" s="4" t="n"/>
      <c r="T1374" s="5" t="n"/>
      <c r="U1374" s="8">
        <f>IF(AND(V1374=1,D1374&lt;&gt;""),IF(D1374&gt;=corte,TODAY()-D1374,""),"")</f>
        <v/>
      </c>
      <c r="V1374" s="8">
        <f>IF(D1374="",0,IF(OR(AND(P1374&lt;&gt;"",S1374=""),AND(N(J1374)&gt;0,N(K1374)&lt;J1374),OR(M1374="PENDENTE",M1374="PARCIAL"),OR(N1374="PENDENTE",N1374="PARCIAL")),1,0))</f>
        <v/>
      </c>
      <c r="W1374" s="8">
        <f>IF(AND(V1374=1,D1374&lt;&gt;""),IF(D1374&gt;=corte,(B1374="CRÍTICO")*1E9+(100000-D1374)*10000+10000-ROW(),""),"")</f>
        <v/>
      </c>
      <c r="X1374" s="8">
        <f>IF(AND(V1374=1,D1374=pas_data,E1374=pas_turno),10000-ROW(),"")</f>
        <v/>
      </c>
    </row>
    <row r="1375">
      <c r="A1375" s="3">
        <f>IF(D1375="","","TT-"&amp;TEXT(ROW()-1,"00000"))</f>
        <v/>
      </c>
      <c r="B1375" s="3">
        <f>IF(D1375="","",IF(V1375=0,"CONCLUÍDO",IF(D1375&lt;corte,"HISTÓRICO",IF(OR(AND(ISNUMBER(R1375),R1375&lt;TODAY()),AND(OR(N1375="PENDENTE",N1375="PARCIAL"),D1375&lt;TODAY()-1)),"CRÍTICO",IF(OR(AND(P1375&lt;&gt;"",S1375=""),AND(N1375="REALIZADO",M1375="PENDENTE"),AND(ISNUMBER(R1375),R1375=TODAY())),"ATENÇÃO",IF(N(K1375)=0,"PENDENTE","EM ANDAMENTO"))))))</f>
        <v/>
      </c>
      <c r="C1375" s="3">
        <f>IF(D1375="","",IF(V1375=0,"🟢 OK",IF(D1375&lt;corte,"⚪ HISTÓRICO (sem baixa)",IF(AND(ISNUMBER(R1375),R1375&lt;TODAY()),"🔴 PRAZO VENCIDO",IF(AND(OR(N1375="PENDENTE",N1375="PARCIAL"),D1375&lt;TODAY()-1),"🔴 EMBARQUE ATRASADO",IF(AND(N1375="REALIZADO",M1375="PENDENTE"),"🟡 EMBARCADO SEM FATURAR",IF(AND(P1375&lt;&gt;"",S1375="",OR(Q1375="",R1375="")),"🟡 PENDÊNCIA SEM RESPONSÁVEL/PRAZO",IF(AND(ISNUMBER(R1375),R1375=TODAY()),"🟡 VENCE HOJE",IF(AND(P1375&lt;&gt;"",S1375=""),"🟡 PENDÊNCIA ABERTA",IF(AND(N(J1375)&gt;0,N(K1375)&lt;J1375),"🟡 FALTA EXECUTAR",IF(OR(M1375="PENDENTE",M1375="PARCIAL"),"🟡 FATURAMENTO PENDENTE","🟡 EMBARQUE PENDENTE")))))))))))</f>
        <v/>
      </c>
      <c r="D1375" s="4" t="n"/>
      <c r="E1375" s="5" t="n"/>
      <c r="F1375" s="5" t="n"/>
      <c r="G1375" s="5" t="n"/>
      <c r="H1375" s="5" t="n"/>
      <c r="I1375" s="5" t="n"/>
      <c r="J1375" s="6" t="n"/>
      <c r="K1375" s="6" t="n"/>
      <c r="L1375" s="7">
        <f>IF(OR(D1375="",N(J1375)=0),"",MIN(1,N(K1375)/J1375))</f>
        <v/>
      </c>
      <c r="M1375" s="5" t="n"/>
      <c r="N1375" s="5" t="n"/>
      <c r="O1375" s="5" t="n"/>
      <c r="P1375" s="5" t="n"/>
      <c r="Q1375" s="5" t="n"/>
      <c r="R1375" s="4" t="n"/>
      <c r="S1375" s="4" t="n"/>
      <c r="T1375" s="5" t="n"/>
      <c r="U1375" s="8">
        <f>IF(AND(V1375=1,D1375&lt;&gt;""),IF(D1375&gt;=corte,TODAY()-D1375,""),"")</f>
        <v/>
      </c>
      <c r="V1375" s="8">
        <f>IF(D1375="",0,IF(OR(AND(P1375&lt;&gt;"",S1375=""),AND(N(J1375)&gt;0,N(K1375)&lt;J1375),OR(M1375="PENDENTE",M1375="PARCIAL"),OR(N1375="PENDENTE",N1375="PARCIAL")),1,0))</f>
        <v/>
      </c>
      <c r="W1375" s="8">
        <f>IF(AND(V1375=1,D1375&lt;&gt;""),IF(D1375&gt;=corte,(B1375="CRÍTICO")*1E9+(100000-D1375)*10000+10000-ROW(),""),"")</f>
        <v/>
      </c>
      <c r="X1375" s="8">
        <f>IF(AND(V1375=1,D1375=pas_data,E1375=pas_turno),10000-ROW(),"")</f>
        <v/>
      </c>
    </row>
    <row r="1376">
      <c r="A1376" s="3">
        <f>IF(D1376="","","TT-"&amp;TEXT(ROW()-1,"00000"))</f>
        <v/>
      </c>
      <c r="B1376" s="3">
        <f>IF(D1376="","",IF(V1376=0,"CONCLUÍDO",IF(D1376&lt;corte,"HISTÓRICO",IF(OR(AND(ISNUMBER(R1376),R1376&lt;TODAY()),AND(OR(N1376="PENDENTE",N1376="PARCIAL"),D1376&lt;TODAY()-1)),"CRÍTICO",IF(OR(AND(P1376&lt;&gt;"",S1376=""),AND(N1376="REALIZADO",M1376="PENDENTE"),AND(ISNUMBER(R1376),R1376=TODAY())),"ATENÇÃO",IF(N(K1376)=0,"PENDENTE","EM ANDAMENTO"))))))</f>
        <v/>
      </c>
      <c r="C1376" s="3">
        <f>IF(D1376="","",IF(V1376=0,"🟢 OK",IF(D1376&lt;corte,"⚪ HISTÓRICO (sem baixa)",IF(AND(ISNUMBER(R1376),R1376&lt;TODAY()),"🔴 PRAZO VENCIDO",IF(AND(OR(N1376="PENDENTE",N1376="PARCIAL"),D1376&lt;TODAY()-1),"🔴 EMBARQUE ATRASADO",IF(AND(N1376="REALIZADO",M1376="PENDENTE"),"🟡 EMBARCADO SEM FATURAR",IF(AND(P1376&lt;&gt;"",S1376="",OR(Q1376="",R1376="")),"🟡 PENDÊNCIA SEM RESPONSÁVEL/PRAZO",IF(AND(ISNUMBER(R1376),R1376=TODAY()),"🟡 VENCE HOJE",IF(AND(P1376&lt;&gt;"",S1376=""),"🟡 PENDÊNCIA ABERTA",IF(AND(N(J1376)&gt;0,N(K1376)&lt;J1376),"🟡 FALTA EXECUTAR",IF(OR(M1376="PENDENTE",M1376="PARCIAL"),"🟡 FATURAMENTO PENDENTE","🟡 EMBARQUE PENDENTE")))))))))))</f>
        <v/>
      </c>
      <c r="D1376" s="4" t="n"/>
      <c r="E1376" s="5" t="n"/>
      <c r="F1376" s="5" t="n"/>
      <c r="G1376" s="5" t="n"/>
      <c r="H1376" s="5" t="n"/>
      <c r="I1376" s="5" t="n"/>
      <c r="J1376" s="6" t="n"/>
      <c r="K1376" s="6" t="n"/>
      <c r="L1376" s="7">
        <f>IF(OR(D1376="",N(J1376)=0),"",MIN(1,N(K1376)/J1376))</f>
        <v/>
      </c>
      <c r="M1376" s="5" t="n"/>
      <c r="N1376" s="5" t="n"/>
      <c r="O1376" s="5" t="n"/>
      <c r="P1376" s="5" t="n"/>
      <c r="Q1376" s="5" t="n"/>
      <c r="R1376" s="4" t="n"/>
      <c r="S1376" s="4" t="n"/>
      <c r="T1376" s="5" t="n"/>
      <c r="U1376" s="8">
        <f>IF(AND(V1376=1,D1376&lt;&gt;""),IF(D1376&gt;=corte,TODAY()-D1376,""),"")</f>
        <v/>
      </c>
      <c r="V1376" s="8">
        <f>IF(D1376="",0,IF(OR(AND(P1376&lt;&gt;"",S1376=""),AND(N(J1376)&gt;0,N(K1376)&lt;J1376),OR(M1376="PENDENTE",M1376="PARCIAL"),OR(N1376="PENDENTE",N1376="PARCIAL")),1,0))</f>
        <v/>
      </c>
      <c r="W1376" s="8">
        <f>IF(AND(V1376=1,D1376&lt;&gt;""),IF(D1376&gt;=corte,(B1376="CRÍTICO")*1E9+(100000-D1376)*10000+10000-ROW(),""),"")</f>
        <v/>
      </c>
      <c r="X1376" s="8">
        <f>IF(AND(V1376=1,D1376=pas_data,E1376=pas_turno),10000-ROW(),"")</f>
        <v/>
      </c>
    </row>
    <row r="1377">
      <c r="A1377" s="3">
        <f>IF(D1377="","","TT-"&amp;TEXT(ROW()-1,"00000"))</f>
        <v/>
      </c>
      <c r="B1377" s="3">
        <f>IF(D1377="","",IF(V1377=0,"CONCLUÍDO",IF(D1377&lt;corte,"HISTÓRICO",IF(OR(AND(ISNUMBER(R1377),R1377&lt;TODAY()),AND(OR(N1377="PENDENTE",N1377="PARCIAL"),D1377&lt;TODAY()-1)),"CRÍTICO",IF(OR(AND(P1377&lt;&gt;"",S1377=""),AND(N1377="REALIZADO",M1377="PENDENTE"),AND(ISNUMBER(R1377),R1377=TODAY())),"ATENÇÃO",IF(N(K1377)=0,"PENDENTE","EM ANDAMENTO"))))))</f>
        <v/>
      </c>
      <c r="C1377" s="3">
        <f>IF(D1377="","",IF(V1377=0,"🟢 OK",IF(D1377&lt;corte,"⚪ HISTÓRICO (sem baixa)",IF(AND(ISNUMBER(R1377),R1377&lt;TODAY()),"🔴 PRAZO VENCIDO",IF(AND(OR(N1377="PENDENTE",N1377="PARCIAL"),D1377&lt;TODAY()-1),"🔴 EMBARQUE ATRASADO",IF(AND(N1377="REALIZADO",M1377="PENDENTE"),"🟡 EMBARCADO SEM FATURAR",IF(AND(P1377&lt;&gt;"",S1377="",OR(Q1377="",R1377="")),"🟡 PENDÊNCIA SEM RESPONSÁVEL/PRAZO",IF(AND(ISNUMBER(R1377),R1377=TODAY()),"🟡 VENCE HOJE",IF(AND(P1377&lt;&gt;"",S1377=""),"🟡 PENDÊNCIA ABERTA",IF(AND(N(J1377)&gt;0,N(K1377)&lt;J1377),"🟡 FALTA EXECUTAR",IF(OR(M1377="PENDENTE",M1377="PARCIAL"),"🟡 FATURAMENTO PENDENTE","🟡 EMBARQUE PENDENTE")))))))))))</f>
        <v/>
      </c>
      <c r="D1377" s="4" t="n"/>
      <c r="E1377" s="5" t="n"/>
      <c r="F1377" s="5" t="n"/>
      <c r="G1377" s="5" t="n"/>
      <c r="H1377" s="5" t="n"/>
      <c r="I1377" s="5" t="n"/>
      <c r="J1377" s="6" t="n"/>
      <c r="K1377" s="6" t="n"/>
      <c r="L1377" s="7">
        <f>IF(OR(D1377="",N(J1377)=0),"",MIN(1,N(K1377)/J1377))</f>
        <v/>
      </c>
      <c r="M1377" s="5" t="n"/>
      <c r="N1377" s="5" t="n"/>
      <c r="O1377" s="5" t="n"/>
      <c r="P1377" s="5" t="n"/>
      <c r="Q1377" s="5" t="n"/>
      <c r="R1377" s="4" t="n"/>
      <c r="S1377" s="4" t="n"/>
      <c r="T1377" s="5" t="n"/>
      <c r="U1377" s="8">
        <f>IF(AND(V1377=1,D1377&lt;&gt;""),IF(D1377&gt;=corte,TODAY()-D1377,""),"")</f>
        <v/>
      </c>
      <c r="V1377" s="8">
        <f>IF(D1377="",0,IF(OR(AND(P1377&lt;&gt;"",S1377=""),AND(N(J1377)&gt;0,N(K1377)&lt;J1377),OR(M1377="PENDENTE",M1377="PARCIAL"),OR(N1377="PENDENTE",N1377="PARCIAL")),1,0))</f>
        <v/>
      </c>
      <c r="W1377" s="8">
        <f>IF(AND(V1377=1,D1377&lt;&gt;""),IF(D1377&gt;=corte,(B1377="CRÍTICO")*1E9+(100000-D1377)*10000+10000-ROW(),""),"")</f>
        <v/>
      </c>
      <c r="X1377" s="8">
        <f>IF(AND(V1377=1,D1377=pas_data,E1377=pas_turno),10000-ROW(),"")</f>
        <v/>
      </c>
    </row>
    <row r="1378">
      <c r="A1378" s="3">
        <f>IF(D1378="","","TT-"&amp;TEXT(ROW()-1,"00000"))</f>
        <v/>
      </c>
      <c r="B1378" s="3">
        <f>IF(D1378="","",IF(V1378=0,"CONCLUÍDO",IF(D1378&lt;corte,"HISTÓRICO",IF(OR(AND(ISNUMBER(R1378),R1378&lt;TODAY()),AND(OR(N1378="PENDENTE",N1378="PARCIAL"),D1378&lt;TODAY()-1)),"CRÍTICO",IF(OR(AND(P1378&lt;&gt;"",S1378=""),AND(N1378="REALIZADO",M1378="PENDENTE"),AND(ISNUMBER(R1378),R1378=TODAY())),"ATENÇÃO",IF(N(K1378)=0,"PENDENTE","EM ANDAMENTO"))))))</f>
        <v/>
      </c>
      <c r="C1378" s="3">
        <f>IF(D1378="","",IF(V1378=0,"🟢 OK",IF(D1378&lt;corte,"⚪ HISTÓRICO (sem baixa)",IF(AND(ISNUMBER(R1378),R1378&lt;TODAY()),"🔴 PRAZO VENCIDO",IF(AND(OR(N1378="PENDENTE",N1378="PARCIAL"),D1378&lt;TODAY()-1),"🔴 EMBARQUE ATRASADO",IF(AND(N1378="REALIZADO",M1378="PENDENTE"),"🟡 EMBARCADO SEM FATURAR",IF(AND(P1378&lt;&gt;"",S1378="",OR(Q1378="",R1378="")),"🟡 PENDÊNCIA SEM RESPONSÁVEL/PRAZO",IF(AND(ISNUMBER(R1378),R1378=TODAY()),"🟡 VENCE HOJE",IF(AND(P1378&lt;&gt;"",S1378=""),"🟡 PENDÊNCIA ABERTA",IF(AND(N(J1378)&gt;0,N(K1378)&lt;J1378),"🟡 FALTA EXECUTAR",IF(OR(M1378="PENDENTE",M1378="PARCIAL"),"🟡 FATURAMENTO PENDENTE","🟡 EMBARQUE PENDENTE")))))))))))</f>
        <v/>
      </c>
      <c r="D1378" s="4" t="n"/>
      <c r="E1378" s="5" t="n"/>
      <c r="F1378" s="5" t="n"/>
      <c r="G1378" s="5" t="n"/>
      <c r="H1378" s="5" t="n"/>
      <c r="I1378" s="5" t="n"/>
      <c r="J1378" s="6" t="n"/>
      <c r="K1378" s="6" t="n"/>
      <c r="L1378" s="7">
        <f>IF(OR(D1378="",N(J1378)=0),"",MIN(1,N(K1378)/J1378))</f>
        <v/>
      </c>
      <c r="M1378" s="5" t="n"/>
      <c r="N1378" s="5" t="n"/>
      <c r="O1378" s="5" t="n"/>
      <c r="P1378" s="5" t="n"/>
      <c r="Q1378" s="5" t="n"/>
      <c r="R1378" s="4" t="n"/>
      <c r="S1378" s="4" t="n"/>
      <c r="T1378" s="5" t="n"/>
      <c r="U1378" s="8">
        <f>IF(AND(V1378=1,D1378&lt;&gt;""),IF(D1378&gt;=corte,TODAY()-D1378,""),"")</f>
        <v/>
      </c>
      <c r="V1378" s="8">
        <f>IF(D1378="",0,IF(OR(AND(P1378&lt;&gt;"",S1378=""),AND(N(J1378)&gt;0,N(K1378)&lt;J1378),OR(M1378="PENDENTE",M1378="PARCIAL"),OR(N1378="PENDENTE",N1378="PARCIAL")),1,0))</f>
        <v/>
      </c>
      <c r="W1378" s="8">
        <f>IF(AND(V1378=1,D1378&lt;&gt;""),IF(D1378&gt;=corte,(B1378="CRÍTICO")*1E9+(100000-D1378)*10000+10000-ROW(),""),"")</f>
        <v/>
      </c>
      <c r="X1378" s="8">
        <f>IF(AND(V1378=1,D1378=pas_data,E1378=pas_turno),10000-ROW(),"")</f>
        <v/>
      </c>
    </row>
    <row r="1379">
      <c r="A1379" s="3">
        <f>IF(D1379="","","TT-"&amp;TEXT(ROW()-1,"00000"))</f>
        <v/>
      </c>
      <c r="B1379" s="3">
        <f>IF(D1379="","",IF(V1379=0,"CONCLUÍDO",IF(D1379&lt;corte,"HISTÓRICO",IF(OR(AND(ISNUMBER(R1379),R1379&lt;TODAY()),AND(OR(N1379="PENDENTE",N1379="PARCIAL"),D1379&lt;TODAY()-1)),"CRÍTICO",IF(OR(AND(P1379&lt;&gt;"",S1379=""),AND(N1379="REALIZADO",M1379="PENDENTE"),AND(ISNUMBER(R1379),R1379=TODAY())),"ATENÇÃO",IF(N(K1379)=0,"PENDENTE","EM ANDAMENTO"))))))</f>
        <v/>
      </c>
      <c r="C1379" s="3">
        <f>IF(D1379="","",IF(V1379=0,"🟢 OK",IF(D1379&lt;corte,"⚪ HISTÓRICO (sem baixa)",IF(AND(ISNUMBER(R1379),R1379&lt;TODAY()),"🔴 PRAZO VENCIDO",IF(AND(OR(N1379="PENDENTE",N1379="PARCIAL"),D1379&lt;TODAY()-1),"🔴 EMBARQUE ATRASADO",IF(AND(N1379="REALIZADO",M1379="PENDENTE"),"🟡 EMBARCADO SEM FATURAR",IF(AND(P1379&lt;&gt;"",S1379="",OR(Q1379="",R1379="")),"🟡 PENDÊNCIA SEM RESPONSÁVEL/PRAZO",IF(AND(ISNUMBER(R1379),R1379=TODAY()),"🟡 VENCE HOJE",IF(AND(P1379&lt;&gt;"",S1379=""),"🟡 PENDÊNCIA ABERTA",IF(AND(N(J1379)&gt;0,N(K1379)&lt;J1379),"🟡 FALTA EXECUTAR",IF(OR(M1379="PENDENTE",M1379="PARCIAL"),"🟡 FATURAMENTO PENDENTE","🟡 EMBARQUE PENDENTE")))))))))))</f>
        <v/>
      </c>
      <c r="D1379" s="4" t="n"/>
      <c r="E1379" s="5" t="n"/>
      <c r="F1379" s="5" t="n"/>
      <c r="G1379" s="5" t="n"/>
      <c r="H1379" s="5" t="n"/>
      <c r="I1379" s="5" t="n"/>
      <c r="J1379" s="6" t="n"/>
      <c r="K1379" s="6" t="n"/>
      <c r="L1379" s="7">
        <f>IF(OR(D1379="",N(J1379)=0),"",MIN(1,N(K1379)/J1379))</f>
        <v/>
      </c>
      <c r="M1379" s="5" t="n"/>
      <c r="N1379" s="5" t="n"/>
      <c r="O1379" s="5" t="n"/>
      <c r="P1379" s="5" t="n"/>
      <c r="Q1379" s="5" t="n"/>
      <c r="R1379" s="4" t="n"/>
      <c r="S1379" s="4" t="n"/>
      <c r="T1379" s="5" t="n"/>
      <c r="U1379" s="8">
        <f>IF(AND(V1379=1,D1379&lt;&gt;""),IF(D1379&gt;=corte,TODAY()-D1379,""),"")</f>
        <v/>
      </c>
      <c r="V1379" s="8">
        <f>IF(D1379="",0,IF(OR(AND(P1379&lt;&gt;"",S1379=""),AND(N(J1379)&gt;0,N(K1379)&lt;J1379),OR(M1379="PENDENTE",M1379="PARCIAL"),OR(N1379="PENDENTE",N1379="PARCIAL")),1,0))</f>
        <v/>
      </c>
      <c r="W1379" s="8">
        <f>IF(AND(V1379=1,D1379&lt;&gt;""),IF(D1379&gt;=corte,(B1379="CRÍTICO")*1E9+(100000-D1379)*10000+10000-ROW(),""),"")</f>
        <v/>
      </c>
      <c r="X1379" s="8">
        <f>IF(AND(V1379=1,D1379=pas_data,E1379=pas_turno),10000-ROW(),"")</f>
        <v/>
      </c>
    </row>
    <row r="1380">
      <c r="A1380" s="3">
        <f>IF(D1380="","","TT-"&amp;TEXT(ROW()-1,"00000"))</f>
        <v/>
      </c>
      <c r="B1380" s="3">
        <f>IF(D1380="","",IF(V1380=0,"CONCLUÍDO",IF(D1380&lt;corte,"HISTÓRICO",IF(OR(AND(ISNUMBER(R1380),R1380&lt;TODAY()),AND(OR(N1380="PENDENTE",N1380="PARCIAL"),D1380&lt;TODAY()-1)),"CRÍTICO",IF(OR(AND(P1380&lt;&gt;"",S1380=""),AND(N1380="REALIZADO",M1380="PENDENTE"),AND(ISNUMBER(R1380),R1380=TODAY())),"ATENÇÃO",IF(N(K1380)=0,"PENDENTE","EM ANDAMENTO"))))))</f>
        <v/>
      </c>
      <c r="C1380" s="3">
        <f>IF(D1380="","",IF(V1380=0,"🟢 OK",IF(D1380&lt;corte,"⚪ HISTÓRICO (sem baixa)",IF(AND(ISNUMBER(R1380),R1380&lt;TODAY()),"🔴 PRAZO VENCIDO",IF(AND(OR(N1380="PENDENTE",N1380="PARCIAL"),D1380&lt;TODAY()-1),"🔴 EMBARQUE ATRASADO",IF(AND(N1380="REALIZADO",M1380="PENDENTE"),"🟡 EMBARCADO SEM FATURAR",IF(AND(P1380&lt;&gt;"",S1380="",OR(Q1380="",R1380="")),"🟡 PENDÊNCIA SEM RESPONSÁVEL/PRAZO",IF(AND(ISNUMBER(R1380),R1380=TODAY()),"🟡 VENCE HOJE",IF(AND(P1380&lt;&gt;"",S1380=""),"🟡 PENDÊNCIA ABERTA",IF(AND(N(J1380)&gt;0,N(K1380)&lt;J1380),"🟡 FALTA EXECUTAR",IF(OR(M1380="PENDENTE",M1380="PARCIAL"),"🟡 FATURAMENTO PENDENTE","🟡 EMBARQUE PENDENTE")))))))))))</f>
        <v/>
      </c>
      <c r="D1380" s="4" t="n"/>
      <c r="E1380" s="5" t="n"/>
      <c r="F1380" s="5" t="n"/>
      <c r="G1380" s="5" t="n"/>
      <c r="H1380" s="5" t="n"/>
      <c r="I1380" s="5" t="n"/>
      <c r="J1380" s="6" t="n"/>
      <c r="K1380" s="6" t="n"/>
      <c r="L1380" s="7">
        <f>IF(OR(D1380="",N(J1380)=0),"",MIN(1,N(K1380)/J1380))</f>
        <v/>
      </c>
      <c r="M1380" s="5" t="n"/>
      <c r="N1380" s="5" t="n"/>
      <c r="O1380" s="5" t="n"/>
      <c r="P1380" s="5" t="n"/>
      <c r="Q1380" s="5" t="n"/>
      <c r="R1380" s="4" t="n"/>
      <c r="S1380" s="4" t="n"/>
      <c r="T1380" s="5" t="n"/>
      <c r="U1380" s="8">
        <f>IF(AND(V1380=1,D1380&lt;&gt;""),IF(D1380&gt;=corte,TODAY()-D1380,""),"")</f>
        <v/>
      </c>
      <c r="V1380" s="8">
        <f>IF(D1380="",0,IF(OR(AND(P1380&lt;&gt;"",S1380=""),AND(N(J1380)&gt;0,N(K1380)&lt;J1380),OR(M1380="PENDENTE",M1380="PARCIAL"),OR(N1380="PENDENTE",N1380="PARCIAL")),1,0))</f>
        <v/>
      </c>
      <c r="W1380" s="8">
        <f>IF(AND(V1380=1,D1380&lt;&gt;""),IF(D1380&gt;=corte,(B1380="CRÍTICO")*1E9+(100000-D1380)*10000+10000-ROW(),""),"")</f>
        <v/>
      </c>
      <c r="X1380" s="8">
        <f>IF(AND(V1380=1,D1380=pas_data,E1380=pas_turno),10000-ROW(),"")</f>
        <v/>
      </c>
    </row>
    <row r="1381">
      <c r="A1381" s="3">
        <f>IF(D1381="","","TT-"&amp;TEXT(ROW()-1,"00000"))</f>
        <v/>
      </c>
      <c r="B1381" s="3">
        <f>IF(D1381="","",IF(V1381=0,"CONCLUÍDO",IF(D1381&lt;corte,"HISTÓRICO",IF(OR(AND(ISNUMBER(R1381),R1381&lt;TODAY()),AND(OR(N1381="PENDENTE",N1381="PARCIAL"),D1381&lt;TODAY()-1)),"CRÍTICO",IF(OR(AND(P1381&lt;&gt;"",S1381=""),AND(N1381="REALIZADO",M1381="PENDENTE"),AND(ISNUMBER(R1381),R1381=TODAY())),"ATENÇÃO",IF(N(K1381)=0,"PENDENTE","EM ANDAMENTO"))))))</f>
        <v/>
      </c>
      <c r="C1381" s="3">
        <f>IF(D1381="","",IF(V1381=0,"🟢 OK",IF(D1381&lt;corte,"⚪ HISTÓRICO (sem baixa)",IF(AND(ISNUMBER(R1381),R1381&lt;TODAY()),"🔴 PRAZO VENCIDO",IF(AND(OR(N1381="PENDENTE",N1381="PARCIAL"),D1381&lt;TODAY()-1),"🔴 EMBARQUE ATRASADO",IF(AND(N1381="REALIZADO",M1381="PENDENTE"),"🟡 EMBARCADO SEM FATURAR",IF(AND(P1381&lt;&gt;"",S1381="",OR(Q1381="",R1381="")),"🟡 PENDÊNCIA SEM RESPONSÁVEL/PRAZO",IF(AND(ISNUMBER(R1381),R1381=TODAY()),"🟡 VENCE HOJE",IF(AND(P1381&lt;&gt;"",S1381=""),"🟡 PENDÊNCIA ABERTA",IF(AND(N(J1381)&gt;0,N(K1381)&lt;J1381),"🟡 FALTA EXECUTAR",IF(OR(M1381="PENDENTE",M1381="PARCIAL"),"🟡 FATURAMENTO PENDENTE","🟡 EMBARQUE PENDENTE")))))))))))</f>
        <v/>
      </c>
      <c r="D1381" s="4" t="n"/>
      <c r="E1381" s="5" t="n"/>
      <c r="F1381" s="5" t="n"/>
      <c r="G1381" s="5" t="n"/>
      <c r="H1381" s="5" t="n"/>
      <c r="I1381" s="5" t="n"/>
      <c r="J1381" s="6" t="n"/>
      <c r="K1381" s="6" t="n"/>
      <c r="L1381" s="7">
        <f>IF(OR(D1381="",N(J1381)=0),"",MIN(1,N(K1381)/J1381))</f>
        <v/>
      </c>
      <c r="M1381" s="5" t="n"/>
      <c r="N1381" s="5" t="n"/>
      <c r="O1381" s="5" t="n"/>
      <c r="P1381" s="5" t="n"/>
      <c r="Q1381" s="5" t="n"/>
      <c r="R1381" s="4" t="n"/>
      <c r="S1381" s="4" t="n"/>
      <c r="T1381" s="5" t="n"/>
      <c r="U1381" s="8">
        <f>IF(AND(V1381=1,D1381&lt;&gt;""),IF(D1381&gt;=corte,TODAY()-D1381,""),"")</f>
        <v/>
      </c>
      <c r="V1381" s="8">
        <f>IF(D1381="",0,IF(OR(AND(P1381&lt;&gt;"",S1381=""),AND(N(J1381)&gt;0,N(K1381)&lt;J1381),OR(M1381="PENDENTE",M1381="PARCIAL"),OR(N1381="PENDENTE",N1381="PARCIAL")),1,0))</f>
        <v/>
      </c>
      <c r="W1381" s="8">
        <f>IF(AND(V1381=1,D1381&lt;&gt;""),IF(D1381&gt;=corte,(B1381="CRÍTICO")*1E9+(100000-D1381)*10000+10000-ROW(),""),"")</f>
        <v/>
      </c>
      <c r="X1381" s="8">
        <f>IF(AND(V1381=1,D1381=pas_data,E1381=pas_turno),10000-ROW(),"")</f>
        <v/>
      </c>
    </row>
    <row r="1382">
      <c r="A1382" s="3">
        <f>IF(D1382="","","TT-"&amp;TEXT(ROW()-1,"00000"))</f>
        <v/>
      </c>
      <c r="B1382" s="3">
        <f>IF(D1382="","",IF(V1382=0,"CONCLUÍDO",IF(D1382&lt;corte,"HISTÓRICO",IF(OR(AND(ISNUMBER(R1382),R1382&lt;TODAY()),AND(OR(N1382="PENDENTE",N1382="PARCIAL"),D1382&lt;TODAY()-1)),"CRÍTICO",IF(OR(AND(P1382&lt;&gt;"",S1382=""),AND(N1382="REALIZADO",M1382="PENDENTE"),AND(ISNUMBER(R1382),R1382=TODAY())),"ATENÇÃO",IF(N(K1382)=0,"PENDENTE","EM ANDAMENTO"))))))</f>
        <v/>
      </c>
      <c r="C1382" s="3">
        <f>IF(D1382="","",IF(V1382=0,"🟢 OK",IF(D1382&lt;corte,"⚪ HISTÓRICO (sem baixa)",IF(AND(ISNUMBER(R1382),R1382&lt;TODAY()),"🔴 PRAZO VENCIDO",IF(AND(OR(N1382="PENDENTE",N1382="PARCIAL"),D1382&lt;TODAY()-1),"🔴 EMBARQUE ATRASADO",IF(AND(N1382="REALIZADO",M1382="PENDENTE"),"🟡 EMBARCADO SEM FATURAR",IF(AND(P1382&lt;&gt;"",S1382="",OR(Q1382="",R1382="")),"🟡 PENDÊNCIA SEM RESPONSÁVEL/PRAZO",IF(AND(ISNUMBER(R1382),R1382=TODAY()),"🟡 VENCE HOJE",IF(AND(P1382&lt;&gt;"",S1382=""),"🟡 PENDÊNCIA ABERTA",IF(AND(N(J1382)&gt;0,N(K1382)&lt;J1382),"🟡 FALTA EXECUTAR",IF(OR(M1382="PENDENTE",M1382="PARCIAL"),"🟡 FATURAMENTO PENDENTE","🟡 EMBARQUE PENDENTE")))))))))))</f>
        <v/>
      </c>
      <c r="D1382" s="4" t="n"/>
      <c r="E1382" s="5" t="n"/>
      <c r="F1382" s="5" t="n"/>
      <c r="G1382" s="5" t="n"/>
      <c r="H1382" s="5" t="n"/>
      <c r="I1382" s="5" t="n"/>
      <c r="J1382" s="6" t="n"/>
      <c r="K1382" s="6" t="n"/>
      <c r="L1382" s="7">
        <f>IF(OR(D1382="",N(J1382)=0),"",MIN(1,N(K1382)/J1382))</f>
        <v/>
      </c>
      <c r="M1382" s="5" t="n"/>
      <c r="N1382" s="5" t="n"/>
      <c r="O1382" s="5" t="n"/>
      <c r="P1382" s="5" t="n"/>
      <c r="Q1382" s="5" t="n"/>
      <c r="R1382" s="4" t="n"/>
      <c r="S1382" s="4" t="n"/>
      <c r="T1382" s="5" t="n"/>
      <c r="U1382" s="8">
        <f>IF(AND(V1382=1,D1382&lt;&gt;""),IF(D1382&gt;=corte,TODAY()-D1382,""),"")</f>
        <v/>
      </c>
      <c r="V1382" s="8">
        <f>IF(D1382="",0,IF(OR(AND(P1382&lt;&gt;"",S1382=""),AND(N(J1382)&gt;0,N(K1382)&lt;J1382),OR(M1382="PENDENTE",M1382="PARCIAL"),OR(N1382="PENDENTE",N1382="PARCIAL")),1,0))</f>
        <v/>
      </c>
      <c r="W1382" s="8">
        <f>IF(AND(V1382=1,D1382&lt;&gt;""),IF(D1382&gt;=corte,(B1382="CRÍTICO")*1E9+(100000-D1382)*10000+10000-ROW(),""),"")</f>
        <v/>
      </c>
      <c r="X1382" s="8">
        <f>IF(AND(V1382=1,D1382=pas_data,E1382=pas_turno),10000-ROW(),"")</f>
        <v/>
      </c>
    </row>
    <row r="1383">
      <c r="A1383" s="3">
        <f>IF(D1383="","","TT-"&amp;TEXT(ROW()-1,"00000"))</f>
        <v/>
      </c>
      <c r="B1383" s="3">
        <f>IF(D1383="","",IF(V1383=0,"CONCLUÍDO",IF(D1383&lt;corte,"HISTÓRICO",IF(OR(AND(ISNUMBER(R1383),R1383&lt;TODAY()),AND(OR(N1383="PENDENTE",N1383="PARCIAL"),D1383&lt;TODAY()-1)),"CRÍTICO",IF(OR(AND(P1383&lt;&gt;"",S1383=""),AND(N1383="REALIZADO",M1383="PENDENTE"),AND(ISNUMBER(R1383),R1383=TODAY())),"ATENÇÃO",IF(N(K1383)=0,"PENDENTE","EM ANDAMENTO"))))))</f>
        <v/>
      </c>
      <c r="C1383" s="3">
        <f>IF(D1383="","",IF(V1383=0,"🟢 OK",IF(D1383&lt;corte,"⚪ HISTÓRICO (sem baixa)",IF(AND(ISNUMBER(R1383),R1383&lt;TODAY()),"🔴 PRAZO VENCIDO",IF(AND(OR(N1383="PENDENTE",N1383="PARCIAL"),D1383&lt;TODAY()-1),"🔴 EMBARQUE ATRASADO",IF(AND(N1383="REALIZADO",M1383="PENDENTE"),"🟡 EMBARCADO SEM FATURAR",IF(AND(P1383&lt;&gt;"",S1383="",OR(Q1383="",R1383="")),"🟡 PENDÊNCIA SEM RESPONSÁVEL/PRAZO",IF(AND(ISNUMBER(R1383),R1383=TODAY()),"🟡 VENCE HOJE",IF(AND(P1383&lt;&gt;"",S1383=""),"🟡 PENDÊNCIA ABERTA",IF(AND(N(J1383)&gt;0,N(K1383)&lt;J1383),"🟡 FALTA EXECUTAR",IF(OR(M1383="PENDENTE",M1383="PARCIAL"),"🟡 FATURAMENTO PENDENTE","🟡 EMBARQUE PENDENTE")))))))))))</f>
        <v/>
      </c>
      <c r="D1383" s="4" t="n"/>
      <c r="E1383" s="5" t="n"/>
      <c r="F1383" s="5" t="n"/>
      <c r="G1383" s="5" t="n"/>
      <c r="H1383" s="5" t="n"/>
      <c r="I1383" s="5" t="n"/>
      <c r="J1383" s="6" t="n"/>
      <c r="K1383" s="6" t="n"/>
      <c r="L1383" s="7">
        <f>IF(OR(D1383="",N(J1383)=0),"",MIN(1,N(K1383)/J1383))</f>
        <v/>
      </c>
      <c r="M1383" s="5" t="n"/>
      <c r="N1383" s="5" t="n"/>
      <c r="O1383" s="5" t="n"/>
      <c r="P1383" s="5" t="n"/>
      <c r="Q1383" s="5" t="n"/>
      <c r="R1383" s="4" t="n"/>
      <c r="S1383" s="4" t="n"/>
      <c r="T1383" s="5" t="n"/>
      <c r="U1383" s="8">
        <f>IF(AND(V1383=1,D1383&lt;&gt;""),IF(D1383&gt;=corte,TODAY()-D1383,""),"")</f>
        <v/>
      </c>
      <c r="V1383" s="8">
        <f>IF(D1383="",0,IF(OR(AND(P1383&lt;&gt;"",S1383=""),AND(N(J1383)&gt;0,N(K1383)&lt;J1383),OR(M1383="PENDENTE",M1383="PARCIAL"),OR(N1383="PENDENTE",N1383="PARCIAL")),1,0))</f>
        <v/>
      </c>
      <c r="W1383" s="8">
        <f>IF(AND(V1383=1,D1383&lt;&gt;""),IF(D1383&gt;=corte,(B1383="CRÍTICO")*1E9+(100000-D1383)*10000+10000-ROW(),""),"")</f>
        <v/>
      </c>
      <c r="X1383" s="8">
        <f>IF(AND(V1383=1,D1383=pas_data,E1383=pas_turno),10000-ROW(),"")</f>
        <v/>
      </c>
    </row>
    <row r="1384">
      <c r="A1384" s="3">
        <f>IF(D1384="","","TT-"&amp;TEXT(ROW()-1,"00000"))</f>
        <v/>
      </c>
      <c r="B1384" s="3">
        <f>IF(D1384="","",IF(V1384=0,"CONCLUÍDO",IF(D1384&lt;corte,"HISTÓRICO",IF(OR(AND(ISNUMBER(R1384),R1384&lt;TODAY()),AND(OR(N1384="PENDENTE",N1384="PARCIAL"),D1384&lt;TODAY()-1)),"CRÍTICO",IF(OR(AND(P1384&lt;&gt;"",S1384=""),AND(N1384="REALIZADO",M1384="PENDENTE"),AND(ISNUMBER(R1384),R1384=TODAY())),"ATENÇÃO",IF(N(K1384)=0,"PENDENTE","EM ANDAMENTO"))))))</f>
        <v/>
      </c>
      <c r="C1384" s="3">
        <f>IF(D1384="","",IF(V1384=0,"🟢 OK",IF(D1384&lt;corte,"⚪ HISTÓRICO (sem baixa)",IF(AND(ISNUMBER(R1384),R1384&lt;TODAY()),"🔴 PRAZO VENCIDO",IF(AND(OR(N1384="PENDENTE",N1384="PARCIAL"),D1384&lt;TODAY()-1),"🔴 EMBARQUE ATRASADO",IF(AND(N1384="REALIZADO",M1384="PENDENTE"),"🟡 EMBARCADO SEM FATURAR",IF(AND(P1384&lt;&gt;"",S1384="",OR(Q1384="",R1384="")),"🟡 PENDÊNCIA SEM RESPONSÁVEL/PRAZO",IF(AND(ISNUMBER(R1384),R1384=TODAY()),"🟡 VENCE HOJE",IF(AND(P1384&lt;&gt;"",S1384=""),"🟡 PENDÊNCIA ABERTA",IF(AND(N(J1384)&gt;0,N(K1384)&lt;J1384),"🟡 FALTA EXECUTAR",IF(OR(M1384="PENDENTE",M1384="PARCIAL"),"🟡 FATURAMENTO PENDENTE","🟡 EMBARQUE PENDENTE")))))))))))</f>
        <v/>
      </c>
      <c r="D1384" s="4" t="n"/>
      <c r="E1384" s="5" t="n"/>
      <c r="F1384" s="5" t="n"/>
      <c r="G1384" s="5" t="n"/>
      <c r="H1384" s="5" t="n"/>
      <c r="I1384" s="5" t="n"/>
      <c r="J1384" s="6" t="n"/>
      <c r="K1384" s="6" t="n"/>
      <c r="L1384" s="7">
        <f>IF(OR(D1384="",N(J1384)=0),"",MIN(1,N(K1384)/J1384))</f>
        <v/>
      </c>
      <c r="M1384" s="5" t="n"/>
      <c r="N1384" s="5" t="n"/>
      <c r="O1384" s="5" t="n"/>
      <c r="P1384" s="5" t="n"/>
      <c r="Q1384" s="5" t="n"/>
      <c r="R1384" s="4" t="n"/>
      <c r="S1384" s="4" t="n"/>
      <c r="T1384" s="5" t="n"/>
      <c r="U1384" s="8">
        <f>IF(AND(V1384=1,D1384&lt;&gt;""),IF(D1384&gt;=corte,TODAY()-D1384,""),"")</f>
        <v/>
      </c>
      <c r="V1384" s="8">
        <f>IF(D1384="",0,IF(OR(AND(P1384&lt;&gt;"",S1384=""),AND(N(J1384)&gt;0,N(K1384)&lt;J1384),OR(M1384="PENDENTE",M1384="PARCIAL"),OR(N1384="PENDENTE",N1384="PARCIAL")),1,0))</f>
        <v/>
      </c>
      <c r="W1384" s="8">
        <f>IF(AND(V1384=1,D1384&lt;&gt;""),IF(D1384&gt;=corte,(B1384="CRÍTICO")*1E9+(100000-D1384)*10000+10000-ROW(),""),"")</f>
        <v/>
      </c>
      <c r="X1384" s="8">
        <f>IF(AND(V1384=1,D1384=pas_data,E1384=pas_turno),10000-ROW(),"")</f>
        <v/>
      </c>
    </row>
    <row r="1385">
      <c r="A1385" s="3">
        <f>IF(D1385="","","TT-"&amp;TEXT(ROW()-1,"00000"))</f>
        <v/>
      </c>
      <c r="B1385" s="3">
        <f>IF(D1385="","",IF(V1385=0,"CONCLUÍDO",IF(D1385&lt;corte,"HISTÓRICO",IF(OR(AND(ISNUMBER(R1385),R1385&lt;TODAY()),AND(OR(N1385="PENDENTE",N1385="PARCIAL"),D1385&lt;TODAY()-1)),"CRÍTICO",IF(OR(AND(P1385&lt;&gt;"",S1385=""),AND(N1385="REALIZADO",M1385="PENDENTE"),AND(ISNUMBER(R1385),R1385=TODAY())),"ATENÇÃO",IF(N(K1385)=0,"PENDENTE","EM ANDAMENTO"))))))</f>
        <v/>
      </c>
      <c r="C1385" s="3">
        <f>IF(D1385="","",IF(V1385=0,"🟢 OK",IF(D1385&lt;corte,"⚪ HISTÓRICO (sem baixa)",IF(AND(ISNUMBER(R1385),R1385&lt;TODAY()),"🔴 PRAZO VENCIDO",IF(AND(OR(N1385="PENDENTE",N1385="PARCIAL"),D1385&lt;TODAY()-1),"🔴 EMBARQUE ATRASADO",IF(AND(N1385="REALIZADO",M1385="PENDENTE"),"🟡 EMBARCADO SEM FATURAR",IF(AND(P1385&lt;&gt;"",S1385="",OR(Q1385="",R1385="")),"🟡 PENDÊNCIA SEM RESPONSÁVEL/PRAZO",IF(AND(ISNUMBER(R1385),R1385=TODAY()),"🟡 VENCE HOJE",IF(AND(P1385&lt;&gt;"",S1385=""),"🟡 PENDÊNCIA ABERTA",IF(AND(N(J1385)&gt;0,N(K1385)&lt;J1385),"🟡 FALTA EXECUTAR",IF(OR(M1385="PENDENTE",M1385="PARCIAL"),"🟡 FATURAMENTO PENDENTE","🟡 EMBARQUE PENDENTE")))))))))))</f>
        <v/>
      </c>
      <c r="D1385" s="4" t="n"/>
      <c r="E1385" s="5" t="n"/>
      <c r="F1385" s="5" t="n"/>
      <c r="G1385" s="5" t="n"/>
      <c r="H1385" s="5" t="n"/>
      <c r="I1385" s="5" t="n"/>
      <c r="J1385" s="6" t="n"/>
      <c r="K1385" s="6" t="n"/>
      <c r="L1385" s="7">
        <f>IF(OR(D1385="",N(J1385)=0),"",MIN(1,N(K1385)/J1385))</f>
        <v/>
      </c>
      <c r="M1385" s="5" t="n"/>
      <c r="N1385" s="5" t="n"/>
      <c r="O1385" s="5" t="n"/>
      <c r="P1385" s="5" t="n"/>
      <c r="Q1385" s="5" t="n"/>
      <c r="R1385" s="4" t="n"/>
      <c r="S1385" s="4" t="n"/>
      <c r="T1385" s="5" t="n"/>
      <c r="U1385" s="8">
        <f>IF(AND(V1385=1,D1385&lt;&gt;""),IF(D1385&gt;=corte,TODAY()-D1385,""),"")</f>
        <v/>
      </c>
      <c r="V1385" s="8">
        <f>IF(D1385="",0,IF(OR(AND(P1385&lt;&gt;"",S1385=""),AND(N(J1385)&gt;0,N(K1385)&lt;J1385),OR(M1385="PENDENTE",M1385="PARCIAL"),OR(N1385="PENDENTE",N1385="PARCIAL")),1,0))</f>
        <v/>
      </c>
      <c r="W1385" s="8">
        <f>IF(AND(V1385=1,D1385&lt;&gt;""),IF(D1385&gt;=corte,(B1385="CRÍTICO")*1E9+(100000-D1385)*10000+10000-ROW(),""),"")</f>
        <v/>
      </c>
      <c r="X1385" s="8">
        <f>IF(AND(V1385=1,D1385=pas_data,E1385=pas_turno),10000-ROW(),"")</f>
        <v/>
      </c>
    </row>
    <row r="1386">
      <c r="A1386" s="3">
        <f>IF(D1386="","","TT-"&amp;TEXT(ROW()-1,"00000"))</f>
        <v/>
      </c>
      <c r="B1386" s="3">
        <f>IF(D1386="","",IF(V1386=0,"CONCLUÍDO",IF(D1386&lt;corte,"HISTÓRICO",IF(OR(AND(ISNUMBER(R1386),R1386&lt;TODAY()),AND(OR(N1386="PENDENTE",N1386="PARCIAL"),D1386&lt;TODAY()-1)),"CRÍTICO",IF(OR(AND(P1386&lt;&gt;"",S1386=""),AND(N1386="REALIZADO",M1386="PENDENTE"),AND(ISNUMBER(R1386),R1386=TODAY())),"ATENÇÃO",IF(N(K1386)=0,"PENDENTE","EM ANDAMENTO"))))))</f>
        <v/>
      </c>
      <c r="C1386" s="3">
        <f>IF(D1386="","",IF(V1386=0,"🟢 OK",IF(D1386&lt;corte,"⚪ HISTÓRICO (sem baixa)",IF(AND(ISNUMBER(R1386),R1386&lt;TODAY()),"🔴 PRAZO VENCIDO",IF(AND(OR(N1386="PENDENTE",N1386="PARCIAL"),D1386&lt;TODAY()-1),"🔴 EMBARQUE ATRASADO",IF(AND(N1386="REALIZADO",M1386="PENDENTE"),"🟡 EMBARCADO SEM FATURAR",IF(AND(P1386&lt;&gt;"",S1386="",OR(Q1386="",R1386="")),"🟡 PENDÊNCIA SEM RESPONSÁVEL/PRAZO",IF(AND(ISNUMBER(R1386),R1386=TODAY()),"🟡 VENCE HOJE",IF(AND(P1386&lt;&gt;"",S1386=""),"🟡 PENDÊNCIA ABERTA",IF(AND(N(J1386)&gt;0,N(K1386)&lt;J1386),"🟡 FALTA EXECUTAR",IF(OR(M1386="PENDENTE",M1386="PARCIAL"),"🟡 FATURAMENTO PENDENTE","🟡 EMBARQUE PENDENTE")))))))))))</f>
        <v/>
      </c>
      <c r="D1386" s="4" t="n"/>
      <c r="E1386" s="5" t="n"/>
      <c r="F1386" s="5" t="n"/>
      <c r="G1386" s="5" t="n"/>
      <c r="H1386" s="5" t="n"/>
      <c r="I1386" s="5" t="n"/>
      <c r="J1386" s="6" t="n"/>
      <c r="K1386" s="6" t="n"/>
      <c r="L1386" s="7">
        <f>IF(OR(D1386="",N(J1386)=0),"",MIN(1,N(K1386)/J1386))</f>
        <v/>
      </c>
      <c r="M1386" s="5" t="n"/>
      <c r="N1386" s="5" t="n"/>
      <c r="O1386" s="5" t="n"/>
      <c r="P1386" s="5" t="n"/>
      <c r="Q1386" s="5" t="n"/>
      <c r="R1386" s="4" t="n"/>
      <c r="S1386" s="4" t="n"/>
      <c r="T1386" s="5" t="n"/>
      <c r="U1386" s="8">
        <f>IF(AND(V1386=1,D1386&lt;&gt;""),IF(D1386&gt;=corte,TODAY()-D1386,""),"")</f>
        <v/>
      </c>
      <c r="V1386" s="8">
        <f>IF(D1386="",0,IF(OR(AND(P1386&lt;&gt;"",S1386=""),AND(N(J1386)&gt;0,N(K1386)&lt;J1386),OR(M1386="PENDENTE",M1386="PARCIAL"),OR(N1386="PENDENTE",N1386="PARCIAL")),1,0))</f>
        <v/>
      </c>
      <c r="W1386" s="8">
        <f>IF(AND(V1386=1,D1386&lt;&gt;""),IF(D1386&gt;=corte,(B1386="CRÍTICO")*1E9+(100000-D1386)*10000+10000-ROW(),""),"")</f>
        <v/>
      </c>
      <c r="X1386" s="8">
        <f>IF(AND(V1386=1,D1386=pas_data,E1386=pas_turno),10000-ROW(),"")</f>
        <v/>
      </c>
    </row>
    <row r="1387">
      <c r="A1387" s="3">
        <f>IF(D1387="","","TT-"&amp;TEXT(ROW()-1,"00000"))</f>
        <v/>
      </c>
      <c r="B1387" s="3">
        <f>IF(D1387="","",IF(V1387=0,"CONCLUÍDO",IF(D1387&lt;corte,"HISTÓRICO",IF(OR(AND(ISNUMBER(R1387),R1387&lt;TODAY()),AND(OR(N1387="PENDENTE",N1387="PARCIAL"),D1387&lt;TODAY()-1)),"CRÍTICO",IF(OR(AND(P1387&lt;&gt;"",S1387=""),AND(N1387="REALIZADO",M1387="PENDENTE"),AND(ISNUMBER(R1387),R1387=TODAY())),"ATENÇÃO",IF(N(K1387)=0,"PENDENTE","EM ANDAMENTO"))))))</f>
        <v/>
      </c>
      <c r="C1387" s="3">
        <f>IF(D1387="","",IF(V1387=0,"🟢 OK",IF(D1387&lt;corte,"⚪ HISTÓRICO (sem baixa)",IF(AND(ISNUMBER(R1387),R1387&lt;TODAY()),"🔴 PRAZO VENCIDO",IF(AND(OR(N1387="PENDENTE",N1387="PARCIAL"),D1387&lt;TODAY()-1),"🔴 EMBARQUE ATRASADO",IF(AND(N1387="REALIZADO",M1387="PENDENTE"),"🟡 EMBARCADO SEM FATURAR",IF(AND(P1387&lt;&gt;"",S1387="",OR(Q1387="",R1387="")),"🟡 PENDÊNCIA SEM RESPONSÁVEL/PRAZO",IF(AND(ISNUMBER(R1387),R1387=TODAY()),"🟡 VENCE HOJE",IF(AND(P1387&lt;&gt;"",S1387=""),"🟡 PENDÊNCIA ABERTA",IF(AND(N(J1387)&gt;0,N(K1387)&lt;J1387),"🟡 FALTA EXECUTAR",IF(OR(M1387="PENDENTE",M1387="PARCIAL"),"🟡 FATURAMENTO PENDENTE","🟡 EMBARQUE PENDENTE")))))))))))</f>
        <v/>
      </c>
      <c r="D1387" s="4" t="n"/>
      <c r="E1387" s="5" t="n"/>
      <c r="F1387" s="5" t="n"/>
      <c r="G1387" s="5" t="n"/>
      <c r="H1387" s="5" t="n"/>
      <c r="I1387" s="5" t="n"/>
      <c r="J1387" s="6" t="n"/>
      <c r="K1387" s="6" t="n"/>
      <c r="L1387" s="7">
        <f>IF(OR(D1387="",N(J1387)=0),"",MIN(1,N(K1387)/J1387))</f>
        <v/>
      </c>
      <c r="M1387" s="5" t="n"/>
      <c r="N1387" s="5" t="n"/>
      <c r="O1387" s="5" t="n"/>
      <c r="P1387" s="5" t="n"/>
      <c r="Q1387" s="5" t="n"/>
      <c r="R1387" s="4" t="n"/>
      <c r="S1387" s="4" t="n"/>
      <c r="T1387" s="5" t="n"/>
      <c r="U1387" s="8">
        <f>IF(AND(V1387=1,D1387&lt;&gt;""),IF(D1387&gt;=corte,TODAY()-D1387,""),"")</f>
        <v/>
      </c>
      <c r="V1387" s="8">
        <f>IF(D1387="",0,IF(OR(AND(P1387&lt;&gt;"",S1387=""),AND(N(J1387)&gt;0,N(K1387)&lt;J1387),OR(M1387="PENDENTE",M1387="PARCIAL"),OR(N1387="PENDENTE",N1387="PARCIAL")),1,0))</f>
        <v/>
      </c>
      <c r="W1387" s="8">
        <f>IF(AND(V1387=1,D1387&lt;&gt;""),IF(D1387&gt;=corte,(B1387="CRÍTICO")*1E9+(100000-D1387)*10000+10000-ROW(),""),"")</f>
        <v/>
      </c>
      <c r="X1387" s="8">
        <f>IF(AND(V1387=1,D1387=pas_data,E1387=pas_turno),10000-ROW(),"")</f>
        <v/>
      </c>
    </row>
    <row r="1388">
      <c r="A1388" s="3">
        <f>IF(D1388="","","TT-"&amp;TEXT(ROW()-1,"00000"))</f>
        <v/>
      </c>
      <c r="B1388" s="3">
        <f>IF(D1388="","",IF(V1388=0,"CONCLUÍDO",IF(D1388&lt;corte,"HISTÓRICO",IF(OR(AND(ISNUMBER(R1388),R1388&lt;TODAY()),AND(OR(N1388="PENDENTE",N1388="PARCIAL"),D1388&lt;TODAY()-1)),"CRÍTICO",IF(OR(AND(P1388&lt;&gt;"",S1388=""),AND(N1388="REALIZADO",M1388="PENDENTE"),AND(ISNUMBER(R1388),R1388=TODAY())),"ATENÇÃO",IF(N(K1388)=0,"PENDENTE","EM ANDAMENTO"))))))</f>
        <v/>
      </c>
      <c r="C1388" s="3">
        <f>IF(D1388="","",IF(V1388=0,"🟢 OK",IF(D1388&lt;corte,"⚪ HISTÓRICO (sem baixa)",IF(AND(ISNUMBER(R1388),R1388&lt;TODAY()),"🔴 PRAZO VENCIDO",IF(AND(OR(N1388="PENDENTE",N1388="PARCIAL"),D1388&lt;TODAY()-1),"🔴 EMBARQUE ATRASADO",IF(AND(N1388="REALIZADO",M1388="PENDENTE"),"🟡 EMBARCADO SEM FATURAR",IF(AND(P1388&lt;&gt;"",S1388="",OR(Q1388="",R1388="")),"🟡 PENDÊNCIA SEM RESPONSÁVEL/PRAZO",IF(AND(ISNUMBER(R1388),R1388=TODAY()),"🟡 VENCE HOJE",IF(AND(P1388&lt;&gt;"",S1388=""),"🟡 PENDÊNCIA ABERTA",IF(AND(N(J1388)&gt;0,N(K1388)&lt;J1388),"🟡 FALTA EXECUTAR",IF(OR(M1388="PENDENTE",M1388="PARCIAL"),"🟡 FATURAMENTO PENDENTE","🟡 EMBARQUE PENDENTE")))))))))))</f>
        <v/>
      </c>
      <c r="D1388" s="4" t="n"/>
      <c r="E1388" s="5" t="n"/>
      <c r="F1388" s="5" t="n"/>
      <c r="G1388" s="5" t="n"/>
      <c r="H1388" s="5" t="n"/>
      <c r="I1388" s="5" t="n"/>
      <c r="J1388" s="6" t="n"/>
      <c r="K1388" s="6" t="n"/>
      <c r="L1388" s="7">
        <f>IF(OR(D1388="",N(J1388)=0),"",MIN(1,N(K1388)/J1388))</f>
        <v/>
      </c>
      <c r="M1388" s="5" t="n"/>
      <c r="N1388" s="5" t="n"/>
      <c r="O1388" s="5" t="n"/>
      <c r="P1388" s="5" t="n"/>
      <c r="Q1388" s="5" t="n"/>
      <c r="R1388" s="4" t="n"/>
      <c r="S1388" s="4" t="n"/>
      <c r="T1388" s="5" t="n"/>
      <c r="U1388" s="8">
        <f>IF(AND(V1388=1,D1388&lt;&gt;""),IF(D1388&gt;=corte,TODAY()-D1388,""),"")</f>
        <v/>
      </c>
      <c r="V1388" s="8">
        <f>IF(D1388="",0,IF(OR(AND(P1388&lt;&gt;"",S1388=""),AND(N(J1388)&gt;0,N(K1388)&lt;J1388),OR(M1388="PENDENTE",M1388="PARCIAL"),OR(N1388="PENDENTE",N1388="PARCIAL")),1,0))</f>
        <v/>
      </c>
      <c r="W1388" s="8">
        <f>IF(AND(V1388=1,D1388&lt;&gt;""),IF(D1388&gt;=corte,(B1388="CRÍTICO")*1E9+(100000-D1388)*10000+10000-ROW(),""),"")</f>
        <v/>
      </c>
      <c r="X1388" s="8">
        <f>IF(AND(V1388=1,D1388=pas_data,E1388=pas_turno),10000-ROW(),"")</f>
        <v/>
      </c>
    </row>
    <row r="1389">
      <c r="A1389" s="3">
        <f>IF(D1389="","","TT-"&amp;TEXT(ROW()-1,"00000"))</f>
        <v/>
      </c>
      <c r="B1389" s="3">
        <f>IF(D1389="","",IF(V1389=0,"CONCLUÍDO",IF(D1389&lt;corte,"HISTÓRICO",IF(OR(AND(ISNUMBER(R1389),R1389&lt;TODAY()),AND(OR(N1389="PENDENTE",N1389="PARCIAL"),D1389&lt;TODAY()-1)),"CRÍTICO",IF(OR(AND(P1389&lt;&gt;"",S1389=""),AND(N1389="REALIZADO",M1389="PENDENTE"),AND(ISNUMBER(R1389),R1389=TODAY())),"ATENÇÃO",IF(N(K1389)=0,"PENDENTE","EM ANDAMENTO"))))))</f>
        <v/>
      </c>
      <c r="C1389" s="3">
        <f>IF(D1389="","",IF(V1389=0,"🟢 OK",IF(D1389&lt;corte,"⚪ HISTÓRICO (sem baixa)",IF(AND(ISNUMBER(R1389),R1389&lt;TODAY()),"🔴 PRAZO VENCIDO",IF(AND(OR(N1389="PENDENTE",N1389="PARCIAL"),D1389&lt;TODAY()-1),"🔴 EMBARQUE ATRASADO",IF(AND(N1389="REALIZADO",M1389="PENDENTE"),"🟡 EMBARCADO SEM FATURAR",IF(AND(P1389&lt;&gt;"",S1389="",OR(Q1389="",R1389="")),"🟡 PENDÊNCIA SEM RESPONSÁVEL/PRAZO",IF(AND(ISNUMBER(R1389),R1389=TODAY()),"🟡 VENCE HOJE",IF(AND(P1389&lt;&gt;"",S1389=""),"🟡 PENDÊNCIA ABERTA",IF(AND(N(J1389)&gt;0,N(K1389)&lt;J1389),"🟡 FALTA EXECUTAR",IF(OR(M1389="PENDENTE",M1389="PARCIAL"),"🟡 FATURAMENTO PENDENTE","🟡 EMBARQUE PENDENTE")))))))))))</f>
        <v/>
      </c>
      <c r="D1389" s="4" t="n"/>
      <c r="E1389" s="5" t="n"/>
      <c r="F1389" s="5" t="n"/>
      <c r="G1389" s="5" t="n"/>
      <c r="H1389" s="5" t="n"/>
      <c r="I1389" s="5" t="n"/>
      <c r="J1389" s="6" t="n"/>
      <c r="K1389" s="6" t="n"/>
      <c r="L1389" s="7">
        <f>IF(OR(D1389="",N(J1389)=0),"",MIN(1,N(K1389)/J1389))</f>
        <v/>
      </c>
      <c r="M1389" s="5" t="n"/>
      <c r="N1389" s="5" t="n"/>
      <c r="O1389" s="5" t="n"/>
      <c r="P1389" s="5" t="n"/>
      <c r="Q1389" s="5" t="n"/>
      <c r="R1389" s="4" t="n"/>
      <c r="S1389" s="4" t="n"/>
      <c r="T1389" s="5" t="n"/>
      <c r="U1389" s="8">
        <f>IF(AND(V1389=1,D1389&lt;&gt;""),IF(D1389&gt;=corte,TODAY()-D1389,""),"")</f>
        <v/>
      </c>
      <c r="V1389" s="8">
        <f>IF(D1389="",0,IF(OR(AND(P1389&lt;&gt;"",S1389=""),AND(N(J1389)&gt;0,N(K1389)&lt;J1389),OR(M1389="PENDENTE",M1389="PARCIAL"),OR(N1389="PENDENTE",N1389="PARCIAL")),1,0))</f>
        <v/>
      </c>
      <c r="W1389" s="8">
        <f>IF(AND(V1389=1,D1389&lt;&gt;""),IF(D1389&gt;=corte,(B1389="CRÍTICO")*1E9+(100000-D1389)*10000+10000-ROW(),""),"")</f>
        <v/>
      </c>
      <c r="X1389" s="8">
        <f>IF(AND(V1389=1,D1389=pas_data,E1389=pas_turno),10000-ROW(),"")</f>
        <v/>
      </c>
    </row>
    <row r="1390">
      <c r="A1390" s="3">
        <f>IF(D1390="","","TT-"&amp;TEXT(ROW()-1,"00000"))</f>
        <v/>
      </c>
      <c r="B1390" s="3">
        <f>IF(D1390="","",IF(V1390=0,"CONCLUÍDO",IF(D1390&lt;corte,"HISTÓRICO",IF(OR(AND(ISNUMBER(R1390),R1390&lt;TODAY()),AND(OR(N1390="PENDENTE",N1390="PARCIAL"),D1390&lt;TODAY()-1)),"CRÍTICO",IF(OR(AND(P1390&lt;&gt;"",S1390=""),AND(N1390="REALIZADO",M1390="PENDENTE"),AND(ISNUMBER(R1390),R1390=TODAY())),"ATENÇÃO",IF(N(K1390)=0,"PENDENTE","EM ANDAMENTO"))))))</f>
        <v/>
      </c>
      <c r="C1390" s="3">
        <f>IF(D1390="","",IF(V1390=0,"🟢 OK",IF(D1390&lt;corte,"⚪ HISTÓRICO (sem baixa)",IF(AND(ISNUMBER(R1390),R1390&lt;TODAY()),"🔴 PRAZO VENCIDO",IF(AND(OR(N1390="PENDENTE",N1390="PARCIAL"),D1390&lt;TODAY()-1),"🔴 EMBARQUE ATRASADO",IF(AND(N1390="REALIZADO",M1390="PENDENTE"),"🟡 EMBARCADO SEM FATURAR",IF(AND(P1390&lt;&gt;"",S1390="",OR(Q1390="",R1390="")),"🟡 PENDÊNCIA SEM RESPONSÁVEL/PRAZO",IF(AND(ISNUMBER(R1390),R1390=TODAY()),"🟡 VENCE HOJE",IF(AND(P1390&lt;&gt;"",S1390=""),"🟡 PENDÊNCIA ABERTA",IF(AND(N(J1390)&gt;0,N(K1390)&lt;J1390),"🟡 FALTA EXECUTAR",IF(OR(M1390="PENDENTE",M1390="PARCIAL"),"🟡 FATURAMENTO PENDENTE","🟡 EMBARQUE PENDENTE")))))))))))</f>
        <v/>
      </c>
      <c r="D1390" s="4" t="n"/>
      <c r="E1390" s="5" t="n"/>
      <c r="F1390" s="5" t="n"/>
      <c r="G1390" s="5" t="n"/>
      <c r="H1390" s="5" t="n"/>
      <c r="I1390" s="5" t="n"/>
      <c r="J1390" s="6" t="n"/>
      <c r="K1390" s="6" t="n"/>
      <c r="L1390" s="7">
        <f>IF(OR(D1390="",N(J1390)=0),"",MIN(1,N(K1390)/J1390))</f>
        <v/>
      </c>
      <c r="M1390" s="5" t="n"/>
      <c r="N1390" s="5" t="n"/>
      <c r="O1390" s="5" t="n"/>
      <c r="P1390" s="5" t="n"/>
      <c r="Q1390" s="5" t="n"/>
      <c r="R1390" s="4" t="n"/>
      <c r="S1390" s="4" t="n"/>
      <c r="T1390" s="5" t="n"/>
      <c r="U1390" s="8">
        <f>IF(AND(V1390=1,D1390&lt;&gt;""),IF(D1390&gt;=corte,TODAY()-D1390,""),"")</f>
        <v/>
      </c>
      <c r="V1390" s="8">
        <f>IF(D1390="",0,IF(OR(AND(P1390&lt;&gt;"",S1390=""),AND(N(J1390)&gt;0,N(K1390)&lt;J1390),OR(M1390="PENDENTE",M1390="PARCIAL"),OR(N1390="PENDENTE",N1390="PARCIAL")),1,0))</f>
        <v/>
      </c>
      <c r="W1390" s="8">
        <f>IF(AND(V1390=1,D1390&lt;&gt;""),IF(D1390&gt;=corte,(B1390="CRÍTICO")*1E9+(100000-D1390)*10000+10000-ROW(),""),"")</f>
        <v/>
      </c>
      <c r="X1390" s="8">
        <f>IF(AND(V1390=1,D1390=pas_data,E1390=pas_turno),10000-ROW(),"")</f>
        <v/>
      </c>
    </row>
    <row r="1391">
      <c r="A1391" s="3">
        <f>IF(D1391="","","TT-"&amp;TEXT(ROW()-1,"00000"))</f>
        <v/>
      </c>
      <c r="B1391" s="3">
        <f>IF(D1391="","",IF(V1391=0,"CONCLUÍDO",IF(D1391&lt;corte,"HISTÓRICO",IF(OR(AND(ISNUMBER(R1391),R1391&lt;TODAY()),AND(OR(N1391="PENDENTE",N1391="PARCIAL"),D1391&lt;TODAY()-1)),"CRÍTICO",IF(OR(AND(P1391&lt;&gt;"",S1391=""),AND(N1391="REALIZADO",M1391="PENDENTE"),AND(ISNUMBER(R1391),R1391=TODAY())),"ATENÇÃO",IF(N(K1391)=0,"PENDENTE","EM ANDAMENTO"))))))</f>
        <v/>
      </c>
      <c r="C1391" s="3">
        <f>IF(D1391="","",IF(V1391=0,"🟢 OK",IF(D1391&lt;corte,"⚪ HISTÓRICO (sem baixa)",IF(AND(ISNUMBER(R1391),R1391&lt;TODAY()),"🔴 PRAZO VENCIDO",IF(AND(OR(N1391="PENDENTE",N1391="PARCIAL"),D1391&lt;TODAY()-1),"🔴 EMBARQUE ATRASADO",IF(AND(N1391="REALIZADO",M1391="PENDENTE"),"🟡 EMBARCADO SEM FATURAR",IF(AND(P1391&lt;&gt;"",S1391="",OR(Q1391="",R1391="")),"🟡 PENDÊNCIA SEM RESPONSÁVEL/PRAZO",IF(AND(ISNUMBER(R1391),R1391=TODAY()),"🟡 VENCE HOJE",IF(AND(P1391&lt;&gt;"",S1391=""),"🟡 PENDÊNCIA ABERTA",IF(AND(N(J1391)&gt;0,N(K1391)&lt;J1391),"🟡 FALTA EXECUTAR",IF(OR(M1391="PENDENTE",M1391="PARCIAL"),"🟡 FATURAMENTO PENDENTE","🟡 EMBARQUE PENDENTE")))))))))))</f>
        <v/>
      </c>
      <c r="D1391" s="4" t="n"/>
      <c r="E1391" s="5" t="n"/>
      <c r="F1391" s="5" t="n"/>
      <c r="G1391" s="5" t="n"/>
      <c r="H1391" s="5" t="n"/>
      <c r="I1391" s="5" t="n"/>
      <c r="J1391" s="6" t="n"/>
      <c r="K1391" s="6" t="n"/>
      <c r="L1391" s="7">
        <f>IF(OR(D1391="",N(J1391)=0),"",MIN(1,N(K1391)/J1391))</f>
        <v/>
      </c>
      <c r="M1391" s="5" t="n"/>
      <c r="N1391" s="5" t="n"/>
      <c r="O1391" s="5" t="n"/>
      <c r="P1391" s="5" t="n"/>
      <c r="Q1391" s="5" t="n"/>
      <c r="R1391" s="4" t="n"/>
      <c r="S1391" s="4" t="n"/>
      <c r="T1391" s="5" t="n"/>
      <c r="U1391" s="8">
        <f>IF(AND(V1391=1,D1391&lt;&gt;""),IF(D1391&gt;=corte,TODAY()-D1391,""),"")</f>
        <v/>
      </c>
      <c r="V1391" s="8">
        <f>IF(D1391="",0,IF(OR(AND(P1391&lt;&gt;"",S1391=""),AND(N(J1391)&gt;0,N(K1391)&lt;J1391),OR(M1391="PENDENTE",M1391="PARCIAL"),OR(N1391="PENDENTE",N1391="PARCIAL")),1,0))</f>
        <v/>
      </c>
      <c r="W1391" s="8">
        <f>IF(AND(V1391=1,D1391&lt;&gt;""),IF(D1391&gt;=corte,(B1391="CRÍTICO")*1E9+(100000-D1391)*10000+10000-ROW(),""),"")</f>
        <v/>
      </c>
      <c r="X1391" s="8">
        <f>IF(AND(V1391=1,D1391=pas_data,E1391=pas_turno),10000-ROW(),"")</f>
        <v/>
      </c>
    </row>
    <row r="1392">
      <c r="A1392" s="3">
        <f>IF(D1392="","","TT-"&amp;TEXT(ROW()-1,"00000"))</f>
        <v/>
      </c>
      <c r="B1392" s="3">
        <f>IF(D1392="","",IF(V1392=0,"CONCLUÍDO",IF(D1392&lt;corte,"HISTÓRICO",IF(OR(AND(ISNUMBER(R1392),R1392&lt;TODAY()),AND(OR(N1392="PENDENTE",N1392="PARCIAL"),D1392&lt;TODAY()-1)),"CRÍTICO",IF(OR(AND(P1392&lt;&gt;"",S1392=""),AND(N1392="REALIZADO",M1392="PENDENTE"),AND(ISNUMBER(R1392),R1392=TODAY())),"ATENÇÃO",IF(N(K1392)=0,"PENDENTE","EM ANDAMENTO"))))))</f>
        <v/>
      </c>
      <c r="C1392" s="3">
        <f>IF(D1392="","",IF(V1392=0,"🟢 OK",IF(D1392&lt;corte,"⚪ HISTÓRICO (sem baixa)",IF(AND(ISNUMBER(R1392),R1392&lt;TODAY()),"🔴 PRAZO VENCIDO",IF(AND(OR(N1392="PENDENTE",N1392="PARCIAL"),D1392&lt;TODAY()-1),"🔴 EMBARQUE ATRASADO",IF(AND(N1392="REALIZADO",M1392="PENDENTE"),"🟡 EMBARCADO SEM FATURAR",IF(AND(P1392&lt;&gt;"",S1392="",OR(Q1392="",R1392="")),"🟡 PENDÊNCIA SEM RESPONSÁVEL/PRAZO",IF(AND(ISNUMBER(R1392),R1392=TODAY()),"🟡 VENCE HOJE",IF(AND(P1392&lt;&gt;"",S1392=""),"🟡 PENDÊNCIA ABERTA",IF(AND(N(J1392)&gt;0,N(K1392)&lt;J1392),"🟡 FALTA EXECUTAR",IF(OR(M1392="PENDENTE",M1392="PARCIAL"),"🟡 FATURAMENTO PENDENTE","🟡 EMBARQUE PENDENTE")))))))))))</f>
        <v/>
      </c>
      <c r="D1392" s="4" t="n"/>
      <c r="E1392" s="5" t="n"/>
      <c r="F1392" s="5" t="n"/>
      <c r="G1392" s="5" t="n"/>
      <c r="H1392" s="5" t="n"/>
      <c r="I1392" s="5" t="n"/>
      <c r="J1392" s="6" t="n"/>
      <c r="K1392" s="6" t="n"/>
      <c r="L1392" s="7">
        <f>IF(OR(D1392="",N(J1392)=0),"",MIN(1,N(K1392)/J1392))</f>
        <v/>
      </c>
      <c r="M1392" s="5" t="n"/>
      <c r="N1392" s="5" t="n"/>
      <c r="O1392" s="5" t="n"/>
      <c r="P1392" s="5" t="n"/>
      <c r="Q1392" s="5" t="n"/>
      <c r="R1392" s="4" t="n"/>
      <c r="S1392" s="4" t="n"/>
      <c r="T1392" s="5" t="n"/>
      <c r="U1392" s="8">
        <f>IF(AND(V1392=1,D1392&lt;&gt;""),IF(D1392&gt;=corte,TODAY()-D1392,""),"")</f>
        <v/>
      </c>
      <c r="V1392" s="8">
        <f>IF(D1392="",0,IF(OR(AND(P1392&lt;&gt;"",S1392=""),AND(N(J1392)&gt;0,N(K1392)&lt;J1392),OR(M1392="PENDENTE",M1392="PARCIAL"),OR(N1392="PENDENTE",N1392="PARCIAL")),1,0))</f>
        <v/>
      </c>
      <c r="W1392" s="8">
        <f>IF(AND(V1392=1,D1392&lt;&gt;""),IF(D1392&gt;=corte,(B1392="CRÍTICO")*1E9+(100000-D1392)*10000+10000-ROW(),""),"")</f>
        <v/>
      </c>
      <c r="X1392" s="8">
        <f>IF(AND(V1392=1,D1392=pas_data,E1392=pas_turno),10000-ROW(),"")</f>
        <v/>
      </c>
    </row>
    <row r="1393">
      <c r="A1393" s="3">
        <f>IF(D1393="","","TT-"&amp;TEXT(ROW()-1,"00000"))</f>
        <v/>
      </c>
      <c r="B1393" s="3">
        <f>IF(D1393="","",IF(V1393=0,"CONCLUÍDO",IF(D1393&lt;corte,"HISTÓRICO",IF(OR(AND(ISNUMBER(R1393),R1393&lt;TODAY()),AND(OR(N1393="PENDENTE",N1393="PARCIAL"),D1393&lt;TODAY()-1)),"CRÍTICO",IF(OR(AND(P1393&lt;&gt;"",S1393=""),AND(N1393="REALIZADO",M1393="PENDENTE"),AND(ISNUMBER(R1393),R1393=TODAY())),"ATENÇÃO",IF(N(K1393)=0,"PENDENTE","EM ANDAMENTO"))))))</f>
        <v/>
      </c>
      <c r="C1393" s="3">
        <f>IF(D1393="","",IF(V1393=0,"🟢 OK",IF(D1393&lt;corte,"⚪ HISTÓRICO (sem baixa)",IF(AND(ISNUMBER(R1393),R1393&lt;TODAY()),"🔴 PRAZO VENCIDO",IF(AND(OR(N1393="PENDENTE",N1393="PARCIAL"),D1393&lt;TODAY()-1),"🔴 EMBARQUE ATRASADO",IF(AND(N1393="REALIZADO",M1393="PENDENTE"),"🟡 EMBARCADO SEM FATURAR",IF(AND(P1393&lt;&gt;"",S1393="",OR(Q1393="",R1393="")),"🟡 PENDÊNCIA SEM RESPONSÁVEL/PRAZO",IF(AND(ISNUMBER(R1393),R1393=TODAY()),"🟡 VENCE HOJE",IF(AND(P1393&lt;&gt;"",S1393=""),"🟡 PENDÊNCIA ABERTA",IF(AND(N(J1393)&gt;0,N(K1393)&lt;J1393),"🟡 FALTA EXECUTAR",IF(OR(M1393="PENDENTE",M1393="PARCIAL"),"🟡 FATURAMENTO PENDENTE","🟡 EMBARQUE PENDENTE")))))))))))</f>
        <v/>
      </c>
      <c r="D1393" s="4" t="n"/>
      <c r="E1393" s="5" t="n"/>
      <c r="F1393" s="5" t="n"/>
      <c r="G1393" s="5" t="n"/>
      <c r="H1393" s="5" t="n"/>
      <c r="I1393" s="5" t="n"/>
      <c r="J1393" s="6" t="n"/>
      <c r="K1393" s="6" t="n"/>
      <c r="L1393" s="7">
        <f>IF(OR(D1393="",N(J1393)=0),"",MIN(1,N(K1393)/J1393))</f>
        <v/>
      </c>
      <c r="M1393" s="5" t="n"/>
      <c r="N1393" s="5" t="n"/>
      <c r="O1393" s="5" t="n"/>
      <c r="P1393" s="5" t="n"/>
      <c r="Q1393" s="5" t="n"/>
      <c r="R1393" s="4" t="n"/>
      <c r="S1393" s="4" t="n"/>
      <c r="T1393" s="5" t="n"/>
      <c r="U1393" s="8">
        <f>IF(AND(V1393=1,D1393&lt;&gt;""),IF(D1393&gt;=corte,TODAY()-D1393,""),"")</f>
        <v/>
      </c>
      <c r="V1393" s="8">
        <f>IF(D1393="",0,IF(OR(AND(P1393&lt;&gt;"",S1393=""),AND(N(J1393)&gt;0,N(K1393)&lt;J1393),OR(M1393="PENDENTE",M1393="PARCIAL"),OR(N1393="PENDENTE",N1393="PARCIAL")),1,0))</f>
        <v/>
      </c>
      <c r="W1393" s="8">
        <f>IF(AND(V1393=1,D1393&lt;&gt;""),IF(D1393&gt;=corte,(B1393="CRÍTICO")*1E9+(100000-D1393)*10000+10000-ROW(),""),"")</f>
        <v/>
      </c>
      <c r="X1393" s="8">
        <f>IF(AND(V1393=1,D1393=pas_data,E1393=pas_turno),10000-ROW(),"")</f>
        <v/>
      </c>
    </row>
    <row r="1394">
      <c r="A1394" s="3">
        <f>IF(D1394="","","TT-"&amp;TEXT(ROW()-1,"00000"))</f>
        <v/>
      </c>
      <c r="B1394" s="3">
        <f>IF(D1394="","",IF(V1394=0,"CONCLUÍDO",IF(D1394&lt;corte,"HISTÓRICO",IF(OR(AND(ISNUMBER(R1394),R1394&lt;TODAY()),AND(OR(N1394="PENDENTE",N1394="PARCIAL"),D1394&lt;TODAY()-1)),"CRÍTICO",IF(OR(AND(P1394&lt;&gt;"",S1394=""),AND(N1394="REALIZADO",M1394="PENDENTE"),AND(ISNUMBER(R1394),R1394=TODAY())),"ATENÇÃO",IF(N(K1394)=0,"PENDENTE","EM ANDAMENTO"))))))</f>
        <v/>
      </c>
      <c r="C1394" s="3">
        <f>IF(D1394="","",IF(V1394=0,"🟢 OK",IF(D1394&lt;corte,"⚪ HISTÓRICO (sem baixa)",IF(AND(ISNUMBER(R1394),R1394&lt;TODAY()),"🔴 PRAZO VENCIDO",IF(AND(OR(N1394="PENDENTE",N1394="PARCIAL"),D1394&lt;TODAY()-1),"🔴 EMBARQUE ATRASADO",IF(AND(N1394="REALIZADO",M1394="PENDENTE"),"🟡 EMBARCADO SEM FATURAR",IF(AND(P1394&lt;&gt;"",S1394="",OR(Q1394="",R1394="")),"🟡 PENDÊNCIA SEM RESPONSÁVEL/PRAZO",IF(AND(ISNUMBER(R1394),R1394=TODAY()),"🟡 VENCE HOJE",IF(AND(P1394&lt;&gt;"",S1394=""),"🟡 PENDÊNCIA ABERTA",IF(AND(N(J1394)&gt;0,N(K1394)&lt;J1394),"🟡 FALTA EXECUTAR",IF(OR(M1394="PENDENTE",M1394="PARCIAL"),"🟡 FATURAMENTO PENDENTE","🟡 EMBARQUE PENDENTE")))))))))))</f>
        <v/>
      </c>
      <c r="D1394" s="4" t="n"/>
      <c r="E1394" s="5" t="n"/>
      <c r="F1394" s="5" t="n"/>
      <c r="G1394" s="5" t="n"/>
      <c r="H1394" s="5" t="n"/>
      <c r="I1394" s="5" t="n"/>
      <c r="J1394" s="6" t="n"/>
      <c r="K1394" s="6" t="n"/>
      <c r="L1394" s="7">
        <f>IF(OR(D1394="",N(J1394)=0),"",MIN(1,N(K1394)/J1394))</f>
        <v/>
      </c>
      <c r="M1394" s="5" t="n"/>
      <c r="N1394" s="5" t="n"/>
      <c r="O1394" s="5" t="n"/>
      <c r="P1394" s="5" t="n"/>
      <c r="Q1394" s="5" t="n"/>
      <c r="R1394" s="4" t="n"/>
      <c r="S1394" s="4" t="n"/>
      <c r="T1394" s="5" t="n"/>
      <c r="U1394" s="8">
        <f>IF(AND(V1394=1,D1394&lt;&gt;""),IF(D1394&gt;=corte,TODAY()-D1394,""),"")</f>
        <v/>
      </c>
      <c r="V1394" s="8">
        <f>IF(D1394="",0,IF(OR(AND(P1394&lt;&gt;"",S1394=""),AND(N(J1394)&gt;0,N(K1394)&lt;J1394),OR(M1394="PENDENTE",M1394="PARCIAL"),OR(N1394="PENDENTE",N1394="PARCIAL")),1,0))</f>
        <v/>
      </c>
      <c r="W1394" s="8">
        <f>IF(AND(V1394=1,D1394&lt;&gt;""),IF(D1394&gt;=corte,(B1394="CRÍTICO")*1E9+(100000-D1394)*10000+10000-ROW(),""),"")</f>
        <v/>
      </c>
      <c r="X1394" s="8">
        <f>IF(AND(V1394=1,D1394=pas_data,E1394=pas_turno),10000-ROW(),"")</f>
        <v/>
      </c>
    </row>
    <row r="1395">
      <c r="A1395" s="3">
        <f>IF(D1395="","","TT-"&amp;TEXT(ROW()-1,"00000"))</f>
        <v/>
      </c>
      <c r="B1395" s="3">
        <f>IF(D1395="","",IF(V1395=0,"CONCLUÍDO",IF(D1395&lt;corte,"HISTÓRICO",IF(OR(AND(ISNUMBER(R1395),R1395&lt;TODAY()),AND(OR(N1395="PENDENTE",N1395="PARCIAL"),D1395&lt;TODAY()-1)),"CRÍTICO",IF(OR(AND(P1395&lt;&gt;"",S1395=""),AND(N1395="REALIZADO",M1395="PENDENTE"),AND(ISNUMBER(R1395),R1395=TODAY())),"ATENÇÃO",IF(N(K1395)=0,"PENDENTE","EM ANDAMENTO"))))))</f>
        <v/>
      </c>
      <c r="C1395" s="3">
        <f>IF(D1395="","",IF(V1395=0,"🟢 OK",IF(D1395&lt;corte,"⚪ HISTÓRICO (sem baixa)",IF(AND(ISNUMBER(R1395),R1395&lt;TODAY()),"🔴 PRAZO VENCIDO",IF(AND(OR(N1395="PENDENTE",N1395="PARCIAL"),D1395&lt;TODAY()-1),"🔴 EMBARQUE ATRASADO",IF(AND(N1395="REALIZADO",M1395="PENDENTE"),"🟡 EMBARCADO SEM FATURAR",IF(AND(P1395&lt;&gt;"",S1395="",OR(Q1395="",R1395="")),"🟡 PENDÊNCIA SEM RESPONSÁVEL/PRAZO",IF(AND(ISNUMBER(R1395),R1395=TODAY()),"🟡 VENCE HOJE",IF(AND(P1395&lt;&gt;"",S1395=""),"🟡 PENDÊNCIA ABERTA",IF(AND(N(J1395)&gt;0,N(K1395)&lt;J1395),"🟡 FALTA EXECUTAR",IF(OR(M1395="PENDENTE",M1395="PARCIAL"),"🟡 FATURAMENTO PENDENTE","🟡 EMBARQUE PENDENTE")))))))))))</f>
        <v/>
      </c>
      <c r="D1395" s="4" t="n"/>
      <c r="E1395" s="5" t="n"/>
      <c r="F1395" s="5" t="n"/>
      <c r="G1395" s="5" t="n"/>
      <c r="H1395" s="5" t="n"/>
      <c r="I1395" s="5" t="n"/>
      <c r="J1395" s="6" t="n"/>
      <c r="K1395" s="6" t="n"/>
      <c r="L1395" s="7">
        <f>IF(OR(D1395="",N(J1395)=0),"",MIN(1,N(K1395)/J1395))</f>
        <v/>
      </c>
      <c r="M1395" s="5" t="n"/>
      <c r="N1395" s="5" t="n"/>
      <c r="O1395" s="5" t="n"/>
      <c r="P1395" s="5" t="n"/>
      <c r="Q1395" s="5" t="n"/>
      <c r="R1395" s="4" t="n"/>
      <c r="S1395" s="4" t="n"/>
      <c r="T1395" s="5" t="n"/>
      <c r="U1395" s="8">
        <f>IF(AND(V1395=1,D1395&lt;&gt;""),IF(D1395&gt;=corte,TODAY()-D1395,""),"")</f>
        <v/>
      </c>
      <c r="V1395" s="8">
        <f>IF(D1395="",0,IF(OR(AND(P1395&lt;&gt;"",S1395=""),AND(N(J1395)&gt;0,N(K1395)&lt;J1395),OR(M1395="PENDENTE",M1395="PARCIAL"),OR(N1395="PENDENTE",N1395="PARCIAL")),1,0))</f>
        <v/>
      </c>
      <c r="W1395" s="8">
        <f>IF(AND(V1395=1,D1395&lt;&gt;""),IF(D1395&gt;=corte,(B1395="CRÍTICO")*1E9+(100000-D1395)*10000+10000-ROW(),""),"")</f>
        <v/>
      </c>
      <c r="X1395" s="8">
        <f>IF(AND(V1395=1,D1395=pas_data,E1395=pas_turno),10000-ROW(),"")</f>
        <v/>
      </c>
    </row>
    <row r="1396">
      <c r="A1396" s="3">
        <f>IF(D1396="","","TT-"&amp;TEXT(ROW()-1,"00000"))</f>
        <v/>
      </c>
      <c r="B1396" s="3">
        <f>IF(D1396="","",IF(V1396=0,"CONCLUÍDO",IF(D1396&lt;corte,"HISTÓRICO",IF(OR(AND(ISNUMBER(R1396),R1396&lt;TODAY()),AND(OR(N1396="PENDENTE",N1396="PARCIAL"),D1396&lt;TODAY()-1)),"CRÍTICO",IF(OR(AND(P1396&lt;&gt;"",S1396=""),AND(N1396="REALIZADO",M1396="PENDENTE"),AND(ISNUMBER(R1396),R1396=TODAY())),"ATENÇÃO",IF(N(K1396)=0,"PENDENTE","EM ANDAMENTO"))))))</f>
        <v/>
      </c>
      <c r="C1396" s="3">
        <f>IF(D1396="","",IF(V1396=0,"🟢 OK",IF(D1396&lt;corte,"⚪ HISTÓRICO (sem baixa)",IF(AND(ISNUMBER(R1396),R1396&lt;TODAY()),"🔴 PRAZO VENCIDO",IF(AND(OR(N1396="PENDENTE",N1396="PARCIAL"),D1396&lt;TODAY()-1),"🔴 EMBARQUE ATRASADO",IF(AND(N1396="REALIZADO",M1396="PENDENTE"),"🟡 EMBARCADO SEM FATURAR",IF(AND(P1396&lt;&gt;"",S1396="",OR(Q1396="",R1396="")),"🟡 PENDÊNCIA SEM RESPONSÁVEL/PRAZO",IF(AND(ISNUMBER(R1396),R1396=TODAY()),"🟡 VENCE HOJE",IF(AND(P1396&lt;&gt;"",S1396=""),"🟡 PENDÊNCIA ABERTA",IF(AND(N(J1396)&gt;0,N(K1396)&lt;J1396),"🟡 FALTA EXECUTAR",IF(OR(M1396="PENDENTE",M1396="PARCIAL"),"🟡 FATURAMENTO PENDENTE","🟡 EMBARQUE PENDENTE")))))))))))</f>
        <v/>
      </c>
      <c r="D1396" s="4" t="n"/>
      <c r="E1396" s="5" t="n"/>
      <c r="F1396" s="5" t="n"/>
      <c r="G1396" s="5" t="n"/>
      <c r="H1396" s="5" t="n"/>
      <c r="I1396" s="5" t="n"/>
      <c r="J1396" s="6" t="n"/>
      <c r="K1396" s="6" t="n"/>
      <c r="L1396" s="7">
        <f>IF(OR(D1396="",N(J1396)=0),"",MIN(1,N(K1396)/J1396))</f>
        <v/>
      </c>
      <c r="M1396" s="5" t="n"/>
      <c r="N1396" s="5" t="n"/>
      <c r="O1396" s="5" t="n"/>
      <c r="P1396" s="5" t="n"/>
      <c r="Q1396" s="5" t="n"/>
      <c r="R1396" s="4" t="n"/>
      <c r="S1396" s="4" t="n"/>
      <c r="T1396" s="5" t="n"/>
      <c r="U1396" s="8">
        <f>IF(AND(V1396=1,D1396&lt;&gt;""),IF(D1396&gt;=corte,TODAY()-D1396,""),"")</f>
        <v/>
      </c>
      <c r="V1396" s="8">
        <f>IF(D1396="",0,IF(OR(AND(P1396&lt;&gt;"",S1396=""),AND(N(J1396)&gt;0,N(K1396)&lt;J1396),OR(M1396="PENDENTE",M1396="PARCIAL"),OR(N1396="PENDENTE",N1396="PARCIAL")),1,0))</f>
        <v/>
      </c>
      <c r="W1396" s="8">
        <f>IF(AND(V1396=1,D1396&lt;&gt;""),IF(D1396&gt;=corte,(B1396="CRÍTICO")*1E9+(100000-D1396)*10000+10000-ROW(),""),"")</f>
        <v/>
      </c>
      <c r="X1396" s="8">
        <f>IF(AND(V1396=1,D1396=pas_data,E1396=pas_turno),10000-ROW(),"")</f>
        <v/>
      </c>
    </row>
    <row r="1397">
      <c r="A1397" s="3">
        <f>IF(D1397="","","TT-"&amp;TEXT(ROW()-1,"00000"))</f>
        <v/>
      </c>
      <c r="B1397" s="3">
        <f>IF(D1397="","",IF(V1397=0,"CONCLUÍDO",IF(D1397&lt;corte,"HISTÓRICO",IF(OR(AND(ISNUMBER(R1397),R1397&lt;TODAY()),AND(OR(N1397="PENDENTE",N1397="PARCIAL"),D1397&lt;TODAY()-1)),"CRÍTICO",IF(OR(AND(P1397&lt;&gt;"",S1397=""),AND(N1397="REALIZADO",M1397="PENDENTE"),AND(ISNUMBER(R1397),R1397=TODAY())),"ATENÇÃO",IF(N(K1397)=0,"PENDENTE","EM ANDAMENTO"))))))</f>
        <v/>
      </c>
      <c r="C1397" s="3">
        <f>IF(D1397="","",IF(V1397=0,"🟢 OK",IF(D1397&lt;corte,"⚪ HISTÓRICO (sem baixa)",IF(AND(ISNUMBER(R1397),R1397&lt;TODAY()),"🔴 PRAZO VENCIDO",IF(AND(OR(N1397="PENDENTE",N1397="PARCIAL"),D1397&lt;TODAY()-1),"🔴 EMBARQUE ATRASADO",IF(AND(N1397="REALIZADO",M1397="PENDENTE"),"🟡 EMBARCADO SEM FATURAR",IF(AND(P1397&lt;&gt;"",S1397="",OR(Q1397="",R1397="")),"🟡 PENDÊNCIA SEM RESPONSÁVEL/PRAZO",IF(AND(ISNUMBER(R1397),R1397=TODAY()),"🟡 VENCE HOJE",IF(AND(P1397&lt;&gt;"",S1397=""),"🟡 PENDÊNCIA ABERTA",IF(AND(N(J1397)&gt;0,N(K1397)&lt;J1397),"🟡 FALTA EXECUTAR",IF(OR(M1397="PENDENTE",M1397="PARCIAL"),"🟡 FATURAMENTO PENDENTE","🟡 EMBARQUE PENDENTE")))))))))))</f>
        <v/>
      </c>
      <c r="D1397" s="4" t="n"/>
      <c r="E1397" s="5" t="n"/>
      <c r="F1397" s="5" t="n"/>
      <c r="G1397" s="5" t="n"/>
      <c r="H1397" s="5" t="n"/>
      <c r="I1397" s="5" t="n"/>
      <c r="J1397" s="6" t="n"/>
      <c r="K1397" s="6" t="n"/>
      <c r="L1397" s="7">
        <f>IF(OR(D1397="",N(J1397)=0),"",MIN(1,N(K1397)/J1397))</f>
        <v/>
      </c>
      <c r="M1397" s="5" t="n"/>
      <c r="N1397" s="5" t="n"/>
      <c r="O1397" s="5" t="n"/>
      <c r="P1397" s="5" t="n"/>
      <c r="Q1397" s="5" t="n"/>
      <c r="R1397" s="4" t="n"/>
      <c r="S1397" s="4" t="n"/>
      <c r="T1397" s="5" t="n"/>
      <c r="U1397" s="8">
        <f>IF(AND(V1397=1,D1397&lt;&gt;""),IF(D1397&gt;=corte,TODAY()-D1397,""),"")</f>
        <v/>
      </c>
      <c r="V1397" s="8">
        <f>IF(D1397="",0,IF(OR(AND(P1397&lt;&gt;"",S1397=""),AND(N(J1397)&gt;0,N(K1397)&lt;J1397),OR(M1397="PENDENTE",M1397="PARCIAL"),OR(N1397="PENDENTE",N1397="PARCIAL")),1,0))</f>
        <v/>
      </c>
      <c r="W1397" s="8">
        <f>IF(AND(V1397=1,D1397&lt;&gt;""),IF(D1397&gt;=corte,(B1397="CRÍTICO")*1E9+(100000-D1397)*10000+10000-ROW(),""),"")</f>
        <v/>
      </c>
      <c r="X1397" s="8">
        <f>IF(AND(V1397=1,D1397=pas_data,E1397=pas_turno),10000-ROW(),"")</f>
        <v/>
      </c>
    </row>
    <row r="1398">
      <c r="A1398" s="3">
        <f>IF(D1398="","","TT-"&amp;TEXT(ROW()-1,"00000"))</f>
        <v/>
      </c>
      <c r="B1398" s="3">
        <f>IF(D1398="","",IF(V1398=0,"CONCLUÍDO",IF(D1398&lt;corte,"HISTÓRICO",IF(OR(AND(ISNUMBER(R1398),R1398&lt;TODAY()),AND(OR(N1398="PENDENTE",N1398="PARCIAL"),D1398&lt;TODAY()-1)),"CRÍTICO",IF(OR(AND(P1398&lt;&gt;"",S1398=""),AND(N1398="REALIZADO",M1398="PENDENTE"),AND(ISNUMBER(R1398),R1398=TODAY())),"ATENÇÃO",IF(N(K1398)=0,"PENDENTE","EM ANDAMENTO"))))))</f>
        <v/>
      </c>
      <c r="C1398" s="3">
        <f>IF(D1398="","",IF(V1398=0,"🟢 OK",IF(D1398&lt;corte,"⚪ HISTÓRICO (sem baixa)",IF(AND(ISNUMBER(R1398),R1398&lt;TODAY()),"🔴 PRAZO VENCIDO",IF(AND(OR(N1398="PENDENTE",N1398="PARCIAL"),D1398&lt;TODAY()-1),"🔴 EMBARQUE ATRASADO",IF(AND(N1398="REALIZADO",M1398="PENDENTE"),"🟡 EMBARCADO SEM FATURAR",IF(AND(P1398&lt;&gt;"",S1398="",OR(Q1398="",R1398="")),"🟡 PENDÊNCIA SEM RESPONSÁVEL/PRAZO",IF(AND(ISNUMBER(R1398),R1398=TODAY()),"🟡 VENCE HOJE",IF(AND(P1398&lt;&gt;"",S1398=""),"🟡 PENDÊNCIA ABERTA",IF(AND(N(J1398)&gt;0,N(K1398)&lt;J1398),"🟡 FALTA EXECUTAR",IF(OR(M1398="PENDENTE",M1398="PARCIAL"),"🟡 FATURAMENTO PENDENTE","🟡 EMBARQUE PENDENTE")))))))))))</f>
        <v/>
      </c>
      <c r="D1398" s="4" t="n"/>
      <c r="E1398" s="5" t="n"/>
      <c r="F1398" s="5" t="n"/>
      <c r="G1398" s="5" t="n"/>
      <c r="H1398" s="5" t="n"/>
      <c r="I1398" s="5" t="n"/>
      <c r="J1398" s="6" t="n"/>
      <c r="K1398" s="6" t="n"/>
      <c r="L1398" s="7">
        <f>IF(OR(D1398="",N(J1398)=0),"",MIN(1,N(K1398)/J1398))</f>
        <v/>
      </c>
      <c r="M1398" s="5" t="n"/>
      <c r="N1398" s="5" t="n"/>
      <c r="O1398" s="5" t="n"/>
      <c r="P1398" s="5" t="n"/>
      <c r="Q1398" s="5" t="n"/>
      <c r="R1398" s="4" t="n"/>
      <c r="S1398" s="4" t="n"/>
      <c r="T1398" s="5" t="n"/>
      <c r="U1398" s="8">
        <f>IF(AND(V1398=1,D1398&lt;&gt;""),IF(D1398&gt;=corte,TODAY()-D1398,""),"")</f>
        <v/>
      </c>
      <c r="V1398" s="8">
        <f>IF(D1398="",0,IF(OR(AND(P1398&lt;&gt;"",S1398=""),AND(N(J1398)&gt;0,N(K1398)&lt;J1398),OR(M1398="PENDENTE",M1398="PARCIAL"),OR(N1398="PENDENTE",N1398="PARCIAL")),1,0))</f>
        <v/>
      </c>
      <c r="W1398" s="8">
        <f>IF(AND(V1398=1,D1398&lt;&gt;""),IF(D1398&gt;=corte,(B1398="CRÍTICO")*1E9+(100000-D1398)*10000+10000-ROW(),""),"")</f>
        <v/>
      </c>
      <c r="X1398" s="8">
        <f>IF(AND(V1398=1,D1398=pas_data,E1398=pas_turno),10000-ROW(),"")</f>
        <v/>
      </c>
    </row>
    <row r="1399">
      <c r="A1399" s="3">
        <f>IF(D1399="","","TT-"&amp;TEXT(ROW()-1,"00000"))</f>
        <v/>
      </c>
      <c r="B1399" s="3">
        <f>IF(D1399="","",IF(V1399=0,"CONCLUÍDO",IF(D1399&lt;corte,"HISTÓRICO",IF(OR(AND(ISNUMBER(R1399),R1399&lt;TODAY()),AND(OR(N1399="PENDENTE",N1399="PARCIAL"),D1399&lt;TODAY()-1)),"CRÍTICO",IF(OR(AND(P1399&lt;&gt;"",S1399=""),AND(N1399="REALIZADO",M1399="PENDENTE"),AND(ISNUMBER(R1399),R1399=TODAY())),"ATENÇÃO",IF(N(K1399)=0,"PENDENTE","EM ANDAMENTO"))))))</f>
        <v/>
      </c>
      <c r="C1399" s="3">
        <f>IF(D1399="","",IF(V1399=0,"🟢 OK",IF(D1399&lt;corte,"⚪ HISTÓRICO (sem baixa)",IF(AND(ISNUMBER(R1399),R1399&lt;TODAY()),"🔴 PRAZO VENCIDO",IF(AND(OR(N1399="PENDENTE",N1399="PARCIAL"),D1399&lt;TODAY()-1),"🔴 EMBARQUE ATRASADO",IF(AND(N1399="REALIZADO",M1399="PENDENTE"),"🟡 EMBARCADO SEM FATURAR",IF(AND(P1399&lt;&gt;"",S1399="",OR(Q1399="",R1399="")),"🟡 PENDÊNCIA SEM RESPONSÁVEL/PRAZO",IF(AND(ISNUMBER(R1399),R1399=TODAY()),"🟡 VENCE HOJE",IF(AND(P1399&lt;&gt;"",S1399=""),"🟡 PENDÊNCIA ABERTA",IF(AND(N(J1399)&gt;0,N(K1399)&lt;J1399),"🟡 FALTA EXECUTAR",IF(OR(M1399="PENDENTE",M1399="PARCIAL"),"🟡 FATURAMENTO PENDENTE","🟡 EMBARQUE PENDENTE")))))))))))</f>
        <v/>
      </c>
      <c r="D1399" s="4" t="n"/>
      <c r="E1399" s="5" t="n"/>
      <c r="F1399" s="5" t="n"/>
      <c r="G1399" s="5" t="n"/>
      <c r="H1399" s="5" t="n"/>
      <c r="I1399" s="5" t="n"/>
      <c r="J1399" s="6" t="n"/>
      <c r="K1399" s="6" t="n"/>
      <c r="L1399" s="7">
        <f>IF(OR(D1399="",N(J1399)=0),"",MIN(1,N(K1399)/J1399))</f>
        <v/>
      </c>
      <c r="M1399" s="5" t="n"/>
      <c r="N1399" s="5" t="n"/>
      <c r="O1399" s="5" t="n"/>
      <c r="P1399" s="5" t="n"/>
      <c r="Q1399" s="5" t="n"/>
      <c r="R1399" s="4" t="n"/>
      <c r="S1399" s="4" t="n"/>
      <c r="T1399" s="5" t="n"/>
      <c r="U1399" s="8">
        <f>IF(AND(V1399=1,D1399&lt;&gt;""),IF(D1399&gt;=corte,TODAY()-D1399,""),"")</f>
        <v/>
      </c>
      <c r="V1399" s="8">
        <f>IF(D1399="",0,IF(OR(AND(P1399&lt;&gt;"",S1399=""),AND(N(J1399)&gt;0,N(K1399)&lt;J1399),OR(M1399="PENDENTE",M1399="PARCIAL"),OR(N1399="PENDENTE",N1399="PARCIAL")),1,0))</f>
        <v/>
      </c>
      <c r="W1399" s="8">
        <f>IF(AND(V1399=1,D1399&lt;&gt;""),IF(D1399&gt;=corte,(B1399="CRÍTICO")*1E9+(100000-D1399)*10000+10000-ROW(),""),"")</f>
        <v/>
      </c>
      <c r="X1399" s="8">
        <f>IF(AND(V1399=1,D1399=pas_data,E1399=pas_turno),10000-ROW(),"")</f>
        <v/>
      </c>
    </row>
    <row r="1400">
      <c r="A1400" s="3">
        <f>IF(D1400="","","TT-"&amp;TEXT(ROW()-1,"00000"))</f>
        <v/>
      </c>
      <c r="B1400" s="3">
        <f>IF(D1400="","",IF(V1400=0,"CONCLUÍDO",IF(D1400&lt;corte,"HISTÓRICO",IF(OR(AND(ISNUMBER(R1400),R1400&lt;TODAY()),AND(OR(N1400="PENDENTE",N1400="PARCIAL"),D1400&lt;TODAY()-1)),"CRÍTICO",IF(OR(AND(P1400&lt;&gt;"",S1400=""),AND(N1400="REALIZADO",M1400="PENDENTE"),AND(ISNUMBER(R1400),R1400=TODAY())),"ATENÇÃO",IF(N(K1400)=0,"PENDENTE","EM ANDAMENTO"))))))</f>
        <v/>
      </c>
      <c r="C1400" s="3">
        <f>IF(D1400="","",IF(V1400=0,"🟢 OK",IF(D1400&lt;corte,"⚪ HISTÓRICO (sem baixa)",IF(AND(ISNUMBER(R1400),R1400&lt;TODAY()),"🔴 PRAZO VENCIDO",IF(AND(OR(N1400="PENDENTE",N1400="PARCIAL"),D1400&lt;TODAY()-1),"🔴 EMBARQUE ATRASADO",IF(AND(N1400="REALIZADO",M1400="PENDENTE"),"🟡 EMBARCADO SEM FATURAR",IF(AND(P1400&lt;&gt;"",S1400="",OR(Q1400="",R1400="")),"🟡 PENDÊNCIA SEM RESPONSÁVEL/PRAZO",IF(AND(ISNUMBER(R1400),R1400=TODAY()),"🟡 VENCE HOJE",IF(AND(P1400&lt;&gt;"",S1400=""),"🟡 PENDÊNCIA ABERTA",IF(AND(N(J1400)&gt;0,N(K1400)&lt;J1400),"🟡 FALTA EXECUTAR",IF(OR(M1400="PENDENTE",M1400="PARCIAL"),"🟡 FATURAMENTO PENDENTE","🟡 EMBARQUE PENDENTE")))))))))))</f>
        <v/>
      </c>
      <c r="D1400" s="4" t="n"/>
      <c r="E1400" s="5" t="n"/>
      <c r="F1400" s="5" t="n"/>
      <c r="G1400" s="5" t="n"/>
      <c r="H1400" s="5" t="n"/>
      <c r="I1400" s="5" t="n"/>
      <c r="J1400" s="6" t="n"/>
      <c r="K1400" s="6" t="n"/>
      <c r="L1400" s="7">
        <f>IF(OR(D1400="",N(J1400)=0),"",MIN(1,N(K1400)/J1400))</f>
        <v/>
      </c>
      <c r="M1400" s="5" t="n"/>
      <c r="N1400" s="5" t="n"/>
      <c r="O1400" s="5" t="n"/>
      <c r="P1400" s="5" t="n"/>
      <c r="Q1400" s="5" t="n"/>
      <c r="R1400" s="4" t="n"/>
      <c r="S1400" s="4" t="n"/>
      <c r="T1400" s="5" t="n"/>
      <c r="U1400" s="8">
        <f>IF(AND(V1400=1,D1400&lt;&gt;""),IF(D1400&gt;=corte,TODAY()-D1400,""),"")</f>
        <v/>
      </c>
      <c r="V1400" s="8">
        <f>IF(D1400="",0,IF(OR(AND(P1400&lt;&gt;"",S1400=""),AND(N(J1400)&gt;0,N(K1400)&lt;J1400),OR(M1400="PENDENTE",M1400="PARCIAL"),OR(N1400="PENDENTE",N1400="PARCIAL")),1,0))</f>
        <v/>
      </c>
      <c r="W1400" s="8">
        <f>IF(AND(V1400=1,D1400&lt;&gt;""),IF(D1400&gt;=corte,(B1400="CRÍTICO")*1E9+(100000-D1400)*10000+10000-ROW(),""),"")</f>
        <v/>
      </c>
      <c r="X1400" s="8">
        <f>IF(AND(V1400=1,D1400=pas_data,E1400=pas_turno),10000-ROW(),"")</f>
        <v/>
      </c>
    </row>
    <row r="1401">
      <c r="A1401" s="3">
        <f>IF(D1401="","","TT-"&amp;TEXT(ROW()-1,"00000"))</f>
        <v/>
      </c>
      <c r="B1401" s="3">
        <f>IF(D1401="","",IF(V1401=0,"CONCLUÍDO",IF(D1401&lt;corte,"HISTÓRICO",IF(OR(AND(ISNUMBER(R1401),R1401&lt;TODAY()),AND(OR(N1401="PENDENTE",N1401="PARCIAL"),D1401&lt;TODAY()-1)),"CRÍTICO",IF(OR(AND(P1401&lt;&gt;"",S1401=""),AND(N1401="REALIZADO",M1401="PENDENTE"),AND(ISNUMBER(R1401),R1401=TODAY())),"ATENÇÃO",IF(N(K1401)=0,"PENDENTE","EM ANDAMENTO"))))))</f>
        <v/>
      </c>
      <c r="C1401" s="3">
        <f>IF(D1401="","",IF(V1401=0,"🟢 OK",IF(D1401&lt;corte,"⚪ HISTÓRICO (sem baixa)",IF(AND(ISNUMBER(R1401),R1401&lt;TODAY()),"🔴 PRAZO VENCIDO",IF(AND(OR(N1401="PENDENTE",N1401="PARCIAL"),D1401&lt;TODAY()-1),"🔴 EMBARQUE ATRASADO",IF(AND(N1401="REALIZADO",M1401="PENDENTE"),"🟡 EMBARCADO SEM FATURAR",IF(AND(P1401&lt;&gt;"",S1401="",OR(Q1401="",R1401="")),"🟡 PENDÊNCIA SEM RESPONSÁVEL/PRAZO",IF(AND(ISNUMBER(R1401),R1401=TODAY()),"🟡 VENCE HOJE",IF(AND(P1401&lt;&gt;"",S1401=""),"🟡 PENDÊNCIA ABERTA",IF(AND(N(J1401)&gt;0,N(K1401)&lt;J1401),"🟡 FALTA EXECUTAR",IF(OR(M1401="PENDENTE",M1401="PARCIAL"),"🟡 FATURAMENTO PENDENTE","🟡 EMBARQUE PENDENTE")))))))))))</f>
        <v/>
      </c>
      <c r="D1401" s="4" t="n"/>
      <c r="E1401" s="5" t="n"/>
      <c r="F1401" s="5" t="n"/>
      <c r="G1401" s="5" t="n"/>
      <c r="H1401" s="5" t="n"/>
      <c r="I1401" s="5" t="n"/>
      <c r="J1401" s="6" t="n"/>
      <c r="K1401" s="6" t="n"/>
      <c r="L1401" s="7">
        <f>IF(OR(D1401="",N(J1401)=0),"",MIN(1,N(K1401)/J1401))</f>
        <v/>
      </c>
      <c r="M1401" s="5" t="n"/>
      <c r="N1401" s="5" t="n"/>
      <c r="O1401" s="5" t="n"/>
      <c r="P1401" s="5" t="n"/>
      <c r="Q1401" s="5" t="n"/>
      <c r="R1401" s="4" t="n"/>
      <c r="S1401" s="4" t="n"/>
      <c r="T1401" s="5" t="n"/>
      <c r="U1401" s="8">
        <f>IF(AND(V1401=1,D1401&lt;&gt;""),IF(D1401&gt;=corte,TODAY()-D1401,""),"")</f>
        <v/>
      </c>
      <c r="V1401" s="8">
        <f>IF(D1401="",0,IF(OR(AND(P1401&lt;&gt;"",S1401=""),AND(N(J1401)&gt;0,N(K1401)&lt;J1401),OR(M1401="PENDENTE",M1401="PARCIAL"),OR(N1401="PENDENTE",N1401="PARCIAL")),1,0))</f>
        <v/>
      </c>
      <c r="W1401" s="8">
        <f>IF(AND(V1401=1,D1401&lt;&gt;""),IF(D1401&gt;=corte,(B1401="CRÍTICO")*1E9+(100000-D1401)*10000+10000-ROW(),""),"")</f>
        <v/>
      </c>
      <c r="X1401" s="8">
        <f>IF(AND(V1401=1,D1401=pas_data,E1401=pas_turno),10000-ROW(),"")</f>
        <v/>
      </c>
    </row>
    <row r="1402">
      <c r="A1402" s="3">
        <f>IF(D1402="","","TT-"&amp;TEXT(ROW()-1,"00000"))</f>
        <v/>
      </c>
      <c r="B1402" s="3">
        <f>IF(D1402="","",IF(V1402=0,"CONCLUÍDO",IF(D1402&lt;corte,"HISTÓRICO",IF(OR(AND(ISNUMBER(R1402),R1402&lt;TODAY()),AND(OR(N1402="PENDENTE",N1402="PARCIAL"),D1402&lt;TODAY()-1)),"CRÍTICO",IF(OR(AND(P1402&lt;&gt;"",S1402=""),AND(N1402="REALIZADO",M1402="PENDENTE"),AND(ISNUMBER(R1402),R1402=TODAY())),"ATENÇÃO",IF(N(K1402)=0,"PENDENTE","EM ANDAMENTO"))))))</f>
        <v/>
      </c>
      <c r="C1402" s="3">
        <f>IF(D1402="","",IF(V1402=0,"🟢 OK",IF(D1402&lt;corte,"⚪ HISTÓRICO (sem baixa)",IF(AND(ISNUMBER(R1402),R1402&lt;TODAY()),"🔴 PRAZO VENCIDO",IF(AND(OR(N1402="PENDENTE",N1402="PARCIAL"),D1402&lt;TODAY()-1),"🔴 EMBARQUE ATRASADO",IF(AND(N1402="REALIZADO",M1402="PENDENTE"),"🟡 EMBARCADO SEM FATURAR",IF(AND(P1402&lt;&gt;"",S1402="",OR(Q1402="",R1402="")),"🟡 PENDÊNCIA SEM RESPONSÁVEL/PRAZO",IF(AND(ISNUMBER(R1402),R1402=TODAY()),"🟡 VENCE HOJE",IF(AND(P1402&lt;&gt;"",S1402=""),"🟡 PENDÊNCIA ABERTA",IF(AND(N(J1402)&gt;0,N(K1402)&lt;J1402),"🟡 FALTA EXECUTAR",IF(OR(M1402="PENDENTE",M1402="PARCIAL"),"🟡 FATURAMENTO PENDENTE","🟡 EMBARQUE PENDENTE")))))))))))</f>
        <v/>
      </c>
      <c r="D1402" s="4" t="n"/>
      <c r="E1402" s="5" t="n"/>
      <c r="F1402" s="5" t="n"/>
      <c r="G1402" s="5" t="n"/>
      <c r="H1402" s="5" t="n"/>
      <c r="I1402" s="5" t="n"/>
      <c r="J1402" s="6" t="n"/>
      <c r="K1402" s="6" t="n"/>
      <c r="L1402" s="7">
        <f>IF(OR(D1402="",N(J1402)=0),"",MIN(1,N(K1402)/J1402))</f>
        <v/>
      </c>
      <c r="M1402" s="5" t="n"/>
      <c r="N1402" s="5" t="n"/>
      <c r="O1402" s="5" t="n"/>
      <c r="P1402" s="5" t="n"/>
      <c r="Q1402" s="5" t="n"/>
      <c r="R1402" s="4" t="n"/>
      <c r="S1402" s="4" t="n"/>
      <c r="T1402" s="5" t="n"/>
      <c r="U1402" s="8">
        <f>IF(AND(V1402=1,D1402&lt;&gt;""),IF(D1402&gt;=corte,TODAY()-D1402,""),"")</f>
        <v/>
      </c>
      <c r="V1402" s="8">
        <f>IF(D1402="",0,IF(OR(AND(P1402&lt;&gt;"",S1402=""),AND(N(J1402)&gt;0,N(K1402)&lt;J1402),OR(M1402="PENDENTE",M1402="PARCIAL"),OR(N1402="PENDENTE",N1402="PARCIAL")),1,0))</f>
        <v/>
      </c>
      <c r="W1402" s="8">
        <f>IF(AND(V1402=1,D1402&lt;&gt;""),IF(D1402&gt;=corte,(B1402="CRÍTICO")*1E9+(100000-D1402)*10000+10000-ROW(),""),"")</f>
        <v/>
      </c>
      <c r="X1402" s="8">
        <f>IF(AND(V1402=1,D1402=pas_data,E1402=pas_turno),10000-ROW(),"")</f>
        <v/>
      </c>
    </row>
    <row r="1403">
      <c r="A1403" s="3">
        <f>IF(D1403="","","TT-"&amp;TEXT(ROW()-1,"00000"))</f>
        <v/>
      </c>
      <c r="B1403" s="3">
        <f>IF(D1403="","",IF(V1403=0,"CONCLUÍDO",IF(D1403&lt;corte,"HISTÓRICO",IF(OR(AND(ISNUMBER(R1403),R1403&lt;TODAY()),AND(OR(N1403="PENDENTE",N1403="PARCIAL"),D1403&lt;TODAY()-1)),"CRÍTICO",IF(OR(AND(P1403&lt;&gt;"",S1403=""),AND(N1403="REALIZADO",M1403="PENDENTE"),AND(ISNUMBER(R1403),R1403=TODAY())),"ATENÇÃO",IF(N(K1403)=0,"PENDENTE","EM ANDAMENTO"))))))</f>
        <v/>
      </c>
      <c r="C1403" s="3">
        <f>IF(D1403="","",IF(V1403=0,"🟢 OK",IF(D1403&lt;corte,"⚪ HISTÓRICO (sem baixa)",IF(AND(ISNUMBER(R1403),R1403&lt;TODAY()),"🔴 PRAZO VENCIDO",IF(AND(OR(N1403="PENDENTE",N1403="PARCIAL"),D1403&lt;TODAY()-1),"🔴 EMBARQUE ATRASADO",IF(AND(N1403="REALIZADO",M1403="PENDENTE"),"🟡 EMBARCADO SEM FATURAR",IF(AND(P1403&lt;&gt;"",S1403="",OR(Q1403="",R1403="")),"🟡 PENDÊNCIA SEM RESPONSÁVEL/PRAZO",IF(AND(ISNUMBER(R1403),R1403=TODAY()),"🟡 VENCE HOJE",IF(AND(P1403&lt;&gt;"",S1403=""),"🟡 PENDÊNCIA ABERTA",IF(AND(N(J1403)&gt;0,N(K1403)&lt;J1403),"🟡 FALTA EXECUTAR",IF(OR(M1403="PENDENTE",M1403="PARCIAL"),"🟡 FATURAMENTO PENDENTE","🟡 EMBARQUE PENDENTE")))))))))))</f>
        <v/>
      </c>
      <c r="D1403" s="4" t="n"/>
      <c r="E1403" s="5" t="n"/>
      <c r="F1403" s="5" t="n"/>
      <c r="G1403" s="5" t="n"/>
      <c r="H1403" s="5" t="n"/>
      <c r="I1403" s="5" t="n"/>
      <c r="J1403" s="6" t="n"/>
      <c r="K1403" s="6" t="n"/>
      <c r="L1403" s="7">
        <f>IF(OR(D1403="",N(J1403)=0),"",MIN(1,N(K1403)/J1403))</f>
        <v/>
      </c>
      <c r="M1403" s="5" t="n"/>
      <c r="N1403" s="5" t="n"/>
      <c r="O1403" s="5" t="n"/>
      <c r="P1403" s="5" t="n"/>
      <c r="Q1403" s="5" t="n"/>
      <c r="R1403" s="4" t="n"/>
      <c r="S1403" s="4" t="n"/>
      <c r="T1403" s="5" t="n"/>
      <c r="U1403" s="8">
        <f>IF(AND(V1403=1,D1403&lt;&gt;""),IF(D1403&gt;=corte,TODAY()-D1403,""),"")</f>
        <v/>
      </c>
      <c r="V1403" s="8">
        <f>IF(D1403="",0,IF(OR(AND(P1403&lt;&gt;"",S1403=""),AND(N(J1403)&gt;0,N(K1403)&lt;J1403),OR(M1403="PENDENTE",M1403="PARCIAL"),OR(N1403="PENDENTE",N1403="PARCIAL")),1,0))</f>
        <v/>
      </c>
      <c r="W1403" s="8">
        <f>IF(AND(V1403=1,D1403&lt;&gt;""),IF(D1403&gt;=corte,(B1403="CRÍTICO")*1E9+(100000-D1403)*10000+10000-ROW(),""),"")</f>
        <v/>
      </c>
      <c r="X1403" s="8">
        <f>IF(AND(V1403=1,D1403=pas_data,E1403=pas_turno),10000-ROW(),"")</f>
        <v/>
      </c>
    </row>
    <row r="1404">
      <c r="A1404" s="3">
        <f>IF(D1404="","","TT-"&amp;TEXT(ROW()-1,"00000"))</f>
        <v/>
      </c>
      <c r="B1404" s="3">
        <f>IF(D1404="","",IF(V1404=0,"CONCLUÍDO",IF(D1404&lt;corte,"HISTÓRICO",IF(OR(AND(ISNUMBER(R1404),R1404&lt;TODAY()),AND(OR(N1404="PENDENTE",N1404="PARCIAL"),D1404&lt;TODAY()-1)),"CRÍTICO",IF(OR(AND(P1404&lt;&gt;"",S1404=""),AND(N1404="REALIZADO",M1404="PENDENTE"),AND(ISNUMBER(R1404),R1404=TODAY())),"ATENÇÃO",IF(N(K1404)=0,"PENDENTE","EM ANDAMENTO"))))))</f>
        <v/>
      </c>
      <c r="C1404" s="3">
        <f>IF(D1404="","",IF(V1404=0,"🟢 OK",IF(D1404&lt;corte,"⚪ HISTÓRICO (sem baixa)",IF(AND(ISNUMBER(R1404),R1404&lt;TODAY()),"🔴 PRAZO VENCIDO",IF(AND(OR(N1404="PENDENTE",N1404="PARCIAL"),D1404&lt;TODAY()-1),"🔴 EMBARQUE ATRASADO",IF(AND(N1404="REALIZADO",M1404="PENDENTE"),"🟡 EMBARCADO SEM FATURAR",IF(AND(P1404&lt;&gt;"",S1404="",OR(Q1404="",R1404="")),"🟡 PENDÊNCIA SEM RESPONSÁVEL/PRAZO",IF(AND(ISNUMBER(R1404),R1404=TODAY()),"🟡 VENCE HOJE",IF(AND(P1404&lt;&gt;"",S1404=""),"🟡 PENDÊNCIA ABERTA",IF(AND(N(J1404)&gt;0,N(K1404)&lt;J1404),"🟡 FALTA EXECUTAR",IF(OR(M1404="PENDENTE",M1404="PARCIAL"),"🟡 FATURAMENTO PENDENTE","🟡 EMBARQUE PENDENTE")))))))))))</f>
        <v/>
      </c>
      <c r="D1404" s="4" t="n"/>
      <c r="E1404" s="5" t="n"/>
      <c r="F1404" s="5" t="n"/>
      <c r="G1404" s="5" t="n"/>
      <c r="H1404" s="5" t="n"/>
      <c r="I1404" s="5" t="n"/>
      <c r="J1404" s="6" t="n"/>
      <c r="K1404" s="6" t="n"/>
      <c r="L1404" s="7">
        <f>IF(OR(D1404="",N(J1404)=0),"",MIN(1,N(K1404)/J1404))</f>
        <v/>
      </c>
      <c r="M1404" s="5" t="n"/>
      <c r="N1404" s="5" t="n"/>
      <c r="O1404" s="5" t="n"/>
      <c r="P1404" s="5" t="n"/>
      <c r="Q1404" s="5" t="n"/>
      <c r="R1404" s="4" t="n"/>
      <c r="S1404" s="4" t="n"/>
      <c r="T1404" s="5" t="n"/>
      <c r="U1404" s="8">
        <f>IF(AND(V1404=1,D1404&lt;&gt;""),IF(D1404&gt;=corte,TODAY()-D1404,""),"")</f>
        <v/>
      </c>
      <c r="V1404" s="8">
        <f>IF(D1404="",0,IF(OR(AND(P1404&lt;&gt;"",S1404=""),AND(N(J1404)&gt;0,N(K1404)&lt;J1404),OR(M1404="PENDENTE",M1404="PARCIAL"),OR(N1404="PENDENTE",N1404="PARCIAL")),1,0))</f>
        <v/>
      </c>
      <c r="W1404" s="8">
        <f>IF(AND(V1404=1,D1404&lt;&gt;""),IF(D1404&gt;=corte,(B1404="CRÍTICO")*1E9+(100000-D1404)*10000+10000-ROW(),""),"")</f>
        <v/>
      </c>
      <c r="X1404" s="8">
        <f>IF(AND(V1404=1,D1404=pas_data,E1404=pas_turno),10000-ROW(),"")</f>
        <v/>
      </c>
    </row>
    <row r="1405">
      <c r="A1405" s="3">
        <f>IF(D1405="","","TT-"&amp;TEXT(ROW()-1,"00000"))</f>
        <v/>
      </c>
      <c r="B1405" s="3">
        <f>IF(D1405="","",IF(V1405=0,"CONCLUÍDO",IF(D1405&lt;corte,"HISTÓRICO",IF(OR(AND(ISNUMBER(R1405),R1405&lt;TODAY()),AND(OR(N1405="PENDENTE",N1405="PARCIAL"),D1405&lt;TODAY()-1)),"CRÍTICO",IF(OR(AND(P1405&lt;&gt;"",S1405=""),AND(N1405="REALIZADO",M1405="PENDENTE"),AND(ISNUMBER(R1405),R1405=TODAY())),"ATENÇÃO",IF(N(K1405)=0,"PENDENTE","EM ANDAMENTO"))))))</f>
        <v/>
      </c>
      <c r="C1405" s="3">
        <f>IF(D1405="","",IF(V1405=0,"🟢 OK",IF(D1405&lt;corte,"⚪ HISTÓRICO (sem baixa)",IF(AND(ISNUMBER(R1405),R1405&lt;TODAY()),"🔴 PRAZO VENCIDO",IF(AND(OR(N1405="PENDENTE",N1405="PARCIAL"),D1405&lt;TODAY()-1),"🔴 EMBARQUE ATRASADO",IF(AND(N1405="REALIZADO",M1405="PENDENTE"),"🟡 EMBARCADO SEM FATURAR",IF(AND(P1405&lt;&gt;"",S1405="",OR(Q1405="",R1405="")),"🟡 PENDÊNCIA SEM RESPONSÁVEL/PRAZO",IF(AND(ISNUMBER(R1405),R1405=TODAY()),"🟡 VENCE HOJE",IF(AND(P1405&lt;&gt;"",S1405=""),"🟡 PENDÊNCIA ABERTA",IF(AND(N(J1405)&gt;0,N(K1405)&lt;J1405),"🟡 FALTA EXECUTAR",IF(OR(M1405="PENDENTE",M1405="PARCIAL"),"🟡 FATURAMENTO PENDENTE","🟡 EMBARQUE PENDENTE")))))))))))</f>
        <v/>
      </c>
      <c r="D1405" s="4" t="n"/>
      <c r="E1405" s="5" t="n"/>
      <c r="F1405" s="5" t="n"/>
      <c r="G1405" s="5" t="n"/>
      <c r="H1405" s="5" t="n"/>
      <c r="I1405" s="5" t="n"/>
      <c r="J1405" s="6" t="n"/>
      <c r="K1405" s="6" t="n"/>
      <c r="L1405" s="7">
        <f>IF(OR(D1405="",N(J1405)=0),"",MIN(1,N(K1405)/J1405))</f>
        <v/>
      </c>
      <c r="M1405" s="5" t="n"/>
      <c r="N1405" s="5" t="n"/>
      <c r="O1405" s="5" t="n"/>
      <c r="P1405" s="5" t="n"/>
      <c r="Q1405" s="5" t="n"/>
      <c r="R1405" s="4" t="n"/>
      <c r="S1405" s="4" t="n"/>
      <c r="T1405" s="5" t="n"/>
      <c r="U1405" s="8">
        <f>IF(AND(V1405=1,D1405&lt;&gt;""),IF(D1405&gt;=corte,TODAY()-D1405,""),"")</f>
        <v/>
      </c>
      <c r="V1405" s="8">
        <f>IF(D1405="",0,IF(OR(AND(P1405&lt;&gt;"",S1405=""),AND(N(J1405)&gt;0,N(K1405)&lt;J1405),OR(M1405="PENDENTE",M1405="PARCIAL"),OR(N1405="PENDENTE",N1405="PARCIAL")),1,0))</f>
        <v/>
      </c>
      <c r="W1405" s="8">
        <f>IF(AND(V1405=1,D1405&lt;&gt;""),IF(D1405&gt;=corte,(B1405="CRÍTICO")*1E9+(100000-D1405)*10000+10000-ROW(),""),"")</f>
        <v/>
      </c>
      <c r="X1405" s="8">
        <f>IF(AND(V1405=1,D1405=pas_data,E1405=pas_turno),10000-ROW(),"")</f>
        <v/>
      </c>
    </row>
    <row r="1406">
      <c r="A1406" s="3">
        <f>IF(D1406="","","TT-"&amp;TEXT(ROW()-1,"00000"))</f>
        <v/>
      </c>
      <c r="B1406" s="3">
        <f>IF(D1406="","",IF(V1406=0,"CONCLUÍDO",IF(D1406&lt;corte,"HISTÓRICO",IF(OR(AND(ISNUMBER(R1406),R1406&lt;TODAY()),AND(OR(N1406="PENDENTE",N1406="PARCIAL"),D1406&lt;TODAY()-1)),"CRÍTICO",IF(OR(AND(P1406&lt;&gt;"",S1406=""),AND(N1406="REALIZADO",M1406="PENDENTE"),AND(ISNUMBER(R1406),R1406=TODAY())),"ATENÇÃO",IF(N(K1406)=0,"PENDENTE","EM ANDAMENTO"))))))</f>
        <v/>
      </c>
      <c r="C1406" s="3">
        <f>IF(D1406="","",IF(V1406=0,"🟢 OK",IF(D1406&lt;corte,"⚪ HISTÓRICO (sem baixa)",IF(AND(ISNUMBER(R1406),R1406&lt;TODAY()),"🔴 PRAZO VENCIDO",IF(AND(OR(N1406="PENDENTE",N1406="PARCIAL"),D1406&lt;TODAY()-1),"🔴 EMBARQUE ATRASADO",IF(AND(N1406="REALIZADO",M1406="PENDENTE"),"🟡 EMBARCADO SEM FATURAR",IF(AND(P1406&lt;&gt;"",S1406="",OR(Q1406="",R1406="")),"🟡 PENDÊNCIA SEM RESPONSÁVEL/PRAZO",IF(AND(ISNUMBER(R1406),R1406=TODAY()),"🟡 VENCE HOJE",IF(AND(P1406&lt;&gt;"",S1406=""),"🟡 PENDÊNCIA ABERTA",IF(AND(N(J1406)&gt;0,N(K1406)&lt;J1406),"🟡 FALTA EXECUTAR",IF(OR(M1406="PENDENTE",M1406="PARCIAL"),"🟡 FATURAMENTO PENDENTE","🟡 EMBARQUE PENDENTE")))))))))))</f>
        <v/>
      </c>
      <c r="D1406" s="4" t="n"/>
      <c r="E1406" s="5" t="n"/>
      <c r="F1406" s="5" t="n"/>
      <c r="G1406" s="5" t="n"/>
      <c r="H1406" s="5" t="n"/>
      <c r="I1406" s="5" t="n"/>
      <c r="J1406" s="6" t="n"/>
      <c r="K1406" s="6" t="n"/>
      <c r="L1406" s="7">
        <f>IF(OR(D1406="",N(J1406)=0),"",MIN(1,N(K1406)/J1406))</f>
        <v/>
      </c>
      <c r="M1406" s="5" t="n"/>
      <c r="N1406" s="5" t="n"/>
      <c r="O1406" s="5" t="n"/>
      <c r="P1406" s="5" t="n"/>
      <c r="Q1406" s="5" t="n"/>
      <c r="R1406" s="4" t="n"/>
      <c r="S1406" s="4" t="n"/>
      <c r="T1406" s="5" t="n"/>
      <c r="U1406" s="8">
        <f>IF(AND(V1406=1,D1406&lt;&gt;""),IF(D1406&gt;=corte,TODAY()-D1406,""),"")</f>
        <v/>
      </c>
      <c r="V1406" s="8">
        <f>IF(D1406="",0,IF(OR(AND(P1406&lt;&gt;"",S1406=""),AND(N(J1406)&gt;0,N(K1406)&lt;J1406),OR(M1406="PENDENTE",M1406="PARCIAL"),OR(N1406="PENDENTE",N1406="PARCIAL")),1,0))</f>
        <v/>
      </c>
      <c r="W1406" s="8">
        <f>IF(AND(V1406=1,D1406&lt;&gt;""),IF(D1406&gt;=corte,(B1406="CRÍTICO")*1E9+(100000-D1406)*10000+10000-ROW(),""),"")</f>
        <v/>
      </c>
      <c r="X1406" s="8">
        <f>IF(AND(V1406=1,D1406=pas_data,E1406=pas_turno),10000-ROW(),"")</f>
        <v/>
      </c>
    </row>
    <row r="1407">
      <c r="A1407" s="3">
        <f>IF(D1407="","","TT-"&amp;TEXT(ROW()-1,"00000"))</f>
        <v/>
      </c>
      <c r="B1407" s="3">
        <f>IF(D1407="","",IF(V1407=0,"CONCLUÍDO",IF(D1407&lt;corte,"HISTÓRICO",IF(OR(AND(ISNUMBER(R1407),R1407&lt;TODAY()),AND(OR(N1407="PENDENTE",N1407="PARCIAL"),D1407&lt;TODAY()-1)),"CRÍTICO",IF(OR(AND(P1407&lt;&gt;"",S1407=""),AND(N1407="REALIZADO",M1407="PENDENTE"),AND(ISNUMBER(R1407),R1407=TODAY())),"ATENÇÃO",IF(N(K1407)=0,"PENDENTE","EM ANDAMENTO"))))))</f>
        <v/>
      </c>
      <c r="C1407" s="3">
        <f>IF(D1407="","",IF(V1407=0,"🟢 OK",IF(D1407&lt;corte,"⚪ HISTÓRICO (sem baixa)",IF(AND(ISNUMBER(R1407),R1407&lt;TODAY()),"🔴 PRAZO VENCIDO",IF(AND(OR(N1407="PENDENTE",N1407="PARCIAL"),D1407&lt;TODAY()-1),"🔴 EMBARQUE ATRASADO",IF(AND(N1407="REALIZADO",M1407="PENDENTE"),"🟡 EMBARCADO SEM FATURAR",IF(AND(P1407&lt;&gt;"",S1407="",OR(Q1407="",R1407="")),"🟡 PENDÊNCIA SEM RESPONSÁVEL/PRAZO",IF(AND(ISNUMBER(R1407),R1407=TODAY()),"🟡 VENCE HOJE",IF(AND(P1407&lt;&gt;"",S1407=""),"🟡 PENDÊNCIA ABERTA",IF(AND(N(J1407)&gt;0,N(K1407)&lt;J1407),"🟡 FALTA EXECUTAR",IF(OR(M1407="PENDENTE",M1407="PARCIAL"),"🟡 FATURAMENTO PENDENTE","🟡 EMBARQUE PENDENTE")))))))))))</f>
        <v/>
      </c>
      <c r="D1407" s="4" t="n"/>
      <c r="E1407" s="5" t="n"/>
      <c r="F1407" s="5" t="n"/>
      <c r="G1407" s="5" t="n"/>
      <c r="H1407" s="5" t="n"/>
      <c r="I1407" s="5" t="n"/>
      <c r="J1407" s="6" t="n"/>
      <c r="K1407" s="6" t="n"/>
      <c r="L1407" s="7">
        <f>IF(OR(D1407="",N(J1407)=0),"",MIN(1,N(K1407)/J1407))</f>
        <v/>
      </c>
      <c r="M1407" s="5" t="n"/>
      <c r="N1407" s="5" t="n"/>
      <c r="O1407" s="5" t="n"/>
      <c r="P1407" s="5" t="n"/>
      <c r="Q1407" s="5" t="n"/>
      <c r="R1407" s="4" t="n"/>
      <c r="S1407" s="4" t="n"/>
      <c r="T1407" s="5" t="n"/>
      <c r="U1407" s="8">
        <f>IF(AND(V1407=1,D1407&lt;&gt;""),IF(D1407&gt;=corte,TODAY()-D1407,""),"")</f>
        <v/>
      </c>
      <c r="V1407" s="8">
        <f>IF(D1407="",0,IF(OR(AND(P1407&lt;&gt;"",S1407=""),AND(N(J1407)&gt;0,N(K1407)&lt;J1407),OR(M1407="PENDENTE",M1407="PARCIAL"),OR(N1407="PENDENTE",N1407="PARCIAL")),1,0))</f>
        <v/>
      </c>
      <c r="W1407" s="8">
        <f>IF(AND(V1407=1,D1407&lt;&gt;""),IF(D1407&gt;=corte,(B1407="CRÍTICO")*1E9+(100000-D1407)*10000+10000-ROW(),""),"")</f>
        <v/>
      </c>
      <c r="X1407" s="8">
        <f>IF(AND(V1407=1,D1407=pas_data,E1407=pas_turno),10000-ROW(),"")</f>
        <v/>
      </c>
    </row>
    <row r="1408">
      <c r="A1408" s="3">
        <f>IF(D1408="","","TT-"&amp;TEXT(ROW()-1,"00000"))</f>
        <v/>
      </c>
      <c r="B1408" s="3">
        <f>IF(D1408="","",IF(V1408=0,"CONCLUÍDO",IF(D1408&lt;corte,"HISTÓRICO",IF(OR(AND(ISNUMBER(R1408),R1408&lt;TODAY()),AND(OR(N1408="PENDENTE",N1408="PARCIAL"),D1408&lt;TODAY()-1)),"CRÍTICO",IF(OR(AND(P1408&lt;&gt;"",S1408=""),AND(N1408="REALIZADO",M1408="PENDENTE"),AND(ISNUMBER(R1408),R1408=TODAY())),"ATENÇÃO",IF(N(K1408)=0,"PENDENTE","EM ANDAMENTO"))))))</f>
        <v/>
      </c>
      <c r="C1408" s="3">
        <f>IF(D1408="","",IF(V1408=0,"🟢 OK",IF(D1408&lt;corte,"⚪ HISTÓRICO (sem baixa)",IF(AND(ISNUMBER(R1408),R1408&lt;TODAY()),"🔴 PRAZO VENCIDO",IF(AND(OR(N1408="PENDENTE",N1408="PARCIAL"),D1408&lt;TODAY()-1),"🔴 EMBARQUE ATRASADO",IF(AND(N1408="REALIZADO",M1408="PENDENTE"),"🟡 EMBARCADO SEM FATURAR",IF(AND(P1408&lt;&gt;"",S1408="",OR(Q1408="",R1408="")),"🟡 PENDÊNCIA SEM RESPONSÁVEL/PRAZO",IF(AND(ISNUMBER(R1408),R1408=TODAY()),"🟡 VENCE HOJE",IF(AND(P1408&lt;&gt;"",S1408=""),"🟡 PENDÊNCIA ABERTA",IF(AND(N(J1408)&gt;0,N(K1408)&lt;J1408),"🟡 FALTA EXECUTAR",IF(OR(M1408="PENDENTE",M1408="PARCIAL"),"🟡 FATURAMENTO PENDENTE","🟡 EMBARQUE PENDENTE")))))))))))</f>
        <v/>
      </c>
      <c r="D1408" s="4" t="n"/>
      <c r="E1408" s="5" t="n"/>
      <c r="F1408" s="5" t="n"/>
      <c r="G1408" s="5" t="n"/>
      <c r="H1408" s="5" t="n"/>
      <c r="I1408" s="5" t="n"/>
      <c r="J1408" s="6" t="n"/>
      <c r="K1408" s="6" t="n"/>
      <c r="L1408" s="7">
        <f>IF(OR(D1408="",N(J1408)=0),"",MIN(1,N(K1408)/J1408))</f>
        <v/>
      </c>
      <c r="M1408" s="5" t="n"/>
      <c r="N1408" s="5" t="n"/>
      <c r="O1408" s="5" t="n"/>
      <c r="P1408" s="5" t="n"/>
      <c r="Q1408" s="5" t="n"/>
      <c r="R1408" s="4" t="n"/>
      <c r="S1408" s="4" t="n"/>
      <c r="T1408" s="5" t="n"/>
      <c r="U1408" s="8">
        <f>IF(AND(V1408=1,D1408&lt;&gt;""),IF(D1408&gt;=corte,TODAY()-D1408,""),"")</f>
        <v/>
      </c>
      <c r="V1408" s="8">
        <f>IF(D1408="",0,IF(OR(AND(P1408&lt;&gt;"",S1408=""),AND(N(J1408)&gt;0,N(K1408)&lt;J1408),OR(M1408="PENDENTE",M1408="PARCIAL"),OR(N1408="PENDENTE",N1408="PARCIAL")),1,0))</f>
        <v/>
      </c>
      <c r="W1408" s="8">
        <f>IF(AND(V1408=1,D1408&lt;&gt;""),IF(D1408&gt;=corte,(B1408="CRÍTICO")*1E9+(100000-D1408)*10000+10000-ROW(),""),"")</f>
        <v/>
      </c>
      <c r="X1408" s="8">
        <f>IF(AND(V1408=1,D1408=pas_data,E1408=pas_turno),10000-ROW(),"")</f>
        <v/>
      </c>
    </row>
    <row r="1409">
      <c r="A1409" s="3">
        <f>IF(D1409="","","TT-"&amp;TEXT(ROW()-1,"00000"))</f>
        <v/>
      </c>
      <c r="B1409" s="3">
        <f>IF(D1409="","",IF(V1409=0,"CONCLUÍDO",IF(D1409&lt;corte,"HISTÓRICO",IF(OR(AND(ISNUMBER(R1409),R1409&lt;TODAY()),AND(OR(N1409="PENDENTE",N1409="PARCIAL"),D1409&lt;TODAY()-1)),"CRÍTICO",IF(OR(AND(P1409&lt;&gt;"",S1409=""),AND(N1409="REALIZADO",M1409="PENDENTE"),AND(ISNUMBER(R1409),R1409=TODAY())),"ATENÇÃO",IF(N(K1409)=0,"PENDENTE","EM ANDAMENTO"))))))</f>
        <v/>
      </c>
      <c r="C1409" s="3">
        <f>IF(D1409="","",IF(V1409=0,"🟢 OK",IF(D1409&lt;corte,"⚪ HISTÓRICO (sem baixa)",IF(AND(ISNUMBER(R1409),R1409&lt;TODAY()),"🔴 PRAZO VENCIDO",IF(AND(OR(N1409="PENDENTE",N1409="PARCIAL"),D1409&lt;TODAY()-1),"🔴 EMBARQUE ATRASADO",IF(AND(N1409="REALIZADO",M1409="PENDENTE"),"🟡 EMBARCADO SEM FATURAR",IF(AND(P1409&lt;&gt;"",S1409="",OR(Q1409="",R1409="")),"🟡 PENDÊNCIA SEM RESPONSÁVEL/PRAZO",IF(AND(ISNUMBER(R1409),R1409=TODAY()),"🟡 VENCE HOJE",IF(AND(P1409&lt;&gt;"",S1409=""),"🟡 PENDÊNCIA ABERTA",IF(AND(N(J1409)&gt;0,N(K1409)&lt;J1409),"🟡 FALTA EXECUTAR",IF(OR(M1409="PENDENTE",M1409="PARCIAL"),"🟡 FATURAMENTO PENDENTE","🟡 EMBARQUE PENDENTE")))))))))))</f>
        <v/>
      </c>
      <c r="D1409" s="4" t="n"/>
      <c r="E1409" s="5" t="n"/>
      <c r="F1409" s="5" t="n"/>
      <c r="G1409" s="5" t="n"/>
      <c r="H1409" s="5" t="n"/>
      <c r="I1409" s="5" t="n"/>
      <c r="J1409" s="6" t="n"/>
      <c r="K1409" s="6" t="n"/>
      <c r="L1409" s="7">
        <f>IF(OR(D1409="",N(J1409)=0),"",MIN(1,N(K1409)/J1409))</f>
        <v/>
      </c>
      <c r="M1409" s="5" t="n"/>
      <c r="N1409" s="5" t="n"/>
      <c r="O1409" s="5" t="n"/>
      <c r="P1409" s="5" t="n"/>
      <c r="Q1409" s="5" t="n"/>
      <c r="R1409" s="4" t="n"/>
      <c r="S1409" s="4" t="n"/>
      <c r="T1409" s="5" t="n"/>
      <c r="U1409" s="8">
        <f>IF(AND(V1409=1,D1409&lt;&gt;""),IF(D1409&gt;=corte,TODAY()-D1409,""),"")</f>
        <v/>
      </c>
      <c r="V1409" s="8">
        <f>IF(D1409="",0,IF(OR(AND(P1409&lt;&gt;"",S1409=""),AND(N(J1409)&gt;0,N(K1409)&lt;J1409),OR(M1409="PENDENTE",M1409="PARCIAL"),OR(N1409="PENDENTE",N1409="PARCIAL")),1,0))</f>
        <v/>
      </c>
      <c r="W1409" s="8">
        <f>IF(AND(V1409=1,D1409&lt;&gt;""),IF(D1409&gt;=corte,(B1409="CRÍTICO")*1E9+(100000-D1409)*10000+10000-ROW(),""),"")</f>
        <v/>
      </c>
      <c r="X1409" s="8">
        <f>IF(AND(V1409=1,D1409=pas_data,E1409=pas_turno),10000-ROW(),"")</f>
        <v/>
      </c>
    </row>
    <row r="1410">
      <c r="A1410" s="3">
        <f>IF(D1410="","","TT-"&amp;TEXT(ROW()-1,"00000"))</f>
        <v/>
      </c>
      <c r="B1410" s="3">
        <f>IF(D1410="","",IF(V1410=0,"CONCLUÍDO",IF(D1410&lt;corte,"HISTÓRICO",IF(OR(AND(ISNUMBER(R1410),R1410&lt;TODAY()),AND(OR(N1410="PENDENTE",N1410="PARCIAL"),D1410&lt;TODAY()-1)),"CRÍTICO",IF(OR(AND(P1410&lt;&gt;"",S1410=""),AND(N1410="REALIZADO",M1410="PENDENTE"),AND(ISNUMBER(R1410),R1410=TODAY())),"ATENÇÃO",IF(N(K1410)=0,"PENDENTE","EM ANDAMENTO"))))))</f>
        <v/>
      </c>
      <c r="C1410" s="3">
        <f>IF(D1410="","",IF(V1410=0,"🟢 OK",IF(D1410&lt;corte,"⚪ HISTÓRICO (sem baixa)",IF(AND(ISNUMBER(R1410),R1410&lt;TODAY()),"🔴 PRAZO VENCIDO",IF(AND(OR(N1410="PENDENTE",N1410="PARCIAL"),D1410&lt;TODAY()-1),"🔴 EMBARQUE ATRASADO",IF(AND(N1410="REALIZADO",M1410="PENDENTE"),"🟡 EMBARCADO SEM FATURAR",IF(AND(P1410&lt;&gt;"",S1410="",OR(Q1410="",R1410="")),"🟡 PENDÊNCIA SEM RESPONSÁVEL/PRAZO",IF(AND(ISNUMBER(R1410),R1410=TODAY()),"🟡 VENCE HOJE",IF(AND(P1410&lt;&gt;"",S1410=""),"🟡 PENDÊNCIA ABERTA",IF(AND(N(J1410)&gt;0,N(K1410)&lt;J1410),"🟡 FALTA EXECUTAR",IF(OR(M1410="PENDENTE",M1410="PARCIAL"),"🟡 FATURAMENTO PENDENTE","🟡 EMBARQUE PENDENTE")))))))))))</f>
        <v/>
      </c>
      <c r="D1410" s="4" t="n"/>
      <c r="E1410" s="5" t="n"/>
      <c r="F1410" s="5" t="n"/>
      <c r="G1410" s="5" t="n"/>
      <c r="H1410" s="5" t="n"/>
      <c r="I1410" s="5" t="n"/>
      <c r="J1410" s="6" t="n"/>
      <c r="K1410" s="6" t="n"/>
      <c r="L1410" s="7">
        <f>IF(OR(D1410="",N(J1410)=0),"",MIN(1,N(K1410)/J1410))</f>
        <v/>
      </c>
      <c r="M1410" s="5" t="n"/>
      <c r="N1410" s="5" t="n"/>
      <c r="O1410" s="5" t="n"/>
      <c r="P1410" s="5" t="n"/>
      <c r="Q1410" s="5" t="n"/>
      <c r="R1410" s="4" t="n"/>
      <c r="S1410" s="4" t="n"/>
      <c r="T1410" s="5" t="n"/>
      <c r="U1410" s="8">
        <f>IF(AND(V1410=1,D1410&lt;&gt;""),IF(D1410&gt;=corte,TODAY()-D1410,""),"")</f>
        <v/>
      </c>
      <c r="V1410" s="8">
        <f>IF(D1410="",0,IF(OR(AND(P1410&lt;&gt;"",S1410=""),AND(N(J1410)&gt;0,N(K1410)&lt;J1410),OR(M1410="PENDENTE",M1410="PARCIAL"),OR(N1410="PENDENTE",N1410="PARCIAL")),1,0))</f>
        <v/>
      </c>
      <c r="W1410" s="8">
        <f>IF(AND(V1410=1,D1410&lt;&gt;""),IF(D1410&gt;=corte,(B1410="CRÍTICO")*1E9+(100000-D1410)*10000+10000-ROW(),""),"")</f>
        <v/>
      </c>
      <c r="X1410" s="8">
        <f>IF(AND(V1410=1,D1410=pas_data,E1410=pas_turno),10000-ROW(),"")</f>
        <v/>
      </c>
    </row>
    <row r="1411">
      <c r="A1411" s="3">
        <f>IF(D1411="","","TT-"&amp;TEXT(ROW()-1,"00000"))</f>
        <v/>
      </c>
      <c r="B1411" s="3">
        <f>IF(D1411="","",IF(V1411=0,"CONCLUÍDO",IF(D1411&lt;corte,"HISTÓRICO",IF(OR(AND(ISNUMBER(R1411),R1411&lt;TODAY()),AND(OR(N1411="PENDENTE",N1411="PARCIAL"),D1411&lt;TODAY()-1)),"CRÍTICO",IF(OR(AND(P1411&lt;&gt;"",S1411=""),AND(N1411="REALIZADO",M1411="PENDENTE"),AND(ISNUMBER(R1411),R1411=TODAY())),"ATENÇÃO",IF(N(K1411)=0,"PENDENTE","EM ANDAMENTO"))))))</f>
        <v/>
      </c>
      <c r="C1411" s="3">
        <f>IF(D1411="","",IF(V1411=0,"🟢 OK",IF(D1411&lt;corte,"⚪ HISTÓRICO (sem baixa)",IF(AND(ISNUMBER(R1411),R1411&lt;TODAY()),"🔴 PRAZO VENCIDO",IF(AND(OR(N1411="PENDENTE",N1411="PARCIAL"),D1411&lt;TODAY()-1),"🔴 EMBARQUE ATRASADO",IF(AND(N1411="REALIZADO",M1411="PENDENTE"),"🟡 EMBARCADO SEM FATURAR",IF(AND(P1411&lt;&gt;"",S1411="",OR(Q1411="",R1411="")),"🟡 PENDÊNCIA SEM RESPONSÁVEL/PRAZO",IF(AND(ISNUMBER(R1411),R1411=TODAY()),"🟡 VENCE HOJE",IF(AND(P1411&lt;&gt;"",S1411=""),"🟡 PENDÊNCIA ABERTA",IF(AND(N(J1411)&gt;0,N(K1411)&lt;J1411),"🟡 FALTA EXECUTAR",IF(OR(M1411="PENDENTE",M1411="PARCIAL"),"🟡 FATURAMENTO PENDENTE","🟡 EMBARQUE PENDENTE")))))))))))</f>
        <v/>
      </c>
      <c r="D1411" s="4" t="n"/>
      <c r="E1411" s="5" t="n"/>
      <c r="F1411" s="5" t="n"/>
      <c r="G1411" s="5" t="n"/>
      <c r="H1411" s="5" t="n"/>
      <c r="I1411" s="5" t="n"/>
      <c r="J1411" s="6" t="n"/>
      <c r="K1411" s="6" t="n"/>
      <c r="L1411" s="7">
        <f>IF(OR(D1411="",N(J1411)=0),"",MIN(1,N(K1411)/J1411))</f>
        <v/>
      </c>
      <c r="M1411" s="5" t="n"/>
      <c r="N1411" s="5" t="n"/>
      <c r="O1411" s="5" t="n"/>
      <c r="P1411" s="5" t="n"/>
      <c r="Q1411" s="5" t="n"/>
      <c r="R1411" s="4" t="n"/>
      <c r="S1411" s="4" t="n"/>
      <c r="T1411" s="5" t="n"/>
      <c r="U1411" s="8">
        <f>IF(AND(V1411=1,D1411&lt;&gt;""),IF(D1411&gt;=corte,TODAY()-D1411,""),"")</f>
        <v/>
      </c>
      <c r="V1411" s="8">
        <f>IF(D1411="",0,IF(OR(AND(P1411&lt;&gt;"",S1411=""),AND(N(J1411)&gt;0,N(K1411)&lt;J1411),OR(M1411="PENDENTE",M1411="PARCIAL"),OR(N1411="PENDENTE",N1411="PARCIAL")),1,0))</f>
        <v/>
      </c>
      <c r="W1411" s="8">
        <f>IF(AND(V1411=1,D1411&lt;&gt;""),IF(D1411&gt;=corte,(B1411="CRÍTICO")*1E9+(100000-D1411)*10000+10000-ROW(),""),"")</f>
        <v/>
      </c>
      <c r="X1411" s="8">
        <f>IF(AND(V1411=1,D1411=pas_data,E1411=pas_turno),10000-ROW(),"")</f>
        <v/>
      </c>
    </row>
    <row r="1412">
      <c r="A1412" s="3">
        <f>IF(D1412="","","TT-"&amp;TEXT(ROW()-1,"00000"))</f>
        <v/>
      </c>
      <c r="B1412" s="3">
        <f>IF(D1412="","",IF(V1412=0,"CONCLUÍDO",IF(D1412&lt;corte,"HISTÓRICO",IF(OR(AND(ISNUMBER(R1412),R1412&lt;TODAY()),AND(OR(N1412="PENDENTE",N1412="PARCIAL"),D1412&lt;TODAY()-1)),"CRÍTICO",IF(OR(AND(P1412&lt;&gt;"",S1412=""),AND(N1412="REALIZADO",M1412="PENDENTE"),AND(ISNUMBER(R1412),R1412=TODAY())),"ATENÇÃO",IF(N(K1412)=0,"PENDENTE","EM ANDAMENTO"))))))</f>
        <v/>
      </c>
      <c r="C1412" s="3">
        <f>IF(D1412="","",IF(V1412=0,"🟢 OK",IF(D1412&lt;corte,"⚪ HISTÓRICO (sem baixa)",IF(AND(ISNUMBER(R1412),R1412&lt;TODAY()),"🔴 PRAZO VENCIDO",IF(AND(OR(N1412="PENDENTE",N1412="PARCIAL"),D1412&lt;TODAY()-1),"🔴 EMBARQUE ATRASADO",IF(AND(N1412="REALIZADO",M1412="PENDENTE"),"🟡 EMBARCADO SEM FATURAR",IF(AND(P1412&lt;&gt;"",S1412="",OR(Q1412="",R1412="")),"🟡 PENDÊNCIA SEM RESPONSÁVEL/PRAZO",IF(AND(ISNUMBER(R1412),R1412=TODAY()),"🟡 VENCE HOJE",IF(AND(P1412&lt;&gt;"",S1412=""),"🟡 PENDÊNCIA ABERTA",IF(AND(N(J1412)&gt;0,N(K1412)&lt;J1412),"🟡 FALTA EXECUTAR",IF(OR(M1412="PENDENTE",M1412="PARCIAL"),"🟡 FATURAMENTO PENDENTE","🟡 EMBARQUE PENDENTE")))))))))))</f>
        <v/>
      </c>
      <c r="D1412" s="4" t="n"/>
      <c r="E1412" s="5" t="n"/>
      <c r="F1412" s="5" t="n"/>
      <c r="G1412" s="5" t="n"/>
      <c r="H1412" s="5" t="n"/>
      <c r="I1412" s="5" t="n"/>
      <c r="J1412" s="6" t="n"/>
      <c r="K1412" s="6" t="n"/>
      <c r="L1412" s="7">
        <f>IF(OR(D1412="",N(J1412)=0),"",MIN(1,N(K1412)/J1412))</f>
        <v/>
      </c>
      <c r="M1412" s="5" t="n"/>
      <c r="N1412" s="5" t="n"/>
      <c r="O1412" s="5" t="n"/>
      <c r="P1412" s="5" t="n"/>
      <c r="Q1412" s="5" t="n"/>
      <c r="R1412" s="4" t="n"/>
      <c r="S1412" s="4" t="n"/>
      <c r="T1412" s="5" t="n"/>
      <c r="U1412" s="8">
        <f>IF(AND(V1412=1,D1412&lt;&gt;""),IF(D1412&gt;=corte,TODAY()-D1412,""),"")</f>
        <v/>
      </c>
      <c r="V1412" s="8">
        <f>IF(D1412="",0,IF(OR(AND(P1412&lt;&gt;"",S1412=""),AND(N(J1412)&gt;0,N(K1412)&lt;J1412),OR(M1412="PENDENTE",M1412="PARCIAL"),OR(N1412="PENDENTE",N1412="PARCIAL")),1,0))</f>
        <v/>
      </c>
      <c r="W1412" s="8">
        <f>IF(AND(V1412=1,D1412&lt;&gt;""),IF(D1412&gt;=corte,(B1412="CRÍTICO")*1E9+(100000-D1412)*10000+10000-ROW(),""),"")</f>
        <v/>
      </c>
      <c r="X1412" s="8">
        <f>IF(AND(V1412=1,D1412=pas_data,E1412=pas_turno),10000-ROW(),"")</f>
        <v/>
      </c>
    </row>
    <row r="1413">
      <c r="A1413" s="3">
        <f>IF(D1413="","","TT-"&amp;TEXT(ROW()-1,"00000"))</f>
        <v/>
      </c>
      <c r="B1413" s="3">
        <f>IF(D1413="","",IF(V1413=0,"CONCLUÍDO",IF(D1413&lt;corte,"HISTÓRICO",IF(OR(AND(ISNUMBER(R1413),R1413&lt;TODAY()),AND(OR(N1413="PENDENTE",N1413="PARCIAL"),D1413&lt;TODAY()-1)),"CRÍTICO",IF(OR(AND(P1413&lt;&gt;"",S1413=""),AND(N1413="REALIZADO",M1413="PENDENTE"),AND(ISNUMBER(R1413),R1413=TODAY())),"ATENÇÃO",IF(N(K1413)=0,"PENDENTE","EM ANDAMENTO"))))))</f>
        <v/>
      </c>
      <c r="C1413" s="3">
        <f>IF(D1413="","",IF(V1413=0,"🟢 OK",IF(D1413&lt;corte,"⚪ HISTÓRICO (sem baixa)",IF(AND(ISNUMBER(R1413),R1413&lt;TODAY()),"🔴 PRAZO VENCIDO",IF(AND(OR(N1413="PENDENTE",N1413="PARCIAL"),D1413&lt;TODAY()-1),"🔴 EMBARQUE ATRASADO",IF(AND(N1413="REALIZADO",M1413="PENDENTE"),"🟡 EMBARCADO SEM FATURAR",IF(AND(P1413&lt;&gt;"",S1413="",OR(Q1413="",R1413="")),"🟡 PENDÊNCIA SEM RESPONSÁVEL/PRAZO",IF(AND(ISNUMBER(R1413),R1413=TODAY()),"🟡 VENCE HOJE",IF(AND(P1413&lt;&gt;"",S1413=""),"🟡 PENDÊNCIA ABERTA",IF(AND(N(J1413)&gt;0,N(K1413)&lt;J1413),"🟡 FALTA EXECUTAR",IF(OR(M1413="PENDENTE",M1413="PARCIAL"),"🟡 FATURAMENTO PENDENTE","🟡 EMBARQUE PENDENTE")))))))))))</f>
        <v/>
      </c>
      <c r="D1413" s="4" t="n"/>
      <c r="E1413" s="5" t="n"/>
      <c r="F1413" s="5" t="n"/>
      <c r="G1413" s="5" t="n"/>
      <c r="H1413" s="5" t="n"/>
      <c r="I1413" s="5" t="n"/>
      <c r="J1413" s="6" t="n"/>
      <c r="K1413" s="6" t="n"/>
      <c r="L1413" s="7">
        <f>IF(OR(D1413="",N(J1413)=0),"",MIN(1,N(K1413)/J1413))</f>
        <v/>
      </c>
      <c r="M1413" s="5" t="n"/>
      <c r="N1413" s="5" t="n"/>
      <c r="O1413" s="5" t="n"/>
      <c r="P1413" s="5" t="n"/>
      <c r="Q1413" s="5" t="n"/>
      <c r="R1413" s="4" t="n"/>
      <c r="S1413" s="4" t="n"/>
      <c r="T1413" s="5" t="n"/>
      <c r="U1413" s="8">
        <f>IF(AND(V1413=1,D1413&lt;&gt;""),IF(D1413&gt;=corte,TODAY()-D1413,""),"")</f>
        <v/>
      </c>
      <c r="V1413" s="8">
        <f>IF(D1413="",0,IF(OR(AND(P1413&lt;&gt;"",S1413=""),AND(N(J1413)&gt;0,N(K1413)&lt;J1413),OR(M1413="PENDENTE",M1413="PARCIAL"),OR(N1413="PENDENTE",N1413="PARCIAL")),1,0))</f>
        <v/>
      </c>
      <c r="W1413" s="8">
        <f>IF(AND(V1413=1,D1413&lt;&gt;""),IF(D1413&gt;=corte,(B1413="CRÍTICO")*1E9+(100000-D1413)*10000+10000-ROW(),""),"")</f>
        <v/>
      </c>
      <c r="X1413" s="8">
        <f>IF(AND(V1413=1,D1413=pas_data,E1413=pas_turno),10000-ROW(),"")</f>
        <v/>
      </c>
    </row>
    <row r="1414">
      <c r="A1414" s="3">
        <f>IF(D1414="","","TT-"&amp;TEXT(ROW()-1,"00000"))</f>
        <v/>
      </c>
      <c r="B1414" s="3">
        <f>IF(D1414="","",IF(V1414=0,"CONCLUÍDO",IF(D1414&lt;corte,"HISTÓRICO",IF(OR(AND(ISNUMBER(R1414),R1414&lt;TODAY()),AND(OR(N1414="PENDENTE",N1414="PARCIAL"),D1414&lt;TODAY()-1)),"CRÍTICO",IF(OR(AND(P1414&lt;&gt;"",S1414=""),AND(N1414="REALIZADO",M1414="PENDENTE"),AND(ISNUMBER(R1414),R1414=TODAY())),"ATENÇÃO",IF(N(K1414)=0,"PENDENTE","EM ANDAMENTO"))))))</f>
        <v/>
      </c>
      <c r="C1414" s="3">
        <f>IF(D1414="","",IF(V1414=0,"🟢 OK",IF(D1414&lt;corte,"⚪ HISTÓRICO (sem baixa)",IF(AND(ISNUMBER(R1414),R1414&lt;TODAY()),"🔴 PRAZO VENCIDO",IF(AND(OR(N1414="PENDENTE",N1414="PARCIAL"),D1414&lt;TODAY()-1),"🔴 EMBARQUE ATRASADO",IF(AND(N1414="REALIZADO",M1414="PENDENTE"),"🟡 EMBARCADO SEM FATURAR",IF(AND(P1414&lt;&gt;"",S1414="",OR(Q1414="",R1414="")),"🟡 PENDÊNCIA SEM RESPONSÁVEL/PRAZO",IF(AND(ISNUMBER(R1414),R1414=TODAY()),"🟡 VENCE HOJE",IF(AND(P1414&lt;&gt;"",S1414=""),"🟡 PENDÊNCIA ABERTA",IF(AND(N(J1414)&gt;0,N(K1414)&lt;J1414),"🟡 FALTA EXECUTAR",IF(OR(M1414="PENDENTE",M1414="PARCIAL"),"🟡 FATURAMENTO PENDENTE","🟡 EMBARQUE PENDENTE")))))))))))</f>
        <v/>
      </c>
      <c r="D1414" s="4" t="n"/>
      <c r="E1414" s="5" t="n"/>
      <c r="F1414" s="5" t="n"/>
      <c r="G1414" s="5" t="n"/>
      <c r="H1414" s="5" t="n"/>
      <c r="I1414" s="5" t="n"/>
      <c r="J1414" s="6" t="n"/>
      <c r="K1414" s="6" t="n"/>
      <c r="L1414" s="7">
        <f>IF(OR(D1414="",N(J1414)=0),"",MIN(1,N(K1414)/J1414))</f>
        <v/>
      </c>
      <c r="M1414" s="5" t="n"/>
      <c r="N1414" s="5" t="n"/>
      <c r="O1414" s="5" t="n"/>
      <c r="P1414" s="5" t="n"/>
      <c r="Q1414" s="5" t="n"/>
      <c r="R1414" s="4" t="n"/>
      <c r="S1414" s="4" t="n"/>
      <c r="T1414" s="5" t="n"/>
      <c r="U1414" s="8">
        <f>IF(AND(V1414=1,D1414&lt;&gt;""),IF(D1414&gt;=corte,TODAY()-D1414,""),"")</f>
        <v/>
      </c>
      <c r="V1414" s="8">
        <f>IF(D1414="",0,IF(OR(AND(P1414&lt;&gt;"",S1414=""),AND(N(J1414)&gt;0,N(K1414)&lt;J1414),OR(M1414="PENDENTE",M1414="PARCIAL"),OR(N1414="PENDENTE",N1414="PARCIAL")),1,0))</f>
        <v/>
      </c>
      <c r="W1414" s="8">
        <f>IF(AND(V1414=1,D1414&lt;&gt;""),IF(D1414&gt;=corte,(B1414="CRÍTICO")*1E9+(100000-D1414)*10000+10000-ROW(),""),"")</f>
        <v/>
      </c>
      <c r="X1414" s="8">
        <f>IF(AND(V1414=1,D1414=pas_data,E1414=pas_turno),10000-ROW(),"")</f>
        <v/>
      </c>
    </row>
    <row r="1415">
      <c r="A1415" s="3">
        <f>IF(D1415="","","TT-"&amp;TEXT(ROW()-1,"00000"))</f>
        <v/>
      </c>
      <c r="B1415" s="3">
        <f>IF(D1415="","",IF(V1415=0,"CONCLUÍDO",IF(D1415&lt;corte,"HISTÓRICO",IF(OR(AND(ISNUMBER(R1415),R1415&lt;TODAY()),AND(OR(N1415="PENDENTE",N1415="PARCIAL"),D1415&lt;TODAY()-1)),"CRÍTICO",IF(OR(AND(P1415&lt;&gt;"",S1415=""),AND(N1415="REALIZADO",M1415="PENDENTE"),AND(ISNUMBER(R1415),R1415=TODAY())),"ATENÇÃO",IF(N(K1415)=0,"PENDENTE","EM ANDAMENTO"))))))</f>
        <v/>
      </c>
      <c r="C1415" s="3">
        <f>IF(D1415="","",IF(V1415=0,"🟢 OK",IF(D1415&lt;corte,"⚪ HISTÓRICO (sem baixa)",IF(AND(ISNUMBER(R1415),R1415&lt;TODAY()),"🔴 PRAZO VENCIDO",IF(AND(OR(N1415="PENDENTE",N1415="PARCIAL"),D1415&lt;TODAY()-1),"🔴 EMBARQUE ATRASADO",IF(AND(N1415="REALIZADO",M1415="PENDENTE"),"🟡 EMBARCADO SEM FATURAR",IF(AND(P1415&lt;&gt;"",S1415="",OR(Q1415="",R1415="")),"🟡 PENDÊNCIA SEM RESPONSÁVEL/PRAZO",IF(AND(ISNUMBER(R1415),R1415=TODAY()),"🟡 VENCE HOJE",IF(AND(P1415&lt;&gt;"",S1415=""),"🟡 PENDÊNCIA ABERTA",IF(AND(N(J1415)&gt;0,N(K1415)&lt;J1415),"🟡 FALTA EXECUTAR",IF(OR(M1415="PENDENTE",M1415="PARCIAL"),"🟡 FATURAMENTO PENDENTE","🟡 EMBARQUE PENDENTE")))))))))))</f>
        <v/>
      </c>
      <c r="D1415" s="4" t="n"/>
      <c r="E1415" s="5" t="n"/>
      <c r="F1415" s="5" t="n"/>
      <c r="G1415" s="5" t="n"/>
      <c r="H1415" s="5" t="n"/>
      <c r="I1415" s="5" t="n"/>
      <c r="J1415" s="6" t="n"/>
      <c r="K1415" s="6" t="n"/>
      <c r="L1415" s="7">
        <f>IF(OR(D1415="",N(J1415)=0),"",MIN(1,N(K1415)/J1415))</f>
        <v/>
      </c>
      <c r="M1415" s="5" t="n"/>
      <c r="N1415" s="5" t="n"/>
      <c r="O1415" s="5" t="n"/>
      <c r="P1415" s="5" t="n"/>
      <c r="Q1415" s="5" t="n"/>
      <c r="R1415" s="4" t="n"/>
      <c r="S1415" s="4" t="n"/>
      <c r="T1415" s="5" t="n"/>
      <c r="U1415" s="8">
        <f>IF(AND(V1415=1,D1415&lt;&gt;""),IF(D1415&gt;=corte,TODAY()-D1415,""),"")</f>
        <v/>
      </c>
      <c r="V1415" s="8">
        <f>IF(D1415="",0,IF(OR(AND(P1415&lt;&gt;"",S1415=""),AND(N(J1415)&gt;0,N(K1415)&lt;J1415),OR(M1415="PENDENTE",M1415="PARCIAL"),OR(N1415="PENDENTE",N1415="PARCIAL")),1,0))</f>
        <v/>
      </c>
      <c r="W1415" s="8">
        <f>IF(AND(V1415=1,D1415&lt;&gt;""),IF(D1415&gt;=corte,(B1415="CRÍTICO")*1E9+(100000-D1415)*10000+10000-ROW(),""),"")</f>
        <v/>
      </c>
      <c r="X1415" s="8">
        <f>IF(AND(V1415=1,D1415=pas_data,E1415=pas_turno),10000-ROW(),"")</f>
        <v/>
      </c>
    </row>
    <row r="1416">
      <c r="A1416" s="3">
        <f>IF(D1416="","","TT-"&amp;TEXT(ROW()-1,"00000"))</f>
        <v/>
      </c>
      <c r="B1416" s="3">
        <f>IF(D1416="","",IF(V1416=0,"CONCLUÍDO",IF(D1416&lt;corte,"HISTÓRICO",IF(OR(AND(ISNUMBER(R1416),R1416&lt;TODAY()),AND(OR(N1416="PENDENTE",N1416="PARCIAL"),D1416&lt;TODAY()-1)),"CRÍTICO",IF(OR(AND(P1416&lt;&gt;"",S1416=""),AND(N1416="REALIZADO",M1416="PENDENTE"),AND(ISNUMBER(R1416),R1416=TODAY())),"ATENÇÃO",IF(N(K1416)=0,"PENDENTE","EM ANDAMENTO"))))))</f>
        <v/>
      </c>
      <c r="C1416" s="3">
        <f>IF(D1416="","",IF(V1416=0,"🟢 OK",IF(D1416&lt;corte,"⚪ HISTÓRICO (sem baixa)",IF(AND(ISNUMBER(R1416),R1416&lt;TODAY()),"🔴 PRAZO VENCIDO",IF(AND(OR(N1416="PENDENTE",N1416="PARCIAL"),D1416&lt;TODAY()-1),"🔴 EMBARQUE ATRASADO",IF(AND(N1416="REALIZADO",M1416="PENDENTE"),"🟡 EMBARCADO SEM FATURAR",IF(AND(P1416&lt;&gt;"",S1416="",OR(Q1416="",R1416="")),"🟡 PENDÊNCIA SEM RESPONSÁVEL/PRAZO",IF(AND(ISNUMBER(R1416),R1416=TODAY()),"🟡 VENCE HOJE",IF(AND(P1416&lt;&gt;"",S1416=""),"🟡 PENDÊNCIA ABERTA",IF(AND(N(J1416)&gt;0,N(K1416)&lt;J1416),"🟡 FALTA EXECUTAR",IF(OR(M1416="PENDENTE",M1416="PARCIAL"),"🟡 FATURAMENTO PENDENTE","🟡 EMBARQUE PENDENTE")))))))))))</f>
        <v/>
      </c>
      <c r="D1416" s="4" t="n"/>
      <c r="E1416" s="5" t="n"/>
      <c r="F1416" s="5" t="n"/>
      <c r="G1416" s="5" t="n"/>
      <c r="H1416" s="5" t="n"/>
      <c r="I1416" s="5" t="n"/>
      <c r="J1416" s="6" t="n"/>
      <c r="K1416" s="6" t="n"/>
      <c r="L1416" s="7">
        <f>IF(OR(D1416="",N(J1416)=0),"",MIN(1,N(K1416)/J1416))</f>
        <v/>
      </c>
      <c r="M1416" s="5" t="n"/>
      <c r="N1416" s="5" t="n"/>
      <c r="O1416" s="5" t="n"/>
      <c r="P1416" s="5" t="n"/>
      <c r="Q1416" s="5" t="n"/>
      <c r="R1416" s="4" t="n"/>
      <c r="S1416" s="4" t="n"/>
      <c r="T1416" s="5" t="n"/>
      <c r="U1416" s="8">
        <f>IF(AND(V1416=1,D1416&lt;&gt;""),IF(D1416&gt;=corte,TODAY()-D1416,""),"")</f>
        <v/>
      </c>
      <c r="V1416" s="8">
        <f>IF(D1416="",0,IF(OR(AND(P1416&lt;&gt;"",S1416=""),AND(N(J1416)&gt;0,N(K1416)&lt;J1416),OR(M1416="PENDENTE",M1416="PARCIAL"),OR(N1416="PENDENTE",N1416="PARCIAL")),1,0))</f>
        <v/>
      </c>
      <c r="W1416" s="8">
        <f>IF(AND(V1416=1,D1416&lt;&gt;""),IF(D1416&gt;=corte,(B1416="CRÍTICO")*1E9+(100000-D1416)*10000+10000-ROW(),""),"")</f>
        <v/>
      </c>
      <c r="X1416" s="8">
        <f>IF(AND(V1416=1,D1416=pas_data,E1416=pas_turno),10000-ROW(),"")</f>
        <v/>
      </c>
    </row>
    <row r="1417">
      <c r="A1417" s="3">
        <f>IF(D1417="","","TT-"&amp;TEXT(ROW()-1,"00000"))</f>
        <v/>
      </c>
      <c r="B1417" s="3">
        <f>IF(D1417="","",IF(V1417=0,"CONCLUÍDO",IF(D1417&lt;corte,"HISTÓRICO",IF(OR(AND(ISNUMBER(R1417),R1417&lt;TODAY()),AND(OR(N1417="PENDENTE",N1417="PARCIAL"),D1417&lt;TODAY()-1)),"CRÍTICO",IF(OR(AND(P1417&lt;&gt;"",S1417=""),AND(N1417="REALIZADO",M1417="PENDENTE"),AND(ISNUMBER(R1417),R1417=TODAY())),"ATENÇÃO",IF(N(K1417)=0,"PENDENTE","EM ANDAMENTO"))))))</f>
        <v/>
      </c>
      <c r="C1417" s="3">
        <f>IF(D1417="","",IF(V1417=0,"🟢 OK",IF(D1417&lt;corte,"⚪ HISTÓRICO (sem baixa)",IF(AND(ISNUMBER(R1417),R1417&lt;TODAY()),"🔴 PRAZO VENCIDO",IF(AND(OR(N1417="PENDENTE",N1417="PARCIAL"),D1417&lt;TODAY()-1),"🔴 EMBARQUE ATRASADO",IF(AND(N1417="REALIZADO",M1417="PENDENTE"),"🟡 EMBARCADO SEM FATURAR",IF(AND(P1417&lt;&gt;"",S1417="",OR(Q1417="",R1417="")),"🟡 PENDÊNCIA SEM RESPONSÁVEL/PRAZO",IF(AND(ISNUMBER(R1417),R1417=TODAY()),"🟡 VENCE HOJE",IF(AND(P1417&lt;&gt;"",S1417=""),"🟡 PENDÊNCIA ABERTA",IF(AND(N(J1417)&gt;0,N(K1417)&lt;J1417),"🟡 FALTA EXECUTAR",IF(OR(M1417="PENDENTE",M1417="PARCIAL"),"🟡 FATURAMENTO PENDENTE","🟡 EMBARQUE PENDENTE")))))))))))</f>
        <v/>
      </c>
      <c r="D1417" s="4" t="n"/>
      <c r="E1417" s="5" t="n"/>
      <c r="F1417" s="5" t="n"/>
      <c r="G1417" s="5" t="n"/>
      <c r="H1417" s="5" t="n"/>
      <c r="I1417" s="5" t="n"/>
      <c r="J1417" s="6" t="n"/>
      <c r="K1417" s="6" t="n"/>
      <c r="L1417" s="7">
        <f>IF(OR(D1417="",N(J1417)=0),"",MIN(1,N(K1417)/J1417))</f>
        <v/>
      </c>
      <c r="M1417" s="5" t="n"/>
      <c r="N1417" s="5" t="n"/>
      <c r="O1417" s="5" t="n"/>
      <c r="P1417" s="5" t="n"/>
      <c r="Q1417" s="5" t="n"/>
      <c r="R1417" s="4" t="n"/>
      <c r="S1417" s="4" t="n"/>
      <c r="T1417" s="5" t="n"/>
      <c r="U1417" s="8">
        <f>IF(AND(V1417=1,D1417&lt;&gt;""),IF(D1417&gt;=corte,TODAY()-D1417,""),"")</f>
        <v/>
      </c>
      <c r="V1417" s="8">
        <f>IF(D1417="",0,IF(OR(AND(P1417&lt;&gt;"",S1417=""),AND(N(J1417)&gt;0,N(K1417)&lt;J1417),OR(M1417="PENDENTE",M1417="PARCIAL"),OR(N1417="PENDENTE",N1417="PARCIAL")),1,0))</f>
        <v/>
      </c>
      <c r="W1417" s="8">
        <f>IF(AND(V1417=1,D1417&lt;&gt;""),IF(D1417&gt;=corte,(B1417="CRÍTICO")*1E9+(100000-D1417)*10000+10000-ROW(),""),"")</f>
        <v/>
      </c>
      <c r="X1417" s="8">
        <f>IF(AND(V1417=1,D1417=pas_data,E1417=pas_turno),10000-ROW(),"")</f>
        <v/>
      </c>
    </row>
    <row r="1418">
      <c r="A1418" s="3">
        <f>IF(D1418="","","TT-"&amp;TEXT(ROW()-1,"00000"))</f>
        <v/>
      </c>
      <c r="B1418" s="3">
        <f>IF(D1418="","",IF(V1418=0,"CONCLUÍDO",IF(D1418&lt;corte,"HISTÓRICO",IF(OR(AND(ISNUMBER(R1418),R1418&lt;TODAY()),AND(OR(N1418="PENDENTE",N1418="PARCIAL"),D1418&lt;TODAY()-1)),"CRÍTICO",IF(OR(AND(P1418&lt;&gt;"",S1418=""),AND(N1418="REALIZADO",M1418="PENDENTE"),AND(ISNUMBER(R1418),R1418=TODAY())),"ATENÇÃO",IF(N(K1418)=0,"PENDENTE","EM ANDAMENTO"))))))</f>
        <v/>
      </c>
      <c r="C1418" s="3">
        <f>IF(D1418="","",IF(V1418=0,"🟢 OK",IF(D1418&lt;corte,"⚪ HISTÓRICO (sem baixa)",IF(AND(ISNUMBER(R1418),R1418&lt;TODAY()),"🔴 PRAZO VENCIDO",IF(AND(OR(N1418="PENDENTE",N1418="PARCIAL"),D1418&lt;TODAY()-1),"🔴 EMBARQUE ATRASADO",IF(AND(N1418="REALIZADO",M1418="PENDENTE"),"🟡 EMBARCADO SEM FATURAR",IF(AND(P1418&lt;&gt;"",S1418="",OR(Q1418="",R1418="")),"🟡 PENDÊNCIA SEM RESPONSÁVEL/PRAZO",IF(AND(ISNUMBER(R1418),R1418=TODAY()),"🟡 VENCE HOJE",IF(AND(P1418&lt;&gt;"",S1418=""),"🟡 PENDÊNCIA ABERTA",IF(AND(N(J1418)&gt;0,N(K1418)&lt;J1418),"🟡 FALTA EXECUTAR",IF(OR(M1418="PENDENTE",M1418="PARCIAL"),"🟡 FATURAMENTO PENDENTE","🟡 EMBARQUE PENDENTE")))))))))))</f>
        <v/>
      </c>
      <c r="D1418" s="4" t="n"/>
      <c r="E1418" s="5" t="n"/>
      <c r="F1418" s="5" t="n"/>
      <c r="G1418" s="5" t="n"/>
      <c r="H1418" s="5" t="n"/>
      <c r="I1418" s="5" t="n"/>
      <c r="J1418" s="6" t="n"/>
      <c r="K1418" s="6" t="n"/>
      <c r="L1418" s="7">
        <f>IF(OR(D1418="",N(J1418)=0),"",MIN(1,N(K1418)/J1418))</f>
        <v/>
      </c>
      <c r="M1418" s="5" t="n"/>
      <c r="N1418" s="5" t="n"/>
      <c r="O1418" s="5" t="n"/>
      <c r="P1418" s="5" t="n"/>
      <c r="Q1418" s="5" t="n"/>
      <c r="R1418" s="4" t="n"/>
      <c r="S1418" s="4" t="n"/>
      <c r="T1418" s="5" t="n"/>
      <c r="U1418" s="8">
        <f>IF(AND(V1418=1,D1418&lt;&gt;""),IF(D1418&gt;=corte,TODAY()-D1418,""),"")</f>
        <v/>
      </c>
      <c r="V1418" s="8">
        <f>IF(D1418="",0,IF(OR(AND(P1418&lt;&gt;"",S1418=""),AND(N(J1418)&gt;0,N(K1418)&lt;J1418),OR(M1418="PENDENTE",M1418="PARCIAL"),OR(N1418="PENDENTE",N1418="PARCIAL")),1,0))</f>
        <v/>
      </c>
      <c r="W1418" s="8">
        <f>IF(AND(V1418=1,D1418&lt;&gt;""),IF(D1418&gt;=corte,(B1418="CRÍTICO")*1E9+(100000-D1418)*10000+10000-ROW(),""),"")</f>
        <v/>
      </c>
      <c r="X1418" s="8">
        <f>IF(AND(V1418=1,D1418=pas_data,E1418=pas_turno),10000-ROW(),"")</f>
        <v/>
      </c>
    </row>
    <row r="1419">
      <c r="A1419" s="3">
        <f>IF(D1419="","","TT-"&amp;TEXT(ROW()-1,"00000"))</f>
        <v/>
      </c>
      <c r="B1419" s="3">
        <f>IF(D1419="","",IF(V1419=0,"CONCLUÍDO",IF(D1419&lt;corte,"HISTÓRICO",IF(OR(AND(ISNUMBER(R1419),R1419&lt;TODAY()),AND(OR(N1419="PENDENTE",N1419="PARCIAL"),D1419&lt;TODAY()-1)),"CRÍTICO",IF(OR(AND(P1419&lt;&gt;"",S1419=""),AND(N1419="REALIZADO",M1419="PENDENTE"),AND(ISNUMBER(R1419),R1419=TODAY())),"ATENÇÃO",IF(N(K1419)=0,"PENDENTE","EM ANDAMENTO"))))))</f>
        <v/>
      </c>
      <c r="C1419" s="3">
        <f>IF(D1419="","",IF(V1419=0,"🟢 OK",IF(D1419&lt;corte,"⚪ HISTÓRICO (sem baixa)",IF(AND(ISNUMBER(R1419),R1419&lt;TODAY()),"🔴 PRAZO VENCIDO",IF(AND(OR(N1419="PENDENTE",N1419="PARCIAL"),D1419&lt;TODAY()-1),"🔴 EMBARQUE ATRASADO",IF(AND(N1419="REALIZADO",M1419="PENDENTE"),"🟡 EMBARCADO SEM FATURAR",IF(AND(P1419&lt;&gt;"",S1419="",OR(Q1419="",R1419="")),"🟡 PENDÊNCIA SEM RESPONSÁVEL/PRAZO",IF(AND(ISNUMBER(R1419),R1419=TODAY()),"🟡 VENCE HOJE",IF(AND(P1419&lt;&gt;"",S1419=""),"🟡 PENDÊNCIA ABERTA",IF(AND(N(J1419)&gt;0,N(K1419)&lt;J1419),"🟡 FALTA EXECUTAR",IF(OR(M1419="PENDENTE",M1419="PARCIAL"),"🟡 FATURAMENTO PENDENTE","🟡 EMBARQUE PENDENTE")))))))))))</f>
        <v/>
      </c>
      <c r="D1419" s="4" t="n"/>
      <c r="E1419" s="5" t="n"/>
      <c r="F1419" s="5" t="n"/>
      <c r="G1419" s="5" t="n"/>
      <c r="H1419" s="5" t="n"/>
      <c r="I1419" s="5" t="n"/>
      <c r="J1419" s="6" t="n"/>
      <c r="K1419" s="6" t="n"/>
      <c r="L1419" s="7">
        <f>IF(OR(D1419="",N(J1419)=0),"",MIN(1,N(K1419)/J1419))</f>
        <v/>
      </c>
      <c r="M1419" s="5" t="n"/>
      <c r="N1419" s="5" t="n"/>
      <c r="O1419" s="5" t="n"/>
      <c r="P1419" s="5" t="n"/>
      <c r="Q1419" s="5" t="n"/>
      <c r="R1419" s="4" t="n"/>
      <c r="S1419" s="4" t="n"/>
      <c r="T1419" s="5" t="n"/>
      <c r="U1419" s="8">
        <f>IF(AND(V1419=1,D1419&lt;&gt;""),IF(D1419&gt;=corte,TODAY()-D1419,""),"")</f>
        <v/>
      </c>
      <c r="V1419" s="8">
        <f>IF(D1419="",0,IF(OR(AND(P1419&lt;&gt;"",S1419=""),AND(N(J1419)&gt;0,N(K1419)&lt;J1419),OR(M1419="PENDENTE",M1419="PARCIAL"),OR(N1419="PENDENTE",N1419="PARCIAL")),1,0))</f>
        <v/>
      </c>
      <c r="W1419" s="8">
        <f>IF(AND(V1419=1,D1419&lt;&gt;""),IF(D1419&gt;=corte,(B1419="CRÍTICO")*1E9+(100000-D1419)*10000+10000-ROW(),""),"")</f>
        <v/>
      </c>
      <c r="X1419" s="8">
        <f>IF(AND(V1419=1,D1419=pas_data,E1419=pas_turno),10000-ROW(),"")</f>
        <v/>
      </c>
    </row>
    <row r="1420">
      <c r="A1420" s="3">
        <f>IF(D1420="","","TT-"&amp;TEXT(ROW()-1,"00000"))</f>
        <v/>
      </c>
      <c r="B1420" s="3">
        <f>IF(D1420="","",IF(V1420=0,"CONCLUÍDO",IF(D1420&lt;corte,"HISTÓRICO",IF(OR(AND(ISNUMBER(R1420),R1420&lt;TODAY()),AND(OR(N1420="PENDENTE",N1420="PARCIAL"),D1420&lt;TODAY()-1)),"CRÍTICO",IF(OR(AND(P1420&lt;&gt;"",S1420=""),AND(N1420="REALIZADO",M1420="PENDENTE"),AND(ISNUMBER(R1420),R1420=TODAY())),"ATENÇÃO",IF(N(K1420)=0,"PENDENTE","EM ANDAMENTO"))))))</f>
        <v/>
      </c>
      <c r="C1420" s="3">
        <f>IF(D1420="","",IF(V1420=0,"🟢 OK",IF(D1420&lt;corte,"⚪ HISTÓRICO (sem baixa)",IF(AND(ISNUMBER(R1420),R1420&lt;TODAY()),"🔴 PRAZO VENCIDO",IF(AND(OR(N1420="PENDENTE",N1420="PARCIAL"),D1420&lt;TODAY()-1),"🔴 EMBARQUE ATRASADO",IF(AND(N1420="REALIZADO",M1420="PENDENTE"),"🟡 EMBARCADO SEM FATURAR",IF(AND(P1420&lt;&gt;"",S1420="",OR(Q1420="",R1420="")),"🟡 PENDÊNCIA SEM RESPONSÁVEL/PRAZO",IF(AND(ISNUMBER(R1420),R1420=TODAY()),"🟡 VENCE HOJE",IF(AND(P1420&lt;&gt;"",S1420=""),"🟡 PENDÊNCIA ABERTA",IF(AND(N(J1420)&gt;0,N(K1420)&lt;J1420),"🟡 FALTA EXECUTAR",IF(OR(M1420="PENDENTE",M1420="PARCIAL"),"🟡 FATURAMENTO PENDENTE","🟡 EMBARQUE PENDENTE")))))))))))</f>
        <v/>
      </c>
      <c r="D1420" s="4" t="n"/>
      <c r="E1420" s="5" t="n"/>
      <c r="F1420" s="5" t="n"/>
      <c r="G1420" s="5" t="n"/>
      <c r="H1420" s="5" t="n"/>
      <c r="I1420" s="5" t="n"/>
      <c r="J1420" s="6" t="n"/>
      <c r="K1420" s="6" t="n"/>
      <c r="L1420" s="7">
        <f>IF(OR(D1420="",N(J1420)=0),"",MIN(1,N(K1420)/J1420))</f>
        <v/>
      </c>
      <c r="M1420" s="5" t="n"/>
      <c r="N1420" s="5" t="n"/>
      <c r="O1420" s="5" t="n"/>
      <c r="P1420" s="5" t="n"/>
      <c r="Q1420" s="5" t="n"/>
      <c r="R1420" s="4" t="n"/>
      <c r="S1420" s="4" t="n"/>
      <c r="T1420" s="5" t="n"/>
      <c r="U1420" s="8">
        <f>IF(AND(V1420=1,D1420&lt;&gt;""),IF(D1420&gt;=corte,TODAY()-D1420,""),"")</f>
        <v/>
      </c>
      <c r="V1420" s="8">
        <f>IF(D1420="",0,IF(OR(AND(P1420&lt;&gt;"",S1420=""),AND(N(J1420)&gt;0,N(K1420)&lt;J1420),OR(M1420="PENDENTE",M1420="PARCIAL"),OR(N1420="PENDENTE",N1420="PARCIAL")),1,0))</f>
        <v/>
      </c>
      <c r="W1420" s="8">
        <f>IF(AND(V1420=1,D1420&lt;&gt;""),IF(D1420&gt;=corte,(B1420="CRÍTICO")*1E9+(100000-D1420)*10000+10000-ROW(),""),"")</f>
        <v/>
      </c>
      <c r="X1420" s="8">
        <f>IF(AND(V1420=1,D1420=pas_data,E1420=pas_turno),10000-ROW(),"")</f>
        <v/>
      </c>
    </row>
    <row r="1421">
      <c r="A1421" s="3">
        <f>IF(D1421="","","TT-"&amp;TEXT(ROW()-1,"00000"))</f>
        <v/>
      </c>
      <c r="B1421" s="3">
        <f>IF(D1421="","",IF(V1421=0,"CONCLUÍDO",IF(D1421&lt;corte,"HISTÓRICO",IF(OR(AND(ISNUMBER(R1421),R1421&lt;TODAY()),AND(OR(N1421="PENDENTE",N1421="PARCIAL"),D1421&lt;TODAY()-1)),"CRÍTICO",IF(OR(AND(P1421&lt;&gt;"",S1421=""),AND(N1421="REALIZADO",M1421="PENDENTE"),AND(ISNUMBER(R1421),R1421=TODAY())),"ATENÇÃO",IF(N(K1421)=0,"PENDENTE","EM ANDAMENTO"))))))</f>
        <v/>
      </c>
      <c r="C1421" s="3">
        <f>IF(D1421="","",IF(V1421=0,"🟢 OK",IF(D1421&lt;corte,"⚪ HISTÓRICO (sem baixa)",IF(AND(ISNUMBER(R1421),R1421&lt;TODAY()),"🔴 PRAZO VENCIDO",IF(AND(OR(N1421="PENDENTE",N1421="PARCIAL"),D1421&lt;TODAY()-1),"🔴 EMBARQUE ATRASADO",IF(AND(N1421="REALIZADO",M1421="PENDENTE"),"🟡 EMBARCADO SEM FATURAR",IF(AND(P1421&lt;&gt;"",S1421="",OR(Q1421="",R1421="")),"🟡 PENDÊNCIA SEM RESPONSÁVEL/PRAZO",IF(AND(ISNUMBER(R1421),R1421=TODAY()),"🟡 VENCE HOJE",IF(AND(P1421&lt;&gt;"",S1421=""),"🟡 PENDÊNCIA ABERTA",IF(AND(N(J1421)&gt;0,N(K1421)&lt;J1421),"🟡 FALTA EXECUTAR",IF(OR(M1421="PENDENTE",M1421="PARCIAL"),"🟡 FATURAMENTO PENDENTE","🟡 EMBARQUE PENDENTE")))))))))))</f>
        <v/>
      </c>
      <c r="D1421" s="4" t="n"/>
      <c r="E1421" s="5" t="n"/>
      <c r="F1421" s="5" t="n"/>
      <c r="G1421" s="5" t="n"/>
      <c r="H1421" s="5" t="n"/>
      <c r="I1421" s="5" t="n"/>
      <c r="J1421" s="6" t="n"/>
      <c r="K1421" s="6" t="n"/>
      <c r="L1421" s="7">
        <f>IF(OR(D1421="",N(J1421)=0),"",MIN(1,N(K1421)/J1421))</f>
        <v/>
      </c>
      <c r="M1421" s="5" t="n"/>
      <c r="N1421" s="5" t="n"/>
      <c r="O1421" s="5" t="n"/>
      <c r="P1421" s="5" t="n"/>
      <c r="Q1421" s="5" t="n"/>
      <c r="R1421" s="4" t="n"/>
      <c r="S1421" s="4" t="n"/>
      <c r="T1421" s="5" t="n"/>
      <c r="U1421" s="8">
        <f>IF(AND(V1421=1,D1421&lt;&gt;""),IF(D1421&gt;=corte,TODAY()-D1421,""),"")</f>
        <v/>
      </c>
      <c r="V1421" s="8">
        <f>IF(D1421="",0,IF(OR(AND(P1421&lt;&gt;"",S1421=""),AND(N(J1421)&gt;0,N(K1421)&lt;J1421),OR(M1421="PENDENTE",M1421="PARCIAL"),OR(N1421="PENDENTE",N1421="PARCIAL")),1,0))</f>
        <v/>
      </c>
      <c r="W1421" s="8">
        <f>IF(AND(V1421=1,D1421&lt;&gt;""),IF(D1421&gt;=corte,(B1421="CRÍTICO")*1E9+(100000-D1421)*10000+10000-ROW(),""),"")</f>
        <v/>
      </c>
      <c r="X1421" s="8">
        <f>IF(AND(V1421=1,D1421=pas_data,E1421=pas_turno),10000-ROW(),"")</f>
        <v/>
      </c>
    </row>
    <row r="1422">
      <c r="A1422" s="3">
        <f>IF(D1422="","","TT-"&amp;TEXT(ROW()-1,"00000"))</f>
        <v/>
      </c>
      <c r="B1422" s="3">
        <f>IF(D1422="","",IF(V1422=0,"CONCLUÍDO",IF(D1422&lt;corte,"HISTÓRICO",IF(OR(AND(ISNUMBER(R1422),R1422&lt;TODAY()),AND(OR(N1422="PENDENTE",N1422="PARCIAL"),D1422&lt;TODAY()-1)),"CRÍTICO",IF(OR(AND(P1422&lt;&gt;"",S1422=""),AND(N1422="REALIZADO",M1422="PENDENTE"),AND(ISNUMBER(R1422),R1422=TODAY())),"ATENÇÃO",IF(N(K1422)=0,"PENDENTE","EM ANDAMENTO"))))))</f>
        <v/>
      </c>
      <c r="C1422" s="3">
        <f>IF(D1422="","",IF(V1422=0,"🟢 OK",IF(D1422&lt;corte,"⚪ HISTÓRICO (sem baixa)",IF(AND(ISNUMBER(R1422),R1422&lt;TODAY()),"🔴 PRAZO VENCIDO",IF(AND(OR(N1422="PENDENTE",N1422="PARCIAL"),D1422&lt;TODAY()-1),"🔴 EMBARQUE ATRASADO",IF(AND(N1422="REALIZADO",M1422="PENDENTE"),"🟡 EMBARCADO SEM FATURAR",IF(AND(P1422&lt;&gt;"",S1422="",OR(Q1422="",R1422="")),"🟡 PENDÊNCIA SEM RESPONSÁVEL/PRAZO",IF(AND(ISNUMBER(R1422),R1422=TODAY()),"🟡 VENCE HOJE",IF(AND(P1422&lt;&gt;"",S1422=""),"🟡 PENDÊNCIA ABERTA",IF(AND(N(J1422)&gt;0,N(K1422)&lt;J1422),"🟡 FALTA EXECUTAR",IF(OR(M1422="PENDENTE",M1422="PARCIAL"),"🟡 FATURAMENTO PENDENTE","🟡 EMBARQUE PENDENTE")))))))))))</f>
        <v/>
      </c>
      <c r="D1422" s="4" t="n"/>
      <c r="E1422" s="5" t="n"/>
      <c r="F1422" s="5" t="n"/>
      <c r="G1422" s="5" t="n"/>
      <c r="H1422" s="5" t="n"/>
      <c r="I1422" s="5" t="n"/>
      <c r="J1422" s="6" t="n"/>
      <c r="K1422" s="6" t="n"/>
      <c r="L1422" s="7">
        <f>IF(OR(D1422="",N(J1422)=0),"",MIN(1,N(K1422)/J1422))</f>
        <v/>
      </c>
      <c r="M1422" s="5" t="n"/>
      <c r="N1422" s="5" t="n"/>
      <c r="O1422" s="5" t="n"/>
      <c r="P1422" s="5" t="n"/>
      <c r="Q1422" s="5" t="n"/>
      <c r="R1422" s="4" t="n"/>
      <c r="S1422" s="4" t="n"/>
      <c r="T1422" s="5" t="n"/>
      <c r="U1422" s="8">
        <f>IF(AND(V1422=1,D1422&lt;&gt;""),IF(D1422&gt;=corte,TODAY()-D1422,""),"")</f>
        <v/>
      </c>
      <c r="V1422" s="8">
        <f>IF(D1422="",0,IF(OR(AND(P1422&lt;&gt;"",S1422=""),AND(N(J1422)&gt;0,N(K1422)&lt;J1422),OR(M1422="PENDENTE",M1422="PARCIAL"),OR(N1422="PENDENTE",N1422="PARCIAL")),1,0))</f>
        <v/>
      </c>
      <c r="W1422" s="8">
        <f>IF(AND(V1422=1,D1422&lt;&gt;""),IF(D1422&gt;=corte,(B1422="CRÍTICO")*1E9+(100000-D1422)*10000+10000-ROW(),""),"")</f>
        <v/>
      </c>
      <c r="X1422" s="8">
        <f>IF(AND(V1422=1,D1422=pas_data,E1422=pas_turno),10000-ROW(),"")</f>
        <v/>
      </c>
    </row>
    <row r="1423">
      <c r="A1423" s="3">
        <f>IF(D1423="","","TT-"&amp;TEXT(ROW()-1,"00000"))</f>
        <v/>
      </c>
      <c r="B1423" s="3">
        <f>IF(D1423="","",IF(V1423=0,"CONCLUÍDO",IF(D1423&lt;corte,"HISTÓRICO",IF(OR(AND(ISNUMBER(R1423),R1423&lt;TODAY()),AND(OR(N1423="PENDENTE",N1423="PARCIAL"),D1423&lt;TODAY()-1)),"CRÍTICO",IF(OR(AND(P1423&lt;&gt;"",S1423=""),AND(N1423="REALIZADO",M1423="PENDENTE"),AND(ISNUMBER(R1423),R1423=TODAY())),"ATENÇÃO",IF(N(K1423)=0,"PENDENTE","EM ANDAMENTO"))))))</f>
        <v/>
      </c>
      <c r="C1423" s="3">
        <f>IF(D1423="","",IF(V1423=0,"🟢 OK",IF(D1423&lt;corte,"⚪ HISTÓRICO (sem baixa)",IF(AND(ISNUMBER(R1423),R1423&lt;TODAY()),"🔴 PRAZO VENCIDO",IF(AND(OR(N1423="PENDENTE",N1423="PARCIAL"),D1423&lt;TODAY()-1),"🔴 EMBARQUE ATRASADO",IF(AND(N1423="REALIZADO",M1423="PENDENTE"),"🟡 EMBARCADO SEM FATURAR",IF(AND(P1423&lt;&gt;"",S1423="",OR(Q1423="",R1423="")),"🟡 PENDÊNCIA SEM RESPONSÁVEL/PRAZO",IF(AND(ISNUMBER(R1423),R1423=TODAY()),"🟡 VENCE HOJE",IF(AND(P1423&lt;&gt;"",S1423=""),"🟡 PENDÊNCIA ABERTA",IF(AND(N(J1423)&gt;0,N(K1423)&lt;J1423),"🟡 FALTA EXECUTAR",IF(OR(M1423="PENDENTE",M1423="PARCIAL"),"🟡 FATURAMENTO PENDENTE","🟡 EMBARQUE PENDENTE")))))))))))</f>
        <v/>
      </c>
      <c r="D1423" s="4" t="n"/>
      <c r="E1423" s="5" t="n"/>
      <c r="F1423" s="5" t="n"/>
      <c r="G1423" s="5" t="n"/>
      <c r="H1423" s="5" t="n"/>
      <c r="I1423" s="5" t="n"/>
      <c r="J1423" s="6" t="n"/>
      <c r="K1423" s="6" t="n"/>
      <c r="L1423" s="7">
        <f>IF(OR(D1423="",N(J1423)=0),"",MIN(1,N(K1423)/J1423))</f>
        <v/>
      </c>
      <c r="M1423" s="5" t="n"/>
      <c r="N1423" s="5" t="n"/>
      <c r="O1423" s="5" t="n"/>
      <c r="P1423" s="5" t="n"/>
      <c r="Q1423" s="5" t="n"/>
      <c r="R1423" s="4" t="n"/>
      <c r="S1423" s="4" t="n"/>
      <c r="T1423" s="5" t="n"/>
      <c r="U1423" s="8">
        <f>IF(AND(V1423=1,D1423&lt;&gt;""),IF(D1423&gt;=corte,TODAY()-D1423,""),"")</f>
        <v/>
      </c>
      <c r="V1423" s="8">
        <f>IF(D1423="",0,IF(OR(AND(P1423&lt;&gt;"",S1423=""),AND(N(J1423)&gt;0,N(K1423)&lt;J1423),OR(M1423="PENDENTE",M1423="PARCIAL"),OR(N1423="PENDENTE",N1423="PARCIAL")),1,0))</f>
        <v/>
      </c>
      <c r="W1423" s="8">
        <f>IF(AND(V1423=1,D1423&lt;&gt;""),IF(D1423&gt;=corte,(B1423="CRÍTICO")*1E9+(100000-D1423)*10000+10000-ROW(),""),"")</f>
        <v/>
      </c>
      <c r="X1423" s="8">
        <f>IF(AND(V1423=1,D1423=pas_data,E1423=pas_turno),10000-ROW(),"")</f>
        <v/>
      </c>
    </row>
    <row r="1424">
      <c r="A1424" s="3">
        <f>IF(D1424="","","TT-"&amp;TEXT(ROW()-1,"00000"))</f>
        <v/>
      </c>
      <c r="B1424" s="3">
        <f>IF(D1424="","",IF(V1424=0,"CONCLUÍDO",IF(D1424&lt;corte,"HISTÓRICO",IF(OR(AND(ISNUMBER(R1424),R1424&lt;TODAY()),AND(OR(N1424="PENDENTE",N1424="PARCIAL"),D1424&lt;TODAY()-1)),"CRÍTICO",IF(OR(AND(P1424&lt;&gt;"",S1424=""),AND(N1424="REALIZADO",M1424="PENDENTE"),AND(ISNUMBER(R1424),R1424=TODAY())),"ATENÇÃO",IF(N(K1424)=0,"PENDENTE","EM ANDAMENTO"))))))</f>
        <v/>
      </c>
      <c r="C1424" s="3">
        <f>IF(D1424="","",IF(V1424=0,"🟢 OK",IF(D1424&lt;corte,"⚪ HISTÓRICO (sem baixa)",IF(AND(ISNUMBER(R1424),R1424&lt;TODAY()),"🔴 PRAZO VENCIDO",IF(AND(OR(N1424="PENDENTE",N1424="PARCIAL"),D1424&lt;TODAY()-1),"🔴 EMBARQUE ATRASADO",IF(AND(N1424="REALIZADO",M1424="PENDENTE"),"🟡 EMBARCADO SEM FATURAR",IF(AND(P1424&lt;&gt;"",S1424="",OR(Q1424="",R1424="")),"🟡 PENDÊNCIA SEM RESPONSÁVEL/PRAZO",IF(AND(ISNUMBER(R1424),R1424=TODAY()),"🟡 VENCE HOJE",IF(AND(P1424&lt;&gt;"",S1424=""),"🟡 PENDÊNCIA ABERTA",IF(AND(N(J1424)&gt;0,N(K1424)&lt;J1424),"🟡 FALTA EXECUTAR",IF(OR(M1424="PENDENTE",M1424="PARCIAL"),"🟡 FATURAMENTO PENDENTE","🟡 EMBARQUE PENDENTE")))))))))))</f>
        <v/>
      </c>
      <c r="D1424" s="4" t="n"/>
      <c r="E1424" s="5" t="n"/>
      <c r="F1424" s="5" t="n"/>
      <c r="G1424" s="5" t="n"/>
      <c r="H1424" s="5" t="n"/>
      <c r="I1424" s="5" t="n"/>
      <c r="J1424" s="6" t="n"/>
      <c r="K1424" s="6" t="n"/>
      <c r="L1424" s="7">
        <f>IF(OR(D1424="",N(J1424)=0),"",MIN(1,N(K1424)/J1424))</f>
        <v/>
      </c>
      <c r="M1424" s="5" t="n"/>
      <c r="N1424" s="5" t="n"/>
      <c r="O1424" s="5" t="n"/>
      <c r="P1424" s="5" t="n"/>
      <c r="Q1424" s="5" t="n"/>
      <c r="R1424" s="4" t="n"/>
      <c r="S1424" s="4" t="n"/>
      <c r="T1424" s="5" t="n"/>
      <c r="U1424" s="8">
        <f>IF(AND(V1424=1,D1424&lt;&gt;""),IF(D1424&gt;=corte,TODAY()-D1424,""),"")</f>
        <v/>
      </c>
      <c r="V1424" s="8">
        <f>IF(D1424="",0,IF(OR(AND(P1424&lt;&gt;"",S1424=""),AND(N(J1424)&gt;0,N(K1424)&lt;J1424),OR(M1424="PENDENTE",M1424="PARCIAL"),OR(N1424="PENDENTE",N1424="PARCIAL")),1,0))</f>
        <v/>
      </c>
      <c r="W1424" s="8">
        <f>IF(AND(V1424=1,D1424&lt;&gt;""),IF(D1424&gt;=corte,(B1424="CRÍTICO")*1E9+(100000-D1424)*10000+10000-ROW(),""),"")</f>
        <v/>
      </c>
      <c r="X1424" s="8">
        <f>IF(AND(V1424=1,D1424=pas_data,E1424=pas_turno),10000-ROW(),"")</f>
        <v/>
      </c>
    </row>
    <row r="1425">
      <c r="A1425" s="3">
        <f>IF(D1425="","","TT-"&amp;TEXT(ROW()-1,"00000"))</f>
        <v/>
      </c>
      <c r="B1425" s="3">
        <f>IF(D1425="","",IF(V1425=0,"CONCLUÍDO",IF(D1425&lt;corte,"HISTÓRICO",IF(OR(AND(ISNUMBER(R1425),R1425&lt;TODAY()),AND(OR(N1425="PENDENTE",N1425="PARCIAL"),D1425&lt;TODAY()-1)),"CRÍTICO",IF(OR(AND(P1425&lt;&gt;"",S1425=""),AND(N1425="REALIZADO",M1425="PENDENTE"),AND(ISNUMBER(R1425),R1425=TODAY())),"ATENÇÃO",IF(N(K1425)=0,"PENDENTE","EM ANDAMENTO"))))))</f>
        <v/>
      </c>
      <c r="C1425" s="3">
        <f>IF(D1425="","",IF(V1425=0,"🟢 OK",IF(D1425&lt;corte,"⚪ HISTÓRICO (sem baixa)",IF(AND(ISNUMBER(R1425),R1425&lt;TODAY()),"🔴 PRAZO VENCIDO",IF(AND(OR(N1425="PENDENTE",N1425="PARCIAL"),D1425&lt;TODAY()-1),"🔴 EMBARQUE ATRASADO",IF(AND(N1425="REALIZADO",M1425="PENDENTE"),"🟡 EMBARCADO SEM FATURAR",IF(AND(P1425&lt;&gt;"",S1425="",OR(Q1425="",R1425="")),"🟡 PENDÊNCIA SEM RESPONSÁVEL/PRAZO",IF(AND(ISNUMBER(R1425),R1425=TODAY()),"🟡 VENCE HOJE",IF(AND(P1425&lt;&gt;"",S1425=""),"🟡 PENDÊNCIA ABERTA",IF(AND(N(J1425)&gt;0,N(K1425)&lt;J1425),"🟡 FALTA EXECUTAR",IF(OR(M1425="PENDENTE",M1425="PARCIAL"),"🟡 FATURAMENTO PENDENTE","🟡 EMBARQUE PENDENTE")))))))))))</f>
        <v/>
      </c>
      <c r="D1425" s="4" t="n"/>
      <c r="E1425" s="5" t="n"/>
      <c r="F1425" s="5" t="n"/>
      <c r="G1425" s="5" t="n"/>
      <c r="H1425" s="5" t="n"/>
      <c r="I1425" s="5" t="n"/>
      <c r="J1425" s="6" t="n"/>
      <c r="K1425" s="6" t="n"/>
      <c r="L1425" s="7">
        <f>IF(OR(D1425="",N(J1425)=0),"",MIN(1,N(K1425)/J1425))</f>
        <v/>
      </c>
      <c r="M1425" s="5" t="n"/>
      <c r="N1425" s="5" t="n"/>
      <c r="O1425" s="5" t="n"/>
      <c r="P1425" s="5" t="n"/>
      <c r="Q1425" s="5" t="n"/>
      <c r="R1425" s="4" t="n"/>
      <c r="S1425" s="4" t="n"/>
      <c r="T1425" s="5" t="n"/>
      <c r="U1425" s="8">
        <f>IF(AND(V1425=1,D1425&lt;&gt;""),IF(D1425&gt;=corte,TODAY()-D1425,""),"")</f>
        <v/>
      </c>
      <c r="V1425" s="8">
        <f>IF(D1425="",0,IF(OR(AND(P1425&lt;&gt;"",S1425=""),AND(N(J1425)&gt;0,N(K1425)&lt;J1425),OR(M1425="PENDENTE",M1425="PARCIAL"),OR(N1425="PENDENTE",N1425="PARCIAL")),1,0))</f>
        <v/>
      </c>
      <c r="W1425" s="8">
        <f>IF(AND(V1425=1,D1425&lt;&gt;""),IF(D1425&gt;=corte,(B1425="CRÍTICO")*1E9+(100000-D1425)*10000+10000-ROW(),""),"")</f>
        <v/>
      </c>
      <c r="X1425" s="8">
        <f>IF(AND(V1425=1,D1425=pas_data,E1425=pas_turno),10000-ROW(),"")</f>
        <v/>
      </c>
    </row>
    <row r="1426">
      <c r="A1426" s="3">
        <f>IF(D1426="","","TT-"&amp;TEXT(ROW()-1,"00000"))</f>
        <v/>
      </c>
      <c r="B1426" s="3">
        <f>IF(D1426="","",IF(V1426=0,"CONCLUÍDO",IF(D1426&lt;corte,"HISTÓRICO",IF(OR(AND(ISNUMBER(R1426),R1426&lt;TODAY()),AND(OR(N1426="PENDENTE",N1426="PARCIAL"),D1426&lt;TODAY()-1)),"CRÍTICO",IF(OR(AND(P1426&lt;&gt;"",S1426=""),AND(N1426="REALIZADO",M1426="PENDENTE"),AND(ISNUMBER(R1426),R1426=TODAY())),"ATENÇÃO",IF(N(K1426)=0,"PENDENTE","EM ANDAMENTO"))))))</f>
        <v/>
      </c>
      <c r="C1426" s="3">
        <f>IF(D1426="","",IF(V1426=0,"🟢 OK",IF(D1426&lt;corte,"⚪ HISTÓRICO (sem baixa)",IF(AND(ISNUMBER(R1426),R1426&lt;TODAY()),"🔴 PRAZO VENCIDO",IF(AND(OR(N1426="PENDENTE",N1426="PARCIAL"),D1426&lt;TODAY()-1),"🔴 EMBARQUE ATRASADO",IF(AND(N1426="REALIZADO",M1426="PENDENTE"),"🟡 EMBARCADO SEM FATURAR",IF(AND(P1426&lt;&gt;"",S1426="",OR(Q1426="",R1426="")),"🟡 PENDÊNCIA SEM RESPONSÁVEL/PRAZO",IF(AND(ISNUMBER(R1426),R1426=TODAY()),"🟡 VENCE HOJE",IF(AND(P1426&lt;&gt;"",S1426=""),"🟡 PENDÊNCIA ABERTA",IF(AND(N(J1426)&gt;0,N(K1426)&lt;J1426),"🟡 FALTA EXECUTAR",IF(OR(M1426="PENDENTE",M1426="PARCIAL"),"🟡 FATURAMENTO PENDENTE","🟡 EMBARQUE PENDENTE")))))))))))</f>
        <v/>
      </c>
      <c r="D1426" s="4" t="n"/>
      <c r="E1426" s="5" t="n"/>
      <c r="F1426" s="5" t="n"/>
      <c r="G1426" s="5" t="n"/>
      <c r="H1426" s="5" t="n"/>
      <c r="I1426" s="5" t="n"/>
      <c r="J1426" s="6" t="n"/>
      <c r="K1426" s="6" t="n"/>
      <c r="L1426" s="7">
        <f>IF(OR(D1426="",N(J1426)=0),"",MIN(1,N(K1426)/J1426))</f>
        <v/>
      </c>
      <c r="M1426" s="5" t="n"/>
      <c r="N1426" s="5" t="n"/>
      <c r="O1426" s="5" t="n"/>
      <c r="P1426" s="5" t="n"/>
      <c r="Q1426" s="5" t="n"/>
      <c r="R1426" s="4" t="n"/>
      <c r="S1426" s="4" t="n"/>
      <c r="T1426" s="5" t="n"/>
      <c r="U1426" s="8">
        <f>IF(AND(V1426=1,D1426&lt;&gt;""),IF(D1426&gt;=corte,TODAY()-D1426,""),"")</f>
        <v/>
      </c>
      <c r="V1426" s="8">
        <f>IF(D1426="",0,IF(OR(AND(P1426&lt;&gt;"",S1426=""),AND(N(J1426)&gt;0,N(K1426)&lt;J1426),OR(M1426="PENDENTE",M1426="PARCIAL"),OR(N1426="PENDENTE",N1426="PARCIAL")),1,0))</f>
        <v/>
      </c>
      <c r="W1426" s="8">
        <f>IF(AND(V1426=1,D1426&lt;&gt;""),IF(D1426&gt;=corte,(B1426="CRÍTICO")*1E9+(100000-D1426)*10000+10000-ROW(),""),"")</f>
        <v/>
      </c>
      <c r="X1426" s="8">
        <f>IF(AND(V1426=1,D1426=pas_data,E1426=pas_turno),10000-ROW(),"")</f>
        <v/>
      </c>
    </row>
    <row r="1427">
      <c r="A1427" s="3">
        <f>IF(D1427="","","TT-"&amp;TEXT(ROW()-1,"00000"))</f>
        <v/>
      </c>
      <c r="B1427" s="3">
        <f>IF(D1427="","",IF(V1427=0,"CONCLUÍDO",IF(D1427&lt;corte,"HISTÓRICO",IF(OR(AND(ISNUMBER(R1427),R1427&lt;TODAY()),AND(OR(N1427="PENDENTE",N1427="PARCIAL"),D1427&lt;TODAY()-1)),"CRÍTICO",IF(OR(AND(P1427&lt;&gt;"",S1427=""),AND(N1427="REALIZADO",M1427="PENDENTE"),AND(ISNUMBER(R1427),R1427=TODAY())),"ATENÇÃO",IF(N(K1427)=0,"PENDENTE","EM ANDAMENTO"))))))</f>
        <v/>
      </c>
      <c r="C1427" s="3">
        <f>IF(D1427="","",IF(V1427=0,"🟢 OK",IF(D1427&lt;corte,"⚪ HISTÓRICO (sem baixa)",IF(AND(ISNUMBER(R1427),R1427&lt;TODAY()),"🔴 PRAZO VENCIDO",IF(AND(OR(N1427="PENDENTE",N1427="PARCIAL"),D1427&lt;TODAY()-1),"🔴 EMBARQUE ATRASADO",IF(AND(N1427="REALIZADO",M1427="PENDENTE"),"🟡 EMBARCADO SEM FATURAR",IF(AND(P1427&lt;&gt;"",S1427="",OR(Q1427="",R1427="")),"🟡 PENDÊNCIA SEM RESPONSÁVEL/PRAZO",IF(AND(ISNUMBER(R1427),R1427=TODAY()),"🟡 VENCE HOJE",IF(AND(P1427&lt;&gt;"",S1427=""),"🟡 PENDÊNCIA ABERTA",IF(AND(N(J1427)&gt;0,N(K1427)&lt;J1427),"🟡 FALTA EXECUTAR",IF(OR(M1427="PENDENTE",M1427="PARCIAL"),"🟡 FATURAMENTO PENDENTE","🟡 EMBARQUE PENDENTE")))))))))))</f>
        <v/>
      </c>
      <c r="D1427" s="4" t="n"/>
      <c r="E1427" s="5" t="n"/>
      <c r="F1427" s="5" t="n"/>
      <c r="G1427" s="5" t="n"/>
      <c r="H1427" s="5" t="n"/>
      <c r="I1427" s="5" t="n"/>
      <c r="J1427" s="6" t="n"/>
      <c r="K1427" s="6" t="n"/>
      <c r="L1427" s="7">
        <f>IF(OR(D1427="",N(J1427)=0),"",MIN(1,N(K1427)/J1427))</f>
        <v/>
      </c>
      <c r="M1427" s="5" t="n"/>
      <c r="N1427" s="5" t="n"/>
      <c r="O1427" s="5" t="n"/>
      <c r="P1427" s="5" t="n"/>
      <c r="Q1427" s="5" t="n"/>
      <c r="R1427" s="4" t="n"/>
      <c r="S1427" s="4" t="n"/>
      <c r="T1427" s="5" t="n"/>
      <c r="U1427" s="8">
        <f>IF(AND(V1427=1,D1427&lt;&gt;""),IF(D1427&gt;=corte,TODAY()-D1427,""),"")</f>
        <v/>
      </c>
      <c r="V1427" s="8">
        <f>IF(D1427="",0,IF(OR(AND(P1427&lt;&gt;"",S1427=""),AND(N(J1427)&gt;0,N(K1427)&lt;J1427),OR(M1427="PENDENTE",M1427="PARCIAL"),OR(N1427="PENDENTE",N1427="PARCIAL")),1,0))</f>
        <v/>
      </c>
      <c r="W1427" s="8">
        <f>IF(AND(V1427=1,D1427&lt;&gt;""),IF(D1427&gt;=corte,(B1427="CRÍTICO")*1E9+(100000-D1427)*10000+10000-ROW(),""),"")</f>
        <v/>
      </c>
      <c r="X1427" s="8">
        <f>IF(AND(V1427=1,D1427=pas_data,E1427=pas_turno),10000-ROW(),"")</f>
        <v/>
      </c>
    </row>
    <row r="1428">
      <c r="A1428" s="3">
        <f>IF(D1428="","","TT-"&amp;TEXT(ROW()-1,"00000"))</f>
        <v/>
      </c>
      <c r="B1428" s="3">
        <f>IF(D1428="","",IF(V1428=0,"CONCLUÍDO",IF(D1428&lt;corte,"HISTÓRICO",IF(OR(AND(ISNUMBER(R1428),R1428&lt;TODAY()),AND(OR(N1428="PENDENTE",N1428="PARCIAL"),D1428&lt;TODAY()-1)),"CRÍTICO",IF(OR(AND(P1428&lt;&gt;"",S1428=""),AND(N1428="REALIZADO",M1428="PENDENTE"),AND(ISNUMBER(R1428),R1428=TODAY())),"ATENÇÃO",IF(N(K1428)=0,"PENDENTE","EM ANDAMENTO"))))))</f>
        <v/>
      </c>
      <c r="C1428" s="3">
        <f>IF(D1428="","",IF(V1428=0,"🟢 OK",IF(D1428&lt;corte,"⚪ HISTÓRICO (sem baixa)",IF(AND(ISNUMBER(R1428),R1428&lt;TODAY()),"🔴 PRAZO VENCIDO",IF(AND(OR(N1428="PENDENTE",N1428="PARCIAL"),D1428&lt;TODAY()-1),"🔴 EMBARQUE ATRASADO",IF(AND(N1428="REALIZADO",M1428="PENDENTE"),"🟡 EMBARCADO SEM FATURAR",IF(AND(P1428&lt;&gt;"",S1428="",OR(Q1428="",R1428="")),"🟡 PENDÊNCIA SEM RESPONSÁVEL/PRAZO",IF(AND(ISNUMBER(R1428),R1428=TODAY()),"🟡 VENCE HOJE",IF(AND(P1428&lt;&gt;"",S1428=""),"🟡 PENDÊNCIA ABERTA",IF(AND(N(J1428)&gt;0,N(K1428)&lt;J1428),"🟡 FALTA EXECUTAR",IF(OR(M1428="PENDENTE",M1428="PARCIAL"),"🟡 FATURAMENTO PENDENTE","🟡 EMBARQUE PENDENTE")))))))))))</f>
        <v/>
      </c>
      <c r="D1428" s="4" t="n"/>
      <c r="E1428" s="5" t="n"/>
      <c r="F1428" s="5" t="n"/>
      <c r="G1428" s="5" t="n"/>
      <c r="H1428" s="5" t="n"/>
      <c r="I1428" s="5" t="n"/>
      <c r="J1428" s="6" t="n"/>
      <c r="K1428" s="6" t="n"/>
      <c r="L1428" s="7">
        <f>IF(OR(D1428="",N(J1428)=0),"",MIN(1,N(K1428)/J1428))</f>
        <v/>
      </c>
      <c r="M1428" s="5" t="n"/>
      <c r="N1428" s="5" t="n"/>
      <c r="O1428" s="5" t="n"/>
      <c r="P1428" s="5" t="n"/>
      <c r="Q1428" s="5" t="n"/>
      <c r="R1428" s="4" t="n"/>
      <c r="S1428" s="4" t="n"/>
      <c r="T1428" s="5" t="n"/>
      <c r="U1428" s="8">
        <f>IF(AND(V1428=1,D1428&lt;&gt;""),IF(D1428&gt;=corte,TODAY()-D1428,""),"")</f>
        <v/>
      </c>
      <c r="V1428" s="8">
        <f>IF(D1428="",0,IF(OR(AND(P1428&lt;&gt;"",S1428=""),AND(N(J1428)&gt;0,N(K1428)&lt;J1428),OR(M1428="PENDENTE",M1428="PARCIAL"),OR(N1428="PENDENTE",N1428="PARCIAL")),1,0))</f>
        <v/>
      </c>
      <c r="W1428" s="8">
        <f>IF(AND(V1428=1,D1428&lt;&gt;""),IF(D1428&gt;=corte,(B1428="CRÍTICO")*1E9+(100000-D1428)*10000+10000-ROW(),""),"")</f>
        <v/>
      </c>
      <c r="X1428" s="8">
        <f>IF(AND(V1428=1,D1428=pas_data,E1428=pas_turno),10000-ROW(),"")</f>
        <v/>
      </c>
    </row>
    <row r="1429">
      <c r="A1429" s="3">
        <f>IF(D1429="","","TT-"&amp;TEXT(ROW()-1,"00000"))</f>
        <v/>
      </c>
      <c r="B1429" s="3">
        <f>IF(D1429="","",IF(V1429=0,"CONCLUÍDO",IF(D1429&lt;corte,"HISTÓRICO",IF(OR(AND(ISNUMBER(R1429),R1429&lt;TODAY()),AND(OR(N1429="PENDENTE",N1429="PARCIAL"),D1429&lt;TODAY()-1)),"CRÍTICO",IF(OR(AND(P1429&lt;&gt;"",S1429=""),AND(N1429="REALIZADO",M1429="PENDENTE"),AND(ISNUMBER(R1429),R1429=TODAY())),"ATENÇÃO",IF(N(K1429)=0,"PENDENTE","EM ANDAMENTO"))))))</f>
        <v/>
      </c>
      <c r="C1429" s="3">
        <f>IF(D1429="","",IF(V1429=0,"🟢 OK",IF(D1429&lt;corte,"⚪ HISTÓRICO (sem baixa)",IF(AND(ISNUMBER(R1429),R1429&lt;TODAY()),"🔴 PRAZO VENCIDO",IF(AND(OR(N1429="PENDENTE",N1429="PARCIAL"),D1429&lt;TODAY()-1),"🔴 EMBARQUE ATRASADO",IF(AND(N1429="REALIZADO",M1429="PENDENTE"),"🟡 EMBARCADO SEM FATURAR",IF(AND(P1429&lt;&gt;"",S1429="",OR(Q1429="",R1429="")),"🟡 PENDÊNCIA SEM RESPONSÁVEL/PRAZO",IF(AND(ISNUMBER(R1429),R1429=TODAY()),"🟡 VENCE HOJE",IF(AND(P1429&lt;&gt;"",S1429=""),"🟡 PENDÊNCIA ABERTA",IF(AND(N(J1429)&gt;0,N(K1429)&lt;J1429),"🟡 FALTA EXECUTAR",IF(OR(M1429="PENDENTE",M1429="PARCIAL"),"🟡 FATURAMENTO PENDENTE","🟡 EMBARQUE PENDENTE")))))))))))</f>
        <v/>
      </c>
      <c r="D1429" s="4" t="n"/>
      <c r="E1429" s="5" t="n"/>
      <c r="F1429" s="5" t="n"/>
      <c r="G1429" s="5" t="n"/>
      <c r="H1429" s="5" t="n"/>
      <c r="I1429" s="5" t="n"/>
      <c r="J1429" s="6" t="n"/>
      <c r="K1429" s="6" t="n"/>
      <c r="L1429" s="7">
        <f>IF(OR(D1429="",N(J1429)=0),"",MIN(1,N(K1429)/J1429))</f>
        <v/>
      </c>
      <c r="M1429" s="5" t="n"/>
      <c r="N1429" s="5" t="n"/>
      <c r="O1429" s="5" t="n"/>
      <c r="P1429" s="5" t="n"/>
      <c r="Q1429" s="5" t="n"/>
      <c r="R1429" s="4" t="n"/>
      <c r="S1429" s="4" t="n"/>
      <c r="T1429" s="5" t="n"/>
      <c r="U1429" s="8">
        <f>IF(AND(V1429=1,D1429&lt;&gt;""),IF(D1429&gt;=corte,TODAY()-D1429,""),"")</f>
        <v/>
      </c>
      <c r="V1429" s="8">
        <f>IF(D1429="",0,IF(OR(AND(P1429&lt;&gt;"",S1429=""),AND(N(J1429)&gt;0,N(K1429)&lt;J1429),OR(M1429="PENDENTE",M1429="PARCIAL"),OR(N1429="PENDENTE",N1429="PARCIAL")),1,0))</f>
        <v/>
      </c>
      <c r="W1429" s="8">
        <f>IF(AND(V1429=1,D1429&lt;&gt;""),IF(D1429&gt;=corte,(B1429="CRÍTICO")*1E9+(100000-D1429)*10000+10000-ROW(),""),"")</f>
        <v/>
      </c>
      <c r="X1429" s="8">
        <f>IF(AND(V1429=1,D1429=pas_data,E1429=pas_turno),10000-ROW(),"")</f>
        <v/>
      </c>
    </row>
    <row r="1430">
      <c r="A1430" s="3">
        <f>IF(D1430="","","TT-"&amp;TEXT(ROW()-1,"00000"))</f>
        <v/>
      </c>
      <c r="B1430" s="3">
        <f>IF(D1430="","",IF(V1430=0,"CONCLUÍDO",IF(D1430&lt;corte,"HISTÓRICO",IF(OR(AND(ISNUMBER(R1430),R1430&lt;TODAY()),AND(OR(N1430="PENDENTE",N1430="PARCIAL"),D1430&lt;TODAY()-1)),"CRÍTICO",IF(OR(AND(P1430&lt;&gt;"",S1430=""),AND(N1430="REALIZADO",M1430="PENDENTE"),AND(ISNUMBER(R1430),R1430=TODAY())),"ATENÇÃO",IF(N(K1430)=0,"PENDENTE","EM ANDAMENTO"))))))</f>
        <v/>
      </c>
      <c r="C1430" s="3">
        <f>IF(D1430="","",IF(V1430=0,"🟢 OK",IF(D1430&lt;corte,"⚪ HISTÓRICO (sem baixa)",IF(AND(ISNUMBER(R1430),R1430&lt;TODAY()),"🔴 PRAZO VENCIDO",IF(AND(OR(N1430="PENDENTE",N1430="PARCIAL"),D1430&lt;TODAY()-1),"🔴 EMBARQUE ATRASADO",IF(AND(N1430="REALIZADO",M1430="PENDENTE"),"🟡 EMBARCADO SEM FATURAR",IF(AND(P1430&lt;&gt;"",S1430="",OR(Q1430="",R1430="")),"🟡 PENDÊNCIA SEM RESPONSÁVEL/PRAZO",IF(AND(ISNUMBER(R1430),R1430=TODAY()),"🟡 VENCE HOJE",IF(AND(P1430&lt;&gt;"",S1430=""),"🟡 PENDÊNCIA ABERTA",IF(AND(N(J1430)&gt;0,N(K1430)&lt;J1430),"🟡 FALTA EXECUTAR",IF(OR(M1430="PENDENTE",M1430="PARCIAL"),"🟡 FATURAMENTO PENDENTE","🟡 EMBARQUE PENDENTE")))))))))))</f>
        <v/>
      </c>
      <c r="D1430" s="4" t="n"/>
      <c r="E1430" s="5" t="n"/>
      <c r="F1430" s="5" t="n"/>
      <c r="G1430" s="5" t="n"/>
      <c r="H1430" s="5" t="n"/>
      <c r="I1430" s="5" t="n"/>
      <c r="J1430" s="6" t="n"/>
      <c r="K1430" s="6" t="n"/>
      <c r="L1430" s="7">
        <f>IF(OR(D1430="",N(J1430)=0),"",MIN(1,N(K1430)/J1430))</f>
        <v/>
      </c>
      <c r="M1430" s="5" t="n"/>
      <c r="N1430" s="5" t="n"/>
      <c r="O1430" s="5" t="n"/>
      <c r="P1430" s="5" t="n"/>
      <c r="Q1430" s="5" t="n"/>
      <c r="R1430" s="4" t="n"/>
      <c r="S1430" s="4" t="n"/>
      <c r="T1430" s="5" t="n"/>
      <c r="U1430" s="8">
        <f>IF(AND(V1430=1,D1430&lt;&gt;""),IF(D1430&gt;=corte,TODAY()-D1430,""),"")</f>
        <v/>
      </c>
      <c r="V1430" s="8">
        <f>IF(D1430="",0,IF(OR(AND(P1430&lt;&gt;"",S1430=""),AND(N(J1430)&gt;0,N(K1430)&lt;J1430),OR(M1430="PENDENTE",M1430="PARCIAL"),OR(N1430="PENDENTE",N1430="PARCIAL")),1,0))</f>
        <v/>
      </c>
      <c r="W1430" s="8">
        <f>IF(AND(V1430=1,D1430&lt;&gt;""),IF(D1430&gt;=corte,(B1430="CRÍTICO")*1E9+(100000-D1430)*10000+10000-ROW(),""),"")</f>
        <v/>
      </c>
      <c r="X1430" s="8">
        <f>IF(AND(V1430=1,D1430=pas_data,E1430=pas_turno),10000-ROW(),"")</f>
        <v/>
      </c>
    </row>
    <row r="1431">
      <c r="A1431" s="3">
        <f>IF(D1431="","","TT-"&amp;TEXT(ROW()-1,"00000"))</f>
        <v/>
      </c>
      <c r="B1431" s="3">
        <f>IF(D1431="","",IF(V1431=0,"CONCLUÍDO",IF(D1431&lt;corte,"HISTÓRICO",IF(OR(AND(ISNUMBER(R1431),R1431&lt;TODAY()),AND(OR(N1431="PENDENTE",N1431="PARCIAL"),D1431&lt;TODAY()-1)),"CRÍTICO",IF(OR(AND(P1431&lt;&gt;"",S1431=""),AND(N1431="REALIZADO",M1431="PENDENTE"),AND(ISNUMBER(R1431),R1431=TODAY())),"ATENÇÃO",IF(N(K1431)=0,"PENDENTE","EM ANDAMENTO"))))))</f>
        <v/>
      </c>
      <c r="C1431" s="3">
        <f>IF(D1431="","",IF(V1431=0,"🟢 OK",IF(D1431&lt;corte,"⚪ HISTÓRICO (sem baixa)",IF(AND(ISNUMBER(R1431),R1431&lt;TODAY()),"🔴 PRAZO VENCIDO",IF(AND(OR(N1431="PENDENTE",N1431="PARCIAL"),D1431&lt;TODAY()-1),"🔴 EMBARQUE ATRASADO",IF(AND(N1431="REALIZADO",M1431="PENDENTE"),"🟡 EMBARCADO SEM FATURAR",IF(AND(P1431&lt;&gt;"",S1431="",OR(Q1431="",R1431="")),"🟡 PENDÊNCIA SEM RESPONSÁVEL/PRAZO",IF(AND(ISNUMBER(R1431),R1431=TODAY()),"🟡 VENCE HOJE",IF(AND(P1431&lt;&gt;"",S1431=""),"🟡 PENDÊNCIA ABERTA",IF(AND(N(J1431)&gt;0,N(K1431)&lt;J1431),"🟡 FALTA EXECUTAR",IF(OR(M1431="PENDENTE",M1431="PARCIAL"),"🟡 FATURAMENTO PENDENTE","🟡 EMBARQUE PENDENTE")))))))))))</f>
        <v/>
      </c>
      <c r="D1431" s="4" t="n"/>
      <c r="E1431" s="5" t="n"/>
      <c r="F1431" s="5" t="n"/>
      <c r="G1431" s="5" t="n"/>
      <c r="H1431" s="5" t="n"/>
      <c r="I1431" s="5" t="n"/>
      <c r="J1431" s="6" t="n"/>
      <c r="K1431" s="6" t="n"/>
      <c r="L1431" s="7">
        <f>IF(OR(D1431="",N(J1431)=0),"",MIN(1,N(K1431)/J1431))</f>
        <v/>
      </c>
      <c r="M1431" s="5" t="n"/>
      <c r="N1431" s="5" t="n"/>
      <c r="O1431" s="5" t="n"/>
      <c r="P1431" s="5" t="n"/>
      <c r="Q1431" s="5" t="n"/>
      <c r="R1431" s="4" t="n"/>
      <c r="S1431" s="4" t="n"/>
      <c r="T1431" s="5" t="n"/>
      <c r="U1431" s="8">
        <f>IF(AND(V1431=1,D1431&lt;&gt;""),IF(D1431&gt;=corte,TODAY()-D1431,""),"")</f>
        <v/>
      </c>
      <c r="V1431" s="8">
        <f>IF(D1431="",0,IF(OR(AND(P1431&lt;&gt;"",S1431=""),AND(N(J1431)&gt;0,N(K1431)&lt;J1431),OR(M1431="PENDENTE",M1431="PARCIAL"),OR(N1431="PENDENTE",N1431="PARCIAL")),1,0))</f>
        <v/>
      </c>
      <c r="W1431" s="8">
        <f>IF(AND(V1431=1,D1431&lt;&gt;""),IF(D1431&gt;=corte,(B1431="CRÍTICO")*1E9+(100000-D1431)*10000+10000-ROW(),""),"")</f>
        <v/>
      </c>
      <c r="X1431" s="8">
        <f>IF(AND(V1431=1,D1431=pas_data,E1431=pas_turno),10000-ROW(),"")</f>
        <v/>
      </c>
    </row>
    <row r="1432">
      <c r="A1432" s="3">
        <f>IF(D1432="","","TT-"&amp;TEXT(ROW()-1,"00000"))</f>
        <v/>
      </c>
      <c r="B1432" s="3">
        <f>IF(D1432="","",IF(V1432=0,"CONCLUÍDO",IF(D1432&lt;corte,"HISTÓRICO",IF(OR(AND(ISNUMBER(R1432),R1432&lt;TODAY()),AND(OR(N1432="PENDENTE",N1432="PARCIAL"),D1432&lt;TODAY()-1)),"CRÍTICO",IF(OR(AND(P1432&lt;&gt;"",S1432=""),AND(N1432="REALIZADO",M1432="PENDENTE"),AND(ISNUMBER(R1432),R1432=TODAY())),"ATENÇÃO",IF(N(K1432)=0,"PENDENTE","EM ANDAMENTO"))))))</f>
        <v/>
      </c>
      <c r="C1432" s="3">
        <f>IF(D1432="","",IF(V1432=0,"🟢 OK",IF(D1432&lt;corte,"⚪ HISTÓRICO (sem baixa)",IF(AND(ISNUMBER(R1432),R1432&lt;TODAY()),"🔴 PRAZO VENCIDO",IF(AND(OR(N1432="PENDENTE",N1432="PARCIAL"),D1432&lt;TODAY()-1),"🔴 EMBARQUE ATRASADO",IF(AND(N1432="REALIZADO",M1432="PENDENTE"),"🟡 EMBARCADO SEM FATURAR",IF(AND(P1432&lt;&gt;"",S1432="",OR(Q1432="",R1432="")),"🟡 PENDÊNCIA SEM RESPONSÁVEL/PRAZO",IF(AND(ISNUMBER(R1432),R1432=TODAY()),"🟡 VENCE HOJE",IF(AND(P1432&lt;&gt;"",S1432=""),"🟡 PENDÊNCIA ABERTA",IF(AND(N(J1432)&gt;0,N(K1432)&lt;J1432),"🟡 FALTA EXECUTAR",IF(OR(M1432="PENDENTE",M1432="PARCIAL"),"🟡 FATURAMENTO PENDENTE","🟡 EMBARQUE PENDENTE")))))))))))</f>
        <v/>
      </c>
      <c r="D1432" s="4" t="n"/>
      <c r="E1432" s="5" t="n"/>
      <c r="F1432" s="5" t="n"/>
      <c r="G1432" s="5" t="n"/>
      <c r="H1432" s="5" t="n"/>
      <c r="I1432" s="5" t="n"/>
      <c r="J1432" s="6" t="n"/>
      <c r="K1432" s="6" t="n"/>
      <c r="L1432" s="7">
        <f>IF(OR(D1432="",N(J1432)=0),"",MIN(1,N(K1432)/J1432))</f>
        <v/>
      </c>
      <c r="M1432" s="5" t="n"/>
      <c r="N1432" s="5" t="n"/>
      <c r="O1432" s="5" t="n"/>
      <c r="P1432" s="5" t="n"/>
      <c r="Q1432" s="5" t="n"/>
      <c r="R1432" s="4" t="n"/>
      <c r="S1432" s="4" t="n"/>
      <c r="T1432" s="5" t="n"/>
      <c r="U1432" s="8">
        <f>IF(AND(V1432=1,D1432&lt;&gt;""),IF(D1432&gt;=corte,TODAY()-D1432,""),"")</f>
        <v/>
      </c>
      <c r="V1432" s="8">
        <f>IF(D1432="",0,IF(OR(AND(P1432&lt;&gt;"",S1432=""),AND(N(J1432)&gt;0,N(K1432)&lt;J1432),OR(M1432="PENDENTE",M1432="PARCIAL"),OR(N1432="PENDENTE",N1432="PARCIAL")),1,0))</f>
        <v/>
      </c>
      <c r="W1432" s="8">
        <f>IF(AND(V1432=1,D1432&lt;&gt;""),IF(D1432&gt;=corte,(B1432="CRÍTICO")*1E9+(100000-D1432)*10000+10000-ROW(),""),"")</f>
        <v/>
      </c>
      <c r="X1432" s="8">
        <f>IF(AND(V1432=1,D1432=pas_data,E1432=pas_turno),10000-ROW(),"")</f>
        <v/>
      </c>
    </row>
    <row r="1433">
      <c r="A1433" s="3">
        <f>IF(D1433="","","TT-"&amp;TEXT(ROW()-1,"00000"))</f>
        <v/>
      </c>
      <c r="B1433" s="3">
        <f>IF(D1433="","",IF(V1433=0,"CONCLUÍDO",IF(D1433&lt;corte,"HISTÓRICO",IF(OR(AND(ISNUMBER(R1433),R1433&lt;TODAY()),AND(OR(N1433="PENDENTE",N1433="PARCIAL"),D1433&lt;TODAY()-1)),"CRÍTICO",IF(OR(AND(P1433&lt;&gt;"",S1433=""),AND(N1433="REALIZADO",M1433="PENDENTE"),AND(ISNUMBER(R1433),R1433=TODAY())),"ATENÇÃO",IF(N(K1433)=0,"PENDENTE","EM ANDAMENTO"))))))</f>
        <v/>
      </c>
      <c r="C1433" s="3">
        <f>IF(D1433="","",IF(V1433=0,"🟢 OK",IF(D1433&lt;corte,"⚪ HISTÓRICO (sem baixa)",IF(AND(ISNUMBER(R1433),R1433&lt;TODAY()),"🔴 PRAZO VENCIDO",IF(AND(OR(N1433="PENDENTE",N1433="PARCIAL"),D1433&lt;TODAY()-1),"🔴 EMBARQUE ATRASADO",IF(AND(N1433="REALIZADO",M1433="PENDENTE"),"🟡 EMBARCADO SEM FATURAR",IF(AND(P1433&lt;&gt;"",S1433="",OR(Q1433="",R1433="")),"🟡 PENDÊNCIA SEM RESPONSÁVEL/PRAZO",IF(AND(ISNUMBER(R1433),R1433=TODAY()),"🟡 VENCE HOJE",IF(AND(P1433&lt;&gt;"",S1433=""),"🟡 PENDÊNCIA ABERTA",IF(AND(N(J1433)&gt;0,N(K1433)&lt;J1433),"🟡 FALTA EXECUTAR",IF(OR(M1433="PENDENTE",M1433="PARCIAL"),"🟡 FATURAMENTO PENDENTE","🟡 EMBARQUE PENDENTE")))))))))))</f>
        <v/>
      </c>
      <c r="D1433" s="4" t="n"/>
      <c r="E1433" s="5" t="n"/>
      <c r="F1433" s="5" t="n"/>
      <c r="G1433" s="5" t="n"/>
      <c r="H1433" s="5" t="n"/>
      <c r="I1433" s="5" t="n"/>
      <c r="J1433" s="6" t="n"/>
      <c r="K1433" s="6" t="n"/>
      <c r="L1433" s="7">
        <f>IF(OR(D1433="",N(J1433)=0),"",MIN(1,N(K1433)/J1433))</f>
        <v/>
      </c>
      <c r="M1433" s="5" t="n"/>
      <c r="N1433" s="5" t="n"/>
      <c r="O1433" s="5" t="n"/>
      <c r="P1433" s="5" t="n"/>
      <c r="Q1433" s="5" t="n"/>
      <c r="R1433" s="4" t="n"/>
      <c r="S1433" s="4" t="n"/>
      <c r="T1433" s="5" t="n"/>
      <c r="U1433" s="8">
        <f>IF(AND(V1433=1,D1433&lt;&gt;""),IF(D1433&gt;=corte,TODAY()-D1433,""),"")</f>
        <v/>
      </c>
      <c r="V1433" s="8">
        <f>IF(D1433="",0,IF(OR(AND(P1433&lt;&gt;"",S1433=""),AND(N(J1433)&gt;0,N(K1433)&lt;J1433),OR(M1433="PENDENTE",M1433="PARCIAL"),OR(N1433="PENDENTE",N1433="PARCIAL")),1,0))</f>
        <v/>
      </c>
      <c r="W1433" s="8">
        <f>IF(AND(V1433=1,D1433&lt;&gt;""),IF(D1433&gt;=corte,(B1433="CRÍTICO")*1E9+(100000-D1433)*10000+10000-ROW(),""),"")</f>
        <v/>
      </c>
      <c r="X1433" s="8">
        <f>IF(AND(V1433=1,D1433=pas_data,E1433=pas_turno),10000-ROW(),"")</f>
        <v/>
      </c>
    </row>
    <row r="1434">
      <c r="A1434" s="3">
        <f>IF(D1434="","","TT-"&amp;TEXT(ROW()-1,"00000"))</f>
        <v/>
      </c>
      <c r="B1434" s="3">
        <f>IF(D1434="","",IF(V1434=0,"CONCLUÍDO",IF(D1434&lt;corte,"HISTÓRICO",IF(OR(AND(ISNUMBER(R1434),R1434&lt;TODAY()),AND(OR(N1434="PENDENTE",N1434="PARCIAL"),D1434&lt;TODAY()-1)),"CRÍTICO",IF(OR(AND(P1434&lt;&gt;"",S1434=""),AND(N1434="REALIZADO",M1434="PENDENTE"),AND(ISNUMBER(R1434),R1434=TODAY())),"ATENÇÃO",IF(N(K1434)=0,"PENDENTE","EM ANDAMENTO"))))))</f>
        <v/>
      </c>
      <c r="C1434" s="3">
        <f>IF(D1434="","",IF(V1434=0,"🟢 OK",IF(D1434&lt;corte,"⚪ HISTÓRICO (sem baixa)",IF(AND(ISNUMBER(R1434),R1434&lt;TODAY()),"🔴 PRAZO VENCIDO",IF(AND(OR(N1434="PENDENTE",N1434="PARCIAL"),D1434&lt;TODAY()-1),"🔴 EMBARQUE ATRASADO",IF(AND(N1434="REALIZADO",M1434="PENDENTE"),"🟡 EMBARCADO SEM FATURAR",IF(AND(P1434&lt;&gt;"",S1434="",OR(Q1434="",R1434="")),"🟡 PENDÊNCIA SEM RESPONSÁVEL/PRAZO",IF(AND(ISNUMBER(R1434),R1434=TODAY()),"🟡 VENCE HOJE",IF(AND(P1434&lt;&gt;"",S1434=""),"🟡 PENDÊNCIA ABERTA",IF(AND(N(J1434)&gt;0,N(K1434)&lt;J1434),"🟡 FALTA EXECUTAR",IF(OR(M1434="PENDENTE",M1434="PARCIAL"),"🟡 FATURAMENTO PENDENTE","🟡 EMBARQUE PENDENTE")))))))))))</f>
        <v/>
      </c>
      <c r="D1434" s="4" t="n"/>
      <c r="E1434" s="5" t="n"/>
      <c r="F1434" s="5" t="n"/>
      <c r="G1434" s="5" t="n"/>
      <c r="H1434" s="5" t="n"/>
      <c r="I1434" s="5" t="n"/>
      <c r="J1434" s="6" t="n"/>
      <c r="K1434" s="6" t="n"/>
      <c r="L1434" s="7">
        <f>IF(OR(D1434="",N(J1434)=0),"",MIN(1,N(K1434)/J1434))</f>
        <v/>
      </c>
      <c r="M1434" s="5" t="n"/>
      <c r="N1434" s="5" t="n"/>
      <c r="O1434" s="5" t="n"/>
      <c r="P1434" s="5" t="n"/>
      <c r="Q1434" s="5" t="n"/>
      <c r="R1434" s="4" t="n"/>
      <c r="S1434" s="4" t="n"/>
      <c r="T1434" s="5" t="n"/>
      <c r="U1434" s="8">
        <f>IF(AND(V1434=1,D1434&lt;&gt;""),IF(D1434&gt;=corte,TODAY()-D1434,""),"")</f>
        <v/>
      </c>
      <c r="V1434" s="8">
        <f>IF(D1434="",0,IF(OR(AND(P1434&lt;&gt;"",S1434=""),AND(N(J1434)&gt;0,N(K1434)&lt;J1434),OR(M1434="PENDENTE",M1434="PARCIAL"),OR(N1434="PENDENTE",N1434="PARCIAL")),1,0))</f>
        <v/>
      </c>
      <c r="W1434" s="8">
        <f>IF(AND(V1434=1,D1434&lt;&gt;""),IF(D1434&gt;=corte,(B1434="CRÍTICO")*1E9+(100000-D1434)*10000+10000-ROW(),""),"")</f>
        <v/>
      </c>
      <c r="X1434" s="8">
        <f>IF(AND(V1434=1,D1434=pas_data,E1434=pas_turno),10000-ROW(),"")</f>
        <v/>
      </c>
    </row>
    <row r="1435">
      <c r="A1435" s="3">
        <f>IF(D1435="","","TT-"&amp;TEXT(ROW()-1,"00000"))</f>
        <v/>
      </c>
      <c r="B1435" s="3">
        <f>IF(D1435="","",IF(V1435=0,"CONCLUÍDO",IF(D1435&lt;corte,"HISTÓRICO",IF(OR(AND(ISNUMBER(R1435),R1435&lt;TODAY()),AND(OR(N1435="PENDENTE",N1435="PARCIAL"),D1435&lt;TODAY()-1)),"CRÍTICO",IF(OR(AND(P1435&lt;&gt;"",S1435=""),AND(N1435="REALIZADO",M1435="PENDENTE"),AND(ISNUMBER(R1435),R1435=TODAY())),"ATENÇÃO",IF(N(K1435)=0,"PENDENTE","EM ANDAMENTO"))))))</f>
        <v/>
      </c>
      <c r="C1435" s="3">
        <f>IF(D1435="","",IF(V1435=0,"🟢 OK",IF(D1435&lt;corte,"⚪ HISTÓRICO (sem baixa)",IF(AND(ISNUMBER(R1435),R1435&lt;TODAY()),"🔴 PRAZO VENCIDO",IF(AND(OR(N1435="PENDENTE",N1435="PARCIAL"),D1435&lt;TODAY()-1),"🔴 EMBARQUE ATRASADO",IF(AND(N1435="REALIZADO",M1435="PENDENTE"),"🟡 EMBARCADO SEM FATURAR",IF(AND(P1435&lt;&gt;"",S1435="",OR(Q1435="",R1435="")),"🟡 PENDÊNCIA SEM RESPONSÁVEL/PRAZO",IF(AND(ISNUMBER(R1435),R1435=TODAY()),"🟡 VENCE HOJE",IF(AND(P1435&lt;&gt;"",S1435=""),"🟡 PENDÊNCIA ABERTA",IF(AND(N(J1435)&gt;0,N(K1435)&lt;J1435),"🟡 FALTA EXECUTAR",IF(OR(M1435="PENDENTE",M1435="PARCIAL"),"🟡 FATURAMENTO PENDENTE","🟡 EMBARQUE PENDENTE")))))))))))</f>
        <v/>
      </c>
      <c r="D1435" s="4" t="n"/>
      <c r="E1435" s="5" t="n"/>
      <c r="F1435" s="5" t="n"/>
      <c r="G1435" s="5" t="n"/>
      <c r="H1435" s="5" t="n"/>
      <c r="I1435" s="5" t="n"/>
      <c r="J1435" s="6" t="n"/>
      <c r="K1435" s="6" t="n"/>
      <c r="L1435" s="7">
        <f>IF(OR(D1435="",N(J1435)=0),"",MIN(1,N(K1435)/J1435))</f>
        <v/>
      </c>
      <c r="M1435" s="5" t="n"/>
      <c r="N1435" s="5" t="n"/>
      <c r="O1435" s="5" t="n"/>
      <c r="P1435" s="5" t="n"/>
      <c r="Q1435" s="5" t="n"/>
      <c r="R1435" s="4" t="n"/>
      <c r="S1435" s="4" t="n"/>
      <c r="T1435" s="5" t="n"/>
      <c r="U1435" s="8">
        <f>IF(AND(V1435=1,D1435&lt;&gt;""),IF(D1435&gt;=corte,TODAY()-D1435,""),"")</f>
        <v/>
      </c>
      <c r="V1435" s="8">
        <f>IF(D1435="",0,IF(OR(AND(P1435&lt;&gt;"",S1435=""),AND(N(J1435)&gt;0,N(K1435)&lt;J1435),OR(M1435="PENDENTE",M1435="PARCIAL"),OR(N1435="PENDENTE",N1435="PARCIAL")),1,0))</f>
        <v/>
      </c>
      <c r="W1435" s="8">
        <f>IF(AND(V1435=1,D1435&lt;&gt;""),IF(D1435&gt;=corte,(B1435="CRÍTICO")*1E9+(100000-D1435)*10000+10000-ROW(),""),"")</f>
        <v/>
      </c>
      <c r="X1435" s="8">
        <f>IF(AND(V1435=1,D1435=pas_data,E1435=pas_turno),10000-ROW(),"")</f>
        <v/>
      </c>
    </row>
    <row r="1436">
      <c r="A1436" s="3">
        <f>IF(D1436="","","TT-"&amp;TEXT(ROW()-1,"00000"))</f>
        <v/>
      </c>
      <c r="B1436" s="3">
        <f>IF(D1436="","",IF(V1436=0,"CONCLUÍDO",IF(D1436&lt;corte,"HISTÓRICO",IF(OR(AND(ISNUMBER(R1436),R1436&lt;TODAY()),AND(OR(N1436="PENDENTE",N1436="PARCIAL"),D1436&lt;TODAY()-1)),"CRÍTICO",IF(OR(AND(P1436&lt;&gt;"",S1436=""),AND(N1436="REALIZADO",M1436="PENDENTE"),AND(ISNUMBER(R1436),R1436=TODAY())),"ATENÇÃO",IF(N(K1436)=0,"PENDENTE","EM ANDAMENTO"))))))</f>
        <v/>
      </c>
      <c r="C1436" s="3">
        <f>IF(D1436="","",IF(V1436=0,"🟢 OK",IF(D1436&lt;corte,"⚪ HISTÓRICO (sem baixa)",IF(AND(ISNUMBER(R1436),R1436&lt;TODAY()),"🔴 PRAZO VENCIDO",IF(AND(OR(N1436="PENDENTE",N1436="PARCIAL"),D1436&lt;TODAY()-1),"🔴 EMBARQUE ATRASADO",IF(AND(N1436="REALIZADO",M1436="PENDENTE"),"🟡 EMBARCADO SEM FATURAR",IF(AND(P1436&lt;&gt;"",S1436="",OR(Q1436="",R1436="")),"🟡 PENDÊNCIA SEM RESPONSÁVEL/PRAZO",IF(AND(ISNUMBER(R1436),R1436=TODAY()),"🟡 VENCE HOJE",IF(AND(P1436&lt;&gt;"",S1436=""),"🟡 PENDÊNCIA ABERTA",IF(AND(N(J1436)&gt;0,N(K1436)&lt;J1436),"🟡 FALTA EXECUTAR",IF(OR(M1436="PENDENTE",M1436="PARCIAL"),"🟡 FATURAMENTO PENDENTE","🟡 EMBARQUE PENDENTE")))))))))))</f>
        <v/>
      </c>
      <c r="D1436" s="4" t="n"/>
      <c r="E1436" s="5" t="n"/>
      <c r="F1436" s="5" t="n"/>
      <c r="G1436" s="5" t="n"/>
      <c r="H1436" s="5" t="n"/>
      <c r="I1436" s="5" t="n"/>
      <c r="J1436" s="6" t="n"/>
      <c r="K1436" s="6" t="n"/>
      <c r="L1436" s="7">
        <f>IF(OR(D1436="",N(J1436)=0),"",MIN(1,N(K1436)/J1436))</f>
        <v/>
      </c>
      <c r="M1436" s="5" t="n"/>
      <c r="N1436" s="5" t="n"/>
      <c r="O1436" s="5" t="n"/>
      <c r="P1436" s="5" t="n"/>
      <c r="Q1436" s="5" t="n"/>
      <c r="R1436" s="4" t="n"/>
      <c r="S1436" s="4" t="n"/>
      <c r="T1436" s="5" t="n"/>
      <c r="U1436" s="8">
        <f>IF(AND(V1436=1,D1436&lt;&gt;""),IF(D1436&gt;=corte,TODAY()-D1436,""),"")</f>
        <v/>
      </c>
      <c r="V1436" s="8">
        <f>IF(D1436="",0,IF(OR(AND(P1436&lt;&gt;"",S1436=""),AND(N(J1436)&gt;0,N(K1436)&lt;J1436),OR(M1436="PENDENTE",M1436="PARCIAL"),OR(N1436="PENDENTE",N1436="PARCIAL")),1,0))</f>
        <v/>
      </c>
      <c r="W1436" s="8">
        <f>IF(AND(V1436=1,D1436&lt;&gt;""),IF(D1436&gt;=corte,(B1436="CRÍTICO")*1E9+(100000-D1436)*10000+10000-ROW(),""),"")</f>
        <v/>
      </c>
      <c r="X1436" s="8">
        <f>IF(AND(V1436=1,D1436=pas_data,E1436=pas_turno),10000-ROW(),"")</f>
        <v/>
      </c>
    </row>
    <row r="1437">
      <c r="A1437" s="3">
        <f>IF(D1437="","","TT-"&amp;TEXT(ROW()-1,"00000"))</f>
        <v/>
      </c>
      <c r="B1437" s="3">
        <f>IF(D1437="","",IF(V1437=0,"CONCLUÍDO",IF(D1437&lt;corte,"HISTÓRICO",IF(OR(AND(ISNUMBER(R1437),R1437&lt;TODAY()),AND(OR(N1437="PENDENTE",N1437="PARCIAL"),D1437&lt;TODAY()-1)),"CRÍTICO",IF(OR(AND(P1437&lt;&gt;"",S1437=""),AND(N1437="REALIZADO",M1437="PENDENTE"),AND(ISNUMBER(R1437),R1437=TODAY())),"ATENÇÃO",IF(N(K1437)=0,"PENDENTE","EM ANDAMENTO"))))))</f>
        <v/>
      </c>
      <c r="C1437" s="3">
        <f>IF(D1437="","",IF(V1437=0,"🟢 OK",IF(D1437&lt;corte,"⚪ HISTÓRICO (sem baixa)",IF(AND(ISNUMBER(R1437),R1437&lt;TODAY()),"🔴 PRAZO VENCIDO",IF(AND(OR(N1437="PENDENTE",N1437="PARCIAL"),D1437&lt;TODAY()-1),"🔴 EMBARQUE ATRASADO",IF(AND(N1437="REALIZADO",M1437="PENDENTE"),"🟡 EMBARCADO SEM FATURAR",IF(AND(P1437&lt;&gt;"",S1437="",OR(Q1437="",R1437="")),"🟡 PENDÊNCIA SEM RESPONSÁVEL/PRAZO",IF(AND(ISNUMBER(R1437),R1437=TODAY()),"🟡 VENCE HOJE",IF(AND(P1437&lt;&gt;"",S1437=""),"🟡 PENDÊNCIA ABERTA",IF(AND(N(J1437)&gt;0,N(K1437)&lt;J1437),"🟡 FALTA EXECUTAR",IF(OR(M1437="PENDENTE",M1437="PARCIAL"),"🟡 FATURAMENTO PENDENTE","🟡 EMBARQUE PENDENTE")))))))))))</f>
        <v/>
      </c>
      <c r="D1437" s="4" t="n"/>
      <c r="E1437" s="5" t="n"/>
      <c r="F1437" s="5" t="n"/>
      <c r="G1437" s="5" t="n"/>
      <c r="H1437" s="5" t="n"/>
      <c r="I1437" s="5" t="n"/>
      <c r="J1437" s="6" t="n"/>
      <c r="K1437" s="6" t="n"/>
      <c r="L1437" s="7">
        <f>IF(OR(D1437="",N(J1437)=0),"",MIN(1,N(K1437)/J1437))</f>
        <v/>
      </c>
      <c r="M1437" s="5" t="n"/>
      <c r="N1437" s="5" t="n"/>
      <c r="O1437" s="5" t="n"/>
      <c r="P1437" s="5" t="n"/>
      <c r="Q1437" s="5" t="n"/>
      <c r="R1437" s="4" t="n"/>
      <c r="S1437" s="4" t="n"/>
      <c r="T1437" s="5" t="n"/>
      <c r="U1437" s="8">
        <f>IF(AND(V1437=1,D1437&lt;&gt;""),IF(D1437&gt;=corte,TODAY()-D1437,""),"")</f>
        <v/>
      </c>
      <c r="V1437" s="8">
        <f>IF(D1437="",0,IF(OR(AND(P1437&lt;&gt;"",S1437=""),AND(N(J1437)&gt;0,N(K1437)&lt;J1437),OR(M1437="PENDENTE",M1437="PARCIAL"),OR(N1437="PENDENTE",N1437="PARCIAL")),1,0))</f>
        <v/>
      </c>
      <c r="W1437" s="8">
        <f>IF(AND(V1437=1,D1437&lt;&gt;""),IF(D1437&gt;=corte,(B1437="CRÍTICO")*1E9+(100000-D1437)*10000+10000-ROW(),""),"")</f>
        <v/>
      </c>
      <c r="X1437" s="8">
        <f>IF(AND(V1437=1,D1437=pas_data,E1437=pas_turno),10000-ROW(),"")</f>
        <v/>
      </c>
    </row>
    <row r="1438">
      <c r="A1438" s="3">
        <f>IF(D1438="","","TT-"&amp;TEXT(ROW()-1,"00000"))</f>
        <v/>
      </c>
      <c r="B1438" s="3">
        <f>IF(D1438="","",IF(V1438=0,"CONCLUÍDO",IF(D1438&lt;corte,"HISTÓRICO",IF(OR(AND(ISNUMBER(R1438),R1438&lt;TODAY()),AND(OR(N1438="PENDENTE",N1438="PARCIAL"),D1438&lt;TODAY()-1)),"CRÍTICO",IF(OR(AND(P1438&lt;&gt;"",S1438=""),AND(N1438="REALIZADO",M1438="PENDENTE"),AND(ISNUMBER(R1438),R1438=TODAY())),"ATENÇÃO",IF(N(K1438)=0,"PENDENTE","EM ANDAMENTO"))))))</f>
        <v/>
      </c>
      <c r="C1438" s="3">
        <f>IF(D1438="","",IF(V1438=0,"🟢 OK",IF(D1438&lt;corte,"⚪ HISTÓRICO (sem baixa)",IF(AND(ISNUMBER(R1438),R1438&lt;TODAY()),"🔴 PRAZO VENCIDO",IF(AND(OR(N1438="PENDENTE",N1438="PARCIAL"),D1438&lt;TODAY()-1),"🔴 EMBARQUE ATRASADO",IF(AND(N1438="REALIZADO",M1438="PENDENTE"),"🟡 EMBARCADO SEM FATURAR",IF(AND(P1438&lt;&gt;"",S1438="",OR(Q1438="",R1438="")),"🟡 PENDÊNCIA SEM RESPONSÁVEL/PRAZO",IF(AND(ISNUMBER(R1438),R1438=TODAY()),"🟡 VENCE HOJE",IF(AND(P1438&lt;&gt;"",S1438=""),"🟡 PENDÊNCIA ABERTA",IF(AND(N(J1438)&gt;0,N(K1438)&lt;J1438),"🟡 FALTA EXECUTAR",IF(OR(M1438="PENDENTE",M1438="PARCIAL"),"🟡 FATURAMENTO PENDENTE","🟡 EMBARQUE PENDENTE")))))))))))</f>
        <v/>
      </c>
      <c r="D1438" s="4" t="n"/>
      <c r="E1438" s="5" t="n"/>
      <c r="F1438" s="5" t="n"/>
      <c r="G1438" s="5" t="n"/>
      <c r="H1438" s="5" t="n"/>
      <c r="I1438" s="5" t="n"/>
      <c r="J1438" s="6" t="n"/>
      <c r="K1438" s="6" t="n"/>
      <c r="L1438" s="7">
        <f>IF(OR(D1438="",N(J1438)=0),"",MIN(1,N(K1438)/J1438))</f>
        <v/>
      </c>
      <c r="M1438" s="5" t="n"/>
      <c r="N1438" s="5" t="n"/>
      <c r="O1438" s="5" t="n"/>
      <c r="P1438" s="5" t="n"/>
      <c r="Q1438" s="5" t="n"/>
      <c r="R1438" s="4" t="n"/>
      <c r="S1438" s="4" t="n"/>
      <c r="T1438" s="5" t="n"/>
      <c r="U1438" s="8">
        <f>IF(AND(V1438=1,D1438&lt;&gt;""),IF(D1438&gt;=corte,TODAY()-D1438,""),"")</f>
        <v/>
      </c>
      <c r="V1438" s="8">
        <f>IF(D1438="",0,IF(OR(AND(P1438&lt;&gt;"",S1438=""),AND(N(J1438)&gt;0,N(K1438)&lt;J1438),OR(M1438="PENDENTE",M1438="PARCIAL"),OR(N1438="PENDENTE",N1438="PARCIAL")),1,0))</f>
        <v/>
      </c>
      <c r="W1438" s="8">
        <f>IF(AND(V1438=1,D1438&lt;&gt;""),IF(D1438&gt;=corte,(B1438="CRÍTICO")*1E9+(100000-D1438)*10000+10000-ROW(),""),"")</f>
        <v/>
      </c>
      <c r="X1438" s="8">
        <f>IF(AND(V1438=1,D1438=pas_data,E1438=pas_turno),10000-ROW(),"")</f>
        <v/>
      </c>
    </row>
    <row r="1439">
      <c r="A1439" s="3">
        <f>IF(D1439="","","TT-"&amp;TEXT(ROW()-1,"00000"))</f>
        <v/>
      </c>
      <c r="B1439" s="3">
        <f>IF(D1439="","",IF(V1439=0,"CONCLUÍDO",IF(D1439&lt;corte,"HISTÓRICO",IF(OR(AND(ISNUMBER(R1439),R1439&lt;TODAY()),AND(OR(N1439="PENDENTE",N1439="PARCIAL"),D1439&lt;TODAY()-1)),"CRÍTICO",IF(OR(AND(P1439&lt;&gt;"",S1439=""),AND(N1439="REALIZADO",M1439="PENDENTE"),AND(ISNUMBER(R1439),R1439=TODAY())),"ATENÇÃO",IF(N(K1439)=0,"PENDENTE","EM ANDAMENTO"))))))</f>
        <v/>
      </c>
      <c r="C1439" s="3">
        <f>IF(D1439="","",IF(V1439=0,"🟢 OK",IF(D1439&lt;corte,"⚪ HISTÓRICO (sem baixa)",IF(AND(ISNUMBER(R1439),R1439&lt;TODAY()),"🔴 PRAZO VENCIDO",IF(AND(OR(N1439="PENDENTE",N1439="PARCIAL"),D1439&lt;TODAY()-1),"🔴 EMBARQUE ATRASADO",IF(AND(N1439="REALIZADO",M1439="PENDENTE"),"🟡 EMBARCADO SEM FATURAR",IF(AND(P1439&lt;&gt;"",S1439="",OR(Q1439="",R1439="")),"🟡 PENDÊNCIA SEM RESPONSÁVEL/PRAZO",IF(AND(ISNUMBER(R1439),R1439=TODAY()),"🟡 VENCE HOJE",IF(AND(P1439&lt;&gt;"",S1439=""),"🟡 PENDÊNCIA ABERTA",IF(AND(N(J1439)&gt;0,N(K1439)&lt;J1439),"🟡 FALTA EXECUTAR",IF(OR(M1439="PENDENTE",M1439="PARCIAL"),"🟡 FATURAMENTO PENDENTE","🟡 EMBARQUE PENDENTE")))))))))))</f>
        <v/>
      </c>
      <c r="D1439" s="4" t="n"/>
      <c r="E1439" s="5" t="n"/>
      <c r="F1439" s="5" t="n"/>
      <c r="G1439" s="5" t="n"/>
      <c r="H1439" s="5" t="n"/>
      <c r="I1439" s="5" t="n"/>
      <c r="J1439" s="6" t="n"/>
      <c r="K1439" s="6" t="n"/>
      <c r="L1439" s="7">
        <f>IF(OR(D1439="",N(J1439)=0),"",MIN(1,N(K1439)/J1439))</f>
        <v/>
      </c>
      <c r="M1439" s="5" t="n"/>
      <c r="N1439" s="5" t="n"/>
      <c r="O1439" s="5" t="n"/>
      <c r="P1439" s="5" t="n"/>
      <c r="Q1439" s="5" t="n"/>
      <c r="R1439" s="4" t="n"/>
      <c r="S1439" s="4" t="n"/>
      <c r="T1439" s="5" t="n"/>
      <c r="U1439" s="8">
        <f>IF(AND(V1439=1,D1439&lt;&gt;""),IF(D1439&gt;=corte,TODAY()-D1439,""),"")</f>
        <v/>
      </c>
      <c r="V1439" s="8">
        <f>IF(D1439="",0,IF(OR(AND(P1439&lt;&gt;"",S1439=""),AND(N(J1439)&gt;0,N(K1439)&lt;J1439),OR(M1439="PENDENTE",M1439="PARCIAL"),OR(N1439="PENDENTE",N1439="PARCIAL")),1,0))</f>
        <v/>
      </c>
      <c r="W1439" s="8">
        <f>IF(AND(V1439=1,D1439&lt;&gt;""),IF(D1439&gt;=corte,(B1439="CRÍTICO")*1E9+(100000-D1439)*10000+10000-ROW(),""),"")</f>
        <v/>
      </c>
      <c r="X1439" s="8">
        <f>IF(AND(V1439=1,D1439=pas_data,E1439=pas_turno),10000-ROW(),"")</f>
        <v/>
      </c>
    </row>
    <row r="1440">
      <c r="A1440" s="3">
        <f>IF(D1440="","","TT-"&amp;TEXT(ROW()-1,"00000"))</f>
        <v/>
      </c>
      <c r="B1440" s="3">
        <f>IF(D1440="","",IF(V1440=0,"CONCLUÍDO",IF(D1440&lt;corte,"HISTÓRICO",IF(OR(AND(ISNUMBER(R1440),R1440&lt;TODAY()),AND(OR(N1440="PENDENTE",N1440="PARCIAL"),D1440&lt;TODAY()-1)),"CRÍTICO",IF(OR(AND(P1440&lt;&gt;"",S1440=""),AND(N1440="REALIZADO",M1440="PENDENTE"),AND(ISNUMBER(R1440),R1440=TODAY())),"ATENÇÃO",IF(N(K1440)=0,"PENDENTE","EM ANDAMENTO"))))))</f>
        <v/>
      </c>
      <c r="C1440" s="3">
        <f>IF(D1440="","",IF(V1440=0,"🟢 OK",IF(D1440&lt;corte,"⚪ HISTÓRICO (sem baixa)",IF(AND(ISNUMBER(R1440),R1440&lt;TODAY()),"🔴 PRAZO VENCIDO",IF(AND(OR(N1440="PENDENTE",N1440="PARCIAL"),D1440&lt;TODAY()-1),"🔴 EMBARQUE ATRASADO",IF(AND(N1440="REALIZADO",M1440="PENDENTE"),"🟡 EMBARCADO SEM FATURAR",IF(AND(P1440&lt;&gt;"",S1440="",OR(Q1440="",R1440="")),"🟡 PENDÊNCIA SEM RESPONSÁVEL/PRAZO",IF(AND(ISNUMBER(R1440),R1440=TODAY()),"🟡 VENCE HOJE",IF(AND(P1440&lt;&gt;"",S1440=""),"🟡 PENDÊNCIA ABERTA",IF(AND(N(J1440)&gt;0,N(K1440)&lt;J1440),"🟡 FALTA EXECUTAR",IF(OR(M1440="PENDENTE",M1440="PARCIAL"),"🟡 FATURAMENTO PENDENTE","🟡 EMBARQUE PENDENTE")))))))))))</f>
        <v/>
      </c>
      <c r="D1440" s="4" t="n"/>
      <c r="E1440" s="5" t="n"/>
      <c r="F1440" s="5" t="n"/>
      <c r="G1440" s="5" t="n"/>
      <c r="H1440" s="5" t="n"/>
      <c r="I1440" s="5" t="n"/>
      <c r="J1440" s="6" t="n"/>
      <c r="K1440" s="6" t="n"/>
      <c r="L1440" s="7">
        <f>IF(OR(D1440="",N(J1440)=0),"",MIN(1,N(K1440)/J1440))</f>
        <v/>
      </c>
      <c r="M1440" s="5" t="n"/>
      <c r="N1440" s="5" t="n"/>
      <c r="O1440" s="5" t="n"/>
      <c r="P1440" s="5" t="n"/>
      <c r="Q1440" s="5" t="n"/>
      <c r="R1440" s="4" t="n"/>
      <c r="S1440" s="4" t="n"/>
      <c r="T1440" s="5" t="n"/>
      <c r="U1440" s="8">
        <f>IF(AND(V1440=1,D1440&lt;&gt;""),IF(D1440&gt;=corte,TODAY()-D1440,""),"")</f>
        <v/>
      </c>
      <c r="V1440" s="8">
        <f>IF(D1440="",0,IF(OR(AND(P1440&lt;&gt;"",S1440=""),AND(N(J1440)&gt;0,N(K1440)&lt;J1440),OR(M1440="PENDENTE",M1440="PARCIAL"),OR(N1440="PENDENTE",N1440="PARCIAL")),1,0))</f>
        <v/>
      </c>
      <c r="W1440" s="8">
        <f>IF(AND(V1440=1,D1440&lt;&gt;""),IF(D1440&gt;=corte,(B1440="CRÍTICO")*1E9+(100000-D1440)*10000+10000-ROW(),""),"")</f>
        <v/>
      </c>
      <c r="X1440" s="8">
        <f>IF(AND(V1440=1,D1440=pas_data,E1440=pas_turno),10000-ROW(),"")</f>
        <v/>
      </c>
    </row>
    <row r="1441">
      <c r="A1441" s="3">
        <f>IF(D1441="","","TT-"&amp;TEXT(ROW()-1,"00000"))</f>
        <v/>
      </c>
      <c r="B1441" s="3">
        <f>IF(D1441="","",IF(V1441=0,"CONCLUÍDO",IF(D1441&lt;corte,"HISTÓRICO",IF(OR(AND(ISNUMBER(R1441),R1441&lt;TODAY()),AND(OR(N1441="PENDENTE",N1441="PARCIAL"),D1441&lt;TODAY()-1)),"CRÍTICO",IF(OR(AND(P1441&lt;&gt;"",S1441=""),AND(N1441="REALIZADO",M1441="PENDENTE"),AND(ISNUMBER(R1441),R1441=TODAY())),"ATENÇÃO",IF(N(K1441)=0,"PENDENTE","EM ANDAMENTO"))))))</f>
        <v/>
      </c>
      <c r="C1441" s="3">
        <f>IF(D1441="","",IF(V1441=0,"🟢 OK",IF(D1441&lt;corte,"⚪ HISTÓRICO (sem baixa)",IF(AND(ISNUMBER(R1441),R1441&lt;TODAY()),"🔴 PRAZO VENCIDO",IF(AND(OR(N1441="PENDENTE",N1441="PARCIAL"),D1441&lt;TODAY()-1),"🔴 EMBARQUE ATRASADO",IF(AND(N1441="REALIZADO",M1441="PENDENTE"),"🟡 EMBARCADO SEM FATURAR",IF(AND(P1441&lt;&gt;"",S1441="",OR(Q1441="",R1441="")),"🟡 PENDÊNCIA SEM RESPONSÁVEL/PRAZO",IF(AND(ISNUMBER(R1441),R1441=TODAY()),"🟡 VENCE HOJE",IF(AND(P1441&lt;&gt;"",S1441=""),"🟡 PENDÊNCIA ABERTA",IF(AND(N(J1441)&gt;0,N(K1441)&lt;J1441),"🟡 FALTA EXECUTAR",IF(OR(M1441="PENDENTE",M1441="PARCIAL"),"🟡 FATURAMENTO PENDENTE","🟡 EMBARQUE PENDENTE")))))))))))</f>
        <v/>
      </c>
      <c r="D1441" s="4" t="n"/>
      <c r="E1441" s="5" t="n"/>
      <c r="F1441" s="5" t="n"/>
      <c r="G1441" s="5" t="n"/>
      <c r="H1441" s="5" t="n"/>
      <c r="I1441" s="5" t="n"/>
      <c r="J1441" s="6" t="n"/>
      <c r="K1441" s="6" t="n"/>
      <c r="L1441" s="7">
        <f>IF(OR(D1441="",N(J1441)=0),"",MIN(1,N(K1441)/J1441))</f>
        <v/>
      </c>
      <c r="M1441" s="5" t="n"/>
      <c r="N1441" s="5" t="n"/>
      <c r="O1441" s="5" t="n"/>
      <c r="P1441" s="5" t="n"/>
      <c r="Q1441" s="5" t="n"/>
      <c r="R1441" s="4" t="n"/>
      <c r="S1441" s="4" t="n"/>
      <c r="T1441" s="5" t="n"/>
      <c r="U1441" s="8">
        <f>IF(AND(V1441=1,D1441&lt;&gt;""),IF(D1441&gt;=corte,TODAY()-D1441,""),"")</f>
        <v/>
      </c>
      <c r="V1441" s="8">
        <f>IF(D1441="",0,IF(OR(AND(P1441&lt;&gt;"",S1441=""),AND(N(J1441)&gt;0,N(K1441)&lt;J1441),OR(M1441="PENDENTE",M1441="PARCIAL"),OR(N1441="PENDENTE",N1441="PARCIAL")),1,0))</f>
        <v/>
      </c>
      <c r="W1441" s="8">
        <f>IF(AND(V1441=1,D1441&lt;&gt;""),IF(D1441&gt;=corte,(B1441="CRÍTICO")*1E9+(100000-D1441)*10000+10000-ROW(),""),"")</f>
        <v/>
      </c>
      <c r="X1441" s="8">
        <f>IF(AND(V1441=1,D1441=pas_data,E1441=pas_turno),10000-ROW(),"")</f>
        <v/>
      </c>
    </row>
    <row r="1442">
      <c r="A1442" s="3">
        <f>IF(D1442="","","TT-"&amp;TEXT(ROW()-1,"00000"))</f>
        <v/>
      </c>
      <c r="B1442" s="3">
        <f>IF(D1442="","",IF(V1442=0,"CONCLUÍDO",IF(D1442&lt;corte,"HISTÓRICO",IF(OR(AND(ISNUMBER(R1442),R1442&lt;TODAY()),AND(OR(N1442="PENDENTE",N1442="PARCIAL"),D1442&lt;TODAY()-1)),"CRÍTICO",IF(OR(AND(P1442&lt;&gt;"",S1442=""),AND(N1442="REALIZADO",M1442="PENDENTE"),AND(ISNUMBER(R1442),R1442=TODAY())),"ATENÇÃO",IF(N(K1442)=0,"PENDENTE","EM ANDAMENTO"))))))</f>
        <v/>
      </c>
      <c r="C1442" s="3">
        <f>IF(D1442="","",IF(V1442=0,"🟢 OK",IF(D1442&lt;corte,"⚪ HISTÓRICO (sem baixa)",IF(AND(ISNUMBER(R1442),R1442&lt;TODAY()),"🔴 PRAZO VENCIDO",IF(AND(OR(N1442="PENDENTE",N1442="PARCIAL"),D1442&lt;TODAY()-1),"🔴 EMBARQUE ATRASADO",IF(AND(N1442="REALIZADO",M1442="PENDENTE"),"🟡 EMBARCADO SEM FATURAR",IF(AND(P1442&lt;&gt;"",S1442="",OR(Q1442="",R1442="")),"🟡 PENDÊNCIA SEM RESPONSÁVEL/PRAZO",IF(AND(ISNUMBER(R1442),R1442=TODAY()),"🟡 VENCE HOJE",IF(AND(P1442&lt;&gt;"",S1442=""),"🟡 PENDÊNCIA ABERTA",IF(AND(N(J1442)&gt;0,N(K1442)&lt;J1442),"🟡 FALTA EXECUTAR",IF(OR(M1442="PENDENTE",M1442="PARCIAL"),"🟡 FATURAMENTO PENDENTE","🟡 EMBARQUE PENDENTE")))))))))))</f>
        <v/>
      </c>
      <c r="D1442" s="4" t="n"/>
      <c r="E1442" s="5" t="n"/>
      <c r="F1442" s="5" t="n"/>
      <c r="G1442" s="5" t="n"/>
      <c r="H1442" s="5" t="n"/>
      <c r="I1442" s="5" t="n"/>
      <c r="J1442" s="6" t="n"/>
      <c r="K1442" s="6" t="n"/>
      <c r="L1442" s="7">
        <f>IF(OR(D1442="",N(J1442)=0),"",MIN(1,N(K1442)/J1442))</f>
        <v/>
      </c>
      <c r="M1442" s="5" t="n"/>
      <c r="N1442" s="5" t="n"/>
      <c r="O1442" s="5" t="n"/>
      <c r="P1442" s="5" t="n"/>
      <c r="Q1442" s="5" t="n"/>
      <c r="R1442" s="4" t="n"/>
      <c r="S1442" s="4" t="n"/>
      <c r="T1442" s="5" t="n"/>
      <c r="U1442" s="8">
        <f>IF(AND(V1442=1,D1442&lt;&gt;""),IF(D1442&gt;=corte,TODAY()-D1442,""),"")</f>
        <v/>
      </c>
      <c r="V1442" s="8">
        <f>IF(D1442="",0,IF(OR(AND(P1442&lt;&gt;"",S1442=""),AND(N(J1442)&gt;0,N(K1442)&lt;J1442),OR(M1442="PENDENTE",M1442="PARCIAL"),OR(N1442="PENDENTE",N1442="PARCIAL")),1,0))</f>
        <v/>
      </c>
      <c r="W1442" s="8">
        <f>IF(AND(V1442=1,D1442&lt;&gt;""),IF(D1442&gt;=corte,(B1442="CRÍTICO")*1E9+(100000-D1442)*10000+10000-ROW(),""),"")</f>
        <v/>
      </c>
      <c r="X1442" s="8">
        <f>IF(AND(V1442=1,D1442=pas_data,E1442=pas_turno),10000-ROW(),"")</f>
        <v/>
      </c>
    </row>
    <row r="1443">
      <c r="A1443" s="3">
        <f>IF(D1443="","","TT-"&amp;TEXT(ROW()-1,"00000"))</f>
        <v/>
      </c>
      <c r="B1443" s="3">
        <f>IF(D1443="","",IF(V1443=0,"CONCLUÍDO",IF(D1443&lt;corte,"HISTÓRICO",IF(OR(AND(ISNUMBER(R1443),R1443&lt;TODAY()),AND(OR(N1443="PENDENTE",N1443="PARCIAL"),D1443&lt;TODAY()-1)),"CRÍTICO",IF(OR(AND(P1443&lt;&gt;"",S1443=""),AND(N1443="REALIZADO",M1443="PENDENTE"),AND(ISNUMBER(R1443),R1443=TODAY())),"ATENÇÃO",IF(N(K1443)=0,"PENDENTE","EM ANDAMENTO"))))))</f>
        <v/>
      </c>
      <c r="C1443" s="3">
        <f>IF(D1443="","",IF(V1443=0,"🟢 OK",IF(D1443&lt;corte,"⚪ HISTÓRICO (sem baixa)",IF(AND(ISNUMBER(R1443),R1443&lt;TODAY()),"🔴 PRAZO VENCIDO",IF(AND(OR(N1443="PENDENTE",N1443="PARCIAL"),D1443&lt;TODAY()-1),"🔴 EMBARQUE ATRASADO",IF(AND(N1443="REALIZADO",M1443="PENDENTE"),"🟡 EMBARCADO SEM FATURAR",IF(AND(P1443&lt;&gt;"",S1443="",OR(Q1443="",R1443="")),"🟡 PENDÊNCIA SEM RESPONSÁVEL/PRAZO",IF(AND(ISNUMBER(R1443),R1443=TODAY()),"🟡 VENCE HOJE",IF(AND(P1443&lt;&gt;"",S1443=""),"🟡 PENDÊNCIA ABERTA",IF(AND(N(J1443)&gt;0,N(K1443)&lt;J1443),"🟡 FALTA EXECUTAR",IF(OR(M1443="PENDENTE",M1443="PARCIAL"),"🟡 FATURAMENTO PENDENTE","🟡 EMBARQUE PENDENTE")))))))))))</f>
        <v/>
      </c>
      <c r="D1443" s="4" t="n"/>
      <c r="E1443" s="5" t="n"/>
      <c r="F1443" s="5" t="n"/>
      <c r="G1443" s="5" t="n"/>
      <c r="H1443" s="5" t="n"/>
      <c r="I1443" s="5" t="n"/>
      <c r="J1443" s="6" t="n"/>
      <c r="K1443" s="6" t="n"/>
      <c r="L1443" s="7">
        <f>IF(OR(D1443="",N(J1443)=0),"",MIN(1,N(K1443)/J1443))</f>
        <v/>
      </c>
      <c r="M1443" s="5" t="n"/>
      <c r="N1443" s="5" t="n"/>
      <c r="O1443" s="5" t="n"/>
      <c r="P1443" s="5" t="n"/>
      <c r="Q1443" s="5" t="n"/>
      <c r="R1443" s="4" t="n"/>
      <c r="S1443" s="4" t="n"/>
      <c r="T1443" s="5" t="n"/>
      <c r="U1443" s="8">
        <f>IF(AND(V1443=1,D1443&lt;&gt;""),IF(D1443&gt;=corte,TODAY()-D1443,""),"")</f>
        <v/>
      </c>
      <c r="V1443" s="8">
        <f>IF(D1443="",0,IF(OR(AND(P1443&lt;&gt;"",S1443=""),AND(N(J1443)&gt;0,N(K1443)&lt;J1443),OR(M1443="PENDENTE",M1443="PARCIAL"),OR(N1443="PENDENTE",N1443="PARCIAL")),1,0))</f>
        <v/>
      </c>
      <c r="W1443" s="8">
        <f>IF(AND(V1443=1,D1443&lt;&gt;""),IF(D1443&gt;=corte,(B1443="CRÍTICO")*1E9+(100000-D1443)*10000+10000-ROW(),""),"")</f>
        <v/>
      </c>
      <c r="X1443" s="8">
        <f>IF(AND(V1443=1,D1443=pas_data,E1443=pas_turno),10000-ROW(),"")</f>
        <v/>
      </c>
    </row>
    <row r="1444">
      <c r="A1444" s="3">
        <f>IF(D1444="","","TT-"&amp;TEXT(ROW()-1,"00000"))</f>
        <v/>
      </c>
      <c r="B1444" s="3">
        <f>IF(D1444="","",IF(V1444=0,"CONCLUÍDO",IF(D1444&lt;corte,"HISTÓRICO",IF(OR(AND(ISNUMBER(R1444),R1444&lt;TODAY()),AND(OR(N1444="PENDENTE",N1444="PARCIAL"),D1444&lt;TODAY()-1)),"CRÍTICO",IF(OR(AND(P1444&lt;&gt;"",S1444=""),AND(N1444="REALIZADO",M1444="PENDENTE"),AND(ISNUMBER(R1444),R1444=TODAY())),"ATENÇÃO",IF(N(K1444)=0,"PENDENTE","EM ANDAMENTO"))))))</f>
        <v/>
      </c>
      <c r="C1444" s="3">
        <f>IF(D1444="","",IF(V1444=0,"🟢 OK",IF(D1444&lt;corte,"⚪ HISTÓRICO (sem baixa)",IF(AND(ISNUMBER(R1444),R1444&lt;TODAY()),"🔴 PRAZO VENCIDO",IF(AND(OR(N1444="PENDENTE",N1444="PARCIAL"),D1444&lt;TODAY()-1),"🔴 EMBARQUE ATRASADO",IF(AND(N1444="REALIZADO",M1444="PENDENTE"),"🟡 EMBARCADO SEM FATURAR",IF(AND(P1444&lt;&gt;"",S1444="",OR(Q1444="",R1444="")),"🟡 PENDÊNCIA SEM RESPONSÁVEL/PRAZO",IF(AND(ISNUMBER(R1444),R1444=TODAY()),"🟡 VENCE HOJE",IF(AND(P1444&lt;&gt;"",S1444=""),"🟡 PENDÊNCIA ABERTA",IF(AND(N(J1444)&gt;0,N(K1444)&lt;J1444),"🟡 FALTA EXECUTAR",IF(OR(M1444="PENDENTE",M1444="PARCIAL"),"🟡 FATURAMENTO PENDENTE","🟡 EMBARQUE PENDENTE")))))))))))</f>
        <v/>
      </c>
      <c r="D1444" s="4" t="n"/>
      <c r="E1444" s="5" t="n"/>
      <c r="F1444" s="5" t="n"/>
      <c r="G1444" s="5" t="n"/>
      <c r="H1444" s="5" t="n"/>
      <c r="I1444" s="5" t="n"/>
      <c r="J1444" s="6" t="n"/>
      <c r="K1444" s="6" t="n"/>
      <c r="L1444" s="7">
        <f>IF(OR(D1444="",N(J1444)=0),"",MIN(1,N(K1444)/J1444))</f>
        <v/>
      </c>
      <c r="M1444" s="5" t="n"/>
      <c r="N1444" s="5" t="n"/>
      <c r="O1444" s="5" t="n"/>
      <c r="P1444" s="5" t="n"/>
      <c r="Q1444" s="5" t="n"/>
      <c r="R1444" s="4" t="n"/>
      <c r="S1444" s="4" t="n"/>
      <c r="T1444" s="5" t="n"/>
      <c r="U1444" s="8">
        <f>IF(AND(V1444=1,D1444&lt;&gt;""),IF(D1444&gt;=corte,TODAY()-D1444,""),"")</f>
        <v/>
      </c>
      <c r="V1444" s="8">
        <f>IF(D1444="",0,IF(OR(AND(P1444&lt;&gt;"",S1444=""),AND(N(J1444)&gt;0,N(K1444)&lt;J1444),OR(M1444="PENDENTE",M1444="PARCIAL"),OR(N1444="PENDENTE",N1444="PARCIAL")),1,0))</f>
        <v/>
      </c>
      <c r="W1444" s="8">
        <f>IF(AND(V1444=1,D1444&lt;&gt;""),IF(D1444&gt;=corte,(B1444="CRÍTICO")*1E9+(100000-D1444)*10000+10000-ROW(),""),"")</f>
        <v/>
      </c>
      <c r="X1444" s="8">
        <f>IF(AND(V1444=1,D1444=pas_data,E1444=pas_turno),10000-ROW(),"")</f>
        <v/>
      </c>
    </row>
    <row r="1445">
      <c r="A1445" s="3">
        <f>IF(D1445="","","TT-"&amp;TEXT(ROW()-1,"00000"))</f>
        <v/>
      </c>
      <c r="B1445" s="3">
        <f>IF(D1445="","",IF(V1445=0,"CONCLUÍDO",IF(D1445&lt;corte,"HISTÓRICO",IF(OR(AND(ISNUMBER(R1445),R1445&lt;TODAY()),AND(OR(N1445="PENDENTE",N1445="PARCIAL"),D1445&lt;TODAY()-1)),"CRÍTICO",IF(OR(AND(P1445&lt;&gt;"",S1445=""),AND(N1445="REALIZADO",M1445="PENDENTE"),AND(ISNUMBER(R1445),R1445=TODAY())),"ATENÇÃO",IF(N(K1445)=0,"PENDENTE","EM ANDAMENTO"))))))</f>
        <v/>
      </c>
      <c r="C1445" s="3">
        <f>IF(D1445="","",IF(V1445=0,"🟢 OK",IF(D1445&lt;corte,"⚪ HISTÓRICO (sem baixa)",IF(AND(ISNUMBER(R1445),R1445&lt;TODAY()),"🔴 PRAZO VENCIDO",IF(AND(OR(N1445="PENDENTE",N1445="PARCIAL"),D1445&lt;TODAY()-1),"🔴 EMBARQUE ATRASADO",IF(AND(N1445="REALIZADO",M1445="PENDENTE"),"🟡 EMBARCADO SEM FATURAR",IF(AND(P1445&lt;&gt;"",S1445="",OR(Q1445="",R1445="")),"🟡 PENDÊNCIA SEM RESPONSÁVEL/PRAZO",IF(AND(ISNUMBER(R1445),R1445=TODAY()),"🟡 VENCE HOJE",IF(AND(P1445&lt;&gt;"",S1445=""),"🟡 PENDÊNCIA ABERTA",IF(AND(N(J1445)&gt;0,N(K1445)&lt;J1445),"🟡 FALTA EXECUTAR",IF(OR(M1445="PENDENTE",M1445="PARCIAL"),"🟡 FATURAMENTO PENDENTE","🟡 EMBARQUE PENDENTE")))))))))))</f>
        <v/>
      </c>
      <c r="D1445" s="4" t="n"/>
      <c r="E1445" s="5" t="n"/>
      <c r="F1445" s="5" t="n"/>
      <c r="G1445" s="5" t="n"/>
      <c r="H1445" s="5" t="n"/>
      <c r="I1445" s="5" t="n"/>
      <c r="J1445" s="6" t="n"/>
      <c r="K1445" s="6" t="n"/>
      <c r="L1445" s="7">
        <f>IF(OR(D1445="",N(J1445)=0),"",MIN(1,N(K1445)/J1445))</f>
        <v/>
      </c>
      <c r="M1445" s="5" t="n"/>
      <c r="N1445" s="5" t="n"/>
      <c r="O1445" s="5" t="n"/>
      <c r="P1445" s="5" t="n"/>
      <c r="Q1445" s="5" t="n"/>
      <c r="R1445" s="4" t="n"/>
      <c r="S1445" s="4" t="n"/>
      <c r="T1445" s="5" t="n"/>
      <c r="U1445" s="8">
        <f>IF(AND(V1445=1,D1445&lt;&gt;""),IF(D1445&gt;=corte,TODAY()-D1445,""),"")</f>
        <v/>
      </c>
      <c r="V1445" s="8">
        <f>IF(D1445="",0,IF(OR(AND(P1445&lt;&gt;"",S1445=""),AND(N(J1445)&gt;0,N(K1445)&lt;J1445),OR(M1445="PENDENTE",M1445="PARCIAL"),OR(N1445="PENDENTE",N1445="PARCIAL")),1,0))</f>
        <v/>
      </c>
      <c r="W1445" s="8">
        <f>IF(AND(V1445=1,D1445&lt;&gt;""),IF(D1445&gt;=corte,(B1445="CRÍTICO")*1E9+(100000-D1445)*10000+10000-ROW(),""),"")</f>
        <v/>
      </c>
      <c r="X1445" s="8">
        <f>IF(AND(V1445=1,D1445=pas_data,E1445=pas_turno),10000-ROW(),"")</f>
        <v/>
      </c>
    </row>
    <row r="1446">
      <c r="A1446" s="3">
        <f>IF(D1446="","","TT-"&amp;TEXT(ROW()-1,"00000"))</f>
        <v/>
      </c>
      <c r="B1446" s="3">
        <f>IF(D1446="","",IF(V1446=0,"CONCLUÍDO",IF(D1446&lt;corte,"HISTÓRICO",IF(OR(AND(ISNUMBER(R1446),R1446&lt;TODAY()),AND(OR(N1446="PENDENTE",N1446="PARCIAL"),D1446&lt;TODAY()-1)),"CRÍTICO",IF(OR(AND(P1446&lt;&gt;"",S1446=""),AND(N1446="REALIZADO",M1446="PENDENTE"),AND(ISNUMBER(R1446),R1446=TODAY())),"ATENÇÃO",IF(N(K1446)=0,"PENDENTE","EM ANDAMENTO"))))))</f>
        <v/>
      </c>
      <c r="C1446" s="3">
        <f>IF(D1446="","",IF(V1446=0,"🟢 OK",IF(D1446&lt;corte,"⚪ HISTÓRICO (sem baixa)",IF(AND(ISNUMBER(R1446),R1446&lt;TODAY()),"🔴 PRAZO VENCIDO",IF(AND(OR(N1446="PENDENTE",N1446="PARCIAL"),D1446&lt;TODAY()-1),"🔴 EMBARQUE ATRASADO",IF(AND(N1446="REALIZADO",M1446="PENDENTE"),"🟡 EMBARCADO SEM FATURAR",IF(AND(P1446&lt;&gt;"",S1446="",OR(Q1446="",R1446="")),"🟡 PENDÊNCIA SEM RESPONSÁVEL/PRAZO",IF(AND(ISNUMBER(R1446),R1446=TODAY()),"🟡 VENCE HOJE",IF(AND(P1446&lt;&gt;"",S1446=""),"🟡 PENDÊNCIA ABERTA",IF(AND(N(J1446)&gt;0,N(K1446)&lt;J1446),"🟡 FALTA EXECUTAR",IF(OR(M1446="PENDENTE",M1446="PARCIAL"),"🟡 FATURAMENTO PENDENTE","🟡 EMBARQUE PENDENTE")))))))))))</f>
        <v/>
      </c>
      <c r="D1446" s="4" t="n"/>
      <c r="E1446" s="5" t="n"/>
      <c r="F1446" s="5" t="n"/>
      <c r="G1446" s="5" t="n"/>
      <c r="H1446" s="5" t="n"/>
      <c r="I1446" s="5" t="n"/>
      <c r="J1446" s="6" t="n"/>
      <c r="K1446" s="6" t="n"/>
      <c r="L1446" s="7">
        <f>IF(OR(D1446="",N(J1446)=0),"",MIN(1,N(K1446)/J1446))</f>
        <v/>
      </c>
      <c r="M1446" s="5" t="n"/>
      <c r="N1446" s="5" t="n"/>
      <c r="O1446" s="5" t="n"/>
      <c r="P1446" s="5" t="n"/>
      <c r="Q1446" s="5" t="n"/>
      <c r="R1446" s="4" t="n"/>
      <c r="S1446" s="4" t="n"/>
      <c r="T1446" s="5" t="n"/>
      <c r="U1446" s="8">
        <f>IF(AND(V1446=1,D1446&lt;&gt;""),IF(D1446&gt;=corte,TODAY()-D1446,""),"")</f>
        <v/>
      </c>
      <c r="V1446" s="8">
        <f>IF(D1446="",0,IF(OR(AND(P1446&lt;&gt;"",S1446=""),AND(N(J1446)&gt;0,N(K1446)&lt;J1446),OR(M1446="PENDENTE",M1446="PARCIAL"),OR(N1446="PENDENTE",N1446="PARCIAL")),1,0))</f>
        <v/>
      </c>
      <c r="W1446" s="8">
        <f>IF(AND(V1446=1,D1446&lt;&gt;""),IF(D1446&gt;=corte,(B1446="CRÍTICO")*1E9+(100000-D1446)*10000+10000-ROW(),""),"")</f>
        <v/>
      </c>
      <c r="X1446" s="8">
        <f>IF(AND(V1446=1,D1446=pas_data,E1446=pas_turno),10000-ROW(),"")</f>
        <v/>
      </c>
    </row>
    <row r="1447">
      <c r="A1447" s="3">
        <f>IF(D1447="","","TT-"&amp;TEXT(ROW()-1,"00000"))</f>
        <v/>
      </c>
      <c r="B1447" s="3">
        <f>IF(D1447="","",IF(V1447=0,"CONCLUÍDO",IF(D1447&lt;corte,"HISTÓRICO",IF(OR(AND(ISNUMBER(R1447),R1447&lt;TODAY()),AND(OR(N1447="PENDENTE",N1447="PARCIAL"),D1447&lt;TODAY()-1)),"CRÍTICO",IF(OR(AND(P1447&lt;&gt;"",S1447=""),AND(N1447="REALIZADO",M1447="PENDENTE"),AND(ISNUMBER(R1447),R1447=TODAY())),"ATENÇÃO",IF(N(K1447)=0,"PENDENTE","EM ANDAMENTO"))))))</f>
        <v/>
      </c>
      <c r="C1447" s="3">
        <f>IF(D1447="","",IF(V1447=0,"🟢 OK",IF(D1447&lt;corte,"⚪ HISTÓRICO (sem baixa)",IF(AND(ISNUMBER(R1447),R1447&lt;TODAY()),"🔴 PRAZO VENCIDO",IF(AND(OR(N1447="PENDENTE",N1447="PARCIAL"),D1447&lt;TODAY()-1),"🔴 EMBARQUE ATRASADO",IF(AND(N1447="REALIZADO",M1447="PENDENTE"),"🟡 EMBARCADO SEM FATURAR",IF(AND(P1447&lt;&gt;"",S1447="",OR(Q1447="",R1447="")),"🟡 PENDÊNCIA SEM RESPONSÁVEL/PRAZO",IF(AND(ISNUMBER(R1447),R1447=TODAY()),"🟡 VENCE HOJE",IF(AND(P1447&lt;&gt;"",S1447=""),"🟡 PENDÊNCIA ABERTA",IF(AND(N(J1447)&gt;0,N(K1447)&lt;J1447),"🟡 FALTA EXECUTAR",IF(OR(M1447="PENDENTE",M1447="PARCIAL"),"🟡 FATURAMENTO PENDENTE","🟡 EMBARQUE PENDENTE")))))))))))</f>
        <v/>
      </c>
      <c r="D1447" s="4" t="n"/>
      <c r="E1447" s="5" t="n"/>
      <c r="F1447" s="5" t="n"/>
      <c r="G1447" s="5" t="n"/>
      <c r="H1447" s="5" t="n"/>
      <c r="I1447" s="5" t="n"/>
      <c r="J1447" s="6" t="n"/>
      <c r="K1447" s="6" t="n"/>
      <c r="L1447" s="7">
        <f>IF(OR(D1447="",N(J1447)=0),"",MIN(1,N(K1447)/J1447))</f>
        <v/>
      </c>
      <c r="M1447" s="5" t="n"/>
      <c r="N1447" s="5" t="n"/>
      <c r="O1447" s="5" t="n"/>
      <c r="P1447" s="5" t="n"/>
      <c r="Q1447" s="5" t="n"/>
      <c r="R1447" s="4" t="n"/>
      <c r="S1447" s="4" t="n"/>
      <c r="T1447" s="5" t="n"/>
      <c r="U1447" s="8">
        <f>IF(AND(V1447=1,D1447&lt;&gt;""),IF(D1447&gt;=corte,TODAY()-D1447,""),"")</f>
        <v/>
      </c>
      <c r="V1447" s="8">
        <f>IF(D1447="",0,IF(OR(AND(P1447&lt;&gt;"",S1447=""),AND(N(J1447)&gt;0,N(K1447)&lt;J1447),OR(M1447="PENDENTE",M1447="PARCIAL"),OR(N1447="PENDENTE",N1447="PARCIAL")),1,0))</f>
        <v/>
      </c>
      <c r="W1447" s="8">
        <f>IF(AND(V1447=1,D1447&lt;&gt;""),IF(D1447&gt;=corte,(B1447="CRÍTICO")*1E9+(100000-D1447)*10000+10000-ROW(),""),"")</f>
        <v/>
      </c>
      <c r="X1447" s="8">
        <f>IF(AND(V1447=1,D1447=pas_data,E1447=pas_turno),10000-ROW(),"")</f>
        <v/>
      </c>
    </row>
    <row r="1448">
      <c r="A1448" s="3">
        <f>IF(D1448="","","TT-"&amp;TEXT(ROW()-1,"00000"))</f>
        <v/>
      </c>
      <c r="B1448" s="3">
        <f>IF(D1448="","",IF(V1448=0,"CONCLUÍDO",IF(D1448&lt;corte,"HISTÓRICO",IF(OR(AND(ISNUMBER(R1448),R1448&lt;TODAY()),AND(OR(N1448="PENDENTE",N1448="PARCIAL"),D1448&lt;TODAY()-1)),"CRÍTICO",IF(OR(AND(P1448&lt;&gt;"",S1448=""),AND(N1448="REALIZADO",M1448="PENDENTE"),AND(ISNUMBER(R1448),R1448=TODAY())),"ATENÇÃO",IF(N(K1448)=0,"PENDENTE","EM ANDAMENTO"))))))</f>
        <v/>
      </c>
      <c r="C1448" s="3">
        <f>IF(D1448="","",IF(V1448=0,"🟢 OK",IF(D1448&lt;corte,"⚪ HISTÓRICO (sem baixa)",IF(AND(ISNUMBER(R1448),R1448&lt;TODAY()),"🔴 PRAZO VENCIDO",IF(AND(OR(N1448="PENDENTE",N1448="PARCIAL"),D1448&lt;TODAY()-1),"🔴 EMBARQUE ATRASADO",IF(AND(N1448="REALIZADO",M1448="PENDENTE"),"🟡 EMBARCADO SEM FATURAR",IF(AND(P1448&lt;&gt;"",S1448="",OR(Q1448="",R1448="")),"🟡 PENDÊNCIA SEM RESPONSÁVEL/PRAZO",IF(AND(ISNUMBER(R1448),R1448=TODAY()),"🟡 VENCE HOJE",IF(AND(P1448&lt;&gt;"",S1448=""),"🟡 PENDÊNCIA ABERTA",IF(AND(N(J1448)&gt;0,N(K1448)&lt;J1448),"🟡 FALTA EXECUTAR",IF(OR(M1448="PENDENTE",M1448="PARCIAL"),"🟡 FATURAMENTO PENDENTE","🟡 EMBARQUE PENDENTE")))))))))))</f>
        <v/>
      </c>
      <c r="D1448" s="4" t="n"/>
      <c r="E1448" s="5" t="n"/>
      <c r="F1448" s="5" t="n"/>
      <c r="G1448" s="5" t="n"/>
      <c r="H1448" s="5" t="n"/>
      <c r="I1448" s="5" t="n"/>
      <c r="J1448" s="6" t="n"/>
      <c r="K1448" s="6" t="n"/>
      <c r="L1448" s="7">
        <f>IF(OR(D1448="",N(J1448)=0),"",MIN(1,N(K1448)/J1448))</f>
        <v/>
      </c>
      <c r="M1448" s="5" t="n"/>
      <c r="N1448" s="5" t="n"/>
      <c r="O1448" s="5" t="n"/>
      <c r="P1448" s="5" t="n"/>
      <c r="Q1448" s="5" t="n"/>
      <c r="R1448" s="4" t="n"/>
      <c r="S1448" s="4" t="n"/>
      <c r="T1448" s="5" t="n"/>
      <c r="U1448" s="8">
        <f>IF(AND(V1448=1,D1448&lt;&gt;""),IF(D1448&gt;=corte,TODAY()-D1448,""),"")</f>
        <v/>
      </c>
      <c r="V1448" s="8">
        <f>IF(D1448="",0,IF(OR(AND(P1448&lt;&gt;"",S1448=""),AND(N(J1448)&gt;0,N(K1448)&lt;J1448),OR(M1448="PENDENTE",M1448="PARCIAL"),OR(N1448="PENDENTE",N1448="PARCIAL")),1,0))</f>
        <v/>
      </c>
      <c r="W1448" s="8">
        <f>IF(AND(V1448=1,D1448&lt;&gt;""),IF(D1448&gt;=corte,(B1448="CRÍTICO")*1E9+(100000-D1448)*10000+10000-ROW(),""),"")</f>
        <v/>
      </c>
      <c r="X1448" s="8">
        <f>IF(AND(V1448=1,D1448=pas_data,E1448=pas_turno),10000-ROW(),"")</f>
        <v/>
      </c>
    </row>
    <row r="1449">
      <c r="A1449" s="3">
        <f>IF(D1449="","","TT-"&amp;TEXT(ROW()-1,"00000"))</f>
        <v/>
      </c>
      <c r="B1449" s="3">
        <f>IF(D1449="","",IF(V1449=0,"CONCLUÍDO",IF(D1449&lt;corte,"HISTÓRICO",IF(OR(AND(ISNUMBER(R1449),R1449&lt;TODAY()),AND(OR(N1449="PENDENTE",N1449="PARCIAL"),D1449&lt;TODAY()-1)),"CRÍTICO",IF(OR(AND(P1449&lt;&gt;"",S1449=""),AND(N1449="REALIZADO",M1449="PENDENTE"),AND(ISNUMBER(R1449),R1449=TODAY())),"ATENÇÃO",IF(N(K1449)=0,"PENDENTE","EM ANDAMENTO"))))))</f>
        <v/>
      </c>
      <c r="C1449" s="3">
        <f>IF(D1449="","",IF(V1449=0,"🟢 OK",IF(D1449&lt;corte,"⚪ HISTÓRICO (sem baixa)",IF(AND(ISNUMBER(R1449),R1449&lt;TODAY()),"🔴 PRAZO VENCIDO",IF(AND(OR(N1449="PENDENTE",N1449="PARCIAL"),D1449&lt;TODAY()-1),"🔴 EMBARQUE ATRASADO",IF(AND(N1449="REALIZADO",M1449="PENDENTE"),"🟡 EMBARCADO SEM FATURAR",IF(AND(P1449&lt;&gt;"",S1449="",OR(Q1449="",R1449="")),"🟡 PENDÊNCIA SEM RESPONSÁVEL/PRAZO",IF(AND(ISNUMBER(R1449),R1449=TODAY()),"🟡 VENCE HOJE",IF(AND(P1449&lt;&gt;"",S1449=""),"🟡 PENDÊNCIA ABERTA",IF(AND(N(J1449)&gt;0,N(K1449)&lt;J1449),"🟡 FALTA EXECUTAR",IF(OR(M1449="PENDENTE",M1449="PARCIAL"),"🟡 FATURAMENTO PENDENTE","🟡 EMBARQUE PENDENTE")))))))))))</f>
        <v/>
      </c>
      <c r="D1449" s="4" t="n"/>
      <c r="E1449" s="5" t="n"/>
      <c r="F1449" s="5" t="n"/>
      <c r="G1449" s="5" t="n"/>
      <c r="H1449" s="5" t="n"/>
      <c r="I1449" s="5" t="n"/>
      <c r="J1449" s="6" t="n"/>
      <c r="K1449" s="6" t="n"/>
      <c r="L1449" s="7">
        <f>IF(OR(D1449="",N(J1449)=0),"",MIN(1,N(K1449)/J1449))</f>
        <v/>
      </c>
      <c r="M1449" s="5" t="n"/>
      <c r="N1449" s="5" t="n"/>
      <c r="O1449" s="5" t="n"/>
      <c r="P1449" s="5" t="n"/>
      <c r="Q1449" s="5" t="n"/>
      <c r="R1449" s="4" t="n"/>
      <c r="S1449" s="4" t="n"/>
      <c r="T1449" s="5" t="n"/>
      <c r="U1449" s="8">
        <f>IF(AND(V1449=1,D1449&lt;&gt;""),IF(D1449&gt;=corte,TODAY()-D1449,""),"")</f>
        <v/>
      </c>
      <c r="V1449" s="8">
        <f>IF(D1449="",0,IF(OR(AND(P1449&lt;&gt;"",S1449=""),AND(N(J1449)&gt;0,N(K1449)&lt;J1449),OR(M1449="PENDENTE",M1449="PARCIAL"),OR(N1449="PENDENTE",N1449="PARCIAL")),1,0))</f>
        <v/>
      </c>
      <c r="W1449" s="8">
        <f>IF(AND(V1449=1,D1449&lt;&gt;""),IF(D1449&gt;=corte,(B1449="CRÍTICO")*1E9+(100000-D1449)*10000+10000-ROW(),""),"")</f>
        <v/>
      </c>
      <c r="X1449" s="8">
        <f>IF(AND(V1449=1,D1449=pas_data,E1449=pas_turno),10000-ROW(),"")</f>
        <v/>
      </c>
    </row>
    <row r="1450">
      <c r="A1450" s="3">
        <f>IF(D1450="","","TT-"&amp;TEXT(ROW()-1,"00000"))</f>
        <v/>
      </c>
      <c r="B1450" s="3">
        <f>IF(D1450="","",IF(V1450=0,"CONCLUÍDO",IF(D1450&lt;corte,"HISTÓRICO",IF(OR(AND(ISNUMBER(R1450),R1450&lt;TODAY()),AND(OR(N1450="PENDENTE",N1450="PARCIAL"),D1450&lt;TODAY()-1)),"CRÍTICO",IF(OR(AND(P1450&lt;&gt;"",S1450=""),AND(N1450="REALIZADO",M1450="PENDENTE"),AND(ISNUMBER(R1450),R1450=TODAY())),"ATENÇÃO",IF(N(K1450)=0,"PENDENTE","EM ANDAMENTO"))))))</f>
        <v/>
      </c>
      <c r="C1450" s="3">
        <f>IF(D1450="","",IF(V1450=0,"🟢 OK",IF(D1450&lt;corte,"⚪ HISTÓRICO (sem baixa)",IF(AND(ISNUMBER(R1450),R1450&lt;TODAY()),"🔴 PRAZO VENCIDO",IF(AND(OR(N1450="PENDENTE",N1450="PARCIAL"),D1450&lt;TODAY()-1),"🔴 EMBARQUE ATRASADO",IF(AND(N1450="REALIZADO",M1450="PENDENTE"),"🟡 EMBARCADO SEM FATURAR",IF(AND(P1450&lt;&gt;"",S1450="",OR(Q1450="",R1450="")),"🟡 PENDÊNCIA SEM RESPONSÁVEL/PRAZO",IF(AND(ISNUMBER(R1450),R1450=TODAY()),"🟡 VENCE HOJE",IF(AND(P1450&lt;&gt;"",S1450=""),"🟡 PENDÊNCIA ABERTA",IF(AND(N(J1450)&gt;0,N(K1450)&lt;J1450),"🟡 FALTA EXECUTAR",IF(OR(M1450="PENDENTE",M1450="PARCIAL"),"🟡 FATURAMENTO PENDENTE","🟡 EMBARQUE PENDENTE")))))))))))</f>
        <v/>
      </c>
      <c r="D1450" s="4" t="n"/>
      <c r="E1450" s="5" t="n"/>
      <c r="F1450" s="5" t="n"/>
      <c r="G1450" s="5" t="n"/>
      <c r="H1450" s="5" t="n"/>
      <c r="I1450" s="5" t="n"/>
      <c r="J1450" s="6" t="n"/>
      <c r="K1450" s="6" t="n"/>
      <c r="L1450" s="7">
        <f>IF(OR(D1450="",N(J1450)=0),"",MIN(1,N(K1450)/J1450))</f>
        <v/>
      </c>
      <c r="M1450" s="5" t="n"/>
      <c r="N1450" s="5" t="n"/>
      <c r="O1450" s="5" t="n"/>
      <c r="P1450" s="5" t="n"/>
      <c r="Q1450" s="5" t="n"/>
      <c r="R1450" s="4" t="n"/>
      <c r="S1450" s="4" t="n"/>
      <c r="T1450" s="5" t="n"/>
      <c r="U1450" s="8">
        <f>IF(AND(V1450=1,D1450&lt;&gt;""),IF(D1450&gt;=corte,TODAY()-D1450,""),"")</f>
        <v/>
      </c>
      <c r="V1450" s="8">
        <f>IF(D1450="",0,IF(OR(AND(P1450&lt;&gt;"",S1450=""),AND(N(J1450)&gt;0,N(K1450)&lt;J1450),OR(M1450="PENDENTE",M1450="PARCIAL"),OR(N1450="PENDENTE",N1450="PARCIAL")),1,0))</f>
        <v/>
      </c>
      <c r="W1450" s="8">
        <f>IF(AND(V1450=1,D1450&lt;&gt;""),IF(D1450&gt;=corte,(B1450="CRÍTICO")*1E9+(100000-D1450)*10000+10000-ROW(),""),"")</f>
        <v/>
      </c>
      <c r="X1450" s="8">
        <f>IF(AND(V1450=1,D1450=pas_data,E1450=pas_turno),10000-ROW(),"")</f>
        <v/>
      </c>
    </row>
    <row r="1451">
      <c r="A1451" s="3">
        <f>IF(D1451="","","TT-"&amp;TEXT(ROW()-1,"00000"))</f>
        <v/>
      </c>
      <c r="B1451" s="3">
        <f>IF(D1451="","",IF(V1451=0,"CONCLUÍDO",IF(D1451&lt;corte,"HISTÓRICO",IF(OR(AND(ISNUMBER(R1451),R1451&lt;TODAY()),AND(OR(N1451="PENDENTE",N1451="PARCIAL"),D1451&lt;TODAY()-1)),"CRÍTICO",IF(OR(AND(P1451&lt;&gt;"",S1451=""),AND(N1451="REALIZADO",M1451="PENDENTE"),AND(ISNUMBER(R1451),R1451=TODAY())),"ATENÇÃO",IF(N(K1451)=0,"PENDENTE","EM ANDAMENTO"))))))</f>
        <v/>
      </c>
      <c r="C1451" s="3">
        <f>IF(D1451="","",IF(V1451=0,"🟢 OK",IF(D1451&lt;corte,"⚪ HISTÓRICO (sem baixa)",IF(AND(ISNUMBER(R1451),R1451&lt;TODAY()),"🔴 PRAZO VENCIDO",IF(AND(OR(N1451="PENDENTE",N1451="PARCIAL"),D1451&lt;TODAY()-1),"🔴 EMBARQUE ATRASADO",IF(AND(N1451="REALIZADO",M1451="PENDENTE"),"🟡 EMBARCADO SEM FATURAR",IF(AND(P1451&lt;&gt;"",S1451="",OR(Q1451="",R1451="")),"🟡 PENDÊNCIA SEM RESPONSÁVEL/PRAZO",IF(AND(ISNUMBER(R1451),R1451=TODAY()),"🟡 VENCE HOJE",IF(AND(P1451&lt;&gt;"",S1451=""),"🟡 PENDÊNCIA ABERTA",IF(AND(N(J1451)&gt;0,N(K1451)&lt;J1451),"🟡 FALTA EXECUTAR",IF(OR(M1451="PENDENTE",M1451="PARCIAL"),"🟡 FATURAMENTO PENDENTE","🟡 EMBARQUE PENDENTE")))))))))))</f>
        <v/>
      </c>
      <c r="D1451" s="4" t="n"/>
      <c r="E1451" s="5" t="n"/>
      <c r="F1451" s="5" t="n"/>
      <c r="G1451" s="5" t="n"/>
      <c r="H1451" s="5" t="n"/>
      <c r="I1451" s="5" t="n"/>
      <c r="J1451" s="6" t="n"/>
      <c r="K1451" s="6" t="n"/>
      <c r="L1451" s="7">
        <f>IF(OR(D1451="",N(J1451)=0),"",MIN(1,N(K1451)/J1451))</f>
        <v/>
      </c>
      <c r="M1451" s="5" t="n"/>
      <c r="N1451" s="5" t="n"/>
      <c r="O1451" s="5" t="n"/>
      <c r="P1451" s="5" t="n"/>
      <c r="Q1451" s="5" t="n"/>
      <c r="R1451" s="4" t="n"/>
      <c r="S1451" s="4" t="n"/>
      <c r="T1451" s="5" t="n"/>
      <c r="U1451" s="8">
        <f>IF(AND(V1451=1,D1451&lt;&gt;""),IF(D1451&gt;=corte,TODAY()-D1451,""),"")</f>
        <v/>
      </c>
      <c r="V1451" s="8">
        <f>IF(D1451="",0,IF(OR(AND(P1451&lt;&gt;"",S1451=""),AND(N(J1451)&gt;0,N(K1451)&lt;J1451),OR(M1451="PENDENTE",M1451="PARCIAL"),OR(N1451="PENDENTE",N1451="PARCIAL")),1,0))</f>
        <v/>
      </c>
      <c r="W1451" s="8">
        <f>IF(AND(V1451=1,D1451&lt;&gt;""),IF(D1451&gt;=corte,(B1451="CRÍTICO")*1E9+(100000-D1451)*10000+10000-ROW(),""),"")</f>
        <v/>
      </c>
      <c r="X1451" s="8">
        <f>IF(AND(V1451=1,D1451=pas_data,E1451=pas_turno),10000-ROW(),"")</f>
        <v/>
      </c>
    </row>
    <row r="1452">
      <c r="A1452" s="3">
        <f>IF(D1452="","","TT-"&amp;TEXT(ROW()-1,"00000"))</f>
        <v/>
      </c>
      <c r="B1452" s="3">
        <f>IF(D1452="","",IF(V1452=0,"CONCLUÍDO",IF(D1452&lt;corte,"HISTÓRICO",IF(OR(AND(ISNUMBER(R1452),R1452&lt;TODAY()),AND(OR(N1452="PENDENTE",N1452="PARCIAL"),D1452&lt;TODAY()-1)),"CRÍTICO",IF(OR(AND(P1452&lt;&gt;"",S1452=""),AND(N1452="REALIZADO",M1452="PENDENTE"),AND(ISNUMBER(R1452),R1452=TODAY())),"ATENÇÃO",IF(N(K1452)=0,"PENDENTE","EM ANDAMENTO"))))))</f>
        <v/>
      </c>
      <c r="C1452" s="3">
        <f>IF(D1452="","",IF(V1452=0,"🟢 OK",IF(D1452&lt;corte,"⚪ HISTÓRICO (sem baixa)",IF(AND(ISNUMBER(R1452),R1452&lt;TODAY()),"🔴 PRAZO VENCIDO",IF(AND(OR(N1452="PENDENTE",N1452="PARCIAL"),D1452&lt;TODAY()-1),"🔴 EMBARQUE ATRASADO",IF(AND(N1452="REALIZADO",M1452="PENDENTE"),"🟡 EMBARCADO SEM FATURAR",IF(AND(P1452&lt;&gt;"",S1452="",OR(Q1452="",R1452="")),"🟡 PENDÊNCIA SEM RESPONSÁVEL/PRAZO",IF(AND(ISNUMBER(R1452),R1452=TODAY()),"🟡 VENCE HOJE",IF(AND(P1452&lt;&gt;"",S1452=""),"🟡 PENDÊNCIA ABERTA",IF(AND(N(J1452)&gt;0,N(K1452)&lt;J1452),"🟡 FALTA EXECUTAR",IF(OR(M1452="PENDENTE",M1452="PARCIAL"),"🟡 FATURAMENTO PENDENTE","🟡 EMBARQUE PENDENTE")))))))))))</f>
        <v/>
      </c>
      <c r="D1452" s="4" t="n"/>
      <c r="E1452" s="5" t="n"/>
      <c r="F1452" s="5" t="n"/>
      <c r="G1452" s="5" t="n"/>
      <c r="H1452" s="5" t="n"/>
      <c r="I1452" s="5" t="n"/>
      <c r="J1452" s="6" t="n"/>
      <c r="K1452" s="6" t="n"/>
      <c r="L1452" s="7">
        <f>IF(OR(D1452="",N(J1452)=0),"",MIN(1,N(K1452)/J1452))</f>
        <v/>
      </c>
      <c r="M1452" s="5" t="n"/>
      <c r="N1452" s="5" t="n"/>
      <c r="O1452" s="5" t="n"/>
      <c r="P1452" s="5" t="n"/>
      <c r="Q1452" s="5" t="n"/>
      <c r="R1452" s="4" t="n"/>
      <c r="S1452" s="4" t="n"/>
      <c r="T1452" s="5" t="n"/>
      <c r="U1452" s="8">
        <f>IF(AND(V1452=1,D1452&lt;&gt;""),IF(D1452&gt;=corte,TODAY()-D1452,""),"")</f>
        <v/>
      </c>
      <c r="V1452" s="8">
        <f>IF(D1452="",0,IF(OR(AND(P1452&lt;&gt;"",S1452=""),AND(N(J1452)&gt;0,N(K1452)&lt;J1452),OR(M1452="PENDENTE",M1452="PARCIAL"),OR(N1452="PENDENTE",N1452="PARCIAL")),1,0))</f>
        <v/>
      </c>
      <c r="W1452" s="8">
        <f>IF(AND(V1452=1,D1452&lt;&gt;""),IF(D1452&gt;=corte,(B1452="CRÍTICO")*1E9+(100000-D1452)*10000+10000-ROW(),""),"")</f>
        <v/>
      </c>
      <c r="X1452" s="8">
        <f>IF(AND(V1452=1,D1452=pas_data,E1452=pas_turno),10000-ROW(),"")</f>
        <v/>
      </c>
    </row>
    <row r="1453">
      <c r="A1453" s="3">
        <f>IF(D1453="","","TT-"&amp;TEXT(ROW()-1,"00000"))</f>
        <v/>
      </c>
      <c r="B1453" s="3">
        <f>IF(D1453="","",IF(V1453=0,"CONCLUÍDO",IF(D1453&lt;corte,"HISTÓRICO",IF(OR(AND(ISNUMBER(R1453),R1453&lt;TODAY()),AND(OR(N1453="PENDENTE",N1453="PARCIAL"),D1453&lt;TODAY()-1)),"CRÍTICO",IF(OR(AND(P1453&lt;&gt;"",S1453=""),AND(N1453="REALIZADO",M1453="PENDENTE"),AND(ISNUMBER(R1453),R1453=TODAY())),"ATENÇÃO",IF(N(K1453)=0,"PENDENTE","EM ANDAMENTO"))))))</f>
        <v/>
      </c>
      <c r="C1453" s="3">
        <f>IF(D1453="","",IF(V1453=0,"🟢 OK",IF(D1453&lt;corte,"⚪ HISTÓRICO (sem baixa)",IF(AND(ISNUMBER(R1453),R1453&lt;TODAY()),"🔴 PRAZO VENCIDO",IF(AND(OR(N1453="PENDENTE",N1453="PARCIAL"),D1453&lt;TODAY()-1),"🔴 EMBARQUE ATRASADO",IF(AND(N1453="REALIZADO",M1453="PENDENTE"),"🟡 EMBARCADO SEM FATURAR",IF(AND(P1453&lt;&gt;"",S1453="",OR(Q1453="",R1453="")),"🟡 PENDÊNCIA SEM RESPONSÁVEL/PRAZO",IF(AND(ISNUMBER(R1453),R1453=TODAY()),"🟡 VENCE HOJE",IF(AND(P1453&lt;&gt;"",S1453=""),"🟡 PENDÊNCIA ABERTA",IF(AND(N(J1453)&gt;0,N(K1453)&lt;J1453),"🟡 FALTA EXECUTAR",IF(OR(M1453="PENDENTE",M1453="PARCIAL"),"🟡 FATURAMENTO PENDENTE","🟡 EMBARQUE PENDENTE")))))))))))</f>
        <v/>
      </c>
      <c r="D1453" s="4" t="n"/>
      <c r="E1453" s="5" t="n"/>
      <c r="F1453" s="5" t="n"/>
      <c r="G1453" s="5" t="n"/>
      <c r="H1453" s="5" t="n"/>
      <c r="I1453" s="5" t="n"/>
      <c r="J1453" s="6" t="n"/>
      <c r="K1453" s="6" t="n"/>
      <c r="L1453" s="7">
        <f>IF(OR(D1453="",N(J1453)=0),"",MIN(1,N(K1453)/J1453))</f>
        <v/>
      </c>
      <c r="M1453" s="5" t="n"/>
      <c r="N1453" s="5" t="n"/>
      <c r="O1453" s="5" t="n"/>
      <c r="P1453" s="5" t="n"/>
      <c r="Q1453" s="5" t="n"/>
      <c r="R1453" s="4" t="n"/>
      <c r="S1453" s="4" t="n"/>
      <c r="T1453" s="5" t="n"/>
      <c r="U1453" s="8">
        <f>IF(AND(V1453=1,D1453&lt;&gt;""),IF(D1453&gt;=corte,TODAY()-D1453,""),"")</f>
        <v/>
      </c>
      <c r="V1453" s="8">
        <f>IF(D1453="",0,IF(OR(AND(P1453&lt;&gt;"",S1453=""),AND(N(J1453)&gt;0,N(K1453)&lt;J1453),OR(M1453="PENDENTE",M1453="PARCIAL"),OR(N1453="PENDENTE",N1453="PARCIAL")),1,0))</f>
        <v/>
      </c>
      <c r="W1453" s="8">
        <f>IF(AND(V1453=1,D1453&lt;&gt;""),IF(D1453&gt;=corte,(B1453="CRÍTICO")*1E9+(100000-D1453)*10000+10000-ROW(),""),"")</f>
        <v/>
      </c>
      <c r="X1453" s="8">
        <f>IF(AND(V1453=1,D1453=pas_data,E1453=pas_turno),10000-ROW(),"")</f>
        <v/>
      </c>
    </row>
    <row r="1454">
      <c r="A1454" s="3">
        <f>IF(D1454="","","TT-"&amp;TEXT(ROW()-1,"00000"))</f>
        <v/>
      </c>
      <c r="B1454" s="3">
        <f>IF(D1454="","",IF(V1454=0,"CONCLUÍDO",IF(D1454&lt;corte,"HISTÓRICO",IF(OR(AND(ISNUMBER(R1454),R1454&lt;TODAY()),AND(OR(N1454="PENDENTE",N1454="PARCIAL"),D1454&lt;TODAY()-1)),"CRÍTICO",IF(OR(AND(P1454&lt;&gt;"",S1454=""),AND(N1454="REALIZADO",M1454="PENDENTE"),AND(ISNUMBER(R1454),R1454=TODAY())),"ATENÇÃO",IF(N(K1454)=0,"PENDENTE","EM ANDAMENTO"))))))</f>
        <v/>
      </c>
      <c r="C1454" s="3">
        <f>IF(D1454="","",IF(V1454=0,"🟢 OK",IF(D1454&lt;corte,"⚪ HISTÓRICO (sem baixa)",IF(AND(ISNUMBER(R1454),R1454&lt;TODAY()),"🔴 PRAZO VENCIDO",IF(AND(OR(N1454="PENDENTE",N1454="PARCIAL"),D1454&lt;TODAY()-1),"🔴 EMBARQUE ATRASADO",IF(AND(N1454="REALIZADO",M1454="PENDENTE"),"🟡 EMBARCADO SEM FATURAR",IF(AND(P1454&lt;&gt;"",S1454="",OR(Q1454="",R1454="")),"🟡 PENDÊNCIA SEM RESPONSÁVEL/PRAZO",IF(AND(ISNUMBER(R1454),R1454=TODAY()),"🟡 VENCE HOJE",IF(AND(P1454&lt;&gt;"",S1454=""),"🟡 PENDÊNCIA ABERTA",IF(AND(N(J1454)&gt;0,N(K1454)&lt;J1454),"🟡 FALTA EXECUTAR",IF(OR(M1454="PENDENTE",M1454="PARCIAL"),"🟡 FATURAMENTO PENDENTE","🟡 EMBARQUE PENDENTE")))))))))))</f>
        <v/>
      </c>
      <c r="D1454" s="4" t="n"/>
      <c r="E1454" s="5" t="n"/>
      <c r="F1454" s="5" t="n"/>
      <c r="G1454" s="5" t="n"/>
      <c r="H1454" s="5" t="n"/>
      <c r="I1454" s="5" t="n"/>
      <c r="J1454" s="6" t="n"/>
      <c r="K1454" s="6" t="n"/>
      <c r="L1454" s="7">
        <f>IF(OR(D1454="",N(J1454)=0),"",MIN(1,N(K1454)/J1454))</f>
        <v/>
      </c>
      <c r="M1454" s="5" t="n"/>
      <c r="N1454" s="5" t="n"/>
      <c r="O1454" s="5" t="n"/>
      <c r="P1454" s="5" t="n"/>
      <c r="Q1454" s="5" t="n"/>
      <c r="R1454" s="4" t="n"/>
      <c r="S1454" s="4" t="n"/>
      <c r="T1454" s="5" t="n"/>
      <c r="U1454" s="8">
        <f>IF(AND(V1454=1,D1454&lt;&gt;""),IF(D1454&gt;=corte,TODAY()-D1454,""),"")</f>
        <v/>
      </c>
      <c r="V1454" s="8">
        <f>IF(D1454="",0,IF(OR(AND(P1454&lt;&gt;"",S1454=""),AND(N(J1454)&gt;0,N(K1454)&lt;J1454),OR(M1454="PENDENTE",M1454="PARCIAL"),OR(N1454="PENDENTE",N1454="PARCIAL")),1,0))</f>
        <v/>
      </c>
      <c r="W1454" s="8">
        <f>IF(AND(V1454=1,D1454&lt;&gt;""),IF(D1454&gt;=corte,(B1454="CRÍTICO")*1E9+(100000-D1454)*10000+10000-ROW(),""),"")</f>
        <v/>
      </c>
      <c r="X1454" s="8">
        <f>IF(AND(V1454=1,D1454=pas_data,E1454=pas_turno),10000-ROW(),"")</f>
        <v/>
      </c>
    </row>
    <row r="1455">
      <c r="A1455" s="3">
        <f>IF(D1455="","","TT-"&amp;TEXT(ROW()-1,"00000"))</f>
        <v/>
      </c>
      <c r="B1455" s="3">
        <f>IF(D1455="","",IF(V1455=0,"CONCLUÍDO",IF(D1455&lt;corte,"HISTÓRICO",IF(OR(AND(ISNUMBER(R1455),R1455&lt;TODAY()),AND(OR(N1455="PENDENTE",N1455="PARCIAL"),D1455&lt;TODAY()-1)),"CRÍTICO",IF(OR(AND(P1455&lt;&gt;"",S1455=""),AND(N1455="REALIZADO",M1455="PENDENTE"),AND(ISNUMBER(R1455),R1455=TODAY())),"ATENÇÃO",IF(N(K1455)=0,"PENDENTE","EM ANDAMENTO"))))))</f>
        <v/>
      </c>
      <c r="C1455" s="3">
        <f>IF(D1455="","",IF(V1455=0,"🟢 OK",IF(D1455&lt;corte,"⚪ HISTÓRICO (sem baixa)",IF(AND(ISNUMBER(R1455),R1455&lt;TODAY()),"🔴 PRAZO VENCIDO",IF(AND(OR(N1455="PENDENTE",N1455="PARCIAL"),D1455&lt;TODAY()-1),"🔴 EMBARQUE ATRASADO",IF(AND(N1455="REALIZADO",M1455="PENDENTE"),"🟡 EMBARCADO SEM FATURAR",IF(AND(P1455&lt;&gt;"",S1455="",OR(Q1455="",R1455="")),"🟡 PENDÊNCIA SEM RESPONSÁVEL/PRAZO",IF(AND(ISNUMBER(R1455),R1455=TODAY()),"🟡 VENCE HOJE",IF(AND(P1455&lt;&gt;"",S1455=""),"🟡 PENDÊNCIA ABERTA",IF(AND(N(J1455)&gt;0,N(K1455)&lt;J1455),"🟡 FALTA EXECUTAR",IF(OR(M1455="PENDENTE",M1455="PARCIAL"),"🟡 FATURAMENTO PENDENTE","🟡 EMBARQUE PENDENTE")))))))))))</f>
        <v/>
      </c>
      <c r="D1455" s="4" t="n"/>
      <c r="E1455" s="5" t="n"/>
      <c r="F1455" s="5" t="n"/>
      <c r="G1455" s="5" t="n"/>
      <c r="H1455" s="5" t="n"/>
      <c r="I1455" s="5" t="n"/>
      <c r="J1455" s="6" t="n"/>
      <c r="K1455" s="6" t="n"/>
      <c r="L1455" s="7">
        <f>IF(OR(D1455="",N(J1455)=0),"",MIN(1,N(K1455)/J1455))</f>
        <v/>
      </c>
      <c r="M1455" s="5" t="n"/>
      <c r="N1455" s="5" t="n"/>
      <c r="O1455" s="5" t="n"/>
      <c r="P1455" s="5" t="n"/>
      <c r="Q1455" s="5" t="n"/>
      <c r="R1455" s="4" t="n"/>
      <c r="S1455" s="4" t="n"/>
      <c r="T1455" s="5" t="n"/>
      <c r="U1455" s="8">
        <f>IF(AND(V1455=1,D1455&lt;&gt;""),IF(D1455&gt;=corte,TODAY()-D1455,""),"")</f>
        <v/>
      </c>
      <c r="V1455" s="8">
        <f>IF(D1455="",0,IF(OR(AND(P1455&lt;&gt;"",S1455=""),AND(N(J1455)&gt;0,N(K1455)&lt;J1455),OR(M1455="PENDENTE",M1455="PARCIAL"),OR(N1455="PENDENTE",N1455="PARCIAL")),1,0))</f>
        <v/>
      </c>
      <c r="W1455" s="8">
        <f>IF(AND(V1455=1,D1455&lt;&gt;""),IF(D1455&gt;=corte,(B1455="CRÍTICO")*1E9+(100000-D1455)*10000+10000-ROW(),""),"")</f>
        <v/>
      </c>
      <c r="X1455" s="8">
        <f>IF(AND(V1455=1,D1455=pas_data,E1455=pas_turno),10000-ROW(),"")</f>
        <v/>
      </c>
    </row>
    <row r="1456">
      <c r="A1456" s="3">
        <f>IF(D1456="","","TT-"&amp;TEXT(ROW()-1,"00000"))</f>
        <v/>
      </c>
      <c r="B1456" s="3">
        <f>IF(D1456="","",IF(V1456=0,"CONCLUÍDO",IF(D1456&lt;corte,"HISTÓRICO",IF(OR(AND(ISNUMBER(R1456),R1456&lt;TODAY()),AND(OR(N1456="PENDENTE",N1456="PARCIAL"),D1456&lt;TODAY()-1)),"CRÍTICO",IF(OR(AND(P1456&lt;&gt;"",S1456=""),AND(N1456="REALIZADO",M1456="PENDENTE"),AND(ISNUMBER(R1456),R1456=TODAY())),"ATENÇÃO",IF(N(K1456)=0,"PENDENTE","EM ANDAMENTO"))))))</f>
        <v/>
      </c>
      <c r="C1456" s="3">
        <f>IF(D1456="","",IF(V1456=0,"🟢 OK",IF(D1456&lt;corte,"⚪ HISTÓRICO (sem baixa)",IF(AND(ISNUMBER(R1456),R1456&lt;TODAY()),"🔴 PRAZO VENCIDO",IF(AND(OR(N1456="PENDENTE",N1456="PARCIAL"),D1456&lt;TODAY()-1),"🔴 EMBARQUE ATRASADO",IF(AND(N1456="REALIZADO",M1456="PENDENTE"),"🟡 EMBARCADO SEM FATURAR",IF(AND(P1456&lt;&gt;"",S1456="",OR(Q1456="",R1456="")),"🟡 PENDÊNCIA SEM RESPONSÁVEL/PRAZO",IF(AND(ISNUMBER(R1456),R1456=TODAY()),"🟡 VENCE HOJE",IF(AND(P1456&lt;&gt;"",S1456=""),"🟡 PENDÊNCIA ABERTA",IF(AND(N(J1456)&gt;0,N(K1456)&lt;J1456),"🟡 FALTA EXECUTAR",IF(OR(M1456="PENDENTE",M1456="PARCIAL"),"🟡 FATURAMENTO PENDENTE","🟡 EMBARQUE PENDENTE")))))))))))</f>
        <v/>
      </c>
      <c r="D1456" s="4" t="n"/>
      <c r="E1456" s="5" t="n"/>
      <c r="F1456" s="5" t="n"/>
      <c r="G1456" s="5" t="n"/>
      <c r="H1456" s="5" t="n"/>
      <c r="I1456" s="5" t="n"/>
      <c r="J1456" s="6" t="n"/>
      <c r="K1456" s="6" t="n"/>
      <c r="L1456" s="7">
        <f>IF(OR(D1456="",N(J1456)=0),"",MIN(1,N(K1456)/J1456))</f>
        <v/>
      </c>
      <c r="M1456" s="5" t="n"/>
      <c r="N1456" s="5" t="n"/>
      <c r="O1456" s="5" t="n"/>
      <c r="P1456" s="5" t="n"/>
      <c r="Q1456" s="5" t="n"/>
      <c r="R1456" s="4" t="n"/>
      <c r="S1456" s="4" t="n"/>
      <c r="T1456" s="5" t="n"/>
      <c r="U1456" s="8">
        <f>IF(AND(V1456=1,D1456&lt;&gt;""),IF(D1456&gt;=corte,TODAY()-D1456,""),"")</f>
        <v/>
      </c>
      <c r="V1456" s="8">
        <f>IF(D1456="",0,IF(OR(AND(P1456&lt;&gt;"",S1456=""),AND(N(J1456)&gt;0,N(K1456)&lt;J1456),OR(M1456="PENDENTE",M1456="PARCIAL"),OR(N1456="PENDENTE",N1456="PARCIAL")),1,0))</f>
        <v/>
      </c>
      <c r="W1456" s="8">
        <f>IF(AND(V1456=1,D1456&lt;&gt;""),IF(D1456&gt;=corte,(B1456="CRÍTICO")*1E9+(100000-D1456)*10000+10000-ROW(),""),"")</f>
        <v/>
      </c>
      <c r="X1456" s="8">
        <f>IF(AND(V1456=1,D1456=pas_data,E1456=pas_turno),10000-ROW(),"")</f>
        <v/>
      </c>
    </row>
    <row r="1457">
      <c r="A1457" s="3">
        <f>IF(D1457="","","TT-"&amp;TEXT(ROW()-1,"00000"))</f>
        <v/>
      </c>
      <c r="B1457" s="3">
        <f>IF(D1457="","",IF(V1457=0,"CONCLUÍDO",IF(D1457&lt;corte,"HISTÓRICO",IF(OR(AND(ISNUMBER(R1457),R1457&lt;TODAY()),AND(OR(N1457="PENDENTE",N1457="PARCIAL"),D1457&lt;TODAY()-1)),"CRÍTICO",IF(OR(AND(P1457&lt;&gt;"",S1457=""),AND(N1457="REALIZADO",M1457="PENDENTE"),AND(ISNUMBER(R1457),R1457=TODAY())),"ATENÇÃO",IF(N(K1457)=0,"PENDENTE","EM ANDAMENTO"))))))</f>
        <v/>
      </c>
      <c r="C1457" s="3">
        <f>IF(D1457="","",IF(V1457=0,"🟢 OK",IF(D1457&lt;corte,"⚪ HISTÓRICO (sem baixa)",IF(AND(ISNUMBER(R1457),R1457&lt;TODAY()),"🔴 PRAZO VENCIDO",IF(AND(OR(N1457="PENDENTE",N1457="PARCIAL"),D1457&lt;TODAY()-1),"🔴 EMBARQUE ATRASADO",IF(AND(N1457="REALIZADO",M1457="PENDENTE"),"🟡 EMBARCADO SEM FATURAR",IF(AND(P1457&lt;&gt;"",S1457="",OR(Q1457="",R1457="")),"🟡 PENDÊNCIA SEM RESPONSÁVEL/PRAZO",IF(AND(ISNUMBER(R1457),R1457=TODAY()),"🟡 VENCE HOJE",IF(AND(P1457&lt;&gt;"",S1457=""),"🟡 PENDÊNCIA ABERTA",IF(AND(N(J1457)&gt;0,N(K1457)&lt;J1457),"🟡 FALTA EXECUTAR",IF(OR(M1457="PENDENTE",M1457="PARCIAL"),"🟡 FATURAMENTO PENDENTE","🟡 EMBARQUE PENDENTE")))))))))))</f>
        <v/>
      </c>
      <c r="D1457" s="4" t="n"/>
      <c r="E1457" s="5" t="n"/>
      <c r="F1457" s="5" t="n"/>
      <c r="G1457" s="5" t="n"/>
      <c r="H1457" s="5" t="n"/>
      <c r="I1457" s="5" t="n"/>
      <c r="J1457" s="6" t="n"/>
      <c r="K1457" s="6" t="n"/>
      <c r="L1457" s="7">
        <f>IF(OR(D1457="",N(J1457)=0),"",MIN(1,N(K1457)/J1457))</f>
        <v/>
      </c>
      <c r="M1457" s="5" t="n"/>
      <c r="N1457" s="5" t="n"/>
      <c r="O1457" s="5" t="n"/>
      <c r="P1457" s="5" t="n"/>
      <c r="Q1457" s="5" t="n"/>
      <c r="R1457" s="4" t="n"/>
      <c r="S1457" s="4" t="n"/>
      <c r="T1457" s="5" t="n"/>
      <c r="U1457" s="8">
        <f>IF(AND(V1457=1,D1457&lt;&gt;""),IF(D1457&gt;=corte,TODAY()-D1457,""),"")</f>
        <v/>
      </c>
      <c r="V1457" s="8">
        <f>IF(D1457="",0,IF(OR(AND(P1457&lt;&gt;"",S1457=""),AND(N(J1457)&gt;0,N(K1457)&lt;J1457),OR(M1457="PENDENTE",M1457="PARCIAL"),OR(N1457="PENDENTE",N1457="PARCIAL")),1,0))</f>
        <v/>
      </c>
      <c r="W1457" s="8">
        <f>IF(AND(V1457=1,D1457&lt;&gt;""),IF(D1457&gt;=corte,(B1457="CRÍTICO")*1E9+(100000-D1457)*10000+10000-ROW(),""),"")</f>
        <v/>
      </c>
      <c r="X1457" s="8">
        <f>IF(AND(V1457=1,D1457=pas_data,E1457=pas_turno),10000-ROW(),"")</f>
        <v/>
      </c>
    </row>
    <row r="1458">
      <c r="A1458" s="3">
        <f>IF(D1458="","","TT-"&amp;TEXT(ROW()-1,"00000"))</f>
        <v/>
      </c>
      <c r="B1458" s="3">
        <f>IF(D1458="","",IF(V1458=0,"CONCLUÍDO",IF(D1458&lt;corte,"HISTÓRICO",IF(OR(AND(ISNUMBER(R1458),R1458&lt;TODAY()),AND(OR(N1458="PENDENTE",N1458="PARCIAL"),D1458&lt;TODAY()-1)),"CRÍTICO",IF(OR(AND(P1458&lt;&gt;"",S1458=""),AND(N1458="REALIZADO",M1458="PENDENTE"),AND(ISNUMBER(R1458),R1458=TODAY())),"ATENÇÃO",IF(N(K1458)=0,"PENDENTE","EM ANDAMENTO"))))))</f>
        <v/>
      </c>
      <c r="C1458" s="3">
        <f>IF(D1458="","",IF(V1458=0,"🟢 OK",IF(D1458&lt;corte,"⚪ HISTÓRICO (sem baixa)",IF(AND(ISNUMBER(R1458),R1458&lt;TODAY()),"🔴 PRAZO VENCIDO",IF(AND(OR(N1458="PENDENTE",N1458="PARCIAL"),D1458&lt;TODAY()-1),"🔴 EMBARQUE ATRASADO",IF(AND(N1458="REALIZADO",M1458="PENDENTE"),"🟡 EMBARCADO SEM FATURAR",IF(AND(P1458&lt;&gt;"",S1458="",OR(Q1458="",R1458="")),"🟡 PENDÊNCIA SEM RESPONSÁVEL/PRAZO",IF(AND(ISNUMBER(R1458),R1458=TODAY()),"🟡 VENCE HOJE",IF(AND(P1458&lt;&gt;"",S1458=""),"🟡 PENDÊNCIA ABERTA",IF(AND(N(J1458)&gt;0,N(K1458)&lt;J1458),"🟡 FALTA EXECUTAR",IF(OR(M1458="PENDENTE",M1458="PARCIAL"),"🟡 FATURAMENTO PENDENTE","🟡 EMBARQUE PENDENTE")))))))))))</f>
        <v/>
      </c>
      <c r="D1458" s="4" t="n"/>
      <c r="E1458" s="5" t="n"/>
      <c r="F1458" s="5" t="n"/>
      <c r="G1458" s="5" t="n"/>
      <c r="H1458" s="5" t="n"/>
      <c r="I1458" s="5" t="n"/>
      <c r="J1458" s="6" t="n"/>
      <c r="K1458" s="6" t="n"/>
      <c r="L1458" s="7">
        <f>IF(OR(D1458="",N(J1458)=0),"",MIN(1,N(K1458)/J1458))</f>
        <v/>
      </c>
      <c r="M1458" s="5" t="n"/>
      <c r="N1458" s="5" t="n"/>
      <c r="O1458" s="5" t="n"/>
      <c r="P1458" s="5" t="n"/>
      <c r="Q1458" s="5" t="n"/>
      <c r="R1458" s="4" t="n"/>
      <c r="S1458" s="4" t="n"/>
      <c r="T1458" s="5" t="n"/>
      <c r="U1458" s="8">
        <f>IF(AND(V1458=1,D1458&lt;&gt;""),IF(D1458&gt;=corte,TODAY()-D1458,""),"")</f>
        <v/>
      </c>
      <c r="V1458" s="8">
        <f>IF(D1458="",0,IF(OR(AND(P1458&lt;&gt;"",S1458=""),AND(N(J1458)&gt;0,N(K1458)&lt;J1458),OR(M1458="PENDENTE",M1458="PARCIAL"),OR(N1458="PENDENTE",N1458="PARCIAL")),1,0))</f>
        <v/>
      </c>
      <c r="W1458" s="8">
        <f>IF(AND(V1458=1,D1458&lt;&gt;""),IF(D1458&gt;=corte,(B1458="CRÍTICO")*1E9+(100000-D1458)*10000+10000-ROW(),""),"")</f>
        <v/>
      </c>
      <c r="X1458" s="8">
        <f>IF(AND(V1458=1,D1458=pas_data,E1458=pas_turno),10000-ROW(),"")</f>
        <v/>
      </c>
    </row>
    <row r="1459">
      <c r="A1459" s="3">
        <f>IF(D1459="","","TT-"&amp;TEXT(ROW()-1,"00000"))</f>
        <v/>
      </c>
      <c r="B1459" s="3">
        <f>IF(D1459="","",IF(V1459=0,"CONCLUÍDO",IF(D1459&lt;corte,"HISTÓRICO",IF(OR(AND(ISNUMBER(R1459),R1459&lt;TODAY()),AND(OR(N1459="PENDENTE",N1459="PARCIAL"),D1459&lt;TODAY()-1)),"CRÍTICO",IF(OR(AND(P1459&lt;&gt;"",S1459=""),AND(N1459="REALIZADO",M1459="PENDENTE"),AND(ISNUMBER(R1459),R1459=TODAY())),"ATENÇÃO",IF(N(K1459)=0,"PENDENTE","EM ANDAMENTO"))))))</f>
        <v/>
      </c>
      <c r="C1459" s="3">
        <f>IF(D1459="","",IF(V1459=0,"🟢 OK",IF(D1459&lt;corte,"⚪ HISTÓRICO (sem baixa)",IF(AND(ISNUMBER(R1459),R1459&lt;TODAY()),"🔴 PRAZO VENCIDO",IF(AND(OR(N1459="PENDENTE",N1459="PARCIAL"),D1459&lt;TODAY()-1),"🔴 EMBARQUE ATRASADO",IF(AND(N1459="REALIZADO",M1459="PENDENTE"),"🟡 EMBARCADO SEM FATURAR",IF(AND(P1459&lt;&gt;"",S1459="",OR(Q1459="",R1459="")),"🟡 PENDÊNCIA SEM RESPONSÁVEL/PRAZO",IF(AND(ISNUMBER(R1459),R1459=TODAY()),"🟡 VENCE HOJE",IF(AND(P1459&lt;&gt;"",S1459=""),"🟡 PENDÊNCIA ABERTA",IF(AND(N(J1459)&gt;0,N(K1459)&lt;J1459),"🟡 FALTA EXECUTAR",IF(OR(M1459="PENDENTE",M1459="PARCIAL"),"🟡 FATURAMENTO PENDENTE","🟡 EMBARQUE PENDENTE")))))))))))</f>
        <v/>
      </c>
      <c r="D1459" s="4" t="n"/>
      <c r="E1459" s="5" t="n"/>
      <c r="F1459" s="5" t="n"/>
      <c r="G1459" s="5" t="n"/>
      <c r="H1459" s="5" t="n"/>
      <c r="I1459" s="5" t="n"/>
      <c r="J1459" s="6" t="n"/>
      <c r="K1459" s="6" t="n"/>
      <c r="L1459" s="7">
        <f>IF(OR(D1459="",N(J1459)=0),"",MIN(1,N(K1459)/J1459))</f>
        <v/>
      </c>
      <c r="M1459" s="5" t="n"/>
      <c r="N1459" s="5" t="n"/>
      <c r="O1459" s="5" t="n"/>
      <c r="P1459" s="5" t="n"/>
      <c r="Q1459" s="5" t="n"/>
      <c r="R1459" s="4" t="n"/>
      <c r="S1459" s="4" t="n"/>
      <c r="T1459" s="5" t="n"/>
      <c r="U1459" s="8">
        <f>IF(AND(V1459=1,D1459&lt;&gt;""),IF(D1459&gt;=corte,TODAY()-D1459,""),"")</f>
        <v/>
      </c>
      <c r="V1459" s="8">
        <f>IF(D1459="",0,IF(OR(AND(P1459&lt;&gt;"",S1459=""),AND(N(J1459)&gt;0,N(K1459)&lt;J1459),OR(M1459="PENDENTE",M1459="PARCIAL"),OR(N1459="PENDENTE",N1459="PARCIAL")),1,0))</f>
        <v/>
      </c>
      <c r="W1459" s="8">
        <f>IF(AND(V1459=1,D1459&lt;&gt;""),IF(D1459&gt;=corte,(B1459="CRÍTICO")*1E9+(100000-D1459)*10000+10000-ROW(),""),"")</f>
        <v/>
      </c>
      <c r="X1459" s="8">
        <f>IF(AND(V1459=1,D1459=pas_data,E1459=pas_turno),10000-ROW(),"")</f>
        <v/>
      </c>
    </row>
    <row r="1460">
      <c r="A1460" s="3">
        <f>IF(D1460="","","TT-"&amp;TEXT(ROW()-1,"00000"))</f>
        <v/>
      </c>
      <c r="B1460" s="3">
        <f>IF(D1460="","",IF(V1460=0,"CONCLUÍDO",IF(D1460&lt;corte,"HISTÓRICO",IF(OR(AND(ISNUMBER(R1460),R1460&lt;TODAY()),AND(OR(N1460="PENDENTE",N1460="PARCIAL"),D1460&lt;TODAY()-1)),"CRÍTICO",IF(OR(AND(P1460&lt;&gt;"",S1460=""),AND(N1460="REALIZADO",M1460="PENDENTE"),AND(ISNUMBER(R1460),R1460=TODAY())),"ATENÇÃO",IF(N(K1460)=0,"PENDENTE","EM ANDAMENTO"))))))</f>
        <v/>
      </c>
      <c r="C1460" s="3">
        <f>IF(D1460="","",IF(V1460=0,"🟢 OK",IF(D1460&lt;corte,"⚪ HISTÓRICO (sem baixa)",IF(AND(ISNUMBER(R1460),R1460&lt;TODAY()),"🔴 PRAZO VENCIDO",IF(AND(OR(N1460="PENDENTE",N1460="PARCIAL"),D1460&lt;TODAY()-1),"🔴 EMBARQUE ATRASADO",IF(AND(N1460="REALIZADO",M1460="PENDENTE"),"🟡 EMBARCADO SEM FATURAR",IF(AND(P1460&lt;&gt;"",S1460="",OR(Q1460="",R1460="")),"🟡 PENDÊNCIA SEM RESPONSÁVEL/PRAZO",IF(AND(ISNUMBER(R1460),R1460=TODAY()),"🟡 VENCE HOJE",IF(AND(P1460&lt;&gt;"",S1460=""),"🟡 PENDÊNCIA ABERTA",IF(AND(N(J1460)&gt;0,N(K1460)&lt;J1460),"🟡 FALTA EXECUTAR",IF(OR(M1460="PENDENTE",M1460="PARCIAL"),"🟡 FATURAMENTO PENDENTE","🟡 EMBARQUE PENDENTE")))))))))))</f>
        <v/>
      </c>
      <c r="D1460" s="4" t="n"/>
      <c r="E1460" s="5" t="n"/>
      <c r="F1460" s="5" t="n"/>
      <c r="G1460" s="5" t="n"/>
      <c r="H1460" s="5" t="n"/>
      <c r="I1460" s="5" t="n"/>
      <c r="J1460" s="6" t="n"/>
      <c r="K1460" s="6" t="n"/>
      <c r="L1460" s="7">
        <f>IF(OR(D1460="",N(J1460)=0),"",MIN(1,N(K1460)/J1460))</f>
        <v/>
      </c>
      <c r="M1460" s="5" t="n"/>
      <c r="N1460" s="5" t="n"/>
      <c r="O1460" s="5" t="n"/>
      <c r="P1460" s="5" t="n"/>
      <c r="Q1460" s="5" t="n"/>
      <c r="R1460" s="4" t="n"/>
      <c r="S1460" s="4" t="n"/>
      <c r="T1460" s="5" t="n"/>
      <c r="U1460" s="8">
        <f>IF(AND(V1460=1,D1460&lt;&gt;""),IF(D1460&gt;=corte,TODAY()-D1460,""),"")</f>
        <v/>
      </c>
      <c r="V1460" s="8">
        <f>IF(D1460="",0,IF(OR(AND(P1460&lt;&gt;"",S1460=""),AND(N(J1460)&gt;0,N(K1460)&lt;J1460),OR(M1460="PENDENTE",M1460="PARCIAL"),OR(N1460="PENDENTE",N1460="PARCIAL")),1,0))</f>
        <v/>
      </c>
      <c r="W1460" s="8">
        <f>IF(AND(V1460=1,D1460&lt;&gt;""),IF(D1460&gt;=corte,(B1460="CRÍTICO")*1E9+(100000-D1460)*10000+10000-ROW(),""),"")</f>
        <v/>
      </c>
      <c r="X1460" s="8">
        <f>IF(AND(V1460=1,D1460=pas_data,E1460=pas_turno),10000-ROW(),"")</f>
        <v/>
      </c>
    </row>
    <row r="1461">
      <c r="A1461" s="3">
        <f>IF(D1461="","","TT-"&amp;TEXT(ROW()-1,"00000"))</f>
        <v/>
      </c>
      <c r="B1461" s="3">
        <f>IF(D1461="","",IF(V1461=0,"CONCLUÍDO",IF(D1461&lt;corte,"HISTÓRICO",IF(OR(AND(ISNUMBER(R1461),R1461&lt;TODAY()),AND(OR(N1461="PENDENTE",N1461="PARCIAL"),D1461&lt;TODAY()-1)),"CRÍTICO",IF(OR(AND(P1461&lt;&gt;"",S1461=""),AND(N1461="REALIZADO",M1461="PENDENTE"),AND(ISNUMBER(R1461),R1461=TODAY())),"ATENÇÃO",IF(N(K1461)=0,"PENDENTE","EM ANDAMENTO"))))))</f>
        <v/>
      </c>
      <c r="C1461" s="3">
        <f>IF(D1461="","",IF(V1461=0,"🟢 OK",IF(D1461&lt;corte,"⚪ HISTÓRICO (sem baixa)",IF(AND(ISNUMBER(R1461),R1461&lt;TODAY()),"🔴 PRAZO VENCIDO",IF(AND(OR(N1461="PENDENTE",N1461="PARCIAL"),D1461&lt;TODAY()-1),"🔴 EMBARQUE ATRASADO",IF(AND(N1461="REALIZADO",M1461="PENDENTE"),"🟡 EMBARCADO SEM FATURAR",IF(AND(P1461&lt;&gt;"",S1461="",OR(Q1461="",R1461="")),"🟡 PENDÊNCIA SEM RESPONSÁVEL/PRAZO",IF(AND(ISNUMBER(R1461),R1461=TODAY()),"🟡 VENCE HOJE",IF(AND(P1461&lt;&gt;"",S1461=""),"🟡 PENDÊNCIA ABERTA",IF(AND(N(J1461)&gt;0,N(K1461)&lt;J1461),"🟡 FALTA EXECUTAR",IF(OR(M1461="PENDENTE",M1461="PARCIAL"),"🟡 FATURAMENTO PENDENTE","🟡 EMBARQUE PENDENTE")))))))))))</f>
        <v/>
      </c>
      <c r="D1461" s="4" t="n"/>
      <c r="E1461" s="5" t="n"/>
      <c r="F1461" s="5" t="n"/>
      <c r="G1461" s="5" t="n"/>
      <c r="H1461" s="5" t="n"/>
      <c r="I1461" s="5" t="n"/>
      <c r="J1461" s="6" t="n"/>
      <c r="K1461" s="6" t="n"/>
      <c r="L1461" s="7">
        <f>IF(OR(D1461="",N(J1461)=0),"",MIN(1,N(K1461)/J1461))</f>
        <v/>
      </c>
      <c r="M1461" s="5" t="n"/>
      <c r="N1461" s="5" t="n"/>
      <c r="O1461" s="5" t="n"/>
      <c r="P1461" s="5" t="n"/>
      <c r="Q1461" s="5" t="n"/>
      <c r="R1461" s="4" t="n"/>
      <c r="S1461" s="4" t="n"/>
      <c r="T1461" s="5" t="n"/>
      <c r="U1461" s="8">
        <f>IF(AND(V1461=1,D1461&lt;&gt;""),IF(D1461&gt;=corte,TODAY()-D1461,""),"")</f>
        <v/>
      </c>
      <c r="V1461" s="8">
        <f>IF(D1461="",0,IF(OR(AND(P1461&lt;&gt;"",S1461=""),AND(N(J1461)&gt;0,N(K1461)&lt;J1461),OR(M1461="PENDENTE",M1461="PARCIAL"),OR(N1461="PENDENTE",N1461="PARCIAL")),1,0))</f>
        <v/>
      </c>
      <c r="W1461" s="8">
        <f>IF(AND(V1461=1,D1461&lt;&gt;""),IF(D1461&gt;=corte,(B1461="CRÍTICO")*1E9+(100000-D1461)*10000+10000-ROW(),""),"")</f>
        <v/>
      </c>
      <c r="X1461" s="8">
        <f>IF(AND(V1461=1,D1461=pas_data,E1461=pas_turno),10000-ROW(),"")</f>
        <v/>
      </c>
    </row>
    <row r="1462">
      <c r="A1462" s="3">
        <f>IF(D1462="","","TT-"&amp;TEXT(ROW()-1,"00000"))</f>
        <v/>
      </c>
      <c r="B1462" s="3">
        <f>IF(D1462="","",IF(V1462=0,"CONCLUÍDO",IF(D1462&lt;corte,"HISTÓRICO",IF(OR(AND(ISNUMBER(R1462),R1462&lt;TODAY()),AND(OR(N1462="PENDENTE",N1462="PARCIAL"),D1462&lt;TODAY()-1)),"CRÍTICO",IF(OR(AND(P1462&lt;&gt;"",S1462=""),AND(N1462="REALIZADO",M1462="PENDENTE"),AND(ISNUMBER(R1462),R1462=TODAY())),"ATENÇÃO",IF(N(K1462)=0,"PENDENTE","EM ANDAMENTO"))))))</f>
        <v/>
      </c>
      <c r="C1462" s="3">
        <f>IF(D1462="","",IF(V1462=0,"🟢 OK",IF(D1462&lt;corte,"⚪ HISTÓRICO (sem baixa)",IF(AND(ISNUMBER(R1462),R1462&lt;TODAY()),"🔴 PRAZO VENCIDO",IF(AND(OR(N1462="PENDENTE",N1462="PARCIAL"),D1462&lt;TODAY()-1),"🔴 EMBARQUE ATRASADO",IF(AND(N1462="REALIZADO",M1462="PENDENTE"),"🟡 EMBARCADO SEM FATURAR",IF(AND(P1462&lt;&gt;"",S1462="",OR(Q1462="",R1462="")),"🟡 PENDÊNCIA SEM RESPONSÁVEL/PRAZO",IF(AND(ISNUMBER(R1462),R1462=TODAY()),"🟡 VENCE HOJE",IF(AND(P1462&lt;&gt;"",S1462=""),"🟡 PENDÊNCIA ABERTA",IF(AND(N(J1462)&gt;0,N(K1462)&lt;J1462),"🟡 FALTA EXECUTAR",IF(OR(M1462="PENDENTE",M1462="PARCIAL"),"🟡 FATURAMENTO PENDENTE","🟡 EMBARQUE PENDENTE")))))))))))</f>
        <v/>
      </c>
      <c r="D1462" s="4" t="n"/>
      <c r="E1462" s="5" t="n"/>
      <c r="F1462" s="5" t="n"/>
      <c r="G1462" s="5" t="n"/>
      <c r="H1462" s="5" t="n"/>
      <c r="I1462" s="5" t="n"/>
      <c r="J1462" s="6" t="n"/>
      <c r="K1462" s="6" t="n"/>
      <c r="L1462" s="7">
        <f>IF(OR(D1462="",N(J1462)=0),"",MIN(1,N(K1462)/J1462))</f>
        <v/>
      </c>
      <c r="M1462" s="5" t="n"/>
      <c r="N1462" s="5" t="n"/>
      <c r="O1462" s="5" t="n"/>
      <c r="P1462" s="5" t="n"/>
      <c r="Q1462" s="5" t="n"/>
      <c r="R1462" s="4" t="n"/>
      <c r="S1462" s="4" t="n"/>
      <c r="T1462" s="5" t="n"/>
      <c r="U1462" s="8">
        <f>IF(AND(V1462=1,D1462&lt;&gt;""),IF(D1462&gt;=corte,TODAY()-D1462,""),"")</f>
        <v/>
      </c>
      <c r="V1462" s="8">
        <f>IF(D1462="",0,IF(OR(AND(P1462&lt;&gt;"",S1462=""),AND(N(J1462)&gt;0,N(K1462)&lt;J1462),OR(M1462="PENDENTE",M1462="PARCIAL"),OR(N1462="PENDENTE",N1462="PARCIAL")),1,0))</f>
        <v/>
      </c>
      <c r="W1462" s="8">
        <f>IF(AND(V1462=1,D1462&lt;&gt;""),IF(D1462&gt;=corte,(B1462="CRÍTICO")*1E9+(100000-D1462)*10000+10000-ROW(),""),"")</f>
        <v/>
      </c>
      <c r="X1462" s="8">
        <f>IF(AND(V1462=1,D1462=pas_data,E1462=pas_turno),10000-ROW(),"")</f>
        <v/>
      </c>
    </row>
    <row r="1463">
      <c r="A1463" s="3">
        <f>IF(D1463="","","TT-"&amp;TEXT(ROW()-1,"00000"))</f>
        <v/>
      </c>
      <c r="B1463" s="3">
        <f>IF(D1463="","",IF(V1463=0,"CONCLUÍDO",IF(D1463&lt;corte,"HISTÓRICO",IF(OR(AND(ISNUMBER(R1463),R1463&lt;TODAY()),AND(OR(N1463="PENDENTE",N1463="PARCIAL"),D1463&lt;TODAY()-1)),"CRÍTICO",IF(OR(AND(P1463&lt;&gt;"",S1463=""),AND(N1463="REALIZADO",M1463="PENDENTE"),AND(ISNUMBER(R1463),R1463=TODAY())),"ATENÇÃO",IF(N(K1463)=0,"PENDENTE","EM ANDAMENTO"))))))</f>
        <v/>
      </c>
      <c r="C1463" s="3">
        <f>IF(D1463="","",IF(V1463=0,"🟢 OK",IF(D1463&lt;corte,"⚪ HISTÓRICO (sem baixa)",IF(AND(ISNUMBER(R1463),R1463&lt;TODAY()),"🔴 PRAZO VENCIDO",IF(AND(OR(N1463="PENDENTE",N1463="PARCIAL"),D1463&lt;TODAY()-1),"🔴 EMBARQUE ATRASADO",IF(AND(N1463="REALIZADO",M1463="PENDENTE"),"🟡 EMBARCADO SEM FATURAR",IF(AND(P1463&lt;&gt;"",S1463="",OR(Q1463="",R1463="")),"🟡 PENDÊNCIA SEM RESPONSÁVEL/PRAZO",IF(AND(ISNUMBER(R1463),R1463=TODAY()),"🟡 VENCE HOJE",IF(AND(P1463&lt;&gt;"",S1463=""),"🟡 PENDÊNCIA ABERTA",IF(AND(N(J1463)&gt;0,N(K1463)&lt;J1463),"🟡 FALTA EXECUTAR",IF(OR(M1463="PENDENTE",M1463="PARCIAL"),"🟡 FATURAMENTO PENDENTE","🟡 EMBARQUE PENDENTE")))))))))))</f>
        <v/>
      </c>
      <c r="D1463" s="4" t="n"/>
      <c r="E1463" s="5" t="n"/>
      <c r="F1463" s="5" t="n"/>
      <c r="G1463" s="5" t="n"/>
      <c r="H1463" s="5" t="n"/>
      <c r="I1463" s="5" t="n"/>
      <c r="J1463" s="6" t="n"/>
      <c r="K1463" s="6" t="n"/>
      <c r="L1463" s="7">
        <f>IF(OR(D1463="",N(J1463)=0),"",MIN(1,N(K1463)/J1463))</f>
        <v/>
      </c>
      <c r="M1463" s="5" t="n"/>
      <c r="N1463" s="5" t="n"/>
      <c r="O1463" s="5" t="n"/>
      <c r="P1463" s="5" t="n"/>
      <c r="Q1463" s="5" t="n"/>
      <c r="R1463" s="4" t="n"/>
      <c r="S1463" s="4" t="n"/>
      <c r="T1463" s="5" t="n"/>
      <c r="U1463" s="8">
        <f>IF(AND(V1463=1,D1463&lt;&gt;""),IF(D1463&gt;=corte,TODAY()-D1463,""),"")</f>
        <v/>
      </c>
      <c r="V1463" s="8">
        <f>IF(D1463="",0,IF(OR(AND(P1463&lt;&gt;"",S1463=""),AND(N(J1463)&gt;0,N(K1463)&lt;J1463),OR(M1463="PENDENTE",M1463="PARCIAL"),OR(N1463="PENDENTE",N1463="PARCIAL")),1,0))</f>
        <v/>
      </c>
      <c r="W1463" s="8">
        <f>IF(AND(V1463=1,D1463&lt;&gt;""),IF(D1463&gt;=corte,(B1463="CRÍTICO")*1E9+(100000-D1463)*10000+10000-ROW(),""),"")</f>
        <v/>
      </c>
      <c r="X1463" s="8">
        <f>IF(AND(V1463=1,D1463=pas_data,E1463=pas_turno),10000-ROW(),"")</f>
        <v/>
      </c>
    </row>
    <row r="1464">
      <c r="A1464" s="3">
        <f>IF(D1464="","","TT-"&amp;TEXT(ROW()-1,"00000"))</f>
        <v/>
      </c>
      <c r="B1464" s="3">
        <f>IF(D1464="","",IF(V1464=0,"CONCLUÍDO",IF(D1464&lt;corte,"HISTÓRICO",IF(OR(AND(ISNUMBER(R1464),R1464&lt;TODAY()),AND(OR(N1464="PENDENTE",N1464="PARCIAL"),D1464&lt;TODAY()-1)),"CRÍTICO",IF(OR(AND(P1464&lt;&gt;"",S1464=""),AND(N1464="REALIZADO",M1464="PENDENTE"),AND(ISNUMBER(R1464),R1464=TODAY())),"ATENÇÃO",IF(N(K1464)=0,"PENDENTE","EM ANDAMENTO"))))))</f>
        <v/>
      </c>
      <c r="C1464" s="3">
        <f>IF(D1464="","",IF(V1464=0,"🟢 OK",IF(D1464&lt;corte,"⚪ HISTÓRICO (sem baixa)",IF(AND(ISNUMBER(R1464),R1464&lt;TODAY()),"🔴 PRAZO VENCIDO",IF(AND(OR(N1464="PENDENTE",N1464="PARCIAL"),D1464&lt;TODAY()-1),"🔴 EMBARQUE ATRASADO",IF(AND(N1464="REALIZADO",M1464="PENDENTE"),"🟡 EMBARCADO SEM FATURAR",IF(AND(P1464&lt;&gt;"",S1464="",OR(Q1464="",R1464="")),"🟡 PENDÊNCIA SEM RESPONSÁVEL/PRAZO",IF(AND(ISNUMBER(R1464),R1464=TODAY()),"🟡 VENCE HOJE",IF(AND(P1464&lt;&gt;"",S1464=""),"🟡 PENDÊNCIA ABERTA",IF(AND(N(J1464)&gt;0,N(K1464)&lt;J1464),"🟡 FALTA EXECUTAR",IF(OR(M1464="PENDENTE",M1464="PARCIAL"),"🟡 FATURAMENTO PENDENTE","🟡 EMBARQUE PENDENTE")))))))))))</f>
        <v/>
      </c>
      <c r="D1464" s="4" t="n"/>
      <c r="E1464" s="5" t="n"/>
      <c r="F1464" s="5" t="n"/>
      <c r="G1464" s="5" t="n"/>
      <c r="H1464" s="5" t="n"/>
      <c r="I1464" s="5" t="n"/>
      <c r="J1464" s="6" t="n"/>
      <c r="K1464" s="6" t="n"/>
      <c r="L1464" s="7">
        <f>IF(OR(D1464="",N(J1464)=0),"",MIN(1,N(K1464)/J1464))</f>
        <v/>
      </c>
      <c r="M1464" s="5" t="n"/>
      <c r="N1464" s="5" t="n"/>
      <c r="O1464" s="5" t="n"/>
      <c r="P1464" s="5" t="n"/>
      <c r="Q1464" s="5" t="n"/>
      <c r="R1464" s="4" t="n"/>
      <c r="S1464" s="4" t="n"/>
      <c r="T1464" s="5" t="n"/>
      <c r="U1464" s="8">
        <f>IF(AND(V1464=1,D1464&lt;&gt;""),IF(D1464&gt;=corte,TODAY()-D1464,""),"")</f>
        <v/>
      </c>
      <c r="V1464" s="8">
        <f>IF(D1464="",0,IF(OR(AND(P1464&lt;&gt;"",S1464=""),AND(N(J1464)&gt;0,N(K1464)&lt;J1464),OR(M1464="PENDENTE",M1464="PARCIAL"),OR(N1464="PENDENTE",N1464="PARCIAL")),1,0))</f>
        <v/>
      </c>
      <c r="W1464" s="8">
        <f>IF(AND(V1464=1,D1464&lt;&gt;""),IF(D1464&gt;=corte,(B1464="CRÍTICO")*1E9+(100000-D1464)*10000+10000-ROW(),""),"")</f>
        <v/>
      </c>
      <c r="X1464" s="8">
        <f>IF(AND(V1464=1,D1464=pas_data,E1464=pas_turno),10000-ROW(),"")</f>
        <v/>
      </c>
    </row>
    <row r="1465">
      <c r="A1465" s="3">
        <f>IF(D1465="","","TT-"&amp;TEXT(ROW()-1,"00000"))</f>
        <v/>
      </c>
      <c r="B1465" s="3">
        <f>IF(D1465="","",IF(V1465=0,"CONCLUÍDO",IF(D1465&lt;corte,"HISTÓRICO",IF(OR(AND(ISNUMBER(R1465),R1465&lt;TODAY()),AND(OR(N1465="PENDENTE",N1465="PARCIAL"),D1465&lt;TODAY()-1)),"CRÍTICO",IF(OR(AND(P1465&lt;&gt;"",S1465=""),AND(N1465="REALIZADO",M1465="PENDENTE"),AND(ISNUMBER(R1465),R1465=TODAY())),"ATENÇÃO",IF(N(K1465)=0,"PENDENTE","EM ANDAMENTO"))))))</f>
        <v/>
      </c>
      <c r="C1465" s="3">
        <f>IF(D1465="","",IF(V1465=0,"🟢 OK",IF(D1465&lt;corte,"⚪ HISTÓRICO (sem baixa)",IF(AND(ISNUMBER(R1465),R1465&lt;TODAY()),"🔴 PRAZO VENCIDO",IF(AND(OR(N1465="PENDENTE",N1465="PARCIAL"),D1465&lt;TODAY()-1),"🔴 EMBARQUE ATRASADO",IF(AND(N1465="REALIZADO",M1465="PENDENTE"),"🟡 EMBARCADO SEM FATURAR",IF(AND(P1465&lt;&gt;"",S1465="",OR(Q1465="",R1465="")),"🟡 PENDÊNCIA SEM RESPONSÁVEL/PRAZO",IF(AND(ISNUMBER(R1465),R1465=TODAY()),"🟡 VENCE HOJE",IF(AND(P1465&lt;&gt;"",S1465=""),"🟡 PENDÊNCIA ABERTA",IF(AND(N(J1465)&gt;0,N(K1465)&lt;J1465),"🟡 FALTA EXECUTAR",IF(OR(M1465="PENDENTE",M1465="PARCIAL"),"🟡 FATURAMENTO PENDENTE","🟡 EMBARQUE PENDENTE")))))))))))</f>
        <v/>
      </c>
      <c r="D1465" s="4" t="n"/>
      <c r="E1465" s="5" t="n"/>
      <c r="F1465" s="5" t="n"/>
      <c r="G1465" s="5" t="n"/>
      <c r="H1465" s="5" t="n"/>
      <c r="I1465" s="5" t="n"/>
      <c r="J1465" s="6" t="n"/>
      <c r="K1465" s="6" t="n"/>
      <c r="L1465" s="7">
        <f>IF(OR(D1465="",N(J1465)=0),"",MIN(1,N(K1465)/J1465))</f>
        <v/>
      </c>
      <c r="M1465" s="5" t="n"/>
      <c r="N1465" s="5" t="n"/>
      <c r="O1465" s="5" t="n"/>
      <c r="P1465" s="5" t="n"/>
      <c r="Q1465" s="5" t="n"/>
      <c r="R1465" s="4" t="n"/>
      <c r="S1465" s="4" t="n"/>
      <c r="T1465" s="5" t="n"/>
      <c r="U1465" s="8">
        <f>IF(AND(V1465=1,D1465&lt;&gt;""),IF(D1465&gt;=corte,TODAY()-D1465,""),"")</f>
        <v/>
      </c>
      <c r="V1465" s="8">
        <f>IF(D1465="",0,IF(OR(AND(P1465&lt;&gt;"",S1465=""),AND(N(J1465)&gt;0,N(K1465)&lt;J1465),OR(M1465="PENDENTE",M1465="PARCIAL"),OR(N1465="PENDENTE",N1465="PARCIAL")),1,0))</f>
        <v/>
      </c>
      <c r="W1465" s="8">
        <f>IF(AND(V1465=1,D1465&lt;&gt;""),IF(D1465&gt;=corte,(B1465="CRÍTICO")*1E9+(100000-D1465)*10000+10000-ROW(),""),"")</f>
        <v/>
      </c>
      <c r="X1465" s="8">
        <f>IF(AND(V1465=1,D1465=pas_data,E1465=pas_turno),10000-ROW(),"")</f>
        <v/>
      </c>
    </row>
    <row r="1466">
      <c r="A1466" s="3">
        <f>IF(D1466="","","TT-"&amp;TEXT(ROW()-1,"00000"))</f>
        <v/>
      </c>
      <c r="B1466" s="3">
        <f>IF(D1466="","",IF(V1466=0,"CONCLUÍDO",IF(D1466&lt;corte,"HISTÓRICO",IF(OR(AND(ISNUMBER(R1466),R1466&lt;TODAY()),AND(OR(N1466="PENDENTE",N1466="PARCIAL"),D1466&lt;TODAY()-1)),"CRÍTICO",IF(OR(AND(P1466&lt;&gt;"",S1466=""),AND(N1466="REALIZADO",M1466="PENDENTE"),AND(ISNUMBER(R1466),R1466=TODAY())),"ATENÇÃO",IF(N(K1466)=0,"PENDENTE","EM ANDAMENTO"))))))</f>
        <v/>
      </c>
      <c r="C1466" s="3">
        <f>IF(D1466="","",IF(V1466=0,"🟢 OK",IF(D1466&lt;corte,"⚪ HISTÓRICO (sem baixa)",IF(AND(ISNUMBER(R1466),R1466&lt;TODAY()),"🔴 PRAZO VENCIDO",IF(AND(OR(N1466="PENDENTE",N1466="PARCIAL"),D1466&lt;TODAY()-1),"🔴 EMBARQUE ATRASADO",IF(AND(N1466="REALIZADO",M1466="PENDENTE"),"🟡 EMBARCADO SEM FATURAR",IF(AND(P1466&lt;&gt;"",S1466="",OR(Q1466="",R1466="")),"🟡 PENDÊNCIA SEM RESPONSÁVEL/PRAZO",IF(AND(ISNUMBER(R1466),R1466=TODAY()),"🟡 VENCE HOJE",IF(AND(P1466&lt;&gt;"",S1466=""),"🟡 PENDÊNCIA ABERTA",IF(AND(N(J1466)&gt;0,N(K1466)&lt;J1466),"🟡 FALTA EXECUTAR",IF(OR(M1466="PENDENTE",M1466="PARCIAL"),"🟡 FATURAMENTO PENDENTE","🟡 EMBARQUE PENDENTE")))))))))))</f>
        <v/>
      </c>
      <c r="D1466" s="4" t="n"/>
      <c r="E1466" s="5" t="n"/>
      <c r="F1466" s="5" t="n"/>
      <c r="G1466" s="5" t="n"/>
      <c r="H1466" s="5" t="n"/>
      <c r="I1466" s="5" t="n"/>
      <c r="J1466" s="6" t="n"/>
      <c r="K1466" s="6" t="n"/>
      <c r="L1466" s="7">
        <f>IF(OR(D1466="",N(J1466)=0),"",MIN(1,N(K1466)/J1466))</f>
        <v/>
      </c>
      <c r="M1466" s="5" t="n"/>
      <c r="N1466" s="5" t="n"/>
      <c r="O1466" s="5" t="n"/>
      <c r="P1466" s="5" t="n"/>
      <c r="Q1466" s="5" t="n"/>
      <c r="R1466" s="4" t="n"/>
      <c r="S1466" s="4" t="n"/>
      <c r="T1466" s="5" t="n"/>
      <c r="U1466" s="8">
        <f>IF(AND(V1466=1,D1466&lt;&gt;""),IF(D1466&gt;=corte,TODAY()-D1466,""),"")</f>
        <v/>
      </c>
      <c r="V1466" s="8">
        <f>IF(D1466="",0,IF(OR(AND(P1466&lt;&gt;"",S1466=""),AND(N(J1466)&gt;0,N(K1466)&lt;J1466),OR(M1466="PENDENTE",M1466="PARCIAL"),OR(N1466="PENDENTE",N1466="PARCIAL")),1,0))</f>
        <v/>
      </c>
      <c r="W1466" s="8">
        <f>IF(AND(V1466=1,D1466&lt;&gt;""),IF(D1466&gt;=corte,(B1466="CRÍTICO")*1E9+(100000-D1466)*10000+10000-ROW(),""),"")</f>
        <v/>
      </c>
      <c r="X1466" s="8">
        <f>IF(AND(V1466=1,D1466=pas_data,E1466=pas_turno),10000-ROW(),"")</f>
        <v/>
      </c>
    </row>
    <row r="1467">
      <c r="A1467" s="3">
        <f>IF(D1467="","","TT-"&amp;TEXT(ROW()-1,"00000"))</f>
        <v/>
      </c>
      <c r="B1467" s="3">
        <f>IF(D1467="","",IF(V1467=0,"CONCLUÍDO",IF(D1467&lt;corte,"HISTÓRICO",IF(OR(AND(ISNUMBER(R1467),R1467&lt;TODAY()),AND(OR(N1467="PENDENTE",N1467="PARCIAL"),D1467&lt;TODAY()-1)),"CRÍTICO",IF(OR(AND(P1467&lt;&gt;"",S1467=""),AND(N1467="REALIZADO",M1467="PENDENTE"),AND(ISNUMBER(R1467),R1467=TODAY())),"ATENÇÃO",IF(N(K1467)=0,"PENDENTE","EM ANDAMENTO"))))))</f>
        <v/>
      </c>
      <c r="C1467" s="3">
        <f>IF(D1467="","",IF(V1467=0,"🟢 OK",IF(D1467&lt;corte,"⚪ HISTÓRICO (sem baixa)",IF(AND(ISNUMBER(R1467),R1467&lt;TODAY()),"🔴 PRAZO VENCIDO",IF(AND(OR(N1467="PENDENTE",N1467="PARCIAL"),D1467&lt;TODAY()-1),"🔴 EMBARQUE ATRASADO",IF(AND(N1467="REALIZADO",M1467="PENDENTE"),"🟡 EMBARCADO SEM FATURAR",IF(AND(P1467&lt;&gt;"",S1467="",OR(Q1467="",R1467="")),"🟡 PENDÊNCIA SEM RESPONSÁVEL/PRAZO",IF(AND(ISNUMBER(R1467),R1467=TODAY()),"🟡 VENCE HOJE",IF(AND(P1467&lt;&gt;"",S1467=""),"🟡 PENDÊNCIA ABERTA",IF(AND(N(J1467)&gt;0,N(K1467)&lt;J1467),"🟡 FALTA EXECUTAR",IF(OR(M1467="PENDENTE",M1467="PARCIAL"),"🟡 FATURAMENTO PENDENTE","🟡 EMBARQUE PENDENTE")))))))))))</f>
        <v/>
      </c>
      <c r="D1467" s="4" t="n"/>
      <c r="E1467" s="5" t="n"/>
      <c r="F1467" s="5" t="n"/>
      <c r="G1467" s="5" t="n"/>
      <c r="H1467" s="5" t="n"/>
      <c r="I1467" s="5" t="n"/>
      <c r="J1467" s="6" t="n"/>
      <c r="K1467" s="6" t="n"/>
      <c r="L1467" s="7">
        <f>IF(OR(D1467="",N(J1467)=0),"",MIN(1,N(K1467)/J1467))</f>
        <v/>
      </c>
      <c r="M1467" s="5" t="n"/>
      <c r="N1467" s="5" t="n"/>
      <c r="O1467" s="5" t="n"/>
      <c r="P1467" s="5" t="n"/>
      <c r="Q1467" s="5" t="n"/>
      <c r="R1467" s="4" t="n"/>
      <c r="S1467" s="4" t="n"/>
      <c r="T1467" s="5" t="n"/>
      <c r="U1467" s="8">
        <f>IF(AND(V1467=1,D1467&lt;&gt;""),IF(D1467&gt;=corte,TODAY()-D1467,""),"")</f>
        <v/>
      </c>
      <c r="V1467" s="8">
        <f>IF(D1467="",0,IF(OR(AND(P1467&lt;&gt;"",S1467=""),AND(N(J1467)&gt;0,N(K1467)&lt;J1467),OR(M1467="PENDENTE",M1467="PARCIAL"),OR(N1467="PENDENTE",N1467="PARCIAL")),1,0))</f>
        <v/>
      </c>
      <c r="W1467" s="8">
        <f>IF(AND(V1467=1,D1467&lt;&gt;""),IF(D1467&gt;=corte,(B1467="CRÍTICO")*1E9+(100000-D1467)*10000+10000-ROW(),""),"")</f>
        <v/>
      </c>
      <c r="X1467" s="8">
        <f>IF(AND(V1467=1,D1467=pas_data,E1467=pas_turno),10000-ROW(),"")</f>
        <v/>
      </c>
    </row>
    <row r="1468">
      <c r="A1468" s="3">
        <f>IF(D1468="","","TT-"&amp;TEXT(ROW()-1,"00000"))</f>
        <v/>
      </c>
      <c r="B1468" s="3">
        <f>IF(D1468="","",IF(V1468=0,"CONCLUÍDO",IF(D1468&lt;corte,"HISTÓRICO",IF(OR(AND(ISNUMBER(R1468),R1468&lt;TODAY()),AND(OR(N1468="PENDENTE",N1468="PARCIAL"),D1468&lt;TODAY()-1)),"CRÍTICO",IF(OR(AND(P1468&lt;&gt;"",S1468=""),AND(N1468="REALIZADO",M1468="PENDENTE"),AND(ISNUMBER(R1468),R1468=TODAY())),"ATENÇÃO",IF(N(K1468)=0,"PENDENTE","EM ANDAMENTO"))))))</f>
        <v/>
      </c>
      <c r="C1468" s="3">
        <f>IF(D1468="","",IF(V1468=0,"🟢 OK",IF(D1468&lt;corte,"⚪ HISTÓRICO (sem baixa)",IF(AND(ISNUMBER(R1468),R1468&lt;TODAY()),"🔴 PRAZO VENCIDO",IF(AND(OR(N1468="PENDENTE",N1468="PARCIAL"),D1468&lt;TODAY()-1),"🔴 EMBARQUE ATRASADO",IF(AND(N1468="REALIZADO",M1468="PENDENTE"),"🟡 EMBARCADO SEM FATURAR",IF(AND(P1468&lt;&gt;"",S1468="",OR(Q1468="",R1468="")),"🟡 PENDÊNCIA SEM RESPONSÁVEL/PRAZO",IF(AND(ISNUMBER(R1468),R1468=TODAY()),"🟡 VENCE HOJE",IF(AND(P1468&lt;&gt;"",S1468=""),"🟡 PENDÊNCIA ABERTA",IF(AND(N(J1468)&gt;0,N(K1468)&lt;J1468),"🟡 FALTA EXECUTAR",IF(OR(M1468="PENDENTE",M1468="PARCIAL"),"🟡 FATURAMENTO PENDENTE","🟡 EMBARQUE PENDENTE")))))))))))</f>
        <v/>
      </c>
      <c r="D1468" s="4" t="n"/>
      <c r="E1468" s="5" t="n"/>
      <c r="F1468" s="5" t="n"/>
      <c r="G1468" s="5" t="n"/>
      <c r="H1468" s="5" t="n"/>
      <c r="I1468" s="5" t="n"/>
      <c r="J1468" s="6" t="n"/>
      <c r="K1468" s="6" t="n"/>
      <c r="L1468" s="7">
        <f>IF(OR(D1468="",N(J1468)=0),"",MIN(1,N(K1468)/J1468))</f>
        <v/>
      </c>
      <c r="M1468" s="5" t="n"/>
      <c r="N1468" s="5" t="n"/>
      <c r="O1468" s="5" t="n"/>
      <c r="P1468" s="5" t="n"/>
      <c r="Q1468" s="5" t="n"/>
      <c r="R1468" s="4" t="n"/>
      <c r="S1468" s="4" t="n"/>
      <c r="T1468" s="5" t="n"/>
      <c r="U1468" s="8">
        <f>IF(AND(V1468=1,D1468&lt;&gt;""),IF(D1468&gt;=corte,TODAY()-D1468,""),"")</f>
        <v/>
      </c>
      <c r="V1468" s="8">
        <f>IF(D1468="",0,IF(OR(AND(P1468&lt;&gt;"",S1468=""),AND(N(J1468)&gt;0,N(K1468)&lt;J1468),OR(M1468="PENDENTE",M1468="PARCIAL"),OR(N1468="PENDENTE",N1468="PARCIAL")),1,0))</f>
        <v/>
      </c>
      <c r="W1468" s="8">
        <f>IF(AND(V1468=1,D1468&lt;&gt;""),IF(D1468&gt;=corte,(B1468="CRÍTICO")*1E9+(100000-D1468)*10000+10000-ROW(),""),"")</f>
        <v/>
      </c>
      <c r="X1468" s="8">
        <f>IF(AND(V1468=1,D1468=pas_data,E1468=pas_turno),10000-ROW(),"")</f>
        <v/>
      </c>
    </row>
    <row r="1469">
      <c r="A1469" s="3">
        <f>IF(D1469="","","TT-"&amp;TEXT(ROW()-1,"00000"))</f>
        <v/>
      </c>
      <c r="B1469" s="3">
        <f>IF(D1469="","",IF(V1469=0,"CONCLUÍDO",IF(D1469&lt;corte,"HISTÓRICO",IF(OR(AND(ISNUMBER(R1469),R1469&lt;TODAY()),AND(OR(N1469="PENDENTE",N1469="PARCIAL"),D1469&lt;TODAY()-1)),"CRÍTICO",IF(OR(AND(P1469&lt;&gt;"",S1469=""),AND(N1469="REALIZADO",M1469="PENDENTE"),AND(ISNUMBER(R1469),R1469=TODAY())),"ATENÇÃO",IF(N(K1469)=0,"PENDENTE","EM ANDAMENTO"))))))</f>
        <v/>
      </c>
      <c r="C1469" s="3">
        <f>IF(D1469="","",IF(V1469=0,"🟢 OK",IF(D1469&lt;corte,"⚪ HISTÓRICO (sem baixa)",IF(AND(ISNUMBER(R1469),R1469&lt;TODAY()),"🔴 PRAZO VENCIDO",IF(AND(OR(N1469="PENDENTE",N1469="PARCIAL"),D1469&lt;TODAY()-1),"🔴 EMBARQUE ATRASADO",IF(AND(N1469="REALIZADO",M1469="PENDENTE"),"🟡 EMBARCADO SEM FATURAR",IF(AND(P1469&lt;&gt;"",S1469="",OR(Q1469="",R1469="")),"🟡 PENDÊNCIA SEM RESPONSÁVEL/PRAZO",IF(AND(ISNUMBER(R1469),R1469=TODAY()),"🟡 VENCE HOJE",IF(AND(P1469&lt;&gt;"",S1469=""),"🟡 PENDÊNCIA ABERTA",IF(AND(N(J1469)&gt;0,N(K1469)&lt;J1469),"🟡 FALTA EXECUTAR",IF(OR(M1469="PENDENTE",M1469="PARCIAL"),"🟡 FATURAMENTO PENDENTE","🟡 EMBARQUE PENDENTE")))))))))))</f>
        <v/>
      </c>
      <c r="D1469" s="4" t="n"/>
      <c r="E1469" s="5" t="n"/>
      <c r="F1469" s="5" t="n"/>
      <c r="G1469" s="5" t="n"/>
      <c r="H1469" s="5" t="n"/>
      <c r="I1469" s="5" t="n"/>
      <c r="J1469" s="6" t="n"/>
      <c r="K1469" s="6" t="n"/>
      <c r="L1469" s="7">
        <f>IF(OR(D1469="",N(J1469)=0),"",MIN(1,N(K1469)/J1469))</f>
        <v/>
      </c>
      <c r="M1469" s="5" t="n"/>
      <c r="N1469" s="5" t="n"/>
      <c r="O1469" s="5" t="n"/>
      <c r="P1469" s="5" t="n"/>
      <c r="Q1469" s="5" t="n"/>
      <c r="R1469" s="4" t="n"/>
      <c r="S1469" s="4" t="n"/>
      <c r="T1469" s="5" t="n"/>
      <c r="U1469" s="8">
        <f>IF(AND(V1469=1,D1469&lt;&gt;""),IF(D1469&gt;=corte,TODAY()-D1469,""),"")</f>
        <v/>
      </c>
      <c r="V1469" s="8">
        <f>IF(D1469="",0,IF(OR(AND(P1469&lt;&gt;"",S1469=""),AND(N(J1469)&gt;0,N(K1469)&lt;J1469),OR(M1469="PENDENTE",M1469="PARCIAL"),OR(N1469="PENDENTE",N1469="PARCIAL")),1,0))</f>
        <v/>
      </c>
      <c r="W1469" s="8">
        <f>IF(AND(V1469=1,D1469&lt;&gt;""),IF(D1469&gt;=corte,(B1469="CRÍTICO")*1E9+(100000-D1469)*10000+10000-ROW(),""),"")</f>
        <v/>
      </c>
      <c r="X1469" s="8">
        <f>IF(AND(V1469=1,D1469=pas_data,E1469=pas_turno),10000-ROW(),"")</f>
        <v/>
      </c>
    </row>
    <row r="1470">
      <c r="A1470" s="3">
        <f>IF(D1470="","","TT-"&amp;TEXT(ROW()-1,"00000"))</f>
        <v/>
      </c>
      <c r="B1470" s="3">
        <f>IF(D1470="","",IF(V1470=0,"CONCLUÍDO",IF(D1470&lt;corte,"HISTÓRICO",IF(OR(AND(ISNUMBER(R1470),R1470&lt;TODAY()),AND(OR(N1470="PENDENTE",N1470="PARCIAL"),D1470&lt;TODAY()-1)),"CRÍTICO",IF(OR(AND(P1470&lt;&gt;"",S1470=""),AND(N1470="REALIZADO",M1470="PENDENTE"),AND(ISNUMBER(R1470),R1470=TODAY())),"ATENÇÃO",IF(N(K1470)=0,"PENDENTE","EM ANDAMENTO"))))))</f>
        <v/>
      </c>
      <c r="C1470" s="3">
        <f>IF(D1470="","",IF(V1470=0,"🟢 OK",IF(D1470&lt;corte,"⚪ HISTÓRICO (sem baixa)",IF(AND(ISNUMBER(R1470),R1470&lt;TODAY()),"🔴 PRAZO VENCIDO",IF(AND(OR(N1470="PENDENTE",N1470="PARCIAL"),D1470&lt;TODAY()-1),"🔴 EMBARQUE ATRASADO",IF(AND(N1470="REALIZADO",M1470="PENDENTE"),"🟡 EMBARCADO SEM FATURAR",IF(AND(P1470&lt;&gt;"",S1470="",OR(Q1470="",R1470="")),"🟡 PENDÊNCIA SEM RESPONSÁVEL/PRAZO",IF(AND(ISNUMBER(R1470),R1470=TODAY()),"🟡 VENCE HOJE",IF(AND(P1470&lt;&gt;"",S1470=""),"🟡 PENDÊNCIA ABERTA",IF(AND(N(J1470)&gt;0,N(K1470)&lt;J1470),"🟡 FALTA EXECUTAR",IF(OR(M1470="PENDENTE",M1470="PARCIAL"),"🟡 FATURAMENTO PENDENTE","🟡 EMBARQUE PENDENTE")))))))))))</f>
        <v/>
      </c>
      <c r="D1470" s="4" t="n"/>
      <c r="E1470" s="5" t="n"/>
      <c r="F1470" s="5" t="n"/>
      <c r="G1470" s="5" t="n"/>
      <c r="H1470" s="5" t="n"/>
      <c r="I1470" s="5" t="n"/>
      <c r="J1470" s="6" t="n"/>
      <c r="K1470" s="6" t="n"/>
      <c r="L1470" s="7">
        <f>IF(OR(D1470="",N(J1470)=0),"",MIN(1,N(K1470)/J1470))</f>
        <v/>
      </c>
      <c r="M1470" s="5" t="n"/>
      <c r="N1470" s="5" t="n"/>
      <c r="O1470" s="5" t="n"/>
      <c r="P1470" s="5" t="n"/>
      <c r="Q1470" s="5" t="n"/>
      <c r="R1470" s="4" t="n"/>
      <c r="S1470" s="4" t="n"/>
      <c r="T1470" s="5" t="n"/>
      <c r="U1470" s="8">
        <f>IF(AND(V1470=1,D1470&lt;&gt;""),IF(D1470&gt;=corte,TODAY()-D1470,""),"")</f>
        <v/>
      </c>
      <c r="V1470" s="8">
        <f>IF(D1470="",0,IF(OR(AND(P1470&lt;&gt;"",S1470=""),AND(N(J1470)&gt;0,N(K1470)&lt;J1470),OR(M1470="PENDENTE",M1470="PARCIAL"),OR(N1470="PENDENTE",N1470="PARCIAL")),1,0))</f>
        <v/>
      </c>
      <c r="W1470" s="8">
        <f>IF(AND(V1470=1,D1470&lt;&gt;""),IF(D1470&gt;=corte,(B1470="CRÍTICO")*1E9+(100000-D1470)*10000+10000-ROW(),""),"")</f>
        <v/>
      </c>
      <c r="X1470" s="8">
        <f>IF(AND(V1470=1,D1470=pas_data,E1470=pas_turno),10000-ROW(),"")</f>
        <v/>
      </c>
    </row>
    <row r="1471">
      <c r="A1471" s="3">
        <f>IF(D1471="","","TT-"&amp;TEXT(ROW()-1,"00000"))</f>
        <v/>
      </c>
      <c r="B1471" s="3">
        <f>IF(D1471="","",IF(V1471=0,"CONCLUÍDO",IF(D1471&lt;corte,"HISTÓRICO",IF(OR(AND(ISNUMBER(R1471),R1471&lt;TODAY()),AND(OR(N1471="PENDENTE",N1471="PARCIAL"),D1471&lt;TODAY()-1)),"CRÍTICO",IF(OR(AND(P1471&lt;&gt;"",S1471=""),AND(N1471="REALIZADO",M1471="PENDENTE"),AND(ISNUMBER(R1471),R1471=TODAY())),"ATENÇÃO",IF(N(K1471)=0,"PENDENTE","EM ANDAMENTO"))))))</f>
        <v/>
      </c>
      <c r="C1471" s="3">
        <f>IF(D1471="","",IF(V1471=0,"🟢 OK",IF(D1471&lt;corte,"⚪ HISTÓRICO (sem baixa)",IF(AND(ISNUMBER(R1471),R1471&lt;TODAY()),"🔴 PRAZO VENCIDO",IF(AND(OR(N1471="PENDENTE",N1471="PARCIAL"),D1471&lt;TODAY()-1),"🔴 EMBARQUE ATRASADO",IF(AND(N1471="REALIZADO",M1471="PENDENTE"),"🟡 EMBARCADO SEM FATURAR",IF(AND(P1471&lt;&gt;"",S1471="",OR(Q1471="",R1471="")),"🟡 PENDÊNCIA SEM RESPONSÁVEL/PRAZO",IF(AND(ISNUMBER(R1471),R1471=TODAY()),"🟡 VENCE HOJE",IF(AND(P1471&lt;&gt;"",S1471=""),"🟡 PENDÊNCIA ABERTA",IF(AND(N(J1471)&gt;0,N(K1471)&lt;J1471),"🟡 FALTA EXECUTAR",IF(OR(M1471="PENDENTE",M1471="PARCIAL"),"🟡 FATURAMENTO PENDENTE","🟡 EMBARQUE PENDENTE")))))))))))</f>
        <v/>
      </c>
      <c r="D1471" s="4" t="n"/>
      <c r="E1471" s="5" t="n"/>
      <c r="F1471" s="5" t="n"/>
      <c r="G1471" s="5" t="n"/>
      <c r="H1471" s="5" t="n"/>
      <c r="I1471" s="5" t="n"/>
      <c r="J1471" s="6" t="n"/>
      <c r="K1471" s="6" t="n"/>
      <c r="L1471" s="7">
        <f>IF(OR(D1471="",N(J1471)=0),"",MIN(1,N(K1471)/J1471))</f>
        <v/>
      </c>
      <c r="M1471" s="5" t="n"/>
      <c r="N1471" s="5" t="n"/>
      <c r="O1471" s="5" t="n"/>
      <c r="P1471" s="5" t="n"/>
      <c r="Q1471" s="5" t="n"/>
      <c r="R1471" s="4" t="n"/>
      <c r="S1471" s="4" t="n"/>
      <c r="T1471" s="5" t="n"/>
      <c r="U1471" s="8">
        <f>IF(AND(V1471=1,D1471&lt;&gt;""),IF(D1471&gt;=corte,TODAY()-D1471,""),"")</f>
        <v/>
      </c>
      <c r="V1471" s="8">
        <f>IF(D1471="",0,IF(OR(AND(P1471&lt;&gt;"",S1471=""),AND(N(J1471)&gt;0,N(K1471)&lt;J1471),OR(M1471="PENDENTE",M1471="PARCIAL"),OR(N1471="PENDENTE",N1471="PARCIAL")),1,0))</f>
        <v/>
      </c>
      <c r="W1471" s="8">
        <f>IF(AND(V1471=1,D1471&lt;&gt;""),IF(D1471&gt;=corte,(B1471="CRÍTICO")*1E9+(100000-D1471)*10000+10000-ROW(),""),"")</f>
        <v/>
      </c>
      <c r="X1471" s="8">
        <f>IF(AND(V1471=1,D1471=pas_data,E1471=pas_turno),10000-ROW(),"")</f>
        <v/>
      </c>
    </row>
    <row r="1472">
      <c r="A1472" s="3">
        <f>IF(D1472="","","TT-"&amp;TEXT(ROW()-1,"00000"))</f>
        <v/>
      </c>
      <c r="B1472" s="3">
        <f>IF(D1472="","",IF(V1472=0,"CONCLUÍDO",IF(D1472&lt;corte,"HISTÓRICO",IF(OR(AND(ISNUMBER(R1472),R1472&lt;TODAY()),AND(OR(N1472="PENDENTE",N1472="PARCIAL"),D1472&lt;TODAY()-1)),"CRÍTICO",IF(OR(AND(P1472&lt;&gt;"",S1472=""),AND(N1472="REALIZADO",M1472="PENDENTE"),AND(ISNUMBER(R1472),R1472=TODAY())),"ATENÇÃO",IF(N(K1472)=0,"PENDENTE","EM ANDAMENTO"))))))</f>
        <v/>
      </c>
      <c r="C1472" s="3">
        <f>IF(D1472="","",IF(V1472=0,"🟢 OK",IF(D1472&lt;corte,"⚪ HISTÓRICO (sem baixa)",IF(AND(ISNUMBER(R1472),R1472&lt;TODAY()),"🔴 PRAZO VENCIDO",IF(AND(OR(N1472="PENDENTE",N1472="PARCIAL"),D1472&lt;TODAY()-1),"🔴 EMBARQUE ATRASADO",IF(AND(N1472="REALIZADO",M1472="PENDENTE"),"🟡 EMBARCADO SEM FATURAR",IF(AND(P1472&lt;&gt;"",S1472="",OR(Q1472="",R1472="")),"🟡 PENDÊNCIA SEM RESPONSÁVEL/PRAZO",IF(AND(ISNUMBER(R1472),R1472=TODAY()),"🟡 VENCE HOJE",IF(AND(P1472&lt;&gt;"",S1472=""),"🟡 PENDÊNCIA ABERTA",IF(AND(N(J1472)&gt;0,N(K1472)&lt;J1472),"🟡 FALTA EXECUTAR",IF(OR(M1472="PENDENTE",M1472="PARCIAL"),"🟡 FATURAMENTO PENDENTE","🟡 EMBARQUE PENDENTE")))))))))))</f>
        <v/>
      </c>
      <c r="D1472" s="4" t="n"/>
      <c r="E1472" s="5" t="n"/>
      <c r="F1472" s="5" t="n"/>
      <c r="G1472" s="5" t="n"/>
      <c r="H1472" s="5" t="n"/>
      <c r="I1472" s="5" t="n"/>
      <c r="J1472" s="6" t="n"/>
      <c r="K1472" s="6" t="n"/>
      <c r="L1472" s="7">
        <f>IF(OR(D1472="",N(J1472)=0),"",MIN(1,N(K1472)/J1472))</f>
        <v/>
      </c>
      <c r="M1472" s="5" t="n"/>
      <c r="N1472" s="5" t="n"/>
      <c r="O1472" s="5" t="n"/>
      <c r="P1472" s="5" t="n"/>
      <c r="Q1472" s="5" t="n"/>
      <c r="R1472" s="4" t="n"/>
      <c r="S1472" s="4" t="n"/>
      <c r="T1472" s="5" t="n"/>
      <c r="U1472" s="8">
        <f>IF(AND(V1472=1,D1472&lt;&gt;""),IF(D1472&gt;=corte,TODAY()-D1472,""),"")</f>
        <v/>
      </c>
      <c r="V1472" s="8">
        <f>IF(D1472="",0,IF(OR(AND(P1472&lt;&gt;"",S1472=""),AND(N(J1472)&gt;0,N(K1472)&lt;J1472),OR(M1472="PENDENTE",M1472="PARCIAL"),OR(N1472="PENDENTE",N1472="PARCIAL")),1,0))</f>
        <v/>
      </c>
      <c r="W1472" s="8">
        <f>IF(AND(V1472=1,D1472&lt;&gt;""),IF(D1472&gt;=corte,(B1472="CRÍTICO")*1E9+(100000-D1472)*10000+10000-ROW(),""),"")</f>
        <v/>
      </c>
      <c r="X1472" s="8">
        <f>IF(AND(V1472=1,D1472=pas_data,E1472=pas_turno),10000-ROW(),"")</f>
        <v/>
      </c>
    </row>
    <row r="1473">
      <c r="A1473" s="3">
        <f>IF(D1473="","","TT-"&amp;TEXT(ROW()-1,"00000"))</f>
        <v/>
      </c>
      <c r="B1473" s="3">
        <f>IF(D1473="","",IF(V1473=0,"CONCLUÍDO",IF(D1473&lt;corte,"HISTÓRICO",IF(OR(AND(ISNUMBER(R1473),R1473&lt;TODAY()),AND(OR(N1473="PENDENTE",N1473="PARCIAL"),D1473&lt;TODAY()-1)),"CRÍTICO",IF(OR(AND(P1473&lt;&gt;"",S1473=""),AND(N1473="REALIZADO",M1473="PENDENTE"),AND(ISNUMBER(R1473),R1473=TODAY())),"ATENÇÃO",IF(N(K1473)=0,"PENDENTE","EM ANDAMENTO"))))))</f>
        <v/>
      </c>
      <c r="C1473" s="3">
        <f>IF(D1473="","",IF(V1473=0,"🟢 OK",IF(D1473&lt;corte,"⚪ HISTÓRICO (sem baixa)",IF(AND(ISNUMBER(R1473),R1473&lt;TODAY()),"🔴 PRAZO VENCIDO",IF(AND(OR(N1473="PENDENTE",N1473="PARCIAL"),D1473&lt;TODAY()-1),"🔴 EMBARQUE ATRASADO",IF(AND(N1473="REALIZADO",M1473="PENDENTE"),"🟡 EMBARCADO SEM FATURAR",IF(AND(P1473&lt;&gt;"",S1473="",OR(Q1473="",R1473="")),"🟡 PENDÊNCIA SEM RESPONSÁVEL/PRAZO",IF(AND(ISNUMBER(R1473),R1473=TODAY()),"🟡 VENCE HOJE",IF(AND(P1473&lt;&gt;"",S1473=""),"🟡 PENDÊNCIA ABERTA",IF(AND(N(J1473)&gt;0,N(K1473)&lt;J1473),"🟡 FALTA EXECUTAR",IF(OR(M1473="PENDENTE",M1473="PARCIAL"),"🟡 FATURAMENTO PENDENTE","🟡 EMBARQUE PENDENTE")))))))))))</f>
        <v/>
      </c>
      <c r="D1473" s="4" t="n"/>
      <c r="E1473" s="5" t="n"/>
      <c r="F1473" s="5" t="n"/>
      <c r="G1473" s="5" t="n"/>
      <c r="H1473" s="5" t="n"/>
      <c r="I1473" s="5" t="n"/>
      <c r="J1473" s="6" t="n"/>
      <c r="K1473" s="6" t="n"/>
      <c r="L1473" s="7">
        <f>IF(OR(D1473="",N(J1473)=0),"",MIN(1,N(K1473)/J1473))</f>
        <v/>
      </c>
      <c r="M1473" s="5" t="n"/>
      <c r="N1473" s="5" t="n"/>
      <c r="O1473" s="5" t="n"/>
      <c r="P1473" s="5" t="n"/>
      <c r="Q1473" s="5" t="n"/>
      <c r="R1473" s="4" t="n"/>
      <c r="S1473" s="4" t="n"/>
      <c r="T1473" s="5" t="n"/>
      <c r="U1473" s="8">
        <f>IF(AND(V1473=1,D1473&lt;&gt;""),IF(D1473&gt;=corte,TODAY()-D1473,""),"")</f>
        <v/>
      </c>
      <c r="V1473" s="8">
        <f>IF(D1473="",0,IF(OR(AND(P1473&lt;&gt;"",S1473=""),AND(N(J1473)&gt;0,N(K1473)&lt;J1473),OR(M1473="PENDENTE",M1473="PARCIAL"),OR(N1473="PENDENTE",N1473="PARCIAL")),1,0))</f>
        <v/>
      </c>
      <c r="W1473" s="8">
        <f>IF(AND(V1473=1,D1473&lt;&gt;""),IF(D1473&gt;=corte,(B1473="CRÍTICO")*1E9+(100000-D1473)*10000+10000-ROW(),""),"")</f>
        <v/>
      </c>
      <c r="X1473" s="8">
        <f>IF(AND(V1473=1,D1473=pas_data,E1473=pas_turno),10000-ROW(),"")</f>
        <v/>
      </c>
    </row>
    <row r="1474">
      <c r="A1474" s="3">
        <f>IF(D1474="","","TT-"&amp;TEXT(ROW()-1,"00000"))</f>
        <v/>
      </c>
      <c r="B1474" s="3">
        <f>IF(D1474="","",IF(V1474=0,"CONCLUÍDO",IF(D1474&lt;corte,"HISTÓRICO",IF(OR(AND(ISNUMBER(R1474),R1474&lt;TODAY()),AND(OR(N1474="PENDENTE",N1474="PARCIAL"),D1474&lt;TODAY()-1)),"CRÍTICO",IF(OR(AND(P1474&lt;&gt;"",S1474=""),AND(N1474="REALIZADO",M1474="PENDENTE"),AND(ISNUMBER(R1474),R1474=TODAY())),"ATENÇÃO",IF(N(K1474)=0,"PENDENTE","EM ANDAMENTO"))))))</f>
        <v/>
      </c>
      <c r="C1474" s="3">
        <f>IF(D1474="","",IF(V1474=0,"🟢 OK",IF(D1474&lt;corte,"⚪ HISTÓRICO (sem baixa)",IF(AND(ISNUMBER(R1474),R1474&lt;TODAY()),"🔴 PRAZO VENCIDO",IF(AND(OR(N1474="PENDENTE",N1474="PARCIAL"),D1474&lt;TODAY()-1),"🔴 EMBARQUE ATRASADO",IF(AND(N1474="REALIZADO",M1474="PENDENTE"),"🟡 EMBARCADO SEM FATURAR",IF(AND(P1474&lt;&gt;"",S1474="",OR(Q1474="",R1474="")),"🟡 PENDÊNCIA SEM RESPONSÁVEL/PRAZO",IF(AND(ISNUMBER(R1474),R1474=TODAY()),"🟡 VENCE HOJE",IF(AND(P1474&lt;&gt;"",S1474=""),"🟡 PENDÊNCIA ABERTA",IF(AND(N(J1474)&gt;0,N(K1474)&lt;J1474),"🟡 FALTA EXECUTAR",IF(OR(M1474="PENDENTE",M1474="PARCIAL"),"🟡 FATURAMENTO PENDENTE","🟡 EMBARQUE PENDENTE")))))))))))</f>
        <v/>
      </c>
      <c r="D1474" s="4" t="n"/>
      <c r="E1474" s="5" t="n"/>
      <c r="F1474" s="5" t="n"/>
      <c r="G1474" s="5" t="n"/>
      <c r="H1474" s="5" t="n"/>
      <c r="I1474" s="5" t="n"/>
      <c r="J1474" s="6" t="n"/>
      <c r="K1474" s="6" t="n"/>
      <c r="L1474" s="7">
        <f>IF(OR(D1474="",N(J1474)=0),"",MIN(1,N(K1474)/J1474))</f>
        <v/>
      </c>
      <c r="M1474" s="5" t="n"/>
      <c r="N1474" s="5" t="n"/>
      <c r="O1474" s="5" t="n"/>
      <c r="P1474" s="5" t="n"/>
      <c r="Q1474" s="5" t="n"/>
      <c r="R1474" s="4" t="n"/>
      <c r="S1474" s="4" t="n"/>
      <c r="T1474" s="5" t="n"/>
      <c r="U1474" s="8">
        <f>IF(AND(V1474=1,D1474&lt;&gt;""),IF(D1474&gt;=corte,TODAY()-D1474,""),"")</f>
        <v/>
      </c>
      <c r="V1474" s="8">
        <f>IF(D1474="",0,IF(OR(AND(P1474&lt;&gt;"",S1474=""),AND(N(J1474)&gt;0,N(K1474)&lt;J1474),OR(M1474="PENDENTE",M1474="PARCIAL"),OR(N1474="PENDENTE",N1474="PARCIAL")),1,0))</f>
        <v/>
      </c>
      <c r="W1474" s="8">
        <f>IF(AND(V1474=1,D1474&lt;&gt;""),IF(D1474&gt;=corte,(B1474="CRÍTICO")*1E9+(100000-D1474)*10000+10000-ROW(),""),"")</f>
        <v/>
      </c>
      <c r="X1474" s="8">
        <f>IF(AND(V1474=1,D1474=pas_data,E1474=pas_turno),10000-ROW(),"")</f>
        <v/>
      </c>
    </row>
    <row r="1475">
      <c r="A1475" s="3">
        <f>IF(D1475="","","TT-"&amp;TEXT(ROW()-1,"00000"))</f>
        <v/>
      </c>
      <c r="B1475" s="3">
        <f>IF(D1475="","",IF(V1475=0,"CONCLUÍDO",IF(D1475&lt;corte,"HISTÓRICO",IF(OR(AND(ISNUMBER(R1475),R1475&lt;TODAY()),AND(OR(N1475="PENDENTE",N1475="PARCIAL"),D1475&lt;TODAY()-1)),"CRÍTICO",IF(OR(AND(P1475&lt;&gt;"",S1475=""),AND(N1475="REALIZADO",M1475="PENDENTE"),AND(ISNUMBER(R1475),R1475=TODAY())),"ATENÇÃO",IF(N(K1475)=0,"PENDENTE","EM ANDAMENTO"))))))</f>
        <v/>
      </c>
      <c r="C1475" s="3">
        <f>IF(D1475="","",IF(V1475=0,"🟢 OK",IF(D1475&lt;corte,"⚪ HISTÓRICO (sem baixa)",IF(AND(ISNUMBER(R1475),R1475&lt;TODAY()),"🔴 PRAZO VENCIDO",IF(AND(OR(N1475="PENDENTE",N1475="PARCIAL"),D1475&lt;TODAY()-1),"🔴 EMBARQUE ATRASADO",IF(AND(N1475="REALIZADO",M1475="PENDENTE"),"🟡 EMBARCADO SEM FATURAR",IF(AND(P1475&lt;&gt;"",S1475="",OR(Q1475="",R1475="")),"🟡 PENDÊNCIA SEM RESPONSÁVEL/PRAZO",IF(AND(ISNUMBER(R1475),R1475=TODAY()),"🟡 VENCE HOJE",IF(AND(P1475&lt;&gt;"",S1475=""),"🟡 PENDÊNCIA ABERTA",IF(AND(N(J1475)&gt;0,N(K1475)&lt;J1475),"🟡 FALTA EXECUTAR",IF(OR(M1475="PENDENTE",M1475="PARCIAL"),"🟡 FATURAMENTO PENDENTE","🟡 EMBARQUE PENDENTE")))))))))))</f>
        <v/>
      </c>
      <c r="D1475" s="4" t="n"/>
      <c r="E1475" s="5" t="n"/>
      <c r="F1475" s="5" t="n"/>
      <c r="G1475" s="5" t="n"/>
      <c r="H1475" s="5" t="n"/>
      <c r="I1475" s="5" t="n"/>
      <c r="J1475" s="6" t="n"/>
      <c r="K1475" s="6" t="n"/>
      <c r="L1475" s="7">
        <f>IF(OR(D1475="",N(J1475)=0),"",MIN(1,N(K1475)/J1475))</f>
        <v/>
      </c>
      <c r="M1475" s="5" t="n"/>
      <c r="N1475" s="5" t="n"/>
      <c r="O1475" s="5" t="n"/>
      <c r="P1475" s="5" t="n"/>
      <c r="Q1475" s="5" t="n"/>
      <c r="R1475" s="4" t="n"/>
      <c r="S1475" s="4" t="n"/>
      <c r="T1475" s="5" t="n"/>
      <c r="U1475" s="8">
        <f>IF(AND(V1475=1,D1475&lt;&gt;""),IF(D1475&gt;=corte,TODAY()-D1475,""),"")</f>
        <v/>
      </c>
      <c r="V1475" s="8">
        <f>IF(D1475="",0,IF(OR(AND(P1475&lt;&gt;"",S1475=""),AND(N(J1475)&gt;0,N(K1475)&lt;J1475),OR(M1475="PENDENTE",M1475="PARCIAL"),OR(N1475="PENDENTE",N1475="PARCIAL")),1,0))</f>
        <v/>
      </c>
      <c r="W1475" s="8">
        <f>IF(AND(V1475=1,D1475&lt;&gt;""),IF(D1475&gt;=corte,(B1475="CRÍTICO")*1E9+(100000-D1475)*10000+10000-ROW(),""),"")</f>
        <v/>
      </c>
      <c r="X1475" s="8">
        <f>IF(AND(V1475=1,D1475=pas_data,E1475=pas_turno),10000-ROW(),"")</f>
        <v/>
      </c>
    </row>
    <row r="1476">
      <c r="A1476" s="3">
        <f>IF(D1476="","","TT-"&amp;TEXT(ROW()-1,"00000"))</f>
        <v/>
      </c>
      <c r="B1476" s="3">
        <f>IF(D1476="","",IF(V1476=0,"CONCLUÍDO",IF(D1476&lt;corte,"HISTÓRICO",IF(OR(AND(ISNUMBER(R1476),R1476&lt;TODAY()),AND(OR(N1476="PENDENTE",N1476="PARCIAL"),D1476&lt;TODAY()-1)),"CRÍTICO",IF(OR(AND(P1476&lt;&gt;"",S1476=""),AND(N1476="REALIZADO",M1476="PENDENTE"),AND(ISNUMBER(R1476),R1476=TODAY())),"ATENÇÃO",IF(N(K1476)=0,"PENDENTE","EM ANDAMENTO"))))))</f>
        <v/>
      </c>
      <c r="C1476" s="3">
        <f>IF(D1476="","",IF(V1476=0,"🟢 OK",IF(D1476&lt;corte,"⚪ HISTÓRICO (sem baixa)",IF(AND(ISNUMBER(R1476),R1476&lt;TODAY()),"🔴 PRAZO VENCIDO",IF(AND(OR(N1476="PENDENTE",N1476="PARCIAL"),D1476&lt;TODAY()-1),"🔴 EMBARQUE ATRASADO",IF(AND(N1476="REALIZADO",M1476="PENDENTE"),"🟡 EMBARCADO SEM FATURAR",IF(AND(P1476&lt;&gt;"",S1476="",OR(Q1476="",R1476="")),"🟡 PENDÊNCIA SEM RESPONSÁVEL/PRAZO",IF(AND(ISNUMBER(R1476),R1476=TODAY()),"🟡 VENCE HOJE",IF(AND(P1476&lt;&gt;"",S1476=""),"🟡 PENDÊNCIA ABERTA",IF(AND(N(J1476)&gt;0,N(K1476)&lt;J1476),"🟡 FALTA EXECUTAR",IF(OR(M1476="PENDENTE",M1476="PARCIAL"),"🟡 FATURAMENTO PENDENTE","🟡 EMBARQUE PENDENTE")))))))))))</f>
        <v/>
      </c>
      <c r="D1476" s="4" t="n"/>
      <c r="E1476" s="5" t="n"/>
      <c r="F1476" s="5" t="n"/>
      <c r="G1476" s="5" t="n"/>
      <c r="H1476" s="5" t="n"/>
      <c r="I1476" s="5" t="n"/>
      <c r="J1476" s="6" t="n"/>
      <c r="K1476" s="6" t="n"/>
      <c r="L1476" s="7">
        <f>IF(OR(D1476="",N(J1476)=0),"",MIN(1,N(K1476)/J1476))</f>
        <v/>
      </c>
      <c r="M1476" s="5" t="n"/>
      <c r="N1476" s="5" t="n"/>
      <c r="O1476" s="5" t="n"/>
      <c r="P1476" s="5" t="n"/>
      <c r="Q1476" s="5" t="n"/>
      <c r="R1476" s="4" t="n"/>
      <c r="S1476" s="4" t="n"/>
      <c r="T1476" s="5" t="n"/>
      <c r="U1476" s="8">
        <f>IF(AND(V1476=1,D1476&lt;&gt;""),IF(D1476&gt;=corte,TODAY()-D1476,""),"")</f>
        <v/>
      </c>
      <c r="V1476" s="8">
        <f>IF(D1476="",0,IF(OR(AND(P1476&lt;&gt;"",S1476=""),AND(N(J1476)&gt;0,N(K1476)&lt;J1476),OR(M1476="PENDENTE",M1476="PARCIAL"),OR(N1476="PENDENTE",N1476="PARCIAL")),1,0))</f>
        <v/>
      </c>
      <c r="W1476" s="8">
        <f>IF(AND(V1476=1,D1476&lt;&gt;""),IF(D1476&gt;=corte,(B1476="CRÍTICO")*1E9+(100000-D1476)*10000+10000-ROW(),""),"")</f>
        <v/>
      </c>
      <c r="X1476" s="8">
        <f>IF(AND(V1476=1,D1476=pas_data,E1476=pas_turno),10000-ROW(),"")</f>
        <v/>
      </c>
    </row>
    <row r="1477">
      <c r="A1477" s="3">
        <f>IF(D1477="","","TT-"&amp;TEXT(ROW()-1,"00000"))</f>
        <v/>
      </c>
      <c r="B1477" s="3">
        <f>IF(D1477="","",IF(V1477=0,"CONCLUÍDO",IF(D1477&lt;corte,"HISTÓRICO",IF(OR(AND(ISNUMBER(R1477),R1477&lt;TODAY()),AND(OR(N1477="PENDENTE",N1477="PARCIAL"),D1477&lt;TODAY()-1)),"CRÍTICO",IF(OR(AND(P1477&lt;&gt;"",S1477=""),AND(N1477="REALIZADO",M1477="PENDENTE"),AND(ISNUMBER(R1477),R1477=TODAY())),"ATENÇÃO",IF(N(K1477)=0,"PENDENTE","EM ANDAMENTO"))))))</f>
        <v/>
      </c>
      <c r="C1477" s="3">
        <f>IF(D1477="","",IF(V1477=0,"🟢 OK",IF(D1477&lt;corte,"⚪ HISTÓRICO (sem baixa)",IF(AND(ISNUMBER(R1477),R1477&lt;TODAY()),"🔴 PRAZO VENCIDO",IF(AND(OR(N1477="PENDENTE",N1477="PARCIAL"),D1477&lt;TODAY()-1),"🔴 EMBARQUE ATRASADO",IF(AND(N1477="REALIZADO",M1477="PENDENTE"),"🟡 EMBARCADO SEM FATURAR",IF(AND(P1477&lt;&gt;"",S1477="",OR(Q1477="",R1477="")),"🟡 PENDÊNCIA SEM RESPONSÁVEL/PRAZO",IF(AND(ISNUMBER(R1477),R1477=TODAY()),"🟡 VENCE HOJE",IF(AND(P1477&lt;&gt;"",S1477=""),"🟡 PENDÊNCIA ABERTA",IF(AND(N(J1477)&gt;0,N(K1477)&lt;J1477),"🟡 FALTA EXECUTAR",IF(OR(M1477="PENDENTE",M1477="PARCIAL"),"🟡 FATURAMENTO PENDENTE","🟡 EMBARQUE PENDENTE")))))))))))</f>
        <v/>
      </c>
      <c r="D1477" s="4" t="n"/>
      <c r="E1477" s="5" t="n"/>
      <c r="F1477" s="5" t="n"/>
      <c r="G1477" s="5" t="n"/>
      <c r="H1477" s="5" t="n"/>
      <c r="I1477" s="5" t="n"/>
      <c r="J1477" s="6" t="n"/>
      <c r="K1477" s="6" t="n"/>
      <c r="L1477" s="7">
        <f>IF(OR(D1477="",N(J1477)=0),"",MIN(1,N(K1477)/J1477))</f>
        <v/>
      </c>
      <c r="M1477" s="5" t="n"/>
      <c r="N1477" s="5" t="n"/>
      <c r="O1477" s="5" t="n"/>
      <c r="P1477" s="5" t="n"/>
      <c r="Q1477" s="5" t="n"/>
      <c r="R1477" s="4" t="n"/>
      <c r="S1477" s="4" t="n"/>
      <c r="T1477" s="5" t="n"/>
      <c r="U1477" s="8">
        <f>IF(AND(V1477=1,D1477&lt;&gt;""),IF(D1477&gt;=corte,TODAY()-D1477,""),"")</f>
        <v/>
      </c>
      <c r="V1477" s="8">
        <f>IF(D1477="",0,IF(OR(AND(P1477&lt;&gt;"",S1477=""),AND(N(J1477)&gt;0,N(K1477)&lt;J1477),OR(M1477="PENDENTE",M1477="PARCIAL"),OR(N1477="PENDENTE",N1477="PARCIAL")),1,0))</f>
        <v/>
      </c>
      <c r="W1477" s="8">
        <f>IF(AND(V1477=1,D1477&lt;&gt;""),IF(D1477&gt;=corte,(B1477="CRÍTICO")*1E9+(100000-D1477)*10000+10000-ROW(),""),"")</f>
        <v/>
      </c>
      <c r="X1477" s="8">
        <f>IF(AND(V1477=1,D1477=pas_data,E1477=pas_turno),10000-ROW(),"")</f>
        <v/>
      </c>
    </row>
    <row r="1478">
      <c r="A1478" s="3">
        <f>IF(D1478="","","TT-"&amp;TEXT(ROW()-1,"00000"))</f>
        <v/>
      </c>
      <c r="B1478" s="3">
        <f>IF(D1478="","",IF(V1478=0,"CONCLUÍDO",IF(D1478&lt;corte,"HISTÓRICO",IF(OR(AND(ISNUMBER(R1478),R1478&lt;TODAY()),AND(OR(N1478="PENDENTE",N1478="PARCIAL"),D1478&lt;TODAY()-1)),"CRÍTICO",IF(OR(AND(P1478&lt;&gt;"",S1478=""),AND(N1478="REALIZADO",M1478="PENDENTE"),AND(ISNUMBER(R1478),R1478=TODAY())),"ATENÇÃO",IF(N(K1478)=0,"PENDENTE","EM ANDAMENTO"))))))</f>
        <v/>
      </c>
      <c r="C1478" s="3">
        <f>IF(D1478="","",IF(V1478=0,"🟢 OK",IF(D1478&lt;corte,"⚪ HISTÓRICO (sem baixa)",IF(AND(ISNUMBER(R1478),R1478&lt;TODAY()),"🔴 PRAZO VENCIDO",IF(AND(OR(N1478="PENDENTE",N1478="PARCIAL"),D1478&lt;TODAY()-1),"🔴 EMBARQUE ATRASADO",IF(AND(N1478="REALIZADO",M1478="PENDENTE"),"🟡 EMBARCADO SEM FATURAR",IF(AND(P1478&lt;&gt;"",S1478="",OR(Q1478="",R1478="")),"🟡 PENDÊNCIA SEM RESPONSÁVEL/PRAZO",IF(AND(ISNUMBER(R1478),R1478=TODAY()),"🟡 VENCE HOJE",IF(AND(P1478&lt;&gt;"",S1478=""),"🟡 PENDÊNCIA ABERTA",IF(AND(N(J1478)&gt;0,N(K1478)&lt;J1478),"🟡 FALTA EXECUTAR",IF(OR(M1478="PENDENTE",M1478="PARCIAL"),"🟡 FATURAMENTO PENDENTE","🟡 EMBARQUE PENDENTE")))))))))))</f>
        <v/>
      </c>
      <c r="D1478" s="4" t="n"/>
      <c r="E1478" s="5" t="n"/>
      <c r="F1478" s="5" t="n"/>
      <c r="G1478" s="5" t="n"/>
      <c r="H1478" s="5" t="n"/>
      <c r="I1478" s="5" t="n"/>
      <c r="J1478" s="6" t="n"/>
      <c r="K1478" s="6" t="n"/>
      <c r="L1478" s="7">
        <f>IF(OR(D1478="",N(J1478)=0),"",MIN(1,N(K1478)/J1478))</f>
        <v/>
      </c>
      <c r="M1478" s="5" t="n"/>
      <c r="N1478" s="5" t="n"/>
      <c r="O1478" s="5" t="n"/>
      <c r="P1478" s="5" t="n"/>
      <c r="Q1478" s="5" t="n"/>
      <c r="R1478" s="4" t="n"/>
      <c r="S1478" s="4" t="n"/>
      <c r="T1478" s="5" t="n"/>
      <c r="U1478" s="8">
        <f>IF(AND(V1478=1,D1478&lt;&gt;""),IF(D1478&gt;=corte,TODAY()-D1478,""),"")</f>
        <v/>
      </c>
      <c r="V1478" s="8">
        <f>IF(D1478="",0,IF(OR(AND(P1478&lt;&gt;"",S1478=""),AND(N(J1478)&gt;0,N(K1478)&lt;J1478),OR(M1478="PENDENTE",M1478="PARCIAL"),OR(N1478="PENDENTE",N1478="PARCIAL")),1,0))</f>
        <v/>
      </c>
      <c r="W1478" s="8">
        <f>IF(AND(V1478=1,D1478&lt;&gt;""),IF(D1478&gt;=corte,(B1478="CRÍTICO")*1E9+(100000-D1478)*10000+10000-ROW(),""),"")</f>
        <v/>
      </c>
      <c r="X1478" s="8">
        <f>IF(AND(V1478=1,D1478=pas_data,E1478=pas_turno),10000-ROW(),"")</f>
        <v/>
      </c>
    </row>
    <row r="1479">
      <c r="A1479" s="3">
        <f>IF(D1479="","","TT-"&amp;TEXT(ROW()-1,"00000"))</f>
        <v/>
      </c>
      <c r="B1479" s="3">
        <f>IF(D1479="","",IF(V1479=0,"CONCLUÍDO",IF(D1479&lt;corte,"HISTÓRICO",IF(OR(AND(ISNUMBER(R1479),R1479&lt;TODAY()),AND(OR(N1479="PENDENTE",N1479="PARCIAL"),D1479&lt;TODAY()-1)),"CRÍTICO",IF(OR(AND(P1479&lt;&gt;"",S1479=""),AND(N1479="REALIZADO",M1479="PENDENTE"),AND(ISNUMBER(R1479),R1479=TODAY())),"ATENÇÃO",IF(N(K1479)=0,"PENDENTE","EM ANDAMENTO"))))))</f>
        <v/>
      </c>
      <c r="C1479" s="3">
        <f>IF(D1479="","",IF(V1479=0,"🟢 OK",IF(D1479&lt;corte,"⚪ HISTÓRICO (sem baixa)",IF(AND(ISNUMBER(R1479),R1479&lt;TODAY()),"🔴 PRAZO VENCIDO",IF(AND(OR(N1479="PENDENTE",N1479="PARCIAL"),D1479&lt;TODAY()-1),"🔴 EMBARQUE ATRASADO",IF(AND(N1479="REALIZADO",M1479="PENDENTE"),"🟡 EMBARCADO SEM FATURAR",IF(AND(P1479&lt;&gt;"",S1479="",OR(Q1479="",R1479="")),"🟡 PENDÊNCIA SEM RESPONSÁVEL/PRAZO",IF(AND(ISNUMBER(R1479),R1479=TODAY()),"🟡 VENCE HOJE",IF(AND(P1479&lt;&gt;"",S1479=""),"🟡 PENDÊNCIA ABERTA",IF(AND(N(J1479)&gt;0,N(K1479)&lt;J1479),"🟡 FALTA EXECUTAR",IF(OR(M1479="PENDENTE",M1479="PARCIAL"),"🟡 FATURAMENTO PENDENTE","🟡 EMBARQUE PENDENTE")))))))))))</f>
        <v/>
      </c>
      <c r="D1479" s="4" t="n"/>
      <c r="E1479" s="5" t="n"/>
      <c r="F1479" s="5" t="n"/>
      <c r="G1479" s="5" t="n"/>
      <c r="H1479" s="5" t="n"/>
      <c r="I1479" s="5" t="n"/>
      <c r="J1479" s="6" t="n"/>
      <c r="K1479" s="6" t="n"/>
      <c r="L1479" s="7">
        <f>IF(OR(D1479="",N(J1479)=0),"",MIN(1,N(K1479)/J1479))</f>
        <v/>
      </c>
      <c r="M1479" s="5" t="n"/>
      <c r="N1479" s="5" t="n"/>
      <c r="O1479" s="5" t="n"/>
      <c r="P1479" s="5" t="n"/>
      <c r="Q1479" s="5" t="n"/>
      <c r="R1479" s="4" t="n"/>
      <c r="S1479" s="4" t="n"/>
      <c r="T1479" s="5" t="n"/>
      <c r="U1479" s="8">
        <f>IF(AND(V1479=1,D1479&lt;&gt;""),IF(D1479&gt;=corte,TODAY()-D1479,""),"")</f>
        <v/>
      </c>
      <c r="V1479" s="8">
        <f>IF(D1479="",0,IF(OR(AND(P1479&lt;&gt;"",S1479=""),AND(N(J1479)&gt;0,N(K1479)&lt;J1479),OR(M1479="PENDENTE",M1479="PARCIAL"),OR(N1479="PENDENTE",N1479="PARCIAL")),1,0))</f>
        <v/>
      </c>
      <c r="W1479" s="8">
        <f>IF(AND(V1479=1,D1479&lt;&gt;""),IF(D1479&gt;=corte,(B1479="CRÍTICO")*1E9+(100000-D1479)*10000+10000-ROW(),""),"")</f>
        <v/>
      </c>
      <c r="X1479" s="8">
        <f>IF(AND(V1479=1,D1479=pas_data,E1479=pas_turno),10000-ROW(),"")</f>
        <v/>
      </c>
    </row>
    <row r="1480">
      <c r="A1480" s="3">
        <f>IF(D1480="","","TT-"&amp;TEXT(ROW()-1,"00000"))</f>
        <v/>
      </c>
      <c r="B1480" s="3">
        <f>IF(D1480="","",IF(V1480=0,"CONCLUÍDO",IF(D1480&lt;corte,"HISTÓRICO",IF(OR(AND(ISNUMBER(R1480),R1480&lt;TODAY()),AND(OR(N1480="PENDENTE",N1480="PARCIAL"),D1480&lt;TODAY()-1)),"CRÍTICO",IF(OR(AND(P1480&lt;&gt;"",S1480=""),AND(N1480="REALIZADO",M1480="PENDENTE"),AND(ISNUMBER(R1480),R1480=TODAY())),"ATENÇÃO",IF(N(K1480)=0,"PENDENTE","EM ANDAMENTO"))))))</f>
        <v/>
      </c>
      <c r="C1480" s="3">
        <f>IF(D1480="","",IF(V1480=0,"🟢 OK",IF(D1480&lt;corte,"⚪ HISTÓRICO (sem baixa)",IF(AND(ISNUMBER(R1480),R1480&lt;TODAY()),"🔴 PRAZO VENCIDO",IF(AND(OR(N1480="PENDENTE",N1480="PARCIAL"),D1480&lt;TODAY()-1),"🔴 EMBARQUE ATRASADO",IF(AND(N1480="REALIZADO",M1480="PENDENTE"),"🟡 EMBARCADO SEM FATURAR",IF(AND(P1480&lt;&gt;"",S1480="",OR(Q1480="",R1480="")),"🟡 PENDÊNCIA SEM RESPONSÁVEL/PRAZO",IF(AND(ISNUMBER(R1480),R1480=TODAY()),"🟡 VENCE HOJE",IF(AND(P1480&lt;&gt;"",S1480=""),"🟡 PENDÊNCIA ABERTA",IF(AND(N(J1480)&gt;0,N(K1480)&lt;J1480),"🟡 FALTA EXECUTAR",IF(OR(M1480="PENDENTE",M1480="PARCIAL"),"🟡 FATURAMENTO PENDENTE","🟡 EMBARQUE PENDENTE")))))))))))</f>
        <v/>
      </c>
      <c r="D1480" s="4" t="n"/>
      <c r="E1480" s="5" t="n"/>
      <c r="F1480" s="5" t="n"/>
      <c r="G1480" s="5" t="n"/>
      <c r="H1480" s="5" t="n"/>
      <c r="I1480" s="5" t="n"/>
      <c r="J1480" s="6" t="n"/>
      <c r="K1480" s="6" t="n"/>
      <c r="L1480" s="7">
        <f>IF(OR(D1480="",N(J1480)=0),"",MIN(1,N(K1480)/J1480))</f>
        <v/>
      </c>
      <c r="M1480" s="5" t="n"/>
      <c r="N1480" s="5" t="n"/>
      <c r="O1480" s="5" t="n"/>
      <c r="P1480" s="5" t="n"/>
      <c r="Q1480" s="5" t="n"/>
      <c r="R1480" s="4" t="n"/>
      <c r="S1480" s="4" t="n"/>
      <c r="T1480" s="5" t="n"/>
      <c r="U1480" s="8">
        <f>IF(AND(V1480=1,D1480&lt;&gt;""),IF(D1480&gt;=corte,TODAY()-D1480,""),"")</f>
        <v/>
      </c>
      <c r="V1480" s="8">
        <f>IF(D1480="",0,IF(OR(AND(P1480&lt;&gt;"",S1480=""),AND(N(J1480)&gt;0,N(K1480)&lt;J1480),OR(M1480="PENDENTE",M1480="PARCIAL"),OR(N1480="PENDENTE",N1480="PARCIAL")),1,0))</f>
        <v/>
      </c>
      <c r="W1480" s="8">
        <f>IF(AND(V1480=1,D1480&lt;&gt;""),IF(D1480&gt;=corte,(B1480="CRÍTICO")*1E9+(100000-D1480)*10000+10000-ROW(),""),"")</f>
        <v/>
      </c>
      <c r="X1480" s="8">
        <f>IF(AND(V1480=1,D1480=pas_data,E1480=pas_turno),10000-ROW(),"")</f>
        <v/>
      </c>
    </row>
    <row r="1481">
      <c r="A1481" s="3">
        <f>IF(D1481="","","TT-"&amp;TEXT(ROW()-1,"00000"))</f>
        <v/>
      </c>
      <c r="B1481" s="3">
        <f>IF(D1481="","",IF(V1481=0,"CONCLUÍDO",IF(D1481&lt;corte,"HISTÓRICO",IF(OR(AND(ISNUMBER(R1481),R1481&lt;TODAY()),AND(OR(N1481="PENDENTE",N1481="PARCIAL"),D1481&lt;TODAY()-1)),"CRÍTICO",IF(OR(AND(P1481&lt;&gt;"",S1481=""),AND(N1481="REALIZADO",M1481="PENDENTE"),AND(ISNUMBER(R1481),R1481=TODAY())),"ATENÇÃO",IF(N(K1481)=0,"PENDENTE","EM ANDAMENTO"))))))</f>
        <v/>
      </c>
      <c r="C1481" s="3">
        <f>IF(D1481="","",IF(V1481=0,"🟢 OK",IF(D1481&lt;corte,"⚪ HISTÓRICO (sem baixa)",IF(AND(ISNUMBER(R1481),R1481&lt;TODAY()),"🔴 PRAZO VENCIDO",IF(AND(OR(N1481="PENDENTE",N1481="PARCIAL"),D1481&lt;TODAY()-1),"🔴 EMBARQUE ATRASADO",IF(AND(N1481="REALIZADO",M1481="PENDENTE"),"🟡 EMBARCADO SEM FATURAR",IF(AND(P1481&lt;&gt;"",S1481="",OR(Q1481="",R1481="")),"🟡 PENDÊNCIA SEM RESPONSÁVEL/PRAZO",IF(AND(ISNUMBER(R1481),R1481=TODAY()),"🟡 VENCE HOJE",IF(AND(P1481&lt;&gt;"",S1481=""),"🟡 PENDÊNCIA ABERTA",IF(AND(N(J1481)&gt;0,N(K1481)&lt;J1481),"🟡 FALTA EXECUTAR",IF(OR(M1481="PENDENTE",M1481="PARCIAL"),"🟡 FATURAMENTO PENDENTE","🟡 EMBARQUE PENDENTE")))))))))))</f>
        <v/>
      </c>
      <c r="D1481" s="4" t="n"/>
      <c r="E1481" s="5" t="n"/>
      <c r="F1481" s="5" t="n"/>
      <c r="G1481" s="5" t="n"/>
      <c r="H1481" s="5" t="n"/>
      <c r="I1481" s="5" t="n"/>
      <c r="J1481" s="6" t="n"/>
      <c r="K1481" s="6" t="n"/>
      <c r="L1481" s="7">
        <f>IF(OR(D1481="",N(J1481)=0),"",MIN(1,N(K1481)/J1481))</f>
        <v/>
      </c>
      <c r="M1481" s="5" t="n"/>
      <c r="N1481" s="5" t="n"/>
      <c r="O1481" s="5" t="n"/>
      <c r="P1481" s="5" t="n"/>
      <c r="Q1481" s="5" t="n"/>
      <c r="R1481" s="4" t="n"/>
      <c r="S1481" s="4" t="n"/>
      <c r="T1481" s="5" t="n"/>
      <c r="U1481" s="8">
        <f>IF(AND(V1481=1,D1481&lt;&gt;""),IF(D1481&gt;=corte,TODAY()-D1481,""),"")</f>
        <v/>
      </c>
      <c r="V1481" s="8">
        <f>IF(D1481="",0,IF(OR(AND(P1481&lt;&gt;"",S1481=""),AND(N(J1481)&gt;0,N(K1481)&lt;J1481),OR(M1481="PENDENTE",M1481="PARCIAL"),OR(N1481="PENDENTE",N1481="PARCIAL")),1,0))</f>
        <v/>
      </c>
      <c r="W1481" s="8">
        <f>IF(AND(V1481=1,D1481&lt;&gt;""),IF(D1481&gt;=corte,(B1481="CRÍTICO")*1E9+(100000-D1481)*10000+10000-ROW(),""),"")</f>
        <v/>
      </c>
      <c r="X1481" s="8">
        <f>IF(AND(V1481=1,D1481=pas_data,E1481=pas_turno),10000-ROW(),"")</f>
        <v/>
      </c>
    </row>
    <row r="1482">
      <c r="A1482" s="3">
        <f>IF(D1482="","","TT-"&amp;TEXT(ROW()-1,"00000"))</f>
        <v/>
      </c>
      <c r="B1482" s="3">
        <f>IF(D1482="","",IF(V1482=0,"CONCLUÍDO",IF(D1482&lt;corte,"HISTÓRICO",IF(OR(AND(ISNUMBER(R1482),R1482&lt;TODAY()),AND(OR(N1482="PENDENTE",N1482="PARCIAL"),D1482&lt;TODAY()-1)),"CRÍTICO",IF(OR(AND(P1482&lt;&gt;"",S1482=""),AND(N1482="REALIZADO",M1482="PENDENTE"),AND(ISNUMBER(R1482),R1482=TODAY())),"ATENÇÃO",IF(N(K1482)=0,"PENDENTE","EM ANDAMENTO"))))))</f>
        <v/>
      </c>
      <c r="C1482" s="3">
        <f>IF(D1482="","",IF(V1482=0,"🟢 OK",IF(D1482&lt;corte,"⚪ HISTÓRICO (sem baixa)",IF(AND(ISNUMBER(R1482),R1482&lt;TODAY()),"🔴 PRAZO VENCIDO",IF(AND(OR(N1482="PENDENTE",N1482="PARCIAL"),D1482&lt;TODAY()-1),"🔴 EMBARQUE ATRASADO",IF(AND(N1482="REALIZADO",M1482="PENDENTE"),"🟡 EMBARCADO SEM FATURAR",IF(AND(P1482&lt;&gt;"",S1482="",OR(Q1482="",R1482="")),"🟡 PENDÊNCIA SEM RESPONSÁVEL/PRAZO",IF(AND(ISNUMBER(R1482),R1482=TODAY()),"🟡 VENCE HOJE",IF(AND(P1482&lt;&gt;"",S1482=""),"🟡 PENDÊNCIA ABERTA",IF(AND(N(J1482)&gt;0,N(K1482)&lt;J1482),"🟡 FALTA EXECUTAR",IF(OR(M1482="PENDENTE",M1482="PARCIAL"),"🟡 FATURAMENTO PENDENTE","🟡 EMBARQUE PENDENTE")))))))))))</f>
        <v/>
      </c>
      <c r="D1482" s="4" t="n"/>
      <c r="E1482" s="5" t="n"/>
      <c r="F1482" s="5" t="n"/>
      <c r="G1482" s="5" t="n"/>
      <c r="H1482" s="5" t="n"/>
      <c r="I1482" s="5" t="n"/>
      <c r="J1482" s="6" t="n"/>
      <c r="K1482" s="6" t="n"/>
      <c r="L1482" s="7">
        <f>IF(OR(D1482="",N(J1482)=0),"",MIN(1,N(K1482)/J1482))</f>
        <v/>
      </c>
      <c r="M1482" s="5" t="n"/>
      <c r="N1482" s="5" t="n"/>
      <c r="O1482" s="5" t="n"/>
      <c r="P1482" s="5" t="n"/>
      <c r="Q1482" s="5" t="n"/>
      <c r="R1482" s="4" t="n"/>
      <c r="S1482" s="4" t="n"/>
      <c r="T1482" s="5" t="n"/>
      <c r="U1482" s="8">
        <f>IF(AND(V1482=1,D1482&lt;&gt;""),IF(D1482&gt;=corte,TODAY()-D1482,""),"")</f>
        <v/>
      </c>
      <c r="V1482" s="8">
        <f>IF(D1482="",0,IF(OR(AND(P1482&lt;&gt;"",S1482=""),AND(N(J1482)&gt;0,N(K1482)&lt;J1482),OR(M1482="PENDENTE",M1482="PARCIAL"),OR(N1482="PENDENTE",N1482="PARCIAL")),1,0))</f>
        <v/>
      </c>
      <c r="W1482" s="8">
        <f>IF(AND(V1482=1,D1482&lt;&gt;""),IF(D1482&gt;=corte,(B1482="CRÍTICO")*1E9+(100000-D1482)*10000+10000-ROW(),""),"")</f>
        <v/>
      </c>
      <c r="X1482" s="8">
        <f>IF(AND(V1482=1,D1482=pas_data,E1482=pas_turno),10000-ROW(),"")</f>
        <v/>
      </c>
    </row>
    <row r="1483">
      <c r="A1483" s="3">
        <f>IF(D1483="","","TT-"&amp;TEXT(ROW()-1,"00000"))</f>
        <v/>
      </c>
      <c r="B1483" s="3">
        <f>IF(D1483="","",IF(V1483=0,"CONCLUÍDO",IF(D1483&lt;corte,"HISTÓRICO",IF(OR(AND(ISNUMBER(R1483),R1483&lt;TODAY()),AND(OR(N1483="PENDENTE",N1483="PARCIAL"),D1483&lt;TODAY()-1)),"CRÍTICO",IF(OR(AND(P1483&lt;&gt;"",S1483=""),AND(N1483="REALIZADO",M1483="PENDENTE"),AND(ISNUMBER(R1483),R1483=TODAY())),"ATENÇÃO",IF(N(K1483)=0,"PENDENTE","EM ANDAMENTO"))))))</f>
        <v/>
      </c>
      <c r="C1483" s="3">
        <f>IF(D1483="","",IF(V1483=0,"🟢 OK",IF(D1483&lt;corte,"⚪ HISTÓRICO (sem baixa)",IF(AND(ISNUMBER(R1483),R1483&lt;TODAY()),"🔴 PRAZO VENCIDO",IF(AND(OR(N1483="PENDENTE",N1483="PARCIAL"),D1483&lt;TODAY()-1),"🔴 EMBARQUE ATRASADO",IF(AND(N1483="REALIZADO",M1483="PENDENTE"),"🟡 EMBARCADO SEM FATURAR",IF(AND(P1483&lt;&gt;"",S1483="",OR(Q1483="",R1483="")),"🟡 PENDÊNCIA SEM RESPONSÁVEL/PRAZO",IF(AND(ISNUMBER(R1483),R1483=TODAY()),"🟡 VENCE HOJE",IF(AND(P1483&lt;&gt;"",S1483=""),"🟡 PENDÊNCIA ABERTA",IF(AND(N(J1483)&gt;0,N(K1483)&lt;J1483),"🟡 FALTA EXECUTAR",IF(OR(M1483="PENDENTE",M1483="PARCIAL"),"🟡 FATURAMENTO PENDENTE","🟡 EMBARQUE PENDENTE")))))))))))</f>
        <v/>
      </c>
      <c r="D1483" s="4" t="n"/>
      <c r="E1483" s="5" t="n"/>
      <c r="F1483" s="5" t="n"/>
      <c r="G1483" s="5" t="n"/>
      <c r="H1483" s="5" t="n"/>
      <c r="I1483" s="5" t="n"/>
      <c r="J1483" s="6" t="n"/>
      <c r="K1483" s="6" t="n"/>
      <c r="L1483" s="7">
        <f>IF(OR(D1483="",N(J1483)=0),"",MIN(1,N(K1483)/J1483))</f>
        <v/>
      </c>
      <c r="M1483" s="5" t="n"/>
      <c r="N1483" s="5" t="n"/>
      <c r="O1483" s="5" t="n"/>
      <c r="P1483" s="5" t="n"/>
      <c r="Q1483" s="5" t="n"/>
      <c r="R1483" s="4" t="n"/>
      <c r="S1483" s="4" t="n"/>
      <c r="T1483" s="5" t="n"/>
      <c r="U1483" s="8">
        <f>IF(AND(V1483=1,D1483&lt;&gt;""),IF(D1483&gt;=corte,TODAY()-D1483,""),"")</f>
        <v/>
      </c>
      <c r="V1483" s="8">
        <f>IF(D1483="",0,IF(OR(AND(P1483&lt;&gt;"",S1483=""),AND(N(J1483)&gt;0,N(K1483)&lt;J1483),OR(M1483="PENDENTE",M1483="PARCIAL"),OR(N1483="PENDENTE",N1483="PARCIAL")),1,0))</f>
        <v/>
      </c>
      <c r="W1483" s="8">
        <f>IF(AND(V1483=1,D1483&lt;&gt;""),IF(D1483&gt;=corte,(B1483="CRÍTICO")*1E9+(100000-D1483)*10000+10000-ROW(),""),"")</f>
        <v/>
      </c>
      <c r="X1483" s="8">
        <f>IF(AND(V1483=1,D1483=pas_data,E1483=pas_turno),10000-ROW(),"")</f>
        <v/>
      </c>
    </row>
    <row r="1484">
      <c r="A1484" s="3">
        <f>IF(D1484="","","TT-"&amp;TEXT(ROW()-1,"00000"))</f>
        <v/>
      </c>
      <c r="B1484" s="3">
        <f>IF(D1484="","",IF(V1484=0,"CONCLUÍDO",IF(D1484&lt;corte,"HISTÓRICO",IF(OR(AND(ISNUMBER(R1484),R1484&lt;TODAY()),AND(OR(N1484="PENDENTE",N1484="PARCIAL"),D1484&lt;TODAY()-1)),"CRÍTICO",IF(OR(AND(P1484&lt;&gt;"",S1484=""),AND(N1484="REALIZADO",M1484="PENDENTE"),AND(ISNUMBER(R1484),R1484=TODAY())),"ATENÇÃO",IF(N(K1484)=0,"PENDENTE","EM ANDAMENTO"))))))</f>
        <v/>
      </c>
      <c r="C1484" s="3">
        <f>IF(D1484="","",IF(V1484=0,"🟢 OK",IF(D1484&lt;corte,"⚪ HISTÓRICO (sem baixa)",IF(AND(ISNUMBER(R1484),R1484&lt;TODAY()),"🔴 PRAZO VENCIDO",IF(AND(OR(N1484="PENDENTE",N1484="PARCIAL"),D1484&lt;TODAY()-1),"🔴 EMBARQUE ATRASADO",IF(AND(N1484="REALIZADO",M1484="PENDENTE"),"🟡 EMBARCADO SEM FATURAR",IF(AND(P1484&lt;&gt;"",S1484="",OR(Q1484="",R1484="")),"🟡 PENDÊNCIA SEM RESPONSÁVEL/PRAZO",IF(AND(ISNUMBER(R1484),R1484=TODAY()),"🟡 VENCE HOJE",IF(AND(P1484&lt;&gt;"",S1484=""),"🟡 PENDÊNCIA ABERTA",IF(AND(N(J1484)&gt;0,N(K1484)&lt;J1484),"🟡 FALTA EXECUTAR",IF(OR(M1484="PENDENTE",M1484="PARCIAL"),"🟡 FATURAMENTO PENDENTE","🟡 EMBARQUE PENDENTE")))))))))))</f>
        <v/>
      </c>
      <c r="D1484" s="4" t="n"/>
      <c r="E1484" s="5" t="n"/>
      <c r="F1484" s="5" t="n"/>
      <c r="G1484" s="5" t="n"/>
      <c r="H1484" s="5" t="n"/>
      <c r="I1484" s="5" t="n"/>
      <c r="J1484" s="6" t="n"/>
      <c r="K1484" s="6" t="n"/>
      <c r="L1484" s="7">
        <f>IF(OR(D1484="",N(J1484)=0),"",MIN(1,N(K1484)/J1484))</f>
        <v/>
      </c>
      <c r="M1484" s="5" t="n"/>
      <c r="N1484" s="5" t="n"/>
      <c r="O1484" s="5" t="n"/>
      <c r="P1484" s="5" t="n"/>
      <c r="Q1484" s="5" t="n"/>
      <c r="R1484" s="4" t="n"/>
      <c r="S1484" s="4" t="n"/>
      <c r="T1484" s="5" t="n"/>
      <c r="U1484" s="8">
        <f>IF(AND(V1484=1,D1484&lt;&gt;""),IF(D1484&gt;=corte,TODAY()-D1484,""),"")</f>
        <v/>
      </c>
      <c r="V1484" s="8">
        <f>IF(D1484="",0,IF(OR(AND(P1484&lt;&gt;"",S1484=""),AND(N(J1484)&gt;0,N(K1484)&lt;J1484),OR(M1484="PENDENTE",M1484="PARCIAL"),OR(N1484="PENDENTE",N1484="PARCIAL")),1,0))</f>
        <v/>
      </c>
      <c r="W1484" s="8">
        <f>IF(AND(V1484=1,D1484&lt;&gt;""),IF(D1484&gt;=corte,(B1484="CRÍTICO")*1E9+(100000-D1484)*10000+10000-ROW(),""),"")</f>
        <v/>
      </c>
      <c r="X1484" s="8">
        <f>IF(AND(V1484=1,D1484=pas_data,E1484=pas_turno),10000-ROW(),"")</f>
        <v/>
      </c>
    </row>
    <row r="1485">
      <c r="A1485" s="3">
        <f>IF(D1485="","","TT-"&amp;TEXT(ROW()-1,"00000"))</f>
        <v/>
      </c>
      <c r="B1485" s="3">
        <f>IF(D1485="","",IF(V1485=0,"CONCLUÍDO",IF(D1485&lt;corte,"HISTÓRICO",IF(OR(AND(ISNUMBER(R1485),R1485&lt;TODAY()),AND(OR(N1485="PENDENTE",N1485="PARCIAL"),D1485&lt;TODAY()-1)),"CRÍTICO",IF(OR(AND(P1485&lt;&gt;"",S1485=""),AND(N1485="REALIZADO",M1485="PENDENTE"),AND(ISNUMBER(R1485),R1485=TODAY())),"ATENÇÃO",IF(N(K1485)=0,"PENDENTE","EM ANDAMENTO"))))))</f>
        <v/>
      </c>
      <c r="C1485" s="3">
        <f>IF(D1485="","",IF(V1485=0,"🟢 OK",IF(D1485&lt;corte,"⚪ HISTÓRICO (sem baixa)",IF(AND(ISNUMBER(R1485),R1485&lt;TODAY()),"🔴 PRAZO VENCIDO",IF(AND(OR(N1485="PENDENTE",N1485="PARCIAL"),D1485&lt;TODAY()-1),"🔴 EMBARQUE ATRASADO",IF(AND(N1485="REALIZADO",M1485="PENDENTE"),"🟡 EMBARCADO SEM FATURAR",IF(AND(P1485&lt;&gt;"",S1485="",OR(Q1485="",R1485="")),"🟡 PENDÊNCIA SEM RESPONSÁVEL/PRAZO",IF(AND(ISNUMBER(R1485),R1485=TODAY()),"🟡 VENCE HOJE",IF(AND(P1485&lt;&gt;"",S1485=""),"🟡 PENDÊNCIA ABERTA",IF(AND(N(J1485)&gt;0,N(K1485)&lt;J1485),"🟡 FALTA EXECUTAR",IF(OR(M1485="PENDENTE",M1485="PARCIAL"),"🟡 FATURAMENTO PENDENTE","🟡 EMBARQUE PENDENTE")))))))))))</f>
        <v/>
      </c>
      <c r="D1485" s="4" t="n"/>
      <c r="E1485" s="5" t="n"/>
      <c r="F1485" s="5" t="n"/>
      <c r="G1485" s="5" t="n"/>
      <c r="H1485" s="5" t="n"/>
      <c r="I1485" s="5" t="n"/>
      <c r="J1485" s="6" t="n"/>
      <c r="K1485" s="6" t="n"/>
      <c r="L1485" s="7">
        <f>IF(OR(D1485="",N(J1485)=0),"",MIN(1,N(K1485)/J1485))</f>
        <v/>
      </c>
      <c r="M1485" s="5" t="n"/>
      <c r="N1485" s="5" t="n"/>
      <c r="O1485" s="5" t="n"/>
      <c r="P1485" s="5" t="n"/>
      <c r="Q1485" s="5" t="n"/>
      <c r="R1485" s="4" t="n"/>
      <c r="S1485" s="4" t="n"/>
      <c r="T1485" s="5" t="n"/>
      <c r="U1485" s="8">
        <f>IF(AND(V1485=1,D1485&lt;&gt;""),IF(D1485&gt;=corte,TODAY()-D1485,""),"")</f>
        <v/>
      </c>
      <c r="V1485" s="8">
        <f>IF(D1485="",0,IF(OR(AND(P1485&lt;&gt;"",S1485=""),AND(N(J1485)&gt;0,N(K1485)&lt;J1485),OR(M1485="PENDENTE",M1485="PARCIAL"),OR(N1485="PENDENTE",N1485="PARCIAL")),1,0))</f>
        <v/>
      </c>
      <c r="W1485" s="8">
        <f>IF(AND(V1485=1,D1485&lt;&gt;""),IF(D1485&gt;=corte,(B1485="CRÍTICO")*1E9+(100000-D1485)*10000+10000-ROW(),""),"")</f>
        <v/>
      </c>
      <c r="X1485" s="8">
        <f>IF(AND(V1485=1,D1485=pas_data,E1485=pas_turno),10000-ROW(),"")</f>
        <v/>
      </c>
    </row>
    <row r="1486">
      <c r="A1486" s="3">
        <f>IF(D1486="","","TT-"&amp;TEXT(ROW()-1,"00000"))</f>
        <v/>
      </c>
      <c r="B1486" s="3">
        <f>IF(D1486="","",IF(V1486=0,"CONCLUÍDO",IF(D1486&lt;corte,"HISTÓRICO",IF(OR(AND(ISNUMBER(R1486),R1486&lt;TODAY()),AND(OR(N1486="PENDENTE",N1486="PARCIAL"),D1486&lt;TODAY()-1)),"CRÍTICO",IF(OR(AND(P1486&lt;&gt;"",S1486=""),AND(N1486="REALIZADO",M1486="PENDENTE"),AND(ISNUMBER(R1486),R1486=TODAY())),"ATENÇÃO",IF(N(K1486)=0,"PENDENTE","EM ANDAMENTO"))))))</f>
        <v/>
      </c>
      <c r="C1486" s="3">
        <f>IF(D1486="","",IF(V1486=0,"🟢 OK",IF(D1486&lt;corte,"⚪ HISTÓRICO (sem baixa)",IF(AND(ISNUMBER(R1486),R1486&lt;TODAY()),"🔴 PRAZO VENCIDO",IF(AND(OR(N1486="PENDENTE",N1486="PARCIAL"),D1486&lt;TODAY()-1),"🔴 EMBARQUE ATRASADO",IF(AND(N1486="REALIZADO",M1486="PENDENTE"),"🟡 EMBARCADO SEM FATURAR",IF(AND(P1486&lt;&gt;"",S1486="",OR(Q1486="",R1486="")),"🟡 PENDÊNCIA SEM RESPONSÁVEL/PRAZO",IF(AND(ISNUMBER(R1486),R1486=TODAY()),"🟡 VENCE HOJE",IF(AND(P1486&lt;&gt;"",S1486=""),"🟡 PENDÊNCIA ABERTA",IF(AND(N(J1486)&gt;0,N(K1486)&lt;J1486),"🟡 FALTA EXECUTAR",IF(OR(M1486="PENDENTE",M1486="PARCIAL"),"🟡 FATURAMENTO PENDENTE","🟡 EMBARQUE PENDENTE")))))))))))</f>
        <v/>
      </c>
      <c r="D1486" s="4" t="n"/>
      <c r="E1486" s="5" t="n"/>
      <c r="F1486" s="5" t="n"/>
      <c r="G1486" s="5" t="n"/>
      <c r="H1486" s="5" t="n"/>
      <c r="I1486" s="5" t="n"/>
      <c r="J1486" s="6" t="n"/>
      <c r="K1486" s="6" t="n"/>
      <c r="L1486" s="7">
        <f>IF(OR(D1486="",N(J1486)=0),"",MIN(1,N(K1486)/J1486))</f>
        <v/>
      </c>
      <c r="M1486" s="5" t="n"/>
      <c r="N1486" s="5" t="n"/>
      <c r="O1486" s="5" t="n"/>
      <c r="P1486" s="5" t="n"/>
      <c r="Q1486" s="5" t="n"/>
      <c r="R1486" s="4" t="n"/>
      <c r="S1486" s="4" t="n"/>
      <c r="T1486" s="5" t="n"/>
      <c r="U1486" s="8">
        <f>IF(AND(V1486=1,D1486&lt;&gt;""),IF(D1486&gt;=corte,TODAY()-D1486,""),"")</f>
        <v/>
      </c>
      <c r="V1486" s="8">
        <f>IF(D1486="",0,IF(OR(AND(P1486&lt;&gt;"",S1486=""),AND(N(J1486)&gt;0,N(K1486)&lt;J1486),OR(M1486="PENDENTE",M1486="PARCIAL"),OR(N1486="PENDENTE",N1486="PARCIAL")),1,0))</f>
        <v/>
      </c>
      <c r="W1486" s="8">
        <f>IF(AND(V1486=1,D1486&lt;&gt;""),IF(D1486&gt;=corte,(B1486="CRÍTICO")*1E9+(100000-D1486)*10000+10000-ROW(),""),"")</f>
        <v/>
      </c>
      <c r="X1486" s="8">
        <f>IF(AND(V1486=1,D1486=pas_data,E1486=pas_turno),10000-ROW(),"")</f>
        <v/>
      </c>
    </row>
    <row r="1487">
      <c r="A1487" s="3">
        <f>IF(D1487="","","TT-"&amp;TEXT(ROW()-1,"00000"))</f>
        <v/>
      </c>
      <c r="B1487" s="3">
        <f>IF(D1487="","",IF(V1487=0,"CONCLUÍDO",IF(D1487&lt;corte,"HISTÓRICO",IF(OR(AND(ISNUMBER(R1487),R1487&lt;TODAY()),AND(OR(N1487="PENDENTE",N1487="PARCIAL"),D1487&lt;TODAY()-1)),"CRÍTICO",IF(OR(AND(P1487&lt;&gt;"",S1487=""),AND(N1487="REALIZADO",M1487="PENDENTE"),AND(ISNUMBER(R1487),R1487=TODAY())),"ATENÇÃO",IF(N(K1487)=0,"PENDENTE","EM ANDAMENTO"))))))</f>
        <v/>
      </c>
      <c r="C1487" s="3">
        <f>IF(D1487="","",IF(V1487=0,"🟢 OK",IF(D1487&lt;corte,"⚪ HISTÓRICO (sem baixa)",IF(AND(ISNUMBER(R1487),R1487&lt;TODAY()),"🔴 PRAZO VENCIDO",IF(AND(OR(N1487="PENDENTE",N1487="PARCIAL"),D1487&lt;TODAY()-1),"🔴 EMBARQUE ATRASADO",IF(AND(N1487="REALIZADO",M1487="PENDENTE"),"🟡 EMBARCADO SEM FATURAR",IF(AND(P1487&lt;&gt;"",S1487="",OR(Q1487="",R1487="")),"🟡 PENDÊNCIA SEM RESPONSÁVEL/PRAZO",IF(AND(ISNUMBER(R1487),R1487=TODAY()),"🟡 VENCE HOJE",IF(AND(P1487&lt;&gt;"",S1487=""),"🟡 PENDÊNCIA ABERTA",IF(AND(N(J1487)&gt;0,N(K1487)&lt;J1487),"🟡 FALTA EXECUTAR",IF(OR(M1487="PENDENTE",M1487="PARCIAL"),"🟡 FATURAMENTO PENDENTE","🟡 EMBARQUE PENDENTE")))))))))))</f>
        <v/>
      </c>
      <c r="D1487" s="4" t="n"/>
      <c r="E1487" s="5" t="n"/>
      <c r="F1487" s="5" t="n"/>
      <c r="G1487" s="5" t="n"/>
      <c r="H1487" s="5" t="n"/>
      <c r="I1487" s="5" t="n"/>
      <c r="J1487" s="6" t="n"/>
      <c r="K1487" s="6" t="n"/>
      <c r="L1487" s="7">
        <f>IF(OR(D1487="",N(J1487)=0),"",MIN(1,N(K1487)/J1487))</f>
        <v/>
      </c>
      <c r="M1487" s="5" t="n"/>
      <c r="N1487" s="5" t="n"/>
      <c r="O1487" s="5" t="n"/>
      <c r="P1487" s="5" t="n"/>
      <c r="Q1487" s="5" t="n"/>
      <c r="R1487" s="4" t="n"/>
      <c r="S1487" s="4" t="n"/>
      <c r="T1487" s="5" t="n"/>
      <c r="U1487" s="8">
        <f>IF(AND(V1487=1,D1487&lt;&gt;""),IF(D1487&gt;=corte,TODAY()-D1487,""),"")</f>
        <v/>
      </c>
      <c r="V1487" s="8">
        <f>IF(D1487="",0,IF(OR(AND(P1487&lt;&gt;"",S1487=""),AND(N(J1487)&gt;0,N(K1487)&lt;J1487),OR(M1487="PENDENTE",M1487="PARCIAL"),OR(N1487="PENDENTE",N1487="PARCIAL")),1,0))</f>
        <v/>
      </c>
      <c r="W1487" s="8">
        <f>IF(AND(V1487=1,D1487&lt;&gt;""),IF(D1487&gt;=corte,(B1487="CRÍTICO")*1E9+(100000-D1487)*10000+10000-ROW(),""),"")</f>
        <v/>
      </c>
      <c r="X1487" s="8">
        <f>IF(AND(V1487=1,D1487=pas_data,E1487=pas_turno),10000-ROW(),"")</f>
        <v/>
      </c>
    </row>
    <row r="1488">
      <c r="A1488" s="3">
        <f>IF(D1488="","","TT-"&amp;TEXT(ROW()-1,"00000"))</f>
        <v/>
      </c>
      <c r="B1488" s="3">
        <f>IF(D1488="","",IF(V1488=0,"CONCLUÍDO",IF(D1488&lt;corte,"HISTÓRICO",IF(OR(AND(ISNUMBER(R1488),R1488&lt;TODAY()),AND(OR(N1488="PENDENTE",N1488="PARCIAL"),D1488&lt;TODAY()-1)),"CRÍTICO",IF(OR(AND(P1488&lt;&gt;"",S1488=""),AND(N1488="REALIZADO",M1488="PENDENTE"),AND(ISNUMBER(R1488),R1488=TODAY())),"ATENÇÃO",IF(N(K1488)=0,"PENDENTE","EM ANDAMENTO"))))))</f>
        <v/>
      </c>
      <c r="C1488" s="3">
        <f>IF(D1488="","",IF(V1488=0,"🟢 OK",IF(D1488&lt;corte,"⚪ HISTÓRICO (sem baixa)",IF(AND(ISNUMBER(R1488),R1488&lt;TODAY()),"🔴 PRAZO VENCIDO",IF(AND(OR(N1488="PENDENTE",N1488="PARCIAL"),D1488&lt;TODAY()-1),"🔴 EMBARQUE ATRASADO",IF(AND(N1488="REALIZADO",M1488="PENDENTE"),"🟡 EMBARCADO SEM FATURAR",IF(AND(P1488&lt;&gt;"",S1488="",OR(Q1488="",R1488="")),"🟡 PENDÊNCIA SEM RESPONSÁVEL/PRAZO",IF(AND(ISNUMBER(R1488),R1488=TODAY()),"🟡 VENCE HOJE",IF(AND(P1488&lt;&gt;"",S1488=""),"🟡 PENDÊNCIA ABERTA",IF(AND(N(J1488)&gt;0,N(K1488)&lt;J1488),"🟡 FALTA EXECUTAR",IF(OR(M1488="PENDENTE",M1488="PARCIAL"),"🟡 FATURAMENTO PENDENTE","🟡 EMBARQUE PENDENTE")))))))))))</f>
        <v/>
      </c>
      <c r="D1488" s="4" t="n"/>
      <c r="E1488" s="5" t="n"/>
      <c r="F1488" s="5" t="n"/>
      <c r="G1488" s="5" t="n"/>
      <c r="H1488" s="5" t="n"/>
      <c r="I1488" s="5" t="n"/>
      <c r="J1488" s="6" t="n"/>
      <c r="K1488" s="6" t="n"/>
      <c r="L1488" s="7">
        <f>IF(OR(D1488="",N(J1488)=0),"",MIN(1,N(K1488)/J1488))</f>
        <v/>
      </c>
      <c r="M1488" s="5" t="n"/>
      <c r="N1488" s="5" t="n"/>
      <c r="O1488" s="5" t="n"/>
      <c r="P1488" s="5" t="n"/>
      <c r="Q1488" s="5" t="n"/>
      <c r="R1488" s="4" t="n"/>
      <c r="S1488" s="4" t="n"/>
      <c r="T1488" s="5" t="n"/>
      <c r="U1488" s="8">
        <f>IF(AND(V1488=1,D1488&lt;&gt;""),IF(D1488&gt;=corte,TODAY()-D1488,""),"")</f>
        <v/>
      </c>
      <c r="V1488" s="8">
        <f>IF(D1488="",0,IF(OR(AND(P1488&lt;&gt;"",S1488=""),AND(N(J1488)&gt;0,N(K1488)&lt;J1488),OR(M1488="PENDENTE",M1488="PARCIAL"),OR(N1488="PENDENTE",N1488="PARCIAL")),1,0))</f>
        <v/>
      </c>
      <c r="W1488" s="8">
        <f>IF(AND(V1488=1,D1488&lt;&gt;""),IF(D1488&gt;=corte,(B1488="CRÍTICO")*1E9+(100000-D1488)*10000+10000-ROW(),""),"")</f>
        <v/>
      </c>
      <c r="X1488" s="8">
        <f>IF(AND(V1488=1,D1488=pas_data,E1488=pas_turno),10000-ROW(),"")</f>
        <v/>
      </c>
    </row>
    <row r="1489">
      <c r="A1489" s="3">
        <f>IF(D1489="","","TT-"&amp;TEXT(ROW()-1,"00000"))</f>
        <v/>
      </c>
      <c r="B1489" s="3">
        <f>IF(D1489="","",IF(V1489=0,"CONCLUÍDO",IF(D1489&lt;corte,"HISTÓRICO",IF(OR(AND(ISNUMBER(R1489),R1489&lt;TODAY()),AND(OR(N1489="PENDENTE",N1489="PARCIAL"),D1489&lt;TODAY()-1)),"CRÍTICO",IF(OR(AND(P1489&lt;&gt;"",S1489=""),AND(N1489="REALIZADO",M1489="PENDENTE"),AND(ISNUMBER(R1489),R1489=TODAY())),"ATENÇÃO",IF(N(K1489)=0,"PENDENTE","EM ANDAMENTO"))))))</f>
        <v/>
      </c>
      <c r="C1489" s="3">
        <f>IF(D1489="","",IF(V1489=0,"🟢 OK",IF(D1489&lt;corte,"⚪ HISTÓRICO (sem baixa)",IF(AND(ISNUMBER(R1489),R1489&lt;TODAY()),"🔴 PRAZO VENCIDO",IF(AND(OR(N1489="PENDENTE",N1489="PARCIAL"),D1489&lt;TODAY()-1),"🔴 EMBARQUE ATRASADO",IF(AND(N1489="REALIZADO",M1489="PENDENTE"),"🟡 EMBARCADO SEM FATURAR",IF(AND(P1489&lt;&gt;"",S1489="",OR(Q1489="",R1489="")),"🟡 PENDÊNCIA SEM RESPONSÁVEL/PRAZO",IF(AND(ISNUMBER(R1489),R1489=TODAY()),"🟡 VENCE HOJE",IF(AND(P1489&lt;&gt;"",S1489=""),"🟡 PENDÊNCIA ABERTA",IF(AND(N(J1489)&gt;0,N(K1489)&lt;J1489),"🟡 FALTA EXECUTAR",IF(OR(M1489="PENDENTE",M1489="PARCIAL"),"🟡 FATURAMENTO PENDENTE","🟡 EMBARQUE PENDENTE")))))))))))</f>
        <v/>
      </c>
      <c r="D1489" s="4" t="n"/>
      <c r="E1489" s="5" t="n"/>
      <c r="F1489" s="5" t="n"/>
      <c r="G1489" s="5" t="n"/>
      <c r="H1489" s="5" t="n"/>
      <c r="I1489" s="5" t="n"/>
      <c r="J1489" s="6" t="n"/>
      <c r="K1489" s="6" t="n"/>
      <c r="L1489" s="7">
        <f>IF(OR(D1489="",N(J1489)=0),"",MIN(1,N(K1489)/J1489))</f>
        <v/>
      </c>
      <c r="M1489" s="5" t="n"/>
      <c r="N1489" s="5" t="n"/>
      <c r="O1489" s="5" t="n"/>
      <c r="P1489" s="5" t="n"/>
      <c r="Q1489" s="5" t="n"/>
      <c r="R1489" s="4" t="n"/>
      <c r="S1489" s="4" t="n"/>
      <c r="T1489" s="5" t="n"/>
      <c r="U1489" s="8">
        <f>IF(AND(V1489=1,D1489&lt;&gt;""),IF(D1489&gt;=corte,TODAY()-D1489,""),"")</f>
        <v/>
      </c>
      <c r="V1489" s="8">
        <f>IF(D1489="",0,IF(OR(AND(P1489&lt;&gt;"",S1489=""),AND(N(J1489)&gt;0,N(K1489)&lt;J1489),OR(M1489="PENDENTE",M1489="PARCIAL"),OR(N1489="PENDENTE",N1489="PARCIAL")),1,0))</f>
        <v/>
      </c>
      <c r="W1489" s="8">
        <f>IF(AND(V1489=1,D1489&lt;&gt;""),IF(D1489&gt;=corte,(B1489="CRÍTICO")*1E9+(100000-D1489)*10000+10000-ROW(),""),"")</f>
        <v/>
      </c>
      <c r="X1489" s="8">
        <f>IF(AND(V1489=1,D1489=pas_data,E1489=pas_turno),10000-ROW(),"")</f>
        <v/>
      </c>
    </row>
    <row r="1490">
      <c r="A1490" s="3">
        <f>IF(D1490="","","TT-"&amp;TEXT(ROW()-1,"00000"))</f>
        <v/>
      </c>
      <c r="B1490" s="3">
        <f>IF(D1490="","",IF(V1490=0,"CONCLUÍDO",IF(D1490&lt;corte,"HISTÓRICO",IF(OR(AND(ISNUMBER(R1490),R1490&lt;TODAY()),AND(OR(N1490="PENDENTE",N1490="PARCIAL"),D1490&lt;TODAY()-1)),"CRÍTICO",IF(OR(AND(P1490&lt;&gt;"",S1490=""),AND(N1490="REALIZADO",M1490="PENDENTE"),AND(ISNUMBER(R1490),R1490=TODAY())),"ATENÇÃO",IF(N(K1490)=0,"PENDENTE","EM ANDAMENTO"))))))</f>
        <v/>
      </c>
      <c r="C1490" s="3">
        <f>IF(D1490="","",IF(V1490=0,"🟢 OK",IF(D1490&lt;corte,"⚪ HISTÓRICO (sem baixa)",IF(AND(ISNUMBER(R1490),R1490&lt;TODAY()),"🔴 PRAZO VENCIDO",IF(AND(OR(N1490="PENDENTE",N1490="PARCIAL"),D1490&lt;TODAY()-1),"🔴 EMBARQUE ATRASADO",IF(AND(N1490="REALIZADO",M1490="PENDENTE"),"🟡 EMBARCADO SEM FATURAR",IF(AND(P1490&lt;&gt;"",S1490="",OR(Q1490="",R1490="")),"🟡 PENDÊNCIA SEM RESPONSÁVEL/PRAZO",IF(AND(ISNUMBER(R1490),R1490=TODAY()),"🟡 VENCE HOJE",IF(AND(P1490&lt;&gt;"",S1490=""),"🟡 PENDÊNCIA ABERTA",IF(AND(N(J1490)&gt;0,N(K1490)&lt;J1490),"🟡 FALTA EXECUTAR",IF(OR(M1490="PENDENTE",M1490="PARCIAL"),"🟡 FATURAMENTO PENDENTE","🟡 EMBARQUE PENDENTE")))))))))))</f>
        <v/>
      </c>
      <c r="D1490" s="4" t="n"/>
      <c r="E1490" s="5" t="n"/>
      <c r="F1490" s="5" t="n"/>
      <c r="G1490" s="5" t="n"/>
      <c r="H1490" s="5" t="n"/>
      <c r="I1490" s="5" t="n"/>
      <c r="J1490" s="6" t="n"/>
      <c r="K1490" s="6" t="n"/>
      <c r="L1490" s="7">
        <f>IF(OR(D1490="",N(J1490)=0),"",MIN(1,N(K1490)/J1490))</f>
        <v/>
      </c>
      <c r="M1490" s="5" t="n"/>
      <c r="N1490" s="5" t="n"/>
      <c r="O1490" s="5" t="n"/>
      <c r="P1490" s="5" t="n"/>
      <c r="Q1490" s="5" t="n"/>
      <c r="R1490" s="4" t="n"/>
      <c r="S1490" s="4" t="n"/>
      <c r="T1490" s="5" t="n"/>
      <c r="U1490" s="8">
        <f>IF(AND(V1490=1,D1490&lt;&gt;""),IF(D1490&gt;=corte,TODAY()-D1490,""),"")</f>
        <v/>
      </c>
      <c r="V1490" s="8">
        <f>IF(D1490="",0,IF(OR(AND(P1490&lt;&gt;"",S1490=""),AND(N(J1490)&gt;0,N(K1490)&lt;J1490),OR(M1490="PENDENTE",M1490="PARCIAL"),OR(N1490="PENDENTE",N1490="PARCIAL")),1,0))</f>
        <v/>
      </c>
      <c r="W1490" s="8">
        <f>IF(AND(V1490=1,D1490&lt;&gt;""),IF(D1490&gt;=corte,(B1490="CRÍTICO")*1E9+(100000-D1490)*10000+10000-ROW(),""),"")</f>
        <v/>
      </c>
      <c r="X1490" s="8">
        <f>IF(AND(V1490=1,D1490=pas_data,E1490=pas_turno),10000-ROW(),"")</f>
        <v/>
      </c>
    </row>
    <row r="1491">
      <c r="A1491" s="3">
        <f>IF(D1491="","","TT-"&amp;TEXT(ROW()-1,"00000"))</f>
        <v/>
      </c>
      <c r="B1491" s="3">
        <f>IF(D1491="","",IF(V1491=0,"CONCLUÍDO",IF(D1491&lt;corte,"HISTÓRICO",IF(OR(AND(ISNUMBER(R1491),R1491&lt;TODAY()),AND(OR(N1491="PENDENTE",N1491="PARCIAL"),D1491&lt;TODAY()-1)),"CRÍTICO",IF(OR(AND(P1491&lt;&gt;"",S1491=""),AND(N1491="REALIZADO",M1491="PENDENTE"),AND(ISNUMBER(R1491),R1491=TODAY())),"ATENÇÃO",IF(N(K1491)=0,"PENDENTE","EM ANDAMENTO"))))))</f>
        <v/>
      </c>
      <c r="C1491" s="3">
        <f>IF(D1491="","",IF(V1491=0,"🟢 OK",IF(D1491&lt;corte,"⚪ HISTÓRICO (sem baixa)",IF(AND(ISNUMBER(R1491),R1491&lt;TODAY()),"🔴 PRAZO VENCIDO",IF(AND(OR(N1491="PENDENTE",N1491="PARCIAL"),D1491&lt;TODAY()-1),"🔴 EMBARQUE ATRASADO",IF(AND(N1491="REALIZADO",M1491="PENDENTE"),"🟡 EMBARCADO SEM FATURAR",IF(AND(P1491&lt;&gt;"",S1491="",OR(Q1491="",R1491="")),"🟡 PENDÊNCIA SEM RESPONSÁVEL/PRAZO",IF(AND(ISNUMBER(R1491),R1491=TODAY()),"🟡 VENCE HOJE",IF(AND(P1491&lt;&gt;"",S1491=""),"🟡 PENDÊNCIA ABERTA",IF(AND(N(J1491)&gt;0,N(K1491)&lt;J1491),"🟡 FALTA EXECUTAR",IF(OR(M1491="PENDENTE",M1491="PARCIAL"),"🟡 FATURAMENTO PENDENTE","🟡 EMBARQUE PENDENTE")))))))))))</f>
        <v/>
      </c>
      <c r="D1491" s="4" t="n"/>
      <c r="E1491" s="5" t="n"/>
      <c r="F1491" s="5" t="n"/>
      <c r="G1491" s="5" t="n"/>
      <c r="H1491" s="5" t="n"/>
      <c r="I1491" s="5" t="n"/>
      <c r="J1491" s="6" t="n"/>
      <c r="K1491" s="6" t="n"/>
      <c r="L1491" s="7">
        <f>IF(OR(D1491="",N(J1491)=0),"",MIN(1,N(K1491)/J1491))</f>
        <v/>
      </c>
      <c r="M1491" s="5" t="n"/>
      <c r="N1491" s="5" t="n"/>
      <c r="O1491" s="5" t="n"/>
      <c r="P1491" s="5" t="n"/>
      <c r="Q1491" s="5" t="n"/>
      <c r="R1491" s="4" t="n"/>
      <c r="S1491" s="4" t="n"/>
      <c r="T1491" s="5" t="n"/>
      <c r="U1491" s="8">
        <f>IF(AND(V1491=1,D1491&lt;&gt;""),IF(D1491&gt;=corte,TODAY()-D1491,""),"")</f>
        <v/>
      </c>
      <c r="V1491" s="8">
        <f>IF(D1491="",0,IF(OR(AND(P1491&lt;&gt;"",S1491=""),AND(N(J1491)&gt;0,N(K1491)&lt;J1491),OR(M1491="PENDENTE",M1491="PARCIAL"),OR(N1491="PENDENTE",N1491="PARCIAL")),1,0))</f>
        <v/>
      </c>
      <c r="W1491" s="8">
        <f>IF(AND(V1491=1,D1491&lt;&gt;""),IF(D1491&gt;=corte,(B1491="CRÍTICO")*1E9+(100000-D1491)*10000+10000-ROW(),""),"")</f>
        <v/>
      </c>
      <c r="X1491" s="8">
        <f>IF(AND(V1491=1,D1491=pas_data,E1491=pas_turno),10000-ROW(),"")</f>
        <v/>
      </c>
    </row>
    <row r="1492">
      <c r="A1492" s="3">
        <f>IF(D1492="","","TT-"&amp;TEXT(ROW()-1,"00000"))</f>
        <v/>
      </c>
      <c r="B1492" s="3">
        <f>IF(D1492="","",IF(V1492=0,"CONCLUÍDO",IF(D1492&lt;corte,"HISTÓRICO",IF(OR(AND(ISNUMBER(R1492),R1492&lt;TODAY()),AND(OR(N1492="PENDENTE",N1492="PARCIAL"),D1492&lt;TODAY()-1)),"CRÍTICO",IF(OR(AND(P1492&lt;&gt;"",S1492=""),AND(N1492="REALIZADO",M1492="PENDENTE"),AND(ISNUMBER(R1492),R1492=TODAY())),"ATENÇÃO",IF(N(K1492)=0,"PENDENTE","EM ANDAMENTO"))))))</f>
        <v/>
      </c>
      <c r="C1492" s="3">
        <f>IF(D1492="","",IF(V1492=0,"🟢 OK",IF(D1492&lt;corte,"⚪ HISTÓRICO (sem baixa)",IF(AND(ISNUMBER(R1492),R1492&lt;TODAY()),"🔴 PRAZO VENCIDO",IF(AND(OR(N1492="PENDENTE",N1492="PARCIAL"),D1492&lt;TODAY()-1),"🔴 EMBARQUE ATRASADO",IF(AND(N1492="REALIZADO",M1492="PENDENTE"),"🟡 EMBARCADO SEM FATURAR",IF(AND(P1492&lt;&gt;"",S1492="",OR(Q1492="",R1492="")),"🟡 PENDÊNCIA SEM RESPONSÁVEL/PRAZO",IF(AND(ISNUMBER(R1492),R1492=TODAY()),"🟡 VENCE HOJE",IF(AND(P1492&lt;&gt;"",S1492=""),"🟡 PENDÊNCIA ABERTA",IF(AND(N(J1492)&gt;0,N(K1492)&lt;J1492),"🟡 FALTA EXECUTAR",IF(OR(M1492="PENDENTE",M1492="PARCIAL"),"🟡 FATURAMENTO PENDENTE","🟡 EMBARQUE PENDENTE")))))))))))</f>
        <v/>
      </c>
      <c r="D1492" s="4" t="n"/>
      <c r="E1492" s="5" t="n"/>
      <c r="F1492" s="5" t="n"/>
      <c r="G1492" s="5" t="n"/>
      <c r="H1492" s="5" t="n"/>
      <c r="I1492" s="5" t="n"/>
      <c r="J1492" s="6" t="n"/>
      <c r="K1492" s="6" t="n"/>
      <c r="L1492" s="7">
        <f>IF(OR(D1492="",N(J1492)=0),"",MIN(1,N(K1492)/J1492))</f>
        <v/>
      </c>
      <c r="M1492" s="5" t="n"/>
      <c r="N1492" s="5" t="n"/>
      <c r="O1492" s="5" t="n"/>
      <c r="P1492" s="5" t="n"/>
      <c r="Q1492" s="5" t="n"/>
      <c r="R1492" s="4" t="n"/>
      <c r="S1492" s="4" t="n"/>
      <c r="T1492" s="5" t="n"/>
      <c r="U1492" s="8">
        <f>IF(AND(V1492=1,D1492&lt;&gt;""),IF(D1492&gt;=corte,TODAY()-D1492,""),"")</f>
        <v/>
      </c>
      <c r="V1492" s="8">
        <f>IF(D1492="",0,IF(OR(AND(P1492&lt;&gt;"",S1492=""),AND(N(J1492)&gt;0,N(K1492)&lt;J1492),OR(M1492="PENDENTE",M1492="PARCIAL"),OR(N1492="PENDENTE",N1492="PARCIAL")),1,0))</f>
        <v/>
      </c>
      <c r="W1492" s="8">
        <f>IF(AND(V1492=1,D1492&lt;&gt;""),IF(D1492&gt;=corte,(B1492="CRÍTICO")*1E9+(100000-D1492)*10000+10000-ROW(),""),"")</f>
        <v/>
      </c>
      <c r="X1492" s="8">
        <f>IF(AND(V1492=1,D1492=pas_data,E1492=pas_turno),10000-ROW(),"")</f>
        <v/>
      </c>
    </row>
    <row r="1493">
      <c r="A1493" s="3">
        <f>IF(D1493="","","TT-"&amp;TEXT(ROW()-1,"00000"))</f>
        <v/>
      </c>
      <c r="B1493" s="3">
        <f>IF(D1493="","",IF(V1493=0,"CONCLUÍDO",IF(D1493&lt;corte,"HISTÓRICO",IF(OR(AND(ISNUMBER(R1493),R1493&lt;TODAY()),AND(OR(N1493="PENDENTE",N1493="PARCIAL"),D1493&lt;TODAY()-1)),"CRÍTICO",IF(OR(AND(P1493&lt;&gt;"",S1493=""),AND(N1493="REALIZADO",M1493="PENDENTE"),AND(ISNUMBER(R1493),R1493=TODAY())),"ATENÇÃO",IF(N(K1493)=0,"PENDENTE","EM ANDAMENTO"))))))</f>
        <v/>
      </c>
      <c r="C1493" s="3">
        <f>IF(D1493="","",IF(V1493=0,"🟢 OK",IF(D1493&lt;corte,"⚪ HISTÓRICO (sem baixa)",IF(AND(ISNUMBER(R1493),R1493&lt;TODAY()),"🔴 PRAZO VENCIDO",IF(AND(OR(N1493="PENDENTE",N1493="PARCIAL"),D1493&lt;TODAY()-1),"🔴 EMBARQUE ATRASADO",IF(AND(N1493="REALIZADO",M1493="PENDENTE"),"🟡 EMBARCADO SEM FATURAR",IF(AND(P1493&lt;&gt;"",S1493="",OR(Q1493="",R1493="")),"🟡 PENDÊNCIA SEM RESPONSÁVEL/PRAZO",IF(AND(ISNUMBER(R1493),R1493=TODAY()),"🟡 VENCE HOJE",IF(AND(P1493&lt;&gt;"",S1493=""),"🟡 PENDÊNCIA ABERTA",IF(AND(N(J1493)&gt;0,N(K1493)&lt;J1493),"🟡 FALTA EXECUTAR",IF(OR(M1493="PENDENTE",M1493="PARCIAL"),"🟡 FATURAMENTO PENDENTE","🟡 EMBARQUE PENDENTE")))))))))))</f>
        <v/>
      </c>
      <c r="D1493" s="4" t="n"/>
      <c r="E1493" s="5" t="n"/>
      <c r="F1493" s="5" t="n"/>
      <c r="G1493" s="5" t="n"/>
      <c r="H1493" s="5" t="n"/>
      <c r="I1493" s="5" t="n"/>
      <c r="J1493" s="6" t="n"/>
      <c r="K1493" s="6" t="n"/>
      <c r="L1493" s="7">
        <f>IF(OR(D1493="",N(J1493)=0),"",MIN(1,N(K1493)/J1493))</f>
        <v/>
      </c>
      <c r="M1493" s="5" t="n"/>
      <c r="N1493" s="5" t="n"/>
      <c r="O1493" s="5" t="n"/>
      <c r="P1493" s="5" t="n"/>
      <c r="Q1493" s="5" t="n"/>
      <c r="R1493" s="4" t="n"/>
      <c r="S1493" s="4" t="n"/>
      <c r="T1493" s="5" t="n"/>
      <c r="U1493" s="8">
        <f>IF(AND(V1493=1,D1493&lt;&gt;""),IF(D1493&gt;=corte,TODAY()-D1493,""),"")</f>
        <v/>
      </c>
      <c r="V1493" s="8">
        <f>IF(D1493="",0,IF(OR(AND(P1493&lt;&gt;"",S1493=""),AND(N(J1493)&gt;0,N(K1493)&lt;J1493),OR(M1493="PENDENTE",M1493="PARCIAL"),OR(N1493="PENDENTE",N1493="PARCIAL")),1,0))</f>
        <v/>
      </c>
      <c r="W1493" s="8">
        <f>IF(AND(V1493=1,D1493&lt;&gt;""),IF(D1493&gt;=corte,(B1493="CRÍTICO")*1E9+(100000-D1493)*10000+10000-ROW(),""),"")</f>
        <v/>
      </c>
      <c r="X1493" s="8">
        <f>IF(AND(V1493=1,D1493=pas_data,E1493=pas_turno),10000-ROW(),"")</f>
        <v/>
      </c>
    </row>
    <row r="1494">
      <c r="A1494" s="3">
        <f>IF(D1494="","","TT-"&amp;TEXT(ROW()-1,"00000"))</f>
        <v/>
      </c>
      <c r="B1494" s="3">
        <f>IF(D1494="","",IF(V1494=0,"CONCLUÍDO",IF(D1494&lt;corte,"HISTÓRICO",IF(OR(AND(ISNUMBER(R1494),R1494&lt;TODAY()),AND(OR(N1494="PENDENTE",N1494="PARCIAL"),D1494&lt;TODAY()-1)),"CRÍTICO",IF(OR(AND(P1494&lt;&gt;"",S1494=""),AND(N1494="REALIZADO",M1494="PENDENTE"),AND(ISNUMBER(R1494),R1494=TODAY())),"ATENÇÃO",IF(N(K1494)=0,"PENDENTE","EM ANDAMENTO"))))))</f>
        <v/>
      </c>
      <c r="C1494" s="3">
        <f>IF(D1494="","",IF(V1494=0,"🟢 OK",IF(D1494&lt;corte,"⚪ HISTÓRICO (sem baixa)",IF(AND(ISNUMBER(R1494),R1494&lt;TODAY()),"🔴 PRAZO VENCIDO",IF(AND(OR(N1494="PENDENTE",N1494="PARCIAL"),D1494&lt;TODAY()-1),"🔴 EMBARQUE ATRASADO",IF(AND(N1494="REALIZADO",M1494="PENDENTE"),"🟡 EMBARCADO SEM FATURAR",IF(AND(P1494&lt;&gt;"",S1494="",OR(Q1494="",R1494="")),"🟡 PENDÊNCIA SEM RESPONSÁVEL/PRAZO",IF(AND(ISNUMBER(R1494),R1494=TODAY()),"🟡 VENCE HOJE",IF(AND(P1494&lt;&gt;"",S1494=""),"🟡 PENDÊNCIA ABERTA",IF(AND(N(J1494)&gt;0,N(K1494)&lt;J1494),"🟡 FALTA EXECUTAR",IF(OR(M1494="PENDENTE",M1494="PARCIAL"),"🟡 FATURAMENTO PENDENTE","🟡 EMBARQUE PENDENTE")))))))))))</f>
        <v/>
      </c>
      <c r="D1494" s="4" t="n"/>
      <c r="E1494" s="5" t="n"/>
      <c r="F1494" s="5" t="n"/>
      <c r="G1494" s="5" t="n"/>
      <c r="H1494" s="5" t="n"/>
      <c r="I1494" s="5" t="n"/>
      <c r="J1494" s="6" t="n"/>
      <c r="K1494" s="6" t="n"/>
      <c r="L1494" s="7">
        <f>IF(OR(D1494="",N(J1494)=0),"",MIN(1,N(K1494)/J1494))</f>
        <v/>
      </c>
      <c r="M1494" s="5" t="n"/>
      <c r="N1494" s="5" t="n"/>
      <c r="O1494" s="5" t="n"/>
      <c r="P1494" s="5" t="n"/>
      <c r="Q1494" s="5" t="n"/>
      <c r="R1494" s="4" t="n"/>
      <c r="S1494" s="4" t="n"/>
      <c r="T1494" s="5" t="n"/>
      <c r="U1494" s="8">
        <f>IF(AND(V1494=1,D1494&lt;&gt;""),IF(D1494&gt;=corte,TODAY()-D1494,""),"")</f>
        <v/>
      </c>
      <c r="V1494" s="8">
        <f>IF(D1494="",0,IF(OR(AND(P1494&lt;&gt;"",S1494=""),AND(N(J1494)&gt;0,N(K1494)&lt;J1494),OR(M1494="PENDENTE",M1494="PARCIAL"),OR(N1494="PENDENTE",N1494="PARCIAL")),1,0))</f>
        <v/>
      </c>
      <c r="W1494" s="8">
        <f>IF(AND(V1494=1,D1494&lt;&gt;""),IF(D1494&gt;=corte,(B1494="CRÍTICO")*1E9+(100000-D1494)*10000+10000-ROW(),""),"")</f>
        <v/>
      </c>
      <c r="X1494" s="8">
        <f>IF(AND(V1494=1,D1494=pas_data,E1494=pas_turno),10000-ROW(),"")</f>
        <v/>
      </c>
    </row>
    <row r="1495">
      <c r="A1495" s="3">
        <f>IF(D1495="","","TT-"&amp;TEXT(ROW()-1,"00000"))</f>
        <v/>
      </c>
      <c r="B1495" s="3">
        <f>IF(D1495="","",IF(V1495=0,"CONCLUÍDO",IF(D1495&lt;corte,"HISTÓRICO",IF(OR(AND(ISNUMBER(R1495),R1495&lt;TODAY()),AND(OR(N1495="PENDENTE",N1495="PARCIAL"),D1495&lt;TODAY()-1)),"CRÍTICO",IF(OR(AND(P1495&lt;&gt;"",S1495=""),AND(N1495="REALIZADO",M1495="PENDENTE"),AND(ISNUMBER(R1495),R1495=TODAY())),"ATENÇÃO",IF(N(K1495)=0,"PENDENTE","EM ANDAMENTO"))))))</f>
        <v/>
      </c>
      <c r="C1495" s="3">
        <f>IF(D1495="","",IF(V1495=0,"🟢 OK",IF(D1495&lt;corte,"⚪ HISTÓRICO (sem baixa)",IF(AND(ISNUMBER(R1495),R1495&lt;TODAY()),"🔴 PRAZO VENCIDO",IF(AND(OR(N1495="PENDENTE",N1495="PARCIAL"),D1495&lt;TODAY()-1),"🔴 EMBARQUE ATRASADO",IF(AND(N1495="REALIZADO",M1495="PENDENTE"),"🟡 EMBARCADO SEM FATURAR",IF(AND(P1495&lt;&gt;"",S1495="",OR(Q1495="",R1495="")),"🟡 PENDÊNCIA SEM RESPONSÁVEL/PRAZO",IF(AND(ISNUMBER(R1495),R1495=TODAY()),"🟡 VENCE HOJE",IF(AND(P1495&lt;&gt;"",S1495=""),"🟡 PENDÊNCIA ABERTA",IF(AND(N(J1495)&gt;0,N(K1495)&lt;J1495),"🟡 FALTA EXECUTAR",IF(OR(M1495="PENDENTE",M1495="PARCIAL"),"🟡 FATURAMENTO PENDENTE","🟡 EMBARQUE PENDENTE")))))))))))</f>
        <v/>
      </c>
      <c r="D1495" s="4" t="n"/>
      <c r="E1495" s="5" t="n"/>
      <c r="F1495" s="5" t="n"/>
      <c r="G1495" s="5" t="n"/>
      <c r="H1495" s="5" t="n"/>
      <c r="I1495" s="5" t="n"/>
      <c r="J1495" s="6" t="n"/>
      <c r="K1495" s="6" t="n"/>
      <c r="L1495" s="7">
        <f>IF(OR(D1495="",N(J1495)=0),"",MIN(1,N(K1495)/J1495))</f>
        <v/>
      </c>
      <c r="M1495" s="5" t="n"/>
      <c r="N1495" s="5" t="n"/>
      <c r="O1495" s="5" t="n"/>
      <c r="P1495" s="5" t="n"/>
      <c r="Q1495" s="5" t="n"/>
      <c r="R1495" s="4" t="n"/>
      <c r="S1495" s="4" t="n"/>
      <c r="T1495" s="5" t="n"/>
      <c r="U1495" s="8">
        <f>IF(AND(V1495=1,D1495&lt;&gt;""),IF(D1495&gt;=corte,TODAY()-D1495,""),"")</f>
        <v/>
      </c>
      <c r="V1495" s="8">
        <f>IF(D1495="",0,IF(OR(AND(P1495&lt;&gt;"",S1495=""),AND(N(J1495)&gt;0,N(K1495)&lt;J1495),OR(M1495="PENDENTE",M1495="PARCIAL"),OR(N1495="PENDENTE",N1495="PARCIAL")),1,0))</f>
        <v/>
      </c>
      <c r="W1495" s="8">
        <f>IF(AND(V1495=1,D1495&lt;&gt;""),IF(D1495&gt;=corte,(B1495="CRÍTICO")*1E9+(100000-D1495)*10000+10000-ROW(),""),"")</f>
        <v/>
      </c>
      <c r="X1495" s="8">
        <f>IF(AND(V1495=1,D1495=pas_data,E1495=pas_turno),10000-ROW(),"")</f>
        <v/>
      </c>
    </row>
    <row r="1496">
      <c r="A1496" s="3">
        <f>IF(D1496="","","TT-"&amp;TEXT(ROW()-1,"00000"))</f>
        <v/>
      </c>
      <c r="B1496" s="3">
        <f>IF(D1496="","",IF(V1496=0,"CONCLUÍDO",IF(D1496&lt;corte,"HISTÓRICO",IF(OR(AND(ISNUMBER(R1496),R1496&lt;TODAY()),AND(OR(N1496="PENDENTE",N1496="PARCIAL"),D1496&lt;TODAY()-1)),"CRÍTICO",IF(OR(AND(P1496&lt;&gt;"",S1496=""),AND(N1496="REALIZADO",M1496="PENDENTE"),AND(ISNUMBER(R1496),R1496=TODAY())),"ATENÇÃO",IF(N(K1496)=0,"PENDENTE","EM ANDAMENTO"))))))</f>
        <v/>
      </c>
      <c r="C1496" s="3">
        <f>IF(D1496="","",IF(V1496=0,"🟢 OK",IF(D1496&lt;corte,"⚪ HISTÓRICO (sem baixa)",IF(AND(ISNUMBER(R1496),R1496&lt;TODAY()),"🔴 PRAZO VENCIDO",IF(AND(OR(N1496="PENDENTE",N1496="PARCIAL"),D1496&lt;TODAY()-1),"🔴 EMBARQUE ATRASADO",IF(AND(N1496="REALIZADO",M1496="PENDENTE"),"🟡 EMBARCADO SEM FATURAR",IF(AND(P1496&lt;&gt;"",S1496="",OR(Q1496="",R1496="")),"🟡 PENDÊNCIA SEM RESPONSÁVEL/PRAZO",IF(AND(ISNUMBER(R1496),R1496=TODAY()),"🟡 VENCE HOJE",IF(AND(P1496&lt;&gt;"",S1496=""),"🟡 PENDÊNCIA ABERTA",IF(AND(N(J1496)&gt;0,N(K1496)&lt;J1496),"🟡 FALTA EXECUTAR",IF(OR(M1496="PENDENTE",M1496="PARCIAL"),"🟡 FATURAMENTO PENDENTE","🟡 EMBARQUE PENDENTE")))))))))))</f>
        <v/>
      </c>
      <c r="D1496" s="4" t="n"/>
      <c r="E1496" s="5" t="n"/>
      <c r="F1496" s="5" t="n"/>
      <c r="G1496" s="5" t="n"/>
      <c r="H1496" s="5" t="n"/>
      <c r="I1496" s="5" t="n"/>
      <c r="J1496" s="6" t="n"/>
      <c r="K1496" s="6" t="n"/>
      <c r="L1496" s="7">
        <f>IF(OR(D1496="",N(J1496)=0),"",MIN(1,N(K1496)/J1496))</f>
        <v/>
      </c>
      <c r="M1496" s="5" t="n"/>
      <c r="N1496" s="5" t="n"/>
      <c r="O1496" s="5" t="n"/>
      <c r="P1496" s="5" t="n"/>
      <c r="Q1496" s="5" t="n"/>
      <c r="R1496" s="4" t="n"/>
      <c r="S1496" s="4" t="n"/>
      <c r="T1496" s="5" t="n"/>
      <c r="U1496" s="8">
        <f>IF(AND(V1496=1,D1496&lt;&gt;""),IF(D1496&gt;=corte,TODAY()-D1496,""),"")</f>
        <v/>
      </c>
      <c r="V1496" s="8">
        <f>IF(D1496="",0,IF(OR(AND(P1496&lt;&gt;"",S1496=""),AND(N(J1496)&gt;0,N(K1496)&lt;J1496),OR(M1496="PENDENTE",M1496="PARCIAL"),OR(N1496="PENDENTE",N1496="PARCIAL")),1,0))</f>
        <v/>
      </c>
      <c r="W1496" s="8">
        <f>IF(AND(V1496=1,D1496&lt;&gt;""),IF(D1496&gt;=corte,(B1496="CRÍTICO")*1E9+(100000-D1496)*10000+10000-ROW(),""),"")</f>
        <v/>
      </c>
      <c r="X1496" s="8">
        <f>IF(AND(V1496=1,D1496=pas_data,E1496=pas_turno),10000-ROW(),"")</f>
        <v/>
      </c>
    </row>
    <row r="1497">
      <c r="A1497" s="3">
        <f>IF(D1497="","","TT-"&amp;TEXT(ROW()-1,"00000"))</f>
        <v/>
      </c>
      <c r="B1497" s="3">
        <f>IF(D1497="","",IF(V1497=0,"CONCLUÍDO",IF(D1497&lt;corte,"HISTÓRICO",IF(OR(AND(ISNUMBER(R1497),R1497&lt;TODAY()),AND(OR(N1497="PENDENTE",N1497="PARCIAL"),D1497&lt;TODAY()-1)),"CRÍTICO",IF(OR(AND(P1497&lt;&gt;"",S1497=""),AND(N1497="REALIZADO",M1497="PENDENTE"),AND(ISNUMBER(R1497),R1497=TODAY())),"ATENÇÃO",IF(N(K1497)=0,"PENDENTE","EM ANDAMENTO"))))))</f>
        <v/>
      </c>
      <c r="C1497" s="3">
        <f>IF(D1497="","",IF(V1497=0,"🟢 OK",IF(D1497&lt;corte,"⚪ HISTÓRICO (sem baixa)",IF(AND(ISNUMBER(R1497),R1497&lt;TODAY()),"🔴 PRAZO VENCIDO",IF(AND(OR(N1497="PENDENTE",N1497="PARCIAL"),D1497&lt;TODAY()-1),"🔴 EMBARQUE ATRASADO",IF(AND(N1497="REALIZADO",M1497="PENDENTE"),"🟡 EMBARCADO SEM FATURAR",IF(AND(P1497&lt;&gt;"",S1497="",OR(Q1497="",R1497="")),"🟡 PENDÊNCIA SEM RESPONSÁVEL/PRAZO",IF(AND(ISNUMBER(R1497),R1497=TODAY()),"🟡 VENCE HOJE",IF(AND(P1497&lt;&gt;"",S1497=""),"🟡 PENDÊNCIA ABERTA",IF(AND(N(J1497)&gt;0,N(K1497)&lt;J1497),"🟡 FALTA EXECUTAR",IF(OR(M1497="PENDENTE",M1497="PARCIAL"),"🟡 FATURAMENTO PENDENTE","🟡 EMBARQUE PENDENTE")))))))))))</f>
        <v/>
      </c>
      <c r="D1497" s="4" t="n"/>
      <c r="E1497" s="5" t="n"/>
      <c r="F1497" s="5" t="n"/>
      <c r="G1497" s="5" t="n"/>
      <c r="H1497" s="5" t="n"/>
      <c r="I1497" s="5" t="n"/>
      <c r="J1497" s="6" t="n"/>
      <c r="K1497" s="6" t="n"/>
      <c r="L1497" s="7">
        <f>IF(OR(D1497="",N(J1497)=0),"",MIN(1,N(K1497)/J1497))</f>
        <v/>
      </c>
      <c r="M1497" s="5" t="n"/>
      <c r="N1497" s="5" t="n"/>
      <c r="O1497" s="5" t="n"/>
      <c r="P1497" s="5" t="n"/>
      <c r="Q1497" s="5" t="n"/>
      <c r="R1497" s="4" t="n"/>
      <c r="S1497" s="4" t="n"/>
      <c r="T1497" s="5" t="n"/>
      <c r="U1497" s="8">
        <f>IF(AND(V1497=1,D1497&lt;&gt;""),IF(D1497&gt;=corte,TODAY()-D1497,""),"")</f>
        <v/>
      </c>
      <c r="V1497" s="8">
        <f>IF(D1497="",0,IF(OR(AND(P1497&lt;&gt;"",S1497=""),AND(N(J1497)&gt;0,N(K1497)&lt;J1497),OR(M1497="PENDENTE",M1497="PARCIAL"),OR(N1497="PENDENTE",N1497="PARCIAL")),1,0))</f>
        <v/>
      </c>
      <c r="W1497" s="8">
        <f>IF(AND(V1497=1,D1497&lt;&gt;""),IF(D1497&gt;=corte,(B1497="CRÍTICO")*1E9+(100000-D1497)*10000+10000-ROW(),""),"")</f>
        <v/>
      </c>
      <c r="X1497" s="8">
        <f>IF(AND(V1497=1,D1497=pas_data,E1497=pas_turno),10000-ROW(),"")</f>
        <v/>
      </c>
    </row>
    <row r="1498">
      <c r="A1498" s="3">
        <f>IF(D1498="","","TT-"&amp;TEXT(ROW()-1,"00000"))</f>
        <v/>
      </c>
      <c r="B1498" s="3">
        <f>IF(D1498="","",IF(V1498=0,"CONCLUÍDO",IF(D1498&lt;corte,"HISTÓRICO",IF(OR(AND(ISNUMBER(R1498),R1498&lt;TODAY()),AND(OR(N1498="PENDENTE",N1498="PARCIAL"),D1498&lt;TODAY()-1)),"CRÍTICO",IF(OR(AND(P1498&lt;&gt;"",S1498=""),AND(N1498="REALIZADO",M1498="PENDENTE"),AND(ISNUMBER(R1498),R1498=TODAY())),"ATENÇÃO",IF(N(K1498)=0,"PENDENTE","EM ANDAMENTO"))))))</f>
        <v/>
      </c>
      <c r="C1498" s="3">
        <f>IF(D1498="","",IF(V1498=0,"🟢 OK",IF(D1498&lt;corte,"⚪ HISTÓRICO (sem baixa)",IF(AND(ISNUMBER(R1498),R1498&lt;TODAY()),"🔴 PRAZO VENCIDO",IF(AND(OR(N1498="PENDENTE",N1498="PARCIAL"),D1498&lt;TODAY()-1),"🔴 EMBARQUE ATRASADO",IF(AND(N1498="REALIZADO",M1498="PENDENTE"),"🟡 EMBARCADO SEM FATURAR",IF(AND(P1498&lt;&gt;"",S1498="",OR(Q1498="",R1498="")),"🟡 PENDÊNCIA SEM RESPONSÁVEL/PRAZO",IF(AND(ISNUMBER(R1498),R1498=TODAY()),"🟡 VENCE HOJE",IF(AND(P1498&lt;&gt;"",S1498=""),"🟡 PENDÊNCIA ABERTA",IF(AND(N(J1498)&gt;0,N(K1498)&lt;J1498),"🟡 FALTA EXECUTAR",IF(OR(M1498="PENDENTE",M1498="PARCIAL"),"🟡 FATURAMENTO PENDENTE","🟡 EMBARQUE PENDENTE")))))))))))</f>
        <v/>
      </c>
      <c r="D1498" s="4" t="n"/>
      <c r="E1498" s="5" t="n"/>
      <c r="F1498" s="5" t="n"/>
      <c r="G1498" s="5" t="n"/>
      <c r="H1498" s="5" t="n"/>
      <c r="I1498" s="5" t="n"/>
      <c r="J1498" s="6" t="n"/>
      <c r="K1498" s="6" t="n"/>
      <c r="L1498" s="7">
        <f>IF(OR(D1498="",N(J1498)=0),"",MIN(1,N(K1498)/J1498))</f>
        <v/>
      </c>
      <c r="M1498" s="5" t="n"/>
      <c r="N1498" s="5" t="n"/>
      <c r="O1498" s="5" t="n"/>
      <c r="P1498" s="5" t="n"/>
      <c r="Q1498" s="5" t="n"/>
      <c r="R1498" s="4" t="n"/>
      <c r="S1498" s="4" t="n"/>
      <c r="T1498" s="5" t="n"/>
      <c r="U1498" s="8">
        <f>IF(AND(V1498=1,D1498&lt;&gt;""),IF(D1498&gt;=corte,TODAY()-D1498,""),"")</f>
        <v/>
      </c>
      <c r="V1498" s="8">
        <f>IF(D1498="",0,IF(OR(AND(P1498&lt;&gt;"",S1498=""),AND(N(J1498)&gt;0,N(K1498)&lt;J1498),OR(M1498="PENDENTE",M1498="PARCIAL"),OR(N1498="PENDENTE",N1498="PARCIAL")),1,0))</f>
        <v/>
      </c>
      <c r="W1498" s="8">
        <f>IF(AND(V1498=1,D1498&lt;&gt;""),IF(D1498&gt;=corte,(B1498="CRÍTICO")*1E9+(100000-D1498)*10000+10000-ROW(),""),"")</f>
        <v/>
      </c>
      <c r="X1498" s="8">
        <f>IF(AND(V1498=1,D1498=pas_data,E1498=pas_turno),10000-ROW(),"")</f>
        <v/>
      </c>
    </row>
    <row r="1499">
      <c r="A1499" s="3">
        <f>IF(D1499="","","TT-"&amp;TEXT(ROW()-1,"00000"))</f>
        <v/>
      </c>
      <c r="B1499" s="3">
        <f>IF(D1499="","",IF(V1499=0,"CONCLUÍDO",IF(D1499&lt;corte,"HISTÓRICO",IF(OR(AND(ISNUMBER(R1499),R1499&lt;TODAY()),AND(OR(N1499="PENDENTE",N1499="PARCIAL"),D1499&lt;TODAY()-1)),"CRÍTICO",IF(OR(AND(P1499&lt;&gt;"",S1499=""),AND(N1499="REALIZADO",M1499="PENDENTE"),AND(ISNUMBER(R1499),R1499=TODAY())),"ATENÇÃO",IF(N(K1499)=0,"PENDENTE","EM ANDAMENTO"))))))</f>
        <v/>
      </c>
      <c r="C1499" s="3">
        <f>IF(D1499="","",IF(V1499=0,"🟢 OK",IF(D1499&lt;corte,"⚪ HISTÓRICO (sem baixa)",IF(AND(ISNUMBER(R1499),R1499&lt;TODAY()),"🔴 PRAZO VENCIDO",IF(AND(OR(N1499="PENDENTE",N1499="PARCIAL"),D1499&lt;TODAY()-1),"🔴 EMBARQUE ATRASADO",IF(AND(N1499="REALIZADO",M1499="PENDENTE"),"🟡 EMBARCADO SEM FATURAR",IF(AND(P1499&lt;&gt;"",S1499="",OR(Q1499="",R1499="")),"🟡 PENDÊNCIA SEM RESPONSÁVEL/PRAZO",IF(AND(ISNUMBER(R1499),R1499=TODAY()),"🟡 VENCE HOJE",IF(AND(P1499&lt;&gt;"",S1499=""),"🟡 PENDÊNCIA ABERTA",IF(AND(N(J1499)&gt;0,N(K1499)&lt;J1499),"🟡 FALTA EXECUTAR",IF(OR(M1499="PENDENTE",M1499="PARCIAL"),"🟡 FATURAMENTO PENDENTE","🟡 EMBARQUE PENDENTE")))))))))))</f>
        <v/>
      </c>
      <c r="D1499" s="4" t="n"/>
      <c r="E1499" s="5" t="n"/>
      <c r="F1499" s="5" t="n"/>
      <c r="G1499" s="5" t="n"/>
      <c r="H1499" s="5" t="n"/>
      <c r="I1499" s="5" t="n"/>
      <c r="J1499" s="6" t="n"/>
      <c r="K1499" s="6" t="n"/>
      <c r="L1499" s="7">
        <f>IF(OR(D1499="",N(J1499)=0),"",MIN(1,N(K1499)/J1499))</f>
        <v/>
      </c>
      <c r="M1499" s="5" t="n"/>
      <c r="N1499" s="5" t="n"/>
      <c r="O1499" s="5" t="n"/>
      <c r="P1499" s="5" t="n"/>
      <c r="Q1499" s="5" t="n"/>
      <c r="R1499" s="4" t="n"/>
      <c r="S1499" s="4" t="n"/>
      <c r="T1499" s="5" t="n"/>
      <c r="U1499" s="8">
        <f>IF(AND(V1499=1,D1499&lt;&gt;""),IF(D1499&gt;=corte,TODAY()-D1499,""),"")</f>
        <v/>
      </c>
      <c r="V1499" s="8">
        <f>IF(D1499="",0,IF(OR(AND(P1499&lt;&gt;"",S1499=""),AND(N(J1499)&gt;0,N(K1499)&lt;J1499),OR(M1499="PENDENTE",M1499="PARCIAL"),OR(N1499="PENDENTE",N1499="PARCIAL")),1,0))</f>
        <v/>
      </c>
      <c r="W1499" s="8">
        <f>IF(AND(V1499=1,D1499&lt;&gt;""),IF(D1499&gt;=corte,(B1499="CRÍTICO")*1E9+(100000-D1499)*10000+10000-ROW(),""),"")</f>
        <v/>
      </c>
      <c r="X1499" s="8">
        <f>IF(AND(V1499=1,D1499=pas_data,E1499=pas_turno),10000-ROW(),"")</f>
        <v/>
      </c>
    </row>
    <row r="1500">
      <c r="A1500" s="3">
        <f>IF(D1500="","","TT-"&amp;TEXT(ROW()-1,"00000"))</f>
        <v/>
      </c>
      <c r="B1500" s="3">
        <f>IF(D1500="","",IF(V1500=0,"CONCLUÍDO",IF(D1500&lt;corte,"HISTÓRICO",IF(OR(AND(ISNUMBER(R1500),R1500&lt;TODAY()),AND(OR(N1500="PENDENTE",N1500="PARCIAL"),D1500&lt;TODAY()-1)),"CRÍTICO",IF(OR(AND(P1500&lt;&gt;"",S1500=""),AND(N1500="REALIZADO",M1500="PENDENTE"),AND(ISNUMBER(R1500),R1500=TODAY())),"ATENÇÃO",IF(N(K1500)=0,"PENDENTE","EM ANDAMENTO"))))))</f>
        <v/>
      </c>
      <c r="C1500" s="3">
        <f>IF(D1500="","",IF(V1500=0,"🟢 OK",IF(D1500&lt;corte,"⚪ HISTÓRICO (sem baixa)",IF(AND(ISNUMBER(R1500),R1500&lt;TODAY()),"🔴 PRAZO VENCIDO",IF(AND(OR(N1500="PENDENTE",N1500="PARCIAL"),D1500&lt;TODAY()-1),"🔴 EMBARQUE ATRASADO",IF(AND(N1500="REALIZADO",M1500="PENDENTE"),"🟡 EMBARCADO SEM FATURAR",IF(AND(P1500&lt;&gt;"",S1500="",OR(Q1500="",R1500="")),"🟡 PENDÊNCIA SEM RESPONSÁVEL/PRAZO",IF(AND(ISNUMBER(R1500),R1500=TODAY()),"🟡 VENCE HOJE",IF(AND(P1500&lt;&gt;"",S1500=""),"🟡 PENDÊNCIA ABERTA",IF(AND(N(J1500)&gt;0,N(K1500)&lt;J1500),"🟡 FALTA EXECUTAR",IF(OR(M1500="PENDENTE",M1500="PARCIAL"),"🟡 FATURAMENTO PENDENTE","🟡 EMBARQUE PENDENTE")))))))))))</f>
        <v/>
      </c>
      <c r="D1500" s="4" t="n"/>
      <c r="E1500" s="5" t="n"/>
      <c r="F1500" s="5" t="n"/>
      <c r="G1500" s="5" t="n"/>
      <c r="H1500" s="5" t="n"/>
      <c r="I1500" s="5" t="n"/>
      <c r="J1500" s="6" t="n"/>
      <c r="K1500" s="6" t="n"/>
      <c r="L1500" s="7">
        <f>IF(OR(D1500="",N(J1500)=0),"",MIN(1,N(K1500)/J1500))</f>
        <v/>
      </c>
      <c r="M1500" s="5" t="n"/>
      <c r="N1500" s="5" t="n"/>
      <c r="O1500" s="5" t="n"/>
      <c r="P1500" s="5" t="n"/>
      <c r="Q1500" s="5" t="n"/>
      <c r="R1500" s="4" t="n"/>
      <c r="S1500" s="4" t="n"/>
      <c r="T1500" s="5" t="n"/>
      <c r="U1500" s="8">
        <f>IF(AND(V1500=1,D1500&lt;&gt;""),IF(D1500&gt;=corte,TODAY()-D1500,""),"")</f>
        <v/>
      </c>
      <c r="V1500" s="8">
        <f>IF(D1500="",0,IF(OR(AND(P1500&lt;&gt;"",S1500=""),AND(N(J1500)&gt;0,N(K1500)&lt;J1500),OR(M1500="PENDENTE",M1500="PARCIAL"),OR(N1500="PENDENTE",N1500="PARCIAL")),1,0))</f>
        <v/>
      </c>
      <c r="W1500" s="8">
        <f>IF(AND(V1500=1,D1500&lt;&gt;""),IF(D1500&gt;=corte,(B1500="CRÍTICO")*1E9+(100000-D1500)*10000+10000-ROW(),""),"")</f>
        <v/>
      </c>
      <c r="X1500" s="8">
        <f>IF(AND(V1500=1,D1500=pas_data,E1500=pas_turno),10000-ROW(),"")</f>
        <v/>
      </c>
    </row>
    <row r="1501">
      <c r="A1501" s="3">
        <f>IF(D1501="","","TT-"&amp;TEXT(ROW()-1,"00000"))</f>
        <v/>
      </c>
      <c r="B1501" s="3">
        <f>IF(D1501="","",IF(V1501=0,"CONCLUÍDO",IF(D1501&lt;corte,"HISTÓRICO",IF(OR(AND(ISNUMBER(R1501),R1501&lt;TODAY()),AND(OR(N1501="PENDENTE",N1501="PARCIAL"),D1501&lt;TODAY()-1)),"CRÍTICO",IF(OR(AND(P1501&lt;&gt;"",S1501=""),AND(N1501="REALIZADO",M1501="PENDENTE"),AND(ISNUMBER(R1501),R1501=TODAY())),"ATENÇÃO",IF(N(K1501)=0,"PENDENTE","EM ANDAMENTO"))))))</f>
        <v/>
      </c>
      <c r="C1501" s="3">
        <f>IF(D1501="","",IF(V1501=0,"🟢 OK",IF(D1501&lt;corte,"⚪ HISTÓRICO (sem baixa)",IF(AND(ISNUMBER(R1501),R1501&lt;TODAY()),"🔴 PRAZO VENCIDO",IF(AND(OR(N1501="PENDENTE",N1501="PARCIAL"),D1501&lt;TODAY()-1),"🔴 EMBARQUE ATRASADO",IF(AND(N1501="REALIZADO",M1501="PENDENTE"),"🟡 EMBARCADO SEM FATURAR",IF(AND(P1501&lt;&gt;"",S1501="",OR(Q1501="",R1501="")),"🟡 PENDÊNCIA SEM RESPONSÁVEL/PRAZO",IF(AND(ISNUMBER(R1501),R1501=TODAY()),"🟡 VENCE HOJE",IF(AND(P1501&lt;&gt;"",S1501=""),"🟡 PENDÊNCIA ABERTA",IF(AND(N(J1501)&gt;0,N(K1501)&lt;J1501),"🟡 FALTA EXECUTAR",IF(OR(M1501="PENDENTE",M1501="PARCIAL"),"🟡 FATURAMENTO PENDENTE","🟡 EMBARQUE PENDENTE")))))))))))</f>
        <v/>
      </c>
      <c r="D1501" s="4" t="n"/>
      <c r="E1501" s="5" t="n"/>
      <c r="F1501" s="5" t="n"/>
      <c r="G1501" s="5" t="n"/>
      <c r="H1501" s="5" t="n"/>
      <c r="I1501" s="5" t="n"/>
      <c r="J1501" s="6" t="n"/>
      <c r="K1501" s="6" t="n"/>
      <c r="L1501" s="7">
        <f>IF(OR(D1501="",N(J1501)=0),"",MIN(1,N(K1501)/J1501))</f>
        <v/>
      </c>
      <c r="M1501" s="5" t="n"/>
      <c r="N1501" s="5" t="n"/>
      <c r="O1501" s="5" t="n"/>
      <c r="P1501" s="5" t="n"/>
      <c r="Q1501" s="5" t="n"/>
      <c r="R1501" s="4" t="n"/>
      <c r="S1501" s="4" t="n"/>
      <c r="T1501" s="5" t="n"/>
      <c r="U1501" s="8">
        <f>IF(AND(V1501=1,D1501&lt;&gt;""),IF(D1501&gt;=corte,TODAY()-D1501,""),"")</f>
        <v/>
      </c>
      <c r="V1501" s="8">
        <f>IF(D1501="",0,IF(OR(AND(P1501&lt;&gt;"",S1501=""),AND(N(J1501)&gt;0,N(K1501)&lt;J1501),OR(M1501="PENDENTE",M1501="PARCIAL"),OR(N1501="PENDENTE",N1501="PARCIAL")),1,0))</f>
        <v/>
      </c>
      <c r="W1501" s="8">
        <f>IF(AND(V1501=1,D1501&lt;&gt;""),IF(D1501&gt;=corte,(B1501="CRÍTICO")*1E9+(100000-D1501)*10000+10000-ROW(),""),"")</f>
        <v/>
      </c>
      <c r="X1501" s="8">
        <f>IF(AND(V1501=1,D1501=pas_data,E1501=pas_turno),10000-ROW(),"")</f>
        <v/>
      </c>
    </row>
    <row r="1502">
      <c r="A1502" s="3">
        <f>IF(D1502="","","TT-"&amp;TEXT(ROW()-1,"00000"))</f>
        <v/>
      </c>
      <c r="B1502" s="3">
        <f>IF(D1502="","",IF(V1502=0,"CONCLUÍDO",IF(D1502&lt;corte,"HISTÓRICO",IF(OR(AND(ISNUMBER(R1502),R1502&lt;TODAY()),AND(OR(N1502="PENDENTE",N1502="PARCIAL"),D1502&lt;TODAY()-1)),"CRÍTICO",IF(OR(AND(P1502&lt;&gt;"",S1502=""),AND(N1502="REALIZADO",M1502="PENDENTE"),AND(ISNUMBER(R1502),R1502=TODAY())),"ATENÇÃO",IF(N(K1502)=0,"PENDENTE","EM ANDAMENTO"))))))</f>
        <v/>
      </c>
      <c r="C1502" s="3">
        <f>IF(D1502="","",IF(V1502=0,"🟢 OK",IF(D1502&lt;corte,"⚪ HISTÓRICO (sem baixa)",IF(AND(ISNUMBER(R1502),R1502&lt;TODAY()),"🔴 PRAZO VENCIDO",IF(AND(OR(N1502="PENDENTE",N1502="PARCIAL"),D1502&lt;TODAY()-1),"🔴 EMBARQUE ATRASADO",IF(AND(N1502="REALIZADO",M1502="PENDENTE"),"🟡 EMBARCADO SEM FATURAR",IF(AND(P1502&lt;&gt;"",S1502="",OR(Q1502="",R1502="")),"🟡 PENDÊNCIA SEM RESPONSÁVEL/PRAZO",IF(AND(ISNUMBER(R1502),R1502=TODAY()),"🟡 VENCE HOJE",IF(AND(P1502&lt;&gt;"",S1502=""),"🟡 PENDÊNCIA ABERTA",IF(AND(N(J1502)&gt;0,N(K1502)&lt;J1502),"🟡 FALTA EXECUTAR",IF(OR(M1502="PENDENTE",M1502="PARCIAL"),"🟡 FATURAMENTO PENDENTE","🟡 EMBARQUE PENDENTE")))))))))))</f>
        <v/>
      </c>
      <c r="D1502" s="4" t="n"/>
      <c r="E1502" s="5" t="n"/>
      <c r="F1502" s="5" t="n"/>
      <c r="G1502" s="5" t="n"/>
      <c r="H1502" s="5" t="n"/>
      <c r="I1502" s="5" t="n"/>
      <c r="J1502" s="6" t="n"/>
      <c r="K1502" s="6" t="n"/>
      <c r="L1502" s="7">
        <f>IF(OR(D1502="",N(J1502)=0),"",MIN(1,N(K1502)/J1502))</f>
        <v/>
      </c>
      <c r="M1502" s="5" t="n"/>
      <c r="N1502" s="5" t="n"/>
      <c r="O1502" s="5" t="n"/>
      <c r="P1502" s="5" t="n"/>
      <c r="Q1502" s="5" t="n"/>
      <c r="R1502" s="4" t="n"/>
      <c r="S1502" s="4" t="n"/>
      <c r="T1502" s="5" t="n"/>
      <c r="U1502" s="8">
        <f>IF(AND(V1502=1,D1502&lt;&gt;""),IF(D1502&gt;=corte,TODAY()-D1502,""),"")</f>
        <v/>
      </c>
      <c r="V1502" s="8">
        <f>IF(D1502="",0,IF(OR(AND(P1502&lt;&gt;"",S1502=""),AND(N(J1502)&gt;0,N(K1502)&lt;J1502),OR(M1502="PENDENTE",M1502="PARCIAL"),OR(N1502="PENDENTE",N1502="PARCIAL")),1,0))</f>
        <v/>
      </c>
      <c r="W1502" s="8">
        <f>IF(AND(V1502=1,D1502&lt;&gt;""),IF(D1502&gt;=corte,(B1502="CRÍTICO")*1E9+(100000-D1502)*10000+10000-ROW(),""),"")</f>
        <v/>
      </c>
      <c r="X1502" s="8">
        <f>IF(AND(V1502=1,D1502=pas_data,E1502=pas_turno),10000-ROW(),"")</f>
        <v/>
      </c>
    </row>
    <row r="1503">
      <c r="A1503" s="3">
        <f>IF(D1503="","","TT-"&amp;TEXT(ROW()-1,"00000"))</f>
        <v/>
      </c>
      <c r="B1503" s="3">
        <f>IF(D1503="","",IF(V1503=0,"CONCLUÍDO",IF(D1503&lt;corte,"HISTÓRICO",IF(OR(AND(ISNUMBER(R1503),R1503&lt;TODAY()),AND(OR(N1503="PENDENTE",N1503="PARCIAL"),D1503&lt;TODAY()-1)),"CRÍTICO",IF(OR(AND(P1503&lt;&gt;"",S1503=""),AND(N1503="REALIZADO",M1503="PENDENTE"),AND(ISNUMBER(R1503),R1503=TODAY())),"ATENÇÃO",IF(N(K1503)=0,"PENDENTE","EM ANDAMENTO"))))))</f>
        <v/>
      </c>
      <c r="C1503" s="3">
        <f>IF(D1503="","",IF(V1503=0,"🟢 OK",IF(D1503&lt;corte,"⚪ HISTÓRICO (sem baixa)",IF(AND(ISNUMBER(R1503),R1503&lt;TODAY()),"🔴 PRAZO VENCIDO",IF(AND(OR(N1503="PENDENTE",N1503="PARCIAL"),D1503&lt;TODAY()-1),"🔴 EMBARQUE ATRASADO",IF(AND(N1503="REALIZADO",M1503="PENDENTE"),"🟡 EMBARCADO SEM FATURAR",IF(AND(P1503&lt;&gt;"",S1503="",OR(Q1503="",R1503="")),"🟡 PENDÊNCIA SEM RESPONSÁVEL/PRAZO",IF(AND(ISNUMBER(R1503),R1503=TODAY()),"🟡 VENCE HOJE",IF(AND(P1503&lt;&gt;"",S1503=""),"🟡 PENDÊNCIA ABERTA",IF(AND(N(J1503)&gt;0,N(K1503)&lt;J1503),"🟡 FALTA EXECUTAR",IF(OR(M1503="PENDENTE",M1503="PARCIAL"),"🟡 FATURAMENTO PENDENTE","🟡 EMBARQUE PENDENTE")))))))))))</f>
        <v/>
      </c>
      <c r="D1503" s="4" t="n"/>
      <c r="E1503" s="5" t="n"/>
      <c r="F1503" s="5" t="n"/>
      <c r="G1503" s="5" t="n"/>
      <c r="H1503" s="5" t="n"/>
      <c r="I1503" s="5" t="n"/>
      <c r="J1503" s="6" t="n"/>
      <c r="K1503" s="6" t="n"/>
      <c r="L1503" s="7">
        <f>IF(OR(D1503="",N(J1503)=0),"",MIN(1,N(K1503)/J1503))</f>
        <v/>
      </c>
      <c r="M1503" s="5" t="n"/>
      <c r="N1503" s="5" t="n"/>
      <c r="O1503" s="5" t="n"/>
      <c r="P1503" s="5" t="n"/>
      <c r="Q1503" s="5" t="n"/>
      <c r="R1503" s="4" t="n"/>
      <c r="S1503" s="4" t="n"/>
      <c r="T1503" s="5" t="n"/>
      <c r="U1503" s="8">
        <f>IF(AND(V1503=1,D1503&lt;&gt;""),IF(D1503&gt;=corte,TODAY()-D1503,""),"")</f>
        <v/>
      </c>
      <c r="V1503" s="8">
        <f>IF(D1503="",0,IF(OR(AND(P1503&lt;&gt;"",S1503=""),AND(N(J1503)&gt;0,N(K1503)&lt;J1503),OR(M1503="PENDENTE",M1503="PARCIAL"),OR(N1503="PENDENTE",N1503="PARCIAL")),1,0))</f>
        <v/>
      </c>
      <c r="W1503" s="8">
        <f>IF(AND(V1503=1,D1503&lt;&gt;""),IF(D1503&gt;=corte,(B1503="CRÍTICO")*1E9+(100000-D1503)*10000+10000-ROW(),""),"")</f>
        <v/>
      </c>
      <c r="X1503" s="8">
        <f>IF(AND(V1503=1,D1503=pas_data,E1503=pas_turno),10000-ROW(),"")</f>
        <v/>
      </c>
    </row>
    <row r="1504">
      <c r="A1504" s="3">
        <f>IF(D1504="","","TT-"&amp;TEXT(ROW()-1,"00000"))</f>
        <v/>
      </c>
      <c r="B1504" s="3">
        <f>IF(D1504="","",IF(V1504=0,"CONCLUÍDO",IF(D1504&lt;corte,"HISTÓRICO",IF(OR(AND(ISNUMBER(R1504),R1504&lt;TODAY()),AND(OR(N1504="PENDENTE",N1504="PARCIAL"),D1504&lt;TODAY()-1)),"CRÍTICO",IF(OR(AND(P1504&lt;&gt;"",S1504=""),AND(N1504="REALIZADO",M1504="PENDENTE"),AND(ISNUMBER(R1504),R1504=TODAY())),"ATENÇÃO",IF(N(K1504)=0,"PENDENTE","EM ANDAMENTO"))))))</f>
        <v/>
      </c>
      <c r="C1504" s="3">
        <f>IF(D1504="","",IF(V1504=0,"🟢 OK",IF(D1504&lt;corte,"⚪ HISTÓRICO (sem baixa)",IF(AND(ISNUMBER(R1504),R1504&lt;TODAY()),"🔴 PRAZO VENCIDO",IF(AND(OR(N1504="PENDENTE",N1504="PARCIAL"),D1504&lt;TODAY()-1),"🔴 EMBARQUE ATRASADO",IF(AND(N1504="REALIZADO",M1504="PENDENTE"),"🟡 EMBARCADO SEM FATURAR",IF(AND(P1504&lt;&gt;"",S1504="",OR(Q1504="",R1504="")),"🟡 PENDÊNCIA SEM RESPONSÁVEL/PRAZO",IF(AND(ISNUMBER(R1504),R1504=TODAY()),"🟡 VENCE HOJE",IF(AND(P1504&lt;&gt;"",S1504=""),"🟡 PENDÊNCIA ABERTA",IF(AND(N(J1504)&gt;0,N(K1504)&lt;J1504),"🟡 FALTA EXECUTAR",IF(OR(M1504="PENDENTE",M1504="PARCIAL"),"🟡 FATURAMENTO PENDENTE","🟡 EMBARQUE PENDENTE")))))))))))</f>
        <v/>
      </c>
      <c r="D1504" s="4" t="n"/>
      <c r="E1504" s="5" t="n"/>
      <c r="F1504" s="5" t="n"/>
      <c r="G1504" s="5" t="n"/>
      <c r="H1504" s="5" t="n"/>
      <c r="I1504" s="5" t="n"/>
      <c r="J1504" s="6" t="n"/>
      <c r="K1504" s="6" t="n"/>
      <c r="L1504" s="7">
        <f>IF(OR(D1504="",N(J1504)=0),"",MIN(1,N(K1504)/J1504))</f>
        <v/>
      </c>
      <c r="M1504" s="5" t="n"/>
      <c r="N1504" s="5" t="n"/>
      <c r="O1504" s="5" t="n"/>
      <c r="P1504" s="5" t="n"/>
      <c r="Q1504" s="5" t="n"/>
      <c r="R1504" s="4" t="n"/>
      <c r="S1504" s="4" t="n"/>
      <c r="T1504" s="5" t="n"/>
      <c r="U1504" s="8">
        <f>IF(AND(V1504=1,D1504&lt;&gt;""),IF(D1504&gt;=corte,TODAY()-D1504,""),"")</f>
        <v/>
      </c>
      <c r="V1504" s="8">
        <f>IF(D1504="",0,IF(OR(AND(P1504&lt;&gt;"",S1504=""),AND(N(J1504)&gt;0,N(K1504)&lt;J1504),OR(M1504="PENDENTE",M1504="PARCIAL"),OR(N1504="PENDENTE",N1504="PARCIAL")),1,0))</f>
        <v/>
      </c>
      <c r="W1504" s="8">
        <f>IF(AND(V1504=1,D1504&lt;&gt;""),IF(D1504&gt;=corte,(B1504="CRÍTICO")*1E9+(100000-D1504)*10000+10000-ROW(),""),"")</f>
        <v/>
      </c>
      <c r="X1504" s="8">
        <f>IF(AND(V1504=1,D1504=pas_data,E1504=pas_turno),10000-ROW(),"")</f>
        <v/>
      </c>
    </row>
    <row r="1505">
      <c r="A1505" s="3">
        <f>IF(D1505="","","TT-"&amp;TEXT(ROW()-1,"00000"))</f>
        <v/>
      </c>
      <c r="B1505" s="3">
        <f>IF(D1505="","",IF(V1505=0,"CONCLUÍDO",IF(D1505&lt;corte,"HISTÓRICO",IF(OR(AND(ISNUMBER(R1505),R1505&lt;TODAY()),AND(OR(N1505="PENDENTE",N1505="PARCIAL"),D1505&lt;TODAY()-1)),"CRÍTICO",IF(OR(AND(P1505&lt;&gt;"",S1505=""),AND(N1505="REALIZADO",M1505="PENDENTE"),AND(ISNUMBER(R1505),R1505=TODAY())),"ATENÇÃO",IF(N(K1505)=0,"PENDENTE","EM ANDAMENTO"))))))</f>
        <v/>
      </c>
      <c r="C1505" s="3">
        <f>IF(D1505="","",IF(V1505=0,"🟢 OK",IF(D1505&lt;corte,"⚪ HISTÓRICO (sem baixa)",IF(AND(ISNUMBER(R1505),R1505&lt;TODAY()),"🔴 PRAZO VENCIDO",IF(AND(OR(N1505="PENDENTE",N1505="PARCIAL"),D1505&lt;TODAY()-1),"🔴 EMBARQUE ATRASADO",IF(AND(N1505="REALIZADO",M1505="PENDENTE"),"🟡 EMBARCADO SEM FATURAR",IF(AND(P1505&lt;&gt;"",S1505="",OR(Q1505="",R1505="")),"🟡 PENDÊNCIA SEM RESPONSÁVEL/PRAZO",IF(AND(ISNUMBER(R1505),R1505=TODAY()),"🟡 VENCE HOJE",IF(AND(P1505&lt;&gt;"",S1505=""),"🟡 PENDÊNCIA ABERTA",IF(AND(N(J1505)&gt;0,N(K1505)&lt;J1505),"🟡 FALTA EXECUTAR",IF(OR(M1505="PENDENTE",M1505="PARCIAL"),"🟡 FATURAMENTO PENDENTE","🟡 EMBARQUE PENDENTE")))))))))))</f>
        <v/>
      </c>
      <c r="D1505" s="4" t="n"/>
      <c r="E1505" s="5" t="n"/>
      <c r="F1505" s="5" t="n"/>
      <c r="G1505" s="5" t="n"/>
      <c r="H1505" s="5" t="n"/>
      <c r="I1505" s="5" t="n"/>
      <c r="J1505" s="6" t="n"/>
      <c r="K1505" s="6" t="n"/>
      <c r="L1505" s="7">
        <f>IF(OR(D1505="",N(J1505)=0),"",MIN(1,N(K1505)/J1505))</f>
        <v/>
      </c>
      <c r="M1505" s="5" t="n"/>
      <c r="N1505" s="5" t="n"/>
      <c r="O1505" s="5" t="n"/>
      <c r="P1505" s="5" t="n"/>
      <c r="Q1505" s="5" t="n"/>
      <c r="R1505" s="4" t="n"/>
      <c r="S1505" s="4" t="n"/>
      <c r="T1505" s="5" t="n"/>
      <c r="U1505" s="8">
        <f>IF(AND(V1505=1,D1505&lt;&gt;""),IF(D1505&gt;=corte,TODAY()-D1505,""),"")</f>
        <v/>
      </c>
      <c r="V1505" s="8">
        <f>IF(D1505="",0,IF(OR(AND(P1505&lt;&gt;"",S1505=""),AND(N(J1505)&gt;0,N(K1505)&lt;J1505),OR(M1505="PENDENTE",M1505="PARCIAL"),OR(N1505="PENDENTE",N1505="PARCIAL")),1,0))</f>
        <v/>
      </c>
      <c r="W1505" s="8">
        <f>IF(AND(V1505=1,D1505&lt;&gt;""),IF(D1505&gt;=corte,(B1505="CRÍTICO")*1E9+(100000-D1505)*10000+10000-ROW(),""),"")</f>
        <v/>
      </c>
      <c r="X1505" s="8">
        <f>IF(AND(V1505=1,D1505=pas_data,E1505=pas_turno),10000-ROW(),"")</f>
        <v/>
      </c>
    </row>
    <row r="1506">
      <c r="A1506" s="3">
        <f>IF(D1506="","","TT-"&amp;TEXT(ROW()-1,"00000"))</f>
        <v/>
      </c>
      <c r="B1506" s="3">
        <f>IF(D1506="","",IF(V1506=0,"CONCLUÍDO",IF(D1506&lt;corte,"HISTÓRICO",IF(OR(AND(ISNUMBER(R1506),R1506&lt;TODAY()),AND(OR(N1506="PENDENTE",N1506="PARCIAL"),D1506&lt;TODAY()-1)),"CRÍTICO",IF(OR(AND(P1506&lt;&gt;"",S1506=""),AND(N1506="REALIZADO",M1506="PENDENTE"),AND(ISNUMBER(R1506),R1506=TODAY())),"ATENÇÃO",IF(N(K1506)=0,"PENDENTE","EM ANDAMENTO"))))))</f>
        <v/>
      </c>
      <c r="C1506" s="3">
        <f>IF(D1506="","",IF(V1506=0,"🟢 OK",IF(D1506&lt;corte,"⚪ HISTÓRICO (sem baixa)",IF(AND(ISNUMBER(R1506),R1506&lt;TODAY()),"🔴 PRAZO VENCIDO",IF(AND(OR(N1506="PENDENTE",N1506="PARCIAL"),D1506&lt;TODAY()-1),"🔴 EMBARQUE ATRASADO",IF(AND(N1506="REALIZADO",M1506="PENDENTE"),"🟡 EMBARCADO SEM FATURAR",IF(AND(P1506&lt;&gt;"",S1506="",OR(Q1506="",R1506="")),"🟡 PENDÊNCIA SEM RESPONSÁVEL/PRAZO",IF(AND(ISNUMBER(R1506),R1506=TODAY()),"🟡 VENCE HOJE",IF(AND(P1506&lt;&gt;"",S1506=""),"🟡 PENDÊNCIA ABERTA",IF(AND(N(J1506)&gt;0,N(K1506)&lt;J1506),"🟡 FALTA EXECUTAR",IF(OR(M1506="PENDENTE",M1506="PARCIAL"),"🟡 FATURAMENTO PENDENTE","🟡 EMBARQUE PENDENTE")))))))))))</f>
        <v/>
      </c>
      <c r="D1506" s="4" t="n"/>
      <c r="E1506" s="5" t="n"/>
      <c r="F1506" s="5" t="n"/>
      <c r="G1506" s="5" t="n"/>
      <c r="H1506" s="5" t="n"/>
      <c r="I1506" s="5" t="n"/>
      <c r="J1506" s="6" t="n"/>
      <c r="K1506" s="6" t="n"/>
      <c r="L1506" s="7">
        <f>IF(OR(D1506="",N(J1506)=0),"",MIN(1,N(K1506)/J1506))</f>
        <v/>
      </c>
      <c r="M1506" s="5" t="n"/>
      <c r="N1506" s="5" t="n"/>
      <c r="O1506" s="5" t="n"/>
      <c r="P1506" s="5" t="n"/>
      <c r="Q1506" s="5" t="n"/>
      <c r="R1506" s="4" t="n"/>
      <c r="S1506" s="4" t="n"/>
      <c r="T1506" s="5" t="n"/>
      <c r="U1506" s="8">
        <f>IF(AND(V1506=1,D1506&lt;&gt;""),IF(D1506&gt;=corte,TODAY()-D1506,""),"")</f>
        <v/>
      </c>
      <c r="V1506" s="8">
        <f>IF(D1506="",0,IF(OR(AND(P1506&lt;&gt;"",S1506=""),AND(N(J1506)&gt;0,N(K1506)&lt;J1506),OR(M1506="PENDENTE",M1506="PARCIAL"),OR(N1506="PENDENTE",N1506="PARCIAL")),1,0))</f>
        <v/>
      </c>
      <c r="W1506" s="8">
        <f>IF(AND(V1506=1,D1506&lt;&gt;""),IF(D1506&gt;=corte,(B1506="CRÍTICO")*1E9+(100000-D1506)*10000+10000-ROW(),""),"")</f>
        <v/>
      </c>
      <c r="X1506" s="8">
        <f>IF(AND(V1506=1,D1506=pas_data,E1506=pas_turno),10000-ROW(),"")</f>
        <v/>
      </c>
    </row>
    <row r="1507">
      <c r="A1507" s="3">
        <f>IF(D1507="","","TT-"&amp;TEXT(ROW()-1,"00000"))</f>
        <v/>
      </c>
      <c r="B1507" s="3">
        <f>IF(D1507="","",IF(V1507=0,"CONCLUÍDO",IF(D1507&lt;corte,"HISTÓRICO",IF(OR(AND(ISNUMBER(R1507),R1507&lt;TODAY()),AND(OR(N1507="PENDENTE",N1507="PARCIAL"),D1507&lt;TODAY()-1)),"CRÍTICO",IF(OR(AND(P1507&lt;&gt;"",S1507=""),AND(N1507="REALIZADO",M1507="PENDENTE"),AND(ISNUMBER(R1507),R1507=TODAY())),"ATENÇÃO",IF(N(K1507)=0,"PENDENTE","EM ANDAMENTO"))))))</f>
        <v/>
      </c>
      <c r="C1507" s="3">
        <f>IF(D1507="","",IF(V1507=0,"🟢 OK",IF(D1507&lt;corte,"⚪ HISTÓRICO (sem baixa)",IF(AND(ISNUMBER(R1507),R1507&lt;TODAY()),"🔴 PRAZO VENCIDO",IF(AND(OR(N1507="PENDENTE",N1507="PARCIAL"),D1507&lt;TODAY()-1),"🔴 EMBARQUE ATRASADO",IF(AND(N1507="REALIZADO",M1507="PENDENTE"),"🟡 EMBARCADO SEM FATURAR",IF(AND(P1507&lt;&gt;"",S1507="",OR(Q1507="",R1507="")),"🟡 PENDÊNCIA SEM RESPONSÁVEL/PRAZO",IF(AND(ISNUMBER(R1507),R1507=TODAY()),"🟡 VENCE HOJE",IF(AND(P1507&lt;&gt;"",S1507=""),"🟡 PENDÊNCIA ABERTA",IF(AND(N(J1507)&gt;0,N(K1507)&lt;J1507),"🟡 FALTA EXECUTAR",IF(OR(M1507="PENDENTE",M1507="PARCIAL"),"🟡 FATURAMENTO PENDENTE","🟡 EMBARQUE PENDENTE")))))))))))</f>
        <v/>
      </c>
      <c r="D1507" s="4" t="n"/>
      <c r="E1507" s="5" t="n"/>
      <c r="F1507" s="5" t="n"/>
      <c r="G1507" s="5" t="n"/>
      <c r="H1507" s="5" t="n"/>
      <c r="I1507" s="5" t="n"/>
      <c r="J1507" s="6" t="n"/>
      <c r="K1507" s="6" t="n"/>
      <c r="L1507" s="7">
        <f>IF(OR(D1507="",N(J1507)=0),"",MIN(1,N(K1507)/J1507))</f>
        <v/>
      </c>
      <c r="M1507" s="5" t="n"/>
      <c r="N1507" s="5" t="n"/>
      <c r="O1507" s="5" t="n"/>
      <c r="P1507" s="5" t="n"/>
      <c r="Q1507" s="5" t="n"/>
      <c r="R1507" s="4" t="n"/>
      <c r="S1507" s="4" t="n"/>
      <c r="T1507" s="5" t="n"/>
      <c r="U1507" s="8">
        <f>IF(AND(V1507=1,D1507&lt;&gt;""),IF(D1507&gt;=corte,TODAY()-D1507,""),"")</f>
        <v/>
      </c>
      <c r="V1507" s="8">
        <f>IF(D1507="",0,IF(OR(AND(P1507&lt;&gt;"",S1507=""),AND(N(J1507)&gt;0,N(K1507)&lt;J1507),OR(M1507="PENDENTE",M1507="PARCIAL"),OR(N1507="PENDENTE",N1507="PARCIAL")),1,0))</f>
        <v/>
      </c>
      <c r="W1507" s="8">
        <f>IF(AND(V1507=1,D1507&lt;&gt;""),IF(D1507&gt;=corte,(B1507="CRÍTICO")*1E9+(100000-D1507)*10000+10000-ROW(),""),"")</f>
        <v/>
      </c>
      <c r="X1507" s="8">
        <f>IF(AND(V1507=1,D1507=pas_data,E1507=pas_turno),10000-ROW(),"")</f>
        <v/>
      </c>
    </row>
    <row r="1508">
      <c r="A1508" s="3">
        <f>IF(D1508="","","TT-"&amp;TEXT(ROW()-1,"00000"))</f>
        <v/>
      </c>
      <c r="B1508" s="3">
        <f>IF(D1508="","",IF(V1508=0,"CONCLUÍDO",IF(D1508&lt;corte,"HISTÓRICO",IF(OR(AND(ISNUMBER(R1508),R1508&lt;TODAY()),AND(OR(N1508="PENDENTE",N1508="PARCIAL"),D1508&lt;TODAY()-1)),"CRÍTICO",IF(OR(AND(P1508&lt;&gt;"",S1508=""),AND(N1508="REALIZADO",M1508="PENDENTE"),AND(ISNUMBER(R1508),R1508=TODAY())),"ATENÇÃO",IF(N(K1508)=0,"PENDENTE","EM ANDAMENTO"))))))</f>
        <v/>
      </c>
      <c r="C1508" s="3">
        <f>IF(D1508="","",IF(V1508=0,"🟢 OK",IF(D1508&lt;corte,"⚪ HISTÓRICO (sem baixa)",IF(AND(ISNUMBER(R1508),R1508&lt;TODAY()),"🔴 PRAZO VENCIDO",IF(AND(OR(N1508="PENDENTE",N1508="PARCIAL"),D1508&lt;TODAY()-1),"🔴 EMBARQUE ATRASADO",IF(AND(N1508="REALIZADO",M1508="PENDENTE"),"🟡 EMBARCADO SEM FATURAR",IF(AND(P1508&lt;&gt;"",S1508="",OR(Q1508="",R1508="")),"🟡 PENDÊNCIA SEM RESPONSÁVEL/PRAZO",IF(AND(ISNUMBER(R1508),R1508=TODAY()),"🟡 VENCE HOJE",IF(AND(P1508&lt;&gt;"",S1508=""),"🟡 PENDÊNCIA ABERTA",IF(AND(N(J1508)&gt;0,N(K1508)&lt;J1508),"🟡 FALTA EXECUTAR",IF(OR(M1508="PENDENTE",M1508="PARCIAL"),"🟡 FATURAMENTO PENDENTE","🟡 EMBARQUE PENDENTE")))))))))))</f>
        <v/>
      </c>
      <c r="D1508" s="4" t="n"/>
      <c r="E1508" s="5" t="n"/>
      <c r="F1508" s="5" t="n"/>
      <c r="G1508" s="5" t="n"/>
      <c r="H1508" s="5" t="n"/>
      <c r="I1508" s="5" t="n"/>
      <c r="J1508" s="6" t="n"/>
      <c r="K1508" s="6" t="n"/>
      <c r="L1508" s="7">
        <f>IF(OR(D1508="",N(J1508)=0),"",MIN(1,N(K1508)/J1508))</f>
        <v/>
      </c>
      <c r="M1508" s="5" t="n"/>
      <c r="N1508" s="5" t="n"/>
      <c r="O1508" s="5" t="n"/>
      <c r="P1508" s="5" t="n"/>
      <c r="Q1508" s="5" t="n"/>
      <c r="R1508" s="4" t="n"/>
      <c r="S1508" s="4" t="n"/>
      <c r="T1508" s="5" t="n"/>
      <c r="U1508" s="8">
        <f>IF(AND(V1508=1,D1508&lt;&gt;""),IF(D1508&gt;=corte,TODAY()-D1508,""),"")</f>
        <v/>
      </c>
      <c r="V1508" s="8">
        <f>IF(D1508="",0,IF(OR(AND(P1508&lt;&gt;"",S1508=""),AND(N(J1508)&gt;0,N(K1508)&lt;J1508),OR(M1508="PENDENTE",M1508="PARCIAL"),OR(N1508="PENDENTE",N1508="PARCIAL")),1,0))</f>
        <v/>
      </c>
      <c r="W1508" s="8">
        <f>IF(AND(V1508=1,D1508&lt;&gt;""),IF(D1508&gt;=corte,(B1508="CRÍTICO")*1E9+(100000-D1508)*10000+10000-ROW(),""),"")</f>
        <v/>
      </c>
      <c r="X1508" s="8">
        <f>IF(AND(V1508=1,D1508=pas_data,E1508=pas_turno),10000-ROW(),"")</f>
        <v/>
      </c>
    </row>
    <row r="1509">
      <c r="A1509" s="3">
        <f>IF(D1509="","","TT-"&amp;TEXT(ROW()-1,"00000"))</f>
        <v/>
      </c>
      <c r="B1509" s="3">
        <f>IF(D1509="","",IF(V1509=0,"CONCLUÍDO",IF(D1509&lt;corte,"HISTÓRICO",IF(OR(AND(ISNUMBER(R1509),R1509&lt;TODAY()),AND(OR(N1509="PENDENTE",N1509="PARCIAL"),D1509&lt;TODAY()-1)),"CRÍTICO",IF(OR(AND(P1509&lt;&gt;"",S1509=""),AND(N1509="REALIZADO",M1509="PENDENTE"),AND(ISNUMBER(R1509),R1509=TODAY())),"ATENÇÃO",IF(N(K1509)=0,"PENDENTE","EM ANDAMENTO"))))))</f>
        <v/>
      </c>
      <c r="C1509" s="3">
        <f>IF(D1509="","",IF(V1509=0,"🟢 OK",IF(D1509&lt;corte,"⚪ HISTÓRICO (sem baixa)",IF(AND(ISNUMBER(R1509),R1509&lt;TODAY()),"🔴 PRAZO VENCIDO",IF(AND(OR(N1509="PENDENTE",N1509="PARCIAL"),D1509&lt;TODAY()-1),"🔴 EMBARQUE ATRASADO",IF(AND(N1509="REALIZADO",M1509="PENDENTE"),"🟡 EMBARCADO SEM FATURAR",IF(AND(P1509&lt;&gt;"",S1509="",OR(Q1509="",R1509="")),"🟡 PENDÊNCIA SEM RESPONSÁVEL/PRAZO",IF(AND(ISNUMBER(R1509),R1509=TODAY()),"🟡 VENCE HOJE",IF(AND(P1509&lt;&gt;"",S1509=""),"🟡 PENDÊNCIA ABERTA",IF(AND(N(J1509)&gt;0,N(K1509)&lt;J1509),"🟡 FALTA EXECUTAR",IF(OR(M1509="PENDENTE",M1509="PARCIAL"),"🟡 FATURAMENTO PENDENTE","🟡 EMBARQUE PENDENTE")))))))))))</f>
        <v/>
      </c>
      <c r="D1509" s="4" t="n"/>
      <c r="E1509" s="5" t="n"/>
      <c r="F1509" s="5" t="n"/>
      <c r="G1509" s="5" t="n"/>
      <c r="H1509" s="5" t="n"/>
      <c r="I1509" s="5" t="n"/>
      <c r="J1509" s="6" t="n"/>
      <c r="K1509" s="6" t="n"/>
      <c r="L1509" s="7">
        <f>IF(OR(D1509="",N(J1509)=0),"",MIN(1,N(K1509)/J1509))</f>
        <v/>
      </c>
      <c r="M1509" s="5" t="n"/>
      <c r="N1509" s="5" t="n"/>
      <c r="O1509" s="5" t="n"/>
      <c r="P1509" s="5" t="n"/>
      <c r="Q1509" s="5" t="n"/>
      <c r="R1509" s="4" t="n"/>
      <c r="S1509" s="4" t="n"/>
      <c r="T1509" s="5" t="n"/>
      <c r="U1509" s="8">
        <f>IF(AND(V1509=1,D1509&lt;&gt;""),IF(D1509&gt;=corte,TODAY()-D1509,""),"")</f>
        <v/>
      </c>
      <c r="V1509" s="8">
        <f>IF(D1509="",0,IF(OR(AND(P1509&lt;&gt;"",S1509=""),AND(N(J1509)&gt;0,N(K1509)&lt;J1509),OR(M1509="PENDENTE",M1509="PARCIAL"),OR(N1509="PENDENTE",N1509="PARCIAL")),1,0))</f>
        <v/>
      </c>
      <c r="W1509" s="8">
        <f>IF(AND(V1509=1,D1509&lt;&gt;""),IF(D1509&gt;=corte,(B1509="CRÍTICO")*1E9+(100000-D1509)*10000+10000-ROW(),""),"")</f>
        <v/>
      </c>
      <c r="X1509" s="8">
        <f>IF(AND(V1509=1,D1509=pas_data,E1509=pas_turno),10000-ROW(),"")</f>
        <v/>
      </c>
    </row>
    <row r="1510">
      <c r="A1510" s="3">
        <f>IF(D1510="","","TT-"&amp;TEXT(ROW()-1,"00000"))</f>
        <v/>
      </c>
      <c r="B1510" s="3">
        <f>IF(D1510="","",IF(V1510=0,"CONCLUÍDO",IF(D1510&lt;corte,"HISTÓRICO",IF(OR(AND(ISNUMBER(R1510),R1510&lt;TODAY()),AND(OR(N1510="PENDENTE",N1510="PARCIAL"),D1510&lt;TODAY()-1)),"CRÍTICO",IF(OR(AND(P1510&lt;&gt;"",S1510=""),AND(N1510="REALIZADO",M1510="PENDENTE"),AND(ISNUMBER(R1510),R1510=TODAY())),"ATENÇÃO",IF(N(K1510)=0,"PENDENTE","EM ANDAMENTO"))))))</f>
        <v/>
      </c>
      <c r="C1510" s="3">
        <f>IF(D1510="","",IF(V1510=0,"🟢 OK",IF(D1510&lt;corte,"⚪ HISTÓRICO (sem baixa)",IF(AND(ISNUMBER(R1510),R1510&lt;TODAY()),"🔴 PRAZO VENCIDO",IF(AND(OR(N1510="PENDENTE",N1510="PARCIAL"),D1510&lt;TODAY()-1),"🔴 EMBARQUE ATRASADO",IF(AND(N1510="REALIZADO",M1510="PENDENTE"),"🟡 EMBARCADO SEM FATURAR",IF(AND(P1510&lt;&gt;"",S1510="",OR(Q1510="",R1510="")),"🟡 PENDÊNCIA SEM RESPONSÁVEL/PRAZO",IF(AND(ISNUMBER(R1510),R1510=TODAY()),"🟡 VENCE HOJE",IF(AND(P1510&lt;&gt;"",S1510=""),"🟡 PENDÊNCIA ABERTA",IF(AND(N(J1510)&gt;0,N(K1510)&lt;J1510),"🟡 FALTA EXECUTAR",IF(OR(M1510="PENDENTE",M1510="PARCIAL"),"🟡 FATURAMENTO PENDENTE","🟡 EMBARQUE PENDENTE")))))))))))</f>
        <v/>
      </c>
      <c r="D1510" s="4" t="n"/>
      <c r="E1510" s="5" t="n"/>
      <c r="F1510" s="5" t="n"/>
      <c r="G1510" s="5" t="n"/>
      <c r="H1510" s="5" t="n"/>
      <c r="I1510" s="5" t="n"/>
      <c r="J1510" s="6" t="n"/>
      <c r="K1510" s="6" t="n"/>
      <c r="L1510" s="7">
        <f>IF(OR(D1510="",N(J1510)=0),"",MIN(1,N(K1510)/J1510))</f>
        <v/>
      </c>
      <c r="M1510" s="5" t="n"/>
      <c r="N1510" s="5" t="n"/>
      <c r="O1510" s="5" t="n"/>
      <c r="P1510" s="5" t="n"/>
      <c r="Q1510" s="5" t="n"/>
      <c r="R1510" s="4" t="n"/>
      <c r="S1510" s="4" t="n"/>
      <c r="T1510" s="5" t="n"/>
      <c r="U1510" s="8">
        <f>IF(AND(V1510=1,D1510&lt;&gt;""),IF(D1510&gt;=corte,TODAY()-D1510,""),"")</f>
        <v/>
      </c>
      <c r="V1510" s="8">
        <f>IF(D1510="",0,IF(OR(AND(P1510&lt;&gt;"",S1510=""),AND(N(J1510)&gt;0,N(K1510)&lt;J1510),OR(M1510="PENDENTE",M1510="PARCIAL"),OR(N1510="PENDENTE",N1510="PARCIAL")),1,0))</f>
        <v/>
      </c>
      <c r="W1510" s="8">
        <f>IF(AND(V1510=1,D1510&lt;&gt;""),IF(D1510&gt;=corte,(B1510="CRÍTICO")*1E9+(100000-D1510)*10000+10000-ROW(),""),"")</f>
        <v/>
      </c>
      <c r="X1510" s="8">
        <f>IF(AND(V1510=1,D1510=pas_data,E1510=pas_turno),10000-ROW(),"")</f>
        <v/>
      </c>
    </row>
    <row r="1511">
      <c r="A1511" s="3">
        <f>IF(D1511="","","TT-"&amp;TEXT(ROW()-1,"00000"))</f>
        <v/>
      </c>
      <c r="B1511" s="3">
        <f>IF(D1511="","",IF(V1511=0,"CONCLUÍDO",IF(D1511&lt;corte,"HISTÓRICO",IF(OR(AND(ISNUMBER(R1511),R1511&lt;TODAY()),AND(OR(N1511="PENDENTE",N1511="PARCIAL"),D1511&lt;TODAY()-1)),"CRÍTICO",IF(OR(AND(P1511&lt;&gt;"",S1511=""),AND(N1511="REALIZADO",M1511="PENDENTE"),AND(ISNUMBER(R1511),R1511=TODAY())),"ATENÇÃO",IF(N(K1511)=0,"PENDENTE","EM ANDAMENTO"))))))</f>
        <v/>
      </c>
      <c r="C1511" s="3">
        <f>IF(D1511="","",IF(V1511=0,"🟢 OK",IF(D1511&lt;corte,"⚪ HISTÓRICO (sem baixa)",IF(AND(ISNUMBER(R1511),R1511&lt;TODAY()),"🔴 PRAZO VENCIDO",IF(AND(OR(N1511="PENDENTE",N1511="PARCIAL"),D1511&lt;TODAY()-1),"🔴 EMBARQUE ATRASADO",IF(AND(N1511="REALIZADO",M1511="PENDENTE"),"🟡 EMBARCADO SEM FATURAR",IF(AND(P1511&lt;&gt;"",S1511="",OR(Q1511="",R1511="")),"🟡 PENDÊNCIA SEM RESPONSÁVEL/PRAZO",IF(AND(ISNUMBER(R1511),R1511=TODAY()),"🟡 VENCE HOJE",IF(AND(P1511&lt;&gt;"",S1511=""),"🟡 PENDÊNCIA ABERTA",IF(AND(N(J1511)&gt;0,N(K1511)&lt;J1511),"🟡 FALTA EXECUTAR",IF(OR(M1511="PENDENTE",M1511="PARCIAL"),"🟡 FATURAMENTO PENDENTE","🟡 EMBARQUE PENDENTE")))))))))))</f>
        <v/>
      </c>
      <c r="D1511" s="4" t="n"/>
      <c r="E1511" s="5" t="n"/>
      <c r="F1511" s="5" t="n"/>
      <c r="G1511" s="5" t="n"/>
      <c r="H1511" s="5" t="n"/>
      <c r="I1511" s="5" t="n"/>
      <c r="J1511" s="6" t="n"/>
      <c r="K1511" s="6" t="n"/>
      <c r="L1511" s="7">
        <f>IF(OR(D1511="",N(J1511)=0),"",MIN(1,N(K1511)/J1511))</f>
        <v/>
      </c>
      <c r="M1511" s="5" t="n"/>
      <c r="N1511" s="5" t="n"/>
      <c r="O1511" s="5" t="n"/>
      <c r="P1511" s="5" t="n"/>
      <c r="Q1511" s="5" t="n"/>
      <c r="R1511" s="4" t="n"/>
      <c r="S1511" s="4" t="n"/>
      <c r="T1511" s="5" t="n"/>
      <c r="U1511" s="8">
        <f>IF(AND(V1511=1,D1511&lt;&gt;""),IF(D1511&gt;=corte,TODAY()-D1511,""),"")</f>
        <v/>
      </c>
      <c r="V1511" s="8">
        <f>IF(D1511="",0,IF(OR(AND(P1511&lt;&gt;"",S1511=""),AND(N(J1511)&gt;0,N(K1511)&lt;J1511),OR(M1511="PENDENTE",M1511="PARCIAL"),OR(N1511="PENDENTE",N1511="PARCIAL")),1,0))</f>
        <v/>
      </c>
      <c r="W1511" s="8">
        <f>IF(AND(V1511=1,D1511&lt;&gt;""),IF(D1511&gt;=corte,(B1511="CRÍTICO")*1E9+(100000-D1511)*10000+10000-ROW(),""),"")</f>
        <v/>
      </c>
      <c r="X1511" s="8">
        <f>IF(AND(V1511=1,D1511=pas_data,E1511=pas_turno),10000-ROW(),"")</f>
        <v/>
      </c>
    </row>
    <row r="1512">
      <c r="A1512" s="3">
        <f>IF(D1512="","","TT-"&amp;TEXT(ROW()-1,"00000"))</f>
        <v/>
      </c>
      <c r="B1512" s="3">
        <f>IF(D1512="","",IF(V1512=0,"CONCLUÍDO",IF(D1512&lt;corte,"HISTÓRICO",IF(OR(AND(ISNUMBER(R1512),R1512&lt;TODAY()),AND(OR(N1512="PENDENTE",N1512="PARCIAL"),D1512&lt;TODAY()-1)),"CRÍTICO",IF(OR(AND(P1512&lt;&gt;"",S1512=""),AND(N1512="REALIZADO",M1512="PENDENTE"),AND(ISNUMBER(R1512),R1512=TODAY())),"ATENÇÃO",IF(N(K1512)=0,"PENDENTE","EM ANDAMENTO"))))))</f>
        <v/>
      </c>
      <c r="C1512" s="3">
        <f>IF(D1512="","",IF(V1512=0,"🟢 OK",IF(D1512&lt;corte,"⚪ HISTÓRICO (sem baixa)",IF(AND(ISNUMBER(R1512),R1512&lt;TODAY()),"🔴 PRAZO VENCIDO",IF(AND(OR(N1512="PENDENTE",N1512="PARCIAL"),D1512&lt;TODAY()-1),"🔴 EMBARQUE ATRASADO",IF(AND(N1512="REALIZADO",M1512="PENDENTE"),"🟡 EMBARCADO SEM FATURAR",IF(AND(P1512&lt;&gt;"",S1512="",OR(Q1512="",R1512="")),"🟡 PENDÊNCIA SEM RESPONSÁVEL/PRAZO",IF(AND(ISNUMBER(R1512),R1512=TODAY()),"🟡 VENCE HOJE",IF(AND(P1512&lt;&gt;"",S1512=""),"🟡 PENDÊNCIA ABERTA",IF(AND(N(J1512)&gt;0,N(K1512)&lt;J1512),"🟡 FALTA EXECUTAR",IF(OR(M1512="PENDENTE",M1512="PARCIAL"),"🟡 FATURAMENTO PENDENTE","🟡 EMBARQUE PENDENTE")))))))))))</f>
        <v/>
      </c>
      <c r="D1512" s="4" t="n"/>
      <c r="E1512" s="5" t="n"/>
      <c r="F1512" s="5" t="n"/>
      <c r="G1512" s="5" t="n"/>
      <c r="H1512" s="5" t="n"/>
      <c r="I1512" s="5" t="n"/>
      <c r="J1512" s="6" t="n"/>
      <c r="K1512" s="6" t="n"/>
      <c r="L1512" s="7">
        <f>IF(OR(D1512="",N(J1512)=0),"",MIN(1,N(K1512)/J1512))</f>
        <v/>
      </c>
      <c r="M1512" s="5" t="n"/>
      <c r="N1512" s="5" t="n"/>
      <c r="O1512" s="5" t="n"/>
      <c r="P1512" s="5" t="n"/>
      <c r="Q1512" s="5" t="n"/>
      <c r="R1512" s="4" t="n"/>
      <c r="S1512" s="4" t="n"/>
      <c r="T1512" s="5" t="n"/>
      <c r="U1512" s="8">
        <f>IF(AND(V1512=1,D1512&lt;&gt;""),IF(D1512&gt;=corte,TODAY()-D1512,""),"")</f>
        <v/>
      </c>
      <c r="V1512" s="8">
        <f>IF(D1512="",0,IF(OR(AND(P1512&lt;&gt;"",S1512=""),AND(N(J1512)&gt;0,N(K1512)&lt;J1512),OR(M1512="PENDENTE",M1512="PARCIAL"),OR(N1512="PENDENTE",N1512="PARCIAL")),1,0))</f>
        <v/>
      </c>
      <c r="W1512" s="8">
        <f>IF(AND(V1512=1,D1512&lt;&gt;""),IF(D1512&gt;=corte,(B1512="CRÍTICO")*1E9+(100000-D1512)*10000+10000-ROW(),""),"")</f>
        <v/>
      </c>
      <c r="X1512" s="8">
        <f>IF(AND(V1512=1,D1512=pas_data,E1512=pas_turno),10000-ROW(),"")</f>
        <v/>
      </c>
    </row>
    <row r="1513">
      <c r="A1513" s="3">
        <f>IF(D1513="","","TT-"&amp;TEXT(ROW()-1,"00000"))</f>
        <v/>
      </c>
      <c r="B1513" s="3">
        <f>IF(D1513="","",IF(V1513=0,"CONCLUÍDO",IF(D1513&lt;corte,"HISTÓRICO",IF(OR(AND(ISNUMBER(R1513),R1513&lt;TODAY()),AND(OR(N1513="PENDENTE",N1513="PARCIAL"),D1513&lt;TODAY()-1)),"CRÍTICO",IF(OR(AND(P1513&lt;&gt;"",S1513=""),AND(N1513="REALIZADO",M1513="PENDENTE"),AND(ISNUMBER(R1513),R1513=TODAY())),"ATENÇÃO",IF(N(K1513)=0,"PENDENTE","EM ANDAMENTO"))))))</f>
        <v/>
      </c>
      <c r="C1513" s="3">
        <f>IF(D1513="","",IF(V1513=0,"🟢 OK",IF(D1513&lt;corte,"⚪ HISTÓRICO (sem baixa)",IF(AND(ISNUMBER(R1513),R1513&lt;TODAY()),"🔴 PRAZO VENCIDO",IF(AND(OR(N1513="PENDENTE",N1513="PARCIAL"),D1513&lt;TODAY()-1),"🔴 EMBARQUE ATRASADO",IF(AND(N1513="REALIZADO",M1513="PENDENTE"),"🟡 EMBARCADO SEM FATURAR",IF(AND(P1513&lt;&gt;"",S1513="",OR(Q1513="",R1513="")),"🟡 PENDÊNCIA SEM RESPONSÁVEL/PRAZO",IF(AND(ISNUMBER(R1513),R1513=TODAY()),"🟡 VENCE HOJE",IF(AND(P1513&lt;&gt;"",S1513=""),"🟡 PENDÊNCIA ABERTA",IF(AND(N(J1513)&gt;0,N(K1513)&lt;J1513),"🟡 FALTA EXECUTAR",IF(OR(M1513="PENDENTE",M1513="PARCIAL"),"🟡 FATURAMENTO PENDENTE","🟡 EMBARQUE PENDENTE")))))))))))</f>
        <v/>
      </c>
      <c r="D1513" s="4" t="n"/>
      <c r="E1513" s="5" t="n"/>
      <c r="F1513" s="5" t="n"/>
      <c r="G1513" s="5" t="n"/>
      <c r="H1513" s="5" t="n"/>
      <c r="I1513" s="5" t="n"/>
      <c r="J1513" s="6" t="n"/>
      <c r="K1513" s="6" t="n"/>
      <c r="L1513" s="7">
        <f>IF(OR(D1513="",N(J1513)=0),"",MIN(1,N(K1513)/J1513))</f>
        <v/>
      </c>
      <c r="M1513" s="5" t="n"/>
      <c r="N1513" s="5" t="n"/>
      <c r="O1513" s="5" t="n"/>
      <c r="P1513" s="5" t="n"/>
      <c r="Q1513" s="5" t="n"/>
      <c r="R1513" s="4" t="n"/>
      <c r="S1513" s="4" t="n"/>
      <c r="T1513" s="5" t="n"/>
      <c r="U1513" s="8">
        <f>IF(AND(V1513=1,D1513&lt;&gt;""),IF(D1513&gt;=corte,TODAY()-D1513,""),"")</f>
        <v/>
      </c>
      <c r="V1513" s="8">
        <f>IF(D1513="",0,IF(OR(AND(P1513&lt;&gt;"",S1513=""),AND(N(J1513)&gt;0,N(K1513)&lt;J1513),OR(M1513="PENDENTE",M1513="PARCIAL"),OR(N1513="PENDENTE",N1513="PARCIAL")),1,0))</f>
        <v/>
      </c>
      <c r="W1513" s="8">
        <f>IF(AND(V1513=1,D1513&lt;&gt;""),IF(D1513&gt;=corte,(B1513="CRÍTICO")*1E9+(100000-D1513)*10000+10000-ROW(),""),"")</f>
        <v/>
      </c>
      <c r="X1513" s="8">
        <f>IF(AND(V1513=1,D1513=pas_data,E1513=pas_turno),10000-ROW(),"")</f>
        <v/>
      </c>
    </row>
    <row r="1514">
      <c r="A1514" s="3">
        <f>IF(D1514="","","TT-"&amp;TEXT(ROW()-1,"00000"))</f>
        <v/>
      </c>
      <c r="B1514" s="3">
        <f>IF(D1514="","",IF(V1514=0,"CONCLUÍDO",IF(D1514&lt;corte,"HISTÓRICO",IF(OR(AND(ISNUMBER(R1514),R1514&lt;TODAY()),AND(OR(N1514="PENDENTE",N1514="PARCIAL"),D1514&lt;TODAY()-1)),"CRÍTICO",IF(OR(AND(P1514&lt;&gt;"",S1514=""),AND(N1514="REALIZADO",M1514="PENDENTE"),AND(ISNUMBER(R1514),R1514=TODAY())),"ATENÇÃO",IF(N(K1514)=0,"PENDENTE","EM ANDAMENTO"))))))</f>
        <v/>
      </c>
      <c r="C1514" s="3">
        <f>IF(D1514="","",IF(V1514=0,"🟢 OK",IF(D1514&lt;corte,"⚪ HISTÓRICO (sem baixa)",IF(AND(ISNUMBER(R1514),R1514&lt;TODAY()),"🔴 PRAZO VENCIDO",IF(AND(OR(N1514="PENDENTE",N1514="PARCIAL"),D1514&lt;TODAY()-1),"🔴 EMBARQUE ATRASADO",IF(AND(N1514="REALIZADO",M1514="PENDENTE"),"🟡 EMBARCADO SEM FATURAR",IF(AND(P1514&lt;&gt;"",S1514="",OR(Q1514="",R1514="")),"🟡 PENDÊNCIA SEM RESPONSÁVEL/PRAZO",IF(AND(ISNUMBER(R1514),R1514=TODAY()),"🟡 VENCE HOJE",IF(AND(P1514&lt;&gt;"",S1514=""),"🟡 PENDÊNCIA ABERTA",IF(AND(N(J1514)&gt;0,N(K1514)&lt;J1514),"🟡 FALTA EXECUTAR",IF(OR(M1514="PENDENTE",M1514="PARCIAL"),"🟡 FATURAMENTO PENDENTE","🟡 EMBARQUE PENDENTE")))))))))))</f>
        <v/>
      </c>
      <c r="D1514" s="4" t="n"/>
      <c r="E1514" s="5" t="n"/>
      <c r="F1514" s="5" t="n"/>
      <c r="G1514" s="5" t="n"/>
      <c r="H1514" s="5" t="n"/>
      <c r="I1514" s="5" t="n"/>
      <c r="J1514" s="6" t="n"/>
      <c r="K1514" s="6" t="n"/>
      <c r="L1514" s="7">
        <f>IF(OR(D1514="",N(J1514)=0),"",MIN(1,N(K1514)/J1514))</f>
        <v/>
      </c>
      <c r="M1514" s="5" t="n"/>
      <c r="N1514" s="5" t="n"/>
      <c r="O1514" s="5" t="n"/>
      <c r="P1514" s="5" t="n"/>
      <c r="Q1514" s="5" t="n"/>
      <c r="R1514" s="4" t="n"/>
      <c r="S1514" s="4" t="n"/>
      <c r="T1514" s="5" t="n"/>
      <c r="U1514" s="8">
        <f>IF(AND(V1514=1,D1514&lt;&gt;""),IF(D1514&gt;=corte,TODAY()-D1514,""),"")</f>
        <v/>
      </c>
      <c r="V1514" s="8">
        <f>IF(D1514="",0,IF(OR(AND(P1514&lt;&gt;"",S1514=""),AND(N(J1514)&gt;0,N(K1514)&lt;J1514),OR(M1514="PENDENTE",M1514="PARCIAL"),OR(N1514="PENDENTE",N1514="PARCIAL")),1,0))</f>
        <v/>
      </c>
      <c r="W1514" s="8">
        <f>IF(AND(V1514=1,D1514&lt;&gt;""),IF(D1514&gt;=corte,(B1514="CRÍTICO")*1E9+(100000-D1514)*10000+10000-ROW(),""),"")</f>
        <v/>
      </c>
      <c r="X1514" s="8">
        <f>IF(AND(V1514=1,D1514=pas_data,E1514=pas_turno),10000-ROW(),"")</f>
        <v/>
      </c>
    </row>
    <row r="1515">
      <c r="A1515" s="3">
        <f>IF(D1515="","","TT-"&amp;TEXT(ROW()-1,"00000"))</f>
        <v/>
      </c>
      <c r="B1515" s="3">
        <f>IF(D1515="","",IF(V1515=0,"CONCLUÍDO",IF(D1515&lt;corte,"HISTÓRICO",IF(OR(AND(ISNUMBER(R1515),R1515&lt;TODAY()),AND(OR(N1515="PENDENTE",N1515="PARCIAL"),D1515&lt;TODAY()-1)),"CRÍTICO",IF(OR(AND(P1515&lt;&gt;"",S1515=""),AND(N1515="REALIZADO",M1515="PENDENTE"),AND(ISNUMBER(R1515),R1515=TODAY())),"ATENÇÃO",IF(N(K1515)=0,"PENDENTE","EM ANDAMENTO"))))))</f>
        <v/>
      </c>
      <c r="C1515" s="3">
        <f>IF(D1515="","",IF(V1515=0,"🟢 OK",IF(D1515&lt;corte,"⚪ HISTÓRICO (sem baixa)",IF(AND(ISNUMBER(R1515),R1515&lt;TODAY()),"🔴 PRAZO VENCIDO",IF(AND(OR(N1515="PENDENTE",N1515="PARCIAL"),D1515&lt;TODAY()-1),"🔴 EMBARQUE ATRASADO",IF(AND(N1515="REALIZADO",M1515="PENDENTE"),"🟡 EMBARCADO SEM FATURAR",IF(AND(P1515&lt;&gt;"",S1515="",OR(Q1515="",R1515="")),"🟡 PENDÊNCIA SEM RESPONSÁVEL/PRAZO",IF(AND(ISNUMBER(R1515),R1515=TODAY()),"🟡 VENCE HOJE",IF(AND(P1515&lt;&gt;"",S1515=""),"🟡 PENDÊNCIA ABERTA",IF(AND(N(J1515)&gt;0,N(K1515)&lt;J1515),"🟡 FALTA EXECUTAR",IF(OR(M1515="PENDENTE",M1515="PARCIAL"),"🟡 FATURAMENTO PENDENTE","🟡 EMBARQUE PENDENTE")))))))))))</f>
        <v/>
      </c>
      <c r="D1515" s="4" t="n"/>
      <c r="E1515" s="5" t="n"/>
      <c r="F1515" s="5" t="n"/>
      <c r="G1515" s="5" t="n"/>
      <c r="H1515" s="5" t="n"/>
      <c r="I1515" s="5" t="n"/>
      <c r="J1515" s="6" t="n"/>
      <c r="K1515" s="6" t="n"/>
      <c r="L1515" s="7">
        <f>IF(OR(D1515="",N(J1515)=0),"",MIN(1,N(K1515)/J1515))</f>
        <v/>
      </c>
      <c r="M1515" s="5" t="n"/>
      <c r="N1515" s="5" t="n"/>
      <c r="O1515" s="5" t="n"/>
      <c r="P1515" s="5" t="n"/>
      <c r="Q1515" s="5" t="n"/>
      <c r="R1515" s="4" t="n"/>
      <c r="S1515" s="4" t="n"/>
      <c r="T1515" s="5" t="n"/>
      <c r="U1515" s="8">
        <f>IF(AND(V1515=1,D1515&lt;&gt;""),IF(D1515&gt;=corte,TODAY()-D1515,""),"")</f>
        <v/>
      </c>
      <c r="V1515" s="8">
        <f>IF(D1515="",0,IF(OR(AND(P1515&lt;&gt;"",S1515=""),AND(N(J1515)&gt;0,N(K1515)&lt;J1515),OR(M1515="PENDENTE",M1515="PARCIAL"),OR(N1515="PENDENTE",N1515="PARCIAL")),1,0))</f>
        <v/>
      </c>
      <c r="W1515" s="8">
        <f>IF(AND(V1515=1,D1515&lt;&gt;""),IF(D1515&gt;=corte,(B1515="CRÍTICO")*1E9+(100000-D1515)*10000+10000-ROW(),""),"")</f>
        <v/>
      </c>
      <c r="X1515" s="8">
        <f>IF(AND(V1515=1,D1515=pas_data,E1515=pas_turno),10000-ROW(),"")</f>
        <v/>
      </c>
    </row>
    <row r="1516">
      <c r="A1516" s="3">
        <f>IF(D1516="","","TT-"&amp;TEXT(ROW()-1,"00000"))</f>
        <v/>
      </c>
      <c r="B1516" s="3">
        <f>IF(D1516="","",IF(V1516=0,"CONCLUÍDO",IF(D1516&lt;corte,"HISTÓRICO",IF(OR(AND(ISNUMBER(R1516),R1516&lt;TODAY()),AND(OR(N1516="PENDENTE",N1516="PARCIAL"),D1516&lt;TODAY()-1)),"CRÍTICO",IF(OR(AND(P1516&lt;&gt;"",S1516=""),AND(N1516="REALIZADO",M1516="PENDENTE"),AND(ISNUMBER(R1516),R1516=TODAY())),"ATENÇÃO",IF(N(K1516)=0,"PENDENTE","EM ANDAMENTO"))))))</f>
        <v/>
      </c>
      <c r="C1516" s="3">
        <f>IF(D1516="","",IF(V1516=0,"🟢 OK",IF(D1516&lt;corte,"⚪ HISTÓRICO (sem baixa)",IF(AND(ISNUMBER(R1516),R1516&lt;TODAY()),"🔴 PRAZO VENCIDO",IF(AND(OR(N1516="PENDENTE",N1516="PARCIAL"),D1516&lt;TODAY()-1),"🔴 EMBARQUE ATRASADO",IF(AND(N1516="REALIZADO",M1516="PENDENTE"),"🟡 EMBARCADO SEM FATURAR",IF(AND(P1516&lt;&gt;"",S1516="",OR(Q1516="",R1516="")),"🟡 PENDÊNCIA SEM RESPONSÁVEL/PRAZO",IF(AND(ISNUMBER(R1516),R1516=TODAY()),"🟡 VENCE HOJE",IF(AND(P1516&lt;&gt;"",S1516=""),"🟡 PENDÊNCIA ABERTA",IF(AND(N(J1516)&gt;0,N(K1516)&lt;J1516),"🟡 FALTA EXECUTAR",IF(OR(M1516="PENDENTE",M1516="PARCIAL"),"🟡 FATURAMENTO PENDENTE","🟡 EMBARQUE PENDENTE")))))))))))</f>
        <v/>
      </c>
      <c r="D1516" s="4" t="n"/>
      <c r="E1516" s="5" t="n"/>
      <c r="F1516" s="5" t="n"/>
      <c r="G1516" s="5" t="n"/>
      <c r="H1516" s="5" t="n"/>
      <c r="I1516" s="5" t="n"/>
      <c r="J1516" s="6" t="n"/>
      <c r="K1516" s="6" t="n"/>
      <c r="L1516" s="7">
        <f>IF(OR(D1516="",N(J1516)=0),"",MIN(1,N(K1516)/J1516))</f>
        <v/>
      </c>
      <c r="M1516" s="5" t="n"/>
      <c r="N1516" s="5" t="n"/>
      <c r="O1516" s="5" t="n"/>
      <c r="P1516" s="5" t="n"/>
      <c r="Q1516" s="5" t="n"/>
      <c r="R1516" s="4" t="n"/>
      <c r="S1516" s="4" t="n"/>
      <c r="T1516" s="5" t="n"/>
      <c r="U1516" s="8">
        <f>IF(AND(V1516=1,D1516&lt;&gt;""),IF(D1516&gt;=corte,TODAY()-D1516,""),"")</f>
        <v/>
      </c>
      <c r="V1516" s="8">
        <f>IF(D1516="",0,IF(OR(AND(P1516&lt;&gt;"",S1516=""),AND(N(J1516)&gt;0,N(K1516)&lt;J1516),OR(M1516="PENDENTE",M1516="PARCIAL"),OR(N1516="PENDENTE",N1516="PARCIAL")),1,0))</f>
        <v/>
      </c>
      <c r="W1516" s="8">
        <f>IF(AND(V1516=1,D1516&lt;&gt;""),IF(D1516&gt;=corte,(B1516="CRÍTICO")*1E9+(100000-D1516)*10000+10000-ROW(),""),"")</f>
        <v/>
      </c>
      <c r="X1516" s="8">
        <f>IF(AND(V1516=1,D1516=pas_data,E1516=pas_turno),10000-ROW(),"")</f>
        <v/>
      </c>
    </row>
    <row r="1517">
      <c r="A1517" s="3">
        <f>IF(D1517="","","TT-"&amp;TEXT(ROW()-1,"00000"))</f>
        <v/>
      </c>
      <c r="B1517" s="3">
        <f>IF(D1517="","",IF(V1517=0,"CONCLUÍDO",IF(D1517&lt;corte,"HISTÓRICO",IF(OR(AND(ISNUMBER(R1517),R1517&lt;TODAY()),AND(OR(N1517="PENDENTE",N1517="PARCIAL"),D1517&lt;TODAY()-1)),"CRÍTICO",IF(OR(AND(P1517&lt;&gt;"",S1517=""),AND(N1517="REALIZADO",M1517="PENDENTE"),AND(ISNUMBER(R1517),R1517=TODAY())),"ATENÇÃO",IF(N(K1517)=0,"PENDENTE","EM ANDAMENTO"))))))</f>
        <v/>
      </c>
      <c r="C1517" s="3">
        <f>IF(D1517="","",IF(V1517=0,"🟢 OK",IF(D1517&lt;corte,"⚪ HISTÓRICO (sem baixa)",IF(AND(ISNUMBER(R1517),R1517&lt;TODAY()),"🔴 PRAZO VENCIDO",IF(AND(OR(N1517="PENDENTE",N1517="PARCIAL"),D1517&lt;TODAY()-1),"🔴 EMBARQUE ATRASADO",IF(AND(N1517="REALIZADO",M1517="PENDENTE"),"🟡 EMBARCADO SEM FATURAR",IF(AND(P1517&lt;&gt;"",S1517="",OR(Q1517="",R1517="")),"🟡 PENDÊNCIA SEM RESPONSÁVEL/PRAZO",IF(AND(ISNUMBER(R1517),R1517=TODAY()),"🟡 VENCE HOJE",IF(AND(P1517&lt;&gt;"",S1517=""),"🟡 PENDÊNCIA ABERTA",IF(AND(N(J1517)&gt;0,N(K1517)&lt;J1517),"🟡 FALTA EXECUTAR",IF(OR(M1517="PENDENTE",M1517="PARCIAL"),"🟡 FATURAMENTO PENDENTE","🟡 EMBARQUE PENDENTE")))))))))))</f>
        <v/>
      </c>
      <c r="D1517" s="4" t="n"/>
      <c r="E1517" s="5" t="n"/>
      <c r="F1517" s="5" t="n"/>
      <c r="G1517" s="5" t="n"/>
      <c r="H1517" s="5" t="n"/>
      <c r="I1517" s="5" t="n"/>
      <c r="J1517" s="6" t="n"/>
      <c r="K1517" s="6" t="n"/>
      <c r="L1517" s="7">
        <f>IF(OR(D1517="",N(J1517)=0),"",MIN(1,N(K1517)/J1517))</f>
        <v/>
      </c>
      <c r="M1517" s="5" t="n"/>
      <c r="N1517" s="5" t="n"/>
      <c r="O1517" s="5" t="n"/>
      <c r="P1517" s="5" t="n"/>
      <c r="Q1517" s="5" t="n"/>
      <c r="R1517" s="4" t="n"/>
      <c r="S1517" s="4" t="n"/>
      <c r="T1517" s="5" t="n"/>
      <c r="U1517" s="8">
        <f>IF(AND(V1517=1,D1517&lt;&gt;""),IF(D1517&gt;=corte,TODAY()-D1517,""),"")</f>
        <v/>
      </c>
      <c r="V1517" s="8">
        <f>IF(D1517="",0,IF(OR(AND(P1517&lt;&gt;"",S1517=""),AND(N(J1517)&gt;0,N(K1517)&lt;J1517),OR(M1517="PENDENTE",M1517="PARCIAL"),OR(N1517="PENDENTE",N1517="PARCIAL")),1,0))</f>
        <v/>
      </c>
      <c r="W1517" s="8">
        <f>IF(AND(V1517=1,D1517&lt;&gt;""),IF(D1517&gt;=corte,(B1517="CRÍTICO")*1E9+(100000-D1517)*10000+10000-ROW(),""),"")</f>
        <v/>
      </c>
      <c r="X1517" s="8">
        <f>IF(AND(V1517=1,D1517=pas_data,E1517=pas_turno),10000-ROW(),"")</f>
        <v/>
      </c>
    </row>
    <row r="1518">
      <c r="A1518" s="3">
        <f>IF(D1518="","","TT-"&amp;TEXT(ROW()-1,"00000"))</f>
        <v/>
      </c>
      <c r="B1518" s="3">
        <f>IF(D1518="","",IF(V1518=0,"CONCLUÍDO",IF(D1518&lt;corte,"HISTÓRICO",IF(OR(AND(ISNUMBER(R1518),R1518&lt;TODAY()),AND(OR(N1518="PENDENTE",N1518="PARCIAL"),D1518&lt;TODAY()-1)),"CRÍTICO",IF(OR(AND(P1518&lt;&gt;"",S1518=""),AND(N1518="REALIZADO",M1518="PENDENTE"),AND(ISNUMBER(R1518),R1518=TODAY())),"ATENÇÃO",IF(N(K1518)=0,"PENDENTE","EM ANDAMENTO"))))))</f>
        <v/>
      </c>
      <c r="C1518" s="3">
        <f>IF(D1518="","",IF(V1518=0,"🟢 OK",IF(D1518&lt;corte,"⚪ HISTÓRICO (sem baixa)",IF(AND(ISNUMBER(R1518),R1518&lt;TODAY()),"🔴 PRAZO VENCIDO",IF(AND(OR(N1518="PENDENTE",N1518="PARCIAL"),D1518&lt;TODAY()-1),"🔴 EMBARQUE ATRASADO",IF(AND(N1518="REALIZADO",M1518="PENDENTE"),"🟡 EMBARCADO SEM FATURAR",IF(AND(P1518&lt;&gt;"",S1518="",OR(Q1518="",R1518="")),"🟡 PENDÊNCIA SEM RESPONSÁVEL/PRAZO",IF(AND(ISNUMBER(R1518),R1518=TODAY()),"🟡 VENCE HOJE",IF(AND(P1518&lt;&gt;"",S1518=""),"🟡 PENDÊNCIA ABERTA",IF(AND(N(J1518)&gt;0,N(K1518)&lt;J1518),"🟡 FALTA EXECUTAR",IF(OR(M1518="PENDENTE",M1518="PARCIAL"),"🟡 FATURAMENTO PENDENTE","🟡 EMBARQUE PENDENTE")))))))))))</f>
        <v/>
      </c>
      <c r="D1518" s="4" t="n"/>
      <c r="E1518" s="5" t="n"/>
      <c r="F1518" s="5" t="n"/>
      <c r="G1518" s="5" t="n"/>
      <c r="H1518" s="5" t="n"/>
      <c r="I1518" s="5" t="n"/>
      <c r="J1518" s="6" t="n"/>
      <c r="K1518" s="6" t="n"/>
      <c r="L1518" s="7">
        <f>IF(OR(D1518="",N(J1518)=0),"",MIN(1,N(K1518)/J1518))</f>
        <v/>
      </c>
      <c r="M1518" s="5" t="n"/>
      <c r="N1518" s="5" t="n"/>
      <c r="O1518" s="5" t="n"/>
      <c r="P1518" s="5" t="n"/>
      <c r="Q1518" s="5" t="n"/>
      <c r="R1518" s="4" t="n"/>
      <c r="S1518" s="4" t="n"/>
      <c r="T1518" s="5" t="n"/>
      <c r="U1518" s="8">
        <f>IF(AND(V1518=1,D1518&lt;&gt;""),IF(D1518&gt;=corte,TODAY()-D1518,""),"")</f>
        <v/>
      </c>
      <c r="V1518" s="8">
        <f>IF(D1518="",0,IF(OR(AND(P1518&lt;&gt;"",S1518=""),AND(N(J1518)&gt;0,N(K1518)&lt;J1518),OR(M1518="PENDENTE",M1518="PARCIAL"),OR(N1518="PENDENTE",N1518="PARCIAL")),1,0))</f>
        <v/>
      </c>
      <c r="W1518" s="8">
        <f>IF(AND(V1518=1,D1518&lt;&gt;""),IF(D1518&gt;=corte,(B1518="CRÍTICO")*1E9+(100000-D1518)*10000+10000-ROW(),""),"")</f>
        <v/>
      </c>
      <c r="X1518" s="8">
        <f>IF(AND(V1518=1,D1518=pas_data,E1518=pas_turno),10000-ROW(),"")</f>
        <v/>
      </c>
    </row>
    <row r="1519">
      <c r="A1519" s="3">
        <f>IF(D1519="","","TT-"&amp;TEXT(ROW()-1,"00000"))</f>
        <v/>
      </c>
      <c r="B1519" s="3">
        <f>IF(D1519="","",IF(V1519=0,"CONCLUÍDO",IF(D1519&lt;corte,"HISTÓRICO",IF(OR(AND(ISNUMBER(R1519),R1519&lt;TODAY()),AND(OR(N1519="PENDENTE",N1519="PARCIAL"),D1519&lt;TODAY()-1)),"CRÍTICO",IF(OR(AND(P1519&lt;&gt;"",S1519=""),AND(N1519="REALIZADO",M1519="PENDENTE"),AND(ISNUMBER(R1519),R1519=TODAY())),"ATENÇÃO",IF(N(K1519)=0,"PENDENTE","EM ANDAMENTO"))))))</f>
        <v/>
      </c>
      <c r="C1519" s="3">
        <f>IF(D1519="","",IF(V1519=0,"🟢 OK",IF(D1519&lt;corte,"⚪ HISTÓRICO (sem baixa)",IF(AND(ISNUMBER(R1519),R1519&lt;TODAY()),"🔴 PRAZO VENCIDO",IF(AND(OR(N1519="PENDENTE",N1519="PARCIAL"),D1519&lt;TODAY()-1),"🔴 EMBARQUE ATRASADO",IF(AND(N1519="REALIZADO",M1519="PENDENTE"),"🟡 EMBARCADO SEM FATURAR",IF(AND(P1519&lt;&gt;"",S1519="",OR(Q1519="",R1519="")),"🟡 PENDÊNCIA SEM RESPONSÁVEL/PRAZO",IF(AND(ISNUMBER(R1519),R1519=TODAY()),"🟡 VENCE HOJE",IF(AND(P1519&lt;&gt;"",S1519=""),"🟡 PENDÊNCIA ABERTA",IF(AND(N(J1519)&gt;0,N(K1519)&lt;J1519),"🟡 FALTA EXECUTAR",IF(OR(M1519="PENDENTE",M1519="PARCIAL"),"🟡 FATURAMENTO PENDENTE","🟡 EMBARQUE PENDENTE")))))))))))</f>
        <v/>
      </c>
      <c r="D1519" s="4" t="n"/>
      <c r="E1519" s="5" t="n"/>
      <c r="F1519" s="5" t="n"/>
      <c r="G1519" s="5" t="n"/>
      <c r="H1519" s="5" t="n"/>
      <c r="I1519" s="5" t="n"/>
      <c r="J1519" s="6" t="n"/>
      <c r="K1519" s="6" t="n"/>
      <c r="L1519" s="7">
        <f>IF(OR(D1519="",N(J1519)=0),"",MIN(1,N(K1519)/J1519))</f>
        <v/>
      </c>
      <c r="M1519" s="5" t="n"/>
      <c r="N1519" s="5" t="n"/>
      <c r="O1519" s="5" t="n"/>
      <c r="P1519" s="5" t="n"/>
      <c r="Q1519" s="5" t="n"/>
      <c r="R1519" s="4" t="n"/>
      <c r="S1519" s="4" t="n"/>
      <c r="T1519" s="5" t="n"/>
      <c r="U1519" s="8">
        <f>IF(AND(V1519=1,D1519&lt;&gt;""),IF(D1519&gt;=corte,TODAY()-D1519,""),"")</f>
        <v/>
      </c>
      <c r="V1519" s="8">
        <f>IF(D1519="",0,IF(OR(AND(P1519&lt;&gt;"",S1519=""),AND(N(J1519)&gt;0,N(K1519)&lt;J1519),OR(M1519="PENDENTE",M1519="PARCIAL"),OR(N1519="PENDENTE",N1519="PARCIAL")),1,0))</f>
        <v/>
      </c>
      <c r="W1519" s="8">
        <f>IF(AND(V1519=1,D1519&lt;&gt;""),IF(D1519&gt;=corte,(B1519="CRÍTICO")*1E9+(100000-D1519)*10000+10000-ROW(),""),"")</f>
        <v/>
      </c>
      <c r="X1519" s="8">
        <f>IF(AND(V1519=1,D1519=pas_data,E1519=pas_turno),10000-ROW(),"")</f>
        <v/>
      </c>
    </row>
    <row r="1520">
      <c r="A1520" s="3">
        <f>IF(D1520="","","TT-"&amp;TEXT(ROW()-1,"00000"))</f>
        <v/>
      </c>
      <c r="B1520" s="3">
        <f>IF(D1520="","",IF(V1520=0,"CONCLUÍDO",IF(D1520&lt;corte,"HISTÓRICO",IF(OR(AND(ISNUMBER(R1520),R1520&lt;TODAY()),AND(OR(N1520="PENDENTE",N1520="PARCIAL"),D1520&lt;TODAY()-1)),"CRÍTICO",IF(OR(AND(P1520&lt;&gt;"",S1520=""),AND(N1520="REALIZADO",M1520="PENDENTE"),AND(ISNUMBER(R1520),R1520=TODAY())),"ATENÇÃO",IF(N(K1520)=0,"PENDENTE","EM ANDAMENTO"))))))</f>
        <v/>
      </c>
      <c r="C1520" s="3">
        <f>IF(D1520="","",IF(V1520=0,"🟢 OK",IF(D1520&lt;corte,"⚪ HISTÓRICO (sem baixa)",IF(AND(ISNUMBER(R1520),R1520&lt;TODAY()),"🔴 PRAZO VENCIDO",IF(AND(OR(N1520="PENDENTE",N1520="PARCIAL"),D1520&lt;TODAY()-1),"🔴 EMBARQUE ATRASADO",IF(AND(N1520="REALIZADO",M1520="PENDENTE"),"🟡 EMBARCADO SEM FATURAR",IF(AND(P1520&lt;&gt;"",S1520="",OR(Q1520="",R1520="")),"🟡 PENDÊNCIA SEM RESPONSÁVEL/PRAZO",IF(AND(ISNUMBER(R1520),R1520=TODAY()),"🟡 VENCE HOJE",IF(AND(P1520&lt;&gt;"",S1520=""),"🟡 PENDÊNCIA ABERTA",IF(AND(N(J1520)&gt;0,N(K1520)&lt;J1520),"🟡 FALTA EXECUTAR",IF(OR(M1520="PENDENTE",M1520="PARCIAL"),"🟡 FATURAMENTO PENDENTE","🟡 EMBARQUE PENDENTE")))))))))))</f>
        <v/>
      </c>
      <c r="D1520" s="4" t="n"/>
      <c r="E1520" s="5" t="n"/>
      <c r="F1520" s="5" t="n"/>
      <c r="G1520" s="5" t="n"/>
      <c r="H1520" s="5" t="n"/>
      <c r="I1520" s="5" t="n"/>
      <c r="J1520" s="6" t="n"/>
      <c r="K1520" s="6" t="n"/>
      <c r="L1520" s="7">
        <f>IF(OR(D1520="",N(J1520)=0),"",MIN(1,N(K1520)/J1520))</f>
        <v/>
      </c>
      <c r="M1520" s="5" t="n"/>
      <c r="N1520" s="5" t="n"/>
      <c r="O1520" s="5" t="n"/>
      <c r="P1520" s="5" t="n"/>
      <c r="Q1520" s="5" t="n"/>
      <c r="R1520" s="4" t="n"/>
      <c r="S1520" s="4" t="n"/>
      <c r="T1520" s="5" t="n"/>
      <c r="U1520" s="8">
        <f>IF(AND(V1520=1,D1520&lt;&gt;""),IF(D1520&gt;=corte,TODAY()-D1520,""),"")</f>
        <v/>
      </c>
      <c r="V1520" s="8">
        <f>IF(D1520="",0,IF(OR(AND(P1520&lt;&gt;"",S1520=""),AND(N(J1520)&gt;0,N(K1520)&lt;J1520),OR(M1520="PENDENTE",M1520="PARCIAL"),OR(N1520="PENDENTE",N1520="PARCIAL")),1,0))</f>
        <v/>
      </c>
      <c r="W1520" s="8">
        <f>IF(AND(V1520=1,D1520&lt;&gt;""),IF(D1520&gt;=corte,(B1520="CRÍTICO")*1E9+(100000-D1520)*10000+10000-ROW(),""),"")</f>
        <v/>
      </c>
      <c r="X1520" s="8">
        <f>IF(AND(V1520=1,D1520=pas_data,E1520=pas_turno),10000-ROW(),"")</f>
        <v/>
      </c>
    </row>
    <row r="1521">
      <c r="A1521" s="3">
        <f>IF(D1521="","","TT-"&amp;TEXT(ROW()-1,"00000"))</f>
        <v/>
      </c>
      <c r="B1521" s="3">
        <f>IF(D1521="","",IF(V1521=0,"CONCLUÍDO",IF(D1521&lt;corte,"HISTÓRICO",IF(OR(AND(ISNUMBER(R1521),R1521&lt;TODAY()),AND(OR(N1521="PENDENTE",N1521="PARCIAL"),D1521&lt;TODAY()-1)),"CRÍTICO",IF(OR(AND(P1521&lt;&gt;"",S1521=""),AND(N1521="REALIZADO",M1521="PENDENTE"),AND(ISNUMBER(R1521),R1521=TODAY())),"ATENÇÃO",IF(N(K1521)=0,"PENDENTE","EM ANDAMENTO"))))))</f>
        <v/>
      </c>
      <c r="C1521" s="3">
        <f>IF(D1521="","",IF(V1521=0,"🟢 OK",IF(D1521&lt;corte,"⚪ HISTÓRICO (sem baixa)",IF(AND(ISNUMBER(R1521),R1521&lt;TODAY()),"🔴 PRAZO VENCIDO",IF(AND(OR(N1521="PENDENTE",N1521="PARCIAL"),D1521&lt;TODAY()-1),"🔴 EMBARQUE ATRASADO",IF(AND(N1521="REALIZADO",M1521="PENDENTE"),"🟡 EMBARCADO SEM FATURAR",IF(AND(P1521&lt;&gt;"",S1521="",OR(Q1521="",R1521="")),"🟡 PENDÊNCIA SEM RESPONSÁVEL/PRAZO",IF(AND(ISNUMBER(R1521),R1521=TODAY()),"🟡 VENCE HOJE",IF(AND(P1521&lt;&gt;"",S1521=""),"🟡 PENDÊNCIA ABERTA",IF(AND(N(J1521)&gt;0,N(K1521)&lt;J1521),"🟡 FALTA EXECUTAR",IF(OR(M1521="PENDENTE",M1521="PARCIAL"),"🟡 FATURAMENTO PENDENTE","🟡 EMBARQUE PENDENTE")))))))))))</f>
        <v/>
      </c>
      <c r="D1521" s="4" t="n"/>
      <c r="E1521" s="5" t="n"/>
      <c r="F1521" s="5" t="n"/>
      <c r="G1521" s="5" t="n"/>
      <c r="H1521" s="5" t="n"/>
      <c r="I1521" s="5" t="n"/>
      <c r="J1521" s="6" t="n"/>
      <c r="K1521" s="6" t="n"/>
      <c r="L1521" s="7">
        <f>IF(OR(D1521="",N(J1521)=0),"",MIN(1,N(K1521)/J1521))</f>
        <v/>
      </c>
      <c r="M1521" s="5" t="n"/>
      <c r="N1521" s="5" t="n"/>
      <c r="O1521" s="5" t="n"/>
      <c r="P1521" s="5" t="n"/>
      <c r="Q1521" s="5" t="n"/>
      <c r="R1521" s="4" t="n"/>
      <c r="S1521" s="4" t="n"/>
      <c r="T1521" s="5" t="n"/>
      <c r="U1521" s="8">
        <f>IF(AND(V1521=1,D1521&lt;&gt;""),IF(D1521&gt;=corte,TODAY()-D1521,""),"")</f>
        <v/>
      </c>
      <c r="V1521" s="8">
        <f>IF(D1521="",0,IF(OR(AND(P1521&lt;&gt;"",S1521=""),AND(N(J1521)&gt;0,N(K1521)&lt;J1521),OR(M1521="PENDENTE",M1521="PARCIAL"),OR(N1521="PENDENTE",N1521="PARCIAL")),1,0))</f>
        <v/>
      </c>
      <c r="W1521" s="8">
        <f>IF(AND(V1521=1,D1521&lt;&gt;""),IF(D1521&gt;=corte,(B1521="CRÍTICO")*1E9+(100000-D1521)*10000+10000-ROW(),""),"")</f>
        <v/>
      </c>
      <c r="X1521" s="8">
        <f>IF(AND(V1521=1,D1521=pas_data,E1521=pas_turno),10000-ROW(),"")</f>
        <v/>
      </c>
    </row>
    <row r="1522">
      <c r="A1522" s="3">
        <f>IF(D1522="","","TT-"&amp;TEXT(ROW()-1,"00000"))</f>
        <v/>
      </c>
      <c r="B1522" s="3">
        <f>IF(D1522="","",IF(V1522=0,"CONCLUÍDO",IF(D1522&lt;corte,"HISTÓRICO",IF(OR(AND(ISNUMBER(R1522),R1522&lt;TODAY()),AND(OR(N1522="PENDENTE",N1522="PARCIAL"),D1522&lt;TODAY()-1)),"CRÍTICO",IF(OR(AND(P1522&lt;&gt;"",S1522=""),AND(N1522="REALIZADO",M1522="PENDENTE"),AND(ISNUMBER(R1522),R1522=TODAY())),"ATENÇÃO",IF(N(K1522)=0,"PENDENTE","EM ANDAMENTO"))))))</f>
        <v/>
      </c>
      <c r="C1522" s="3">
        <f>IF(D1522="","",IF(V1522=0,"🟢 OK",IF(D1522&lt;corte,"⚪ HISTÓRICO (sem baixa)",IF(AND(ISNUMBER(R1522),R1522&lt;TODAY()),"🔴 PRAZO VENCIDO",IF(AND(OR(N1522="PENDENTE",N1522="PARCIAL"),D1522&lt;TODAY()-1),"🔴 EMBARQUE ATRASADO",IF(AND(N1522="REALIZADO",M1522="PENDENTE"),"🟡 EMBARCADO SEM FATURAR",IF(AND(P1522&lt;&gt;"",S1522="",OR(Q1522="",R1522="")),"🟡 PENDÊNCIA SEM RESPONSÁVEL/PRAZO",IF(AND(ISNUMBER(R1522),R1522=TODAY()),"🟡 VENCE HOJE",IF(AND(P1522&lt;&gt;"",S1522=""),"🟡 PENDÊNCIA ABERTA",IF(AND(N(J1522)&gt;0,N(K1522)&lt;J1522),"🟡 FALTA EXECUTAR",IF(OR(M1522="PENDENTE",M1522="PARCIAL"),"🟡 FATURAMENTO PENDENTE","🟡 EMBARQUE PENDENTE")))))))))))</f>
        <v/>
      </c>
      <c r="D1522" s="4" t="n"/>
      <c r="E1522" s="5" t="n"/>
      <c r="F1522" s="5" t="n"/>
      <c r="G1522" s="5" t="n"/>
      <c r="H1522" s="5" t="n"/>
      <c r="I1522" s="5" t="n"/>
      <c r="J1522" s="6" t="n"/>
      <c r="K1522" s="6" t="n"/>
      <c r="L1522" s="7">
        <f>IF(OR(D1522="",N(J1522)=0),"",MIN(1,N(K1522)/J1522))</f>
        <v/>
      </c>
      <c r="M1522" s="5" t="n"/>
      <c r="N1522" s="5" t="n"/>
      <c r="O1522" s="5" t="n"/>
      <c r="P1522" s="5" t="n"/>
      <c r="Q1522" s="5" t="n"/>
      <c r="R1522" s="4" t="n"/>
      <c r="S1522" s="4" t="n"/>
      <c r="T1522" s="5" t="n"/>
      <c r="U1522" s="8">
        <f>IF(AND(V1522=1,D1522&lt;&gt;""),IF(D1522&gt;=corte,TODAY()-D1522,""),"")</f>
        <v/>
      </c>
      <c r="V1522" s="8">
        <f>IF(D1522="",0,IF(OR(AND(P1522&lt;&gt;"",S1522=""),AND(N(J1522)&gt;0,N(K1522)&lt;J1522),OR(M1522="PENDENTE",M1522="PARCIAL"),OR(N1522="PENDENTE",N1522="PARCIAL")),1,0))</f>
        <v/>
      </c>
      <c r="W1522" s="8">
        <f>IF(AND(V1522=1,D1522&lt;&gt;""),IF(D1522&gt;=corte,(B1522="CRÍTICO")*1E9+(100000-D1522)*10000+10000-ROW(),""),"")</f>
        <v/>
      </c>
      <c r="X1522" s="8">
        <f>IF(AND(V1522=1,D1522=pas_data,E1522=pas_turno),10000-ROW(),"")</f>
        <v/>
      </c>
    </row>
    <row r="1523">
      <c r="A1523" s="3">
        <f>IF(D1523="","","TT-"&amp;TEXT(ROW()-1,"00000"))</f>
        <v/>
      </c>
      <c r="B1523" s="3">
        <f>IF(D1523="","",IF(V1523=0,"CONCLUÍDO",IF(D1523&lt;corte,"HISTÓRICO",IF(OR(AND(ISNUMBER(R1523),R1523&lt;TODAY()),AND(OR(N1523="PENDENTE",N1523="PARCIAL"),D1523&lt;TODAY()-1)),"CRÍTICO",IF(OR(AND(P1523&lt;&gt;"",S1523=""),AND(N1523="REALIZADO",M1523="PENDENTE"),AND(ISNUMBER(R1523),R1523=TODAY())),"ATENÇÃO",IF(N(K1523)=0,"PENDENTE","EM ANDAMENTO"))))))</f>
        <v/>
      </c>
      <c r="C1523" s="3">
        <f>IF(D1523="","",IF(V1523=0,"🟢 OK",IF(D1523&lt;corte,"⚪ HISTÓRICO (sem baixa)",IF(AND(ISNUMBER(R1523),R1523&lt;TODAY()),"🔴 PRAZO VENCIDO",IF(AND(OR(N1523="PENDENTE",N1523="PARCIAL"),D1523&lt;TODAY()-1),"🔴 EMBARQUE ATRASADO",IF(AND(N1523="REALIZADO",M1523="PENDENTE"),"🟡 EMBARCADO SEM FATURAR",IF(AND(P1523&lt;&gt;"",S1523="",OR(Q1523="",R1523="")),"🟡 PENDÊNCIA SEM RESPONSÁVEL/PRAZO",IF(AND(ISNUMBER(R1523),R1523=TODAY()),"🟡 VENCE HOJE",IF(AND(P1523&lt;&gt;"",S1523=""),"🟡 PENDÊNCIA ABERTA",IF(AND(N(J1523)&gt;0,N(K1523)&lt;J1523),"🟡 FALTA EXECUTAR",IF(OR(M1523="PENDENTE",M1523="PARCIAL"),"🟡 FATURAMENTO PENDENTE","🟡 EMBARQUE PENDENTE")))))))))))</f>
        <v/>
      </c>
      <c r="D1523" s="4" t="n"/>
      <c r="E1523" s="5" t="n"/>
      <c r="F1523" s="5" t="n"/>
      <c r="G1523" s="5" t="n"/>
      <c r="H1523" s="5" t="n"/>
      <c r="I1523" s="5" t="n"/>
      <c r="J1523" s="6" t="n"/>
      <c r="K1523" s="6" t="n"/>
      <c r="L1523" s="7">
        <f>IF(OR(D1523="",N(J1523)=0),"",MIN(1,N(K1523)/J1523))</f>
        <v/>
      </c>
      <c r="M1523" s="5" t="n"/>
      <c r="N1523" s="5" t="n"/>
      <c r="O1523" s="5" t="n"/>
      <c r="P1523" s="5" t="n"/>
      <c r="Q1523" s="5" t="n"/>
      <c r="R1523" s="4" t="n"/>
      <c r="S1523" s="4" t="n"/>
      <c r="T1523" s="5" t="n"/>
      <c r="U1523" s="8">
        <f>IF(AND(V1523=1,D1523&lt;&gt;""),IF(D1523&gt;=corte,TODAY()-D1523,""),"")</f>
        <v/>
      </c>
      <c r="V1523" s="8">
        <f>IF(D1523="",0,IF(OR(AND(P1523&lt;&gt;"",S1523=""),AND(N(J1523)&gt;0,N(K1523)&lt;J1523),OR(M1523="PENDENTE",M1523="PARCIAL"),OR(N1523="PENDENTE",N1523="PARCIAL")),1,0))</f>
        <v/>
      </c>
      <c r="W1523" s="8">
        <f>IF(AND(V1523=1,D1523&lt;&gt;""),IF(D1523&gt;=corte,(B1523="CRÍTICO")*1E9+(100000-D1523)*10000+10000-ROW(),""),"")</f>
        <v/>
      </c>
      <c r="X1523" s="8">
        <f>IF(AND(V1523=1,D1523=pas_data,E1523=pas_turno),10000-ROW(),"")</f>
        <v/>
      </c>
    </row>
    <row r="1524">
      <c r="A1524" s="3">
        <f>IF(D1524="","","TT-"&amp;TEXT(ROW()-1,"00000"))</f>
        <v/>
      </c>
      <c r="B1524" s="3">
        <f>IF(D1524="","",IF(V1524=0,"CONCLUÍDO",IF(D1524&lt;corte,"HISTÓRICO",IF(OR(AND(ISNUMBER(R1524),R1524&lt;TODAY()),AND(OR(N1524="PENDENTE",N1524="PARCIAL"),D1524&lt;TODAY()-1)),"CRÍTICO",IF(OR(AND(P1524&lt;&gt;"",S1524=""),AND(N1524="REALIZADO",M1524="PENDENTE"),AND(ISNUMBER(R1524),R1524=TODAY())),"ATENÇÃO",IF(N(K1524)=0,"PENDENTE","EM ANDAMENTO"))))))</f>
        <v/>
      </c>
      <c r="C1524" s="3">
        <f>IF(D1524="","",IF(V1524=0,"🟢 OK",IF(D1524&lt;corte,"⚪ HISTÓRICO (sem baixa)",IF(AND(ISNUMBER(R1524),R1524&lt;TODAY()),"🔴 PRAZO VENCIDO",IF(AND(OR(N1524="PENDENTE",N1524="PARCIAL"),D1524&lt;TODAY()-1),"🔴 EMBARQUE ATRASADO",IF(AND(N1524="REALIZADO",M1524="PENDENTE"),"🟡 EMBARCADO SEM FATURAR",IF(AND(P1524&lt;&gt;"",S1524="",OR(Q1524="",R1524="")),"🟡 PENDÊNCIA SEM RESPONSÁVEL/PRAZO",IF(AND(ISNUMBER(R1524),R1524=TODAY()),"🟡 VENCE HOJE",IF(AND(P1524&lt;&gt;"",S1524=""),"🟡 PENDÊNCIA ABERTA",IF(AND(N(J1524)&gt;0,N(K1524)&lt;J1524),"🟡 FALTA EXECUTAR",IF(OR(M1524="PENDENTE",M1524="PARCIAL"),"🟡 FATURAMENTO PENDENTE","🟡 EMBARQUE PENDENTE")))))))))))</f>
        <v/>
      </c>
      <c r="D1524" s="4" t="n"/>
      <c r="E1524" s="5" t="n"/>
      <c r="F1524" s="5" t="n"/>
      <c r="G1524" s="5" t="n"/>
      <c r="H1524" s="5" t="n"/>
      <c r="I1524" s="5" t="n"/>
      <c r="J1524" s="6" t="n"/>
      <c r="K1524" s="6" t="n"/>
      <c r="L1524" s="7">
        <f>IF(OR(D1524="",N(J1524)=0),"",MIN(1,N(K1524)/J1524))</f>
        <v/>
      </c>
      <c r="M1524" s="5" t="n"/>
      <c r="N1524" s="5" t="n"/>
      <c r="O1524" s="5" t="n"/>
      <c r="P1524" s="5" t="n"/>
      <c r="Q1524" s="5" t="n"/>
      <c r="R1524" s="4" t="n"/>
      <c r="S1524" s="4" t="n"/>
      <c r="T1524" s="5" t="n"/>
      <c r="U1524" s="8">
        <f>IF(AND(V1524=1,D1524&lt;&gt;""),IF(D1524&gt;=corte,TODAY()-D1524,""),"")</f>
        <v/>
      </c>
      <c r="V1524" s="8">
        <f>IF(D1524="",0,IF(OR(AND(P1524&lt;&gt;"",S1524=""),AND(N(J1524)&gt;0,N(K1524)&lt;J1524),OR(M1524="PENDENTE",M1524="PARCIAL"),OR(N1524="PENDENTE",N1524="PARCIAL")),1,0))</f>
        <v/>
      </c>
      <c r="W1524" s="8">
        <f>IF(AND(V1524=1,D1524&lt;&gt;""),IF(D1524&gt;=corte,(B1524="CRÍTICO")*1E9+(100000-D1524)*10000+10000-ROW(),""),"")</f>
        <v/>
      </c>
      <c r="X1524" s="8">
        <f>IF(AND(V1524=1,D1524=pas_data,E1524=pas_turno),10000-ROW(),"")</f>
        <v/>
      </c>
    </row>
    <row r="1525">
      <c r="A1525" s="3">
        <f>IF(D1525="","","TT-"&amp;TEXT(ROW()-1,"00000"))</f>
        <v/>
      </c>
      <c r="B1525" s="3">
        <f>IF(D1525="","",IF(V1525=0,"CONCLUÍDO",IF(D1525&lt;corte,"HISTÓRICO",IF(OR(AND(ISNUMBER(R1525),R1525&lt;TODAY()),AND(OR(N1525="PENDENTE",N1525="PARCIAL"),D1525&lt;TODAY()-1)),"CRÍTICO",IF(OR(AND(P1525&lt;&gt;"",S1525=""),AND(N1525="REALIZADO",M1525="PENDENTE"),AND(ISNUMBER(R1525),R1525=TODAY())),"ATENÇÃO",IF(N(K1525)=0,"PENDENTE","EM ANDAMENTO"))))))</f>
        <v/>
      </c>
      <c r="C1525" s="3">
        <f>IF(D1525="","",IF(V1525=0,"🟢 OK",IF(D1525&lt;corte,"⚪ HISTÓRICO (sem baixa)",IF(AND(ISNUMBER(R1525),R1525&lt;TODAY()),"🔴 PRAZO VENCIDO",IF(AND(OR(N1525="PENDENTE",N1525="PARCIAL"),D1525&lt;TODAY()-1),"🔴 EMBARQUE ATRASADO",IF(AND(N1525="REALIZADO",M1525="PENDENTE"),"🟡 EMBARCADO SEM FATURAR",IF(AND(P1525&lt;&gt;"",S1525="",OR(Q1525="",R1525="")),"🟡 PENDÊNCIA SEM RESPONSÁVEL/PRAZO",IF(AND(ISNUMBER(R1525),R1525=TODAY()),"🟡 VENCE HOJE",IF(AND(P1525&lt;&gt;"",S1525=""),"🟡 PENDÊNCIA ABERTA",IF(AND(N(J1525)&gt;0,N(K1525)&lt;J1525),"🟡 FALTA EXECUTAR",IF(OR(M1525="PENDENTE",M1525="PARCIAL"),"🟡 FATURAMENTO PENDENTE","🟡 EMBARQUE PENDENTE")))))))))))</f>
        <v/>
      </c>
      <c r="D1525" s="4" t="n"/>
      <c r="E1525" s="5" t="n"/>
      <c r="F1525" s="5" t="n"/>
      <c r="G1525" s="5" t="n"/>
      <c r="H1525" s="5" t="n"/>
      <c r="I1525" s="5" t="n"/>
      <c r="J1525" s="6" t="n"/>
      <c r="K1525" s="6" t="n"/>
      <c r="L1525" s="7">
        <f>IF(OR(D1525="",N(J1525)=0),"",MIN(1,N(K1525)/J1525))</f>
        <v/>
      </c>
      <c r="M1525" s="5" t="n"/>
      <c r="N1525" s="5" t="n"/>
      <c r="O1525" s="5" t="n"/>
      <c r="P1525" s="5" t="n"/>
      <c r="Q1525" s="5" t="n"/>
      <c r="R1525" s="4" t="n"/>
      <c r="S1525" s="4" t="n"/>
      <c r="T1525" s="5" t="n"/>
      <c r="U1525" s="8">
        <f>IF(AND(V1525=1,D1525&lt;&gt;""),IF(D1525&gt;=corte,TODAY()-D1525,""),"")</f>
        <v/>
      </c>
      <c r="V1525" s="8">
        <f>IF(D1525="",0,IF(OR(AND(P1525&lt;&gt;"",S1525=""),AND(N(J1525)&gt;0,N(K1525)&lt;J1525),OR(M1525="PENDENTE",M1525="PARCIAL"),OR(N1525="PENDENTE",N1525="PARCIAL")),1,0))</f>
        <v/>
      </c>
      <c r="W1525" s="8">
        <f>IF(AND(V1525=1,D1525&lt;&gt;""),IF(D1525&gt;=corte,(B1525="CRÍTICO")*1E9+(100000-D1525)*10000+10000-ROW(),""),"")</f>
        <v/>
      </c>
      <c r="X1525" s="8">
        <f>IF(AND(V1525=1,D1525=pas_data,E1525=pas_turno),10000-ROW(),"")</f>
        <v/>
      </c>
    </row>
    <row r="1526">
      <c r="A1526" s="3">
        <f>IF(D1526="","","TT-"&amp;TEXT(ROW()-1,"00000"))</f>
        <v/>
      </c>
      <c r="B1526" s="3">
        <f>IF(D1526="","",IF(V1526=0,"CONCLUÍDO",IF(D1526&lt;corte,"HISTÓRICO",IF(OR(AND(ISNUMBER(R1526),R1526&lt;TODAY()),AND(OR(N1526="PENDENTE",N1526="PARCIAL"),D1526&lt;TODAY()-1)),"CRÍTICO",IF(OR(AND(P1526&lt;&gt;"",S1526=""),AND(N1526="REALIZADO",M1526="PENDENTE"),AND(ISNUMBER(R1526),R1526=TODAY())),"ATENÇÃO",IF(N(K1526)=0,"PENDENTE","EM ANDAMENTO"))))))</f>
        <v/>
      </c>
      <c r="C1526" s="3">
        <f>IF(D1526="","",IF(V1526=0,"🟢 OK",IF(D1526&lt;corte,"⚪ HISTÓRICO (sem baixa)",IF(AND(ISNUMBER(R1526),R1526&lt;TODAY()),"🔴 PRAZO VENCIDO",IF(AND(OR(N1526="PENDENTE",N1526="PARCIAL"),D1526&lt;TODAY()-1),"🔴 EMBARQUE ATRASADO",IF(AND(N1526="REALIZADO",M1526="PENDENTE"),"🟡 EMBARCADO SEM FATURAR",IF(AND(P1526&lt;&gt;"",S1526="",OR(Q1526="",R1526="")),"🟡 PENDÊNCIA SEM RESPONSÁVEL/PRAZO",IF(AND(ISNUMBER(R1526),R1526=TODAY()),"🟡 VENCE HOJE",IF(AND(P1526&lt;&gt;"",S1526=""),"🟡 PENDÊNCIA ABERTA",IF(AND(N(J1526)&gt;0,N(K1526)&lt;J1526),"🟡 FALTA EXECUTAR",IF(OR(M1526="PENDENTE",M1526="PARCIAL"),"🟡 FATURAMENTO PENDENTE","🟡 EMBARQUE PENDENTE")))))))))))</f>
        <v/>
      </c>
      <c r="D1526" s="4" t="n"/>
      <c r="E1526" s="5" t="n"/>
      <c r="F1526" s="5" t="n"/>
      <c r="G1526" s="5" t="n"/>
      <c r="H1526" s="5" t="n"/>
      <c r="I1526" s="5" t="n"/>
      <c r="J1526" s="6" t="n"/>
      <c r="K1526" s="6" t="n"/>
      <c r="L1526" s="7">
        <f>IF(OR(D1526="",N(J1526)=0),"",MIN(1,N(K1526)/J1526))</f>
        <v/>
      </c>
      <c r="M1526" s="5" t="n"/>
      <c r="N1526" s="5" t="n"/>
      <c r="O1526" s="5" t="n"/>
      <c r="P1526" s="5" t="n"/>
      <c r="Q1526" s="5" t="n"/>
      <c r="R1526" s="4" t="n"/>
      <c r="S1526" s="4" t="n"/>
      <c r="T1526" s="5" t="n"/>
      <c r="U1526" s="8">
        <f>IF(AND(V1526=1,D1526&lt;&gt;""),IF(D1526&gt;=corte,TODAY()-D1526,""),"")</f>
        <v/>
      </c>
      <c r="V1526" s="8">
        <f>IF(D1526="",0,IF(OR(AND(P1526&lt;&gt;"",S1526=""),AND(N(J1526)&gt;0,N(K1526)&lt;J1526),OR(M1526="PENDENTE",M1526="PARCIAL"),OR(N1526="PENDENTE",N1526="PARCIAL")),1,0))</f>
        <v/>
      </c>
      <c r="W1526" s="8">
        <f>IF(AND(V1526=1,D1526&lt;&gt;""),IF(D1526&gt;=corte,(B1526="CRÍTICO")*1E9+(100000-D1526)*10000+10000-ROW(),""),"")</f>
        <v/>
      </c>
      <c r="X1526" s="8">
        <f>IF(AND(V1526=1,D1526=pas_data,E1526=pas_turno),10000-ROW(),"")</f>
        <v/>
      </c>
    </row>
    <row r="1527">
      <c r="A1527" s="3">
        <f>IF(D1527="","","TT-"&amp;TEXT(ROW()-1,"00000"))</f>
        <v/>
      </c>
      <c r="B1527" s="3">
        <f>IF(D1527="","",IF(V1527=0,"CONCLUÍDO",IF(D1527&lt;corte,"HISTÓRICO",IF(OR(AND(ISNUMBER(R1527),R1527&lt;TODAY()),AND(OR(N1527="PENDENTE",N1527="PARCIAL"),D1527&lt;TODAY()-1)),"CRÍTICO",IF(OR(AND(P1527&lt;&gt;"",S1527=""),AND(N1527="REALIZADO",M1527="PENDENTE"),AND(ISNUMBER(R1527),R1527=TODAY())),"ATENÇÃO",IF(N(K1527)=0,"PENDENTE","EM ANDAMENTO"))))))</f>
        <v/>
      </c>
      <c r="C1527" s="3">
        <f>IF(D1527="","",IF(V1527=0,"🟢 OK",IF(D1527&lt;corte,"⚪ HISTÓRICO (sem baixa)",IF(AND(ISNUMBER(R1527),R1527&lt;TODAY()),"🔴 PRAZO VENCIDO",IF(AND(OR(N1527="PENDENTE",N1527="PARCIAL"),D1527&lt;TODAY()-1),"🔴 EMBARQUE ATRASADO",IF(AND(N1527="REALIZADO",M1527="PENDENTE"),"🟡 EMBARCADO SEM FATURAR",IF(AND(P1527&lt;&gt;"",S1527="",OR(Q1527="",R1527="")),"🟡 PENDÊNCIA SEM RESPONSÁVEL/PRAZO",IF(AND(ISNUMBER(R1527),R1527=TODAY()),"🟡 VENCE HOJE",IF(AND(P1527&lt;&gt;"",S1527=""),"🟡 PENDÊNCIA ABERTA",IF(AND(N(J1527)&gt;0,N(K1527)&lt;J1527),"🟡 FALTA EXECUTAR",IF(OR(M1527="PENDENTE",M1527="PARCIAL"),"🟡 FATURAMENTO PENDENTE","🟡 EMBARQUE PENDENTE")))))))))))</f>
        <v/>
      </c>
      <c r="D1527" s="4" t="n"/>
      <c r="E1527" s="5" t="n"/>
      <c r="F1527" s="5" t="n"/>
      <c r="G1527" s="5" t="n"/>
      <c r="H1527" s="5" t="n"/>
      <c r="I1527" s="5" t="n"/>
      <c r="J1527" s="6" t="n"/>
      <c r="K1527" s="6" t="n"/>
      <c r="L1527" s="7">
        <f>IF(OR(D1527="",N(J1527)=0),"",MIN(1,N(K1527)/J1527))</f>
        <v/>
      </c>
      <c r="M1527" s="5" t="n"/>
      <c r="N1527" s="5" t="n"/>
      <c r="O1527" s="5" t="n"/>
      <c r="P1527" s="5" t="n"/>
      <c r="Q1527" s="5" t="n"/>
      <c r="R1527" s="4" t="n"/>
      <c r="S1527" s="4" t="n"/>
      <c r="T1527" s="5" t="n"/>
      <c r="U1527" s="8">
        <f>IF(AND(V1527=1,D1527&lt;&gt;""),IF(D1527&gt;=corte,TODAY()-D1527,""),"")</f>
        <v/>
      </c>
      <c r="V1527" s="8">
        <f>IF(D1527="",0,IF(OR(AND(P1527&lt;&gt;"",S1527=""),AND(N(J1527)&gt;0,N(K1527)&lt;J1527),OR(M1527="PENDENTE",M1527="PARCIAL"),OR(N1527="PENDENTE",N1527="PARCIAL")),1,0))</f>
        <v/>
      </c>
      <c r="W1527" s="8">
        <f>IF(AND(V1527=1,D1527&lt;&gt;""),IF(D1527&gt;=corte,(B1527="CRÍTICO")*1E9+(100000-D1527)*10000+10000-ROW(),""),"")</f>
        <v/>
      </c>
      <c r="X1527" s="8">
        <f>IF(AND(V1527=1,D1527=pas_data,E1527=pas_turno),10000-ROW(),"")</f>
        <v/>
      </c>
    </row>
    <row r="1528">
      <c r="A1528" s="3">
        <f>IF(D1528="","","TT-"&amp;TEXT(ROW()-1,"00000"))</f>
        <v/>
      </c>
      <c r="B1528" s="3">
        <f>IF(D1528="","",IF(V1528=0,"CONCLUÍDO",IF(D1528&lt;corte,"HISTÓRICO",IF(OR(AND(ISNUMBER(R1528),R1528&lt;TODAY()),AND(OR(N1528="PENDENTE",N1528="PARCIAL"),D1528&lt;TODAY()-1)),"CRÍTICO",IF(OR(AND(P1528&lt;&gt;"",S1528=""),AND(N1528="REALIZADO",M1528="PENDENTE"),AND(ISNUMBER(R1528),R1528=TODAY())),"ATENÇÃO",IF(N(K1528)=0,"PENDENTE","EM ANDAMENTO"))))))</f>
        <v/>
      </c>
      <c r="C1528" s="3">
        <f>IF(D1528="","",IF(V1528=0,"🟢 OK",IF(D1528&lt;corte,"⚪ HISTÓRICO (sem baixa)",IF(AND(ISNUMBER(R1528),R1528&lt;TODAY()),"🔴 PRAZO VENCIDO",IF(AND(OR(N1528="PENDENTE",N1528="PARCIAL"),D1528&lt;TODAY()-1),"🔴 EMBARQUE ATRASADO",IF(AND(N1528="REALIZADO",M1528="PENDENTE"),"🟡 EMBARCADO SEM FATURAR",IF(AND(P1528&lt;&gt;"",S1528="",OR(Q1528="",R1528="")),"🟡 PENDÊNCIA SEM RESPONSÁVEL/PRAZO",IF(AND(ISNUMBER(R1528),R1528=TODAY()),"🟡 VENCE HOJE",IF(AND(P1528&lt;&gt;"",S1528=""),"🟡 PENDÊNCIA ABERTA",IF(AND(N(J1528)&gt;0,N(K1528)&lt;J1528),"🟡 FALTA EXECUTAR",IF(OR(M1528="PENDENTE",M1528="PARCIAL"),"🟡 FATURAMENTO PENDENTE","🟡 EMBARQUE PENDENTE")))))))))))</f>
        <v/>
      </c>
      <c r="D1528" s="4" t="n"/>
      <c r="E1528" s="5" t="n"/>
      <c r="F1528" s="5" t="n"/>
      <c r="G1528" s="5" t="n"/>
      <c r="H1528" s="5" t="n"/>
      <c r="I1528" s="5" t="n"/>
      <c r="J1528" s="6" t="n"/>
      <c r="K1528" s="6" t="n"/>
      <c r="L1528" s="7">
        <f>IF(OR(D1528="",N(J1528)=0),"",MIN(1,N(K1528)/J1528))</f>
        <v/>
      </c>
      <c r="M1528" s="5" t="n"/>
      <c r="N1528" s="5" t="n"/>
      <c r="O1528" s="5" t="n"/>
      <c r="P1528" s="5" t="n"/>
      <c r="Q1528" s="5" t="n"/>
      <c r="R1528" s="4" t="n"/>
      <c r="S1528" s="4" t="n"/>
      <c r="T1528" s="5" t="n"/>
      <c r="U1528" s="8">
        <f>IF(AND(V1528=1,D1528&lt;&gt;""),IF(D1528&gt;=corte,TODAY()-D1528,""),"")</f>
        <v/>
      </c>
      <c r="V1528" s="8">
        <f>IF(D1528="",0,IF(OR(AND(P1528&lt;&gt;"",S1528=""),AND(N(J1528)&gt;0,N(K1528)&lt;J1528),OR(M1528="PENDENTE",M1528="PARCIAL"),OR(N1528="PENDENTE",N1528="PARCIAL")),1,0))</f>
        <v/>
      </c>
      <c r="W1528" s="8">
        <f>IF(AND(V1528=1,D1528&lt;&gt;""),IF(D1528&gt;=corte,(B1528="CRÍTICO")*1E9+(100000-D1528)*10000+10000-ROW(),""),"")</f>
        <v/>
      </c>
      <c r="X1528" s="8">
        <f>IF(AND(V1528=1,D1528=pas_data,E1528=pas_turno),10000-ROW(),"")</f>
        <v/>
      </c>
    </row>
    <row r="1529">
      <c r="A1529" s="3">
        <f>IF(D1529="","","TT-"&amp;TEXT(ROW()-1,"00000"))</f>
        <v/>
      </c>
      <c r="B1529" s="3">
        <f>IF(D1529="","",IF(V1529=0,"CONCLUÍDO",IF(D1529&lt;corte,"HISTÓRICO",IF(OR(AND(ISNUMBER(R1529),R1529&lt;TODAY()),AND(OR(N1529="PENDENTE",N1529="PARCIAL"),D1529&lt;TODAY()-1)),"CRÍTICO",IF(OR(AND(P1529&lt;&gt;"",S1529=""),AND(N1529="REALIZADO",M1529="PENDENTE"),AND(ISNUMBER(R1529),R1529=TODAY())),"ATENÇÃO",IF(N(K1529)=0,"PENDENTE","EM ANDAMENTO"))))))</f>
        <v/>
      </c>
      <c r="C1529" s="3">
        <f>IF(D1529="","",IF(V1529=0,"🟢 OK",IF(D1529&lt;corte,"⚪ HISTÓRICO (sem baixa)",IF(AND(ISNUMBER(R1529),R1529&lt;TODAY()),"🔴 PRAZO VENCIDO",IF(AND(OR(N1529="PENDENTE",N1529="PARCIAL"),D1529&lt;TODAY()-1),"🔴 EMBARQUE ATRASADO",IF(AND(N1529="REALIZADO",M1529="PENDENTE"),"🟡 EMBARCADO SEM FATURAR",IF(AND(P1529&lt;&gt;"",S1529="",OR(Q1529="",R1529="")),"🟡 PENDÊNCIA SEM RESPONSÁVEL/PRAZO",IF(AND(ISNUMBER(R1529),R1529=TODAY()),"🟡 VENCE HOJE",IF(AND(P1529&lt;&gt;"",S1529=""),"🟡 PENDÊNCIA ABERTA",IF(AND(N(J1529)&gt;0,N(K1529)&lt;J1529),"🟡 FALTA EXECUTAR",IF(OR(M1529="PENDENTE",M1529="PARCIAL"),"🟡 FATURAMENTO PENDENTE","🟡 EMBARQUE PENDENTE")))))))))))</f>
        <v/>
      </c>
      <c r="D1529" s="4" t="n"/>
      <c r="E1529" s="5" t="n"/>
      <c r="F1529" s="5" t="n"/>
      <c r="G1529" s="5" t="n"/>
      <c r="H1529" s="5" t="n"/>
      <c r="I1529" s="5" t="n"/>
      <c r="J1529" s="6" t="n"/>
      <c r="K1529" s="6" t="n"/>
      <c r="L1529" s="7">
        <f>IF(OR(D1529="",N(J1529)=0),"",MIN(1,N(K1529)/J1529))</f>
        <v/>
      </c>
      <c r="M1529" s="5" t="n"/>
      <c r="N1529" s="5" t="n"/>
      <c r="O1529" s="5" t="n"/>
      <c r="P1529" s="5" t="n"/>
      <c r="Q1529" s="5" t="n"/>
      <c r="R1529" s="4" t="n"/>
      <c r="S1529" s="4" t="n"/>
      <c r="T1529" s="5" t="n"/>
      <c r="U1529" s="8">
        <f>IF(AND(V1529=1,D1529&lt;&gt;""),IF(D1529&gt;=corte,TODAY()-D1529,""),"")</f>
        <v/>
      </c>
      <c r="V1529" s="8">
        <f>IF(D1529="",0,IF(OR(AND(P1529&lt;&gt;"",S1529=""),AND(N(J1529)&gt;0,N(K1529)&lt;J1529),OR(M1529="PENDENTE",M1529="PARCIAL"),OR(N1529="PENDENTE",N1529="PARCIAL")),1,0))</f>
        <v/>
      </c>
      <c r="W1529" s="8">
        <f>IF(AND(V1529=1,D1529&lt;&gt;""),IF(D1529&gt;=corte,(B1529="CRÍTICO")*1E9+(100000-D1529)*10000+10000-ROW(),""),"")</f>
        <v/>
      </c>
      <c r="X1529" s="8">
        <f>IF(AND(V1529=1,D1529=pas_data,E1529=pas_turno),10000-ROW(),"")</f>
        <v/>
      </c>
    </row>
    <row r="1530">
      <c r="A1530" s="3">
        <f>IF(D1530="","","TT-"&amp;TEXT(ROW()-1,"00000"))</f>
        <v/>
      </c>
      <c r="B1530" s="3">
        <f>IF(D1530="","",IF(V1530=0,"CONCLUÍDO",IF(D1530&lt;corte,"HISTÓRICO",IF(OR(AND(ISNUMBER(R1530),R1530&lt;TODAY()),AND(OR(N1530="PENDENTE",N1530="PARCIAL"),D1530&lt;TODAY()-1)),"CRÍTICO",IF(OR(AND(P1530&lt;&gt;"",S1530=""),AND(N1530="REALIZADO",M1530="PENDENTE"),AND(ISNUMBER(R1530),R1530=TODAY())),"ATENÇÃO",IF(N(K1530)=0,"PENDENTE","EM ANDAMENTO"))))))</f>
        <v/>
      </c>
      <c r="C1530" s="3">
        <f>IF(D1530="","",IF(V1530=0,"🟢 OK",IF(D1530&lt;corte,"⚪ HISTÓRICO (sem baixa)",IF(AND(ISNUMBER(R1530),R1530&lt;TODAY()),"🔴 PRAZO VENCIDO",IF(AND(OR(N1530="PENDENTE",N1530="PARCIAL"),D1530&lt;TODAY()-1),"🔴 EMBARQUE ATRASADO",IF(AND(N1530="REALIZADO",M1530="PENDENTE"),"🟡 EMBARCADO SEM FATURAR",IF(AND(P1530&lt;&gt;"",S1530="",OR(Q1530="",R1530="")),"🟡 PENDÊNCIA SEM RESPONSÁVEL/PRAZO",IF(AND(ISNUMBER(R1530),R1530=TODAY()),"🟡 VENCE HOJE",IF(AND(P1530&lt;&gt;"",S1530=""),"🟡 PENDÊNCIA ABERTA",IF(AND(N(J1530)&gt;0,N(K1530)&lt;J1530),"🟡 FALTA EXECUTAR",IF(OR(M1530="PENDENTE",M1530="PARCIAL"),"🟡 FATURAMENTO PENDENTE","🟡 EMBARQUE PENDENTE")))))))))))</f>
        <v/>
      </c>
      <c r="D1530" s="4" t="n"/>
      <c r="E1530" s="5" t="n"/>
      <c r="F1530" s="5" t="n"/>
      <c r="G1530" s="5" t="n"/>
      <c r="H1530" s="5" t="n"/>
      <c r="I1530" s="5" t="n"/>
      <c r="J1530" s="6" t="n"/>
      <c r="K1530" s="6" t="n"/>
      <c r="L1530" s="7">
        <f>IF(OR(D1530="",N(J1530)=0),"",MIN(1,N(K1530)/J1530))</f>
        <v/>
      </c>
      <c r="M1530" s="5" t="n"/>
      <c r="N1530" s="5" t="n"/>
      <c r="O1530" s="5" t="n"/>
      <c r="P1530" s="5" t="n"/>
      <c r="Q1530" s="5" t="n"/>
      <c r="R1530" s="4" t="n"/>
      <c r="S1530" s="4" t="n"/>
      <c r="T1530" s="5" t="n"/>
      <c r="U1530" s="8">
        <f>IF(AND(V1530=1,D1530&lt;&gt;""),IF(D1530&gt;=corte,TODAY()-D1530,""),"")</f>
        <v/>
      </c>
      <c r="V1530" s="8">
        <f>IF(D1530="",0,IF(OR(AND(P1530&lt;&gt;"",S1530=""),AND(N(J1530)&gt;0,N(K1530)&lt;J1530),OR(M1530="PENDENTE",M1530="PARCIAL"),OR(N1530="PENDENTE",N1530="PARCIAL")),1,0))</f>
        <v/>
      </c>
      <c r="W1530" s="8">
        <f>IF(AND(V1530=1,D1530&lt;&gt;""),IF(D1530&gt;=corte,(B1530="CRÍTICO")*1E9+(100000-D1530)*10000+10000-ROW(),""),"")</f>
        <v/>
      </c>
      <c r="X1530" s="8">
        <f>IF(AND(V1530=1,D1530=pas_data,E1530=pas_turno),10000-ROW(),"")</f>
        <v/>
      </c>
    </row>
    <row r="1531">
      <c r="A1531" s="3">
        <f>IF(D1531="","","TT-"&amp;TEXT(ROW()-1,"00000"))</f>
        <v/>
      </c>
      <c r="B1531" s="3">
        <f>IF(D1531="","",IF(V1531=0,"CONCLUÍDO",IF(D1531&lt;corte,"HISTÓRICO",IF(OR(AND(ISNUMBER(R1531),R1531&lt;TODAY()),AND(OR(N1531="PENDENTE",N1531="PARCIAL"),D1531&lt;TODAY()-1)),"CRÍTICO",IF(OR(AND(P1531&lt;&gt;"",S1531=""),AND(N1531="REALIZADO",M1531="PENDENTE"),AND(ISNUMBER(R1531),R1531=TODAY())),"ATENÇÃO",IF(N(K1531)=0,"PENDENTE","EM ANDAMENTO"))))))</f>
        <v/>
      </c>
      <c r="C1531" s="3">
        <f>IF(D1531="","",IF(V1531=0,"🟢 OK",IF(D1531&lt;corte,"⚪ HISTÓRICO (sem baixa)",IF(AND(ISNUMBER(R1531),R1531&lt;TODAY()),"🔴 PRAZO VENCIDO",IF(AND(OR(N1531="PENDENTE",N1531="PARCIAL"),D1531&lt;TODAY()-1),"🔴 EMBARQUE ATRASADO",IF(AND(N1531="REALIZADO",M1531="PENDENTE"),"🟡 EMBARCADO SEM FATURAR",IF(AND(P1531&lt;&gt;"",S1531="",OR(Q1531="",R1531="")),"🟡 PENDÊNCIA SEM RESPONSÁVEL/PRAZO",IF(AND(ISNUMBER(R1531),R1531=TODAY()),"🟡 VENCE HOJE",IF(AND(P1531&lt;&gt;"",S1531=""),"🟡 PENDÊNCIA ABERTA",IF(AND(N(J1531)&gt;0,N(K1531)&lt;J1531),"🟡 FALTA EXECUTAR",IF(OR(M1531="PENDENTE",M1531="PARCIAL"),"🟡 FATURAMENTO PENDENTE","🟡 EMBARQUE PENDENTE")))))))))))</f>
        <v/>
      </c>
      <c r="D1531" s="4" t="n"/>
      <c r="E1531" s="5" t="n"/>
      <c r="F1531" s="5" t="n"/>
      <c r="G1531" s="5" t="n"/>
      <c r="H1531" s="5" t="n"/>
      <c r="I1531" s="5" t="n"/>
      <c r="J1531" s="6" t="n"/>
      <c r="K1531" s="6" t="n"/>
      <c r="L1531" s="7">
        <f>IF(OR(D1531="",N(J1531)=0),"",MIN(1,N(K1531)/J1531))</f>
        <v/>
      </c>
      <c r="M1531" s="5" t="n"/>
      <c r="N1531" s="5" t="n"/>
      <c r="O1531" s="5" t="n"/>
      <c r="P1531" s="5" t="n"/>
      <c r="Q1531" s="5" t="n"/>
      <c r="R1531" s="4" t="n"/>
      <c r="S1531" s="4" t="n"/>
      <c r="T1531" s="5" t="n"/>
      <c r="U1531" s="8">
        <f>IF(AND(V1531=1,D1531&lt;&gt;""),IF(D1531&gt;=corte,TODAY()-D1531,""),"")</f>
        <v/>
      </c>
      <c r="V1531" s="8">
        <f>IF(D1531="",0,IF(OR(AND(P1531&lt;&gt;"",S1531=""),AND(N(J1531)&gt;0,N(K1531)&lt;J1531),OR(M1531="PENDENTE",M1531="PARCIAL"),OR(N1531="PENDENTE",N1531="PARCIAL")),1,0))</f>
        <v/>
      </c>
      <c r="W1531" s="8">
        <f>IF(AND(V1531=1,D1531&lt;&gt;""),IF(D1531&gt;=corte,(B1531="CRÍTICO")*1E9+(100000-D1531)*10000+10000-ROW(),""),"")</f>
        <v/>
      </c>
      <c r="X1531" s="8">
        <f>IF(AND(V1531=1,D1531=pas_data,E1531=pas_turno),10000-ROW(),"")</f>
        <v/>
      </c>
    </row>
    <row r="1532">
      <c r="A1532" s="3">
        <f>IF(D1532="","","TT-"&amp;TEXT(ROW()-1,"00000"))</f>
        <v/>
      </c>
      <c r="B1532" s="3">
        <f>IF(D1532="","",IF(V1532=0,"CONCLUÍDO",IF(D1532&lt;corte,"HISTÓRICO",IF(OR(AND(ISNUMBER(R1532),R1532&lt;TODAY()),AND(OR(N1532="PENDENTE",N1532="PARCIAL"),D1532&lt;TODAY()-1)),"CRÍTICO",IF(OR(AND(P1532&lt;&gt;"",S1532=""),AND(N1532="REALIZADO",M1532="PENDENTE"),AND(ISNUMBER(R1532),R1532=TODAY())),"ATENÇÃO",IF(N(K1532)=0,"PENDENTE","EM ANDAMENTO"))))))</f>
        <v/>
      </c>
      <c r="C1532" s="3">
        <f>IF(D1532="","",IF(V1532=0,"🟢 OK",IF(D1532&lt;corte,"⚪ HISTÓRICO (sem baixa)",IF(AND(ISNUMBER(R1532),R1532&lt;TODAY()),"🔴 PRAZO VENCIDO",IF(AND(OR(N1532="PENDENTE",N1532="PARCIAL"),D1532&lt;TODAY()-1),"🔴 EMBARQUE ATRASADO",IF(AND(N1532="REALIZADO",M1532="PENDENTE"),"🟡 EMBARCADO SEM FATURAR",IF(AND(P1532&lt;&gt;"",S1532="",OR(Q1532="",R1532="")),"🟡 PENDÊNCIA SEM RESPONSÁVEL/PRAZO",IF(AND(ISNUMBER(R1532),R1532=TODAY()),"🟡 VENCE HOJE",IF(AND(P1532&lt;&gt;"",S1532=""),"🟡 PENDÊNCIA ABERTA",IF(AND(N(J1532)&gt;0,N(K1532)&lt;J1532),"🟡 FALTA EXECUTAR",IF(OR(M1532="PENDENTE",M1532="PARCIAL"),"🟡 FATURAMENTO PENDENTE","🟡 EMBARQUE PENDENTE")))))))))))</f>
        <v/>
      </c>
      <c r="D1532" s="4" t="n"/>
      <c r="E1532" s="5" t="n"/>
      <c r="F1532" s="5" t="n"/>
      <c r="G1532" s="5" t="n"/>
      <c r="H1532" s="5" t="n"/>
      <c r="I1532" s="5" t="n"/>
      <c r="J1532" s="6" t="n"/>
      <c r="K1532" s="6" t="n"/>
      <c r="L1532" s="7">
        <f>IF(OR(D1532="",N(J1532)=0),"",MIN(1,N(K1532)/J1532))</f>
        <v/>
      </c>
      <c r="M1532" s="5" t="n"/>
      <c r="N1532" s="5" t="n"/>
      <c r="O1532" s="5" t="n"/>
      <c r="P1532" s="5" t="n"/>
      <c r="Q1532" s="5" t="n"/>
      <c r="R1532" s="4" t="n"/>
      <c r="S1532" s="4" t="n"/>
      <c r="T1532" s="5" t="n"/>
      <c r="U1532" s="8">
        <f>IF(AND(V1532=1,D1532&lt;&gt;""),IF(D1532&gt;=corte,TODAY()-D1532,""),"")</f>
        <v/>
      </c>
      <c r="V1532" s="8">
        <f>IF(D1532="",0,IF(OR(AND(P1532&lt;&gt;"",S1532=""),AND(N(J1532)&gt;0,N(K1532)&lt;J1532),OR(M1532="PENDENTE",M1532="PARCIAL"),OR(N1532="PENDENTE",N1532="PARCIAL")),1,0))</f>
        <v/>
      </c>
      <c r="W1532" s="8">
        <f>IF(AND(V1532=1,D1532&lt;&gt;""),IF(D1532&gt;=corte,(B1532="CRÍTICO")*1E9+(100000-D1532)*10000+10000-ROW(),""),"")</f>
        <v/>
      </c>
      <c r="X1532" s="8">
        <f>IF(AND(V1532=1,D1532=pas_data,E1532=pas_turno),10000-ROW(),"")</f>
        <v/>
      </c>
    </row>
    <row r="1533">
      <c r="A1533" s="3">
        <f>IF(D1533="","","TT-"&amp;TEXT(ROW()-1,"00000"))</f>
        <v/>
      </c>
      <c r="B1533" s="3">
        <f>IF(D1533="","",IF(V1533=0,"CONCLUÍDO",IF(D1533&lt;corte,"HISTÓRICO",IF(OR(AND(ISNUMBER(R1533),R1533&lt;TODAY()),AND(OR(N1533="PENDENTE",N1533="PARCIAL"),D1533&lt;TODAY()-1)),"CRÍTICO",IF(OR(AND(P1533&lt;&gt;"",S1533=""),AND(N1533="REALIZADO",M1533="PENDENTE"),AND(ISNUMBER(R1533),R1533=TODAY())),"ATENÇÃO",IF(N(K1533)=0,"PENDENTE","EM ANDAMENTO"))))))</f>
        <v/>
      </c>
      <c r="C1533" s="3">
        <f>IF(D1533="","",IF(V1533=0,"🟢 OK",IF(D1533&lt;corte,"⚪ HISTÓRICO (sem baixa)",IF(AND(ISNUMBER(R1533),R1533&lt;TODAY()),"🔴 PRAZO VENCIDO",IF(AND(OR(N1533="PENDENTE",N1533="PARCIAL"),D1533&lt;TODAY()-1),"🔴 EMBARQUE ATRASADO",IF(AND(N1533="REALIZADO",M1533="PENDENTE"),"🟡 EMBARCADO SEM FATURAR",IF(AND(P1533&lt;&gt;"",S1533="",OR(Q1533="",R1533="")),"🟡 PENDÊNCIA SEM RESPONSÁVEL/PRAZO",IF(AND(ISNUMBER(R1533),R1533=TODAY()),"🟡 VENCE HOJE",IF(AND(P1533&lt;&gt;"",S1533=""),"🟡 PENDÊNCIA ABERTA",IF(AND(N(J1533)&gt;0,N(K1533)&lt;J1533),"🟡 FALTA EXECUTAR",IF(OR(M1533="PENDENTE",M1533="PARCIAL"),"🟡 FATURAMENTO PENDENTE","🟡 EMBARQUE PENDENTE")))))))))))</f>
        <v/>
      </c>
      <c r="D1533" s="4" t="n"/>
      <c r="E1533" s="5" t="n"/>
      <c r="F1533" s="5" t="n"/>
      <c r="G1533" s="5" t="n"/>
      <c r="H1533" s="5" t="n"/>
      <c r="I1533" s="5" t="n"/>
      <c r="J1533" s="6" t="n"/>
      <c r="K1533" s="6" t="n"/>
      <c r="L1533" s="7">
        <f>IF(OR(D1533="",N(J1533)=0),"",MIN(1,N(K1533)/J1533))</f>
        <v/>
      </c>
      <c r="M1533" s="5" t="n"/>
      <c r="N1533" s="5" t="n"/>
      <c r="O1533" s="5" t="n"/>
      <c r="P1533" s="5" t="n"/>
      <c r="Q1533" s="5" t="n"/>
      <c r="R1533" s="4" t="n"/>
      <c r="S1533" s="4" t="n"/>
      <c r="T1533" s="5" t="n"/>
      <c r="U1533" s="8">
        <f>IF(AND(V1533=1,D1533&lt;&gt;""),IF(D1533&gt;=corte,TODAY()-D1533,""),"")</f>
        <v/>
      </c>
      <c r="V1533" s="8">
        <f>IF(D1533="",0,IF(OR(AND(P1533&lt;&gt;"",S1533=""),AND(N(J1533)&gt;0,N(K1533)&lt;J1533),OR(M1533="PENDENTE",M1533="PARCIAL"),OR(N1533="PENDENTE",N1533="PARCIAL")),1,0))</f>
        <v/>
      </c>
      <c r="W1533" s="8">
        <f>IF(AND(V1533=1,D1533&lt;&gt;""),IF(D1533&gt;=corte,(B1533="CRÍTICO")*1E9+(100000-D1533)*10000+10000-ROW(),""),"")</f>
        <v/>
      </c>
      <c r="X1533" s="8">
        <f>IF(AND(V1533=1,D1533=pas_data,E1533=pas_turno),10000-ROW(),"")</f>
        <v/>
      </c>
    </row>
    <row r="1534">
      <c r="A1534" s="3">
        <f>IF(D1534="","","TT-"&amp;TEXT(ROW()-1,"00000"))</f>
        <v/>
      </c>
      <c r="B1534" s="3">
        <f>IF(D1534="","",IF(V1534=0,"CONCLUÍDO",IF(D1534&lt;corte,"HISTÓRICO",IF(OR(AND(ISNUMBER(R1534),R1534&lt;TODAY()),AND(OR(N1534="PENDENTE",N1534="PARCIAL"),D1534&lt;TODAY()-1)),"CRÍTICO",IF(OR(AND(P1534&lt;&gt;"",S1534=""),AND(N1534="REALIZADO",M1534="PENDENTE"),AND(ISNUMBER(R1534),R1534=TODAY())),"ATENÇÃO",IF(N(K1534)=0,"PENDENTE","EM ANDAMENTO"))))))</f>
        <v/>
      </c>
      <c r="C1534" s="3">
        <f>IF(D1534="","",IF(V1534=0,"🟢 OK",IF(D1534&lt;corte,"⚪ HISTÓRICO (sem baixa)",IF(AND(ISNUMBER(R1534),R1534&lt;TODAY()),"🔴 PRAZO VENCIDO",IF(AND(OR(N1534="PENDENTE",N1534="PARCIAL"),D1534&lt;TODAY()-1),"🔴 EMBARQUE ATRASADO",IF(AND(N1534="REALIZADO",M1534="PENDENTE"),"🟡 EMBARCADO SEM FATURAR",IF(AND(P1534&lt;&gt;"",S1534="",OR(Q1534="",R1534="")),"🟡 PENDÊNCIA SEM RESPONSÁVEL/PRAZO",IF(AND(ISNUMBER(R1534),R1534=TODAY()),"🟡 VENCE HOJE",IF(AND(P1534&lt;&gt;"",S1534=""),"🟡 PENDÊNCIA ABERTA",IF(AND(N(J1534)&gt;0,N(K1534)&lt;J1534),"🟡 FALTA EXECUTAR",IF(OR(M1534="PENDENTE",M1534="PARCIAL"),"🟡 FATURAMENTO PENDENTE","🟡 EMBARQUE PENDENTE")))))))))))</f>
        <v/>
      </c>
      <c r="D1534" s="4" t="n"/>
      <c r="E1534" s="5" t="n"/>
      <c r="F1534" s="5" t="n"/>
      <c r="G1534" s="5" t="n"/>
      <c r="H1534" s="5" t="n"/>
      <c r="I1534" s="5" t="n"/>
      <c r="J1534" s="6" t="n"/>
      <c r="K1534" s="6" t="n"/>
      <c r="L1534" s="7">
        <f>IF(OR(D1534="",N(J1534)=0),"",MIN(1,N(K1534)/J1534))</f>
        <v/>
      </c>
      <c r="M1534" s="5" t="n"/>
      <c r="N1534" s="5" t="n"/>
      <c r="O1534" s="5" t="n"/>
      <c r="P1534" s="5" t="n"/>
      <c r="Q1534" s="5" t="n"/>
      <c r="R1534" s="4" t="n"/>
      <c r="S1534" s="4" t="n"/>
      <c r="T1534" s="5" t="n"/>
      <c r="U1534" s="8">
        <f>IF(AND(V1534=1,D1534&lt;&gt;""),IF(D1534&gt;=corte,TODAY()-D1534,""),"")</f>
        <v/>
      </c>
      <c r="V1534" s="8">
        <f>IF(D1534="",0,IF(OR(AND(P1534&lt;&gt;"",S1534=""),AND(N(J1534)&gt;0,N(K1534)&lt;J1534),OR(M1534="PENDENTE",M1534="PARCIAL"),OR(N1534="PENDENTE",N1534="PARCIAL")),1,0))</f>
        <v/>
      </c>
      <c r="W1534" s="8">
        <f>IF(AND(V1534=1,D1534&lt;&gt;""),IF(D1534&gt;=corte,(B1534="CRÍTICO")*1E9+(100000-D1534)*10000+10000-ROW(),""),"")</f>
        <v/>
      </c>
      <c r="X1534" s="8">
        <f>IF(AND(V1534=1,D1534=pas_data,E1534=pas_turno),10000-ROW(),"")</f>
        <v/>
      </c>
    </row>
    <row r="1535">
      <c r="A1535" s="3">
        <f>IF(D1535="","","TT-"&amp;TEXT(ROW()-1,"00000"))</f>
        <v/>
      </c>
      <c r="B1535" s="3">
        <f>IF(D1535="","",IF(V1535=0,"CONCLUÍDO",IF(D1535&lt;corte,"HISTÓRICO",IF(OR(AND(ISNUMBER(R1535),R1535&lt;TODAY()),AND(OR(N1535="PENDENTE",N1535="PARCIAL"),D1535&lt;TODAY()-1)),"CRÍTICO",IF(OR(AND(P1535&lt;&gt;"",S1535=""),AND(N1535="REALIZADO",M1535="PENDENTE"),AND(ISNUMBER(R1535),R1535=TODAY())),"ATENÇÃO",IF(N(K1535)=0,"PENDENTE","EM ANDAMENTO"))))))</f>
        <v/>
      </c>
      <c r="C1535" s="3">
        <f>IF(D1535="","",IF(V1535=0,"🟢 OK",IF(D1535&lt;corte,"⚪ HISTÓRICO (sem baixa)",IF(AND(ISNUMBER(R1535),R1535&lt;TODAY()),"🔴 PRAZO VENCIDO",IF(AND(OR(N1535="PENDENTE",N1535="PARCIAL"),D1535&lt;TODAY()-1),"🔴 EMBARQUE ATRASADO",IF(AND(N1535="REALIZADO",M1535="PENDENTE"),"🟡 EMBARCADO SEM FATURAR",IF(AND(P1535&lt;&gt;"",S1535="",OR(Q1535="",R1535="")),"🟡 PENDÊNCIA SEM RESPONSÁVEL/PRAZO",IF(AND(ISNUMBER(R1535),R1535=TODAY()),"🟡 VENCE HOJE",IF(AND(P1535&lt;&gt;"",S1535=""),"🟡 PENDÊNCIA ABERTA",IF(AND(N(J1535)&gt;0,N(K1535)&lt;J1535),"🟡 FALTA EXECUTAR",IF(OR(M1535="PENDENTE",M1535="PARCIAL"),"🟡 FATURAMENTO PENDENTE","🟡 EMBARQUE PENDENTE")))))))))))</f>
        <v/>
      </c>
      <c r="D1535" s="4" t="n"/>
      <c r="E1535" s="5" t="n"/>
      <c r="F1535" s="5" t="n"/>
      <c r="G1535" s="5" t="n"/>
      <c r="H1535" s="5" t="n"/>
      <c r="I1535" s="5" t="n"/>
      <c r="J1535" s="6" t="n"/>
      <c r="K1535" s="6" t="n"/>
      <c r="L1535" s="7">
        <f>IF(OR(D1535="",N(J1535)=0),"",MIN(1,N(K1535)/J1535))</f>
        <v/>
      </c>
      <c r="M1535" s="5" t="n"/>
      <c r="N1535" s="5" t="n"/>
      <c r="O1535" s="5" t="n"/>
      <c r="P1535" s="5" t="n"/>
      <c r="Q1535" s="5" t="n"/>
      <c r="R1535" s="4" t="n"/>
      <c r="S1535" s="4" t="n"/>
      <c r="T1535" s="5" t="n"/>
      <c r="U1535" s="8">
        <f>IF(AND(V1535=1,D1535&lt;&gt;""),IF(D1535&gt;=corte,TODAY()-D1535,""),"")</f>
        <v/>
      </c>
      <c r="V1535" s="8">
        <f>IF(D1535="",0,IF(OR(AND(P1535&lt;&gt;"",S1535=""),AND(N(J1535)&gt;0,N(K1535)&lt;J1535),OR(M1535="PENDENTE",M1535="PARCIAL"),OR(N1535="PENDENTE",N1535="PARCIAL")),1,0))</f>
        <v/>
      </c>
      <c r="W1535" s="8">
        <f>IF(AND(V1535=1,D1535&lt;&gt;""),IF(D1535&gt;=corte,(B1535="CRÍTICO")*1E9+(100000-D1535)*10000+10000-ROW(),""),"")</f>
        <v/>
      </c>
      <c r="X1535" s="8">
        <f>IF(AND(V1535=1,D1535=pas_data,E1535=pas_turno),10000-ROW(),"")</f>
        <v/>
      </c>
    </row>
    <row r="1536">
      <c r="A1536" s="3">
        <f>IF(D1536="","","TT-"&amp;TEXT(ROW()-1,"00000"))</f>
        <v/>
      </c>
      <c r="B1536" s="3">
        <f>IF(D1536="","",IF(V1536=0,"CONCLUÍDO",IF(D1536&lt;corte,"HISTÓRICO",IF(OR(AND(ISNUMBER(R1536),R1536&lt;TODAY()),AND(OR(N1536="PENDENTE",N1536="PARCIAL"),D1536&lt;TODAY()-1)),"CRÍTICO",IF(OR(AND(P1536&lt;&gt;"",S1536=""),AND(N1536="REALIZADO",M1536="PENDENTE"),AND(ISNUMBER(R1536),R1536=TODAY())),"ATENÇÃO",IF(N(K1536)=0,"PENDENTE","EM ANDAMENTO"))))))</f>
        <v/>
      </c>
      <c r="C1536" s="3">
        <f>IF(D1536="","",IF(V1536=0,"🟢 OK",IF(D1536&lt;corte,"⚪ HISTÓRICO (sem baixa)",IF(AND(ISNUMBER(R1536),R1536&lt;TODAY()),"🔴 PRAZO VENCIDO",IF(AND(OR(N1536="PENDENTE",N1536="PARCIAL"),D1536&lt;TODAY()-1),"🔴 EMBARQUE ATRASADO",IF(AND(N1536="REALIZADO",M1536="PENDENTE"),"🟡 EMBARCADO SEM FATURAR",IF(AND(P1536&lt;&gt;"",S1536="",OR(Q1536="",R1536="")),"🟡 PENDÊNCIA SEM RESPONSÁVEL/PRAZO",IF(AND(ISNUMBER(R1536),R1536=TODAY()),"🟡 VENCE HOJE",IF(AND(P1536&lt;&gt;"",S1536=""),"🟡 PENDÊNCIA ABERTA",IF(AND(N(J1536)&gt;0,N(K1536)&lt;J1536),"🟡 FALTA EXECUTAR",IF(OR(M1536="PENDENTE",M1536="PARCIAL"),"🟡 FATURAMENTO PENDENTE","🟡 EMBARQUE PENDENTE")))))))))))</f>
        <v/>
      </c>
      <c r="D1536" s="4" t="n"/>
      <c r="E1536" s="5" t="n"/>
      <c r="F1536" s="5" t="n"/>
      <c r="G1536" s="5" t="n"/>
      <c r="H1536" s="5" t="n"/>
      <c r="I1536" s="5" t="n"/>
      <c r="J1536" s="6" t="n"/>
      <c r="K1536" s="6" t="n"/>
      <c r="L1536" s="7">
        <f>IF(OR(D1536="",N(J1536)=0),"",MIN(1,N(K1536)/J1536))</f>
        <v/>
      </c>
      <c r="M1536" s="5" t="n"/>
      <c r="N1536" s="5" t="n"/>
      <c r="O1536" s="5" t="n"/>
      <c r="P1536" s="5" t="n"/>
      <c r="Q1536" s="5" t="n"/>
      <c r="R1536" s="4" t="n"/>
      <c r="S1536" s="4" t="n"/>
      <c r="T1536" s="5" t="n"/>
      <c r="U1536" s="8">
        <f>IF(AND(V1536=1,D1536&lt;&gt;""),IF(D1536&gt;=corte,TODAY()-D1536,""),"")</f>
        <v/>
      </c>
      <c r="V1536" s="8">
        <f>IF(D1536="",0,IF(OR(AND(P1536&lt;&gt;"",S1536=""),AND(N(J1536)&gt;0,N(K1536)&lt;J1536),OR(M1536="PENDENTE",M1536="PARCIAL"),OR(N1536="PENDENTE",N1536="PARCIAL")),1,0))</f>
        <v/>
      </c>
      <c r="W1536" s="8">
        <f>IF(AND(V1536=1,D1536&lt;&gt;""),IF(D1536&gt;=corte,(B1536="CRÍTICO")*1E9+(100000-D1536)*10000+10000-ROW(),""),"")</f>
        <v/>
      </c>
      <c r="X1536" s="8">
        <f>IF(AND(V1536=1,D1536=pas_data,E1536=pas_turno),10000-ROW(),"")</f>
        <v/>
      </c>
    </row>
    <row r="1537">
      <c r="A1537" s="3">
        <f>IF(D1537="","","TT-"&amp;TEXT(ROW()-1,"00000"))</f>
        <v/>
      </c>
      <c r="B1537" s="3">
        <f>IF(D1537="","",IF(V1537=0,"CONCLUÍDO",IF(D1537&lt;corte,"HISTÓRICO",IF(OR(AND(ISNUMBER(R1537),R1537&lt;TODAY()),AND(OR(N1537="PENDENTE",N1537="PARCIAL"),D1537&lt;TODAY()-1)),"CRÍTICO",IF(OR(AND(P1537&lt;&gt;"",S1537=""),AND(N1537="REALIZADO",M1537="PENDENTE"),AND(ISNUMBER(R1537),R1537=TODAY())),"ATENÇÃO",IF(N(K1537)=0,"PENDENTE","EM ANDAMENTO"))))))</f>
        <v/>
      </c>
      <c r="C1537" s="3">
        <f>IF(D1537="","",IF(V1537=0,"🟢 OK",IF(D1537&lt;corte,"⚪ HISTÓRICO (sem baixa)",IF(AND(ISNUMBER(R1537),R1537&lt;TODAY()),"🔴 PRAZO VENCIDO",IF(AND(OR(N1537="PENDENTE",N1537="PARCIAL"),D1537&lt;TODAY()-1),"🔴 EMBARQUE ATRASADO",IF(AND(N1537="REALIZADO",M1537="PENDENTE"),"🟡 EMBARCADO SEM FATURAR",IF(AND(P1537&lt;&gt;"",S1537="",OR(Q1537="",R1537="")),"🟡 PENDÊNCIA SEM RESPONSÁVEL/PRAZO",IF(AND(ISNUMBER(R1537),R1537=TODAY()),"🟡 VENCE HOJE",IF(AND(P1537&lt;&gt;"",S1537=""),"🟡 PENDÊNCIA ABERTA",IF(AND(N(J1537)&gt;0,N(K1537)&lt;J1537),"🟡 FALTA EXECUTAR",IF(OR(M1537="PENDENTE",M1537="PARCIAL"),"🟡 FATURAMENTO PENDENTE","🟡 EMBARQUE PENDENTE")))))))))))</f>
        <v/>
      </c>
      <c r="D1537" s="4" t="n"/>
      <c r="E1537" s="5" t="n"/>
      <c r="F1537" s="5" t="n"/>
      <c r="G1537" s="5" t="n"/>
      <c r="H1537" s="5" t="n"/>
      <c r="I1537" s="5" t="n"/>
      <c r="J1537" s="6" t="n"/>
      <c r="K1537" s="6" t="n"/>
      <c r="L1537" s="7">
        <f>IF(OR(D1537="",N(J1537)=0),"",MIN(1,N(K1537)/J1537))</f>
        <v/>
      </c>
      <c r="M1537" s="5" t="n"/>
      <c r="N1537" s="5" t="n"/>
      <c r="O1537" s="5" t="n"/>
      <c r="P1537" s="5" t="n"/>
      <c r="Q1537" s="5" t="n"/>
      <c r="R1537" s="4" t="n"/>
      <c r="S1537" s="4" t="n"/>
      <c r="T1537" s="5" t="n"/>
      <c r="U1537" s="8">
        <f>IF(AND(V1537=1,D1537&lt;&gt;""),IF(D1537&gt;=corte,TODAY()-D1537,""),"")</f>
        <v/>
      </c>
      <c r="V1537" s="8">
        <f>IF(D1537="",0,IF(OR(AND(P1537&lt;&gt;"",S1537=""),AND(N(J1537)&gt;0,N(K1537)&lt;J1537),OR(M1537="PENDENTE",M1537="PARCIAL"),OR(N1537="PENDENTE",N1537="PARCIAL")),1,0))</f>
        <v/>
      </c>
      <c r="W1537" s="8">
        <f>IF(AND(V1537=1,D1537&lt;&gt;""),IF(D1537&gt;=corte,(B1537="CRÍTICO")*1E9+(100000-D1537)*10000+10000-ROW(),""),"")</f>
        <v/>
      </c>
      <c r="X1537" s="8">
        <f>IF(AND(V1537=1,D1537=pas_data,E1537=pas_turno),10000-ROW(),"")</f>
        <v/>
      </c>
    </row>
    <row r="1538">
      <c r="A1538" s="3">
        <f>IF(D1538="","","TT-"&amp;TEXT(ROW()-1,"00000"))</f>
        <v/>
      </c>
      <c r="B1538" s="3">
        <f>IF(D1538="","",IF(V1538=0,"CONCLUÍDO",IF(D1538&lt;corte,"HISTÓRICO",IF(OR(AND(ISNUMBER(R1538),R1538&lt;TODAY()),AND(OR(N1538="PENDENTE",N1538="PARCIAL"),D1538&lt;TODAY()-1)),"CRÍTICO",IF(OR(AND(P1538&lt;&gt;"",S1538=""),AND(N1538="REALIZADO",M1538="PENDENTE"),AND(ISNUMBER(R1538),R1538=TODAY())),"ATENÇÃO",IF(N(K1538)=0,"PENDENTE","EM ANDAMENTO"))))))</f>
        <v/>
      </c>
      <c r="C1538" s="3">
        <f>IF(D1538="","",IF(V1538=0,"🟢 OK",IF(D1538&lt;corte,"⚪ HISTÓRICO (sem baixa)",IF(AND(ISNUMBER(R1538),R1538&lt;TODAY()),"🔴 PRAZO VENCIDO",IF(AND(OR(N1538="PENDENTE",N1538="PARCIAL"),D1538&lt;TODAY()-1),"🔴 EMBARQUE ATRASADO",IF(AND(N1538="REALIZADO",M1538="PENDENTE"),"🟡 EMBARCADO SEM FATURAR",IF(AND(P1538&lt;&gt;"",S1538="",OR(Q1538="",R1538="")),"🟡 PENDÊNCIA SEM RESPONSÁVEL/PRAZO",IF(AND(ISNUMBER(R1538),R1538=TODAY()),"🟡 VENCE HOJE",IF(AND(P1538&lt;&gt;"",S1538=""),"🟡 PENDÊNCIA ABERTA",IF(AND(N(J1538)&gt;0,N(K1538)&lt;J1538),"🟡 FALTA EXECUTAR",IF(OR(M1538="PENDENTE",M1538="PARCIAL"),"🟡 FATURAMENTO PENDENTE","🟡 EMBARQUE PENDENTE")))))))))))</f>
        <v/>
      </c>
      <c r="D1538" s="4" t="n"/>
      <c r="E1538" s="5" t="n"/>
      <c r="F1538" s="5" t="n"/>
      <c r="G1538" s="5" t="n"/>
      <c r="H1538" s="5" t="n"/>
      <c r="I1538" s="5" t="n"/>
      <c r="J1538" s="6" t="n"/>
      <c r="K1538" s="6" t="n"/>
      <c r="L1538" s="7">
        <f>IF(OR(D1538="",N(J1538)=0),"",MIN(1,N(K1538)/J1538))</f>
        <v/>
      </c>
      <c r="M1538" s="5" t="n"/>
      <c r="N1538" s="5" t="n"/>
      <c r="O1538" s="5" t="n"/>
      <c r="P1538" s="5" t="n"/>
      <c r="Q1538" s="5" t="n"/>
      <c r="R1538" s="4" t="n"/>
      <c r="S1538" s="4" t="n"/>
      <c r="T1538" s="5" t="n"/>
      <c r="U1538" s="8">
        <f>IF(AND(V1538=1,D1538&lt;&gt;""),IF(D1538&gt;=corte,TODAY()-D1538,""),"")</f>
        <v/>
      </c>
      <c r="V1538" s="8">
        <f>IF(D1538="",0,IF(OR(AND(P1538&lt;&gt;"",S1538=""),AND(N(J1538)&gt;0,N(K1538)&lt;J1538),OR(M1538="PENDENTE",M1538="PARCIAL"),OR(N1538="PENDENTE",N1538="PARCIAL")),1,0))</f>
        <v/>
      </c>
      <c r="W1538" s="8">
        <f>IF(AND(V1538=1,D1538&lt;&gt;""),IF(D1538&gt;=corte,(B1538="CRÍTICO")*1E9+(100000-D1538)*10000+10000-ROW(),""),"")</f>
        <v/>
      </c>
      <c r="X1538" s="8">
        <f>IF(AND(V1538=1,D1538=pas_data,E1538=pas_turno),10000-ROW(),"")</f>
        <v/>
      </c>
    </row>
    <row r="1539">
      <c r="A1539" s="3">
        <f>IF(D1539="","","TT-"&amp;TEXT(ROW()-1,"00000"))</f>
        <v/>
      </c>
      <c r="B1539" s="3">
        <f>IF(D1539="","",IF(V1539=0,"CONCLUÍDO",IF(D1539&lt;corte,"HISTÓRICO",IF(OR(AND(ISNUMBER(R1539),R1539&lt;TODAY()),AND(OR(N1539="PENDENTE",N1539="PARCIAL"),D1539&lt;TODAY()-1)),"CRÍTICO",IF(OR(AND(P1539&lt;&gt;"",S1539=""),AND(N1539="REALIZADO",M1539="PENDENTE"),AND(ISNUMBER(R1539),R1539=TODAY())),"ATENÇÃO",IF(N(K1539)=0,"PENDENTE","EM ANDAMENTO"))))))</f>
        <v/>
      </c>
      <c r="C1539" s="3">
        <f>IF(D1539="","",IF(V1539=0,"🟢 OK",IF(D1539&lt;corte,"⚪ HISTÓRICO (sem baixa)",IF(AND(ISNUMBER(R1539),R1539&lt;TODAY()),"🔴 PRAZO VENCIDO",IF(AND(OR(N1539="PENDENTE",N1539="PARCIAL"),D1539&lt;TODAY()-1),"🔴 EMBARQUE ATRASADO",IF(AND(N1539="REALIZADO",M1539="PENDENTE"),"🟡 EMBARCADO SEM FATURAR",IF(AND(P1539&lt;&gt;"",S1539="",OR(Q1539="",R1539="")),"🟡 PENDÊNCIA SEM RESPONSÁVEL/PRAZO",IF(AND(ISNUMBER(R1539),R1539=TODAY()),"🟡 VENCE HOJE",IF(AND(P1539&lt;&gt;"",S1539=""),"🟡 PENDÊNCIA ABERTA",IF(AND(N(J1539)&gt;0,N(K1539)&lt;J1539),"🟡 FALTA EXECUTAR",IF(OR(M1539="PENDENTE",M1539="PARCIAL"),"🟡 FATURAMENTO PENDENTE","🟡 EMBARQUE PENDENTE")))))))))))</f>
        <v/>
      </c>
      <c r="D1539" s="4" t="n"/>
      <c r="E1539" s="5" t="n"/>
      <c r="F1539" s="5" t="n"/>
      <c r="G1539" s="5" t="n"/>
      <c r="H1539" s="5" t="n"/>
      <c r="I1539" s="5" t="n"/>
      <c r="J1539" s="6" t="n"/>
      <c r="K1539" s="6" t="n"/>
      <c r="L1539" s="7">
        <f>IF(OR(D1539="",N(J1539)=0),"",MIN(1,N(K1539)/J1539))</f>
        <v/>
      </c>
      <c r="M1539" s="5" t="n"/>
      <c r="N1539" s="5" t="n"/>
      <c r="O1539" s="5" t="n"/>
      <c r="P1539" s="5" t="n"/>
      <c r="Q1539" s="5" t="n"/>
      <c r="R1539" s="4" t="n"/>
      <c r="S1539" s="4" t="n"/>
      <c r="T1539" s="5" t="n"/>
      <c r="U1539" s="8">
        <f>IF(AND(V1539=1,D1539&lt;&gt;""),IF(D1539&gt;=corte,TODAY()-D1539,""),"")</f>
        <v/>
      </c>
      <c r="V1539" s="8">
        <f>IF(D1539="",0,IF(OR(AND(P1539&lt;&gt;"",S1539=""),AND(N(J1539)&gt;0,N(K1539)&lt;J1539),OR(M1539="PENDENTE",M1539="PARCIAL"),OR(N1539="PENDENTE",N1539="PARCIAL")),1,0))</f>
        <v/>
      </c>
      <c r="W1539" s="8">
        <f>IF(AND(V1539=1,D1539&lt;&gt;""),IF(D1539&gt;=corte,(B1539="CRÍTICO")*1E9+(100000-D1539)*10000+10000-ROW(),""),"")</f>
        <v/>
      </c>
      <c r="X1539" s="8">
        <f>IF(AND(V1539=1,D1539=pas_data,E1539=pas_turno),10000-ROW(),"")</f>
        <v/>
      </c>
    </row>
    <row r="1540">
      <c r="A1540" s="3">
        <f>IF(D1540="","","TT-"&amp;TEXT(ROW()-1,"00000"))</f>
        <v/>
      </c>
      <c r="B1540" s="3">
        <f>IF(D1540="","",IF(V1540=0,"CONCLUÍDO",IF(D1540&lt;corte,"HISTÓRICO",IF(OR(AND(ISNUMBER(R1540),R1540&lt;TODAY()),AND(OR(N1540="PENDENTE",N1540="PARCIAL"),D1540&lt;TODAY()-1)),"CRÍTICO",IF(OR(AND(P1540&lt;&gt;"",S1540=""),AND(N1540="REALIZADO",M1540="PENDENTE"),AND(ISNUMBER(R1540),R1540=TODAY())),"ATENÇÃO",IF(N(K1540)=0,"PENDENTE","EM ANDAMENTO"))))))</f>
        <v/>
      </c>
      <c r="C1540" s="3">
        <f>IF(D1540="","",IF(V1540=0,"🟢 OK",IF(D1540&lt;corte,"⚪ HISTÓRICO (sem baixa)",IF(AND(ISNUMBER(R1540),R1540&lt;TODAY()),"🔴 PRAZO VENCIDO",IF(AND(OR(N1540="PENDENTE",N1540="PARCIAL"),D1540&lt;TODAY()-1),"🔴 EMBARQUE ATRASADO",IF(AND(N1540="REALIZADO",M1540="PENDENTE"),"🟡 EMBARCADO SEM FATURAR",IF(AND(P1540&lt;&gt;"",S1540="",OR(Q1540="",R1540="")),"🟡 PENDÊNCIA SEM RESPONSÁVEL/PRAZO",IF(AND(ISNUMBER(R1540),R1540=TODAY()),"🟡 VENCE HOJE",IF(AND(P1540&lt;&gt;"",S1540=""),"🟡 PENDÊNCIA ABERTA",IF(AND(N(J1540)&gt;0,N(K1540)&lt;J1540),"🟡 FALTA EXECUTAR",IF(OR(M1540="PENDENTE",M1540="PARCIAL"),"🟡 FATURAMENTO PENDENTE","🟡 EMBARQUE PENDENTE")))))))))))</f>
        <v/>
      </c>
      <c r="D1540" s="4" t="n"/>
      <c r="E1540" s="5" t="n"/>
      <c r="F1540" s="5" t="n"/>
      <c r="G1540" s="5" t="n"/>
      <c r="H1540" s="5" t="n"/>
      <c r="I1540" s="5" t="n"/>
      <c r="J1540" s="6" t="n"/>
      <c r="K1540" s="6" t="n"/>
      <c r="L1540" s="7">
        <f>IF(OR(D1540="",N(J1540)=0),"",MIN(1,N(K1540)/J1540))</f>
        <v/>
      </c>
      <c r="M1540" s="5" t="n"/>
      <c r="N1540" s="5" t="n"/>
      <c r="O1540" s="5" t="n"/>
      <c r="P1540" s="5" t="n"/>
      <c r="Q1540" s="5" t="n"/>
      <c r="R1540" s="4" t="n"/>
      <c r="S1540" s="4" t="n"/>
      <c r="T1540" s="5" t="n"/>
      <c r="U1540" s="8">
        <f>IF(AND(V1540=1,D1540&lt;&gt;""),IF(D1540&gt;=corte,TODAY()-D1540,""),"")</f>
        <v/>
      </c>
      <c r="V1540" s="8">
        <f>IF(D1540="",0,IF(OR(AND(P1540&lt;&gt;"",S1540=""),AND(N(J1540)&gt;0,N(K1540)&lt;J1540),OR(M1540="PENDENTE",M1540="PARCIAL"),OR(N1540="PENDENTE",N1540="PARCIAL")),1,0))</f>
        <v/>
      </c>
      <c r="W1540" s="8">
        <f>IF(AND(V1540=1,D1540&lt;&gt;""),IF(D1540&gt;=corte,(B1540="CRÍTICO")*1E9+(100000-D1540)*10000+10000-ROW(),""),"")</f>
        <v/>
      </c>
      <c r="X1540" s="8">
        <f>IF(AND(V1540=1,D1540=pas_data,E1540=pas_turno),10000-ROW(),"")</f>
        <v/>
      </c>
    </row>
    <row r="1541">
      <c r="A1541" s="3">
        <f>IF(D1541="","","TT-"&amp;TEXT(ROW()-1,"00000"))</f>
        <v/>
      </c>
      <c r="B1541" s="3">
        <f>IF(D1541="","",IF(V1541=0,"CONCLUÍDO",IF(D1541&lt;corte,"HISTÓRICO",IF(OR(AND(ISNUMBER(R1541),R1541&lt;TODAY()),AND(OR(N1541="PENDENTE",N1541="PARCIAL"),D1541&lt;TODAY()-1)),"CRÍTICO",IF(OR(AND(P1541&lt;&gt;"",S1541=""),AND(N1541="REALIZADO",M1541="PENDENTE"),AND(ISNUMBER(R1541),R1541=TODAY())),"ATENÇÃO",IF(N(K1541)=0,"PENDENTE","EM ANDAMENTO"))))))</f>
        <v/>
      </c>
      <c r="C1541" s="3">
        <f>IF(D1541="","",IF(V1541=0,"🟢 OK",IF(D1541&lt;corte,"⚪ HISTÓRICO (sem baixa)",IF(AND(ISNUMBER(R1541),R1541&lt;TODAY()),"🔴 PRAZO VENCIDO",IF(AND(OR(N1541="PENDENTE",N1541="PARCIAL"),D1541&lt;TODAY()-1),"🔴 EMBARQUE ATRASADO",IF(AND(N1541="REALIZADO",M1541="PENDENTE"),"🟡 EMBARCADO SEM FATURAR",IF(AND(P1541&lt;&gt;"",S1541="",OR(Q1541="",R1541="")),"🟡 PENDÊNCIA SEM RESPONSÁVEL/PRAZO",IF(AND(ISNUMBER(R1541),R1541=TODAY()),"🟡 VENCE HOJE",IF(AND(P1541&lt;&gt;"",S1541=""),"🟡 PENDÊNCIA ABERTA",IF(AND(N(J1541)&gt;0,N(K1541)&lt;J1541),"🟡 FALTA EXECUTAR",IF(OR(M1541="PENDENTE",M1541="PARCIAL"),"🟡 FATURAMENTO PENDENTE","🟡 EMBARQUE PENDENTE")))))))))))</f>
        <v/>
      </c>
      <c r="D1541" s="4" t="n"/>
      <c r="E1541" s="5" t="n"/>
      <c r="F1541" s="5" t="n"/>
      <c r="G1541" s="5" t="n"/>
      <c r="H1541" s="5" t="n"/>
      <c r="I1541" s="5" t="n"/>
      <c r="J1541" s="6" t="n"/>
      <c r="K1541" s="6" t="n"/>
      <c r="L1541" s="7">
        <f>IF(OR(D1541="",N(J1541)=0),"",MIN(1,N(K1541)/J1541))</f>
        <v/>
      </c>
      <c r="M1541" s="5" t="n"/>
      <c r="N1541" s="5" t="n"/>
      <c r="O1541" s="5" t="n"/>
      <c r="P1541" s="5" t="n"/>
      <c r="Q1541" s="5" t="n"/>
      <c r="R1541" s="4" t="n"/>
      <c r="S1541" s="4" t="n"/>
      <c r="T1541" s="5" t="n"/>
      <c r="U1541" s="8">
        <f>IF(AND(V1541=1,D1541&lt;&gt;""),IF(D1541&gt;=corte,TODAY()-D1541,""),"")</f>
        <v/>
      </c>
      <c r="V1541" s="8">
        <f>IF(D1541="",0,IF(OR(AND(P1541&lt;&gt;"",S1541=""),AND(N(J1541)&gt;0,N(K1541)&lt;J1541),OR(M1541="PENDENTE",M1541="PARCIAL"),OR(N1541="PENDENTE",N1541="PARCIAL")),1,0))</f>
        <v/>
      </c>
      <c r="W1541" s="8">
        <f>IF(AND(V1541=1,D1541&lt;&gt;""),IF(D1541&gt;=corte,(B1541="CRÍTICO")*1E9+(100000-D1541)*10000+10000-ROW(),""),"")</f>
        <v/>
      </c>
      <c r="X1541" s="8">
        <f>IF(AND(V1541=1,D1541=pas_data,E1541=pas_turno),10000-ROW(),"")</f>
        <v/>
      </c>
    </row>
    <row r="1542">
      <c r="A1542" s="3">
        <f>IF(D1542="","","TT-"&amp;TEXT(ROW()-1,"00000"))</f>
        <v/>
      </c>
      <c r="B1542" s="3">
        <f>IF(D1542="","",IF(V1542=0,"CONCLUÍDO",IF(D1542&lt;corte,"HISTÓRICO",IF(OR(AND(ISNUMBER(R1542),R1542&lt;TODAY()),AND(OR(N1542="PENDENTE",N1542="PARCIAL"),D1542&lt;TODAY()-1)),"CRÍTICO",IF(OR(AND(P1542&lt;&gt;"",S1542=""),AND(N1542="REALIZADO",M1542="PENDENTE"),AND(ISNUMBER(R1542),R1542=TODAY())),"ATENÇÃO",IF(N(K1542)=0,"PENDENTE","EM ANDAMENTO"))))))</f>
        <v/>
      </c>
      <c r="C1542" s="3">
        <f>IF(D1542="","",IF(V1542=0,"🟢 OK",IF(D1542&lt;corte,"⚪ HISTÓRICO (sem baixa)",IF(AND(ISNUMBER(R1542),R1542&lt;TODAY()),"🔴 PRAZO VENCIDO",IF(AND(OR(N1542="PENDENTE",N1542="PARCIAL"),D1542&lt;TODAY()-1),"🔴 EMBARQUE ATRASADO",IF(AND(N1542="REALIZADO",M1542="PENDENTE"),"🟡 EMBARCADO SEM FATURAR",IF(AND(P1542&lt;&gt;"",S1542="",OR(Q1542="",R1542="")),"🟡 PENDÊNCIA SEM RESPONSÁVEL/PRAZO",IF(AND(ISNUMBER(R1542),R1542=TODAY()),"🟡 VENCE HOJE",IF(AND(P1542&lt;&gt;"",S1542=""),"🟡 PENDÊNCIA ABERTA",IF(AND(N(J1542)&gt;0,N(K1542)&lt;J1542),"🟡 FALTA EXECUTAR",IF(OR(M1542="PENDENTE",M1542="PARCIAL"),"🟡 FATURAMENTO PENDENTE","🟡 EMBARQUE PENDENTE")))))))))))</f>
        <v/>
      </c>
      <c r="D1542" s="4" t="n"/>
      <c r="E1542" s="5" t="n"/>
      <c r="F1542" s="5" t="n"/>
      <c r="G1542" s="5" t="n"/>
      <c r="H1542" s="5" t="n"/>
      <c r="I1542" s="5" t="n"/>
      <c r="J1542" s="6" t="n"/>
      <c r="K1542" s="6" t="n"/>
      <c r="L1542" s="7">
        <f>IF(OR(D1542="",N(J1542)=0),"",MIN(1,N(K1542)/J1542))</f>
        <v/>
      </c>
      <c r="M1542" s="5" t="n"/>
      <c r="N1542" s="5" t="n"/>
      <c r="O1542" s="5" t="n"/>
      <c r="P1542" s="5" t="n"/>
      <c r="Q1542" s="5" t="n"/>
      <c r="R1542" s="4" t="n"/>
      <c r="S1542" s="4" t="n"/>
      <c r="T1542" s="5" t="n"/>
      <c r="U1542" s="8">
        <f>IF(AND(V1542=1,D1542&lt;&gt;""),IF(D1542&gt;=corte,TODAY()-D1542,""),"")</f>
        <v/>
      </c>
      <c r="V1542" s="8">
        <f>IF(D1542="",0,IF(OR(AND(P1542&lt;&gt;"",S1542=""),AND(N(J1542)&gt;0,N(K1542)&lt;J1542),OR(M1542="PENDENTE",M1542="PARCIAL"),OR(N1542="PENDENTE",N1542="PARCIAL")),1,0))</f>
        <v/>
      </c>
      <c r="W1542" s="8">
        <f>IF(AND(V1542=1,D1542&lt;&gt;""),IF(D1542&gt;=corte,(B1542="CRÍTICO")*1E9+(100000-D1542)*10000+10000-ROW(),""),"")</f>
        <v/>
      </c>
      <c r="X1542" s="8">
        <f>IF(AND(V1542=1,D1542=pas_data,E1542=pas_turno),10000-ROW(),"")</f>
        <v/>
      </c>
    </row>
    <row r="1543">
      <c r="A1543" s="3">
        <f>IF(D1543="","","TT-"&amp;TEXT(ROW()-1,"00000"))</f>
        <v/>
      </c>
      <c r="B1543" s="3">
        <f>IF(D1543="","",IF(V1543=0,"CONCLUÍDO",IF(D1543&lt;corte,"HISTÓRICO",IF(OR(AND(ISNUMBER(R1543),R1543&lt;TODAY()),AND(OR(N1543="PENDENTE",N1543="PARCIAL"),D1543&lt;TODAY()-1)),"CRÍTICO",IF(OR(AND(P1543&lt;&gt;"",S1543=""),AND(N1543="REALIZADO",M1543="PENDENTE"),AND(ISNUMBER(R1543),R1543=TODAY())),"ATENÇÃO",IF(N(K1543)=0,"PENDENTE","EM ANDAMENTO"))))))</f>
        <v/>
      </c>
      <c r="C1543" s="3">
        <f>IF(D1543="","",IF(V1543=0,"🟢 OK",IF(D1543&lt;corte,"⚪ HISTÓRICO (sem baixa)",IF(AND(ISNUMBER(R1543),R1543&lt;TODAY()),"🔴 PRAZO VENCIDO",IF(AND(OR(N1543="PENDENTE",N1543="PARCIAL"),D1543&lt;TODAY()-1),"🔴 EMBARQUE ATRASADO",IF(AND(N1543="REALIZADO",M1543="PENDENTE"),"🟡 EMBARCADO SEM FATURAR",IF(AND(P1543&lt;&gt;"",S1543="",OR(Q1543="",R1543="")),"🟡 PENDÊNCIA SEM RESPONSÁVEL/PRAZO",IF(AND(ISNUMBER(R1543),R1543=TODAY()),"🟡 VENCE HOJE",IF(AND(P1543&lt;&gt;"",S1543=""),"🟡 PENDÊNCIA ABERTA",IF(AND(N(J1543)&gt;0,N(K1543)&lt;J1543),"🟡 FALTA EXECUTAR",IF(OR(M1543="PENDENTE",M1543="PARCIAL"),"🟡 FATURAMENTO PENDENTE","🟡 EMBARQUE PENDENTE")))))))))))</f>
        <v/>
      </c>
      <c r="D1543" s="4" t="n"/>
      <c r="E1543" s="5" t="n"/>
      <c r="F1543" s="5" t="n"/>
      <c r="G1543" s="5" t="n"/>
      <c r="H1543" s="5" t="n"/>
      <c r="I1543" s="5" t="n"/>
      <c r="J1543" s="6" t="n"/>
      <c r="K1543" s="6" t="n"/>
      <c r="L1543" s="7">
        <f>IF(OR(D1543="",N(J1543)=0),"",MIN(1,N(K1543)/J1543))</f>
        <v/>
      </c>
      <c r="M1543" s="5" t="n"/>
      <c r="N1543" s="5" t="n"/>
      <c r="O1543" s="5" t="n"/>
      <c r="P1543" s="5" t="n"/>
      <c r="Q1543" s="5" t="n"/>
      <c r="R1543" s="4" t="n"/>
      <c r="S1543" s="4" t="n"/>
      <c r="T1543" s="5" t="n"/>
      <c r="U1543" s="8">
        <f>IF(AND(V1543=1,D1543&lt;&gt;""),IF(D1543&gt;=corte,TODAY()-D1543,""),"")</f>
        <v/>
      </c>
      <c r="V1543" s="8">
        <f>IF(D1543="",0,IF(OR(AND(P1543&lt;&gt;"",S1543=""),AND(N(J1543)&gt;0,N(K1543)&lt;J1543),OR(M1543="PENDENTE",M1543="PARCIAL"),OR(N1543="PENDENTE",N1543="PARCIAL")),1,0))</f>
        <v/>
      </c>
      <c r="W1543" s="8">
        <f>IF(AND(V1543=1,D1543&lt;&gt;""),IF(D1543&gt;=corte,(B1543="CRÍTICO")*1E9+(100000-D1543)*10000+10000-ROW(),""),"")</f>
        <v/>
      </c>
      <c r="X1543" s="8">
        <f>IF(AND(V1543=1,D1543=pas_data,E1543=pas_turno),10000-ROW(),"")</f>
        <v/>
      </c>
    </row>
    <row r="1544">
      <c r="A1544" s="3">
        <f>IF(D1544="","","TT-"&amp;TEXT(ROW()-1,"00000"))</f>
        <v/>
      </c>
      <c r="B1544" s="3">
        <f>IF(D1544="","",IF(V1544=0,"CONCLUÍDO",IF(D1544&lt;corte,"HISTÓRICO",IF(OR(AND(ISNUMBER(R1544),R1544&lt;TODAY()),AND(OR(N1544="PENDENTE",N1544="PARCIAL"),D1544&lt;TODAY()-1)),"CRÍTICO",IF(OR(AND(P1544&lt;&gt;"",S1544=""),AND(N1544="REALIZADO",M1544="PENDENTE"),AND(ISNUMBER(R1544),R1544=TODAY())),"ATENÇÃO",IF(N(K1544)=0,"PENDENTE","EM ANDAMENTO"))))))</f>
        <v/>
      </c>
      <c r="C1544" s="3">
        <f>IF(D1544="","",IF(V1544=0,"🟢 OK",IF(D1544&lt;corte,"⚪ HISTÓRICO (sem baixa)",IF(AND(ISNUMBER(R1544),R1544&lt;TODAY()),"🔴 PRAZO VENCIDO",IF(AND(OR(N1544="PENDENTE",N1544="PARCIAL"),D1544&lt;TODAY()-1),"🔴 EMBARQUE ATRASADO",IF(AND(N1544="REALIZADO",M1544="PENDENTE"),"🟡 EMBARCADO SEM FATURAR",IF(AND(P1544&lt;&gt;"",S1544="",OR(Q1544="",R1544="")),"🟡 PENDÊNCIA SEM RESPONSÁVEL/PRAZO",IF(AND(ISNUMBER(R1544),R1544=TODAY()),"🟡 VENCE HOJE",IF(AND(P1544&lt;&gt;"",S1544=""),"🟡 PENDÊNCIA ABERTA",IF(AND(N(J1544)&gt;0,N(K1544)&lt;J1544),"🟡 FALTA EXECUTAR",IF(OR(M1544="PENDENTE",M1544="PARCIAL"),"🟡 FATURAMENTO PENDENTE","🟡 EMBARQUE PENDENTE")))))))))))</f>
        <v/>
      </c>
      <c r="D1544" s="4" t="n"/>
      <c r="E1544" s="5" t="n"/>
      <c r="F1544" s="5" t="n"/>
      <c r="G1544" s="5" t="n"/>
      <c r="H1544" s="5" t="n"/>
      <c r="I1544" s="5" t="n"/>
      <c r="J1544" s="6" t="n"/>
      <c r="K1544" s="6" t="n"/>
      <c r="L1544" s="7">
        <f>IF(OR(D1544="",N(J1544)=0),"",MIN(1,N(K1544)/J1544))</f>
        <v/>
      </c>
      <c r="M1544" s="5" t="n"/>
      <c r="N1544" s="5" t="n"/>
      <c r="O1544" s="5" t="n"/>
      <c r="P1544" s="5" t="n"/>
      <c r="Q1544" s="5" t="n"/>
      <c r="R1544" s="4" t="n"/>
      <c r="S1544" s="4" t="n"/>
      <c r="T1544" s="5" t="n"/>
      <c r="U1544" s="8">
        <f>IF(AND(V1544=1,D1544&lt;&gt;""),IF(D1544&gt;=corte,TODAY()-D1544,""),"")</f>
        <v/>
      </c>
      <c r="V1544" s="8">
        <f>IF(D1544="",0,IF(OR(AND(P1544&lt;&gt;"",S1544=""),AND(N(J1544)&gt;0,N(K1544)&lt;J1544),OR(M1544="PENDENTE",M1544="PARCIAL"),OR(N1544="PENDENTE",N1544="PARCIAL")),1,0))</f>
        <v/>
      </c>
      <c r="W1544" s="8">
        <f>IF(AND(V1544=1,D1544&lt;&gt;""),IF(D1544&gt;=corte,(B1544="CRÍTICO")*1E9+(100000-D1544)*10000+10000-ROW(),""),"")</f>
        <v/>
      </c>
      <c r="X1544" s="8">
        <f>IF(AND(V1544=1,D1544=pas_data,E1544=pas_turno),10000-ROW(),"")</f>
        <v/>
      </c>
    </row>
    <row r="1545">
      <c r="A1545" s="3">
        <f>IF(D1545="","","TT-"&amp;TEXT(ROW()-1,"00000"))</f>
        <v/>
      </c>
      <c r="B1545" s="3">
        <f>IF(D1545="","",IF(V1545=0,"CONCLUÍDO",IF(D1545&lt;corte,"HISTÓRICO",IF(OR(AND(ISNUMBER(R1545),R1545&lt;TODAY()),AND(OR(N1545="PENDENTE",N1545="PARCIAL"),D1545&lt;TODAY()-1)),"CRÍTICO",IF(OR(AND(P1545&lt;&gt;"",S1545=""),AND(N1545="REALIZADO",M1545="PENDENTE"),AND(ISNUMBER(R1545),R1545=TODAY())),"ATENÇÃO",IF(N(K1545)=0,"PENDENTE","EM ANDAMENTO"))))))</f>
        <v/>
      </c>
      <c r="C1545" s="3">
        <f>IF(D1545="","",IF(V1545=0,"🟢 OK",IF(D1545&lt;corte,"⚪ HISTÓRICO (sem baixa)",IF(AND(ISNUMBER(R1545),R1545&lt;TODAY()),"🔴 PRAZO VENCIDO",IF(AND(OR(N1545="PENDENTE",N1545="PARCIAL"),D1545&lt;TODAY()-1),"🔴 EMBARQUE ATRASADO",IF(AND(N1545="REALIZADO",M1545="PENDENTE"),"🟡 EMBARCADO SEM FATURAR",IF(AND(P1545&lt;&gt;"",S1545="",OR(Q1545="",R1545="")),"🟡 PENDÊNCIA SEM RESPONSÁVEL/PRAZO",IF(AND(ISNUMBER(R1545),R1545=TODAY()),"🟡 VENCE HOJE",IF(AND(P1545&lt;&gt;"",S1545=""),"🟡 PENDÊNCIA ABERTA",IF(AND(N(J1545)&gt;0,N(K1545)&lt;J1545),"🟡 FALTA EXECUTAR",IF(OR(M1545="PENDENTE",M1545="PARCIAL"),"🟡 FATURAMENTO PENDENTE","🟡 EMBARQUE PENDENTE")))))))))))</f>
        <v/>
      </c>
      <c r="D1545" s="4" t="n"/>
      <c r="E1545" s="5" t="n"/>
      <c r="F1545" s="5" t="n"/>
      <c r="G1545" s="5" t="n"/>
      <c r="H1545" s="5" t="n"/>
      <c r="I1545" s="5" t="n"/>
      <c r="J1545" s="6" t="n"/>
      <c r="K1545" s="6" t="n"/>
      <c r="L1545" s="7">
        <f>IF(OR(D1545="",N(J1545)=0),"",MIN(1,N(K1545)/J1545))</f>
        <v/>
      </c>
      <c r="M1545" s="5" t="n"/>
      <c r="N1545" s="5" t="n"/>
      <c r="O1545" s="5" t="n"/>
      <c r="P1545" s="5" t="n"/>
      <c r="Q1545" s="5" t="n"/>
      <c r="R1545" s="4" t="n"/>
      <c r="S1545" s="4" t="n"/>
      <c r="T1545" s="5" t="n"/>
      <c r="U1545" s="8">
        <f>IF(AND(V1545=1,D1545&lt;&gt;""),IF(D1545&gt;=corte,TODAY()-D1545,""),"")</f>
        <v/>
      </c>
      <c r="V1545" s="8">
        <f>IF(D1545="",0,IF(OR(AND(P1545&lt;&gt;"",S1545=""),AND(N(J1545)&gt;0,N(K1545)&lt;J1545),OR(M1545="PENDENTE",M1545="PARCIAL"),OR(N1545="PENDENTE",N1545="PARCIAL")),1,0))</f>
        <v/>
      </c>
      <c r="W1545" s="8">
        <f>IF(AND(V1545=1,D1545&lt;&gt;""),IF(D1545&gt;=corte,(B1545="CRÍTICO")*1E9+(100000-D1545)*10000+10000-ROW(),""),"")</f>
        <v/>
      </c>
      <c r="X1545" s="8">
        <f>IF(AND(V1545=1,D1545=pas_data,E1545=pas_turno),10000-ROW(),"")</f>
        <v/>
      </c>
    </row>
    <row r="1546">
      <c r="A1546" s="3">
        <f>IF(D1546="","","TT-"&amp;TEXT(ROW()-1,"00000"))</f>
        <v/>
      </c>
      <c r="B1546" s="3">
        <f>IF(D1546="","",IF(V1546=0,"CONCLUÍDO",IF(D1546&lt;corte,"HISTÓRICO",IF(OR(AND(ISNUMBER(R1546),R1546&lt;TODAY()),AND(OR(N1546="PENDENTE",N1546="PARCIAL"),D1546&lt;TODAY()-1)),"CRÍTICO",IF(OR(AND(P1546&lt;&gt;"",S1546=""),AND(N1546="REALIZADO",M1546="PENDENTE"),AND(ISNUMBER(R1546),R1546=TODAY())),"ATENÇÃO",IF(N(K1546)=0,"PENDENTE","EM ANDAMENTO"))))))</f>
        <v/>
      </c>
      <c r="C1546" s="3">
        <f>IF(D1546="","",IF(V1546=0,"🟢 OK",IF(D1546&lt;corte,"⚪ HISTÓRICO (sem baixa)",IF(AND(ISNUMBER(R1546),R1546&lt;TODAY()),"🔴 PRAZO VENCIDO",IF(AND(OR(N1546="PENDENTE",N1546="PARCIAL"),D1546&lt;TODAY()-1),"🔴 EMBARQUE ATRASADO",IF(AND(N1546="REALIZADO",M1546="PENDENTE"),"🟡 EMBARCADO SEM FATURAR",IF(AND(P1546&lt;&gt;"",S1546="",OR(Q1546="",R1546="")),"🟡 PENDÊNCIA SEM RESPONSÁVEL/PRAZO",IF(AND(ISNUMBER(R1546),R1546=TODAY()),"🟡 VENCE HOJE",IF(AND(P1546&lt;&gt;"",S1546=""),"🟡 PENDÊNCIA ABERTA",IF(AND(N(J1546)&gt;0,N(K1546)&lt;J1546),"🟡 FALTA EXECUTAR",IF(OR(M1546="PENDENTE",M1546="PARCIAL"),"🟡 FATURAMENTO PENDENTE","🟡 EMBARQUE PENDENTE")))))))))))</f>
        <v/>
      </c>
      <c r="D1546" s="4" t="n"/>
      <c r="E1546" s="5" t="n"/>
      <c r="F1546" s="5" t="n"/>
      <c r="G1546" s="5" t="n"/>
      <c r="H1546" s="5" t="n"/>
      <c r="I1546" s="5" t="n"/>
      <c r="J1546" s="6" t="n"/>
      <c r="K1546" s="6" t="n"/>
      <c r="L1546" s="7">
        <f>IF(OR(D1546="",N(J1546)=0),"",MIN(1,N(K1546)/J1546))</f>
        <v/>
      </c>
      <c r="M1546" s="5" t="n"/>
      <c r="N1546" s="5" t="n"/>
      <c r="O1546" s="5" t="n"/>
      <c r="P1546" s="5" t="n"/>
      <c r="Q1546" s="5" t="n"/>
      <c r="R1546" s="4" t="n"/>
      <c r="S1546" s="4" t="n"/>
      <c r="T1546" s="5" t="n"/>
      <c r="U1546" s="8">
        <f>IF(AND(V1546=1,D1546&lt;&gt;""),IF(D1546&gt;=corte,TODAY()-D1546,""),"")</f>
        <v/>
      </c>
      <c r="V1546" s="8">
        <f>IF(D1546="",0,IF(OR(AND(P1546&lt;&gt;"",S1546=""),AND(N(J1546)&gt;0,N(K1546)&lt;J1546),OR(M1546="PENDENTE",M1546="PARCIAL"),OR(N1546="PENDENTE",N1546="PARCIAL")),1,0))</f>
        <v/>
      </c>
      <c r="W1546" s="8">
        <f>IF(AND(V1546=1,D1546&lt;&gt;""),IF(D1546&gt;=corte,(B1546="CRÍTICO")*1E9+(100000-D1546)*10000+10000-ROW(),""),"")</f>
        <v/>
      </c>
      <c r="X1546" s="8">
        <f>IF(AND(V1546=1,D1546=pas_data,E1546=pas_turno),10000-ROW(),"")</f>
        <v/>
      </c>
    </row>
    <row r="1547">
      <c r="A1547" s="3">
        <f>IF(D1547="","","TT-"&amp;TEXT(ROW()-1,"00000"))</f>
        <v/>
      </c>
      <c r="B1547" s="3">
        <f>IF(D1547="","",IF(V1547=0,"CONCLUÍDO",IF(D1547&lt;corte,"HISTÓRICO",IF(OR(AND(ISNUMBER(R1547),R1547&lt;TODAY()),AND(OR(N1547="PENDENTE",N1547="PARCIAL"),D1547&lt;TODAY()-1)),"CRÍTICO",IF(OR(AND(P1547&lt;&gt;"",S1547=""),AND(N1547="REALIZADO",M1547="PENDENTE"),AND(ISNUMBER(R1547),R1547=TODAY())),"ATENÇÃO",IF(N(K1547)=0,"PENDENTE","EM ANDAMENTO"))))))</f>
        <v/>
      </c>
      <c r="C1547" s="3">
        <f>IF(D1547="","",IF(V1547=0,"🟢 OK",IF(D1547&lt;corte,"⚪ HISTÓRICO (sem baixa)",IF(AND(ISNUMBER(R1547),R1547&lt;TODAY()),"🔴 PRAZO VENCIDO",IF(AND(OR(N1547="PENDENTE",N1547="PARCIAL"),D1547&lt;TODAY()-1),"🔴 EMBARQUE ATRASADO",IF(AND(N1547="REALIZADO",M1547="PENDENTE"),"🟡 EMBARCADO SEM FATURAR",IF(AND(P1547&lt;&gt;"",S1547="",OR(Q1547="",R1547="")),"🟡 PENDÊNCIA SEM RESPONSÁVEL/PRAZO",IF(AND(ISNUMBER(R1547),R1547=TODAY()),"🟡 VENCE HOJE",IF(AND(P1547&lt;&gt;"",S1547=""),"🟡 PENDÊNCIA ABERTA",IF(AND(N(J1547)&gt;0,N(K1547)&lt;J1547),"🟡 FALTA EXECUTAR",IF(OR(M1547="PENDENTE",M1547="PARCIAL"),"🟡 FATURAMENTO PENDENTE","🟡 EMBARQUE PENDENTE")))))))))))</f>
        <v/>
      </c>
      <c r="D1547" s="4" t="n"/>
      <c r="E1547" s="5" t="n"/>
      <c r="F1547" s="5" t="n"/>
      <c r="G1547" s="5" t="n"/>
      <c r="H1547" s="5" t="n"/>
      <c r="I1547" s="5" t="n"/>
      <c r="J1547" s="6" t="n"/>
      <c r="K1547" s="6" t="n"/>
      <c r="L1547" s="7">
        <f>IF(OR(D1547="",N(J1547)=0),"",MIN(1,N(K1547)/J1547))</f>
        <v/>
      </c>
      <c r="M1547" s="5" t="n"/>
      <c r="N1547" s="5" t="n"/>
      <c r="O1547" s="5" t="n"/>
      <c r="P1547" s="5" t="n"/>
      <c r="Q1547" s="5" t="n"/>
      <c r="R1547" s="4" t="n"/>
      <c r="S1547" s="4" t="n"/>
      <c r="T1547" s="5" t="n"/>
      <c r="U1547" s="8">
        <f>IF(AND(V1547=1,D1547&lt;&gt;""),IF(D1547&gt;=corte,TODAY()-D1547,""),"")</f>
        <v/>
      </c>
      <c r="V1547" s="8">
        <f>IF(D1547="",0,IF(OR(AND(P1547&lt;&gt;"",S1547=""),AND(N(J1547)&gt;0,N(K1547)&lt;J1547),OR(M1547="PENDENTE",M1547="PARCIAL"),OR(N1547="PENDENTE",N1547="PARCIAL")),1,0))</f>
        <v/>
      </c>
      <c r="W1547" s="8">
        <f>IF(AND(V1547=1,D1547&lt;&gt;""),IF(D1547&gt;=corte,(B1547="CRÍTICO")*1E9+(100000-D1547)*10000+10000-ROW(),""),"")</f>
        <v/>
      </c>
      <c r="X1547" s="8">
        <f>IF(AND(V1547=1,D1547=pas_data,E1547=pas_turno),10000-ROW(),"")</f>
        <v/>
      </c>
    </row>
    <row r="1548">
      <c r="A1548" s="3">
        <f>IF(D1548="","","TT-"&amp;TEXT(ROW()-1,"00000"))</f>
        <v/>
      </c>
      <c r="B1548" s="3">
        <f>IF(D1548="","",IF(V1548=0,"CONCLUÍDO",IF(D1548&lt;corte,"HISTÓRICO",IF(OR(AND(ISNUMBER(R1548),R1548&lt;TODAY()),AND(OR(N1548="PENDENTE",N1548="PARCIAL"),D1548&lt;TODAY()-1)),"CRÍTICO",IF(OR(AND(P1548&lt;&gt;"",S1548=""),AND(N1548="REALIZADO",M1548="PENDENTE"),AND(ISNUMBER(R1548),R1548=TODAY())),"ATENÇÃO",IF(N(K1548)=0,"PENDENTE","EM ANDAMENTO"))))))</f>
        <v/>
      </c>
      <c r="C1548" s="3">
        <f>IF(D1548="","",IF(V1548=0,"🟢 OK",IF(D1548&lt;corte,"⚪ HISTÓRICO (sem baixa)",IF(AND(ISNUMBER(R1548),R1548&lt;TODAY()),"🔴 PRAZO VENCIDO",IF(AND(OR(N1548="PENDENTE",N1548="PARCIAL"),D1548&lt;TODAY()-1),"🔴 EMBARQUE ATRASADO",IF(AND(N1548="REALIZADO",M1548="PENDENTE"),"🟡 EMBARCADO SEM FATURAR",IF(AND(P1548&lt;&gt;"",S1548="",OR(Q1548="",R1548="")),"🟡 PENDÊNCIA SEM RESPONSÁVEL/PRAZO",IF(AND(ISNUMBER(R1548),R1548=TODAY()),"🟡 VENCE HOJE",IF(AND(P1548&lt;&gt;"",S1548=""),"🟡 PENDÊNCIA ABERTA",IF(AND(N(J1548)&gt;0,N(K1548)&lt;J1548),"🟡 FALTA EXECUTAR",IF(OR(M1548="PENDENTE",M1548="PARCIAL"),"🟡 FATURAMENTO PENDENTE","🟡 EMBARQUE PENDENTE")))))))))))</f>
        <v/>
      </c>
      <c r="D1548" s="4" t="n"/>
      <c r="E1548" s="5" t="n"/>
      <c r="F1548" s="5" t="n"/>
      <c r="G1548" s="5" t="n"/>
      <c r="H1548" s="5" t="n"/>
      <c r="I1548" s="5" t="n"/>
      <c r="J1548" s="6" t="n"/>
      <c r="K1548" s="6" t="n"/>
      <c r="L1548" s="7">
        <f>IF(OR(D1548="",N(J1548)=0),"",MIN(1,N(K1548)/J1548))</f>
        <v/>
      </c>
      <c r="M1548" s="5" t="n"/>
      <c r="N1548" s="5" t="n"/>
      <c r="O1548" s="5" t="n"/>
      <c r="P1548" s="5" t="n"/>
      <c r="Q1548" s="5" t="n"/>
      <c r="R1548" s="4" t="n"/>
      <c r="S1548" s="4" t="n"/>
      <c r="T1548" s="5" t="n"/>
      <c r="U1548" s="8">
        <f>IF(AND(V1548=1,D1548&lt;&gt;""),IF(D1548&gt;=corte,TODAY()-D1548,""),"")</f>
        <v/>
      </c>
      <c r="V1548" s="8">
        <f>IF(D1548="",0,IF(OR(AND(P1548&lt;&gt;"",S1548=""),AND(N(J1548)&gt;0,N(K1548)&lt;J1548),OR(M1548="PENDENTE",M1548="PARCIAL"),OR(N1548="PENDENTE",N1548="PARCIAL")),1,0))</f>
        <v/>
      </c>
      <c r="W1548" s="8">
        <f>IF(AND(V1548=1,D1548&lt;&gt;""),IF(D1548&gt;=corte,(B1548="CRÍTICO")*1E9+(100000-D1548)*10000+10000-ROW(),""),"")</f>
        <v/>
      </c>
      <c r="X1548" s="8">
        <f>IF(AND(V1548=1,D1548=pas_data,E1548=pas_turno),10000-ROW(),"")</f>
        <v/>
      </c>
    </row>
    <row r="1549">
      <c r="A1549" s="3">
        <f>IF(D1549="","","TT-"&amp;TEXT(ROW()-1,"00000"))</f>
        <v/>
      </c>
      <c r="B1549" s="3">
        <f>IF(D1549="","",IF(V1549=0,"CONCLUÍDO",IF(D1549&lt;corte,"HISTÓRICO",IF(OR(AND(ISNUMBER(R1549),R1549&lt;TODAY()),AND(OR(N1549="PENDENTE",N1549="PARCIAL"),D1549&lt;TODAY()-1)),"CRÍTICO",IF(OR(AND(P1549&lt;&gt;"",S1549=""),AND(N1549="REALIZADO",M1549="PENDENTE"),AND(ISNUMBER(R1549),R1549=TODAY())),"ATENÇÃO",IF(N(K1549)=0,"PENDENTE","EM ANDAMENTO"))))))</f>
        <v/>
      </c>
      <c r="C1549" s="3">
        <f>IF(D1549="","",IF(V1549=0,"🟢 OK",IF(D1549&lt;corte,"⚪ HISTÓRICO (sem baixa)",IF(AND(ISNUMBER(R1549),R1549&lt;TODAY()),"🔴 PRAZO VENCIDO",IF(AND(OR(N1549="PENDENTE",N1549="PARCIAL"),D1549&lt;TODAY()-1),"🔴 EMBARQUE ATRASADO",IF(AND(N1549="REALIZADO",M1549="PENDENTE"),"🟡 EMBARCADO SEM FATURAR",IF(AND(P1549&lt;&gt;"",S1549="",OR(Q1549="",R1549="")),"🟡 PENDÊNCIA SEM RESPONSÁVEL/PRAZO",IF(AND(ISNUMBER(R1549),R1549=TODAY()),"🟡 VENCE HOJE",IF(AND(P1549&lt;&gt;"",S1549=""),"🟡 PENDÊNCIA ABERTA",IF(AND(N(J1549)&gt;0,N(K1549)&lt;J1549),"🟡 FALTA EXECUTAR",IF(OR(M1549="PENDENTE",M1549="PARCIAL"),"🟡 FATURAMENTO PENDENTE","🟡 EMBARQUE PENDENTE")))))))))))</f>
        <v/>
      </c>
      <c r="D1549" s="4" t="n"/>
      <c r="E1549" s="5" t="n"/>
      <c r="F1549" s="5" t="n"/>
      <c r="G1549" s="5" t="n"/>
      <c r="H1549" s="5" t="n"/>
      <c r="I1549" s="5" t="n"/>
      <c r="J1549" s="6" t="n"/>
      <c r="K1549" s="6" t="n"/>
      <c r="L1549" s="7">
        <f>IF(OR(D1549="",N(J1549)=0),"",MIN(1,N(K1549)/J1549))</f>
        <v/>
      </c>
      <c r="M1549" s="5" t="n"/>
      <c r="N1549" s="5" t="n"/>
      <c r="O1549" s="5" t="n"/>
      <c r="P1549" s="5" t="n"/>
      <c r="Q1549" s="5" t="n"/>
      <c r="R1549" s="4" t="n"/>
      <c r="S1549" s="4" t="n"/>
      <c r="T1549" s="5" t="n"/>
      <c r="U1549" s="8">
        <f>IF(AND(V1549=1,D1549&lt;&gt;""),IF(D1549&gt;=corte,TODAY()-D1549,""),"")</f>
        <v/>
      </c>
      <c r="V1549" s="8">
        <f>IF(D1549="",0,IF(OR(AND(P1549&lt;&gt;"",S1549=""),AND(N(J1549)&gt;0,N(K1549)&lt;J1549),OR(M1549="PENDENTE",M1549="PARCIAL"),OR(N1549="PENDENTE",N1549="PARCIAL")),1,0))</f>
        <v/>
      </c>
      <c r="W1549" s="8">
        <f>IF(AND(V1549=1,D1549&lt;&gt;""),IF(D1549&gt;=corte,(B1549="CRÍTICO")*1E9+(100000-D1549)*10000+10000-ROW(),""),"")</f>
        <v/>
      </c>
      <c r="X1549" s="8">
        <f>IF(AND(V1549=1,D1549=pas_data,E1549=pas_turno),10000-ROW(),"")</f>
        <v/>
      </c>
    </row>
    <row r="1550">
      <c r="A1550" s="3">
        <f>IF(D1550="","","TT-"&amp;TEXT(ROW()-1,"00000"))</f>
        <v/>
      </c>
      <c r="B1550" s="3">
        <f>IF(D1550="","",IF(V1550=0,"CONCLUÍDO",IF(D1550&lt;corte,"HISTÓRICO",IF(OR(AND(ISNUMBER(R1550),R1550&lt;TODAY()),AND(OR(N1550="PENDENTE",N1550="PARCIAL"),D1550&lt;TODAY()-1)),"CRÍTICO",IF(OR(AND(P1550&lt;&gt;"",S1550=""),AND(N1550="REALIZADO",M1550="PENDENTE"),AND(ISNUMBER(R1550),R1550=TODAY())),"ATENÇÃO",IF(N(K1550)=0,"PENDENTE","EM ANDAMENTO"))))))</f>
        <v/>
      </c>
      <c r="C1550" s="3">
        <f>IF(D1550="","",IF(V1550=0,"🟢 OK",IF(D1550&lt;corte,"⚪ HISTÓRICO (sem baixa)",IF(AND(ISNUMBER(R1550),R1550&lt;TODAY()),"🔴 PRAZO VENCIDO",IF(AND(OR(N1550="PENDENTE",N1550="PARCIAL"),D1550&lt;TODAY()-1),"🔴 EMBARQUE ATRASADO",IF(AND(N1550="REALIZADO",M1550="PENDENTE"),"🟡 EMBARCADO SEM FATURAR",IF(AND(P1550&lt;&gt;"",S1550="",OR(Q1550="",R1550="")),"🟡 PENDÊNCIA SEM RESPONSÁVEL/PRAZO",IF(AND(ISNUMBER(R1550),R1550=TODAY()),"🟡 VENCE HOJE",IF(AND(P1550&lt;&gt;"",S1550=""),"🟡 PENDÊNCIA ABERTA",IF(AND(N(J1550)&gt;0,N(K1550)&lt;J1550),"🟡 FALTA EXECUTAR",IF(OR(M1550="PENDENTE",M1550="PARCIAL"),"🟡 FATURAMENTO PENDENTE","🟡 EMBARQUE PENDENTE")))))))))))</f>
        <v/>
      </c>
      <c r="D1550" s="4" t="n"/>
      <c r="E1550" s="5" t="n"/>
      <c r="F1550" s="5" t="n"/>
      <c r="G1550" s="5" t="n"/>
      <c r="H1550" s="5" t="n"/>
      <c r="I1550" s="5" t="n"/>
      <c r="J1550" s="6" t="n"/>
      <c r="K1550" s="6" t="n"/>
      <c r="L1550" s="7">
        <f>IF(OR(D1550="",N(J1550)=0),"",MIN(1,N(K1550)/J1550))</f>
        <v/>
      </c>
      <c r="M1550" s="5" t="n"/>
      <c r="N1550" s="5" t="n"/>
      <c r="O1550" s="5" t="n"/>
      <c r="P1550" s="5" t="n"/>
      <c r="Q1550" s="5" t="n"/>
      <c r="R1550" s="4" t="n"/>
      <c r="S1550" s="4" t="n"/>
      <c r="T1550" s="5" t="n"/>
      <c r="U1550" s="8">
        <f>IF(AND(V1550=1,D1550&lt;&gt;""),IF(D1550&gt;=corte,TODAY()-D1550,""),"")</f>
        <v/>
      </c>
      <c r="V1550" s="8">
        <f>IF(D1550="",0,IF(OR(AND(P1550&lt;&gt;"",S1550=""),AND(N(J1550)&gt;0,N(K1550)&lt;J1550),OR(M1550="PENDENTE",M1550="PARCIAL"),OR(N1550="PENDENTE",N1550="PARCIAL")),1,0))</f>
        <v/>
      </c>
      <c r="W1550" s="8">
        <f>IF(AND(V1550=1,D1550&lt;&gt;""),IF(D1550&gt;=corte,(B1550="CRÍTICO")*1E9+(100000-D1550)*10000+10000-ROW(),""),"")</f>
        <v/>
      </c>
      <c r="X1550" s="8">
        <f>IF(AND(V1550=1,D1550=pas_data,E1550=pas_turno),10000-ROW(),"")</f>
        <v/>
      </c>
    </row>
    <row r="1551">
      <c r="A1551" s="3">
        <f>IF(D1551="","","TT-"&amp;TEXT(ROW()-1,"00000"))</f>
        <v/>
      </c>
      <c r="B1551" s="3">
        <f>IF(D1551="","",IF(V1551=0,"CONCLUÍDO",IF(D1551&lt;corte,"HISTÓRICO",IF(OR(AND(ISNUMBER(R1551),R1551&lt;TODAY()),AND(OR(N1551="PENDENTE",N1551="PARCIAL"),D1551&lt;TODAY()-1)),"CRÍTICO",IF(OR(AND(P1551&lt;&gt;"",S1551=""),AND(N1551="REALIZADO",M1551="PENDENTE"),AND(ISNUMBER(R1551),R1551=TODAY())),"ATENÇÃO",IF(N(K1551)=0,"PENDENTE","EM ANDAMENTO"))))))</f>
        <v/>
      </c>
      <c r="C1551" s="3">
        <f>IF(D1551="","",IF(V1551=0,"🟢 OK",IF(D1551&lt;corte,"⚪ HISTÓRICO (sem baixa)",IF(AND(ISNUMBER(R1551),R1551&lt;TODAY()),"🔴 PRAZO VENCIDO",IF(AND(OR(N1551="PENDENTE",N1551="PARCIAL"),D1551&lt;TODAY()-1),"🔴 EMBARQUE ATRASADO",IF(AND(N1551="REALIZADO",M1551="PENDENTE"),"🟡 EMBARCADO SEM FATURAR",IF(AND(P1551&lt;&gt;"",S1551="",OR(Q1551="",R1551="")),"🟡 PENDÊNCIA SEM RESPONSÁVEL/PRAZO",IF(AND(ISNUMBER(R1551),R1551=TODAY()),"🟡 VENCE HOJE",IF(AND(P1551&lt;&gt;"",S1551=""),"🟡 PENDÊNCIA ABERTA",IF(AND(N(J1551)&gt;0,N(K1551)&lt;J1551),"🟡 FALTA EXECUTAR",IF(OR(M1551="PENDENTE",M1551="PARCIAL"),"🟡 FATURAMENTO PENDENTE","🟡 EMBARQUE PENDENTE")))))))))))</f>
        <v/>
      </c>
      <c r="D1551" s="4" t="n"/>
      <c r="E1551" s="5" t="n"/>
      <c r="F1551" s="5" t="n"/>
      <c r="G1551" s="5" t="n"/>
      <c r="H1551" s="5" t="n"/>
      <c r="I1551" s="5" t="n"/>
      <c r="J1551" s="6" t="n"/>
      <c r="K1551" s="6" t="n"/>
      <c r="L1551" s="7">
        <f>IF(OR(D1551="",N(J1551)=0),"",MIN(1,N(K1551)/J1551))</f>
        <v/>
      </c>
      <c r="M1551" s="5" t="n"/>
      <c r="N1551" s="5" t="n"/>
      <c r="O1551" s="5" t="n"/>
      <c r="P1551" s="5" t="n"/>
      <c r="Q1551" s="5" t="n"/>
      <c r="R1551" s="4" t="n"/>
      <c r="S1551" s="4" t="n"/>
      <c r="T1551" s="5" t="n"/>
      <c r="U1551" s="8">
        <f>IF(AND(V1551=1,D1551&lt;&gt;""),IF(D1551&gt;=corte,TODAY()-D1551,""),"")</f>
        <v/>
      </c>
      <c r="V1551" s="8">
        <f>IF(D1551="",0,IF(OR(AND(P1551&lt;&gt;"",S1551=""),AND(N(J1551)&gt;0,N(K1551)&lt;J1551),OR(M1551="PENDENTE",M1551="PARCIAL"),OR(N1551="PENDENTE",N1551="PARCIAL")),1,0))</f>
        <v/>
      </c>
      <c r="W1551" s="8">
        <f>IF(AND(V1551=1,D1551&lt;&gt;""),IF(D1551&gt;=corte,(B1551="CRÍTICO")*1E9+(100000-D1551)*10000+10000-ROW(),""),"")</f>
        <v/>
      </c>
      <c r="X1551" s="8">
        <f>IF(AND(V1551=1,D1551=pas_data,E1551=pas_turno),10000-ROW(),"")</f>
        <v/>
      </c>
    </row>
    <row r="1552">
      <c r="A1552" s="3">
        <f>IF(D1552="","","TT-"&amp;TEXT(ROW()-1,"00000"))</f>
        <v/>
      </c>
      <c r="B1552" s="3">
        <f>IF(D1552="","",IF(V1552=0,"CONCLUÍDO",IF(D1552&lt;corte,"HISTÓRICO",IF(OR(AND(ISNUMBER(R1552),R1552&lt;TODAY()),AND(OR(N1552="PENDENTE",N1552="PARCIAL"),D1552&lt;TODAY()-1)),"CRÍTICO",IF(OR(AND(P1552&lt;&gt;"",S1552=""),AND(N1552="REALIZADO",M1552="PENDENTE"),AND(ISNUMBER(R1552),R1552=TODAY())),"ATENÇÃO",IF(N(K1552)=0,"PENDENTE","EM ANDAMENTO"))))))</f>
        <v/>
      </c>
      <c r="C1552" s="3">
        <f>IF(D1552="","",IF(V1552=0,"🟢 OK",IF(D1552&lt;corte,"⚪ HISTÓRICO (sem baixa)",IF(AND(ISNUMBER(R1552),R1552&lt;TODAY()),"🔴 PRAZO VENCIDO",IF(AND(OR(N1552="PENDENTE",N1552="PARCIAL"),D1552&lt;TODAY()-1),"🔴 EMBARQUE ATRASADO",IF(AND(N1552="REALIZADO",M1552="PENDENTE"),"🟡 EMBARCADO SEM FATURAR",IF(AND(P1552&lt;&gt;"",S1552="",OR(Q1552="",R1552="")),"🟡 PENDÊNCIA SEM RESPONSÁVEL/PRAZO",IF(AND(ISNUMBER(R1552),R1552=TODAY()),"🟡 VENCE HOJE",IF(AND(P1552&lt;&gt;"",S1552=""),"🟡 PENDÊNCIA ABERTA",IF(AND(N(J1552)&gt;0,N(K1552)&lt;J1552),"🟡 FALTA EXECUTAR",IF(OR(M1552="PENDENTE",M1552="PARCIAL"),"🟡 FATURAMENTO PENDENTE","🟡 EMBARQUE PENDENTE")))))))))))</f>
        <v/>
      </c>
      <c r="D1552" s="4" t="n"/>
      <c r="E1552" s="5" t="n"/>
      <c r="F1552" s="5" t="n"/>
      <c r="G1552" s="5" t="n"/>
      <c r="H1552" s="5" t="n"/>
      <c r="I1552" s="5" t="n"/>
      <c r="J1552" s="6" t="n"/>
      <c r="K1552" s="6" t="n"/>
      <c r="L1552" s="7">
        <f>IF(OR(D1552="",N(J1552)=0),"",MIN(1,N(K1552)/J1552))</f>
        <v/>
      </c>
      <c r="M1552" s="5" t="n"/>
      <c r="N1552" s="5" t="n"/>
      <c r="O1552" s="5" t="n"/>
      <c r="P1552" s="5" t="n"/>
      <c r="Q1552" s="5" t="n"/>
      <c r="R1552" s="4" t="n"/>
      <c r="S1552" s="4" t="n"/>
      <c r="T1552" s="5" t="n"/>
      <c r="U1552" s="8">
        <f>IF(AND(V1552=1,D1552&lt;&gt;""),IF(D1552&gt;=corte,TODAY()-D1552,""),"")</f>
        <v/>
      </c>
      <c r="V1552" s="8">
        <f>IF(D1552="",0,IF(OR(AND(P1552&lt;&gt;"",S1552=""),AND(N(J1552)&gt;0,N(K1552)&lt;J1552),OR(M1552="PENDENTE",M1552="PARCIAL"),OR(N1552="PENDENTE",N1552="PARCIAL")),1,0))</f>
        <v/>
      </c>
      <c r="W1552" s="8">
        <f>IF(AND(V1552=1,D1552&lt;&gt;""),IF(D1552&gt;=corte,(B1552="CRÍTICO")*1E9+(100000-D1552)*10000+10000-ROW(),""),"")</f>
        <v/>
      </c>
      <c r="X1552" s="8">
        <f>IF(AND(V1552=1,D1552=pas_data,E1552=pas_turno),10000-ROW(),"")</f>
        <v/>
      </c>
    </row>
    <row r="1553">
      <c r="A1553" s="3">
        <f>IF(D1553="","","TT-"&amp;TEXT(ROW()-1,"00000"))</f>
        <v/>
      </c>
      <c r="B1553" s="3">
        <f>IF(D1553="","",IF(V1553=0,"CONCLUÍDO",IF(D1553&lt;corte,"HISTÓRICO",IF(OR(AND(ISNUMBER(R1553),R1553&lt;TODAY()),AND(OR(N1553="PENDENTE",N1553="PARCIAL"),D1553&lt;TODAY()-1)),"CRÍTICO",IF(OR(AND(P1553&lt;&gt;"",S1553=""),AND(N1553="REALIZADO",M1553="PENDENTE"),AND(ISNUMBER(R1553),R1553=TODAY())),"ATENÇÃO",IF(N(K1553)=0,"PENDENTE","EM ANDAMENTO"))))))</f>
        <v/>
      </c>
      <c r="C1553" s="3">
        <f>IF(D1553="","",IF(V1553=0,"🟢 OK",IF(D1553&lt;corte,"⚪ HISTÓRICO (sem baixa)",IF(AND(ISNUMBER(R1553),R1553&lt;TODAY()),"🔴 PRAZO VENCIDO",IF(AND(OR(N1553="PENDENTE",N1553="PARCIAL"),D1553&lt;TODAY()-1),"🔴 EMBARQUE ATRASADO",IF(AND(N1553="REALIZADO",M1553="PENDENTE"),"🟡 EMBARCADO SEM FATURAR",IF(AND(P1553&lt;&gt;"",S1553="",OR(Q1553="",R1553="")),"🟡 PENDÊNCIA SEM RESPONSÁVEL/PRAZO",IF(AND(ISNUMBER(R1553),R1553=TODAY()),"🟡 VENCE HOJE",IF(AND(P1553&lt;&gt;"",S1553=""),"🟡 PENDÊNCIA ABERTA",IF(AND(N(J1553)&gt;0,N(K1553)&lt;J1553),"🟡 FALTA EXECUTAR",IF(OR(M1553="PENDENTE",M1553="PARCIAL"),"🟡 FATURAMENTO PENDENTE","🟡 EMBARQUE PENDENTE")))))))))))</f>
        <v/>
      </c>
      <c r="D1553" s="4" t="n"/>
      <c r="E1553" s="5" t="n"/>
      <c r="F1553" s="5" t="n"/>
      <c r="G1553" s="5" t="n"/>
      <c r="H1553" s="5" t="n"/>
      <c r="I1553" s="5" t="n"/>
      <c r="J1553" s="6" t="n"/>
      <c r="K1553" s="6" t="n"/>
      <c r="L1553" s="7">
        <f>IF(OR(D1553="",N(J1553)=0),"",MIN(1,N(K1553)/J1553))</f>
        <v/>
      </c>
      <c r="M1553" s="5" t="n"/>
      <c r="N1553" s="5" t="n"/>
      <c r="O1553" s="5" t="n"/>
      <c r="P1553" s="5" t="n"/>
      <c r="Q1553" s="5" t="n"/>
      <c r="R1553" s="4" t="n"/>
      <c r="S1553" s="4" t="n"/>
      <c r="T1553" s="5" t="n"/>
      <c r="U1553" s="8">
        <f>IF(AND(V1553=1,D1553&lt;&gt;""),IF(D1553&gt;=corte,TODAY()-D1553,""),"")</f>
        <v/>
      </c>
      <c r="V1553" s="8">
        <f>IF(D1553="",0,IF(OR(AND(P1553&lt;&gt;"",S1553=""),AND(N(J1553)&gt;0,N(K1553)&lt;J1553),OR(M1553="PENDENTE",M1553="PARCIAL"),OR(N1553="PENDENTE",N1553="PARCIAL")),1,0))</f>
        <v/>
      </c>
      <c r="W1553" s="8">
        <f>IF(AND(V1553=1,D1553&lt;&gt;""),IF(D1553&gt;=corte,(B1553="CRÍTICO")*1E9+(100000-D1553)*10000+10000-ROW(),""),"")</f>
        <v/>
      </c>
      <c r="X1553" s="8">
        <f>IF(AND(V1553=1,D1553=pas_data,E1553=pas_turno),10000-ROW(),"")</f>
        <v/>
      </c>
    </row>
    <row r="1554">
      <c r="A1554" s="3">
        <f>IF(D1554="","","TT-"&amp;TEXT(ROW()-1,"00000"))</f>
        <v/>
      </c>
      <c r="B1554" s="3">
        <f>IF(D1554="","",IF(V1554=0,"CONCLUÍDO",IF(D1554&lt;corte,"HISTÓRICO",IF(OR(AND(ISNUMBER(R1554),R1554&lt;TODAY()),AND(OR(N1554="PENDENTE",N1554="PARCIAL"),D1554&lt;TODAY()-1)),"CRÍTICO",IF(OR(AND(P1554&lt;&gt;"",S1554=""),AND(N1554="REALIZADO",M1554="PENDENTE"),AND(ISNUMBER(R1554),R1554=TODAY())),"ATENÇÃO",IF(N(K1554)=0,"PENDENTE","EM ANDAMENTO"))))))</f>
        <v/>
      </c>
      <c r="C1554" s="3">
        <f>IF(D1554="","",IF(V1554=0,"🟢 OK",IF(D1554&lt;corte,"⚪ HISTÓRICO (sem baixa)",IF(AND(ISNUMBER(R1554),R1554&lt;TODAY()),"🔴 PRAZO VENCIDO",IF(AND(OR(N1554="PENDENTE",N1554="PARCIAL"),D1554&lt;TODAY()-1),"🔴 EMBARQUE ATRASADO",IF(AND(N1554="REALIZADO",M1554="PENDENTE"),"🟡 EMBARCADO SEM FATURAR",IF(AND(P1554&lt;&gt;"",S1554="",OR(Q1554="",R1554="")),"🟡 PENDÊNCIA SEM RESPONSÁVEL/PRAZO",IF(AND(ISNUMBER(R1554),R1554=TODAY()),"🟡 VENCE HOJE",IF(AND(P1554&lt;&gt;"",S1554=""),"🟡 PENDÊNCIA ABERTA",IF(AND(N(J1554)&gt;0,N(K1554)&lt;J1554),"🟡 FALTA EXECUTAR",IF(OR(M1554="PENDENTE",M1554="PARCIAL"),"🟡 FATURAMENTO PENDENTE","🟡 EMBARQUE PENDENTE")))))))))))</f>
        <v/>
      </c>
      <c r="D1554" s="4" t="n"/>
      <c r="E1554" s="5" t="n"/>
      <c r="F1554" s="5" t="n"/>
      <c r="G1554" s="5" t="n"/>
      <c r="H1554" s="5" t="n"/>
      <c r="I1554" s="5" t="n"/>
      <c r="J1554" s="6" t="n"/>
      <c r="K1554" s="6" t="n"/>
      <c r="L1554" s="7">
        <f>IF(OR(D1554="",N(J1554)=0),"",MIN(1,N(K1554)/J1554))</f>
        <v/>
      </c>
      <c r="M1554" s="5" t="n"/>
      <c r="N1554" s="5" t="n"/>
      <c r="O1554" s="5" t="n"/>
      <c r="P1554" s="5" t="n"/>
      <c r="Q1554" s="5" t="n"/>
      <c r="R1554" s="4" t="n"/>
      <c r="S1554" s="4" t="n"/>
      <c r="T1554" s="5" t="n"/>
      <c r="U1554" s="8">
        <f>IF(AND(V1554=1,D1554&lt;&gt;""),IF(D1554&gt;=corte,TODAY()-D1554,""),"")</f>
        <v/>
      </c>
      <c r="V1554" s="8">
        <f>IF(D1554="",0,IF(OR(AND(P1554&lt;&gt;"",S1554=""),AND(N(J1554)&gt;0,N(K1554)&lt;J1554),OR(M1554="PENDENTE",M1554="PARCIAL"),OR(N1554="PENDENTE",N1554="PARCIAL")),1,0))</f>
        <v/>
      </c>
      <c r="W1554" s="8">
        <f>IF(AND(V1554=1,D1554&lt;&gt;""),IF(D1554&gt;=corte,(B1554="CRÍTICO")*1E9+(100000-D1554)*10000+10000-ROW(),""),"")</f>
        <v/>
      </c>
      <c r="X1554" s="8">
        <f>IF(AND(V1554=1,D1554=pas_data,E1554=pas_turno),10000-ROW(),"")</f>
        <v/>
      </c>
    </row>
    <row r="1555">
      <c r="A1555" s="3">
        <f>IF(D1555="","","TT-"&amp;TEXT(ROW()-1,"00000"))</f>
        <v/>
      </c>
      <c r="B1555" s="3">
        <f>IF(D1555="","",IF(V1555=0,"CONCLUÍDO",IF(D1555&lt;corte,"HISTÓRICO",IF(OR(AND(ISNUMBER(R1555),R1555&lt;TODAY()),AND(OR(N1555="PENDENTE",N1555="PARCIAL"),D1555&lt;TODAY()-1)),"CRÍTICO",IF(OR(AND(P1555&lt;&gt;"",S1555=""),AND(N1555="REALIZADO",M1555="PENDENTE"),AND(ISNUMBER(R1555),R1555=TODAY())),"ATENÇÃO",IF(N(K1555)=0,"PENDENTE","EM ANDAMENTO"))))))</f>
        <v/>
      </c>
      <c r="C1555" s="3">
        <f>IF(D1555="","",IF(V1555=0,"🟢 OK",IF(D1555&lt;corte,"⚪ HISTÓRICO (sem baixa)",IF(AND(ISNUMBER(R1555),R1555&lt;TODAY()),"🔴 PRAZO VENCIDO",IF(AND(OR(N1555="PENDENTE",N1555="PARCIAL"),D1555&lt;TODAY()-1),"🔴 EMBARQUE ATRASADO",IF(AND(N1555="REALIZADO",M1555="PENDENTE"),"🟡 EMBARCADO SEM FATURAR",IF(AND(P1555&lt;&gt;"",S1555="",OR(Q1555="",R1555="")),"🟡 PENDÊNCIA SEM RESPONSÁVEL/PRAZO",IF(AND(ISNUMBER(R1555),R1555=TODAY()),"🟡 VENCE HOJE",IF(AND(P1555&lt;&gt;"",S1555=""),"🟡 PENDÊNCIA ABERTA",IF(AND(N(J1555)&gt;0,N(K1555)&lt;J1555),"🟡 FALTA EXECUTAR",IF(OR(M1555="PENDENTE",M1555="PARCIAL"),"🟡 FATURAMENTO PENDENTE","🟡 EMBARQUE PENDENTE")))))))))))</f>
        <v/>
      </c>
      <c r="D1555" s="4" t="n"/>
      <c r="E1555" s="5" t="n"/>
      <c r="F1555" s="5" t="n"/>
      <c r="G1555" s="5" t="n"/>
      <c r="H1555" s="5" t="n"/>
      <c r="I1555" s="5" t="n"/>
      <c r="J1555" s="6" t="n"/>
      <c r="K1555" s="6" t="n"/>
      <c r="L1555" s="7">
        <f>IF(OR(D1555="",N(J1555)=0),"",MIN(1,N(K1555)/J1555))</f>
        <v/>
      </c>
      <c r="M1555" s="5" t="n"/>
      <c r="N1555" s="5" t="n"/>
      <c r="O1555" s="5" t="n"/>
      <c r="P1555" s="5" t="n"/>
      <c r="Q1555" s="5" t="n"/>
      <c r="R1555" s="4" t="n"/>
      <c r="S1555" s="4" t="n"/>
      <c r="T1555" s="5" t="n"/>
      <c r="U1555" s="8">
        <f>IF(AND(V1555=1,D1555&lt;&gt;""),IF(D1555&gt;=corte,TODAY()-D1555,""),"")</f>
        <v/>
      </c>
      <c r="V1555" s="8">
        <f>IF(D1555="",0,IF(OR(AND(P1555&lt;&gt;"",S1555=""),AND(N(J1555)&gt;0,N(K1555)&lt;J1555),OR(M1555="PENDENTE",M1555="PARCIAL"),OR(N1555="PENDENTE",N1555="PARCIAL")),1,0))</f>
        <v/>
      </c>
      <c r="W1555" s="8">
        <f>IF(AND(V1555=1,D1555&lt;&gt;""),IF(D1555&gt;=corte,(B1555="CRÍTICO")*1E9+(100000-D1555)*10000+10000-ROW(),""),"")</f>
        <v/>
      </c>
      <c r="X1555" s="8">
        <f>IF(AND(V1555=1,D1555=pas_data,E1555=pas_turno),10000-ROW(),"")</f>
        <v/>
      </c>
    </row>
    <row r="1556">
      <c r="A1556" s="3">
        <f>IF(D1556="","","TT-"&amp;TEXT(ROW()-1,"00000"))</f>
        <v/>
      </c>
      <c r="B1556" s="3">
        <f>IF(D1556="","",IF(V1556=0,"CONCLUÍDO",IF(D1556&lt;corte,"HISTÓRICO",IF(OR(AND(ISNUMBER(R1556),R1556&lt;TODAY()),AND(OR(N1556="PENDENTE",N1556="PARCIAL"),D1556&lt;TODAY()-1)),"CRÍTICO",IF(OR(AND(P1556&lt;&gt;"",S1556=""),AND(N1556="REALIZADO",M1556="PENDENTE"),AND(ISNUMBER(R1556),R1556=TODAY())),"ATENÇÃO",IF(N(K1556)=0,"PENDENTE","EM ANDAMENTO"))))))</f>
        <v/>
      </c>
      <c r="C1556" s="3">
        <f>IF(D1556="","",IF(V1556=0,"🟢 OK",IF(D1556&lt;corte,"⚪ HISTÓRICO (sem baixa)",IF(AND(ISNUMBER(R1556),R1556&lt;TODAY()),"🔴 PRAZO VENCIDO",IF(AND(OR(N1556="PENDENTE",N1556="PARCIAL"),D1556&lt;TODAY()-1),"🔴 EMBARQUE ATRASADO",IF(AND(N1556="REALIZADO",M1556="PENDENTE"),"🟡 EMBARCADO SEM FATURAR",IF(AND(P1556&lt;&gt;"",S1556="",OR(Q1556="",R1556="")),"🟡 PENDÊNCIA SEM RESPONSÁVEL/PRAZO",IF(AND(ISNUMBER(R1556),R1556=TODAY()),"🟡 VENCE HOJE",IF(AND(P1556&lt;&gt;"",S1556=""),"🟡 PENDÊNCIA ABERTA",IF(AND(N(J1556)&gt;0,N(K1556)&lt;J1556),"🟡 FALTA EXECUTAR",IF(OR(M1556="PENDENTE",M1556="PARCIAL"),"🟡 FATURAMENTO PENDENTE","🟡 EMBARQUE PENDENTE")))))))))))</f>
        <v/>
      </c>
      <c r="D1556" s="4" t="n"/>
      <c r="E1556" s="5" t="n"/>
      <c r="F1556" s="5" t="n"/>
      <c r="G1556" s="5" t="n"/>
      <c r="H1556" s="5" t="n"/>
      <c r="I1556" s="5" t="n"/>
      <c r="J1556" s="6" t="n"/>
      <c r="K1556" s="6" t="n"/>
      <c r="L1556" s="7">
        <f>IF(OR(D1556="",N(J1556)=0),"",MIN(1,N(K1556)/J1556))</f>
        <v/>
      </c>
      <c r="M1556" s="5" t="n"/>
      <c r="N1556" s="5" t="n"/>
      <c r="O1556" s="5" t="n"/>
      <c r="P1556" s="5" t="n"/>
      <c r="Q1556" s="5" t="n"/>
      <c r="R1556" s="4" t="n"/>
      <c r="S1556" s="4" t="n"/>
      <c r="T1556" s="5" t="n"/>
      <c r="U1556" s="8">
        <f>IF(AND(V1556=1,D1556&lt;&gt;""),IF(D1556&gt;=corte,TODAY()-D1556,""),"")</f>
        <v/>
      </c>
      <c r="V1556" s="8">
        <f>IF(D1556="",0,IF(OR(AND(P1556&lt;&gt;"",S1556=""),AND(N(J1556)&gt;0,N(K1556)&lt;J1556),OR(M1556="PENDENTE",M1556="PARCIAL"),OR(N1556="PENDENTE",N1556="PARCIAL")),1,0))</f>
        <v/>
      </c>
      <c r="W1556" s="8">
        <f>IF(AND(V1556=1,D1556&lt;&gt;""),IF(D1556&gt;=corte,(B1556="CRÍTICO")*1E9+(100000-D1556)*10000+10000-ROW(),""),"")</f>
        <v/>
      </c>
      <c r="X1556" s="8">
        <f>IF(AND(V1556=1,D1556=pas_data,E1556=pas_turno),10000-ROW(),"")</f>
        <v/>
      </c>
    </row>
    <row r="1557">
      <c r="A1557" s="3">
        <f>IF(D1557="","","TT-"&amp;TEXT(ROW()-1,"00000"))</f>
        <v/>
      </c>
      <c r="B1557" s="3">
        <f>IF(D1557="","",IF(V1557=0,"CONCLUÍDO",IF(D1557&lt;corte,"HISTÓRICO",IF(OR(AND(ISNUMBER(R1557),R1557&lt;TODAY()),AND(OR(N1557="PENDENTE",N1557="PARCIAL"),D1557&lt;TODAY()-1)),"CRÍTICO",IF(OR(AND(P1557&lt;&gt;"",S1557=""),AND(N1557="REALIZADO",M1557="PENDENTE"),AND(ISNUMBER(R1557),R1557=TODAY())),"ATENÇÃO",IF(N(K1557)=0,"PENDENTE","EM ANDAMENTO"))))))</f>
        <v/>
      </c>
      <c r="C1557" s="3">
        <f>IF(D1557="","",IF(V1557=0,"🟢 OK",IF(D1557&lt;corte,"⚪ HISTÓRICO (sem baixa)",IF(AND(ISNUMBER(R1557),R1557&lt;TODAY()),"🔴 PRAZO VENCIDO",IF(AND(OR(N1557="PENDENTE",N1557="PARCIAL"),D1557&lt;TODAY()-1),"🔴 EMBARQUE ATRASADO",IF(AND(N1557="REALIZADO",M1557="PENDENTE"),"🟡 EMBARCADO SEM FATURAR",IF(AND(P1557&lt;&gt;"",S1557="",OR(Q1557="",R1557="")),"🟡 PENDÊNCIA SEM RESPONSÁVEL/PRAZO",IF(AND(ISNUMBER(R1557),R1557=TODAY()),"🟡 VENCE HOJE",IF(AND(P1557&lt;&gt;"",S1557=""),"🟡 PENDÊNCIA ABERTA",IF(AND(N(J1557)&gt;0,N(K1557)&lt;J1557),"🟡 FALTA EXECUTAR",IF(OR(M1557="PENDENTE",M1557="PARCIAL"),"🟡 FATURAMENTO PENDENTE","🟡 EMBARQUE PENDENTE")))))))))))</f>
        <v/>
      </c>
      <c r="D1557" s="4" t="n"/>
      <c r="E1557" s="5" t="n"/>
      <c r="F1557" s="5" t="n"/>
      <c r="G1557" s="5" t="n"/>
      <c r="H1557" s="5" t="n"/>
      <c r="I1557" s="5" t="n"/>
      <c r="J1557" s="6" t="n"/>
      <c r="K1557" s="6" t="n"/>
      <c r="L1557" s="7">
        <f>IF(OR(D1557="",N(J1557)=0),"",MIN(1,N(K1557)/J1557))</f>
        <v/>
      </c>
      <c r="M1557" s="5" t="n"/>
      <c r="N1557" s="5" t="n"/>
      <c r="O1557" s="5" t="n"/>
      <c r="P1557" s="5" t="n"/>
      <c r="Q1557" s="5" t="n"/>
      <c r="R1557" s="4" t="n"/>
      <c r="S1557" s="4" t="n"/>
      <c r="T1557" s="5" t="n"/>
      <c r="U1557" s="8">
        <f>IF(AND(V1557=1,D1557&lt;&gt;""),IF(D1557&gt;=corte,TODAY()-D1557,""),"")</f>
        <v/>
      </c>
      <c r="V1557" s="8">
        <f>IF(D1557="",0,IF(OR(AND(P1557&lt;&gt;"",S1557=""),AND(N(J1557)&gt;0,N(K1557)&lt;J1557),OR(M1557="PENDENTE",M1557="PARCIAL"),OR(N1557="PENDENTE",N1557="PARCIAL")),1,0))</f>
        <v/>
      </c>
      <c r="W1557" s="8">
        <f>IF(AND(V1557=1,D1557&lt;&gt;""),IF(D1557&gt;=corte,(B1557="CRÍTICO")*1E9+(100000-D1557)*10000+10000-ROW(),""),"")</f>
        <v/>
      </c>
      <c r="X1557" s="8">
        <f>IF(AND(V1557=1,D1557=pas_data,E1557=pas_turno),10000-ROW(),"")</f>
        <v/>
      </c>
    </row>
    <row r="1558">
      <c r="A1558" s="3">
        <f>IF(D1558="","","TT-"&amp;TEXT(ROW()-1,"00000"))</f>
        <v/>
      </c>
      <c r="B1558" s="3">
        <f>IF(D1558="","",IF(V1558=0,"CONCLUÍDO",IF(D1558&lt;corte,"HISTÓRICO",IF(OR(AND(ISNUMBER(R1558),R1558&lt;TODAY()),AND(OR(N1558="PENDENTE",N1558="PARCIAL"),D1558&lt;TODAY()-1)),"CRÍTICO",IF(OR(AND(P1558&lt;&gt;"",S1558=""),AND(N1558="REALIZADO",M1558="PENDENTE"),AND(ISNUMBER(R1558),R1558=TODAY())),"ATENÇÃO",IF(N(K1558)=0,"PENDENTE","EM ANDAMENTO"))))))</f>
        <v/>
      </c>
      <c r="C1558" s="3">
        <f>IF(D1558="","",IF(V1558=0,"🟢 OK",IF(D1558&lt;corte,"⚪ HISTÓRICO (sem baixa)",IF(AND(ISNUMBER(R1558),R1558&lt;TODAY()),"🔴 PRAZO VENCIDO",IF(AND(OR(N1558="PENDENTE",N1558="PARCIAL"),D1558&lt;TODAY()-1),"🔴 EMBARQUE ATRASADO",IF(AND(N1558="REALIZADO",M1558="PENDENTE"),"🟡 EMBARCADO SEM FATURAR",IF(AND(P1558&lt;&gt;"",S1558="",OR(Q1558="",R1558="")),"🟡 PENDÊNCIA SEM RESPONSÁVEL/PRAZO",IF(AND(ISNUMBER(R1558),R1558=TODAY()),"🟡 VENCE HOJE",IF(AND(P1558&lt;&gt;"",S1558=""),"🟡 PENDÊNCIA ABERTA",IF(AND(N(J1558)&gt;0,N(K1558)&lt;J1558),"🟡 FALTA EXECUTAR",IF(OR(M1558="PENDENTE",M1558="PARCIAL"),"🟡 FATURAMENTO PENDENTE","🟡 EMBARQUE PENDENTE")))))))))))</f>
        <v/>
      </c>
      <c r="D1558" s="4" t="n"/>
      <c r="E1558" s="5" t="n"/>
      <c r="F1558" s="5" t="n"/>
      <c r="G1558" s="5" t="n"/>
      <c r="H1558" s="5" t="n"/>
      <c r="I1558" s="5" t="n"/>
      <c r="J1558" s="6" t="n"/>
      <c r="K1558" s="6" t="n"/>
      <c r="L1558" s="7">
        <f>IF(OR(D1558="",N(J1558)=0),"",MIN(1,N(K1558)/J1558))</f>
        <v/>
      </c>
      <c r="M1558" s="5" t="n"/>
      <c r="N1558" s="5" t="n"/>
      <c r="O1558" s="5" t="n"/>
      <c r="P1558" s="5" t="n"/>
      <c r="Q1558" s="5" t="n"/>
      <c r="R1558" s="4" t="n"/>
      <c r="S1558" s="4" t="n"/>
      <c r="T1558" s="5" t="n"/>
      <c r="U1558" s="8">
        <f>IF(AND(V1558=1,D1558&lt;&gt;""),IF(D1558&gt;=corte,TODAY()-D1558,""),"")</f>
        <v/>
      </c>
      <c r="V1558" s="8">
        <f>IF(D1558="",0,IF(OR(AND(P1558&lt;&gt;"",S1558=""),AND(N(J1558)&gt;0,N(K1558)&lt;J1558),OR(M1558="PENDENTE",M1558="PARCIAL"),OR(N1558="PENDENTE",N1558="PARCIAL")),1,0))</f>
        <v/>
      </c>
      <c r="W1558" s="8">
        <f>IF(AND(V1558=1,D1558&lt;&gt;""),IF(D1558&gt;=corte,(B1558="CRÍTICO")*1E9+(100000-D1558)*10000+10000-ROW(),""),"")</f>
        <v/>
      </c>
      <c r="X1558" s="8">
        <f>IF(AND(V1558=1,D1558=pas_data,E1558=pas_turno),10000-ROW(),"")</f>
        <v/>
      </c>
    </row>
    <row r="1559">
      <c r="A1559" s="3">
        <f>IF(D1559="","","TT-"&amp;TEXT(ROW()-1,"00000"))</f>
        <v/>
      </c>
      <c r="B1559" s="3">
        <f>IF(D1559="","",IF(V1559=0,"CONCLUÍDO",IF(D1559&lt;corte,"HISTÓRICO",IF(OR(AND(ISNUMBER(R1559),R1559&lt;TODAY()),AND(OR(N1559="PENDENTE",N1559="PARCIAL"),D1559&lt;TODAY()-1)),"CRÍTICO",IF(OR(AND(P1559&lt;&gt;"",S1559=""),AND(N1559="REALIZADO",M1559="PENDENTE"),AND(ISNUMBER(R1559),R1559=TODAY())),"ATENÇÃO",IF(N(K1559)=0,"PENDENTE","EM ANDAMENTO"))))))</f>
        <v/>
      </c>
      <c r="C1559" s="3">
        <f>IF(D1559="","",IF(V1559=0,"🟢 OK",IF(D1559&lt;corte,"⚪ HISTÓRICO (sem baixa)",IF(AND(ISNUMBER(R1559),R1559&lt;TODAY()),"🔴 PRAZO VENCIDO",IF(AND(OR(N1559="PENDENTE",N1559="PARCIAL"),D1559&lt;TODAY()-1),"🔴 EMBARQUE ATRASADO",IF(AND(N1559="REALIZADO",M1559="PENDENTE"),"🟡 EMBARCADO SEM FATURAR",IF(AND(P1559&lt;&gt;"",S1559="",OR(Q1559="",R1559="")),"🟡 PENDÊNCIA SEM RESPONSÁVEL/PRAZO",IF(AND(ISNUMBER(R1559),R1559=TODAY()),"🟡 VENCE HOJE",IF(AND(P1559&lt;&gt;"",S1559=""),"🟡 PENDÊNCIA ABERTA",IF(AND(N(J1559)&gt;0,N(K1559)&lt;J1559),"🟡 FALTA EXECUTAR",IF(OR(M1559="PENDENTE",M1559="PARCIAL"),"🟡 FATURAMENTO PENDENTE","🟡 EMBARQUE PENDENTE")))))))))))</f>
        <v/>
      </c>
      <c r="D1559" s="4" t="n"/>
      <c r="E1559" s="5" t="n"/>
      <c r="F1559" s="5" t="n"/>
      <c r="G1559" s="5" t="n"/>
      <c r="H1559" s="5" t="n"/>
      <c r="I1559" s="5" t="n"/>
      <c r="J1559" s="6" t="n"/>
      <c r="K1559" s="6" t="n"/>
      <c r="L1559" s="7">
        <f>IF(OR(D1559="",N(J1559)=0),"",MIN(1,N(K1559)/J1559))</f>
        <v/>
      </c>
      <c r="M1559" s="5" t="n"/>
      <c r="N1559" s="5" t="n"/>
      <c r="O1559" s="5" t="n"/>
      <c r="P1559" s="5" t="n"/>
      <c r="Q1559" s="5" t="n"/>
      <c r="R1559" s="4" t="n"/>
      <c r="S1559" s="4" t="n"/>
      <c r="T1559" s="5" t="n"/>
      <c r="U1559" s="8">
        <f>IF(AND(V1559=1,D1559&lt;&gt;""),IF(D1559&gt;=corte,TODAY()-D1559,""),"")</f>
        <v/>
      </c>
      <c r="V1559" s="8">
        <f>IF(D1559="",0,IF(OR(AND(P1559&lt;&gt;"",S1559=""),AND(N(J1559)&gt;0,N(K1559)&lt;J1559),OR(M1559="PENDENTE",M1559="PARCIAL"),OR(N1559="PENDENTE",N1559="PARCIAL")),1,0))</f>
        <v/>
      </c>
      <c r="W1559" s="8">
        <f>IF(AND(V1559=1,D1559&lt;&gt;""),IF(D1559&gt;=corte,(B1559="CRÍTICO")*1E9+(100000-D1559)*10000+10000-ROW(),""),"")</f>
        <v/>
      </c>
      <c r="X1559" s="8">
        <f>IF(AND(V1559=1,D1559=pas_data,E1559=pas_turno),10000-ROW(),"")</f>
        <v/>
      </c>
    </row>
    <row r="1560">
      <c r="A1560" s="3">
        <f>IF(D1560="","","TT-"&amp;TEXT(ROW()-1,"00000"))</f>
        <v/>
      </c>
      <c r="B1560" s="3">
        <f>IF(D1560="","",IF(V1560=0,"CONCLUÍDO",IF(D1560&lt;corte,"HISTÓRICO",IF(OR(AND(ISNUMBER(R1560),R1560&lt;TODAY()),AND(OR(N1560="PENDENTE",N1560="PARCIAL"),D1560&lt;TODAY()-1)),"CRÍTICO",IF(OR(AND(P1560&lt;&gt;"",S1560=""),AND(N1560="REALIZADO",M1560="PENDENTE"),AND(ISNUMBER(R1560),R1560=TODAY())),"ATENÇÃO",IF(N(K1560)=0,"PENDENTE","EM ANDAMENTO"))))))</f>
        <v/>
      </c>
      <c r="C1560" s="3">
        <f>IF(D1560="","",IF(V1560=0,"🟢 OK",IF(D1560&lt;corte,"⚪ HISTÓRICO (sem baixa)",IF(AND(ISNUMBER(R1560),R1560&lt;TODAY()),"🔴 PRAZO VENCIDO",IF(AND(OR(N1560="PENDENTE",N1560="PARCIAL"),D1560&lt;TODAY()-1),"🔴 EMBARQUE ATRASADO",IF(AND(N1560="REALIZADO",M1560="PENDENTE"),"🟡 EMBARCADO SEM FATURAR",IF(AND(P1560&lt;&gt;"",S1560="",OR(Q1560="",R1560="")),"🟡 PENDÊNCIA SEM RESPONSÁVEL/PRAZO",IF(AND(ISNUMBER(R1560),R1560=TODAY()),"🟡 VENCE HOJE",IF(AND(P1560&lt;&gt;"",S1560=""),"🟡 PENDÊNCIA ABERTA",IF(AND(N(J1560)&gt;0,N(K1560)&lt;J1560),"🟡 FALTA EXECUTAR",IF(OR(M1560="PENDENTE",M1560="PARCIAL"),"🟡 FATURAMENTO PENDENTE","🟡 EMBARQUE PENDENTE")))))))))))</f>
        <v/>
      </c>
      <c r="D1560" s="4" t="n"/>
      <c r="E1560" s="5" t="n"/>
      <c r="F1560" s="5" t="n"/>
      <c r="G1560" s="5" t="n"/>
      <c r="H1560" s="5" t="n"/>
      <c r="I1560" s="5" t="n"/>
      <c r="J1560" s="6" t="n"/>
      <c r="K1560" s="6" t="n"/>
      <c r="L1560" s="7">
        <f>IF(OR(D1560="",N(J1560)=0),"",MIN(1,N(K1560)/J1560))</f>
        <v/>
      </c>
      <c r="M1560" s="5" t="n"/>
      <c r="N1560" s="5" t="n"/>
      <c r="O1560" s="5" t="n"/>
      <c r="P1560" s="5" t="n"/>
      <c r="Q1560" s="5" t="n"/>
      <c r="R1560" s="4" t="n"/>
      <c r="S1560" s="4" t="n"/>
      <c r="T1560" s="5" t="n"/>
      <c r="U1560" s="8">
        <f>IF(AND(V1560=1,D1560&lt;&gt;""),IF(D1560&gt;=corte,TODAY()-D1560,""),"")</f>
        <v/>
      </c>
      <c r="V1560" s="8">
        <f>IF(D1560="",0,IF(OR(AND(P1560&lt;&gt;"",S1560=""),AND(N(J1560)&gt;0,N(K1560)&lt;J1560),OR(M1560="PENDENTE",M1560="PARCIAL"),OR(N1560="PENDENTE",N1560="PARCIAL")),1,0))</f>
        <v/>
      </c>
      <c r="W1560" s="8">
        <f>IF(AND(V1560=1,D1560&lt;&gt;""),IF(D1560&gt;=corte,(B1560="CRÍTICO")*1E9+(100000-D1560)*10000+10000-ROW(),""),"")</f>
        <v/>
      </c>
      <c r="X1560" s="8">
        <f>IF(AND(V1560=1,D1560=pas_data,E1560=pas_turno),10000-ROW(),"")</f>
        <v/>
      </c>
    </row>
    <row r="1561">
      <c r="A1561" s="3">
        <f>IF(D1561="","","TT-"&amp;TEXT(ROW()-1,"00000"))</f>
        <v/>
      </c>
      <c r="B1561" s="3">
        <f>IF(D1561="","",IF(V1561=0,"CONCLUÍDO",IF(D1561&lt;corte,"HISTÓRICO",IF(OR(AND(ISNUMBER(R1561),R1561&lt;TODAY()),AND(OR(N1561="PENDENTE",N1561="PARCIAL"),D1561&lt;TODAY()-1)),"CRÍTICO",IF(OR(AND(P1561&lt;&gt;"",S1561=""),AND(N1561="REALIZADO",M1561="PENDENTE"),AND(ISNUMBER(R1561),R1561=TODAY())),"ATENÇÃO",IF(N(K1561)=0,"PENDENTE","EM ANDAMENTO"))))))</f>
        <v/>
      </c>
      <c r="C1561" s="3">
        <f>IF(D1561="","",IF(V1561=0,"🟢 OK",IF(D1561&lt;corte,"⚪ HISTÓRICO (sem baixa)",IF(AND(ISNUMBER(R1561),R1561&lt;TODAY()),"🔴 PRAZO VENCIDO",IF(AND(OR(N1561="PENDENTE",N1561="PARCIAL"),D1561&lt;TODAY()-1),"🔴 EMBARQUE ATRASADO",IF(AND(N1561="REALIZADO",M1561="PENDENTE"),"🟡 EMBARCADO SEM FATURAR",IF(AND(P1561&lt;&gt;"",S1561="",OR(Q1561="",R1561="")),"🟡 PENDÊNCIA SEM RESPONSÁVEL/PRAZO",IF(AND(ISNUMBER(R1561),R1561=TODAY()),"🟡 VENCE HOJE",IF(AND(P1561&lt;&gt;"",S1561=""),"🟡 PENDÊNCIA ABERTA",IF(AND(N(J1561)&gt;0,N(K1561)&lt;J1561),"🟡 FALTA EXECUTAR",IF(OR(M1561="PENDENTE",M1561="PARCIAL"),"🟡 FATURAMENTO PENDENTE","🟡 EMBARQUE PENDENTE")))))))))))</f>
        <v/>
      </c>
      <c r="D1561" s="4" t="n"/>
      <c r="E1561" s="5" t="n"/>
      <c r="F1561" s="5" t="n"/>
      <c r="G1561" s="5" t="n"/>
      <c r="H1561" s="5" t="n"/>
      <c r="I1561" s="5" t="n"/>
      <c r="J1561" s="6" t="n"/>
      <c r="K1561" s="6" t="n"/>
      <c r="L1561" s="7">
        <f>IF(OR(D1561="",N(J1561)=0),"",MIN(1,N(K1561)/J1561))</f>
        <v/>
      </c>
      <c r="M1561" s="5" t="n"/>
      <c r="N1561" s="5" t="n"/>
      <c r="O1561" s="5" t="n"/>
      <c r="P1561" s="5" t="n"/>
      <c r="Q1561" s="5" t="n"/>
      <c r="R1561" s="4" t="n"/>
      <c r="S1561" s="4" t="n"/>
      <c r="T1561" s="5" t="n"/>
      <c r="U1561" s="8">
        <f>IF(AND(V1561=1,D1561&lt;&gt;""),IF(D1561&gt;=corte,TODAY()-D1561,""),"")</f>
        <v/>
      </c>
      <c r="V1561" s="8">
        <f>IF(D1561="",0,IF(OR(AND(P1561&lt;&gt;"",S1561=""),AND(N(J1561)&gt;0,N(K1561)&lt;J1561),OR(M1561="PENDENTE",M1561="PARCIAL"),OR(N1561="PENDENTE",N1561="PARCIAL")),1,0))</f>
        <v/>
      </c>
      <c r="W1561" s="8">
        <f>IF(AND(V1561=1,D1561&lt;&gt;""),IF(D1561&gt;=corte,(B1561="CRÍTICO")*1E9+(100000-D1561)*10000+10000-ROW(),""),"")</f>
        <v/>
      </c>
      <c r="X1561" s="8">
        <f>IF(AND(V1561=1,D1561=pas_data,E1561=pas_turno),10000-ROW(),"")</f>
        <v/>
      </c>
    </row>
    <row r="1562">
      <c r="A1562" s="3">
        <f>IF(D1562="","","TT-"&amp;TEXT(ROW()-1,"00000"))</f>
        <v/>
      </c>
      <c r="B1562" s="3">
        <f>IF(D1562="","",IF(V1562=0,"CONCLUÍDO",IF(D1562&lt;corte,"HISTÓRICO",IF(OR(AND(ISNUMBER(R1562),R1562&lt;TODAY()),AND(OR(N1562="PENDENTE",N1562="PARCIAL"),D1562&lt;TODAY()-1)),"CRÍTICO",IF(OR(AND(P1562&lt;&gt;"",S1562=""),AND(N1562="REALIZADO",M1562="PENDENTE"),AND(ISNUMBER(R1562),R1562=TODAY())),"ATENÇÃO",IF(N(K1562)=0,"PENDENTE","EM ANDAMENTO"))))))</f>
        <v/>
      </c>
      <c r="C1562" s="3">
        <f>IF(D1562="","",IF(V1562=0,"🟢 OK",IF(D1562&lt;corte,"⚪ HISTÓRICO (sem baixa)",IF(AND(ISNUMBER(R1562),R1562&lt;TODAY()),"🔴 PRAZO VENCIDO",IF(AND(OR(N1562="PENDENTE",N1562="PARCIAL"),D1562&lt;TODAY()-1),"🔴 EMBARQUE ATRASADO",IF(AND(N1562="REALIZADO",M1562="PENDENTE"),"🟡 EMBARCADO SEM FATURAR",IF(AND(P1562&lt;&gt;"",S1562="",OR(Q1562="",R1562="")),"🟡 PENDÊNCIA SEM RESPONSÁVEL/PRAZO",IF(AND(ISNUMBER(R1562),R1562=TODAY()),"🟡 VENCE HOJE",IF(AND(P1562&lt;&gt;"",S1562=""),"🟡 PENDÊNCIA ABERTA",IF(AND(N(J1562)&gt;0,N(K1562)&lt;J1562),"🟡 FALTA EXECUTAR",IF(OR(M1562="PENDENTE",M1562="PARCIAL"),"🟡 FATURAMENTO PENDENTE","🟡 EMBARQUE PENDENTE")))))))))))</f>
        <v/>
      </c>
      <c r="D1562" s="4" t="n"/>
      <c r="E1562" s="5" t="n"/>
      <c r="F1562" s="5" t="n"/>
      <c r="G1562" s="5" t="n"/>
      <c r="H1562" s="5" t="n"/>
      <c r="I1562" s="5" t="n"/>
      <c r="J1562" s="6" t="n"/>
      <c r="K1562" s="6" t="n"/>
      <c r="L1562" s="7">
        <f>IF(OR(D1562="",N(J1562)=0),"",MIN(1,N(K1562)/J1562))</f>
        <v/>
      </c>
      <c r="M1562" s="5" t="n"/>
      <c r="N1562" s="5" t="n"/>
      <c r="O1562" s="5" t="n"/>
      <c r="P1562" s="5" t="n"/>
      <c r="Q1562" s="5" t="n"/>
      <c r="R1562" s="4" t="n"/>
      <c r="S1562" s="4" t="n"/>
      <c r="T1562" s="5" t="n"/>
      <c r="U1562" s="8">
        <f>IF(AND(V1562=1,D1562&lt;&gt;""),IF(D1562&gt;=corte,TODAY()-D1562,""),"")</f>
        <v/>
      </c>
      <c r="V1562" s="8">
        <f>IF(D1562="",0,IF(OR(AND(P1562&lt;&gt;"",S1562=""),AND(N(J1562)&gt;0,N(K1562)&lt;J1562),OR(M1562="PENDENTE",M1562="PARCIAL"),OR(N1562="PENDENTE",N1562="PARCIAL")),1,0))</f>
        <v/>
      </c>
      <c r="W1562" s="8">
        <f>IF(AND(V1562=1,D1562&lt;&gt;""),IF(D1562&gt;=corte,(B1562="CRÍTICO")*1E9+(100000-D1562)*10000+10000-ROW(),""),"")</f>
        <v/>
      </c>
      <c r="X1562" s="8">
        <f>IF(AND(V1562=1,D1562=pas_data,E1562=pas_turno),10000-ROW(),"")</f>
        <v/>
      </c>
    </row>
    <row r="1563">
      <c r="A1563" s="3">
        <f>IF(D1563="","","TT-"&amp;TEXT(ROW()-1,"00000"))</f>
        <v/>
      </c>
      <c r="B1563" s="3">
        <f>IF(D1563="","",IF(V1563=0,"CONCLUÍDO",IF(D1563&lt;corte,"HISTÓRICO",IF(OR(AND(ISNUMBER(R1563),R1563&lt;TODAY()),AND(OR(N1563="PENDENTE",N1563="PARCIAL"),D1563&lt;TODAY()-1)),"CRÍTICO",IF(OR(AND(P1563&lt;&gt;"",S1563=""),AND(N1563="REALIZADO",M1563="PENDENTE"),AND(ISNUMBER(R1563),R1563=TODAY())),"ATENÇÃO",IF(N(K1563)=0,"PENDENTE","EM ANDAMENTO"))))))</f>
        <v/>
      </c>
      <c r="C1563" s="3">
        <f>IF(D1563="","",IF(V1563=0,"🟢 OK",IF(D1563&lt;corte,"⚪ HISTÓRICO (sem baixa)",IF(AND(ISNUMBER(R1563),R1563&lt;TODAY()),"🔴 PRAZO VENCIDO",IF(AND(OR(N1563="PENDENTE",N1563="PARCIAL"),D1563&lt;TODAY()-1),"🔴 EMBARQUE ATRASADO",IF(AND(N1563="REALIZADO",M1563="PENDENTE"),"🟡 EMBARCADO SEM FATURAR",IF(AND(P1563&lt;&gt;"",S1563="",OR(Q1563="",R1563="")),"🟡 PENDÊNCIA SEM RESPONSÁVEL/PRAZO",IF(AND(ISNUMBER(R1563),R1563=TODAY()),"🟡 VENCE HOJE",IF(AND(P1563&lt;&gt;"",S1563=""),"🟡 PENDÊNCIA ABERTA",IF(AND(N(J1563)&gt;0,N(K1563)&lt;J1563),"🟡 FALTA EXECUTAR",IF(OR(M1563="PENDENTE",M1563="PARCIAL"),"🟡 FATURAMENTO PENDENTE","🟡 EMBARQUE PENDENTE")))))))))))</f>
        <v/>
      </c>
      <c r="D1563" s="4" t="n"/>
      <c r="E1563" s="5" t="n"/>
      <c r="F1563" s="5" t="n"/>
      <c r="G1563" s="5" t="n"/>
      <c r="H1563" s="5" t="n"/>
      <c r="I1563" s="5" t="n"/>
      <c r="J1563" s="6" t="n"/>
      <c r="K1563" s="6" t="n"/>
      <c r="L1563" s="7">
        <f>IF(OR(D1563="",N(J1563)=0),"",MIN(1,N(K1563)/J1563))</f>
        <v/>
      </c>
      <c r="M1563" s="5" t="n"/>
      <c r="N1563" s="5" t="n"/>
      <c r="O1563" s="5" t="n"/>
      <c r="P1563" s="5" t="n"/>
      <c r="Q1563" s="5" t="n"/>
      <c r="R1563" s="4" t="n"/>
      <c r="S1563" s="4" t="n"/>
      <c r="T1563" s="5" t="n"/>
      <c r="U1563" s="8">
        <f>IF(AND(V1563=1,D1563&lt;&gt;""),IF(D1563&gt;=corte,TODAY()-D1563,""),"")</f>
        <v/>
      </c>
      <c r="V1563" s="8">
        <f>IF(D1563="",0,IF(OR(AND(P1563&lt;&gt;"",S1563=""),AND(N(J1563)&gt;0,N(K1563)&lt;J1563),OR(M1563="PENDENTE",M1563="PARCIAL"),OR(N1563="PENDENTE",N1563="PARCIAL")),1,0))</f>
        <v/>
      </c>
      <c r="W1563" s="8">
        <f>IF(AND(V1563=1,D1563&lt;&gt;""),IF(D1563&gt;=corte,(B1563="CRÍTICO")*1E9+(100000-D1563)*10000+10000-ROW(),""),"")</f>
        <v/>
      </c>
      <c r="X1563" s="8">
        <f>IF(AND(V1563=1,D1563=pas_data,E1563=pas_turno),10000-ROW(),"")</f>
        <v/>
      </c>
    </row>
    <row r="1564">
      <c r="A1564" s="3">
        <f>IF(D1564="","","TT-"&amp;TEXT(ROW()-1,"00000"))</f>
        <v/>
      </c>
      <c r="B1564" s="3">
        <f>IF(D1564="","",IF(V1564=0,"CONCLUÍDO",IF(D1564&lt;corte,"HISTÓRICO",IF(OR(AND(ISNUMBER(R1564),R1564&lt;TODAY()),AND(OR(N1564="PENDENTE",N1564="PARCIAL"),D1564&lt;TODAY()-1)),"CRÍTICO",IF(OR(AND(P1564&lt;&gt;"",S1564=""),AND(N1564="REALIZADO",M1564="PENDENTE"),AND(ISNUMBER(R1564),R1564=TODAY())),"ATENÇÃO",IF(N(K1564)=0,"PENDENTE","EM ANDAMENTO"))))))</f>
        <v/>
      </c>
      <c r="C1564" s="3">
        <f>IF(D1564="","",IF(V1564=0,"🟢 OK",IF(D1564&lt;corte,"⚪ HISTÓRICO (sem baixa)",IF(AND(ISNUMBER(R1564),R1564&lt;TODAY()),"🔴 PRAZO VENCIDO",IF(AND(OR(N1564="PENDENTE",N1564="PARCIAL"),D1564&lt;TODAY()-1),"🔴 EMBARQUE ATRASADO",IF(AND(N1564="REALIZADO",M1564="PENDENTE"),"🟡 EMBARCADO SEM FATURAR",IF(AND(P1564&lt;&gt;"",S1564="",OR(Q1564="",R1564="")),"🟡 PENDÊNCIA SEM RESPONSÁVEL/PRAZO",IF(AND(ISNUMBER(R1564),R1564=TODAY()),"🟡 VENCE HOJE",IF(AND(P1564&lt;&gt;"",S1564=""),"🟡 PENDÊNCIA ABERTA",IF(AND(N(J1564)&gt;0,N(K1564)&lt;J1564),"🟡 FALTA EXECUTAR",IF(OR(M1564="PENDENTE",M1564="PARCIAL"),"🟡 FATURAMENTO PENDENTE","🟡 EMBARQUE PENDENTE")))))))))))</f>
        <v/>
      </c>
      <c r="D1564" s="4" t="n"/>
      <c r="E1564" s="5" t="n"/>
      <c r="F1564" s="5" t="n"/>
      <c r="G1564" s="5" t="n"/>
      <c r="H1564" s="5" t="n"/>
      <c r="I1564" s="5" t="n"/>
      <c r="J1564" s="6" t="n"/>
      <c r="K1564" s="6" t="n"/>
      <c r="L1564" s="7">
        <f>IF(OR(D1564="",N(J1564)=0),"",MIN(1,N(K1564)/J1564))</f>
        <v/>
      </c>
      <c r="M1564" s="5" t="n"/>
      <c r="N1564" s="5" t="n"/>
      <c r="O1564" s="5" t="n"/>
      <c r="P1564" s="5" t="n"/>
      <c r="Q1564" s="5" t="n"/>
      <c r="R1564" s="4" t="n"/>
      <c r="S1564" s="4" t="n"/>
      <c r="T1564" s="5" t="n"/>
      <c r="U1564" s="8">
        <f>IF(AND(V1564=1,D1564&lt;&gt;""),IF(D1564&gt;=corte,TODAY()-D1564,""),"")</f>
        <v/>
      </c>
      <c r="V1564" s="8">
        <f>IF(D1564="",0,IF(OR(AND(P1564&lt;&gt;"",S1564=""),AND(N(J1564)&gt;0,N(K1564)&lt;J1564),OR(M1564="PENDENTE",M1564="PARCIAL"),OR(N1564="PENDENTE",N1564="PARCIAL")),1,0))</f>
        <v/>
      </c>
      <c r="W1564" s="8">
        <f>IF(AND(V1564=1,D1564&lt;&gt;""),IF(D1564&gt;=corte,(B1564="CRÍTICO")*1E9+(100000-D1564)*10000+10000-ROW(),""),"")</f>
        <v/>
      </c>
      <c r="X1564" s="8">
        <f>IF(AND(V1564=1,D1564=pas_data,E1564=pas_turno),10000-ROW(),"")</f>
        <v/>
      </c>
    </row>
    <row r="1565">
      <c r="A1565" s="3">
        <f>IF(D1565="","","TT-"&amp;TEXT(ROW()-1,"00000"))</f>
        <v/>
      </c>
      <c r="B1565" s="3">
        <f>IF(D1565="","",IF(V1565=0,"CONCLUÍDO",IF(D1565&lt;corte,"HISTÓRICO",IF(OR(AND(ISNUMBER(R1565),R1565&lt;TODAY()),AND(OR(N1565="PENDENTE",N1565="PARCIAL"),D1565&lt;TODAY()-1)),"CRÍTICO",IF(OR(AND(P1565&lt;&gt;"",S1565=""),AND(N1565="REALIZADO",M1565="PENDENTE"),AND(ISNUMBER(R1565),R1565=TODAY())),"ATENÇÃO",IF(N(K1565)=0,"PENDENTE","EM ANDAMENTO"))))))</f>
        <v/>
      </c>
      <c r="C1565" s="3">
        <f>IF(D1565="","",IF(V1565=0,"🟢 OK",IF(D1565&lt;corte,"⚪ HISTÓRICO (sem baixa)",IF(AND(ISNUMBER(R1565),R1565&lt;TODAY()),"🔴 PRAZO VENCIDO",IF(AND(OR(N1565="PENDENTE",N1565="PARCIAL"),D1565&lt;TODAY()-1),"🔴 EMBARQUE ATRASADO",IF(AND(N1565="REALIZADO",M1565="PENDENTE"),"🟡 EMBARCADO SEM FATURAR",IF(AND(P1565&lt;&gt;"",S1565="",OR(Q1565="",R1565="")),"🟡 PENDÊNCIA SEM RESPONSÁVEL/PRAZO",IF(AND(ISNUMBER(R1565),R1565=TODAY()),"🟡 VENCE HOJE",IF(AND(P1565&lt;&gt;"",S1565=""),"🟡 PENDÊNCIA ABERTA",IF(AND(N(J1565)&gt;0,N(K1565)&lt;J1565),"🟡 FALTA EXECUTAR",IF(OR(M1565="PENDENTE",M1565="PARCIAL"),"🟡 FATURAMENTO PENDENTE","🟡 EMBARQUE PENDENTE")))))))))))</f>
        <v/>
      </c>
      <c r="D1565" s="4" t="n"/>
      <c r="E1565" s="5" t="n"/>
      <c r="F1565" s="5" t="n"/>
      <c r="G1565" s="5" t="n"/>
      <c r="H1565" s="5" t="n"/>
      <c r="I1565" s="5" t="n"/>
      <c r="J1565" s="6" t="n"/>
      <c r="K1565" s="6" t="n"/>
      <c r="L1565" s="7">
        <f>IF(OR(D1565="",N(J1565)=0),"",MIN(1,N(K1565)/J1565))</f>
        <v/>
      </c>
      <c r="M1565" s="5" t="n"/>
      <c r="N1565" s="5" t="n"/>
      <c r="O1565" s="5" t="n"/>
      <c r="P1565" s="5" t="n"/>
      <c r="Q1565" s="5" t="n"/>
      <c r="R1565" s="4" t="n"/>
      <c r="S1565" s="4" t="n"/>
      <c r="T1565" s="5" t="n"/>
      <c r="U1565" s="8">
        <f>IF(AND(V1565=1,D1565&lt;&gt;""),IF(D1565&gt;=corte,TODAY()-D1565,""),"")</f>
        <v/>
      </c>
      <c r="V1565" s="8">
        <f>IF(D1565="",0,IF(OR(AND(P1565&lt;&gt;"",S1565=""),AND(N(J1565)&gt;0,N(K1565)&lt;J1565),OR(M1565="PENDENTE",M1565="PARCIAL"),OR(N1565="PENDENTE",N1565="PARCIAL")),1,0))</f>
        <v/>
      </c>
      <c r="W1565" s="8">
        <f>IF(AND(V1565=1,D1565&lt;&gt;""),IF(D1565&gt;=corte,(B1565="CRÍTICO")*1E9+(100000-D1565)*10000+10000-ROW(),""),"")</f>
        <v/>
      </c>
      <c r="X1565" s="8">
        <f>IF(AND(V1565=1,D1565=pas_data,E1565=pas_turno),10000-ROW(),"")</f>
        <v/>
      </c>
    </row>
    <row r="1566">
      <c r="A1566" s="3">
        <f>IF(D1566="","","TT-"&amp;TEXT(ROW()-1,"00000"))</f>
        <v/>
      </c>
      <c r="B1566" s="3">
        <f>IF(D1566="","",IF(V1566=0,"CONCLUÍDO",IF(D1566&lt;corte,"HISTÓRICO",IF(OR(AND(ISNUMBER(R1566),R1566&lt;TODAY()),AND(OR(N1566="PENDENTE",N1566="PARCIAL"),D1566&lt;TODAY()-1)),"CRÍTICO",IF(OR(AND(P1566&lt;&gt;"",S1566=""),AND(N1566="REALIZADO",M1566="PENDENTE"),AND(ISNUMBER(R1566),R1566=TODAY())),"ATENÇÃO",IF(N(K1566)=0,"PENDENTE","EM ANDAMENTO"))))))</f>
        <v/>
      </c>
      <c r="C1566" s="3">
        <f>IF(D1566="","",IF(V1566=0,"🟢 OK",IF(D1566&lt;corte,"⚪ HISTÓRICO (sem baixa)",IF(AND(ISNUMBER(R1566),R1566&lt;TODAY()),"🔴 PRAZO VENCIDO",IF(AND(OR(N1566="PENDENTE",N1566="PARCIAL"),D1566&lt;TODAY()-1),"🔴 EMBARQUE ATRASADO",IF(AND(N1566="REALIZADO",M1566="PENDENTE"),"🟡 EMBARCADO SEM FATURAR",IF(AND(P1566&lt;&gt;"",S1566="",OR(Q1566="",R1566="")),"🟡 PENDÊNCIA SEM RESPONSÁVEL/PRAZO",IF(AND(ISNUMBER(R1566),R1566=TODAY()),"🟡 VENCE HOJE",IF(AND(P1566&lt;&gt;"",S1566=""),"🟡 PENDÊNCIA ABERTA",IF(AND(N(J1566)&gt;0,N(K1566)&lt;J1566),"🟡 FALTA EXECUTAR",IF(OR(M1566="PENDENTE",M1566="PARCIAL"),"🟡 FATURAMENTO PENDENTE","🟡 EMBARQUE PENDENTE")))))))))))</f>
        <v/>
      </c>
      <c r="D1566" s="4" t="n"/>
      <c r="E1566" s="5" t="n"/>
      <c r="F1566" s="5" t="n"/>
      <c r="G1566" s="5" t="n"/>
      <c r="H1566" s="5" t="n"/>
      <c r="I1566" s="5" t="n"/>
      <c r="J1566" s="6" t="n"/>
      <c r="K1566" s="6" t="n"/>
      <c r="L1566" s="7">
        <f>IF(OR(D1566="",N(J1566)=0),"",MIN(1,N(K1566)/J1566))</f>
        <v/>
      </c>
      <c r="M1566" s="5" t="n"/>
      <c r="N1566" s="5" t="n"/>
      <c r="O1566" s="5" t="n"/>
      <c r="P1566" s="5" t="n"/>
      <c r="Q1566" s="5" t="n"/>
      <c r="R1566" s="4" t="n"/>
      <c r="S1566" s="4" t="n"/>
      <c r="T1566" s="5" t="n"/>
      <c r="U1566" s="8">
        <f>IF(AND(V1566=1,D1566&lt;&gt;""),IF(D1566&gt;=corte,TODAY()-D1566,""),"")</f>
        <v/>
      </c>
      <c r="V1566" s="8">
        <f>IF(D1566="",0,IF(OR(AND(P1566&lt;&gt;"",S1566=""),AND(N(J1566)&gt;0,N(K1566)&lt;J1566),OR(M1566="PENDENTE",M1566="PARCIAL"),OR(N1566="PENDENTE",N1566="PARCIAL")),1,0))</f>
        <v/>
      </c>
      <c r="W1566" s="8">
        <f>IF(AND(V1566=1,D1566&lt;&gt;""),IF(D1566&gt;=corte,(B1566="CRÍTICO")*1E9+(100000-D1566)*10000+10000-ROW(),""),"")</f>
        <v/>
      </c>
      <c r="X1566" s="8">
        <f>IF(AND(V1566=1,D1566=pas_data,E1566=pas_turno),10000-ROW(),"")</f>
        <v/>
      </c>
    </row>
    <row r="1567">
      <c r="A1567" s="3">
        <f>IF(D1567="","","TT-"&amp;TEXT(ROW()-1,"00000"))</f>
        <v/>
      </c>
      <c r="B1567" s="3">
        <f>IF(D1567="","",IF(V1567=0,"CONCLUÍDO",IF(D1567&lt;corte,"HISTÓRICO",IF(OR(AND(ISNUMBER(R1567),R1567&lt;TODAY()),AND(OR(N1567="PENDENTE",N1567="PARCIAL"),D1567&lt;TODAY()-1)),"CRÍTICO",IF(OR(AND(P1567&lt;&gt;"",S1567=""),AND(N1567="REALIZADO",M1567="PENDENTE"),AND(ISNUMBER(R1567),R1567=TODAY())),"ATENÇÃO",IF(N(K1567)=0,"PENDENTE","EM ANDAMENTO"))))))</f>
        <v/>
      </c>
      <c r="C1567" s="3">
        <f>IF(D1567="","",IF(V1567=0,"🟢 OK",IF(D1567&lt;corte,"⚪ HISTÓRICO (sem baixa)",IF(AND(ISNUMBER(R1567),R1567&lt;TODAY()),"🔴 PRAZO VENCIDO",IF(AND(OR(N1567="PENDENTE",N1567="PARCIAL"),D1567&lt;TODAY()-1),"🔴 EMBARQUE ATRASADO",IF(AND(N1567="REALIZADO",M1567="PENDENTE"),"🟡 EMBARCADO SEM FATURAR",IF(AND(P1567&lt;&gt;"",S1567="",OR(Q1567="",R1567="")),"🟡 PENDÊNCIA SEM RESPONSÁVEL/PRAZO",IF(AND(ISNUMBER(R1567),R1567=TODAY()),"🟡 VENCE HOJE",IF(AND(P1567&lt;&gt;"",S1567=""),"🟡 PENDÊNCIA ABERTA",IF(AND(N(J1567)&gt;0,N(K1567)&lt;J1567),"🟡 FALTA EXECUTAR",IF(OR(M1567="PENDENTE",M1567="PARCIAL"),"🟡 FATURAMENTO PENDENTE","🟡 EMBARQUE PENDENTE")))))))))))</f>
        <v/>
      </c>
      <c r="D1567" s="4" t="n"/>
      <c r="E1567" s="5" t="n"/>
      <c r="F1567" s="5" t="n"/>
      <c r="G1567" s="5" t="n"/>
      <c r="H1567" s="5" t="n"/>
      <c r="I1567" s="5" t="n"/>
      <c r="J1567" s="6" t="n"/>
      <c r="K1567" s="6" t="n"/>
      <c r="L1567" s="7">
        <f>IF(OR(D1567="",N(J1567)=0),"",MIN(1,N(K1567)/J1567))</f>
        <v/>
      </c>
      <c r="M1567" s="5" t="n"/>
      <c r="N1567" s="5" t="n"/>
      <c r="O1567" s="5" t="n"/>
      <c r="P1567" s="5" t="n"/>
      <c r="Q1567" s="5" t="n"/>
      <c r="R1567" s="4" t="n"/>
      <c r="S1567" s="4" t="n"/>
      <c r="T1567" s="5" t="n"/>
      <c r="U1567" s="8">
        <f>IF(AND(V1567=1,D1567&lt;&gt;""),IF(D1567&gt;=corte,TODAY()-D1567,""),"")</f>
        <v/>
      </c>
      <c r="V1567" s="8">
        <f>IF(D1567="",0,IF(OR(AND(P1567&lt;&gt;"",S1567=""),AND(N(J1567)&gt;0,N(K1567)&lt;J1567),OR(M1567="PENDENTE",M1567="PARCIAL"),OR(N1567="PENDENTE",N1567="PARCIAL")),1,0))</f>
        <v/>
      </c>
      <c r="W1567" s="8">
        <f>IF(AND(V1567=1,D1567&lt;&gt;""),IF(D1567&gt;=corte,(B1567="CRÍTICO")*1E9+(100000-D1567)*10000+10000-ROW(),""),"")</f>
        <v/>
      </c>
      <c r="X1567" s="8">
        <f>IF(AND(V1567=1,D1567=pas_data,E1567=pas_turno),10000-ROW(),"")</f>
        <v/>
      </c>
    </row>
    <row r="1568">
      <c r="A1568" s="3">
        <f>IF(D1568="","","TT-"&amp;TEXT(ROW()-1,"00000"))</f>
        <v/>
      </c>
      <c r="B1568" s="3">
        <f>IF(D1568="","",IF(V1568=0,"CONCLUÍDO",IF(D1568&lt;corte,"HISTÓRICO",IF(OR(AND(ISNUMBER(R1568),R1568&lt;TODAY()),AND(OR(N1568="PENDENTE",N1568="PARCIAL"),D1568&lt;TODAY()-1)),"CRÍTICO",IF(OR(AND(P1568&lt;&gt;"",S1568=""),AND(N1568="REALIZADO",M1568="PENDENTE"),AND(ISNUMBER(R1568),R1568=TODAY())),"ATENÇÃO",IF(N(K1568)=0,"PENDENTE","EM ANDAMENTO"))))))</f>
        <v/>
      </c>
      <c r="C1568" s="3">
        <f>IF(D1568="","",IF(V1568=0,"🟢 OK",IF(D1568&lt;corte,"⚪ HISTÓRICO (sem baixa)",IF(AND(ISNUMBER(R1568),R1568&lt;TODAY()),"🔴 PRAZO VENCIDO",IF(AND(OR(N1568="PENDENTE",N1568="PARCIAL"),D1568&lt;TODAY()-1),"🔴 EMBARQUE ATRASADO",IF(AND(N1568="REALIZADO",M1568="PENDENTE"),"🟡 EMBARCADO SEM FATURAR",IF(AND(P1568&lt;&gt;"",S1568="",OR(Q1568="",R1568="")),"🟡 PENDÊNCIA SEM RESPONSÁVEL/PRAZO",IF(AND(ISNUMBER(R1568),R1568=TODAY()),"🟡 VENCE HOJE",IF(AND(P1568&lt;&gt;"",S1568=""),"🟡 PENDÊNCIA ABERTA",IF(AND(N(J1568)&gt;0,N(K1568)&lt;J1568),"🟡 FALTA EXECUTAR",IF(OR(M1568="PENDENTE",M1568="PARCIAL"),"🟡 FATURAMENTO PENDENTE","🟡 EMBARQUE PENDENTE")))))))))))</f>
        <v/>
      </c>
      <c r="D1568" s="4" t="n"/>
      <c r="E1568" s="5" t="n"/>
      <c r="F1568" s="5" t="n"/>
      <c r="G1568" s="5" t="n"/>
      <c r="H1568" s="5" t="n"/>
      <c r="I1568" s="5" t="n"/>
      <c r="J1568" s="6" t="n"/>
      <c r="K1568" s="6" t="n"/>
      <c r="L1568" s="7">
        <f>IF(OR(D1568="",N(J1568)=0),"",MIN(1,N(K1568)/J1568))</f>
        <v/>
      </c>
      <c r="M1568" s="5" t="n"/>
      <c r="N1568" s="5" t="n"/>
      <c r="O1568" s="5" t="n"/>
      <c r="P1568" s="5" t="n"/>
      <c r="Q1568" s="5" t="n"/>
      <c r="R1568" s="4" t="n"/>
      <c r="S1568" s="4" t="n"/>
      <c r="T1568" s="5" t="n"/>
      <c r="U1568" s="8">
        <f>IF(AND(V1568=1,D1568&lt;&gt;""),IF(D1568&gt;=corte,TODAY()-D1568,""),"")</f>
        <v/>
      </c>
      <c r="V1568" s="8">
        <f>IF(D1568="",0,IF(OR(AND(P1568&lt;&gt;"",S1568=""),AND(N(J1568)&gt;0,N(K1568)&lt;J1568),OR(M1568="PENDENTE",M1568="PARCIAL"),OR(N1568="PENDENTE",N1568="PARCIAL")),1,0))</f>
        <v/>
      </c>
      <c r="W1568" s="8">
        <f>IF(AND(V1568=1,D1568&lt;&gt;""),IF(D1568&gt;=corte,(B1568="CRÍTICO")*1E9+(100000-D1568)*10000+10000-ROW(),""),"")</f>
        <v/>
      </c>
      <c r="X1568" s="8">
        <f>IF(AND(V1568=1,D1568=pas_data,E1568=pas_turno),10000-ROW(),"")</f>
        <v/>
      </c>
    </row>
    <row r="1569">
      <c r="A1569" s="3">
        <f>IF(D1569="","","TT-"&amp;TEXT(ROW()-1,"00000"))</f>
        <v/>
      </c>
      <c r="B1569" s="3">
        <f>IF(D1569="","",IF(V1569=0,"CONCLUÍDO",IF(D1569&lt;corte,"HISTÓRICO",IF(OR(AND(ISNUMBER(R1569),R1569&lt;TODAY()),AND(OR(N1569="PENDENTE",N1569="PARCIAL"),D1569&lt;TODAY()-1)),"CRÍTICO",IF(OR(AND(P1569&lt;&gt;"",S1569=""),AND(N1569="REALIZADO",M1569="PENDENTE"),AND(ISNUMBER(R1569),R1569=TODAY())),"ATENÇÃO",IF(N(K1569)=0,"PENDENTE","EM ANDAMENTO"))))))</f>
        <v/>
      </c>
      <c r="C1569" s="3">
        <f>IF(D1569="","",IF(V1569=0,"🟢 OK",IF(D1569&lt;corte,"⚪ HISTÓRICO (sem baixa)",IF(AND(ISNUMBER(R1569),R1569&lt;TODAY()),"🔴 PRAZO VENCIDO",IF(AND(OR(N1569="PENDENTE",N1569="PARCIAL"),D1569&lt;TODAY()-1),"🔴 EMBARQUE ATRASADO",IF(AND(N1569="REALIZADO",M1569="PENDENTE"),"🟡 EMBARCADO SEM FATURAR",IF(AND(P1569&lt;&gt;"",S1569="",OR(Q1569="",R1569="")),"🟡 PENDÊNCIA SEM RESPONSÁVEL/PRAZO",IF(AND(ISNUMBER(R1569),R1569=TODAY()),"🟡 VENCE HOJE",IF(AND(P1569&lt;&gt;"",S1569=""),"🟡 PENDÊNCIA ABERTA",IF(AND(N(J1569)&gt;0,N(K1569)&lt;J1569),"🟡 FALTA EXECUTAR",IF(OR(M1569="PENDENTE",M1569="PARCIAL"),"🟡 FATURAMENTO PENDENTE","🟡 EMBARQUE PENDENTE")))))))))))</f>
        <v/>
      </c>
      <c r="D1569" s="4" t="n"/>
      <c r="E1569" s="5" t="n"/>
      <c r="F1569" s="5" t="n"/>
      <c r="G1569" s="5" t="n"/>
      <c r="H1569" s="5" t="n"/>
      <c r="I1569" s="5" t="n"/>
      <c r="J1569" s="6" t="n"/>
      <c r="K1569" s="6" t="n"/>
      <c r="L1569" s="7">
        <f>IF(OR(D1569="",N(J1569)=0),"",MIN(1,N(K1569)/J1569))</f>
        <v/>
      </c>
      <c r="M1569" s="5" t="n"/>
      <c r="N1569" s="5" t="n"/>
      <c r="O1569" s="5" t="n"/>
      <c r="P1569" s="5" t="n"/>
      <c r="Q1569" s="5" t="n"/>
      <c r="R1569" s="4" t="n"/>
      <c r="S1569" s="4" t="n"/>
      <c r="T1569" s="5" t="n"/>
      <c r="U1569" s="8">
        <f>IF(AND(V1569=1,D1569&lt;&gt;""),IF(D1569&gt;=corte,TODAY()-D1569,""),"")</f>
        <v/>
      </c>
      <c r="V1569" s="8">
        <f>IF(D1569="",0,IF(OR(AND(P1569&lt;&gt;"",S1569=""),AND(N(J1569)&gt;0,N(K1569)&lt;J1569),OR(M1569="PENDENTE",M1569="PARCIAL"),OR(N1569="PENDENTE",N1569="PARCIAL")),1,0))</f>
        <v/>
      </c>
      <c r="W1569" s="8">
        <f>IF(AND(V1569=1,D1569&lt;&gt;""),IF(D1569&gt;=corte,(B1569="CRÍTICO")*1E9+(100000-D1569)*10000+10000-ROW(),""),"")</f>
        <v/>
      </c>
      <c r="X1569" s="8">
        <f>IF(AND(V1569=1,D1569=pas_data,E1569=pas_turno),10000-ROW(),"")</f>
        <v/>
      </c>
    </row>
    <row r="1570">
      <c r="A1570" s="3">
        <f>IF(D1570="","","TT-"&amp;TEXT(ROW()-1,"00000"))</f>
        <v/>
      </c>
      <c r="B1570" s="3">
        <f>IF(D1570="","",IF(V1570=0,"CONCLUÍDO",IF(D1570&lt;corte,"HISTÓRICO",IF(OR(AND(ISNUMBER(R1570),R1570&lt;TODAY()),AND(OR(N1570="PENDENTE",N1570="PARCIAL"),D1570&lt;TODAY()-1)),"CRÍTICO",IF(OR(AND(P1570&lt;&gt;"",S1570=""),AND(N1570="REALIZADO",M1570="PENDENTE"),AND(ISNUMBER(R1570),R1570=TODAY())),"ATENÇÃO",IF(N(K1570)=0,"PENDENTE","EM ANDAMENTO"))))))</f>
        <v/>
      </c>
      <c r="C1570" s="3">
        <f>IF(D1570="","",IF(V1570=0,"🟢 OK",IF(D1570&lt;corte,"⚪ HISTÓRICO (sem baixa)",IF(AND(ISNUMBER(R1570),R1570&lt;TODAY()),"🔴 PRAZO VENCIDO",IF(AND(OR(N1570="PENDENTE",N1570="PARCIAL"),D1570&lt;TODAY()-1),"🔴 EMBARQUE ATRASADO",IF(AND(N1570="REALIZADO",M1570="PENDENTE"),"🟡 EMBARCADO SEM FATURAR",IF(AND(P1570&lt;&gt;"",S1570="",OR(Q1570="",R1570="")),"🟡 PENDÊNCIA SEM RESPONSÁVEL/PRAZO",IF(AND(ISNUMBER(R1570),R1570=TODAY()),"🟡 VENCE HOJE",IF(AND(P1570&lt;&gt;"",S1570=""),"🟡 PENDÊNCIA ABERTA",IF(AND(N(J1570)&gt;0,N(K1570)&lt;J1570),"🟡 FALTA EXECUTAR",IF(OR(M1570="PENDENTE",M1570="PARCIAL"),"🟡 FATURAMENTO PENDENTE","🟡 EMBARQUE PENDENTE")))))))))))</f>
        <v/>
      </c>
      <c r="D1570" s="4" t="n"/>
      <c r="E1570" s="5" t="n"/>
      <c r="F1570" s="5" t="n"/>
      <c r="G1570" s="5" t="n"/>
      <c r="H1570" s="5" t="n"/>
      <c r="I1570" s="5" t="n"/>
      <c r="J1570" s="6" t="n"/>
      <c r="K1570" s="6" t="n"/>
      <c r="L1570" s="7">
        <f>IF(OR(D1570="",N(J1570)=0),"",MIN(1,N(K1570)/J1570))</f>
        <v/>
      </c>
      <c r="M1570" s="5" t="n"/>
      <c r="N1570" s="5" t="n"/>
      <c r="O1570" s="5" t="n"/>
      <c r="P1570" s="5" t="n"/>
      <c r="Q1570" s="5" t="n"/>
      <c r="R1570" s="4" t="n"/>
      <c r="S1570" s="4" t="n"/>
      <c r="T1570" s="5" t="n"/>
      <c r="U1570" s="8">
        <f>IF(AND(V1570=1,D1570&lt;&gt;""),IF(D1570&gt;=corte,TODAY()-D1570,""),"")</f>
        <v/>
      </c>
      <c r="V1570" s="8">
        <f>IF(D1570="",0,IF(OR(AND(P1570&lt;&gt;"",S1570=""),AND(N(J1570)&gt;0,N(K1570)&lt;J1570),OR(M1570="PENDENTE",M1570="PARCIAL"),OR(N1570="PENDENTE",N1570="PARCIAL")),1,0))</f>
        <v/>
      </c>
      <c r="W1570" s="8">
        <f>IF(AND(V1570=1,D1570&lt;&gt;""),IF(D1570&gt;=corte,(B1570="CRÍTICO")*1E9+(100000-D1570)*10000+10000-ROW(),""),"")</f>
        <v/>
      </c>
      <c r="X1570" s="8">
        <f>IF(AND(V1570=1,D1570=pas_data,E1570=pas_turno),10000-ROW(),"")</f>
        <v/>
      </c>
    </row>
    <row r="1571">
      <c r="A1571" s="3">
        <f>IF(D1571="","","TT-"&amp;TEXT(ROW()-1,"00000"))</f>
        <v/>
      </c>
      <c r="B1571" s="3">
        <f>IF(D1571="","",IF(V1571=0,"CONCLUÍDO",IF(D1571&lt;corte,"HISTÓRICO",IF(OR(AND(ISNUMBER(R1571),R1571&lt;TODAY()),AND(OR(N1571="PENDENTE",N1571="PARCIAL"),D1571&lt;TODAY()-1)),"CRÍTICO",IF(OR(AND(P1571&lt;&gt;"",S1571=""),AND(N1571="REALIZADO",M1571="PENDENTE"),AND(ISNUMBER(R1571),R1571=TODAY())),"ATENÇÃO",IF(N(K1571)=0,"PENDENTE","EM ANDAMENTO"))))))</f>
        <v/>
      </c>
      <c r="C1571" s="3">
        <f>IF(D1571="","",IF(V1571=0,"🟢 OK",IF(D1571&lt;corte,"⚪ HISTÓRICO (sem baixa)",IF(AND(ISNUMBER(R1571),R1571&lt;TODAY()),"🔴 PRAZO VENCIDO",IF(AND(OR(N1571="PENDENTE",N1571="PARCIAL"),D1571&lt;TODAY()-1),"🔴 EMBARQUE ATRASADO",IF(AND(N1571="REALIZADO",M1571="PENDENTE"),"🟡 EMBARCADO SEM FATURAR",IF(AND(P1571&lt;&gt;"",S1571="",OR(Q1571="",R1571="")),"🟡 PENDÊNCIA SEM RESPONSÁVEL/PRAZO",IF(AND(ISNUMBER(R1571),R1571=TODAY()),"🟡 VENCE HOJE",IF(AND(P1571&lt;&gt;"",S1571=""),"🟡 PENDÊNCIA ABERTA",IF(AND(N(J1571)&gt;0,N(K1571)&lt;J1571),"🟡 FALTA EXECUTAR",IF(OR(M1571="PENDENTE",M1571="PARCIAL"),"🟡 FATURAMENTO PENDENTE","🟡 EMBARQUE PENDENTE")))))))))))</f>
        <v/>
      </c>
      <c r="D1571" s="4" t="n"/>
      <c r="E1571" s="5" t="n"/>
      <c r="F1571" s="5" t="n"/>
      <c r="G1571" s="5" t="n"/>
      <c r="H1571" s="5" t="n"/>
      <c r="I1571" s="5" t="n"/>
      <c r="J1571" s="6" t="n"/>
      <c r="K1571" s="6" t="n"/>
      <c r="L1571" s="7">
        <f>IF(OR(D1571="",N(J1571)=0),"",MIN(1,N(K1571)/J1571))</f>
        <v/>
      </c>
      <c r="M1571" s="5" t="n"/>
      <c r="N1571" s="5" t="n"/>
      <c r="O1571" s="5" t="n"/>
      <c r="P1571" s="5" t="n"/>
      <c r="Q1571" s="5" t="n"/>
      <c r="R1571" s="4" t="n"/>
      <c r="S1571" s="4" t="n"/>
      <c r="T1571" s="5" t="n"/>
      <c r="U1571" s="8">
        <f>IF(AND(V1571=1,D1571&lt;&gt;""),IF(D1571&gt;=corte,TODAY()-D1571,""),"")</f>
        <v/>
      </c>
      <c r="V1571" s="8">
        <f>IF(D1571="",0,IF(OR(AND(P1571&lt;&gt;"",S1571=""),AND(N(J1571)&gt;0,N(K1571)&lt;J1571),OR(M1571="PENDENTE",M1571="PARCIAL"),OR(N1571="PENDENTE",N1571="PARCIAL")),1,0))</f>
        <v/>
      </c>
      <c r="W1571" s="8">
        <f>IF(AND(V1571=1,D1571&lt;&gt;""),IF(D1571&gt;=corte,(B1571="CRÍTICO")*1E9+(100000-D1571)*10000+10000-ROW(),""),"")</f>
        <v/>
      </c>
      <c r="X1571" s="8">
        <f>IF(AND(V1571=1,D1571=pas_data,E1571=pas_turno),10000-ROW(),"")</f>
        <v/>
      </c>
    </row>
    <row r="1572">
      <c r="A1572" s="3">
        <f>IF(D1572="","","TT-"&amp;TEXT(ROW()-1,"00000"))</f>
        <v/>
      </c>
      <c r="B1572" s="3">
        <f>IF(D1572="","",IF(V1572=0,"CONCLUÍDO",IF(D1572&lt;corte,"HISTÓRICO",IF(OR(AND(ISNUMBER(R1572),R1572&lt;TODAY()),AND(OR(N1572="PENDENTE",N1572="PARCIAL"),D1572&lt;TODAY()-1)),"CRÍTICO",IF(OR(AND(P1572&lt;&gt;"",S1572=""),AND(N1572="REALIZADO",M1572="PENDENTE"),AND(ISNUMBER(R1572),R1572=TODAY())),"ATENÇÃO",IF(N(K1572)=0,"PENDENTE","EM ANDAMENTO"))))))</f>
        <v/>
      </c>
      <c r="C1572" s="3">
        <f>IF(D1572="","",IF(V1572=0,"🟢 OK",IF(D1572&lt;corte,"⚪ HISTÓRICO (sem baixa)",IF(AND(ISNUMBER(R1572),R1572&lt;TODAY()),"🔴 PRAZO VENCIDO",IF(AND(OR(N1572="PENDENTE",N1572="PARCIAL"),D1572&lt;TODAY()-1),"🔴 EMBARQUE ATRASADO",IF(AND(N1572="REALIZADO",M1572="PENDENTE"),"🟡 EMBARCADO SEM FATURAR",IF(AND(P1572&lt;&gt;"",S1572="",OR(Q1572="",R1572="")),"🟡 PENDÊNCIA SEM RESPONSÁVEL/PRAZO",IF(AND(ISNUMBER(R1572),R1572=TODAY()),"🟡 VENCE HOJE",IF(AND(P1572&lt;&gt;"",S1572=""),"🟡 PENDÊNCIA ABERTA",IF(AND(N(J1572)&gt;0,N(K1572)&lt;J1572),"🟡 FALTA EXECUTAR",IF(OR(M1572="PENDENTE",M1572="PARCIAL"),"🟡 FATURAMENTO PENDENTE","🟡 EMBARQUE PENDENTE")))))))))))</f>
        <v/>
      </c>
      <c r="D1572" s="4" t="n"/>
      <c r="E1572" s="5" t="n"/>
      <c r="F1572" s="5" t="n"/>
      <c r="G1572" s="5" t="n"/>
      <c r="H1572" s="5" t="n"/>
      <c r="I1572" s="5" t="n"/>
      <c r="J1572" s="6" t="n"/>
      <c r="K1572" s="6" t="n"/>
      <c r="L1572" s="7">
        <f>IF(OR(D1572="",N(J1572)=0),"",MIN(1,N(K1572)/J1572))</f>
        <v/>
      </c>
      <c r="M1572" s="5" t="n"/>
      <c r="N1572" s="5" t="n"/>
      <c r="O1572" s="5" t="n"/>
      <c r="P1572" s="5" t="n"/>
      <c r="Q1572" s="5" t="n"/>
      <c r="R1572" s="4" t="n"/>
      <c r="S1572" s="4" t="n"/>
      <c r="T1572" s="5" t="n"/>
      <c r="U1572" s="8">
        <f>IF(AND(V1572=1,D1572&lt;&gt;""),IF(D1572&gt;=corte,TODAY()-D1572,""),"")</f>
        <v/>
      </c>
      <c r="V1572" s="8">
        <f>IF(D1572="",0,IF(OR(AND(P1572&lt;&gt;"",S1572=""),AND(N(J1572)&gt;0,N(K1572)&lt;J1572),OR(M1572="PENDENTE",M1572="PARCIAL"),OR(N1572="PENDENTE",N1572="PARCIAL")),1,0))</f>
        <v/>
      </c>
      <c r="W1572" s="8">
        <f>IF(AND(V1572=1,D1572&lt;&gt;""),IF(D1572&gt;=corte,(B1572="CRÍTICO")*1E9+(100000-D1572)*10000+10000-ROW(),""),"")</f>
        <v/>
      </c>
      <c r="X1572" s="8">
        <f>IF(AND(V1572=1,D1572=pas_data,E1572=pas_turno),10000-ROW(),"")</f>
        <v/>
      </c>
    </row>
    <row r="1573">
      <c r="A1573" s="3">
        <f>IF(D1573="","","TT-"&amp;TEXT(ROW()-1,"00000"))</f>
        <v/>
      </c>
      <c r="B1573" s="3">
        <f>IF(D1573="","",IF(V1573=0,"CONCLUÍDO",IF(D1573&lt;corte,"HISTÓRICO",IF(OR(AND(ISNUMBER(R1573),R1573&lt;TODAY()),AND(OR(N1573="PENDENTE",N1573="PARCIAL"),D1573&lt;TODAY()-1)),"CRÍTICO",IF(OR(AND(P1573&lt;&gt;"",S1573=""),AND(N1573="REALIZADO",M1573="PENDENTE"),AND(ISNUMBER(R1573),R1573=TODAY())),"ATENÇÃO",IF(N(K1573)=0,"PENDENTE","EM ANDAMENTO"))))))</f>
        <v/>
      </c>
      <c r="C1573" s="3">
        <f>IF(D1573="","",IF(V1573=0,"🟢 OK",IF(D1573&lt;corte,"⚪ HISTÓRICO (sem baixa)",IF(AND(ISNUMBER(R1573),R1573&lt;TODAY()),"🔴 PRAZO VENCIDO",IF(AND(OR(N1573="PENDENTE",N1573="PARCIAL"),D1573&lt;TODAY()-1),"🔴 EMBARQUE ATRASADO",IF(AND(N1573="REALIZADO",M1573="PENDENTE"),"🟡 EMBARCADO SEM FATURAR",IF(AND(P1573&lt;&gt;"",S1573="",OR(Q1573="",R1573="")),"🟡 PENDÊNCIA SEM RESPONSÁVEL/PRAZO",IF(AND(ISNUMBER(R1573),R1573=TODAY()),"🟡 VENCE HOJE",IF(AND(P1573&lt;&gt;"",S1573=""),"🟡 PENDÊNCIA ABERTA",IF(AND(N(J1573)&gt;0,N(K1573)&lt;J1573),"🟡 FALTA EXECUTAR",IF(OR(M1573="PENDENTE",M1573="PARCIAL"),"🟡 FATURAMENTO PENDENTE","🟡 EMBARQUE PENDENTE")))))))))))</f>
        <v/>
      </c>
      <c r="D1573" s="4" t="n"/>
      <c r="E1573" s="5" t="n"/>
      <c r="F1573" s="5" t="n"/>
      <c r="G1573" s="5" t="n"/>
      <c r="H1573" s="5" t="n"/>
      <c r="I1573" s="5" t="n"/>
      <c r="J1573" s="6" t="n"/>
      <c r="K1573" s="6" t="n"/>
      <c r="L1573" s="7">
        <f>IF(OR(D1573="",N(J1573)=0),"",MIN(1,N(K1573)/J1573))</f>
        <v/>
      </c>
      <c r="M1573" s="5" t="n"/>
      <c r="N1573" s="5" t="n"/>
      <c r="O1573" s="5" t="n"/>
      <c r="P1573" s="5" t="n"/>
      <c r="Q1573" s="5" t="n"/>
      <c r="R1573" s="4" t="n"/>
      <c r="S1573" s="4" t="n"/>
      <c r="T1573" s="5" t="n"/>
      <c r="U1573" s="8">
        <f>IF(AND(V1573=1,D1573&lt;&gt;""),IF(D1573&gt;=corte,TODAY()-D1573,""),"")</f>
        <v/>
      </c>
      <c r="V1573" s="8">
        <f>IF(D1573="",0,IF(OR(AND(P1573&lt;&gt;"",S1573=""),AND(N(J1573)&gt;0,N(K1573)&lt;J1573),OR(M1573="PENDENTE",M1573="PARCIAL"),OR(N1573="PENDENTE",N1573="PARCIAL")),1,0))</f>
        <v/>
      </c>
      <c r="W1573" s="8">
        <f>IF(AND(V1573=1,D1573&lt;&gt;""),IF(D1573&gt;=corte,(B1573="CRÍTICO")*1E9+(100000-D1573)*10000+10000-ROW(),""),"")</f>
        <v/>
      </c>
      <c r="X1573" s="8">
        <f>IF(AND(V1573=1,D1573=pas_data,E1573=pas_turno),10000-ROW(),"")</f>
        <v/>
      </c>
    </row>
    <row r="1574">
      <c r="A1574" s="3">
        <f>IF(D1574="","","TT-"&amp;TEXT(ROW()-1,"00000"))</f>
        <v/>
      </c>
      <c r="B1574" s="3">
        <f>IF(D1574="","",IF(V1574=0,"CONCLUÍDO",IF(D1574&lt;corte,"HISTÓRICO",IF(OR(AND(ISNUMBER(R1574),R1574&lt;TODAY()),AND(OR(N1574="PENDENTE",N1574="PARCIAL"),D1574&lt;TODAY()-1)),"CRÍTICO",IF(OR(AND(P1574&lt;&gt;"",S1574=""),AND(N1574="REALIZADO",M1574="PENDENTE"),AND(ISNUMBER(R1574),R1574=TODAY())),"ATENÇÃO",IF(N(K1574)=0,"PENDENTE","EM ANDAMENTO"))))))</f>
        <v/>
      </c>
      <c r="C1574" s="3">
        <f>IF(D1574="","",IF(V1574=0,"🟢 OK",IF(D1574&lt;corte,"⚪ HISTÓRICO (sem baixa)",IF(AND(ISNUMBER(R1574),R1574&lt;TODAY()),"🔴 PRAZO VENCIDO",IF(AND(OR(N1574="PENDENTE",N1574="PARCIAL"),D1574&lt;TODAY()-1),"🔴 EMBARQUE ATRASADO",IF(AND(N1574="REALIZADO",M1574="PENDENTE"),"🟡 EMBARCADO SEM FATURAR",IF(AND(P1574&lt;&gt;"",S1574="",OR(Q1574="",R1574="")),"🟡 PENDÊNCIA SEM RESPONSÁVEL/PRAZO",IF(AND(ISNUMBER(R1574),R1574=TODAY()),"🟡 VENCE HOJE",IF(AND(P1574&lt;&gt;"",S1574=""),"🟡 PENDÊNCIA ABERTA",IF(AND(N(J1574)&gt;0,N(K1574)&lt;J1574),"🟡 FALTA EXECUTAR",IF(OR(M1574="PENDENTE",M1574="PARCIAL"),"🟡 FATURAMENTO PENDENTE","🟡 EMBARQUE PENDENTE")))))))))))</f>
        <v/>
      </c>
      <c r="D1574" s="4" t="n"/>
      <c r="E1574" s="5" t="n"/>
      <c r="F1574" s="5" t="n"/>
      <c r="G1574" s="5" t="n"/>
      <c r="H1574" s="5" t="n"/>
      <c r="I1574" s="5" t="n"/>
      <c r="J1574" s="6" t="n"/>
      <c r="K1574" s="6" t="n"/>
      <c r="L1574" s="7">
        <f>IF(OR(D1574="",N(J1574)=0),"",MIN(1,N(K1574)/J1574))</f>
        <v/>
      </c>
      <c r="M1574" s="5" t="n"/>
      <c r="N1574" s="5" t="n"/>
      <c r="O1574" s="5" t="n"/>
      <c r="P1574" s="5" t="n"/>
      <c r="Q1574" s="5" t="n"/>
      <c r="R1574" s="4" t="n"/>
      <c r="S1574" s="4" t="n"/>
      <c r="T1574" s="5" t="n"/>
      <c r="U1574" s="8">
        <f>IF(AND(V1574=1,D1574&lt;&gt;""),IF(D1574&gt;=corte,TODAY()-D1574,""),"")</f>
        <v/>
      </c>
      <c r="V1574" s="8">
        <f>IF(D1574="",0,IF(OR(AND(P1574&lt;&gt;"",S1574=""),AND(N(J1574)&gt;0,N(K1574)&lt;J1574),OR(M1574="PENDENTE",M1574="PARCIAL"),OR(N1574="PENDENTE",N1574="PARCIAL")),1,0))</f>
        <v/>
      </c>
      <c r="W1574" s="8">
        <f>IF(AND(V1574=1,D1574&lt;&gt;""),IF(D1574&gt;=corte,(B1574="CRÍTICO")*1E9+(100000-D1574)*10000+10000-ROW(),""),"")</f>
        <v/>
      </c>
      <c r="X1574" s="8">
        <f>IF(AND(V1574=1,D1574=pas_data,E1574=pas_turno),10000-ROW(),"")</f>
        <v/>
      </c>
    </row>
    <row r="1575">
      <c r="A1575" s="3">
        <f>IF(D1575="","","TT-"&amp;TEXT(ROW()-1,"00000"))</f>
        <v/>
      </c>
      <c r="B1575" s="3">
        <f>IF(D1575="","",IF(V1575=0,"CONCLUÍDO",IF(D1575&lt;corte,"HISTÓRICO",IF(OR(AND(ISNUMBER(R1575),R1575&lt;TODAY()),AND(OR(N1575="PENDENTE",N1575="PARCIAL"),D1575&lt;TODAY()-1)),"CRÍTICO",IF(OR(AND(P1575&lt;&gt;"",S1575=""),AND(N1575="REALIZADO",M1575="PENDENTE"),AND(ISNUMBER(R1575),R1575=TODAY())),"ATENÇÃO",IF(N(K1575)=0,"PENDENTE","EM ANDAMENTO"))))))</f>
        <v/>
      </c>
      <c r="C1575" s="3">
        <f>IF(D1575="","",IF(V1575=0,"🟢 OK",IF(D1575&lt;corte,"⚪ HISTÓRICO (sem baixa)",IF(AND(ISNUMBER(R1575),R1575&lt;TODAY()),"🔴 PRAZO VENCIDO",IF(AND(OR(N1575="PENDENTE",N1575="PARCIAL"),D1575&lt;TODAY()-1),"🔴 EMBARQUE ATRASADO",IF(AND(N1575="REALIZADO",M1575="PENDENTE"),"🟡 EMBARCADO SEM FATURAR",IF(AND(P1575&lt;&gt;"",S1575="",OR(Q1575="",R1575="")),"🟡 PENDÊNCIA SEM RESPONSÁVEL/PRAZO",IF(AND(ISNUMBER(R1575),R1575=TODAY()),"🟡 VENCE HOJE",IF(AND(P1575&lt;&gt;"",S1575=""),"🟡 PENDÊNCIA ABERTA",IF(AND(N(J1575)&gt;0,N(K1575)&lt;J1575),"🟡 FALTA EXECUTAR",IF(OR(M1575="PENDENTE",M1575="PARCIAL"),"🟡 FATURAMENTO PENDENTE","🟡 EMBARQUE PENDENTE")))))))))))</f>
        <v/>
      </c>
      <c r="D1575" s="4" t="n"/>
      <c r="E1575" s="5" t="n"/>
      <c r="F1575" s="5" t="n"/>
      <c r="G1575" s="5" t="n"/>
      <c r="H1575" s="5" t="n"/>
      <c r="I1575" s="5" t="n"/>
      <c r="J1575" s="6" t="n"/>
      <c r="K1575" s="6" t="n"/>
      <c r="L1575" s="7">
        <f>IF(OR(D1575="",N(J1575)=0),"",MIN(1,N(K1575)/J1575))</f>
        <v/>
      </c>
      <c r="M1575" s="5" t="n"/>
      <c r="N1575" s="5" t="n"/>
      <c r="O1575" s="5" t="n"/>
      <c r="P1575" s="5" t="n"/>
      <c r="Q1575" s="5" t="n"/>
      <c r="R1575" s="4" t="n"/>
      <c r="S1575" s="4" t="n"/>
      <c r="T1575" s="5" t="n"/>
      <c r="U1575" s="8">
        <f>IF(AND(V1575=1,D1575&lt;&gt;""),IF(D1575&gt;=corte,TODAY()-D1575,""),"")</f>
        <v/>
      </c>
      <c r="V1575" s="8">
        <f>IF(D1575="",0,IF(OR(AND(P1575&lt;&gt;"",S1575=""),AND(N(J1575)&gt;0,N(K1575)&lt;J1575),OR(M1575="PENDENTE",M1575="PARCIAL"),OR(N1575="PENDENTE",N1575="PARCIAL")),1,0))</f>
        <v/>
      </c>
      <c r="W1575" s="8">
        <f>IF(AND(V1575=1,D1575&lt;&gt;""),IF(D1575&gt;=corte,(B1575="CRÍTICO")*1E9+(100000-D1575)*10000+10000-ROW(),""),"")</f>
        <v/>
      </c>
      <c r="X1575" s="8">
        <f>IF(AND(V1575=1,D1575=pas_data,E1575=pas_turno),10000-ROW(),"")</f>
        <v/>
      </c>
    </row>
    <row r="1576">
      <c r="A1576" s="3">
        <f>IF(D1576="","","TT-"&amp;TEXT(ROW()-1,"00000"))</f>
        <v/>
      </c>
      <c r="B1576" s="3">
        <f>IF(D1576="","",IF(V1576=0,"CONCLUÍDO",IF(D1576&lt;corte,"HISTÓRICO",IF(OR(AND(ISNUMBER(R1576),R1576&lt;TODAY()),AND(OR(N1576="PENDENTE",N1576="PARCIAL"),D1576&lt;TODAY()-1)),"CRÍTICO",IF(OR(AND(P1576&lt;&gt;"",S1576=""),AND(N1576="REALIZADO",M1576="PENDENTE"),AND(ISNUMBER(R1576),R1576=TODAY())),"ATENÇÃO",IF(N(K1576)=0,"PENDENTE","EM ANDAMENTO"))))))</f>
        <v/>
      </c>
      <c r="C1576" s="3">
        <f>IF(D1576="","",IF(V1576=0,"🟢 OK",IF(D1576&lt;corte,"⚪ HISTÓRICO (sem baixa)",IF(AND(ISNUMBER(R1576),R1576&lt;TODAY()),"🔴 PRAZO VENCIDO",IF(AND(OR(N1576="PENDENTE",N1576="PARCIAL"),D1576&lt;TODAY()-1),"🔴 EMBARQUE ATRASADO",IF(AND(N1576="REALIZADO",M1576="PENDENTE"),"🟡 EMBARCADO SEM FATURAR",IF(AND(P1576&lt;&gt;"",S1576="",OR(Q1576="",R1576="")),"🟡 PENDÊNCIA SEM RESPONSÁVEL/PRAZO",IF(AND(ISNUMBER(R1576),R1576=TODAY()),"🟡 VENCE HOJE",IF(AND(P1576&lt;&gt;"",S1576=""),"🟡 PENDÊNCIA ABERTA",IF(AND(N(J1576)&gt;0,N(K1576)&lt;J1576),"🟡 FALTA EXECUTAR",IF(OR(M1576="PENDENTE",M1576="PARCIAL"),"🟡 FATURAMENTO PENDENTE","🟡 EMBARQUE PENDENTE")))))))))))</f>
        <v/>
      </c>
      <c r="D1576" s="4" t="n"/>
      <c r="E1576" s="5" t="n"/>
      <c r="F1576" s="5" t="n"/>
      <c r="G1576" s="5" t="n"/>
      <c r="H1576" s="5" t="n"/>
      <c r="I1576" s="5" t="n"/>
      <c r="J1576" s="6" t="n"/>
      <c r="K1576" s="6" t="n"/>
      <c r="L1576" s="7">
        <f>IF(OR(D1576="",N(J1576)=0),"",MIN(1,N(K1576)/J1576))</f>
        <v/>
      </c>
      <c r="M1576" s="5" t="n"/>
      <c r="N1576" s="5" t="n"/>
      <c r="O1576" s="5" t="n"/>
      <c r="P1576" s="5" t="n"/>
      <c r="Q1576" s="5" t="n"/>
      <c r="R1576" s="4" t="n"/>
      <c r="S1576" s="4" t="n"/>
      <c r="T1576" s="5" t="n"/>
      <c r="U1576" s="8">
        <f>IF(AND(V1576=1,D1576&lt;&gt;""),IF(D1576&gt;=corte,TODAY()-D1576,""),"")</f>
        <v/>
      </c>
      <c r="V1576" s="8">
        <f>IF(D1576="",0,IF(OR(AND(P1576&lt;&gt;"",S1576=""),AND(N(J1576)&gt;0,N(K1576)&lt;J1576),OR(M1576="PENDENTE",M1576="PARCIAL"),OR(N1576="PENDENTE",N1576="PARCIAL")),1,0))</f>
        <v/>
      </c>
      <c r="W1576" s="8">
        <f>IF(AND(V1576=1,D1576&lt;&gt;""),IF(D1576&gt;=corte,(B1576="CRÍTICO")*1E9+(100000-D1576)*10000+10000-ROW(),""),"")</f>
        <v/>
      </c>
      <c r="X1576" s="8">
        <f>IF(AND(V1576=1,D1576=pas_data,E1576=pas_turno),10000-ROW(),"")</f>
        <v/>
      </c>
    </row>
    <row r="1577">
      <c r="A1577" s="3">
        <f>IF(D1577="","","TT-"&amp;TEXT(ROW()-1,"00000"))</f>
        <v/>
      </c>
      <c r="B1577" s="3">
        <f>IF(D1577="","",IF(V1577=0,"CONCLUÍDO",IF(D1577&lt;corte,"HISTÓRICO",IF(OR(AND(ISNUMBER(R1577),R1577&lt;TODAY()),AND(OR(N1577="PENDENTE",N1577="PARCIAL"),D1577&lt;TODAY()-1)),"CRÍTICO",IF(OR(AND(P1577&lt;&gt;"",S1577=""),AND(N1577="REALIZADO",M1577="PENDENTE"),AND(ISNUMBER(R1577),R1577=TODAY())),"ATENÇÃO",IF(N(K1577)=0,"PENDENTE","EM ANDAMENTO"))))))</f>
        <v/>
      </c>
      <c r="C1577" s="3">
        <f>IF(D1577="","",IF(V1577=0,"🟢 OK",IF(D1577&lt;corte,"⚪ HISTÓRICO (sem baixa)",IF(AND(ISNUMBER(R1577),R1577&lt;TODAY()),"🔴 PRAZO VENCIDO",IF(AND(OR(N1577="PENDENTE",N1577="PARCIAL"),D1577&lt;TODAY()-1),"🔴 EMBARQUE ATRASADO",IF(AND(N1577="REALIZADO",M1577="PENDENTE"),"🟡 EMBARCADO SEM FATURAR",IF(AND(P1577&lt;&gt;"",S1577="",OR(Q1577="",R1577="")),"🟡 PENDÊNCIA SEM RESPONSÁVEL/PRAZO",IF(AND(ISNUMBER(R1577),R1577=TODAY()),"🟡 VENCE HOJE",IF(AND(P1577&lt;&gt;"",S1577=""),"🟡 PENDÊNCIA ABERTA",IF(AND(N(J1577)&gt;0,N(K1577)&lt;J1577),"🟡 FALTA EXECUTAR",IF(OR(M1577="PENDENTE",M1577="PARCIAL"),"🟡 FATURAMENTO PENDENTE","🟡 EMBARQUE PENDENTE")))))))))))</f>
        <v/>
      </c>
      <c r="D1577" s="4" t="n"/>
      <c r="E1577" s="5" t="n"/>
      <c r="F1577" s="5" t="n"/>
      <c r="G1577" s="5" t="n"/>
      <c r="H1577" s="5" t="n"/>
      <c r="I1577" s="5" t="n"/>
      <c r="J1577" s="6" t="n"/>
      <c r="K1577" s="6" t="n"/>
      <c r="L1577" s="7">
        <f>IF(OR(D1577="",N(J1577)=0),"",MIN(1,N(K1577)/J1577))</f>
        <v/>
      </c>
      <c r="M1577" s="5" t="n"/>
      <c r="N1577" s="5" t="n"/>
      <c r="O1577" s="5" t="n"/>
      <c r="P1577" s="5" t="n"/>
      <c r="Q1577" s="5" t="n"/>
      <c r="R1577" s="4" t="n"/>
      <c r="S1577" s="4" t="n"/>
      <c r="T1577" s="5" t="n"/>
      <c r="U1577" s="8">
        <f>IF(AND(V1577=1,D1577&lt;&gt;""),IF(D1577&gt;=corte,TODAY()-D1577,""),"")</f>
        <v/>
      </c>
      <c r="V1577" s="8">
        <f>IF(D1577="",0,IF(OR(AND(P1577&lt;&gt;"",S1577=""),AND(N(J1577)&gt;0,N(K1577)&lt;J1577),OR(M1577="PENDENTE",M1577="PARCIAL"),OR(N1577="PENDENTE",N1577="PARCIAL")),1,0))</f>
        <v/>
      </c>
      <c r="W1577" s="8">
        <f>IF(AND(V1577=1,D1577&lt;&gt;""),IF(D1577&gt;=corte,(B1577="CRÍTICO")*1E9+(100000-D1577)*10000+10000-ROW(),""),"")</f>
        <v/>
      </c>
      <c r="X1577" s="8">
        <f>IF(AND(V1577=1,D1577=pas_data,E1577=pas_turno),10000-ROW(),"")</f>
        <v/>
      </c>
    </row>
    <row r="1578">
      <c r="A1578" s="3">
        <f>IF(D1578="","","TT-"&amp;TEXT(ROW()-1,"00000"))</f>
        <v/>
      </c>
      <c r="B1578" s="3">
        <f>IF(D1578="","",IF(V1578=0,"CONCLUÍDO",IF(D1578&lt;corte,"HISTÓRICO",IF(OR(AND(ISNUMBER(R1578),R1578&lt;TODAY()),AND(OR(N1578="PENDENTE",N1578="PARCIAL"),D1578&lt;TODAY()-1)),"CRÍTICO",IF(OR(AND(P1578&lt;&gt;"",S1578=""),AND(N1578="REALIZADO",M1578="PENDENTE"),AND(ISNUMBER(R1578),R1578=TODAY())),"ATENÇÃO",IF(N(K1578)=0,"PENDENTE","EM ANDAMENTO"))))))</f>
        <v/>
      </c>
      <c r="C1578" s="3">
        <f>IF(D1578="","",IF(V1578=0,"🟢 OK",IF(D1578&lt;corte,"⚪ HISTÓRICO (sem baixa)",IF(AND(ISNUMBER(R1578),R1578&lt;TODAY()),"🔴 PRAZO VENCIDO",IF(AND(OR(N1578="PENDENTE",N1578="PARCIAL"),D1578&lt;TODAY()-1),"🔴 EMBARQUE ATRASADO",IF(AND(N1578="REALIZADO",M1578="PENDENTE"),"🟡 EMBARCADO SEM FATURAR",IF(AND(P1578&lt;&gt;"",S1578="",OR(Q1578="",R1578="")),"🟡 PENDÊNCIA SEM RESPONSÁVEL/PRAZO",IF(AND(ISNUMBER(R1578),R1578=TODAY()),"🟡 VENCE HOJE",IF(AND(P1578&lt;&gt;"",S1578=""),"🟡 PENDÊNCIA ABERTA",IF(AND(N(J1578)&gt;0,N(K1578)&lt;J1578),"🟡 FALTA EXECUTAR",IF(OR(M1578="PENDENTE",M1578="PARCIAL"),"🟡 FATURAMENTO PENDENTE","🟡 EMBARQUE PENDENTE")))))))))))</f>
        <v/>
      </c>
      <c r="D1578" s="4" t="n"/>
      <c r="E1578" s="5" t="n"/>
      <c r="F1578" s="5" t="n"/>
      <c r="G1578" s="5" t="n"/>
      <c r="H1578" s="5" t="n"/>
      <c r="I1578" s="5" t="n"/>
      <c r="J1578" s="6" t="n"/>
      <c r="K1578" s="6" t="n"/>
      <c r="L1578" s="7">
        <f>IF(OR(D1578="",N(J1578)=0),"",MIN(1,N(K1578)/J1578))</f>
        <v/>
      </c>
      <c r="M1578" s="5" t="n"/>
      <c r="N1578" s="5" t="n"/>
      <c r="O1578" s="5" t="n"/>
      <c r="P1578" s="5" t="n"/>
      <c r="Q1578" s="5" t="n"/>
      <c r="R1578" s="4" t="n"/>
      <c r="S1578" s="4" t="n"/>
      <c r="T1578" s="5" t="n"/>
      <c r="U1578" s="8">
        <f>IF(AND(V1578=1,D1578&lt;&gt;""),IF(D1578&gt;=corte,TODAY()-D1578,""),"")</f>
        <v/>
      </c>
      <c r="V1578" s="8">
        <f>IF(D1578="",0,IF(OR(AND(P1578&lt;&gt;"",S1578=""),AND(N(J1578)&gt;0,N(K1578)&lt;J1578),OR(M1578="PENDENTE",M1578="PARCIAL"),OR(N1578="PENDENTE",N1578="PARCIAL")),1,0))</f>
        <v/>
      </c>
      <c r="W1578" s="8">
        <f>IF(AND(V1578=1,D1578&lt;&gt;""),IF(D1578&gt;=corte,(B1578="CRÍTICO")*1E9+(100000-D1578)*10000+10000-ROW(),""),"")</f>
        <v/>
      </c>
      <c r="X1578" s="8">
        <f>IF(AND(V1578=1,D1578=pas_data,E1578=pas_turno),10000-ROW(),"")</f>
        <v/>
      </c>
    </row>
    <row r="1579">
      <c r="A1579" s="3">
        <f>IF(D1579="","","TT-"&amp;TEXT(ROW()-1,"00000"))</f>
        <v/>
      </c>
      <c r="B1579" s="3">
        <f>IF(D1579="","",IF(V1579=0,"CONCLUÍDO",IF(D1579&lt;corte,"HISTÓRICO",IF(OR(AND(ISNUMBER(R1579),R1579&lt;TODAY()),AND(OR(N1579="PENDENTE",N1579="PARCIAL"),D1579&lt;TODAY()-1)),"CRÍTICO",IF(OR(AND(P1579&lt;&gt;"",S1579=""),AND(N1579="REALIZADO",M1579="PENDENTE"),AND(ISNUMBER(R1579),R1579=TODAY())),"ATENÇÃO",IF(N(K1579)=0,"PENDENTE","EM ANDAMENTO"))))))</f>
        <v/>
      </c>
      <c r="C1579" s="3">
        <f>IF(D1579="","",IF(V1579=0,"🟢 OK",IF(D1579&lt;corte,"⚪ HISTÓRICO (sem baixa)",IF(AND(ISNUMBER(R1579),R1579&lt;TODAY()),"🔴 PRAZO VENCIDO",IF(AND(OR(N1579="PENDENTE",N1579="PARCIAL"),D1579&lt;TODAY()-1),"🔴 EMBARQUE ATRASADO",IF(AND(N1579="REALIZADO",M1579="PENDENTE"),"🟡 EMBARCADO SEM FATURAR",IF(AND(P1579&lt;&gt;"",S1579="",OR(Q1579="",R1579="")),"🟡 PENDÊNCIA SEM RESPONSÁVEL/PRAZO",IF(AND(ISNUMBER(R1579),R1579=TODAY()),"🟡 VENCE HOJE",IF(AND(P1579&lt;&gt;"",S1579=""),"🟡 PENDÊNCIA ABERTA",IF(AND(N(J1579)&gt;0,N(K1579)&lt;J1579),"🟡 FALTA EXECUTAR",IF(OR(M1579="PENDENTE",M1579="PARCIAL"),"🟡 FATURAMENTO PENDENTE","🟡 EMBARQUE PENDENTE")))))))))))</f>
        <v/>
      </c>
      <c r="D1579" s="4" t="n"/>
      <c r="E1579" s="5" t="n"/>
      <c r="F1579" s="5" t="n"/>
      <c r="G1579" s="5" t="n"/>
      <c r="H1579" s="5" t="n"/>
      <c r="I1579" s="5" t="n"/>
      <c r="J1579" s="6" t="n"/>
      <c r="K1579" s="6" t="n"/>
      <c r="L1579" s="7">
        <f>IF(OR(D1579="",N(J1579)=0),"",MIN(1,N(K1579)/J1579))</f>
        <v/>
      </c>
      <c r="M1579" s="5" t="n"/>
      <c r="N1579" s="5" t="n"/>
      <c r="O1579" s="5" t="n"/>
      <c r="P1579" s="5" t="n"/>
      <c r="Q1579" s="5" t="n"/>
      <c r="R1579" s="4" t="n"/>
      <c r="S1579" s="4" t="n"/>
      <c r="T1579" s="5" t="n"/>
      <c r="U1579" s="8">
        <f>IF(AND(V1579=1,D1579&lt;&gt;""),IF(D1579&gt;=corte,TODAY()-D1579,""),"")</f>
        <v/>
      </c>
      <c r="V1579" s="8">
        <f>IF(D1579="",0,IF(OR(AND(P1579&lt;&gt;"",S1579=""),AND(N(J1579)&gt;0,N(K1579)&lt;J1579),OR(M1579="PENDENTE",M1579="PARCIAL"),OR(N1579="PENDENTE",N1579="PARCIAL")),1,0))</f>
        <v/>
      </c>
      <c r="W1579" s="8">
        <f>IF(AND(V1579=1,D1579&lt;&gt;""),IF(D1579&gt;=corte,(B1579="CRÍTICO")*1E9+(100000-D1579)*10000+10000-ROW(),""),"")</f>
        <v/>
      </c>
      <c r="X1579" s="8">
        <f>IF(AND(V1579=1,D1579=pas_data,E1579=pas_turno),10000-ROW(),"")</f>
        <v/>
      </c>
    </row>
    <row r="1580">
      <c r="A1580" s="3">
        <f>IF(D1580="","","TT-"&amp;TEXT(ROW()-1,"00000"))</f>
        <v/>
      </c>
      <c r="B1580" s="3">
        <f>IF(D1580="","",IF(V1580=0,"CONCLUÍDO",IF(D1580&lt;corte,"HISTÓRICO",IF(OR(AND(ISNUMBER(R1580),R1580&lt;TODAY()),AND(OR(N1580="PENDENTE",N1580="PARCIAL"),D1580&lt;TODAY()-1)),"CRÍTICO",IF(OR(AND(P1580&lt;&gt;"",S1580=""),AND(N1580="REALIZADO",M1580="PENDENTE"),AND(ISNUMBER(R1580),R1580=TODAY())),"ATENÇÃO",IF(N(K1580)=0,"PENDENTE","EM ANDAMENTO"))))))</f>
        <v/>
      </c>
      <c r="C1580" s="3">
        <f>IF(D1580="","",IF(V1580=0,"🟢 OK",IF(D1580&lt;corte,"⚪ HISTÓRICO (sem baixa)",IF(AND(ISNUMBER(R1580),R1580&lt;TODAY()),"🔴 PRAZO VENCIDO",IF(AND(OR(N1580="PENDENTE",N1580="PARCIAL"),D1580&lt;TODAY()-1),"🔴 EMBARQUE ATRASADO",IF(AND(N1580="REALIZADO",M1580="PENDENTE"),"🟡 EMBARCADO SEM FATURAR",IF(AND(P1580&lt;&gt;"",S1580="",OR(Q1580="",R1580="")),"🟡 PENDÊNCIA SEM RESPONSÁVEL/PRAZO",IF(AND(ISNUMBER(R1580),R1580=TODAY()),"🟡 VENCE HOJE",IF(AND(P1580&lt;&gt;"",S1580=""),"🟡 PENDÊNCIA ABERTA",IF(AND(N(J1580)&gt;0,N(K1580)&lt;J1580),"🟡 FALTA EXECUTAR",IF(OR(M1580="PENDENTE",M1580="PARCIAL"),"🟡 FATURAMENTO PENDENTE","🟡 EMBARQUE PENDENTE")))))))))))</f>
        <v/>
      </c>
      <c r="D1580" s="4" t="n"/>
      <c r="E1580" s="5" t="n"/>
      <c r="F1580" s="5" t="n"/>
      <c r="G1580" s="5" t="n"/>
      <c r="H1580" s="5" t="n"/>
      <c r="I1580" s="5" t="n"/>
      <c r="J1580" s="6" t="n"/>
      <c r="K1580" s="6" t="n"/>
      <c r="L1580" s="7">
        <f>IF(OR(D1580="",N(J1580)=0),"",MIN(1,N(K1580)/J1580))</f>
        <v/>
      </c>
      <c r="M1580" s="5" t="n"/>
      <c r="N1580" s="5" t="n"/>
      <c r="O1580" s="5" t="n"/>
      <c r="P1580" s="5" t="n"/>
      <c r="Q1580" s="5" t="n"/>
      <c r="R1580" s="4" t="n"/>
      <c r="S1580" s="4" t="n"/>
      <c r="T1580" s="5" t="n"/>
      <c r="U1580" s="8">
        <f>IF(AND(V1580=1,D1580&lt;&gt;""),IF(D1580&gt;=corte,TODAY()-D1580,""),"")</f>
        <v/>
      </c>
      <c r="V1580" s="8">
        <f>IF(D1580="",0,IF(OR(AND(P1580&lt;&gt;"",S1580=""),AND(N(J1580)&gt;0,N(K1580)&lt;J1580),OR(M1580="PENDENTE",M1580="PARCIAL"),OR(N1580="PENDENTE",N1580="PARCIAL")),1,0))</f>
        <v/>
      </c>
      <c r="W1580" s="8">
        <f>IF(AND(V1580=1,D1580&lt;&gt;""),IF(D1580&gt;=corte,(B1580="CRÍTICO")*1E9+(100000-D1580)*10000+10000-ROW(),""),"")</f>
        <v/>
      </c>
      <c r="X1580" s="8">
        <f>IF(AND(V1580=1,D1580=pas_data,E1580=pas_turno),10000-ROW(),"")</f>
        <v/>
      </c>
    </row>
    <row r="1581">
      <c r="A1581" s="3">
        <f>IF(D1581="","","TT-"&amp;TEXT(ROW()-1,"00000"))</f>
        <v/>
      </c>
      <c r="B1581" s="3">
        <f>IF(D1581="","",IF(V1581=0,"CONCLUÍDO",IF(D1581&lt;corte,"HISTÓRICO",IF(OR(AND(ISNUMBER(R1581),R1581&lt;TODAY()),AND(OR(N1581="PENDENTE",N1581="PARCIAL"),D1581&lt;TODAY()-1)),"CRÍTICO",IF(OR(AND(P1581&lt;&gt;"",S1581=""),AND(N1581="REALIZADO",M1581="PENDENTE"),AND(ISNUMBER(R1581),R1581=TODAY())),"ATENÇÃO",IF(N(K1581)=0,"PENDENTE","EM ANDAMENTO"))))))</f>
        <v/>
      </c>
      <c r="C1581" s="3">
        <f>IF(D1581="","",IF(V1581=0,"🟢 OK",IF(D1581&lt;corte,"⚪ HISTÓRICO (sem baixa)",IF(AND(ISNUMBER(R1581),R1581&lt;TODAY()),"🔴 PRAZO VENCIDO",IF(AND(OR(N1581="PENDENTE",N1581="PARCIAL"),D1581&lt;TODAY()-1),"🔴 EMBARQUE ATRASADO",IF(AND(N1581="REALIZADO",M1581="PENDENTE"),"🟡 EMBARCADO SEM FATURAR",IF(AND(P1581&lt;&gt;"",S1581="",OR(Q1581="",R1581="")),"🟡 PENDÊNCIA SEM RESPONSÁVEL/PRAZO",IF(AND(ISNUMBER(R1581),R1581=TODAY()),"🟡 VENCE HOJE",IF(AND(P1581&lt;&gt;"",S1581=""),"🟡 PENDÊNCIA ABERTA",IF(AND(N(J1581)&gt;0,N(K1581)&lt;J1581),"🟡 FALTA EXECUTAR",IF(OR(M1581="PENDENTE",M1581="PARCIAL"),"🟡 FATURAMENTO PENDENTE","🟡 EMBARQUE PENDENTE")))))))))))</f>
        <v/>
      </c>
      <c r="D1581" s="4" t="n"/>
      <c r="E1581" s="5" t="n"/>
      <c r="F1581" s="5" t="n"/>
      <c r="G1581" s="5" t="n"/>
      <c r="H1581" s="5" t="n"/>
      <c r="I1581" s="5" t="n"/>
      <c r="J1581" s="6" t="n"/>
      <c r="K1581" s="6" t="n"/>
      <c r="L1581" s="7">
        <f>IF(OR(D1581="",N(J1581)=0),"",MIN(1,N(K1581)/J1581))</f>
        <v/>
      </c>
      <c r="M1581" s="5" t="n"/>
      <c r="N1581" s="5" t="n"/>
      <c r="O1581" s="5" t="n"/>
      <c r="P1581" s="5" t="n"/>
      <c r="Q1581" s="5" t="n"/>
      <c r="R1581" s="4" t="n"/>
      <c r="S1581" s="4" t="n"/>
      <c r="T1581" s="5" t="n"/>
      <c r="U1581" s="8">
        <f>IF(AND(V1581=1,D1581&lt;&gt;""),IF(D1581&gt;=corte,TODAY()-D1581,""),"")</f>
        <v/>
      </c>
      <c r="V1581" s="8">
        <f>IF(D1581="",0,IF(OR(AND(P1581&lt;&gt;"",S1581=""),AND(N(J1581)&gt;0,N(K1581)&lt;J1581),OR(M1581="PENDENTE",M1581="PARCIAL"),OR(N1581="PENDENTE",N1581="PARCIAL")),1,0))</f>
        <v/>
      </c>
      <c r="W1581" s="8">
        <f>IF(AND(V1581=1,D1581&lt;&gt;""),IF(D1581&gt;=corte,(B1581="CRÍTICO")*1E9+(100000-D1581)*10000+10000-ROW(),""),"")</f>
        <v/>
      </c>
      <c r="X1581" s="8">
        <f>IF(AND(V1581=1,D1581=pas_data,E1581=pas_turno),10000-ROW(),"")</f>
        <v/>
      </c>
    </row>
    <row r="1582">
      <c r="A1582" s="3">
        <f>IF(D1582="","","TT-"&amp;TEXT(ROW()-1,"00000"))</f>
        <v/>
      </c>
      <c r="B1582" s="3">
        <f>IF(D1582="","",IF(V1582=0,"CONCLUÍDO",IF(D1582&lt;corte,"HISTÓRICO",IF(OR(AND(ISNUMBER(R1582),R1582&lt;TODAY()),AND(OR(N1582="PENDENTE",N1582="PARCIAL"),D1582&lt;TODAY()-1)),"CRÍTICO",IF(OR(AND(P1582&lt;&gt;"",S1582=""),AND(N1582="REALIZADO",M1582="PENDENTE"),AND(ISNUMBER(R1582),R1582=TODAY())),"ATENÇÃO",IF(N(K1582)=0,"PENDENTE","EM ANDAMENTO"))))))</f>
        <v/>
      </c>
      <c r="C1582" s="3">
        <f>IF(D1582="","",IF(V1582=0,"🟢 OK",IF(D1582&lt;corte,"⚪ HISTÓRICO (sem baixa)",IF(AND(ISNUMBER(R1582),R1582&lt;TODAY()),"🔴 PRAZO VENCIDO",IF(AND(OR(N1582="PENDENTE",N1582="PARCIAL"),D1582&lt;TODAY()-1),"🔴 EMBARQUE ATRASADO",IF(AND(N1582="REALIZADO",M1582="PENDENTE"),"🟡 EMBARCADO SEM FATURAR",IF(AND(P1582&lt;&gt;"",S1582="",OR(Q1582="",R1582="")),"🟡 PENDÊNCIA SEM RESPONSÁVEL/PRAZO",IF(AND(ISNUMBER(R1582),R1582=TODAY()),"🟡 VENCE HOJE",IF(AND(P1582&lt;&gt;"",S1582=""),"🟡 PENDÊNCIA ABERTA",IF(AND(N(J1582)&gt;0,N(K1582)&lt;J1582),"🟡 FALTA EXECUTAR",IF(OR(M1582="PENDENTE",M1582="PARCIAL"),"🟡 FATURAMENTO PENDENTE","🟡 EMBARQUE PENDENTE")))))))))))</f>
        <v/>
      </c>
      <c r="D1582" s="4" t="n"/>
      <c r="E1582" s="5" t="n"/>
      <c r="F1582" s="5" t="n"/>
      <c r="G1582" s="5" t="n"/>
      <c r="H1582" s="5" t="n"/>
      <c r="I1582" s="5" t="n"/>
      <c r="J1582" s="6" t="n"/>
      <c r="K1582" s="6" t="n"/>
      <c r="L1582" s="7">
        <f>IF(OR(D1582="",N(J1582)=0),"",MIN(1,N(K1582)/J1582))</f>
        <v/>
      </c>
      <c r="M1582" s="5" t="n"/>
      <c r="N1582" s="5" t="n"/>
      <c r="O1582" s="5" t="n"/>
      <c r="P1582" s="5" t="n"/>
      <c r="Q1582" s="5" t="n"/>
      <c r="R1582" s="4" t="n"/>
      <c r="S1582" s="4" t="n"/>
      <c r="T1582" s="5" t="n"/>
      <c r="U1582" s="8">
        <f>IF(AND(V1582=1,D1582&lt;&gt;""),IF(D1582&gt;=corte,TODAY()-D1582,""),"")</f>
        <v/>
      </c>
      <c r="V1582" s="8">
        <f>IF(D1582="",0,IF(OR(AND(P1582&lt;&gt;"",S1582=""),AND(N(J1582)&gt;0,N(K1582)&lt;J1582),OR(M1582="PENDENTE",M1582="PARCIAL"),OR(N1582="PENDENTE",N1582="PARCIAL")),1,0))</f>
        <v/>
      </c>
      <c r="W1582" s="8">
        <f>IF(AND(V1582=1,D1582&lt;&gt;""),IF(D1582&gt;=corte,(B1582="CRÍTICO")*1E9+(100000-D1582)*10000+10000-ROW(),""),"")</f>
        <v/>
      </c>
      <c r="X1582" s="8">
        <f>IF(AND(V1582=1,D1582=pas_data,E1582=pas_turno),10000-ROW(),"")</f>
        <v/>
      </c>
    </row>
    <row r="1583">
      <c r="A1583" s="3">
        <f>IF(D1583="","","TT-"&amp;TEXT(ROW()-1,"00000"))</f>
        <v/>
      </c>
      <c r="B1583" s="3">
        <f>IF(D1583="","",IF(V1583=0,"CONCLUÍDO",IF(D1583&lt;corte,"HISTÓRICO",IF(OR(AND(ISNUMBER(R1583),R1583&lt;TODAY()),AND(OR(N1583="PENDENTE",N1583="PARCIAL"),D1583&lt;TODAY()-1)),"CRÍTICO",IF(OR(AND(P1583&lt;&gt;"",S1583=""),AND(N1583="REALIZADO",M1583="PENDENTE"),AND(ISNUMBER(R1583),R1583=TODAY())),"ATENÇÃO",IF(N(K1583)=0,"PENDENTE","EM ANDAMENTO"))))))</f>
        <v/>
      </c>
      <c r="C1583" s="3">
        <f>IF(D1583="","",IF(V1583=0,"🟢 OK",IF(D1583&lt;corte,"⚪ HISTÓRICO (sem baixa)",IF(AND(ISNUMBER(R1583),R1583&lt;TODAY()),"🔴 PRAZO VENCIDO",IF(AND(OR(N1583="PENDENTE",N1583="PARCIAL"),D1583&lt;TODAY()-1),"🔴 EMBARQUE ATRASADO",IF(AND(N1583="REALIZADO",M1583="PENDENTE"),"🟡 EMBARCADO SEM FATURAR",IF(AND(P1583&lt;&gt;"",S1583="",OR(Q1583="",R1583="")),"🟡 PENDÊNCIA SEM RESPONSÁVEL/PRAZO",IF(AND(ISNUMBER(R1583),R1583=TODAY()),"🟡 VENCE HOJE",IF(AND(P1583&lt;&gt;"",S1583=""),"🟡 PENDÊNCIA ABERTA",IF(AND(N(J1583)&gt;0,N(K1583)&lt;J1583),"🟡 FALTA EXECUTAR",IF(OR(M1583="PENDENTE",M1583="PARCIAL"),"🟡 FATURAMENTO PENDENTE","🟡 EMBARQUE PENDENTE")))))))))))</f>
        <v/>
      </c>
      <c r="D1583" s="4" t="n"/>
      <c r="E1583" s="5" t="n"/>
      <c r="F1583" s="5" t="n"/>
      <c r="G1583" s="5" t="n"/>
      <c r="H1583" s="5" t="n"/>
      <c r="I1583" s="5" t="n"/>
      <c r="J1583" s="6" t="n"/>
      <c r="K1583" s="6" t="n"/>
      <c r="L1583" s="7">
        <f>IF(OR(D1583="",N(J1583)=0),"",MIN(1,N(K1583)/J1583))</f>
        <v/>
      </c>
      <c r="M1583" s="5" t="n"/>
      <c r="N1583" s="5" t="n"/>
      <c r="O1583" s="5" t="n"/>
      <c r="P1583" s="5" t="n"/>
      <c r="Q1583" s="5" t="n"/>
      <c r="R1583" s="4" t="n"/>
      <c r="S1583" s="4" t="n"/>
      <c r="T1583" s="5" t="n"/>
      <c r="U1583" s="8">
        <f>IF(AND(V1583=1,D1583&lt;&gt;""),IF(D1583&gt;=corte,TODAY()-D1583,""),"")</f>
        <v/>
      </c>
      <c r="V1583" s="8">
        <f>IF(D1583="",0,IF(OR(AND(P1583&lt;&gt;"",S1583=""),AND(N(J1583)&gt;0,N(K1583)&lt;J1583),OR(M1583="PENDENTE",M1583="PARCIAL"),OR(N1583="PENDENTE",N1583="PARCIAL")),1,0))</f>
        <v/>
      </c>
      <c r="W1583" s="8">
        <f>IF(AND(V1583=1,D1583&lt;&gt;""),IF(D1583&gt;=corte,(B1583="CRÍTICO")*1E9+(100000-D1583)*10000+10000-ROW(),""),"")</f>
        <v/>
      </c>
      <c r="X1583" s="8">
        <f>IF(AND(V1583=1,D1583=pas_data,E1583=pas_turno),10000-ROW(),"")</f>
        <v/>
      </c>
    </row>
    <row r="1584">
      <c r="A1584" s="3">
        <f>IF(D1584="","","TT-"&amp;TEXT(ROW()-1,"00000"))</f>
        <v/>
      </c>
      <c r="B1584" s="3">
        <f>IF(D1584="","",IF(V1584=0,"CONCLUÍDO",IF(D1584&lt;corte,"HISTÓRICO",IF(OR(AND(ISNUMBER(R1584),R1584&lt;TODAY()),AND(OR(N1584="PENDENTE",N1584="PARCIAL"),D1584&lt;TODAY()-1)),"CRÍTICO",IF(OR(AND(P1584&lt;&gt;"",S1584=""),AND(N1584="REALIZADO",M1584="PENDENTE"),AND(ISNUMBER(R1584),R1584=TODAY())),"ATENÇÃO",IF(N(K1584)=0,"PENDENTE","EM ANDAMENTO"))))))</f>
        <v/>
      </c>
      <c r="C1584" s="3">
        <f>IF(D1584="","",IF(V1584=0,"🟢 OK",IF(D1584&lt;corte,"⚪ HISTÓRICO (sem baixa)",IF(AND(ISNUMBER(R1584),R1584&lt;TODAY()),"🔴 PRAZO VENCIDO",IF(AND(OR(N1584="PENDENTE",N1584="PARCIAL"),D1584&lt;TODAY()-1),"🔴 EMBARQUE ATRASADO",IF(AND(N1584="REALIZADO",M1584="PENDENTE"),"🟡 EMBARCADO SEM FATURAR",IF(AND(P1584&lt;&gt;"",S1584="",OR(Q1584="",R1584="")),"🟡 PENDÊNCIA SEM RESPONSÁVEL/PRAZO",IF(AND(ISNUMBER(R1584),R1584=TODAY()),"🟡 VENCE HOJE",IF(AND(P1584&lt;&gt;"",S1584=""),"🟡 PENDÊNCIA ABERTA",IF(AND(N(J1584)&gt;0,N(K1584)&lt;J1584),"🟡 FALTA EXECUTAR",IF(OR(M1584="PENDENTE",M1584="PARCIAL"),"🟡 FATURAMENTO PENDENTE","🟡 EMBARQUE PENDENTE")))))))))))</f>
        <v/>
      </c>
      <c r="D1584" s="4" t="n"/>
      <c r="E1584" s="5" t="n"/>
      <c r="F1584" s="5" t="n"/>
      <c r="G1584" s="5" t="n"/>
      <c r="H1584" s="5" t="n"/>
      <c r="I1584" s="5" t="n"/>
      <c r="J1584" s="6" t="n"/>
      <c r="K1584" s="6" t="n"/>
      <c r="L1584" s="7">
        <f>IF(OR(D1584="",N(J1584)=0),"",MIN(1,N(K1584)/J1584))</f>
        <v/>
      </c>
      <c r="M1584" s="5" t="n"/>
      <c r="N1584" s="5" t="n"/>
      <c r="O1584" s="5" t="n"/>
      <c r="P1584" s="5" t="n"/>
      <c r="Q1584" s="5" t="n"/>
      <c r="R1584" s="4" t="n"/>
      <c r="S1584" s="4" t="n"/>
      <c r="T1584" s="5" t="n"/>
      <c r="U1584" s="8">
        <f>IF(AND(V1584=1,D1584&lt;&gt;""),IF(D1584&gt;=corte,TODAY()-D1584,""),"")</f>
        <v/>
      </c>
      <c r="V1584" s="8">
        <f>IF(D1584="",0,IF(OR(AND(P1584&lt;&gt;"",S1584=""),AND(N(J1584)&gt;0,N(K1584)&lt;J1584),OR(M1584="PENDENTE",M1584="PARCIAL"),OR(N1584="PENDENTE",N1584="PARCIAL")),1,0))</f>
        <v/>
      </c>
      <c r="W1584" s="8">
        <f>IF(AND(V1584=1,D1584&lt;&gt;""),IF(D1584&gt;=corte,(B1584="CRÍTICO")*1E9+(100000-D1584)*10000+10000-ROW(),""),"")</f>
        <v/>
      </c>
      <c r="X1584" s="8">
        <f>IF(AND(V1584=1,D1584=pas_data,E1584=pas_turno),10000-ROW(),"")</f>
        <v/>
      </c>
    </row>
    <row r="1585">
      <c r="A1585" s="3">
        <f>IF(D1585="","","TT-"&amp;TEXT(ROW()-1,"00000"))</f>
        <v/>
      </c>
      <c r="B1585" s="3">
        <f>IF(D1585="","",IF(V1585=0,"CONCLUÍDO",IF(D1585&lt;corte,"HISTÓRICO",IF(OR(AND(ISNUMBER(R1585),R1585&lt;TODAY()),AND(OR(N1585="PENDENTE",N1585="PARCIAL"),D1585&lt;TODAY()-1)),"CRÍTICO",IF(OR(AND(P1585&lt;&gt;"",S1585=""),AND(N1585="REALIZADO",M1585="PENDENTE"),AND(ISNUMBER(R1585),R1585=TODAY())),"ATENÇÃO",IF(N(K1585)=0,"PENDENTE","EM ANDAMENTO"))))))</f>
        <v/>
      </c>
      <c r="C1585" s="3">
        <f>IF(D1585="","",IF(V1585=0,"🟢 OK",IF(D1585&lt;corte,"⚪ HISTÓRICO (sem baixa)",IF(AND(ISNUMBER(R1585),R1585&lt;TODAY()),"🔴 PRAZO VENCIDO",IF(AND(OR(N1585="PENDENTE",N1585="PARCIAL"),D1585&lt;TODAY()-1),"🔴 EMBARQUE ATRASADO",IF(AND(N1585="REALIZADO",M1585="PENDENTE"),"🟡 EMBARCADO SEM FATURAR",IF(AND(P1585&lt;&gt;"",S1585="",OR(Q1585="",R1585="")),"🟡 PENDÊNCIA SEM RESPONSÁVEL/PRAZO",IF(AND(ISNUMBER(R1585),R1585=TODAY()),"🟡 VENCE HOJE",IF(AND(P1585&lt;&gt;"",S1585=""),"🟡 PENDÊNCIA ABERTA",IF(AND(N(J1585)&gt;0,N(K1585)&lt;J1585),"🟡 FALTA EXECUTAR",IF(OR(M1585="PENDENTE",M1585="PARCIAL"),"🟡 FATURAMENTO PENDENTE","🟡 EMBARQUE PENDENTE")))))))))))</f>
        <v/>
      </c>
      <c r="D1585" s="4" t="n"/>
      <c r="E1585" s="5" t="n"/>
      <c r="F1585" s="5" t="n"/>
      <c r="G1585" s="5" t="n"/>
      <c r="H1585" s="5" t="n"/>
      <c r="I1585" s="5" t="n"/>
      <c r="J1585" s="6" t="n"/>
      <c r="K1585" s="6" t="n"/>
      <c r="L1585" s="7">
        <f>IF(OR(D1585="",N(J1585)=0),"",MIN(1,N(K1585)/J1585))</f>
        <v/>
      </c>
      <c r="M1585" s="5" t="n"/>
      <c r="N1585" s="5" t="n"/>
      <c r="O1585" s="5" t="n"/>
      <c r="P1585" s="5" t="n"/>
      <c r="Q1585" s="5" t="n"/>
      <c r="R1585" s="4" t="n"/>
      <c r="S1585" s="4" t="n"/>
      <c r="T1585" s="5" t="n"/>
      <c r="U1585" s="8">
        <f>IF(AND(V1585=1,D1585&lt;&gt;""),IF(D1585&gt;=corte,TODAY()-D1585,""),"")</f>
        <v/>
      </c>
      <c r="V1585" s="8">
        <f>IF(D1585="",0,IF(OR(AND(P1585&lt;&gt;"",S1585=""),AND(N(J1585)&gt;0,N(K1585)&lt;J1585),OR(M1585="PENDENTE",M1585="PARCIAL"),OR(N1585="PENDENTE",N1585="PARCIAL")),1,0))</f>
        <v/>
      </c>
      <c r="W1585" s="8">
        <f>IF(AND(V1585=1,D1585&lt;&gt;""),IF(D1585&gt;=corte,(B1585="CRÍTICO")*1E9+(100000-D1585)*10000+10000-ROW(),""),"")</f>
        <v/>
      </c>
      <c r="X1585" s="8">
        <f>IF(AND(V1585=1,D1585=pas_data,E1585=pas_turno),10000-ROW(),"")</f>
        <v/>
      </c>
    </row>
    <row r="1586">
      <c r="A1586" s="3">
        <f>IF(D1586="","","TT-"&amp;TEXT(ROW()-1,"00000"))</f>
        <v/>
      </c>
      <c r="B1586" s="3">
        <f>IF(D1586="","",IF(V1586=0,"CONCLUÍDO",IF(D1586&lt;corte,"HISTÓRICO",IF(OR(AND(ISNUMBER(R1586),R1586&lt;TODAY()),AND(OR(N1586="PENDENTE",N1586="PARCIAL"),D1586&lt;TODAY()-1)),"CRÍTICO",IF(OR(AND(P1586&lt;&gt;"",S1586=""),AND(N1586="REALIZADO",M1586="PENDENTE"),AND(ISNUMBER(R1586),R1586=TODAY())),"ATENÇÃO",IF(N(K1586)=0,"PENDENTE","EM ANDAMENTO"))))))</f>
        <v/>
      </c>
      <c r="C1586" s="3">
        <f>IF(D1586="","",IF(V1586=0,"🟢 OK",IF(D1586&lt;corte,"⚪ HISTÓRICO (sem baixa)",IF(AND(ISNUMBER(R1586),R1586&lt;TODAY()),"🔴 PRAZO VENCIDO",IF(AND(OR(N1586="PENDENTE",N1586="PARCIAL"),D1586&lt;TODAY()-1),"🔴 EMBARQUE ATRASADO",IF(AND(N1586="REALIZADO",M1586="PENDENTE"),"🟡 EMBARCADO SEM FATURAR",IF(AND(P1586&lt;&gt;"",S1586="",OR(Q1586="",R1586="")),"🟡 PENDÊNCIA SEM RESPONSÁVEL/PRAZO",IF(AND(ISNUMBER(R1586),R1586=TODAY()),"🟡 VENCE HOJE",IF(AND(P1586&lt;&gt;"",S1586=""),"🟡 PENDÊNCIA ABERTA",IF(AND(N(J1586)&gt;0,N(K1586)&lt;J1586),"🟡 FALTA EXECUTAR",IF(OR(M1586="PENDENTE",M1586="PARCIAL"),"🟡 FATURAMENTO PENDENTE","🟡 EMBARQUE PENDENTE")))))))))))</f>
        <v/>
      </c>
      <c r="D1586" s="4" t="n"/>
      <c r="E1586" s="5" t="n"/>
      <c r="F1586" s="5" t="n"/>
      <c r="G1586" s="5" t="n"/>
      <c r="H1586" s="5" t="n"/>
      <c r="I1586" s="5" t="n"/>
      <c r="J1586" s="6" t="n"/>
      <c r="K1586" s="6" t="n"/>
      <c r="L1586" s="7">
        <f>IF(OR(D1586="",N(J1586)=0),"",MIN(1,N(K1586)/J1586))</f>
        <v/>
      </c>
      <c r="M1586" s="5" t="n"/>
      <c r="N1586" s="5" t="n"/>
      <c r="O1586" s="5" t="n"/>
      <c r="P1586" s="5" t="n"/>
      <c r="Q1586" s="5" t="n"/>
      <c r="R1586" s="4" t="n"/>
      <c r="S1586" s="4" t="n"/>
      <c r="T1586" s="5" t="n"/>
      <c r="U1586" s="8">
        <f>IF(AND(V1586=1,D1586&lt;&gt;""),IF(D1586&gt;=corte,TODAY()-D1586,""),"")</f>
        <v/>
      </c>
      <c r="V1586" s="8">
        <f>IF(D1586="",0,IF(OR(AND(P1586&lt;&gt;"",S1586=""),AND(N(J1586)&gt;0,N(K1586)&lt;J1586),OR(M1586="PENDENTE",M1586="PARCIAL"),OR(N1586="PENDENTE",N1586="PARCIAL")),1,0))</f>
        <v/>
      </c>
      <c r="W1586" s="8">
        <f>IF(AND(V1586=1,D1586&lt;&gt;""),IF(D1586&gt;=corte,(B1586="CRÍTICO")*1E9+(100000-D1586)*10000+10000-ROW(),""),"")</f>
        <v/>
      </c>
      <c r="X1586" s="8">
        <f>IF(AND(V1586=1,D1586=pas_data,E1586=pas_turno),10000-ROW(),"")</f>
        <v/>
      </c>
    </row>
    <row r="1587">
      <c r="A1587" s="3">
        <f>IF(D1587="","","TT-"&amp;TEXT(ROW()-1,"00000"))</f>
        <v/>
      </c>
      <c r="B1587" s="3">
        <f>IF(D1587="","",IF(V1587=0,"CONCLUÍDO",IF(D1587&lt;corte,"HISTÓRICO",IF(OR(AND(ISNUMBER(R1587),R1587&lt;TODAY()),AND(OR(N1587="PENDENTE",N1587="PARCIAL"),D1587&lt;TODAY()-1)),"CRÍTICO",IF(OR(AND(P1587&lt;&gt;"",S1587=""),AND(N1587="REALIZADO",M1587="PENDENTE"),AND(ISNUMBER(R1587),R1587=TODAY())),"ATENÇÃO",IF(N(K1587)=0,"PENDENTE","EM ANDAMENTO"))))))</f>
        <v/>
      </c>
      <c r="C1587" s="3">
        <f>IF(D1587="","",IF(V1587=0,"🟢 OK",IF(D1587&lt;corte,"⚪ HISTÓRICO (sem baixa)",IF(AND(ISNUMBER(R1587),R1587&lt;TODAY()),"🔴 PRAZO VENCIDO",IF(AND(OR(N1587="PENDENTE",N1587="PARCIAL"),D1587&lt;TODAY()-1),"🔴 EMBARQUE ATRASADO",IF(AND(N1587="REALIZADO",M1587="PENDENTE"),"🟡 EMBARCADO SEM FATURAR",IF(AND(P1587&lt;&gt;"",S1587="",OR(Q1587="",R1587="")),"🟡 PENDÊNCIA SEM RESPONSÁVEL/PRAZO",IF(AND(ISNUMBER(R1587),R1587=TODAY()),"🟡 VENCE HOJE",IF(AND(P1587&lt;&gt;"",S1587=""),"🟡 PENDÊNCIA ABERTA",IF(AND(N(J1587)&gt;0,N(K1587)&lt;J1587),"🟡 FALTA EXECUTAR",IF(OR(M1587="PENDENTE",M1587="PARCIAL"),"🟡 FATURAMENTO PENDENTE","🟡 EMBARQUE PENDENTE")))))))))))</f>
        <v/>
      </c>
      <c r="D1587" s="4" t="n"/>
      <c r="E1587" s="5" t="n"/>
      <c r="F1587" s="5" t="n"/>
      <c r="G1587" s="5" t="n"/>
      <c r="H1587" s="5" t="n"/>
      <c r="I1587" s="5" t="n"/>
      <c r="J1587" s="6" t="n"/>
      <c r="K1587" s="6" t="n"/>
      <c r="L1587" s="7">
        <f>IF(OR(D1587="",N(J1587)=0),"",MIN(1,N(K1587)/J1587))</f>
        <v/>
      </c>
      <c r="M1587" s="5" t="n"/>
      <c r="N1587" s="5" t="n"/>
      <c r="O1587" s="5" t="n"/>
      <c r="P1587" s="5" t="n"/>
      <c r="Q1587" s="5" t="n"/>
      <c r="R1587" s="4" t="n"/>
      <c r="S1587" s="4" t="n"/>
      <c r="T1587" s="5" t="n"/>
      <c r="U1587" s="8">
        <f>IF(AND(V1587=1,D1587&lt;&gt;""),IF(D1587&gt;=corte,TODAY()-D1587,""),"")</f>
        <v/>
      </c>
      <c r="V1587" s="8">
        <f>IF(D1587="",0,IF(OR(AND(P1587&lt;&gt;"",S1587=""),AND(N(J1587)&gt;0,N(K1587)&lt;J1587),OR(M1587="PENDENTE",M1587="PARCIAL"),OR(N1587="PENDENTE",N1587="PARCIAL")),1,0))</f>
        <v/>
      </c>
      <c r="W1587" s="8">
        <f>IF(AND(V1587=1,D1587&lt;&gt;""),IF(D1587&gt;=corte,(B1587="CRÍTICO")*1E9+(100000-D1587)*10000+10000-ROW(),""),"")</f>
        <v/>
      </c>
      <c r="X1587" s="8">
        <f>IF(AND(V1587=1,D1587=pas_data,E1587=pas_turno),10000-ROW(),"")</f>
        <v/>
      </c>
    </row>
    <row r="1588">
      <c r="A1588" s="3">
        <f>IF(D1588="","","TT-"&amp;TEXT(ROW()-1,"00000"))</f>
        <v/>
      </c>
      <c r="B1588" s="3">
        <f>IF(D1588="","",IF(V1588=0,"CONCLUÍDO",IF(D1588&lt;corte,"HISTÓRICO",IF(OR(AND(ISNUMBER(R1588),R1588&lt;TODAY()),AND(OR(N1588="PENDENTE",N1588="PARCIAL"),D1588&lt;TODAY()-1)),"CRÍTICO",IF(OR(AND(P1588&lt;&gt;"",S1588=""),AND(N1588="REALIZADO",M1588="PENDENTE"),AND(ISNUMBER(R1588),R1588=TODAY())),"ATENÇÃO",IF(N(K1588)=0,"PENDENTE","EM ANDAMENTO"))))))</f>
        <v/>
      </c>
      <c r="C1588" s="3">
        <f>IF(D1588="","",IF(V1588=0,"🟢 OK",IF(D1588&lt;corte,"⚪ HISTÓRICO (sem baixa)",IF(AND(ISNUMBER(R1588),R1588&lt;TODAY()),"🔴 PRAZO VENCIDO",IF(AND(OR(N1588="PENDENTE",N1588="PARCIAL"),D1588&lt;TODAY()-1),"🔴 EMBARQUE ATRASADO",IF(AND(N1588="REALIZADO",M1588="PENDENTE"),"🟡 EMBARCADO SEM FATURAR",IF(AND(P1588&lt;&gt;"",S1588="",OR(Q1588="",R1588="")),"🟡 PENDÊNCIA SEM RESPONSÁVEL/PRAZO",IF(AND(ISNUMBER(R1588),R1588=TODAY()),"🟡 VENCE HOJE",IF(AND(P1588&lt;&gt;"",S1588=""),"🟡 PENDÊNCIA ABERTA",IF(AND(N(J1588)&gt;0,N(K1588)&lt;J1588),"🟡 FALTA EXECUTAR",IF(OR(M1588="PENDENTE",M1588="PARCIAL"),"🟡 FATURAMENTO PENDENTE","🟡 EMBARQUE PENDENTE")))))))))))</f>
        <v/>
      </c>
      <c r="D1588" s="4" t="n"/>
      <c r="E1588" s="5" t="n"/>
      <c r="F1588" s="5" t="n"/>
      <c r="G1588" s="5" t="n"/>
      <c r="H1588" s="5" t="n"/>
      <c r="I1588" s="5" t="n"/>
      <c r="J1588" s="6" t="n"/>
      <c r="K1588" s="6" t="n"/>
      <c r="L1588" s="7">
        <f>IF(OR(D1588="",N(J1588)=0),"",MIN(1,N(K1588)/J1588))</f>
        <v/>
      </c>
      <c r="M1588" s="5" t="n"/>
      <c r="N1588" s="5" t="n"/>
      <c r="O1588" s="5" t="n"/>
      <c r="P1588" s="5" t="n"/>
      <c r="Q1588" s="5" t="n"/>
      <c r="R1588" s="4" t="n"/>
      <c r="S1588" s="4" t="n"/>
      <c r="T1588" s="5" t="n"/>
      <c r="U1588" s="8">
        <f>IF(AND(V1588=1,D1588&lt;&gt;""),IF(D1588&gt;=corte,TODAY()-D1588,""),"")</f>
        <v/>
      </c>
      <c r="V1588" s="8">
        <f>IF(D1588="",0,IF(OR(AND(P1588&lt;&gt;"",S1588=""),AND(N(J1588)&gt;0,N(K1588)&lt;J1588),OR(M1588="PENDENTE",M1588="PARCIAL"),OR(N1588="PENDENTE",N1588="PARCIAL")),1,0))</f>
        <v/>
      </c>
      <c r="W1588" s="8">
        <f>IF(AND(V1588=1,D1588&lt;&gt;""),IF(D1588&gt;=corte,(B1588="CRÍTICO")*1E9+(100000-D1588)*10000+10000-ROW(),""),"")</f>
        <v/>
      </c>
      <c r="X1588" s="8">
        <f>IF(AND(V1588=1,D1588=pas_data,E1588=pas_turno),10000-ROW(),"")</f>
        <v/>
      </c>
    </row>
    <row r="1589">
      <c r="A1589" s="3">
        <f>IF(D1589="","","TT-"&amp;TEXT(ROW()-1,"00000"))</f>
        <v/>
      </c>
      <c r="B1589" s="3">
        <f>IF(D1589="","",IF(V1589=0,"CONCLUÍDO",IF(D1589&lt;corte,"HISTÓRICO",IF(OR(AND(ISNUMBER(R1589),R1589&lt;TODAY()),AND(OR(N1589="PENDENTE",N1589="PARCIAL"),D1589&lt;TODAY()-1)),"CRÍTICO",IF(OR(AND(P1589&lt;&gt;"",S1589=""),AND(N1589="REALIZADO",M1589="PENDENTE"),AND(ISNUMBER(R1589),R1589=TODAY())),"ATENÇÃO",IF(N(K1589)=0,"PENDENTE","EM ANDAMENTO"))))))</f>
        <v/>
      </c>
      <c r="C1589" s="3">
        <f>IF(D1589="","",IF(V1589=0,"🟢 OK",IF(D1589&lt;corte,"⚪ HISTÓRICO (sem baixa)",IF(AND(ISNUMBER(R1589),R1589&lt;TODAY()),"🔴 PRAZO VENCIDO",IF(AND(OR(N1589="PENDENTE",N1589="PARCIAL"),D1589&lt;TODAY()-1),"🔴 EMBARQUE ATRASADO",IF(AND(N1589="REALIZADO",M1589="PENDENTE"),"🟡 EMBARCADO SEM FATURAR",IF(AND(P1589&lt;&gt;"",S1589="",OR(Q1589="",R1589="")),"🟡 PENDÊNCIA SEM RESPONSÁVEL/PRAZO",IF(AND(ISNUMBER(R1589),R1589=TODAY()),"🟡 VENCE HOJE",IF(AND(P1589&lt;&gt;"",S1589=""),"🟡 PENDÊNCIA ABERTA",IF(AND(N(J1589)&gt;0,N(K1589)&lt;J1589),"🟡 FALTA EXECUTAR",IF(OR(M1589="PENDENTE",M1589="PARCIAL"),"🟡 FATURAMENTO PENDENTE","🟡 EMBARQUE PENDENTE")))))))))))</f>
        <v/>
      </c>
      <c r="D1589" s="4" t="n"/>
      <c r="E1589" s="5" t="n"/>
      <c r="F1589" s="5" t="n"/>
      <c r="G1589" s="5" t="n"/>
      <c r="H1589" s="5" t="n"/>
      <c r="I1589" s="5" t="n"/>
      <c r="J1589" s="6" t="n"/>
      <c r="K1589" s="6" t="n"/>
      <c r="L1589" s="7">
        <f>IF(OR(D1589="",N(J1589)=0),"",MIN(1,N(K1589)/J1589))</f>
        <v/>
      </c>
      <c r="M1589" s="5" t="n"/>
      <c r="N1589" s="5" t="n"/>
      <c r="O1589" s="5" t="n"/>
      <c r="P1589" s="5" t="n"/>
      <c r="Q1589" s="5" t="n"/>
      <c r="R1589" s="4" t="n"/>
      <c r="S1589" s="4" t="n"/>
      <c r="T1589" s="5" t="n"/>
      <c r="U1589" s="8">
        <f>IF(AND(V1589=1,D1589&lt;&gt;""),IF(D1589&gt;=corte,TODAY()-D1589,""),"")</f>
        <v/>
      </c>
      <c r="V1589" s="8">
        <f>IF(D1589="",0,IF(OR(AND(P1589&lt;&gt;"",S1589=""),AND(N(J1589)&gt;0,N(K1589)&lt;J1589),OR(M1589="PENDENTE",M1589="PARCIAL"),OR(N1589="PENDENTE",N1589="PARCIAL")),1,0))</f>
        <v/>
      </c>
      <c r="W1589" s="8">
        <f>IF(AND(V1589=1,D1589&lt;&gt;""),IF(D1589&gt;=corte,(B1589="CRÍTICO")*1E9+(100000-D1589)*10000+10000-ROW(),""),"")</f>
        <v/>
      </c>
      <c r="X1589" s="8">
        <f>IF(AND(V1589=1,D1589=pas_data,E1589=pas_turno),10000-ROW(),"")</f>
        <v/>
      </c>
    </row>
    <row r="1590">
      <c r="A1590" s="3">
        <f>IF(D1590="","","TT-"&amp;TEXT(ROW()-1,"00000"))</f>
        <v/>
      </c>
      <c r="B1590" s="3">
        <f>IF(D1590="","",IF(V1590=0,"CONCLUÍDO",IF(D1590&lt;corte,"HISTÓRICO",IF(OR(AND(ISNUMBER(R1590),R1590&lt;TODAY()),AND(OR(N1590="PENDENTE",N1590="PARCIAL"),D1590&lt;TODAY()-1)),"CRÍTICO",IF(OR(AND(P1590&lt;&gt;"",S1590=""),AND(N1590="REALIZADO",M1590="PENDENTE"),AND(ISNUMBER(R1590),R1590=TODAY())),"ATENÇÃO",IF(N(K1590)=0,"PENDENTE","EM ANDAMENTO"))))))</f>
        <v/>
      </c>
      <c r="C1590" s="3">
        <f>IF(D1590="","",IF(V1590=0,"🟢 OK",IF(D1590&lt;corte,"⚪ HISTÓRICO (sem baixa)",IF(AND(ISNUMBER(R1590),R1590&lt;TODAY()),"🔴 PRAZO VENCIDO",IF(AND(OR(N1590="PENDENTE",N1590="PARCIAL"),D1590&lt;TODAY()-1),"🔴 EMBARQUE ATRASADO",IF(AND(N1590="REALIZADO",M1590="PENDENTE"),"🟡 EMBARCADO SEM FATURAR",IF(AND(P1590&lt;&gt;"",S1590="",OR(Q1590="",R1590="")),"🟡 PENDÊNCIA SEM RESPONSÁVEL/PRAZO",IF(AND(ISNUMBER(R1590),R1590=TODAY()),"🟡 VENCE HOJE",IF(AND(P1590&lt;&gt;"",S1590=""),"🟡 PENDÊNCIA ABERTA",IF(AND(N(J1590)&gt;0,N(K1590)&lt;J1590),"🟡 FALTA EXECUTAR",IF(OR(M1590="PENDENTE",M1590="PARCIAL"),"🟡 FATURAMENTO PENDENTE","🟡 EMBARQUE PENDENTE")))))))))))</f>
        <v/>
      </c>
      <c r="D1590" s="4" t="n"/>
      <c r="E1590" s="5" t="n"/>
      <c r="F1590" s="5" t="n"/>
      <c r="G1590" s="5" t="n"/>
      <c r="H1590" s="5" t="n"/>
      <c r="I1590" s="5" t="n"/>
      <c r="J1590" s="6" t="n"/>
      <c r="K1590" s="6" t="n"/>
      <c r="L1590" s="7">
        <f>IF(OR(D1590="",N(J1590)=0),"",MIN(1,N(K1590)/J1590))</f>
        <v/>
      </c>
      <c r="M1590" s="5" t="n"/>
      <c r="N1590" s="5" t="n"/>
      <c r="O1590" s="5" t="n"/>
      <c r="P1590" s="5" t="n"/>
      <c r="Q1590" s="5" t="n"/>
      <c r="R1590" s="4" t="n"/>
      <c r="S1590" s="4" t="n"/>
      <c r="T1590" s="5" t="n"/>
      <c r="U1590" s="8">
        <f>IF(AND(V1590=1,D1590&lt;&gt;""),IF(D1590&gt;=corte,TODAY()-D1590,""),"")</f>
        <v/>
      </c>
      <c r="V1590" s="8">
        <f>IF(D1590="",0,IF(OR(AND(P1590&lt;&gt;"",S1590=""),AND(N(J1590)&gt;0,N(K1590)&lt;J1590),OR(M1590="PENDENTE",M1590="PARCIAL"),OR(N1590="PENDENTE",N1590="PARCIAL")),1,0))</f>
        <v/>
      </c>
      <c r="W1590" s="8">
        <f>IF(AND(V1590=1,D1590&lt;&gt;""),IF(D1590&gt;=corte,(B1590="CRÍTICO")*1E9+(100000-D1590)*10000+10000-ROW(),""),"")</f>
        <v/>
      </c>
      <c r="X1590" s="8">
        <f>IF(AND(V1590=1,D1590=pas_data,E1590=pas_turno),10000-ROW(),"")</f>
        <v/>
      </c>
    </row>
    <row r="1591">
      <c r="A1591" s="3">
        <f>IF(D1591="","","TT-"&amp;TEXT(ROW()-1,"00000"))</f>
        <v/>
      </c>
      <c r="B1591" s="3">
        <f>IF(D1591="","",IF(V1591=0,"CONCLUÍDO",IF(D1591&lt;corte,"HISTÓRICO",IF(OR(AND(ISNUMBER(R1591),R1591&lt;TODAY()),AND(OR(N1591="PENDENTE",N1591="PARCIAL"),D1591&lt;TODAY()-1)),"CRÍTICO",IF(OR(AND(P1591&lt;&gt;"",S1591=""),AND(N1591="REALIZADO",M1591="PENDENTE"),AND(ISNUMBER(R1591),R1591=TODAY())),"ATENÇÃO",IF(N(K1591)=0,"PENDENTE","EM ANDAMENTO"))))))</f>
        <v/>
      </c>
      <c r="C1591" s="3">
        <f>IF(D1591="","",IF(V1591=0,"🟢 OK",IF(D1591&lt;corte,"⚪ HISTÓRICO (sem baixa)",IF(AND(ISNUMBER(R1591),R1591&lt;TODAY()),"🔴 PRAZO VENCIDO",IF(AND(OR(N1591="PENDENTE",N1591="PARCIAL"),D1591&lt;TODAY()-1),"🔴 EMBARQUE ATRASADO",IF(AND(N1591="REALIZADO",M1591="PENDENTE"),"🟡 EMBARCADO SEM FATURAR",IF(AND(P1591&lt;&gt;"",S1591="",OR(Q1591="",R1591="")),"🟡 PENDÊNCIA SEM RESPONSÁVEL/PRAZO",IF(AND(ISNUMBER(R1591),R1591=TODAY()),"🟡 VENCE HOJE",IF(AND(P1591&lt;&gt;"",S1591=""),"🟡 PENDÊNCIA ABERTA",IF(AND(N(J1591)&gt;0,N(K1591)&lt;J1591),"🟡 FALTA EXECUTAR",IF(OR(M1591="PENDENTE",M1591="PARCIAL"),"🟡 FATURAMENTO PENDENTE","🟡 EMBARQUE PENDENTE")))))))))))</f>
        <v/>
      </c>
      <c r="D1591" s="4" t="n"/>
      <c r="E1591" s="5" t="n"/>
      <c r="F1591" s="5" t="n"/>
      <c r="G1591" s="5" t="n"/>
      <c r="H1591" s="5" t="n"/>
      <c r="I1591" s="5" t="n"/>
      <c r="J1591" s="6" t="n"/>
      <c r="K1591" s="6" t="n"/>
      <c r="L1591" s="7">
        <f>IF(OR(D1591="",N(J1591)=0),"",MIN(1,N(K1591)/J1591))</f>
        <v/>
      </c>
      <c r="M1591" s="5" t="n"/>
      <c r="N1591" s="5" t="n"/>
      <c r="O1591" s="5" t="n"/>
      <c r="P1591" s="5" t="n"/>
      <c r="Q1591" s="5" t="n"/>
      <c r="R1591" s="4" t="n"/>
      <c r="S1591" s="4" t="n"/>
      <c r="T1591" s="5" t="n"/>
      <c r="U1591" s="8">
        <f>IF(AND(V1591=1,D1591&lt;&gt;""),IF(D1591&gt;=corte,TODAY()-D1591,""),"")</f>
        <v/>
      </c>
      <c r="V1591" s="8">
        <f>IF(D1591="",0,IF(OR(AND(P1591&lt;&gt;"",S1591=""),AND(N(J1591)&gt;0,N(K1591)&lt;J1591),OR(M1591="PENDENTE",M1591="PARCIAL"),OR(N1591="PENDENTE",N1591="PARCIAL")),1,0))</f>
        <v/>
      </c>
      <c r="W1591" s="8">
        <f>IF(AND(V1591=1,D1591&lt;&gt;""),IF(D1591&gt;=corte,(B1591="CRÍTICO")*1E9+(100000-D1591)*10000+10000-ROW(),""),"")</f>
        <v/>
      </c>
      <c r="X1591" s="8">
        <f>IF(AND(V1591=1,D1591=pas_data,E1591=pas_turno),10000-ROW(),"")</f>
        <v/>
      </c>
    </row>
    <row r="1592">
      <c r="A1592" s="3">
        <f>IF(D1592="","","TT-"&amp;TEXT(ROW()-1,"00000"))</f>
        <v/>
      </c>
      <c r="B1592" s="3">
        <f>IF(D1592="","",IF(V1592=0,"CONCLUÍDO",IF(D1592&lt;corte,"HISTÓRICO",IF(OR(AND(ISNUMBER(R1592),R1592&lt;TODAY()),AND(OR(N1592="PENDENTE",N1592="PARCIAL"),D1592&lt;TODAY()-1)),"CRÍTICO",IF(OR(AND(P1592&lt;&gt;"",S1592=""),AND(N1592="REALIZADO",M1592="PENDENTE"),AND(ISNUMBER(R1592),R1592=TODAY())),"ATENÇÃO",IF(N(K1592)=0,"PENDENTE","EM ANDAMENTO"))))))</f>
        <v/>
      </c>
      <c r="C1592" s="3">
        <f>IF(D1592="","",IF(V1592=0,"🟢 OK",IF(D1592&lt;corte,"⚪ HISTÓRICO (sem baixa)",IF(AND(ISNUMBER(R1592),R1592&lt;TODAY()),"🔴 PRAZO VENCIDO",IF(AND(OR(N1592="PENDENTE",N1592="PARCIAL"),D1592&lt;TODAY()-1),"🔴 EMBARQUE ATRASADO",IF(AND(N1592="REALIZADO",M1592="PENDENTE"),"🟡 EMBARCADO SEM FATURAR",IF(AND(P1592&lt;&gt;"",S1592="",OR(Q1592="",R1592="")),"🟡 PENDÊNCIA SEM RESPONSÁVEL/PRAZO",IF(AND(ISNUMBER(R1592),R1592=TODAY()),"🟡 VENCE HOJE",IF(AND(P1592&lt;&gt;"",S1592=""),"🟡 PENDÊNCIA ABERTA",IF(AND(N(J1592)&gt;0,N(K1592)&lt;J1592),"🟡 FALTA EXECUTAR",IF(OR(M1592="PENDENTE",M1592="PARCIAL"),"🟡 FATURAMENTO PENDENTE","🟡 EMBARQUE PENDENTE")))))))))))</f>
        <v/>
      </c>
      <c r="D1592" s="4" t="n"/>
      <c r="E1592" s="5" t="n"/>
      <c r="F1592" s="5" t="n"/>
      <c r="G1592" s="5" t="n"/>
      <c r="H1592" s="5" t="n"/>
      <c r="I1592" s="5" t="n"/>
      <c r="J1592" s="6" t="n"/>
      <c r="K1592" s="6" t="n"/>
      <c r="L1592" s="7">
        <f>IF(OR(D1592="",N(J1592)=0),"",MIN(1,N(K1592)/J1592))</f>
        <v/>
      </c>
      <c r="M1592" s="5" t="n"/>
      <c r="N1592" s="5" t="n"/>
      <c r="O1592" s="5" t="n"/>
      <c r="P1592" s="5" t="n"/>
      <c r="Q1592" s="5" t="n"/>
      <c r="R1592" s="4" t="n"/>
      <c r="S1592" s="4" t="n"/>
      <c r="T1592" s="5" t="n"/>
      <c r="U1592" s="8">
        <f>IF(AND(V1592=1,D1592&lt;&gt;""),IF(D1592&gt;=corte,TODAY()-D1592,""),"")</f>
        <v/>
      </c>
      <c r="V1592" s="8">
        <f>IF(D1592="",0,IF(OR(AND(P1592&lt;&gt;"",S1592=""),AND(N(J1592)&gt;0,N(K1592)&lt;J1592),OR(M1592="PENDENTE",M1592="PARCIAL"),OR(N1592="PENDENTE",N1592="PARCIAL")),1,0))</f>
        <v/>
      </c>
      <c r="W1592" s="8">
        <f>IF(AND(V1592=1,D1592&lt;&gt;""),IF(D1592&gt;=corte,(B1592="CRÍTICO")*1E9+(100000-D1592)*10000+10000-ROW(),""),"")</f>
        <v/>
      </c>
      <c r="X1592" s="8">
        <f>IF(AND(V1592=1,D1592=pas_data,E1592=pas_turno),10000-ROW(),"")</f>
        <v/>
      </c>
    </row>
    <row r="1593">
      <c r="A1593" s="3">
        <f>IF(D1593="","","TT-"&amp;TEXT(ROW()-1,"00000"))</f>
        <v/>
      </c>
      <c r="B1593" s="3">
        <f>IF(D1593="","",IF(V1593=0,"CONCLUÍDO",IF(D1593&lt;corte,"HISTÓRICO",IF(OR(AND(ISNUMBER(R1593),R1593&lt;TODAY()),AND(OR(N1593="PENDENTE",N1593="PARCIAL"),D1593&lt;TODAY()-1)),"CRÍTICO",IF(OR(AND(P1593&lt;&gt;"",S1593=""),AND(N1593="REALIZADO",M1593="PENDENTE"),AND(ISNUMBER(R1593),R1593=TODAY())),"ATENÇÃO",IF(N(K1593)=0,"PENDENTE","EM ANDAMENTO"))))))</f>
        <v/>
      </c>
      <c r="C1593" s="3">
        <f>IF(D1593="","",IF(V1593=0,"🟢 OK",IF(D1593&lt;corte,"⚪ HISTÓRICO (sem baixa)",IF(AND(ISNUMBER(R1593),R1593&lt;TODAY()),"🔴 PRAZO VENCIDO",IF(AND(OR(N1593="PENDENTE",N1593="PARCIAL"),D1593&lt;TODAY()-1),"🔴 EMBARQUE ATRASADO",IF(AND(N1593="REALIZADO",M1593="PENDENTE"),"🟡 EMBARCADO SEM FATURAR",IF(AND(P1593&lt;&gt;"",S1593="",OR(Q1593="",R1593="")),"🟡 PENDÊNCIA SEM RESPONSÁVEL/PRAZO",IF(AND(ISNUMBER(R1593),R1593=TODAY()),"🟡 VENCE HOJE",IF(AND(P1593&lt;&gt;"",S1593=""),"🟡 PENDÊNCIA ABERTA",IF(AND(N(J1593)&gt;0,N(K1593)&lt;J1593),"🟡 FALTA EXECUTAR",IF(OR(M1593="PENDENTE",M1593="PARCIAL"),"🟡 FATURAMENTO PENDENTE","🟡 EMBARQUE PENDENTE")))))))))))</f>
        <v/>
      </c>
      <c r="D1593" s="4" t="n"/>
      <c r="E1593" s="5" t="n"/>
      <c r="F1593" s="5" t="n"/>
      <c r="G1593" s="5" t="n"/>
      <c r="H1593" s="5" t="n"/>
      <c r="I1593" s="5" t="n"/>
      <c r="J1593" s="6" t="n"/>
      <c r="K1593" s="6" t="n"/>
      <c r="L1593" s="7">
        <f>IF(OR(D1593="",N(J1593)=0),"",MIN(1,N(K1593)/J1593))</f>
        <v/>
      </c>
      <c r="M1593" s="5" t="n"/>
      <c r="N1593" s="5" t="n"/>
      <c r="O1593" s="5" t="n"/>
      <c r="P1593" s="5" t="n"/>
      <c r="Q1593" s="5" t="n"/>
      <c r="R1593" s="4" t="n"/>
      <c r="S1593" s="4" t="n"/>
      <c r="T1593" s="5" t="n"/>
      <c r="U1593" s="8">
        <f>IF(AND(V1593=1,D1593&lt;&gt;""),IF(D1593&gt;=corte,TODAY()-D1593,""),"")</f>
        <v/>
      </c>
      <c r="V1593" s="8">
        <f>IF(D1593="",0,IF(OR(AND(P1593&lt;&gt;"",S1593=""),AND(N(J1593)&gt;0,N(K1593)&lt;J1593),OR(M1593="PENDENTE",M1593="PARCIAL"),OR(N1593="PENDENTE",N1593="PARCIAL")),1,0))</f>
        <v/>
      </c>
      <c r="W1593" s="8">
        <f>IF(AND(V1593=1,D1593&lt;&gt;""),IF(D1593&gt;=corte,(B1593="CRÍTICO")*1E9+(100000-D1593)*10000+10000-ROW(),""),"")</f>
        <v/>
      </c>
      <c r="X1593" s="8">
        <f>IF(AND(V1593=1,D1593=pas_data,E1593=pas_turno),10000-ROW(),"")</f>
        <v/>
      </c>
    </row>
    <row r="1594">
      <c r="A1594" s="3">
        <f>IF(D1594="","","TT-"&amp;TEXT(ROW()-1,"00000"))</f>
        <v/>
      </c>
      <c r="B1594" s="3">
        <f>IF(D1594="","",IF(V1594=0,"CONCLUÍDO",IF(D1594&lt;corte,"HISTÓRICO",IF(OR(AND(ISNUMBER(R1594),R1594&lt;TODAY()),AND(OR(N1594="PENDENTE",N1594="PARCIAL"),D1594&lt;TODAY()-1)),"CRÍTICO",IF(OR(AND(P1594&lt;&gt;"",S1594=""),AND(N1594="REALIZADO",M1594="PENDENTE"),AND(ISNUMBER(R1594),R1594=TODAY())),"ATENÇÃO",IF(N(K1594)=0,"PENDENTE","EM ANDAMENTO"))))))</f>
        <v/>
      </c>
      <c r="C1594" s="3">
        <f>IF(D1594="","",IF(V1594=0,"🟢 OK",IF(D1594&lt;corte,"⚪ HISTÓRICO (sem baixa)",IF(AND(ISNUMBER(R1594),R1594&lt;TODAY()),"🔴 PRAZO VENCIDO",IF(AND(OR(N1594="PENDENTE",N1594="PARCIAL"),D1594&lt;TODAY()-1),"🔴 EMBARQUE ATRASADO",IF(AND(N1594="REALIZADO",M1594="PENDENTE"),"🟡 EMBARCADO SEM FATURAR",IF(AND(P1594&lt;&gt;"",S1594="",OR(Q1594="",R1594="")),"🟡 PENDÊNCIA SEM RESPONSÁVEL/PRAZO",IF(AND(ISNUMBER(R1594),R1594=TODAY()),"🟡 VENCE HOJE",IF(AND(P1594&lt;&gt;"",S1594=""),"🟡 PENDÊNCIA ABERTA",IF(AND(N(J1594)&gt;0,N(K1594)&lt;J1594),"🟡 FALTA EXECUTAR",IF(OR(M1594="PENDENTE",M1594="PARCIAL"),"🟡 FATURAMENTO PENDENTE","🟡 EMBARQUE PENDENTE")))))))))))</f>
        <v/>
      </c>
      <c r="D1594" s="4" t="n"/>
      <c r="E1594" s="5" t="n"/>
      <c r="F1594" s="5" t="n"/>
      <c r="G1594" s="5" t="n"/>
      <c r="H1594" s="5" t="n"/>
      <c r="I1594" s="5" t="n"/>
      <c r="J1594" s="6" t="n"/>
      <c r="K1594" s="6" t="n"/>
      <c r="L1594" s="7">
        <f>IF(OR(D1594="",N(J1594)=0),"",MIN(1,N(K1594)/J1594))</f>
        <v/>
      </c>
      <c r="M1594" s="5" t="n"/>
      <c r="N1594" s="5" t="n"/>
      <c r="O1594" s="5" t="n"/>
      <c r="P1594" s="5" t="n"/>
      <c r="Q1594" s="5" t="n"/>
      <c r="R1594" s="4" t="n"/>
      <c r="S1594" s="4" t="n"/>
      <c r="T1594" s="5" t="n"/>
      <c r="U1594" s="8">
        <f>IF(AND(V1594=1,D1594&lt;&gt;""),IF(D1594&gt;=corte,TODAY()-D1594,""),"")</f>
        <v/>
      </c>
      <c r="V1594" s="8">
        <f>IF(D1594="",0,IF(OR(AND(P1594&lt;&gt;"",S1594=""),AND(N(J1594)&gt;0,N(K1594)&lt;J1594),OR(M1594="PENDENTE",M1594="PARCIAL"),OR(N1594="PENDENTE",N1594="PARCIAL")),1,0))</f>
        <v/>
      </c>
      <c r="W1594" s="8">
        <f>IF(AND(V1594=1,D1594&lt;&gt;""),IF(D1594&gt;=corte,(B1594="CRÍTICO")*1E9+(100000-D1594)*10000+10000-ROW(),""),"")</f>
        <v/>
      </c>
      <c r="X1594" s="8">
        <f>IF(AND(V1594=1,D1594=pas_data,E1594=pas_turno),10000-ROW(),"")</f>
        <v/>
      </c>
    </row>
    <row r="1595">
      <c r="A1595" s="3">
        <f>IF(D1595="","","TT-"&amp;TEXT(ROW()-1,"00000"))</f>
        <v/>
      </c>
      <c r="B1595" s="3">
        <f>IF(D1595="","",IF(V1595=0,"CONCLUÍDO",IF(D1595&lt;corte,"HISTÓRICO",IF(OR(AND(ISNUMBER(R1595),R1595&lt;TODAY()),AND(OR(N1595="PENDENTE",N1595="PARCIAL"),D1595&lt;TODAY()-1)),"CRÍTICO",IF(OR(AND(P1595&lt;&gt;"",S1595=""),AND(N1595="REALIZADO",M1595="PENDENTE"),AND(ISNUMBER(R1595),R1595=TODAY())),"ATENÇÃO",IF(N(K1595)=0,"PENDENTE","EM ANDAMENTO"))))))</f>
        <v/>
      </c>
      <c r="C1595" s="3">
        <f>IF(D1595="","",IF(V1595=0,"🟢 OK",IF(D1595&lt;corte,"⚪ HISTÓRICO (sem baixa)",IF(AND(ISNUMBER(R1595),R1595&lt;TODAY()),"🔴 PRAZO VENCIDO",IF(AND(OR(N1595="PENDENTE",N1595="PARCIAL"),D1595&lt;TODAY()-1),"🔴 EMBARQUE ATRASADO",IF(AND(N1595="REALIZADO",M1595="PENDENTE"),"🟡 EMBARCADO SEM FATURAR",IF(AND(P1595&lt;&gt;"",S1595="",OR(Q1595="",R1595="")),"🟡 PENDÊNCIA SEM RESPONSÁVEL/PRAZO",IF(AND(ISNUMBER(R1595),R1595=TODAY()),"🟡 VENCE HOJE",IF(AND(P1595&lt;&gt;"",S1595=""),"🟡 PENDÊNCIA ABERTA",IF(AND(N(J1595)&gt;0,N(K1595)&lt;J1595),"🟡 FALTA EXECUTAR",IF(OR(M1595="PENDENTE",M1595="PARCIAL"),"🟡 FATURAMENTO PENDENTE","🟡 EMBARQUE PENDENTE")))))))))))</f>
        <v/>
      </c>
      <c r="D1595" s="4" t="n"/>
      <c r="E1595" s="5" t="n"/>
      <c r="F1595" s="5" t="n"/>
      <c r="G1595" s="5" t="n"/>
      <c r="H1595" s="5" t="n"/>
      <c r="I1595" s="5" t="n"/>
      <c r="J1595" s="6" t="n"/>
      <c r="K1595" s="6" t="n"/>
      <c r="L1595" s="7">
        <f>IF(OR(D1595="",N(J1595)=0),"",MIN(1,N(K1595)/J1595))</f>
        <v/>
      </c>
      <c r="M1595" s="5" t="n"/>
      <c r="N1595" s="5" t="n"/>
      <c r="O1595" s="5" t="n"/>
      <c r="P1595" s="5" t="n"/>
      <c r="Q1595" s="5" t="n"/>
      <c r="R1595" s="4" t="n"/>
      <c r="S1595" s="4" t="n"/>
      <c r="T1595" s="5" t="n"/>
      <c r="U1595" s="8">
        <f>IF(AND(V1595=1,D1595&lt;&gt;""),IF(D1595&gt;=corte,TODAY()-D1595,""),"")</f>
        <v/>
      </c>
      <c r="V1595" s="8">
        <f>IF(D1595="",0,IF(OR(AND(P1595&lt;&gt;"",S1595=""),AND(N(J1595)&gt;0,N(K1595)&lt;J1595),OR(M1595="PENDENTE",M1595="PARCIAL"),OR(N1595="PENDENTE",N1595="PARCIAL")),1,0))</f>
        <v/>
      </c>
      <c r="W1595" s="8">
        <f>IF(AND(V1595=1,D1595&lt;&gt;""),IF(D1595&gt;=corte,(B1595="CRÍTICO")*1E9+(100000-D1595)*10000+10000-ROW(),""),"")</f>
        <v/>
      </c>
      <c r="X1595" s="8">
        <f>IF(AND(V1595=1,D1595=pas_data,E1595=pas_turno),10000-ROW(),"")</f>
        <v/>
      </c>
    </row>
    <row r="1596">
      <c r="A1596" s="3">
        <f>IF(D1596="","","TT-"&amp;TEXT(ROW()-1,"00000"))</f>
        <v/>
      </c>
      <c r="B1596" s="3">
        <f>IF(D1596="","",IF(V1596=0,"CONCLUÍDO",IF(D1596&lt;corte,"HISTÓRICO",IF(OR(AND(ISNUMBER(R1596),R1596&lt;TODAY()),AND(OR(N1596="PENDENTE",N1596="PARCIAL"),D1596&lt;TODAY()-1)),"CRÍTICO",IF(OR(AND(P1596&lt;&gt;"",S1596=""),AND(N1596="REALIZADO",M1596="PENDENTE"),AND(ISNUMBER(R1596),R1596=TODAY())),"ATENÇÃO",IF(N(K1596)=0,"PENDENTE","EM ANDAMENTO"))))))</f>
        <v/>
      </c>
      <c r="C1596" s="3">
        <f>IF(D1596="","",IF(V1596=0,"🟢 OK",IF(D1596&lt;corte,"⚪ HISTÓRICO (sem baixa)",IF(AND(ISNUMBER(R1596),R1596&lt;TODAY()),"🔴 PRAZO VENCIDO",IF(AND(OR(N1596="PENDENTE",N1596="PARCIAL"),D1596&lt;TODAY()-1),"🔴 EMBARQUE ATRASADO",IF(AND(N1596="REALIZADO",M1596="PENDENTE"),"🟡 EMBARCADO SEM FATURAR",IF(AND(P1596&lt;&gt;"",S1596="",OR(Q1596="",R1596="")),"🟡 PENDÊNCIA SEM RESPONSÁVEL/PRAZO",IF(AND(ISNUMBER(R1596),R1596=TODAY()),"🟡 VENCE HOJE",IF(AND(P1596&lt;&gt;"",S1596=""),"🟡 PENDÊNCIA ABERTA",IF(AND(N(J1596)&gt;0,N(K1596)&lt;J1596),"🟡 FALTA EXECUTAR",IF(OR(M1596="PENDENTE",M1596="PARCIAL"),"🟡 FATURAMENTO PENDENTE","🟡 EMBARQUE PENDENTE")))))))))))</f>
        <v/>
      </c>
      <c r="D1596" s="4" t="n"/>
      <c r="E1596" s="5" t="n"/>
      <c r="F1596" s="5" t="n"/>
      <c r="G1596" s="5" t="n"/>
      <c r="H1596" s="5" t="n"/>
      <c r="I1596" s="5" t="n"/>
      <c r="J1596" s="6" t="n"/>
      <c r="K1596" s="6" t="n"/>
      <c r="L1596" s="7">
        <f>IF(OR(D1596="",N(J1596)=0),"",MIN(1,N(K1596)/J1596))</f>
        <v/>
      </c>
      <c r="M1596" s="5" t="n"/>
      <c r="N1596" s="5" t="n"/>
      <c r="O1596" s="5" t="n"/>
      <c r="P1596" s="5" t="n"/>
      <c r="Q1596" s="5" t="n"/>
      <c r="R1596" s="4" t="n"/>
      <c r="S1596" s="4" t="n"/>
      <c r="T1596" s="5" t="n"/>
      <c r="U1596" s="8">
        <f>IF(AND(V1596=1,D1596&lt;&gt;""),IF(D1596&gt;=corte,TODAY()-D1596,""),"")</f>
        <v/>
      </c>
      <c r="V1596" s="8">
        <f>IF(D1596="",0,IF(OR(AND(P1596&lt;&gt;"",S1596=""),AND(N(J1596)&gt;0,N(K1596)&lt;J1596),OR(M1596="PENDENTE",M1596="PARCIAL"),OR(N1596="PENDENTE",N1596="PARCIAL")),1,0))</f>
        <v/>
      </c>
      <c r="W1596" s="8">
        <f>IF(AND(V1596=1,D1596&lt;&gt;""),IF(D1596&gt;=corte,(B1596="CRÍTICO")*1E9+(100000-D1596)*10000+10000-ROW(),""),"")</f>
        <v/>
      </c>
      <c r="X1596" s="8">
        <f>IF(AND(V1596=1,D1596=pas_data,E1596=pas_turno),10000-ROW(),"")</f>
        <v/>
      </c>
    </row>
    <row r="1597">
      <c r="A1597" s="3">
        <f>IF(D1597="","","TT-"&amp;TEXT(ROW()-1,"00000"))</f>
        <v/>
      </c>
      <c r="B1597" s="3">
        <f>IF(D1597="","",IF(V1597=0,"CONCLUÍDO",IF(D1597&lt;corte,"HISTÓRICO",IF(OR(AND(ISNUMBER(R1597),R1597&lt;TODAY()),AND(OR(N1597="PENDENTE",N1597="PARCIAL"),D1597&lt;TODAY()-1)),"CRÍTICO",IF(OR(AND(P1597&lt;&gt;"",S1597=""),AND(N1597="REALIZADO",M1597="PENDENTE"),AND(ISNUMBER(R1597),R1597=TODAY())),"ATENÇÃO",IF(N(K1597)=0,"PENDENTE","EM ANDAMENTO"))))))</f>
        <v/>
      </c>
      <c r="C1597" s="3">
        <f>IF(D1597="","",IF(V1597=0,"🟢 OK",IF(D1597&lt;corte,"⚪ HISTÓRICO (sem baixa)",IF(AND(ISNUMBER(R1597),R1597&lt;TODAY()),"🔴 PRAZO VENCIDO",IF(AND(OR(N1597="PENDENTE",N1597="PARCIAL"),D1597&lt;TODAY()-1),"🔴 EMBARQUE ATRASADO",IF(AND(N1597="REALIZADO",M1597="PENDENTE"),"🟡 EMBARCADO SEM FATURAR",IF(AND(P1597&lt;&gt;"",S1597="",OR(Q1597="",R1597="")),"🟡 PENDÊNCIA SEM RESPONSÁVEL/PRAZO",IF(AND(ISNUMBER(R1597),R1597=TODAY()),"🟡 VENCE HOJE",IF(AND(P1597&lt;&gt;"",S1597=""),"🟡 PENDÊNCIA ABERTA",IF(AND(N(J1597)&gt;0,N(K1597)&lt;J1597),"🟡 FALTA EXECUTAR",IF(OR(M1597="PENDENTE",M1597="PARCIAL"),"🟡 FATURAMENTO PENDENTE","🟡 EMBARQUE PENDENTE")))))))))))</f>
        <v/>
      </c>
      <c r="D1597" s="4" t="n"/>
      <c r="E1597" s="5" t="n"/>
      <c r="F1597" s="5" t="n"/>
      <c r="G1597" s="5" t="n"/>
      <c r="H1597" s="5" t="n"/>
      <c r="I1597" s="5" t="n"/>
      <c r="J1597" s="6" t="n"/>
      <c r="K1597" s="6" t="n"/>
      <c r="L1597" s="7">
        <f>IF(OR(D1597="",N(J1597)=0),"",MIN(1,N(K1597)/J1597))</f>
        <v/>
      </c>
      <c r="M1597" s="5" t="n"/>
      <c r="N1597" s="5" t="n"/>
      <c r="O1597" s="5" t="n"/>
      <c r="P1597" s="5" t="n"/>
      <c r="Q1597" s="5" t="n"/>
      <c r="R1597" s="4" t="n"/>
      <c r="S1597" s="4" t="n"/>
      <c r="T1597" s="5" t="n"/>
      <c r="U1597" s="8">
        <f>IF(AND(V1597=1,D1597&lt;&gt;""),IF(D1597&gt;=corte,TODAY()-D1597,""),"")</f>
        <v/>
      </c>
      <c r="V1597" s="8">
        <f>IF(D1597="",0,IF(OR(AND(P1597&lt;&gt;"",S1597=""),AND(N(J1597)&gt;0,N(K1597)&lt;J1597),OR(M1597="PENDENTE",M1597="PARCIAL"),OR(N1597="PENDENTE",N1597="PARCIAL")),1,0))</f>
        <v/>
      </c>
      <c r="W1597" s="8">
        <f>IF(AND(V1597=1,D1597&lt;&gt;""),IF(D1597&gt;=corte,(B1597="CRÍTICO")*1E9+(100000-D1597)*10000+10000-ROW(),""),"")</f>
        <v/>
      </c>
      <c r="X1597" s="8">
        <f>IF(AND(V1597=1,D1597=pas_data,E1597=pas_turno),10000-ROW(),"")</f>
        <v/>
      </c>
    </row>
    <row r="1598">
      <c r="A1598" s="3">
        <f>IF(D1598="","","TT-"&amp;TEXT(ROW()-1,"00000"))</f>
        <v/>
      </c>
      <c r="B1598" s="3">
        <f>IF(D1598="","",IF(V1598=0,"CONCLUÍDO",IF(D1598&lt;corte,"HISTÓRICO",IF(OR(AND(ISNUMBER(R1598),R1598&lt;TODAY()),AND(OR(N1598="PENDENTE",N1598="PARCIAL"),D1598&lt;TODAY()-1)),"CRÍTICO",IF(OR(AND(P1598&lt;&gt;"",S1598=""),AND(N1598="REALIZADO",M1598="PENDENTE"),AND(ISNUMBER(R1598),R1598=TODAY())),"ATENÇÃO",IF(N(K1598)=0,"PENDENTE","EM ANDAMENTO"))))))</f>
        <v/>
      </c>
      <c r="C1598" s="3">
        <f>IF(D1598="","",IF(V1598=0,"🟢 OK",IF(D1598&lt;corte,"⚪ HISTÓRICO (sem baixa)",IF(AND(ISNUMBER(R1598),R1598&lt;TODAY()),"🔴 PRAZO VENCIDO",IF(AND(OR(N1598="PENDENTE",N1598="PARCIAL"),D1598&lt;TODAY()-1),"🔴 EMBARQUE ATRASADO",IF(AND(N1598="REALIZADO",M1598="PENDENTE"),"🟡 EMBARCADO SEM FATURAR",IF(AND(P1598&lt;&gt;"",S1598="",OR(Q1598="",R1598="")),"🟡 PENDÊNCIA SEM RESPONSÁVEL/PRAZO",IF(AND(ISNUMBER(R1598),R1598=TODAY()),"🟡 VENCE HOJE",IF(AND(P1598&lt;&gt;"",S1598=""),"🟡 PENDÊNCIA ABERTA",IF(AND(N(J1598)&gt;0,N(K1598)&lt;J1598),"🟡 FALTA EXECUTAR",IF(OR(M1598="PENDENTE",M1598="PARCIAL"),"🟡 FATURAMENTO PENDENTE","🟡 EMBARQUE PENDENTE")))))))))))</f>
        <v/>
      </c>
      <c r="D1598" s="4" t="n"/>
      <c r="E1598" s="5" t="n"/>
      <c r="F1598" s="5" t="n"/>
      <c r="G1598" s="5" t="n"/>
      <c r="H1598" s="5" t="n"/>
      <c r="I1598" s="5" t="n"/>
      <c r="J1598" s="6" t="n"/>
      <c r="K1598" s="6" t="n"/>
      <c r="L1598" s="7">
        <f>IF(OR(D1598="",N(J1598)=0),"",MIN(1,N(K1598)/J1598))</f>
        <v/>
      </c>
      <c r="M1598" s="5" t="n"/>
      <c r="N1598" s="5" t="n"/>
      <c r="O1598" s="5" t="n"/>
      <c r="P1598" s="5" t="n"/>
      <c r="Q1598" s="5" t="n"/>
      <c r="R1598" s="4" t="n"/>
      <c r="S1598" s="4" t="n"/>
      <c r="T1598" s="5" t="n"/>
      <c r="U1598" s="8">
        <f>IF(AND(V1598=1,D1598&lt;&gt;""),IF(D1598&gt;=corte,TODAY()-D1598,""),"")</f>
        <v/>
      </c>
      <c r="V1598" s="8">
        <f>IF(D1598="",0,IF(OR(AND(P1598&lt;&gt;"",S1598=""),AND(N(J1598)&gt;0,N(K1598)&lt;J1598),OR(M1598="PENDENTE",M1598="PARCIAL"),OR(N1598="PENDENTE",N1598="PARCIAL")),1,0))</f>
        <v/>
      </c>
      <c r="W1598" s="8">
        <f>IF(AND(V1598=1,D1598&lt;&gt;""),IF(D1598&gt;=corte,(B1598="CRÍTICO")*1E9+(100000-D1598)*10000+10000-ROW(),""),"")</f>
        <v/>
      </c>
      <c r="X1598" s="8">
        <f>IF(AND(V1598=1,D1598=pas_data,E1598=pas_turno),10000-ROW(),"")</f>
        <v/>
      </c>
    </row>
    <row r="1599">
      <c r="A1599" s="3">
        <f>IF(D1599="","","TT-"&amp;TEXT(ROW()-1,"00000"))</f>
        <v/>
      </c>
      <c r="B1599" s="3">
        <f>IF(D1599="","",IF(V1599=0,"CONCLUÍDO",IF(D1599&lt;corte,"HISTÓRICO",IF(OR(AND(ISNUMBER(R1599),R1599&lt;TODAY()),AND(OR(N1599="PENDENTE",N1599="PARCIAL"),D1599&lt;TODAY()-1)),"CRÍTICO",IF(OR(AND(P1599&lt;&gt;"",S1599=""),AND(N1599="REALIZADO",M1599="PENDENTE"),AND(ISNUMBER(R1599),R1599=TODAY())),"ATENÇÃO",IF(N(K1599)=0,"PENDENTE","EM ANDAMENTO"))))))</f>
        <v/>
      </c>
      <c r="C1599" s="3">
        <f>IF(D1599="","",IF(V1599=0,"🟢 OK",IF(D1599&lt;corte,"⚪ HISTÓRICO (sem baixa)",IF(AND(ISNUMBER(R1599),R1599&lt;TODAY()),"🔴 PRAZO VENCIDO",IF(AND(OR(N1599="PENDENTE",N1599="PARCIAL"),D1599&lt;TODAY()-1),"🔴 EMBARQUE ATRASADO",IF(AND(N1599="REALIZADO",M1599="PENDENTE"),"🟡 EMBARCADO SEM FATURAR",IF(AND(P1599&lt;&gt;"",S1599="",OR(Q1599="",R1599="")),"🟡 PENDÊNCIA SEM RESPONSÁVEL/PRAZO",IF(AND(ISNUMBER(R1599),R1599=TODAY()),"🟡 VENCE HOJE",IF(AND(P1599&lt;&gt;"",S1599=""),"🟡 PENDÊNCIA ABERTA",IF(AND(N(J1599)&gt;0,N(K1599)&lt;J1599),"🟡 FALTA EXECUTAR",IF(OR(M1599="PENDENTE",M1599="PARCIAL"),"🟡 FATURAMENTO PENDENTE","🟡 EMBARQUE PENDENTE")))))))))))</f>
        <v/>
      </c>
      <c r="D1599" s="4" t="n"/>
      <c r="E1599" s="5" t="n"/>
      <c r="F1599" s="5" t="n"/>
      <c r="G1599" s="5" t="n"/>
      <c r="H1599" s="5" t="n"/>
      <c r="I1599" s="5" t="n"/>
      <c r="J1599" s="6" t="n"/>
      <c r="K1599" s="6" t="n"/>
      <c r="L1599" s="7">
        <f>IF(OR(D1599="",N(J1599)=0),"",MIN(1,N(K1599)/J1599))</f>
        <v/>
      </c>
      <c r="M1599" s="5" t="n"/>
      <c r="N1599" s="5" t="n"/>
      <c r="O1599" s="5" t="n"/>
      <c r="P1599" s="5" t="n"/>
      <c r="Q1599" s="5" t="n"/>
      <c r="R1599" s="4" t="n"/>
      <c r="S1599" s="4" t="n"/>
      <c r="T1599" s="5" t="n"/>
      <c r="U1599" s="8">
        <f>IF(AND(V1599=1,D1599&lt;&gt;""),IF(D1599&gt;=corte,TODAY()-D1599,""),"")</f>
        <v/>
      </c>
      <c r="V1599" s="8">
        <f>IF(D1599="",0,IF(OR(AND(P1599&lt;&gt;"",S1599=""),AND(N(J1599)&gt;0,N(K1599)&lt;J1599),OR(M1599="PENDENTE",M1599="PARCIAL"),OR(N1599="PENDENTE",N1599="PARCIAL")),1,0))</f>
        <v/>
      </c>
      <c r="W1599" s="8">
        <f>IF(AND(V1599=1,D1599&lt;&gt;""),IF(D1599&gt;=corte,(B1599="CRÍTICO")*1E9+(100000-D1599)*10000+10000-ROW(),""),"")</f>
        <v/>
      </c>
      <c r="X1599" s="8">
        <f>IF(AND(V1599=1,D1599=pas_data,E1599=pas_turno),10000-ROW(),"")</f>
        <v/>
      </c>
    </row>
    <row r="1600">
      <c r="A1600" s="3">
        <f>IF(D1600="","","TT-"&amp;TEXT(ROW()-1,"00000"))</f>
        <v/>
      </c>
      <c r="B1600" s="3">
        <f>IF(D1600="","",IF(V1600=0,"CONCLUÍDO",IF(D1600&lt;corte,"HISTÓRICO",IF(OR(AND(ISNUMBER(R1600),R1600&lt;TODAY()),AND(OR(N1600="PENDENTE",N1600="PARCIAL"),D1600&lt;TODAY()-1)),"CRÍTICO",IF(OR(AND(P1600&lt;&gt;"",S1600=""),AND(N1600="REALIZADO",M1600="PENDENTE"),AND(ISNUMBER(R1600),R1600=TODAY())),"ATENÇÃO",IF(N(K1600)=0,"PENDENTE","EM ANDAMENTO"))))))</f>
        <v/>
      </c>
      <c r="C1600" s="3">
        <f>IF(D1600="","",IF(V1600=0,"🟢 OK",IF(D1600&lt;corte,"⚪ HISTÓRICO (sem baixa)",IF(AND(ISNUMBER(R1600),R1600&lt;TODAY()),"🔴 PRAZO VENCIDO",IF(AND(OR(N1600="PENDENTE",N1600="PARCIAL"),D1600&lt;TODAY()-1),"🔴 EMBARQUE ATRASADO",IF(AND(N1600="REALIZADO",M1600="PENDENTE"),"🟡 EMBARCADO SEM FATURAR",IF(AND(P1600&lt;&gt;"",S1600="",OR(Q1600="",R1600="")),"🟡 PENDÊNCIA SEM RESPONSÁVEL/PRAZO",IF(AND(ISNUMBER(R1600),R1600=TODAY()),"🟡 VENCE HOJE",IF(AND(P1600&lt;&gt;"",S1600=""),"🟡 PENDÊNCIA ABERTA",IF(AND(N(J1600)&gt;0,N(K1600)&lt;J1600),"🟡 FALTA EXECUTAR",IF(OR(M1600="PENDENTE",M1600="PARCIAL"),"🟡 FATURAMENTO PENDENTE","🟡 EMBARQUE PENDENTE")))))))))))</f>
        <v/>
      </c>
      <c r="D1600" s="4" t="n"/>
      <c r="E1600" s="5" t="n"/>
      <c r="F1600" s="5" t="n"/>
      <c r="G1600" s="5" t="n"/>
      <c r="H1600" s="5" t="n"/>
      <c r="I1600" s="5" t="n"/>
      <c r="J1600" s="6" t="n"/>
      <c r="K1600" s="6" t="n"/>
      <c r="L1600" s="7">
        <f>IF(OR(D1600="",N(J1600)=0),"",MIN(1,N(K1600)/J1600))</f>
        <v/>
      </c>
      <c r="M1600" s="5" t="n"/>
      <c r="N1600" s="5" t="n"/>
      <c r="O1600" s="5" t="n"/>
      <c r="P1600" s="5" t="n"/>
      <c r="Q1600" s="5" t="n"/>
      <c r="R1600" s="4" t="n"/>
      <c r="S1600" s="4" t="n"/>
      <c r="T1600" s="5" t="n"/>
      <c r="U1600" s="8">
        <f>IF(AND(V1600=1,D1600&lt;&gt;""),IF(D1600&gt;=corte,TODAY()-D1600,""),"")</f>
        <v/>
      </c>
      <c r="V1600" s="8">
        <f>IF(D1600="",0,IF(OR(AND(P1600&lt;&gt;"",S1600=""),AND(N(J1600)&gt;0,N(K1600)&lt;J1600),OR(M1600="PENDENTE",M1600="PARCIAL"),OR(N1600="PENDENTE",N1600="PARCIAL")),1,0))</f>
        <v/>
      </c>
      <c r="W1600" s="8">
        <f>IF(AND(V1600=1,D1600&lt;&gt;""),IF(D1600&gt;=corte,(B1600="CRÍTICO")*1E9+(100000-D1600)*10000+10000-ROW(),""),"")</f>
        <v/>
      </c>
      <c r="X1600" s="8">
        <f>IF(AND(V1600=1,D1600=pas_data,E1600=pas_turno),10000-ROW(),"")</f>
        <v/>
      </c>
    </row>
    <row r="1601">
      <c r="A1601" s="3">
        <f>IF(D1601="","","TT-"&amp;TEXT(ROW()-1,"00000"))</f>
        <v/>
      </c>
      <c r="B1601" s="3">
        <f>IF(D1601="","",IF(V1601=0,"CONCLUÍDO",IF(D1601&lt;corte,"HISTÓRICO",IF(OR(AND(ISNUMBER(R1601),R1601&lt;TODAY()),AND(OR(N1601="PENDENTE",N1601="PARCIAL"),D1601&lt;TODAY()-1)),"CRÍTICO",IF(OR(AND(P1601&lt;&gt;"",S1601=""),AND(N1601="REALIZADO",M1601="PENDENTE"),AND(ISNUMBER(R1601),R1601=TODAY())),"ATENÇÃO",IF(N(K1601)=0,"PENDENTE","EM ANDAMENTO"))))))</f>
        <v/>
      </c>
      <c r="C1601" s="3">
        <f>IF(D1601="","",IF(V1601=0,"🟢 OK",IF(D1601&lt;corte,"⚪ HISTÓRICO (sem baixa)",IF(AND(ISNUMBER(R1601),R1601&lt;TODAY()),"🔴 PRAZO VENCIDO",IF(AND(OR(N1601="PENDENTE",N1601="PARCIAL"),D1601&lt;TODAY()-1),"🔴 EMBARQUE ATRASADO",IF(AND(N1601="REALIZADO",M1601="PENDENTE"),"🟡 EMBARCADO SEM FATURAR",IF(AND(P1601&lt;&gt;"",S1601="",OR(Q1601="",R1601="")),"🟡 PENDÊNCIA SEM RESPONSÁVEL/PRAZO",IF(AND(ISNUMBER(R1601),R1601=TODAY()),"🟡 VENCE HOJE",IF(AND(P1601&lt;&gt;"",S1601=""),"🟡 PENDÊNCIA ABERTA",IF(AND(N(J1601)&gt;0,N(K1601)&lt;J1601),"🟡 FALTA EXECUTAR",IF(OR(M1601="PENDENTE",M1601="PARCIAL"),"🟡 FATURAMENTO PENDENTE","🟡 EMBARQUE PENDENTE")))))))))))</f>
        <v/>
      </c>
      <c r="D1601" s="4" t="n"/>
      <c r="E1601" s="5" t="n"/>
      <c r="F1601" s="5" t="n"/>
      <c r="G1601" s="5" t="n"/>
      <c r="H1601" s="5" t="n"/>
      <c r="I1601" s="5" t="n"/>
      <c r="J1601" s="6" t="n"/>
      <c r="K1601" s="6" t="n"/>
      <c r="L1601" s="7">
        <f>IF(OR(D1601="",N(J1601)=0),"",MIN(1,N(K1601)/J1601))</f>
        <v/>
      </c>
      <c r="M1601" s="5" t="n"/>
      <c r="N1601" s="5" t="n"/>
      <c r="O1601" s="5" t="n"/>
      <c r="P1601" s="5" t="n"/>
      <c r="Q1601" s="5" t="n"/>
      <c r="R1601" s="4" t="n"/>
      <c r="S1601" s="4" t="n"/>
      <c r="T1601" s="5" t="n"/>
      <c r="U1601" s="8">
        <f>IF(AND(V1601=1,D1601&lt;&gt;""),IF(D1601&gt;=corte,TODAY()-D1601,""),"")</f>
        <v/>
      </c>
      <c r="V1601" s="8">
        <f>IF(D1601="",0,IF(OR(AND(P1601&lt;&gt;"",S1601=""),AND(N(J1601)&gt;0,N(K1601)&lt;J1601),OR(M1601="PENDENTE",M1601="PARCIAL"),OR(N1601="PENDENTE",N1601="PARCIAL")),1,0))</f>
        <v/>
      </c>
      <c r="W1601" s="8">
        <f>IF(AND(V1601=1,D1601&lt;&gt;""),IF(D1601&gt;=corte,(B1601="CRÍTICO")*1E9+(100000-D1601)*10000+10000-ROW(),""),"")</f>
        <v/>
      </c>
      <c r="X1601" s="8">
        <f>IF(AND(V1601=1,D1601=pas_data,E1601=pas_turno),10000-ROW(),"")</f>
        <v/>
      </c>
    </row>
    <row r="1602">
      <c r="A1602" s="3">
        <f>IF(D1602="","","TT-"&amp;TEXT(ROW()-1,"00000"))</f>
        <v/>
      </c>
      <c r="B1602" s="3">
        <f>IF(D1602="","",IF(V1602=0,"CONCLUÍDO",IF(D1602&lt;corte,"HISTÓRICO",IF(OR(AND(ISNUMBER(R1602),R1602&lt;TODAY()),AND(OR(N1602="PENDENTE",N1602="PARCIAL"),D1602&lt;TODAY()-1)),"CRÍTICO",IF(OR(AND(P1602&lt;&gt;"",S1602=""),AND(N1602="REALIZADO",M1602="PENDENTE"),AND(ISNUMBER(R1602),R1602=TODAY())),"ATENÇÃO",IF(N(K1602)=0,"PENDENTE","EM ANDAMENTO"))))))</f>
        <v/>
      </c>
      <c r="C1602" s="3">
        <f>IF(D1602="","",IF(V1602=0,"🟢 OK",IF(D1602&lt;corte,"⚪ HISTÓRICO (sem baixa)",IF(AND(ISNUMBER(R1602),R1602&lt;TODAY()),"🔴 PRAZO VENCIDO",IF(AND(OR(N1602="PENDENTE",N1602="PARCIAL"),D1602&lt;TODAY()-1),"🔴 EMBARQUE ATRASADO",IF(AND(N1602="REALIZADO",M1602="PENDENTE"),"🟡 EMBARCADO SEM FATURAR",IF(AND(P1602&lt;&gt;"",S1602="",OR(Q1602="",R1602="")),"🟡 PENDÊNCIA SEM RESPONSÁVEL/PRAZO",IF(AND(ISNUMBER(R1602),R1602=TODAY()),"🟡 VENCE HOJE",IF(AND(P1602&lt;&gt;"",S1602=""),"🟡 PENDÊNCIA ABERTA",IF(AND(N(J1602)&gt;0,N(K1602)&lt;J1602),"🟡 FALTA EXECUTAR",IF(OR(M1602="PENDENTE",M1602="PARCIAL"),"🟡 FATURAMENTO PENDENTE","🟡 EMBARQUE PENDENTE")))))))))))</f>
        <v/>
      </c>
      <c r="D1602" s="4" t="n"/>
      <c r="E1602" s="5" t="n"/>
      <c r="F1602" s="5" t="n"/>
      <c r="G1602" s="5" t="n"/>
      <c r="H1602" s="5" t="n"/>
      <c r="I1602" s="5" t="n"/>
      <c r="J1602" s="6" t="n"/>
      <c r="K1602" s="6" t="n"/>
      <c r="L1602" s="7">
        <f>IF(OR(D1602="",N(J1602)=0),"",MIN(1,N(K1602)/J1602))</f>
        <v/>
      </c>
      <c r="M1602" s="5" t="n"/>
      <c r="N1602" s="5" t="n"/>
      <c r="O1602" s="5" t="n"/>
      <c r="P1602" s="5" t="n"/>
      <c r="Q1602" s="5" t="n"/>
      <c r="R1602" s="4" t="n"/>
      <c r="S1602" s="4" t="n"/>
      <c r="T1602" s="5" t="n"/>
      <c r="U1602" s="8">
        <f>IF(AND(V1602=1,D1602&lt;&gt;""),IF(D1602&gt;=corte,TODAY()-D1602,""),"")</f>
        <v/>
      </c>
      <c r="V1602" s="8">
        <f>IF(D1602="",0,IF(OR(AND(P1602&lt;&gt;"",S1602=""),AND(N(J1602)&gt;0,N(K1602)&lt;J1602),OR(M1602="PENDENTE",M1602="PARCIAL"),OR(N1602="PENDENTE",N1602="PARCIAL")),1,0))</f>
        <v/>
      </c>
      <c r="W1602" s="8">
        <f>IF(AND(V1602=1,D1602&lt;&gt;""),IF(D1602&gt;=corte,(B1602="CRÍTICO")*1E9+(100000-D1602)*10000+10000-ROW(),""),"")</f>
        <v/>
      </c>
      <c r="X1602" s="8">
        <f>IF(AND(V1602=1,D1602=pas_data,E1602=pas_turno),10000-ROW(),"")</f>
        <v/>
      </c>
    </row>
    <row r="1603">
      <c r="A1603" s="3">
        <f>IF(D1603="","","TT-"&amp;TEXT(ROW()-1,"00000"))</f>
        <v/>
      </c>
      <c r="B1603" s="3">
        <f>IF(D1603="","",IF(V1603=0,"CONCLUÍDO",IF(D1603&lt;corte,"HISTÓRICO",IF(OR(AND(ISNUMBER(R1603),R1603&lt;TODAY()),AND(OR(N1603="PENDENTE",N1603="PARCIAL"),D1603&lt;TODAY()-1)),"CRÍTICO",IF(OR(AND(P1603&lt;&gt;"",S1603=""),AND(N1603="REALIZADO",M1603="PENDENTE"),AND(ISNUMBER(R1603),R1603=TODAY())),"ATENÇÃO",IF(N(K1603)=0,"PENDENTE","EM ANDAMENTO"))))))</f>
        <v/>
      </c>
      <c r="C1603" s="3">
        <f>IF(D1603="","",IF(V1603=0,"🟢 OK",IF(D1603&lt;corte,"⚪ HISTÓRICO (sem baixa)",IF(AND(ISNUMBER(R1603),R1603&lt;TODAY()),"🔴 PRAZO VENCIDO",IF(AND(OR(N1603="PENDENTE",N1603="PARCIAL"),D1603&lt;TODAY()-1),"🔴 EMBARQUE ATRASADO",IF(AND(N1603="REALIZADO",M1603="PENDENTE"),"🟡 EMBARCADO SEM FATURAR",IF(AND(P1603&lt;&gt;"",S1603="",OR(Q1603="",R1603="")),"🟡 PENDÊNCIA SEM RESPONSÁVEL/PRAZO",IF(AND(ISNUMBER(R1603),R1603=TODAY()),"🟡 VENCE HOJE",IF(AND(P1603&lt;&gt;"",S1603=""),"🟡 PENDÊNCIA ABERTA",IF(AND(N(J1603)&gt;0,N(K1603)&lt;J1603),"🟡 FALTA EXECUTAR",IF(OR(M1603="PENDENTE",M1603="PARCIAL"),"🟡 FATURAMENTO PENDENTE","🟡 EMBARQUE PENDENTE")))))))))))</f>
        <v/>
      </c>
      <c r="D1603" s="4" t="n"/>
      <c r="E1603" s="5" t="n"/>
      <c r="F1603" s="5" t="n"/>
      <c r="G1603" s="5" t="n"/>
      <c r="H1603" s="5" t="n"/>
      <c r="I1603" s="5" t="n"/>
      <c r="J1603" s="6" t="n"/>
      <c r="K1603" s="6" t="n"/>
      <c r="L1603" s="7">
        <f>IF(OR(D1603="",N(J1603)=0),"",MIN(1,N(K1603)/J1603))</f>
        <v/>
      </c>
      <c r="M1603" s="5" t="n"/>
      <c r="N1603" s="5" t="n"/>
      <c r="O1603" s="5" t="n"/>
      <c r="P1603" s="5" t="n"/>
      <c r="Q1603" s="5" t="n"/>
      <c r="R1603" s="4" t="n"/>
      <c r="S1603" s="4" t="n"/>
      <c r="T1603" s="5" t="n"/>
      <c r="U1603" s="8">
        <f>IF(AND(V1603=1,D1603&lt;&gt;""),IF(D1603&gt;=corte,TODAY()-D1603,""),"")</f>
        <v/>
      </c>
      <c r="V1603" s="8">
        <f>IF(D1603="",0,IF(OR(AND(P1603&lt;&gt;"",S1603=""),AND(N(J1603)&gt;0,N(K1603)&lt;J1603),OR(M1603="PENDENTE",M1603="PARCIAL"),OR(N1603="PENDENTE",N1603="PARCIAL")),1,0))</f>
        <v/>
      </c>
      <c r="W1603" s="8">
        <f>IF(AND(V1603=1,D1603&lt;&gt;""),IF(D1603&gt;=corte,(B1603="CRÍTICO")*1E9+(100000-D1603)*10000+10000-ROW(),""),"")</f>
        <v/>
      </c>
      <c r="X1603" s="8">
        <f>IF(AND(V1603=1,D1603=pas_data,E1603=pas_turno),10000-ROW(),"")</f>
        <v/>
      </c>
    </row>
    <row r="1604">
      <c r="A1604" s="3">
        <f>IF(D1604="","","TT-"&amp;TEXT(ROW()-1,"00000"))</f>
        <v/>
      </c>
      <c r="B1604" s="3">
        <f>IF(D1604="","",IF(V1604=0,"CONCLUÍDO",IF(D1604&lt;corte,"HISTÓRICO",IF(OR(AND(ISNUMBER(R1604),R1604&lt;TODAY()),AND(OR(N1604="PENDENTE",N1604="PARCIAL"),D1604&lt;TODAY()-1)),"CRÍTICO",IF(OR(AND(P1604&lt;&gt;"",S1604=""),AND(N1604="REALIZADO",M1604="PENDENTE"),AND(ISNUMBER(R1604),R1604=TODAY())),"ATENÇÃO",IF(N(K1604)=0,"PENDENTE","EM ANDAMENTO"))))))</f>
        <v/>
      </c>
      <c r="C1604" s="3">
        <f>IF(D1604="","",IF(V1604=0,"🟢 OK",IF(D1604&lt;corte,"⚪ HISTÓRICO (sem baixa)",IF(AND(ISNUMBER(R1604),R1604&lt;TODAY()),"🔴 PRAZO VENCIDO",IF(AND(OR(N1604="PENDENTE",N1604="PARCIAL"),D1604&lt;TODAY()-1),"🔴 EMBARQUE ATRASADO",IF(AND(N1604="REALIZADO",M1604="PENDENTE"),"🟡 EMBARCADO SEM FATURAR",IF(AND(P1604&lt;&gt;"",S1604="",OR(Q1604="",R1604="")),"🟡 PENDÊNCIA SEM RESPONSÁVEL/PRAZO",IF(AND(ISNUMBER(R1604),R1604=TODAY()),"🟡 VENCE HOJE",IF(AND(P1604&lt;&gt;"",S1604=""),"🟡 PENDÊNCIA ABERTA",IF(AND(N(J1604)&gt;0,N(K1604)&lt;J1604),"🟡 FALTA EXECUTAR",IF(OR(M1604="PENDENTE",M1604="PARCIAL"),"🟡 FATURAMENTO PENDENTE","🟡 EMBARQUE PENDENTE")))))))))))</f>
        <v/>
      </c>
      <c r="D1604" s="4" t="n"/>
      <c r="E1604" s="5" t="n"/>
      <c r="F1604" s="5" t="n"/>
      <c r="G1604" s="5" t="n"/>
      <c r="H1604" s="5" t="n"/>
      <c r="I1604" s="5" t="n"/>
      <c r="J1604" s="6" t="n"/>
      <c r="K1604" s="6" t="n"/>
      <c r="L1604" s="7">
        <f>IF(OR(D1604="",N(J1604)=0),"",MIN(1,N(K1604)/J1604))</f>
        <v/>
      </c>
      <c r="M1604" s="5" t="n"/>
      <c r="N1604" s="5" t="n"/>
      <c r="O1604" s="5" t="n"/>
      <c r="P1604" s="5" t="n"/>
      <c r="Q1604" s="5" t="n"/>
      <c r="R1604" s="4" t="n"/>
      <c r="S1604" s="4" t="n"/>
      <c r="T1604" s="5" t="n"/>
      <c r="U1604" s="8">
        <f>IF(AND(V1604=1,D1604&lt;&gt;""),IF(D1604&gt;=corte,TODAY()-D1604,""),"")</f>
        <v/>
      </c>
      <c r="V1604" s="8">
        <f>IF(D1604="",0,IF(OR(AND(P1604&lt;&gt;"",S1604=""),AND(N(J1604)&gt;0,N(K1604)&lt;J1604),OR(M1604="PENDENTE",M1604="PARCIAL"),OR(N1604="PENDENTE",N1604="PARCIAL")),1,0))</f>
        <v/>
      </c>
      <c r="W1604" s="8">
        <f>IF(AND(V1604=1,D1604&lt;&gt;""),IF(D1604&gt;=corte,(B1604="CRÍTICO")*1E9+(100000-D1604)*10000+10000-ROW(),""),"")</f>
        <v/>
      </c>
      <c r="X1604" s="8">
        <f>IF(AND(V1604=1,D1604=pas_data,E1604=pas_turno),10000-ROW(),"")</f>
        <v/>
      </c>
    </row>
    <row r="1605">
      <c r="A1605" s="3">
        <f>IF(D1605="","","TT-"&amp;TEXT(ROW()-1,"00000"))</f>
        <v/>
      </c>
      <c r="B1605" s="3">
        <f>IF(D1605="","",IF(V1605=0,"CONCLUÍDO",IF(D1605&lt;corte,"HISTÓRICO",IF(OR(AND(ISNUMBER(R1605),R1605&lt;TODAY()),AND(OR(N1605="PENDENTE",N1605="PARCIAL"),D1605&lt;TODAY()-1)),"CRÍTICO",IF(OR(AND(P1605&lt;&gt;"",S1605=""),AND(N1605="REALIZADO",M1605="PENDENTE"),AND(ISNUMBER(R1605),R1605=TODAY())),"ATENÇÃO",IF(N(K1605)=0,"PENDENTE","EM ANDAMENTO"))))))</f>
        <v/>
      </c>
      <c r="C1605" s="3">
        <f>IF(D1605="","",IF(V1605=0,"🟢 OK",IF(D1605&lt;corte,"⚪ HISTÓRICO (sem baixa)",IF(AND(ISNUMBER(R1605),R1605&lt;TODAY()),"🔴 PRAZO VENCIDO",IF(AND(OR(N1605="PENDENTE",N1605="PARCIAL"),D1605&lt;TODAY()-1),"🔴 EMBARQUE ATRASADO",IF(AND(N1605="REALIZADO",M1605="PENDENTE"),"🟡 EMBARCADO SEM FATURAR",IF(AND(P1605&lt;&gt;"",S1605="",OR(Q1605="",R1605="")),"🟡 PENDÊNCIA SEM RESPONSÁVEL/PRAZO",IF(AND(ISNUMBER(R1605),R1605=TODAY()),"🟡 VENCE HOJE",IF(AND(P1605&lt;&gt;"",S1605=""),"🟡 PENDÊNCIA ABERTA",IF(AND(N(J1605)&gt;0,N(K1605)&lt;J1605),"🟡 FALTA EXECUTAR",IF(OR(M1605="PENDENTE",M1605="PARCIAL"),"🟡 FATURAMENTO PENDENTE","🟡 EMBARQUE PENDENTE")))))))))))</f>
        <v/>
      </c>
      <c r="D1605" s="4" t="n"/>
      <c r="E1605" s="5" t="n"/>
      <c r="F1605" s="5" t="n"/>
      <c r="G1605" s="5" t="n"/>
      <c r="H1605" s="5" t="n"/>
      <c r="I1605" s="5" t="n"/>
      <c r="J1605" s="6" t="n"/>
      <c r="K1605" s="6" t="n"/>
      <c r="L1605" s="7">
        <f>IF(OR(D1605="",N(J1605)=0),"",MIN(1,N(K1605)/J1605))</f>
        <v/>
      </c>
      <c r="M1605" s="5" t="n"/>
      <c r="N1605" s="5" t="n"/>
      <c r="O1605" s="5" t="n"/>
      <c r="P1605" s="5" t="n"/>
      <c r="Q1605" s="5" t="n"/>
      <c r="R1605" s="4" t="n"/>
      <c r="S1605" s="4" t="n"/>
      <c r="T1605" s="5" t="n"/>
      <c r="U1605" s="8">
        <f>IF(AND(V1605=1,D1605&lt;&gt;""),IF(D1605&gt;=corte,TODAY()-D1605,""),"")</f>
        <v/>
      </c>
      <c r="V1605" s="8">
        <f>IF(D1605="",0,IF(OR(AND(P1605&lt;&gt;"",S1605=""),AND(N(J1605)&gt;0,N(K1605)&lt;J1605),OR(M1605="PENDENTE",M1605="PARCIAL"),OR(N1605="PENDENTE",N1605="PARCIAL")),1,0))</f>
        <v/>
      </c>
      <c r="W1605" s="8">
        <f>IF(AND(V1605=1,D1605&lt;&gt;""),IF(D1605&gt;=corte,(B1605="CRÍTICO")*1E9+(100000-D1605)*10000+10000-ROW(),""),"")</f>
        <v/>
      </c>
      <c r="X1605" s="8">
        <f>IF(AND(V1605=1,D1605=pas_data,E1605=pas_turno),10000-ROW(),"")</f>
        <v/>
      </c>
    </row>
    <row r="1606">
      <c r="A1606" s="3">
        <f>IF(D1606="","","TT-"&amp;TEXT(ROW()-1,"00000"))</f>
        <v/>
      </c>
      <c r="B1606" s="3">
        <f>IF(D1606="","",IF(V1606=0,"CONCLUÍDO",IF(D1606&lt;corte,"HISTÓRICO",IF(OR(AND(ISNUMBER(R1606),R1606&lt;TODAY()),AND(OR(N1606="PENDENTE",N1606="PARCIAL"),D1606&lt;TODAY()-1)),"CRÍTICO",IF(OR(AND(P1606&lt;&gt;"",S1606=""),AND(N1606="REALIZADO",M1606="PENDENTE"),AND(ISNUMBER(R1606),R1606=TODAY())),"ATENÇÃO",IF(N(K1606)=0,"PENDENTE","EM ANDAMENTO"))))))</f>
        <v/>
      </c>
      <c r="C1606" s="3">
        <f>IF(D1606="","",IF(V1606=0,"🟢 OK",IF(D1606&lt;corte,"⚪ HISTÓRICO (sem baixa)",IF(AND(ISNUMBER(R1606),R1606&lt;TODAY()),"🔴 PRAZO VENCIDO",IF(AND(OR(N1606="PENDENTE",N1606="PARCIAL"),D1606&lt;TODAY()-1),"🔴 EMBARQUE ATRASADO",IF(AND(N1606="REALIZADO",M1606="PENDENTE"),"🟡 EMBARCADO SEM FATURAR",IF(AND(P1606&lt;&gt;"",S1606="",OR(Q1606="",R1606="")),"🟡 PENDÊNCIA SEM RESPONSÁVEL/PRAZO",IF(AND(ISNUMBER(R1606),R1606=TODAY()),"🟡 VENCE HOJE",IF(AND(P1606&lt;&gt;"",S1606=""),"🟡 PENDÊNCIA ABERTA",IF(AND(N(J1606)&gt;0,N(K1606)&lt;J1606),"🟡 FALTA EXECUTAR",IF(OR(M1606="PENDENTE",M1606="PARCIAL"),"🟡 FATURAMENTO PENDENTE","🟡 EMBARQUE PENDENTE")))))))))))</f>
        <v/>
      </c>
      <c r="D1606" s="4" t="n"/>
      <c r="E1606" s="5" t="n"/>
      <c r="F1606" s="5" t="n"/>
      <c r="G1606" s="5" t="n"/>
      <c r="H1606" s="5" t="n"/>
      <c r="I1606" s="5" t="n"/>
      <c r="J1606" s="6" t="n"/>
      <c r="K1606" s="6" t="n"/>
      <c r="L1606" s="7">
        <f>IF(OR(D1606="",N(J1606)=0),"",MIN(1,N(K1606)/J1606))</f>
        <v/>
      </c>
      <c r="M1606" s="5" t="n"/>
      <c r="N1606" s="5" t="n"/>
      <c r="O1606" s="5" t="n"/>
      <c r="P1606" s="5" t="n"/>
      <c r="Q1606" s="5" t="n"/>
      <c r="R1606" s="4" t="n"/>
      <c r="S1606" s="4" t="n"/>
      <c r="T1606" s="5" t="n"/>
      <c r="U1606" s="8">
        <f>IF(AND(V1606=1,D1606&lt;&gt;""),IF(D1606&gt;=corte,TODAY()-D1606,""),"")</f>
        <v/>
      </c>
      <c r="V1606" s="8">
        <f>IF(D1606="",0,IF(OR(AND(P1606&lt;&gt;"",S1606=""),AND(N(J1606)&gt;0,N(K1606)&lt;J1606),OR(M1606="PENDENTE",M1606="PARCIAL"),OR(N1606="PENDENTE",N1606="PARCIAL")),1,0))</f>
        <v/>
      </c>
      <c r="W1606" s="8">
        <f>IF(AND(V1606=1,D1606&lt;&gt;""),IF(D1606&gt;=corte,(B1606="CRÍTICO")*1E9+(100000-D1606)*10000+10000-ROW(),""),"")</f>
        <v/>
      </c>
      <c r="X1606" s="8">
        <f>IF(AND(V1606=1,D1606=pas_data,E1606=pas_turno),10000-ROW(),"")</f>
        <v/>
      </c>
    </row>
    <row r="1607">
      <c r="A1607" s="3">
        <f>IF(D1607="","","TT-"&amp;TEXT(ROW()-1,"00000"))</f>
        <v/>
      </c>
      <c r="B1607" s="3">
        <f>IF(D1607="","",IF(V1607=0,"CONCLUÍDO",IF(D1607&lt;corte,"HISTÓRICO",IF(OR(AND(ISNUMBER(R1607),R1607&lt;TODAY()),AND(OR(N1607="PENDENTE",N1607="PARCIAL"),D1607&lt;TODAY()-1)),"CRÍTICO",IF(OR(AND(P1607&lt;&gt;"",S1607=""),AND(N1607="REALIZADO",M1607="PENDENTE"),AND(ISNUMBER(R1607),R1607=TODAY())),"ATENÇÃO",IF(N(K1607)=0,"PENDENTE","EM ANDAMENTO"))))))</f>
        <v/>
      </c>
      <c r="C1607" s="3">
        <f>IF(D1607="","",IF(V1607=0,"🟢 OK",IF(D1607&lt;corte,"⚪ HISTÓRICO (sem baixa)",IF(AND(ISNUMBER(R1607),R1607&lt;TODAY()),"🔴 PRAZO VENCIDO",IF(AND(OR(N1607="PENDENTE",N1607="PARCIAL"),D1607&lt;TODAY()-1),"🔴 EMBARQUE ATRASADO",IF(AND(N1607="REALIZADO",M1607="PENDENTE"),"🟡 EMBARCADO SEM FATURAR",IF(AND(P1607&lt;&gt;"",S1607="",OR(Q1607="",R1607="")),"🟡 PENDÊNCIA SEM RESPONSÁVEL/PRAZO",IF(AND(ISNUMBER(R1607),R1607=TODAY()),"🟡 VENCE HOJE",IF(AND(P1607&lt;&gt;"",S1607=""),"🟡 PENDÊNCIA ABERTA",IF(AND(N(J1607)&gt;0,N(K1607)&lt;J1607),"🟡 FALTA EXECUTAR",IF(OR(M1607="PENDENTE",M1607="PARCIAL"),"🟡 FATURAMENTO PENDENTE","🟡 EMBARQUE PENDENTE")))))))))))</f>
        <v/>
      </c>
      <c r="D1607" s="4" t="n"/>
      <c r="E1607" s="5" t="n"/>
      <c r="F1607" s="5" t="n"/>
      <c r="G1607" s="5" t="n"/>
      <c r="H1607" s="5" t="n"/>
      <c r="I1607" s="5" t="n"/>
      <c r="J1607" s="6" t="n"/>
      <c r="K1607" s="6" t="n"/>
      <c r="L1607" s="7">
        <f>IF(OR(D1607="",N(J1607)=0),"",MIN(1,N(K1607)/J1607))</f>
        <v/>
      </c>
      <c r="M1607" s="5" t="n"/>
      <c r="N1607" s="5" t="n"/>
      <c r="O1607" s="5" t="n"/>
      <c r="P1607" s="5" t="n"/>
      <c r="Q1607" s="5" t="n"/>
      <c r="R1607" s="4" t="n"/>
      <c r="S1607" s="4" t="n"/>
      <c r="T1607" s="5" t="n"/>
      <c r="U1607" s="8">
        <f>IF(AND(V1607=1,D1607&lt;&gt;""),IF(D1607&gt;=corte,TODAY()-D1607,""),"")</f>
        <v/>
      </c>
      <c r="V1607" s="8">
        <f>IF(D1607="",0,IF(OR(AND(P1607&lt;&gt;"",S1607=""),AND(N(J1607)&gt;0,N(K1607)&lt;J1607),OR(M1607="PENDENTE",M1607="PARCIAL"),OR(N1607="PENDENTE",N1607="PARCIAL")),1,0))</f>
        <v/>
      </c>
      <c r="W1607" s="8">
        <f>IF(AND(V1607=1,D1607&lt;&gt;""),IF(D1607&gt;=corte,(B1607="CRÍTICO")*1E9+(100000-D1607)*10000+10000-ROW(),""),"")</f>
        <v/>
      </c>
      <c r="X1607" s="8">
        <f>IF(AND(V1607=1,D1607=pas_data,E1607=pas_turno),10000-ROW(),"")</f>
        <v/>
      </c>
    </row>
    <row r="1608">
      <c r="A1608" s="3">
        <f>IF(D1608="","","TT-"&amp;TEXT(ROW()-1,"00000"))</f>
        <v/>
      </c>
      <c r="B1608" s="3">
        <f>IF(D1608="","",IF(V1608=0,"CONCLUÍDO",IF(D1608&lt;corte,"HISTÓRICO",IF(OR(AND(ISNUMBER(R1608),R1608&lt;TODAY()),AND(OR(N1608="PENDENTE",N1608="PARCIAL"),D1608&lt;TODAY()-1)),"CRÍTICO",IF(OR(AND(P1608&lt;&gt;"",S1608=""),AND(N1608="REALIZADO",M1608="PENDENTE"),AND(ISNUMBER(R1608),R1608=TODAY())),"ATENÇÃO",IF(N(K1608)=0,"PENDENTE","EM ANDAMENTO"))))))</f>
        <v/>
      </c>
      <c r="C1608" s="3">
        <f>IF(D1608="","",IF(V1608=0,"🟢 OK",IF(D1608&lt;corte,"⚪ HISTÓRICO (sem baixa)",IF(AND(ISNUMBER(R1608),R1608&lt;TODAY()),"🔴 PRAZO VENCIDO",IF(AND(OR(N1608="PENDENTE",N1608="PARCIAL"),D1608&lt;TODAY()-1),"🔴 EMBARQUE ATRASADO",IF(AND(N1608="REALIZADO",M1608="PENDENTE"),"🟡 EMBARCADO SEM FATURAR",IF(AND(P1608&lt;&gt;"",S1608="",OR(Q1608="",R1608="")),"🟡 PENDÊNCIA SEM RESPONSÁVEL/PRAZO",IF(AND(ISNUMBER(R1608),R1608=TODAY()),"🟡 VENCE HOJE",IF(AND(P1608&lt;&gt;"",S1608=""),"🟡 PENDÊNCIA ABERTA",IF(AND(N(J1608)&gt;0,N(K1608)&lt;J1608),"🟡 FALTA EXECUTAR",IF(OR(M1608="PENDENTE",M1608="PARCIAL"),"🟡 FATURAMENTO PENDENTE","🟡 EMBARQUE PENDENTE")))))))))))</f>
        <v/>
      </c>
      <c r="D1608" s="4" t="n"/>
      <c r="E1608" s="5" t="n"/>
      <c r="F1608" s="5" t="n"/>
      <c r="G1608" s="5" t="n"/>
      <c r="H1608" s="5" t="n"/>
      <c r="I1608" s="5" t="n"/>
      <c r="J1608" s="6" t="n"/>
      <c r="K1608" s="6" t="n"/>
      <c r="L1608" s="7">
        <f>IF(OR(D1608="",N(J1608)=0),"",MIN(1,N(K1608)/J1608))</f>
        <v/>
      </c>
      <c r="M1608" s="5" t="n"/>
      <c r="N1608" s="5" t="n"/>
      <c r="O1608" s="5" t="n"/>
      <c r="P1608" s="5" t="n"/>
      <c r="Q1608" s="5" t="n"/>
      <c r="R1608" s="4" t="n"/>
      <c r="S1608" s="4" t="n"/>
      <c r="T1608" s="5" t="n"/>
      <c r="U1608" s="8">
        <f>IF(AND(V1608=1,D1608&lt;&gt;""),IF(D1608&gt;=corte,TODAY()-D1608,""),"")</f>
        <v/>
      </c>
      <c r="V1608" s="8">
        <f>IF(D1608="",0,IF(OR(AND(P1608&lt;&gt;"",S1608=""),AND(N(J1608)&gt;0,N(K1608)&lt;J1608),OR(M1608="PENDENTE",M1608="PARCIAL"),OR(N1608="PENDENTE",N1608="PARCIAL")),1,0))</f>
        <v/>
      </c>
      <c r="W1608" s="8">
        <f>IF(AND(V1608=1,D1608&lt;&gt;""),IF(D1608&gt;=corte,(B1608="CRÍTICO")*1E9+(100000-D1608)*10000+10000-ROW(),""),"")</f>
        <v/>
      </c>
      <c r="X1608" s="8">
        <f>IF(AND(V1608=1,D1608=pas_data,E1608=pas_turno),10000-ROW(),"")</f>
        <v/>
      </c>
    </row>
    <row r="1609">
      <c r="A1609" s="3">
        <f>IF(D1609="","","TT-"&amp;TEXT(ROW()-1,"00000"))</f>
        <v/>
      </c>
      <c r="B1609" s="3">
        <f>IF(D1609="","",IF(V1609=0,"CONCLUÍDO",IF(D1609&lt;corte,"HISTÓRICO",IF(OR(AND(ISNUMBER(R1609),R1609&lt;TODAY()),AND(OR(N1609="PENDENTE",N1609="PARCIAL"),D1609&lt;TODAY()-1)),"CRÍTICO",IF(OR(AND(P1609&lt;&gt;"",S1609=""),AND(N1609="REALIZADO",M1609="PENDENTE"),AND(ISNUMBER(R1609),R1609=TODAY())),"ATENÇÃO",IF(N(K1609)=0,"PENDENTE","EM ANDAMENTO"))))))</f>
        <v/>
      </c>
      <c r="C1609" s="3">
        <f>IF(D1609="","",IF(V1609=0,"🟢 OK",IF(D1609&lt;corte,"⚪ HISTÓRICO (sem baixa)",IF(AND(ISNUMBER(R1609),R1609&lt;TODAY()),"🔴 PRAZO VENCIDO",IF(AND(OR(N1609="PENDENTE",N1609="PARCIAL"),D1609&lt;TODAY()-1),"🔴 EMBARQUE ATRASADO",IF(AND(N1609="REALIZADO",M1609="PENDENTE"),"🟡 EMBARCADO SEM FATURAR",IF(AND(P1609&lt;&gt;"",S1609="",OR(Q1609="",R1609="")),"🟡 PENDÊNCIA SEM RESPONSÁVEL/PRAZO",IF(AND(ISNUMBER(R1609),R1609=TODAY()),"🟡 VENCE HOJE",IF(AND(P1609&lt;&gt;"",S1609=""),"🟡 PENDÊNCIA ABERTA",IF(AND(N(J1609)&gt;0,N(K1609)&lt;J1609),"🟡 FALTA EXECUTAR",IF(OR(M1609="PENDENTE",M1609="PARCIAL"),"🟡 FATURAMENTO PENDENTE","🟡 EMBARQUE PENDENTE")))))))))))</f>
        <v/>
      </c>
      <c r="D1609" s="4" t="n"/>
      <c r="E1609" s="5" t="n"/>
      <c r="F1609" s="5" t="n"/>
      <c r="G1609" s="5" t="n"/>
      <c r="H1609" s="5" t="n"/>
      <c r="I1609" s="5" t="n"/>
      <c r="J1609" s="6" t="n"/>
      <c r="K1609" s="6" t="n"/>
      <c r="L1609" s="7">
        <f>IF(OR(D1609="",N(J1609)=0),"",MIN(1,N(K1609)/J1609))</f>
        <v/>
      </c>
      <c r="M1609" s="5" t="n"/>
      <c r="N1609" s="5" t="n"/>
      <c r="O1609" s="5" t="n"/>
      <c r="P1609" s="5" t="n"/>
      <c r="Q1609" s="5" t="n"/>
      <c r="R1609" s="4" t="n"/>
      <c r="S1609" s="4" t="n"/>
      <c r="T1609" s="5" t="n"/>
      <c r="U1609" s="8">
        <f>IF(AND(V1609=1,D1609&lt;&gt;""),IF(D1609&gt;=corte,TODAY()-D1609,""),"")</f>
        <v/>
      </c>
      <c r="V1609" s="8">
        <f>IF(D1609="",0,IF(OR(AND(P1609&lt;&gt;"",S1609=""),AND(N(J1609)&gt;0,N(K1609)&lt;J1609),OR(M1609="PENDENTE",M1609="PARCIAL"),OR(N1609="PENDENTE",N1609="PARCIAL")),1,0))</f>
        <v/>
      </c>
      <c r="W1609" s="8">
        <f>IF(AND(V1609=1,D1609&lt;&gt;""),IF(D1609&gt;=corte,(B1609="CRÍTICO")*1E9+(100000-D1609)*10000+10000-ROW(),""),"")</f>
        <v/>
      </c>
      <c r="X1609" s="8">
        <f>IF(AND(V1609=1,D1609=pas_data,E1609=pas_turno),10000-ROW(),"")</f>
        <v/>
      </c>
    </row>
    <row r="1610">
      <c r="A1610" s="3">
        <f>IF(D1610="","","TT-"&amp;TEXT(ROW()-1,"00000"))</f>
        <v/>
      </c>
      <c r="B1610" s="3">
        <f>IF(D1610="","",IF(V1610=0,"CONCLUÍDO",IF(D1610&lt;corte,"HISTÓRICO",IF(OR(AND(ISNUMBER(R1610),R1610&lt;TODAY()),AND(OR(N1610="PENDENTE",N1610="PARCIAL"),D1610&lt;TODAY()-1)),"CRÍTICO",IF(OR(AND(P1610&lt;&gt;"",S1610=""),AND(N1610="REALIZADO",M1610="PENDENTE"),AND(ISNUMBER(R1610),R1610=TODAY())),"ATENÇÃO",IF(N(K1610)=0,"PENDENTE","EM ANDAMENTO"))))))</f>
        <v/>
      </c>
      <c r="C1610" s="3">
        <f>IF(D1610="","",IF(V1610=0,"🟢 OK",IF(D1610&lt;corte,"⚪ HISTÓRICO (sem baixa)",IF(AND(ISNUMBER(R1610),R1610&lt;TODAY()),"🔴 PRAZO VENCIDO",IF(AND(OR(N1610="PENDENTE",N1610="PARCIAL"),D1610&lt;TODAY()-1),"🔴 EMBARQUE ATRASADO",IF(AND(N1610="REALIZADO",M1610="PENDENTE"),"🟡 EMBARCADO SEM FATURAR",IF(AND(P1610&lt;&gt;"",S1610="",OR(Q1610="",R1610="")),"🟡 PENDÊNCIA SEM RESPONSÁVEL/PRAZO",IF(AND(ISNUMBER(R1610),R1610=TODAY()),"🟡 VENCE HOJE",IF(AND(P1610&lt;&gt;"",S1610=""),"🟡 PENDÊNCIA ABERTA",IF(AND(N(J1610)&gt;0,N(K1610)&lt;J1610),"🟡 FALTA EXECUTAR",IF(OR(M1610="PENDENTE",M1610="PARCIAL"),"🟡 FATURAMENTO PENDENTE","🟡 EMBARQUE PENDENTE")))))))))))</f>
        <v/>
      </c>
      <c r="D1610" s="4" t="n"/>
      <c r="E1610" s="5" t="n"/>
      <c r="F1610" s="5" t="n"/>
      <c r="G1610" s="5" t="n"/>
      <c r="H1610" s="5" t="n"/>
      <c r="I1610" s="5" t="n"/>
      <c r="J1610" s="6" t="n"/>
      <c r="K1610" s="6" t="n"/>
      <c r="L1610" s="7">
        <f>IF(OR(D1610="",N(J1610)=0),"",MIN(1,N(K1610)/J1610))</f>
        <v/>
      </c>
      <c r="M1610" s="5" t="n"/>
      <c r="N1610" s="5" t="n"/>
      <c r="O1610" s="5" t="n"/>
      <c r="P1610" s="5" t="n"/>
      <c r="Q1610" s="5" t="n"/>
      <c r="R1610" s="4" t="n"/>
      <c r="S1610" s="4" t="n"/>
      <c r="T1610" s="5" t="n"/>
      <c r="U1610" s="8">
        <f>IF(AND(V1610=1,D1610&lt;&gt;""),IF(D1610&gt;=corte,TODAY()-D1610,""),"")</f>
        <v/>
      </c>
      <c r="V1610" s="8">
        <f>IF(D1610="",0,IF(OR(AND(P1610&lt;&gt;"",S1610=""),AND(N(J1610)&gt;0,N(K1610)&lt;J1610),OR(M1610="PENDENTE",M1610="PARCIAL"),OR(N1610="PENDENTE",N1610="PARCIAL")),1,0))</f>
        <v/>
      </c>
      <c r="W1610" s="8">
        <f>IF(AND(V1610=1,D1610&lt;&gt;""),IF(D1610&gt;=corte,(B1610="CRÍTICO")*1E9+(100000-D1610)*10000+10000-ROW(),""),"")</f>
        <v/>
      </c>
      <c r="X1610" s="8">
        <f>IF(AND(V1610=1,D1610=pas_data,E1610=pas_turno),10000-ROW(),"")</f>
        <v/>
      </c>
    </row>
    <row r="1611">
      <c r="A1611" s="3">
        <f>IF(D1611="","","TT-"&amp;TEXT(ROW()-1,"00000"))</f>
        <v/>
      </c>
      <c r="B1611" s="3">
        <f>IF(D1611="","",IF(V1611=0,"CONCLUÍDO",IF(D1611&lt;corte,"HISTÓRICO",IF(OR(AND(ISNUMBER(R1611),R1611&lt;TODAY()),AND(OR(N1611="PENDENTE",N1611="PARCIAL"),D1611&lt;TODAY()-1)),"CRÍTICO",IF(OR(AND(P1611&lt;&gt;"",S1611=""),AND(N1611="REALIZADO",M1611="PENDENTE"),AND(ISNUMBER(R1611),R1611=TODAY())),"ATENÇÃO",IF(N(K1611)=0,"PENDENTE","EM ANDAMENTO"))))))</f>
        <v/>
      </c>
      <c r="C1611" s="3">
        <f>IF(D1611="","",IF(V1611=0,"🟢 OK",IF(D1611&lt;corte,"⚪ HISTÓRICO (sem baixa)",IF(AND(ISNUMBER(R1611),R1611&lt;TODAY()),"🔴 PRAZO VENCIDO",IF(AND(OR(N1611="PENDENTE",N1611="PARCIAL"),D1611&lt;TODAY()-1),"🔴 EMBARQUE ATRASADO",IF(AND(N1611="REALIZADO",M1611="PENDENTE"),"🟡 EMBARCADO SEM FATURAR",IF(AND(P1611&lt;&gt;"",S1611="",OR(Q1611="",R1611="")),"🟡 PENDÊNCIA SEM RESPONSÁVEL/PRAZO",IF(AND(ISNUMBER(R1611),R1611=TODAY()),"🟡 VENCE HOJE",IF(AND(P1611&lt;&gt;"",S1611=""),"🟡 PENDÊNCIA ABERTA",IF(AND(N(J1611)&gt;0,N(K1611)&lt;J1611),"🟡 FALTA EXECUTAR",IF(OR(M1611="PENDENTE",M1611="PARCIAL"),"🟡 FATURAMENTO PENDENTE","🟡 EMBARQUE PENDENTE")))))))))))</f>
        <v/>
      </c>
      <c r="D1611" s="4" t="n"/>
      <c r="E1611" s="5" t="n"/>
      <c r="F1611" s="5" t="n"/>
      <c r="G1611" s="5" t="n"/>
      <c r="H1611" s="5" t="n"/>
      <c r="I1611" s="5" t="n"/>
      <c r="J1611" s="6" t="n"/>
      <c r="K1611" s="6" t="n"/>
      <c r="L1611" s="7">
        <f>IF(OR(D1611="",N(J1611)=0),"",MIN(1,N(K1611)/J1611))</f>
        <v/>
      </c>
      <c r="M1611" s="5" t="n"/>
      <c r="N1611" s="5" t="n"/>
      <c r="O1611" s="5" t="n"/>
      <c r="P1611" s="5" t="n"/>
      <c r="Q1611" s="5" t="n"/>
      <c r="R1611" s="4" t="n"/>
      <c r="S1611" s="4" t="n"/>
      <c r="T1611" s="5" t="n"/>
      <c r="U1611" s="8">
        <f>IF(AND(V1611=1,D1611&lt;&gt;""),IF(D1611&gt;=corte,TODAY()-D1611,""),"")</f>
        <v/>
      </c>
      <c r="V1611" s="8">
        <f>IF(D1611="",0,IF(OR(AND(P1611&lt;&gt;"",S1611=""),AND(N(J1611)&gt;0,N(K1611)&lt;J1611),OR(M1611="PENDENTE",M1611="PARCIAL"),OR(N1611="PENDENTE",N1611="PARCIAL")),1,0))</f>
        <v/>
      </c>
      <c r="W1611" s="8">
        <f>IF(AND(V1611=1,D1611&lt;&gt;""),IF(D1611&gt;=corte,(B1611="CRÍTICO")*1E9+(100000-D1611)*10000+10000-ROW(),""),"")</f>
        <v/>
      </c>
      <c r="X1611" s="8">
        <f>IF(AND(V1611=1,D1611=pas_data,E1611=pas_turno),10000-ROW(),"")</f>
        <v/>
      </c>
    </row>
    <row r="1612">
      <c r="A1612" s="3">
        <f>IF(D1612="","","TT-"&amp;TEXT(ROW()-1,"00000"))</f>
        <v/>
      </c>
      <c r="B1612" s="3">
        <f>IF(D1612="","",IF(V1612=0,"CONCLUÍDO",IF(D1612&lt;corte,"HISTÓRICO",IF(OR(AND(ISNUMBER(R1612),R1612&lt;TODAY()),AND(OR(N1612="PENDENTE",N1612="PARCIAL"),D1612&lt;TODAY()-1)),"CRÍTICO",IF(OR(AND(P1612&lt;&gt;"",S1612=""),AND(N1612="REALIZADO",M1612="PENDENTE"),AND(ISNUMBER(R1612),R1612=TODAY())),"ATENÇÃO",IF(N(K1612)=0,"PENDENTE","EM ANDAMENTO"))))))</f>
        <v/>
      </c>
      <c r="C1612" s="3">
        <f>IF(D1612="","",IF(V1612=0,"🟢 OK",IF(D1612&lt;corte,"⚪ HISTÓRICO (sem baixa)",IF(AND(ISNUMBER(R1612),R1612&lt;TODAY()),"🔴 PRAZO VENCIDO",IF(AND(OR(N1612="PENDENTE",N1612="PARCIAL"),D1612&lt;TODAY()-1),"🔴 EMBARQUE ATRASADO",IF(AND(N1612="REALIZADO",M1612="PENDENTE"),"🟡 EMBARCADO SEM FATURAR",IF(AND(P1612&lt;&gt;"",S1612="",OR(Q1612="",R1612="")),"🟡 PENDÊNCIA SEM RESPONSÁVEL/PRAZO",IF(AND(ISNUMBER(R1612),R1612=TODAY()),"🟡 VENCE HOJE",IF(AND(P1612&lt;&gt;"",S1612=""),"🟡 PENDÊNCIA ABERTA",IF(AND(N(J1612)&gt;0,N(K1612)&lt;J1612),"🟡 FALTA EXECUTAR",IF(OR(M1612="PENDENTE",M1612="PARCIAL"),"🟡 FATURAMENTO PENDENTE","🟡 EMBARQUE PENDENTE")))))))))))</f>
        <v/>
      </c>
      <c r="D1612" s="4" t="n"/>
      <c r="E1612" s="5" t="n"/>
      <c r="F1612" s="5" t="n"/>
      <c r="G1612" s="5" t="n"/>
      <c r="H1612" s="5" t="n"/>
      <c r="I1612" s="5" t="n"/>
      <c r="J1612" s="6" t="n"/>
      <c r="K1612" s="6" t="n"/>
      <c r="L1612" s="7">
        <f>IF(OR(D1612="",N(J1612)=0),"",MIN(1,N(K1612)/J1612))</f>
        <v/>
      </c>
      <c r="M1612" s="5" t="n"/>
      <c r="N1612" s="5" t="n"/>
      <c r="O1612" s="5" t="n"/>
      <c r="P1612" s="5" t="n"/>
      <c r="Q1612" s="5" t="n"/>
      <c r="R1612" s="4" t="n"/>
      <c r="S1612" s="4" t="n"/>
      <c r="T1612" s="5" t="n"/>
      <c r="U1612" s="8">
        <f>IF(AND(V1612=1,D1612&lt;&gt;""),IF(D1612&gt;=corte,TODAY()-D1612,""),"")</f>
        <v/>
      </c>
      <c r="V1612" s="8">
        <f>IF(D1612="",0,IF(OR(AND(P1612&lt;&gt;"",S1612=""),AND(N(J1612)&gt;0,N(K1612)&lt;J1612),OR(M1612="PENDENTE",M1612="PARCIAL"),OR(N1612="PENDENTE",N1612="PARCIAL")),1,0))</f>
        <v/>
      </c>
      <c r="W1612" s="8">
        <f>IF(AND(V1612=1,D1612&lt;&gt;""),IF(D1612&gt;=corte,(B1612="CRÍTICO")*1E9+(100000-D1612)*10000+10000-ROW(),""),"")</f>
        <v/>
      </c>
      <c r="X1612" s="8">
        <f>IF(AND(V1612=1,D1612=pas_data,E1612=pas_turno),10000-ROW(),"")</f>
        <v/>
      </c>
    </row>
    <row r="1613">
      <c r="A1613" s="3">
        <f>IF(D1613="","","TT-"&amp;TEXT(ROW()-1,"00000"))</f>
        <v/>
      </c>
      <c r="B1613" s="3">
        <f>IF(D1613="","",IF(V1613=0,"CONCLUÍDO",IF(D1613&lt;corte,"HISTÓRICO",IF(OR(AND(ISNUMBER(R1613),R1613&lt;TODAY()),AND(OR(N1613="PENDENTE",N1613="PARCIAL"),D1613&lt;TODAY()-1)),"CRÍTICO",IF(OR(AND(P1613&lt;&gt;"",S1613=""),AND(N1613="REALIZADO",M1613="PENDENTE"),AND(ISNUMBER(R1613),R1613=TODAY())),"ATENÇÃO",IF(N(K1613)=0,"PENDENTE","EM ANDAMENTO"))))))</f>
        <v/>
      </c>
      <c r="C1613" s="3">
        <f>IF(D1613="","",IF(V1613=0,"🟢 OK",IF(D1613&lt;corte,"⚪ HISTÓRICO (sem baixa)",IF(AND(ISNUMBER(R1613),R1613&lt;TODAY()),"🔴 PRAZO VENCIDO",IF(AND(OR(N1613="PENDENTE",N1613="PARCIAL"),D1613&lt;TODAY()-1),"🔴 EMBARQUE ATRASADO",IF(AND(N1613="REALIZADO",M1613="PENDENTE"),"🟡 EMBARCADO SEM FATURAR",IF(AND(P1613&lt;&gt;"",S1613="",OR(Q1613="",R1613="")),"🟡 PENDÊNCIA SEM RESPONSÁVEL/PRAZO",IF(AND(ISNUMBER(R1613),R1613=TODAY()),"🟡 VENCE HOJE",IF(AND(P1613&lt;&gt;"",S1613=""),"🟡 PENDÊNCIA ABERTA",IF(AND(N(J1613)&gt;0,N(K1613)&lt;J1613),"🟡 FALTA EXECUTAR",IF(OR(M1613="PENDENTE",M1613="PARCIAL"),"🟡 FATURAMENTO PENDENTE","🟡 EMBARQUE PENDENTE")))))))))))</f>
        <v/>
      </c>
      <c r="D1613" s="4" t="n"/>
      <c r="E1613" s="5" t="n"/>
      <c r="F1613" s="5" t="n"/>
      <c r="G1613" s="5" t="n"/>
      <c r="H1613" s="5" t="n"/>
      <c r="I1613" s="5" t="n"/>
      <c r="J1613" s="6" t="n"/>
      <c r="K1613" s="6" t="n"/>
      <c r="L1613" s="7">
        <f>IF(OR(D1613="",N(J1613)=0),"",MIN(1,N(K1613)/J1613))</f>
        <v/>
      </c>
      <c r="M1613" s="5" t="n"/>
      <c r="N1613" s="5" t="n"/>
      <c r="O1613" s="5" t="n"/>
      <c r="P1613" s="5" t="n"/>
      <c r="Q1613" s="5" t="n"/>
      <c r="R1613" s="4" t="n"/>
      <c r="S1613" s="4" t="n"/>
      <c r="T1613" s="5" t="n"/>
      <c r="U1613" s="8">
        <f>IF(AND(V1613=1,D1613&lt;&gt;""),IF(D1613&gt;=corte,TODAY()-D1613,""),"")</f>
        <v/>
      </c>
      <c r="V1613" s="8">
        <f>IF(D1613="",0,IF(OR(AND(P1613&lt;&gt;"",S1613=""),AND(N(J1613)&gt;0,N(K1613)&lt;J1613),OR(M1613="PENDENTE",M1613="PARCIAL"),OR(N1613="PENDENTE",N1613="PARCIAL")),1,0))</f>
        <v/>
      </c>
      <c r="W1613" s="8">
        <f>IF(AND(V1613=1,D1613&lt;&gt;""),IF(D1613&gt;=corte,(B1613="CRÍTICO")*1E9+(100000-D1613)*10000+10000-ROW(),""),"")</f>
        <v/>
      </c>
      <c r="X1613" s="8">
        <f>IF(AND(V1613=1,D1613=pas_data,E1613=pas_turno),10000-ROW(),"")</f>
        <v/>
      </c>
    </row>
    <row r="1614">
      <c r="A1614" s="3">
        <f>IF(D1614="","","TT-"&amp;TEXT(ROW()-1,"00000"))</f>
        <v/>
      </c>
      <c r="B1614" s="3">
        <f>IF(D1614="","",IF(V1614=0,"CONCLUÍDO",IF(D1614&lt;corte,"HISTÓRICO",IF(OR(AND(ISNUMBER(R1614),R1614&lt;TODAY()),AND(OR(N1614="PENDENTE",N1614="PARCIAL"),D1614&lt;TODAY()-1)),"CRÍTICO",IF(OR(AND(P1614&lt;&gt;"",S1614=""),AND(N1614="REALIZADO",M1614="PENDENTE"),AND(ISNUMBER(R1614),R1614=TODAY())),"ATENÇÃO",IF(N(K1614)=0,"PENDENTE","EM ANDAMENTO"))))))</f>
        <v/>
      </c>
      <c r="C1614" s="3">
        <f>IF(D1614="","",IF(V1614=0,"🟢 OK",IF(D1614&lt;corte,"⚪ HISTÓRICO (sem baixa)",IF(AND(ISNUMBER(R1614),R1614&lt;TODAY()),"🔴 PRAZO VENCIDO",IF(AND(OR(N1614="PENDENTE",N1614="PARCIAL"),D1614&lt;TODAY()-1),"🔴 EMBARQUE ATRASADO",IF(AND(N1614="REALIZADO",M1614="PENDENTE"),"🟡 EMBARCADO SEM FATURAR",IF(AND(P1614&lt;&gt;"",S1614="",OR(Q1614="",R1614="")),"🟡 PENDÊNCIA SEM RESPONSÁVEL/PRAZO",IF(AND(ISNUMBER(R1614),R1614=TODAY()),"🟡 VENCE HOJE",IF(AND(P1614&lt;&gt;"",S1614=""),"🟡 PENDÊNCIA ABERTA",IF(AND(N(J1614)&gt;0,N(K1614)&lt;J1614),"🟡 FALTA EXECUTAR",IF(OR(M1614="PENDENTE",M1614="PARCIAL"),"🟡 FATURAMENTO PENDENTE","🟡 EMBARQUE PENDENTE")))))))))))</f>
        <v/>
      </c>
      <c r="D1614" s="4" t="n"/>
      <c r="E1614" s="5" t="n"/>
      <c r="F1614" s="5" t="n"/>
      <c r="G1614" s="5" t="n"/>
      <c r="H1614" s="5" t="n"/>
      <c r="I1614" s="5" t="n"/>
      <c r="J1614" s="6" t="n"/>
      <c r="K1614" s="6" t="n"/>
      <c r="L1614" s="7">
        <f>IF(OR(D1614="",N(J1614)=0),"",MIN(1,N(K1614)/J1614))</f>
        <v/>
      </c>
      <c r="M1614" s="5" t="n"/>
      <c r="N1614" s="5" t="n"/>
      <c r="O1614" s="5" t="n"/>
      <c r="P1614" s="5" t="n"/>
      <c r="Q1614" s="5" t="n"/>
      <c r="R1614" s="4" t="n"/>
      <c r="S1614" s="4" t="n"/>
      <c r="T1614" s="5" t="n"/>
      <c r="U1614" s="8">
        <f>IF(AND(V1614=1,D1614&lt;&gt;""),IF(D1614&gt;=corte,TODAY()-D1614,""),"")</f>
        <v/>
      </c>
      <c r="V1614" s="8">
        <f>IF(D1614="",0,IF(OR(AND(P1614&lt;&gt;"",S1614=""),AND(N(J1614)&gt;0,N(K1614)&lt;J1614),OR(M1614="PENDENTE",M1614="PARCIAL"),OR(N1614="PENDENTE",N1614="PARCIAL")),1,0))</f>
        <v/>
      </c>
      <c r="W1614" s="8">
        <f>IF(AND(V1614=1,D1614&lt;&gt;""),IF(D1614&gt;=corte,(B1614="CRÍTICO")*1E9+(100000-D1614)*10000+10000-ROW(),""),"")</f>
        <v/>
      </c>
      <c r="X1614" s="8">
        <f>IF(AND(V1614=1,D1614=pas_data,E1614=pas_turno),10000-ROW(),"")</f>
        <v/>
      </c>
    </row>
    <row r="1615">
      <c r="A1615" s="3">
        <f>IF(D1615="","","TT-"&amp;TEXT(ROW()-1,"00000"))</f>
        <v/>
      </c>
      <c r="B1615" s="3">
        <f>IF(D1615="","",IF(V1615=0,"CONCLUÍDO",IF(D1615&lt;corte,"HISTÓRICO",IF(OR(AND(ISNUMBER(R1615),R1615&lt;TODAY()),AND(OR(N1615="PENDENTE",N1615="PARCIAL"),D1615&lt;TODAY()-1)),"CRÍTICO",IF(OR(AND(P1615&lt;&gt;"",S1615=""),AND(N1615="REALIZADO",M1615="PENDENTE"),AND(ISNUMBER(R1615),R1615=TODAY())),"ATENÇÃO",IF(N(K1615)=0,"PENDENTE","EM ANDAMENTO"))))))</f>
        <v/>
      </c>
      <c r="C1615" s="3">
        <f>IF(D1615="","",IF(V1615=0,"🟢 OK",IF(D1615&lt;corte,"⚪ HISTÓRICO (sem baixa)",IF(AND(ISNUMBER(R1615),R1615&lt;TODAY()),"🔴 PRAZO VENCIDO",IF(AND(OR(N1615="PENDENTE",N1615="PARCIAL"),D1615&lt;TODAY()-1),"🔴 EMBARQUE ATRASADO",IF(AND(N1615="REALIZADO",M1615="PENDENTE"),"🟡 EMBARCADO SEM FATURAR",IF(AND(P1615&lt;&gt;"",S1615="",OR(Q1615="",R1615="")),"🟡 PENDÊNCIA SEM RESPONSÁVEL/PRAZO",IF(AND(ISNUMBER(R1615),R1615=TODAY()),"🟡 VENCE HOJE",IF(AND(P1615&lt;&gt;"",S1615=""),"🟡 PENDÊNCIA ABERTA",IF(AND(N(J1615)&gt;0,N(K1615)&lt;J1615),"🟡 FALTA EXECUTAR",IF(OR(M1615="PENDENTE",M1615="PARCIAL"),"🟡 FATURAMENTO PENDENTE","🟡 EMBARQUE PENDENTE")))))))))))</f>
        <v/>
      </c>
      <c r="D1615" s="4" t="n"/>
      <c r="E1615" s="5" t="n"/>
      <c r="F1615" s="5" t="n"/>
      <c r="G1615" s="5" t="n"/>
      <c r="H1615" s="5" t="n"/>
      <c r="I1615" s="5" t="n"/>
      <c r="J1615" s="6" t="n"/>
      <c r="K1615" s="6" t="n"/>
      <c r="L1615" s="7">
        <f>IF(OR(D1615="",N(J1615)=0),"",MIN(1,N(K1615)/J1615))</f>
        <v/>
      </c>
      <c r="M1615" s="5" t="n"/>
      <c r="N1615" s="5" t="n"/>
      <c r="O1615" s="5" t="n"/>
      <c r="P1615" s="5" t="n"/>
      <c r="Q1615" s="5" t="n"/>
      <c r="R1615" s="4" t="n"/>
      <c r="S1615" s="4" t="n"/>
      <c r="T1615" s="5" t="n"/>
      <c r="U1615" s="8">
        <f>IF(AND(V1615=1,D1615&lt;&gt;""),IF(D1615&gt;=corte,TODAY()-D1615,""),"")</f>
        <v/>
      </c>
      <c r="V1615" s="8">
        <f>IF(D1615="",0,IF(OR(AND(P1615&lt;&gt;"",S1615=""),AND(N(J1615)&gt;0,N(K1615)&lt;J1615),OR(M1615="PENDENTE",M1615="PARCIAL"),OR(N1615="PENDENTE",N1615="PARCIAL")),1,0))</f>
        <v/>
      </c>
      <c r="W1615" s="8">
        <f>IF(AND(V1615=1,D1615&lt;&gt;""),IF(D1615&gt;=corte,(B1615="CRÍTICO")*1E9+(100000-D1615)*10000+10000-ROW(),""),"")</f>
        <v/>
      </c>
      <c r="X1615" s="8">
        <f>IF(AND(V1615=1,D1615=pas_data,E1615=pas_turno),10000-ROW(),"")</f>
        <v/>
      </c>
    </row>
    <row r="1616">
      <c r="A1616" s="3">
        <f>IF(D1616="","","TT-"&amp;TEXT(ROW()-1,"00000"))</f>
        <v/>
      </c>
      <c r="B1616" s="3">
        <f>IF(D1616="","",IF(V1616=0,"CONCLUÍDO",IF(D1616&lt;corte,"HISTÓRICO",IF(OR(AND(ISNUMBER(R1616),R1616&lt;TODAY()),AND(OR(N1616="PENDENTE",N1616="PARCIAL"),D1616&lt;TODAY()-1)),"CRÍTICO",IF(OR(AND(P1616&lt;&gt;"",S1616=""),AND(N1616="REALIZADO",M1616="PENDENTE"),AND(ISNUMBER(R1616),R1616=TODAY())),"ATENÇÃO",IF(N(K1616)=0,"PENDENTE","EM ANDAMENTO"))))))</f>
        <v/>
      </c>
      <c r="C1616" s="3">
        <f>IF(D1616="","",IF(V1616=0,"🟢 OK",IF(D1616&lt;corte,"⚪ HISTÓRICO (sem baixa)",IF(AND(ISNUMBER(R1616),R1616&lt;TODAY()),"🔴 PRAZO VENCIDO",IF(AND(OR(N1616="PENDENTE",N1616="PARCIAL"),D1616&lt;TODAY()-1),"🔴 EMBARQUE ATRASADO",IF(AND(N1616="REALIZADO",M1616="PENDENTE"),"🟡 EMBARCADO SEM FATURAR",IF(AND(P1616&lt;&gt;"",S1616="",OR(Q1616="",R1616="")),"🟡 PENDÊNCIA SEM RESPONSÁVEL/PRAZO",IF(AND(ISNUMBER(R1616),R1616=TODAY()),"🟡 VENCE HOJE",IF(AND(P1616&lt;&gt;"",S1616=""),"🟡 PENDÊNCIA ABERTA",IF(AND(N(J1616)&gt;0,N(K1616)&lt;J1616),"🟡 FALTA EXECUTAR",IF(OR(M1616="PENDENTE",M1616="PARCIAL"),"🟡 FATURAMENTO PENDENTE","🟡 EMBARQUE PENDENTE")))))))))))</f>
        <v/>
      </c>
      <c r="D1616" s="4" t="n"/>
      <c r="E1616" s="5" t="n"/>
      <c r="F1616" s="5" t="n"/>
      <c r="G1616" s="5" t="n"/>
      <c r="H1616" s="5" t="n"/>
      <c r="I1616" s="5" t="n"/>
      <c r="J1616" s="6" t="n"/>
      <c r="K1616" s="6" t="n"/>
      <c r="L1616" s="7">
        <f>IF(OR(D1616="",N(J1616)=0),"",MIN(1,N(K1616)/J1616))</f>
        <v/>
      </c>
      <c r="M1616" s="5" t="n"/>
      <c r="N1616" s="5" t="n"/>
      <c r="O1616" s="5" t="n"/>
      <c r="P1616" s="5" t="n"/>
      <c r="Q1616" s="5" t="n"/>
      <c r="R1616" s="4" t="n"/>
      <c r="S1616" s="4" t="n"/>
      <c r="T1616" s="5" t="n"/>
      <c r="U1616" s="8">
        <f>IF(AND(V1616=1,D1616&lt;&gt;""),IF(D1616&gt;=corte,TODAY()-D1616,""),"")</f>
        <v/>
      </c>
      <c r="V1616" s="8">
        <f>IF(D1616="",0,IF(OR(AND(P1616&lt;&gt;"",S1616=""),AND(N(J1616)&gt;0,N(K1616)&lt;J1616),OR(M1616="PENDENTE",M1616="PARCIAL"),OR(N1616="PENDENTE",N1616="PARCIAL")),1,0))</f>
        <v/>
      </c>
      <c r="W1616" s="8">
        <f>IF(AND(V1616=1,D1616&lt;&gt;""),IF(D1616&gt;=corte,(B1616="CRÍTICO")*1E9+(100000-D1616)*10000+10000-ROW(),""),"")</f>
        <v/>
      </c>
      <c r="X1616" s="8">
        <f>IF(AND(V1616=1,D1616=pas_data,E1616=pas_turno),10000-ROW(),"")</f>
        <v/>
      </c>
    </row>
    <row r="1617">
      <c r="A1617" s="3">
        <f>IF(D1617="","","TT-"&amp;TEXT(ROW()-1,"00000"))</f>
        <v/>
      </c>
      <c r="B1617" s="3">
        <f>IF(D1617="","",IF(V1617=0,"CONCLUÍDO",IF(D1617&lt;corte,"HISTÓRICO",IF(OR(AND(ISNUMBER(R1617),R1617&lt;TODAY()),AND(OR(N1617="PENDENTE",N1617="PARCIAL"),D1617&lt;TODAY()-1)),"CRÍTICO",IF(OR(AND(P1617&lt;&gt;"",S1617=""),AND(N1617="REALIZADO",M1617="PENDENTE"),AND(ISNUMBER(R1617),R1617=TODAY())),"ATENÇÃO",IF(N(K1617)=0,"PENDENTE","EM ANDAMENTO"))))))</f>
        <v/>
      </c>
      <c r="C1617" s="3">
        <f>IF(D1617="","",IF(V1617=0,"🟢 OK",IF(D1617&lt;corte,"⚪ HISTÓRICO (sem baixa)",IF(AND(ISNUMBER(R1617),R1617&lt;TODAY()),"🔴 PRAZO VENCIDO",IF(AND(OR(N1617="PENDENTE",N1617="PARCIAL"),D1617&lt;TODAY()-1),"🔴 EMBARQUE ATRASADO",IF(AND(N1617="REALIZADO",M1617="PENDENTE"),"🟡 EMBARCADO SEM FATURAR",IF(AND(P1617&lt;&gt;"",S1617="",OR(Q1617="",R1617="")),"🟡 PENDÊNCIA SEM RESPONSÁVEL/PRAZO",IF(AND(ISNUMBER(R1617),R1617=TODAY()),"🟡 VENCE HOJE",IF(AND(P1617&lt;&gt;"",S1617=""),"🟡 PENDÊNCIA ABERTA",IF(AND(N(J1617)&gt;0,N(K1617)&lt;J1617),"🟡 FALTA EXECUTAR",IF(OR(M1617="PENDENTE",M1617="PARCIAL"),"🟡 FATURAMENTO PENDENTE","🟡 EMBARQUE PENDENTE")))))))))))</f>
        <v/>
      </c>
      <c r="D1617" s="4" t="n"/>
      <c r="E1617" s="5" t="n"/>
      <c r="F1617" s="5" t="n"/>
      <c r="G1617" s="5" t="n"/>
      <c r="H1617" s="5" t="n"/>
      <c r="I1617" s="5" t="n"/>
      <c r="J1617" s="6" t="n"/>
      <c r="K1617" s="6" t="n"/>
      <c r="L1617" s="7">
        <f>IF(OR(D1617="",N(J1617)=0),"",MIN(1,N(K1617)/J1617))</f>
        <v/>
      </c>
      <c r="M1617" s="5" t="n"/>
      <c r="N1617" s="5" t="n"/>
      <c r="O1617" s="5" t="n"/>
      <c r="P1617" s="5" t="n"/>
      <c r="Q1617" s="5" t="n"/>
      <c r="R1617" s="4" t="n"/>
      <c r="S1617" s="4" t="n"/>
      <c r="T1617" s="5" t="n"/>
      <c r="U1617" s="8">
        <f>IF(AND(V1617=1,D1617&lt;&gt;""),IF(D1617&gt;=corte,TODAY()-D1617,""),"")</f>
        <v/>
      </c>
      <c r="V1617" s="8">
        <f>IF(D1617="",0,IF(OR(AND(P1617&lt;&gt;"",S1617=""),AND(N(J1617)&gt;0,N(K1617)&lt;J1617),OR(M1617="PENDENTE",M1617="PARCIAL"),OR(N1617="PENDENTE",N1617="PARCIAL")),1,0))</f>
        <v/>
      </c>
      <c r="W1617" s="8">
        <f>IF(AND(V1617=1,D1617&lt;&gt;""),IF(D1617&gt;=corte,(B1617="CRÍTICO")*1E9+(100000-D1617)*10000+10000-ROW(),""),"")</f>
        <v/>
      </c>
      <c r="X1617" s="8">
        <f>IF(AND(V1617=1,D1617=pas_data,E1617=pas_turno),10000-ROW(),"")</f>
        <v/>
      </c>
    </row>
    <row r="1618">
      <c r="A1618" s="3">
        <f>IF(D1618="","","TT-"&amp;TEXT(ROW()-1,"00000"))</f>
        <v/>
      </c>
      <c r="B1618" s="3">
        <f>IF(D1618="","",IF(V1618=0,"CONCLUÍDO",IF(D1618&lt;corte,"HISTÓRICO",IF(OR(AND(ISNUMBER(R1618),R1618&lt;TODAY()),AND(OR(N1618="PENDENTE",N1618="PARCIAL"),D1618&lt;TODAY()-1)),"CRÍTICO",IF(OR(AND(P1618&lt;&gt;"",S1618=""),AND(N1618="REALIZADO",M1618="PENDENTE"),AND(ISNUMBER(R1618),R1618=TODAY())),"ATENÇÃO",IF(N(K1618)=0,"PENDENTE","EM ANDAMENTO"))))))</f>
        <v/>
      </c>
      <c r="C1618" s="3">
        <f>IF(D1618="","",IF(V1618=0,"🟢 OK",IF(D1618&lt;corte,"⚪ HISTÓRICO (sem baixa)",IF(AND(ISNUMBER(R1618),R1618&lt;TODAY()),"🔴 PRAZO VENCIDO",IF(AND(OR(N1618="PENDENTE",N1618="PARCIAL"),D1618&lt;TODAY()-1),"🔴 EMBARQUE ATRASADO",IF(AND(N1618="REALIZADO",M1618="PENDENTE"),"🟡 EMBARCADO SEM FATURAR",IF(AND(P1618&lt;&gt;"",S1618="",OR(Q1618="",R1618="")),"🟡 PENDÊNCIA SEM RESPONSÁVEL/PRAZO",IF(AND(ISNUMBER(R1618),R1618=TODAY()),"🟡 VENCE HOJE",IF(AND(P1618&lt;&gt;"",S1618=""),"🟡 PENDÊNCIA ABERTA",IF(AND(N(J1618)&gt;0,N(K1618)&lt;J1618),"🟡 FALTA EXECUTAR",IF(OR(M1618="PENDENTE",M1618="PARCIAL"),"🟡 FATURAMENTO PENDENTE","🟡 EMBARQUE PENDENTE")))))))))))</f>
        <v/>
      </c>
      <c r="D1618" s="4" t="n"/>
      <c r="E1618" s="5" t="n"/>
      <c r="F1618" s="5" t="n"/>
      <c r="G1618" s="5" t="n"/>
      <c r="H1618" s="5" t="n"/>
      <c r="I1618" s="5" t="n"/>
      <c r="J1618" s="6" t="n"/>
      <c r="K1618" s="6" t="n"/>
      <c r="L1618" s="7">
        <f>IF(OR(D1618="",N(J1618)=0),"",MIN(1,N(K1618)/J1618))</f>
        <v/>
      </c>
      <c r="M1618" s="5" t="n"/>
      <c r="N1618" s="5" t="n"/>
      <c r="O1618" s="5" t="n"/>
      <c r="P1618" s="5" t="n"/>
      <c r="Q1618" s="5" t="n"/>
      <c r="R1618" s="4" t="n"/>
      <c r="S1618" s="4" t="n"/>
      <c r="T1618" s="5" t="n"/>
      <c r="U1618" s="8">
        <f>IF(AND(V1618=1,D1618&lt;&gt;""),IF(D1618&gt;=corte,TODAY()-D1618,""),"")</f>
        <v/>
      </c>
      <c r="V1618" s="8">
        <f>IF(D1618="",0,IF(OR(AND(P1618&lt;&gt;"",S1618=""),AND(N(J1618)&gt;0,N(K1618)&lt;J1618),OR(M1618="PENDENTE",M1618="PARCIAL"),OR(N1618="PENDENTE",N1618="PARCIAL")),1,0))</f>
        <v/>
      </c>
      <c r="W1618" s="8">
        <f>IF(AND(V1618=1,D1618&lt;&gt;""),IF(D1618&gt;=corte,(B1618="CRÍTICO")*1E9+(100000-D1618)*10000+10000-ROW(),""),"")</f>
        <v/>
      </c>
      <c r="X1618" s="8">
        <f>IF(AND(V1618=1,D1618=pas_data,E1618=pas_turno),10000-ROW(),"")</f>
        <v/>
      </c>
    </row>
    <row r="1619">
      <c r="A1619" s="3">
        <f>IF(D1619="","","TT-"&amp;TEXT(ROW()-1,"00000"))</f>
        <v/>
      </c>
      <c r="B1619" s="3">
        <f>IF(D1619="","",IF(V1619=0,"CONCLUÍDO",IF(D1619&lt;corte,"HISTÓRICO",IF(OR(AND(ISNUMBER(R1619),R1619&lt;TODAY()),AND(OR(N1619="PENDENTE",N1619="PARCIAL"),D1619&lt;TODAY()-1)),"CRÍTICO",IF(OR(AND(P1619&lt;&gt;"",S1619=""),AND(N1619="REALIZADO",M1619="PENDENTE"),AND(ISNUMBER(R1619),R1619=TODAY())),"ATENÇÃO",IF(N(K1619)=0,"PENDENTE","EM ANDAMENTO"))))))</f>
        <v/>
      </c>
      <c r="C1619" s="3">
        <f>IF(D1619="","",IF(V1619=0,"🟢 OK",IF(D1619&lt;corte,"⚪ HISTÓRICO (sem baixa)",IF(AND(ISNUMBER(R1619),R1619&lt;TODAY()),"🔴 PRAZO VENCIDO",IF(AND(OR(N1619="PENDENTE",N1619="PARCIAL"),D1619&lt;TODAY()-1),"🔴 EMBARQUE ATRASADO",IF(AND(N1619="REALIZADO",M1619="PENDENTE"),"🟡 EMBARCADO SEM FATURAR",IF(AND(P1619&lt;&gt;"",S1619="",OR(Q1619="",R1619="")),"🟡 PENDÊNCIA SEM RESPONSÁVEL/PRAZO",IF(AND(ISNUMBER(R1619),R1619=TODAY()),"🟡 VENCE HOJE",IF(AND(P1619&lt;&gt;"",S1619=""),"🟡 PENDÊNCIA ABERTA",IF(AND(N(J1619)&gt;0,N(K1619)&lt;J1619),"🟡 FALTA EXECUTAR",IF(OR(M1619="PENDENTE",M1619="PARCIAL"),"🟡 FATURAMENTO PENDENTE","🟡 EMBARQUE PENDENTE")))))))))))</f>
        <v/>
      </c>
      <c r="D1619" s="4" t="n"/>
      <c r="E1619" s="5" t="n"/>
      <c r="F1619" s="5" t="n"/>
      <c r="G1619" s="5" t="n"/>
      <c r="H1619" s="5" t="n"/>
      <c r="I1619" s="5" t="n"/>
      <c r="J1619" s="6" t="n"/>
      <c r="K1619" s="6" t="n"/>
      <c r="L1619" s="7">
        <f>IF(OR(D1619="",N(J1619)=0),"",MIN(1,N(K1619)/J1619))</f>
        <v/>
      </c>
      <c r="M1619" s="5" t="n"/>
      <c r="N1619" s="5" t="n"/>
      <c r="O1619" s="5" t="n"/>
      <c r="P1619" s="5" t="n"/>
      <c r="Q1619" s="5" t="n"/>
      <c r="R1619" s="4" t="n"/>
      <c r="S1619" s="4" t="n"/>
      <c r="T1619" s="5" t="n"/>
      <c r="U1619" s="8">
        <f>IF(AND(V1619=1,D1619&lt;&gt;""),IF(D1619&gt;=corte,TODAY()-D1619,""),"")</f>
        <v/>
      </c>
      <c r="V1619" s="8">
        <f>IF(D1619="",0,IF(OR(AND(P1619&lt;&gt;"",S1619=""),AND(N(J1619)&gt;0,N(K1619)&lt;J1619),OR(M1619="PENDENTE",M1619="PARCIAL"),OR(N1619="PENDENTE",N1619="PARCIAL")),1,0))</f>
        <v/>
      </c>
      <c r="W1619" s="8">
        <f>IF(AND(V1619=1,D1619&lt;&gt;""),IF(D1619&gt;=corte,(B1619="CRÍTICO")*1E9+(100000-D1619)*10000+10000-ROW(),""),"")</f>
        <v/>
      </c>
      <c r="X1619" s="8">
        <f>IF(AND(V1619=1,D1619=pas_data,E1619=pas_turno),10000-ROW(),"")</f>
        <v/>
      </c>
    </row>
    <row r="1620">
      <c r="A1620" s="3">
        <f>IF(D1620="","","TT-"&amp;TEXT(ROW()-1,"00000"))</f>
        <v/>
      </c>
      <c r="B1620" s="3">
        <f>IF(D1620="","",IF(V1620=0,"CONCLUÍDO",IF(D1620&lt;corte,"HISTÓRICO",IF(OR(AND(ISNUMBER(R1620),R1620&lt;TODAY()),AND(OR(N1620="PENDENTE",N1620="PARCIAL"),D1620&lt;TODAY()-1)),"CRÍTICO",IF(OR(AND(P1620&lt;&gt;"",S1620=""),AND(N1620="REALIZADO",M1620="PENDENTE"),AND(ISNUMBER(R1620),R1620=TODAY())),"ATENÇÃO",IF(N(K1620)=0,"PENDENTE","EM ANDAMENTO"))))))</f>
        <v/>
      </c>
      <c r="C1620" s="3">
        <f>IF(D1620="","",IF(V1620=0,"🟢 OK",IF(D1620&lt;corte,"⚪ HISTÓRICO (sem baixa)",IF(AND(ISNUMBER(R1620),R1620&lt;TODAY()),"🔴 PRAZO VENCIDO",IF(AND(OR(N1620="PENDENTE",N1620="PARCIAL"),D1620&lt;TODAY()-1),"🔴 EMBARQUE ATRASADO",IF(AND(N1620="REALIZADO",M1620="PENDENTE"),"🟡 EMBARCADO SEM FATURAR",IF(AND(P1620&lt;&gt;"",S1620="",OR(Q1620="",R1620="")),"🟡 PENDÊNCIA SEM RESPONSÁVEL/PRAZO",IF(AND(ISNUMBER(R1620),R1620=TODAY()),"🟡 VENCE HOJE",IF(AND(P1620&lt;&gt;"",S1620=""),"🟡 PENDÊNCIA ABERTA",IF(AND(N(J1620)&gt;0,N(K1620)&lt;J1620),"🟡 FALTA EXECUTAR",IF(OR(M1620="PENDENTE",M1620="PARCIAL"),"🟡 FATURAMENTO PENDENTE","🟡 EMBARQUE PENDENTE")))))))))))</f>
        <v/>
      </c>
      <c r="D1620" s="4" t="n"/>
      <c r="E1620" s="5" t="n"/>
      <c r="F1620" s="5" t="n"/>
      <c r="G1620" s="5" t="n"/>
      <c r="H1620" s="5" t="n"/>
      <c r="I1620" s="5" t="n"/>
      <c r="J1620" s="6" t="n"/>
      <c r="K1620" s="6" t="n"/>
      <c r="L1620" s="7">
        <f>IF(OR(D1620="",N(J1620)=0),"",MIN(1,N(K1620)/J1620))</f>
        <v/>
      </c>
      <c r="M1620" s="5" t="n"/>
      <c r="N1620" s="5" t="n"/>
      <c r="O1620" s="5" t="n"/>
      <c r="P1620" s="5" t="n"/>
      <c r="Q1620" s="5" t="n"/>
      <c r="R1620" s="4" t="n"/>
      <c r="S1620" s="4" t="n"/>
      <c r="T1620" s="5" t="n"/>
      <c r="U1620" s="8">
        <f>IF(AND(V1620=1,D1620&lt;&gt;""),IF(D1620&gt;=corte,TODAY()-D1620,""),"")</f>
        <v/>
      </c>
      <c r="V1620" s="8">
        <f>IF(D1620="",0,IF(OR(AND(P1620&lt;&gt;"",S1620=""),AND(N(J1620)&gt;0,N(K1620)&lt;J1620),OR(M1620="PENDENTE",M1620="PARCIAL"),OR(N1620="PENDENTE",N1620="PARCIAL")),1,0))</f>
        <v/>
      </c>
      <c r="W1620" s="8">
        <f>IF(AND(V1620=1,D1620&lt;&gt;""),IF(D1620&gt;=corte,(B1620="CRÍTICO")*1E9+(100000-D1620)*10000+10000-ROW(),""),"")</f>
        <v/>
      </c>
      <c r="X1620" s="8">
        <f>IF(AND(V1620=1,D1620=pas_data,E1620=pas_turno),10000-ROW(),"")</f>
        <v/>
      </c>
    </row>
    <row r="1621">
      <c r="A1621" s="3">
        <f>IF(D1621="","","TT-"&amp;TEXT(ROW()-1,"00000"))</f>
        <v/>
      </c>
      <c r="B1621" s="3">
        <f>IF(D1621="","",IF(V1621=0,"CONCLUÍDO",IF(D1621&lt;corte,"HISTÓRICO",IF(OR(AND(ISNUMBER(R1621),R1621&lt;TODAY()),AND(OR(N1621="PENDENTE",N1621="PARCIAL"),D1621&lt;TODAY()-1)),"CRÍTICO",IF(OR(AND(P1621&lt;&gt;"",S1621=""),AND(N1621="REALIZADO",M1621="PENDENTE"),AND(ISNUMBER(R1621),R1621=TODAY())),"ATENÇÃO",IF(N(K1621)=0,"PENDENTE","EM ANDAMENTO"))))))</f>
        <v/>
      </c>
      <c r="C1621" s="3">
        <f>IF(D1621="","",IF(V1621=0,"🟢 OK",IF(D1621&lt;corte,"⚪ HISTÓRICO (sem baixa)",IF(AND(ISNUMBER(R1621),R1621&lt;TODAY()),"🔴 PRAZO VENCIDO",IF(AND(OR(N1621="PENDENTE",N1621="PARCIAL"),D1621&lt;TODAY()-1),"🔴 EMBARQUE ATRASADO",IF(AND(N1621="REALIZADO",M1621="PENDENTE"),"🟡 EMBARCADO SEM FATURAR",IF(AND(P1621&lt;&gt;"",S1621="",OR(Q1621="",R1621="")),"🟡 PENDÊNCIA SEM RESPONSÁVEL/PRAZO",IF(AND(ISNUMBER(R1621),R1621=TODAY()),"🟡 VENCE HOJE",IF(AND(P1621&lt;&gt;"",S1621=""),"🟡 PENDÊNCIA ABERTA",IF(AND(N(J1621)&gt;0,N(K1621)&lt;J1621),"🟡 FALTA EXECUTAR",IF(OR(M1621="PENDENTE",M1621="PARCIAL"),"🟡 FATURAMENTO PENDENTE","🟡 EMBARQUE PENDENTE")))))))))))</f>
        <v/>
      </c>
      <c r="D1621" s="4" t="n"/>
      <c r="E1621" s="5" t="n"/>
      <c r="F1621" s="5" t="n"/>
      <c r="G1621" s="5" t="n"/>
      <c r="H1621" s="5" t="n"/>
      <c r="I1621" s="5" t="n"/>
      <c r="J1621" s="6" t="n"/>
      <c r="K1621" s="6" t="n"/>
      <c r="L1621" s="7">
        <f>IF(OR(D1621="",N(J1621)=0),"",MIN(1,N(K1621)/J1621))</f>
        <v/>
      </c>
      <c r="M1621" s="5" t="n"/>
      <c r="N1621" s="5" t="n"/>
      <c r="O1621" s="5" t="n"/>
      <c r="P1621" s="5" t="n"/>
      <c r="Q1621" s="5" t="n"/>
      <c r="R1621" s="4" t="n"/>
      <c r="S1621" s="4" t="n"/>
      <c r="T1621" s="5" t="n"/>
      <c r="U1621" s="8">
        <f>IF(AND(V1621=1,D1621&lt;&gt;""),IF(D1621&gt;=corte,TODAY()-D1621,""),"")</f>
        <v/>
      </c>
      <c r="V1621" s="8">
        <f>IF(D1621="",0,IF(OR(AND(P1621&lt;&gt;"",S1621=""),AND(N(J1621)&gt;0,N(K1621)&lt;J1621),OR(M1621="PENDENTE",M1621="PARCIAL"),OR(N1621="PENDENTE",N1621="PARCIAL")),1,0))</f>
        <v/>
      </c>
      <c r="W1621" s="8">
        <f>IF(AND(V1621=1,D1621&lt;&gt;""),IF(D1621&gt;=corte,(B1621="CRÍTICO")*1E9+(100000-D1621)*10000+10000-ROW(),""),"")</f>
        <v/>
      </c>
      <c r="X1621" s="8">
        <f>IF(AND(V1621=1,D1621=pas_data,E1621=pas_turno),10000-ROW(),"")</f>
        <v/>
      </c>
    </row>
    <row r="1622">
      <c r="A1622" s="3">
        <f>IF(D1622="","","TT-"&amp;TEXT(ROW()-1,"00000"))</f>
        <v/>
      </c>
      <c r="B1622" s="3">
        <f>IF(D1622="","",IF(V1622=0,"CONCLUÍDO",IF(D1622&lt;corte,"HISTÓRICO",IF(OR(AND(ISNUMBER(R1622),R1622&lt;TODAY()),AND(OR(N1622="PENDENTE",N1622="PARCIAL"),D1622&lt;TODAY()-1)),"CRÍTICO",IF(OR(AND(P1622&lt;&gt;"",S1622=""),AND(N1622="REALIZADO",M1622="PENDENTE"),AND(ISNUMBER(R1622),R1622=TODAY())),"ATENÇÃO",IF(N(K1622)=0,"PENDENTE","EM ANDAMENTO"))))))</f>
        <v/>
      </c>
      <c r="C1622" s="3">
        <f>IF(D1622="","",IF(V1622=0,"🟢 OK",IF(D1622&lt;corte,"⚪ HISTÓRICO (sem baixa)",IF(AND(ISNUMBER(R1622),R1622&lt;TODAY()),"🔴 PRAZO VENCIDO",IF(AND(OR(N1622="PENDENTE",N1622="PARCIAL"),D1622&lt;TODAY()-1),"🔴 EMBARQUE ATRASADO",IF(AND(N1622="REALIZADO",M1622="PENDENTE"),"🟡 EMBARCADO SEM FATURAR",IF(AND(P1622&lt;&gt;"",S1622="",OR(Q1622="",R1622="")),"🟡 PENDÊNCIA SEM RESPONSÁVEL/PRAZO",IF(AND(ISNUMBER(R1622),R1622=TODAY()),"🟡 VENCE HOJE",IF(AND(P1622&lt;&gt;"",S1622=""),"🟡 PENDÊNCIA ABERTA",IF(AND(N(J1622)&gt;0,N(K1622)&lt;J1622),"🟡 FALTA EXECUTAR",IF(OR(M1622="PENDENTE",M1622="PARCIAL"),"🟡 FATURAMENTO PENDENTE","🟡 EMBARQUE PENDENTE")))))))))))</f>
        <v/>
      </c>
      <c r="D1622" s="4" t="n"/>
      <c r="E1622" s="5" t="n"/>
      <c r="F1622" s="5" t="n"/>
      <c r="G1622" s="5" t="n"/>
      <c r="H1622" s="5" t="n"/>
      <c r="I1622" s="5" t="n"/>
      <c r="J1622" s="6" t="n"/>
      <c r="K1622" s="6" t="n"/>
      <c r="L1622" s="7">
        <f>IF(OR(D1622="",N(J1622)=0),"",MIN(1,N(K1622)/J1622))</f>
        <v/>
      </c>
      <c r="M1622" s="5" t="n"/>
      <c r="N1622" s="5" t="n"/>
      <c r="O1622" s="5" t="n"/>
      <c r="P1622" s="5" t="n"/>
      <c r="Q1622" s="5" t="n"/>
      <c r="R1622" s="4" t="n"/>
      <c r="S1622" s="4" t="n"/>
      <c r="T1622" s="5" t="n"/>
      <c r="U1622" s="8">
        <f>IF(AND(V1622=1,D1622&lt;&gt;""),IF(D1622&gt;=corte,TODAY()-D1622,""),"")</f>
        <v/>
      </c>
      <c r="V1622" s="8">
        <f>IF(D1622="",0,IF(OR(AND(P1622&lt;&gt;"",S1622=""),AND(N(J1622)&gt;0,N(K1622)&lt;J1622),OR(M1622="PENDENTE",M1622="PARCIAL"),OR(N1622="PENDENTE",N1622="PARCIAL")),1,0))</f>
        <v/>
      </c>
      <c r="W1622" s="8">
        <f>IF(AND(V1622=1,D1622&lt;&gt;""),IF(D1622&gt;=corte,(B1622="CRÍTICO")*1E9+(100000-D1622)*10000+10000-ROW(),""),"")</f>
        <v/>
      </c>
      <c r="X1622" s="8">
        <f>IF(AND(V1622=1,D1622=pas_data,E1622=pas_turno),10000-ROW(),"")</f>
        <v/>
      </c>
    </row>
    <row r="1623">
      <c r="A1623" s="3">
        <f>IF(D1623="","","TT-"&amp;TEXT(ROW()-1,"00000"))</f>
        <v/>
      </c>
      <c r="B1623" s="3">
        <f>IF(D1623="","",IF(V1623=0,"CONCLUÍDO",IF(D1623&lt;corte,"HISTÓRICO",IF(OR(AND(ISNUMBER(R1623),R1623&lt;TODAY()),AND(OR(N1623="PENDENTE",N1623="PARCIAL"),D1623&lt;TODAY()-1)),"CRÍTICO",IF(OR(AND(P1623&lt;&gt;"",S1623=""),AND(N1623="REALIZADO",M1623="PENDENTE"),AND(ISNUMBER(R1623),R1623=TODAY())),"ATENÇÃO",IF(N(K1623)=0,"PENDENTE","EM ANDAMENTO"))))))</f>
        <v/>
      </c>
      <c r="C1623" s="3">
        <f>IF(D1623="","",IF(V1623=0,"🟢 OK",IF(D1623&lt;corte,"⚪ HISTÓRICO (sem baixa)",IF(AND(ISNUMBER(R1623),R1623&lt;TODAY()),"🔴 PRAZO VENCIDO",IF(AND(OR(N1623="PENDENTE",N1623="PARCIAL"),D1623&lt;TODAY()-1),"🔴 EMBARQUE ATRASADO",IF(AND(N1623="REALIZADO",M1623="PENDENTE"),"🟡 EMBARCADO SEM FATURAR",IF(AND(P1623&lt;&gt;"",S1623="",OR(Q1623="",R1623="")),"🟡 PENDÊNCIA SEM RESPONSÁVEL/PRAZO",IF(AND(ISNUMBER(R1623),R1623=TODAY()),"🟡 VENCE HOJE",IF(AND(P1623&lt;&gt;"",S1623=""),"🟡 PENDÊNCIA ABERTA",IF(AND(N(J1623)&gt;0,N(K1623)&lt;J1623),"🟡 FALTA EXECUTAR",IF(OR(M1623="PENDENTE",M1623="PARCIAL"),"🟡 FATURAMENTO PENDENTE","🟡 EMBARQUE PENDENTE")))))))))))</f>
        <v/>
      </c>
      <c r="D1623" s="4" t="n"/>
      <c r="E1623" s="5" t="n"/>
      <c r="F1623" s="5" t="n"/>
      <c r="G1623" s="5" t="n"/>
      <c r="H1623" s="5" t="n"/>
      <c r="I1623" s="5" t="n"/>
      <c r="J1623" s="6" t="n"/>
      <c r="K1623" s="6" t="n"/>
      <c r="L1623" s="7">
        <f>IF(OR(D1623="",N(J1623)=0),"",MIN(1,N(K1623)/J1623))</f>
        <v/>
      </c>
      <c r="M1623" s="5" t="n"/>
      <c r="N1623" s="5" t="n"/>
      <c r="O1623" s="5" t="n"/>
      <c r="P1623" s="5" t="n"/>
      <c r="Q1623" s="5" t="n"/>
      <c r="R1623" s="4" t="n"/>
      <c r="S1623" s="4" t="n"/>
      <c r="T1623" s="5" t="n"/>
      <c r="U1623" s="8">
        <f>IF(AND(V1623=1,D1623&lt;&gt;""),IF(D1623&gt;=corte,TODAY()-D1623,""),"")</f>
        <v/>
      </c>
      <c r="V1623" s="8">
        <f>IF(D1623="",0,IF(OR(AND(P1623&lt;&gt;"",S1623=""),AND(N(J1623)&gt;0,N(K1623)&lt;J1623),OR(M1623="PENDENTE",M1623="PARCIAL"),OR(N1623="PENDENTE",N1623="PARCIAL")),1,0))</f>
        <v/>
      </c>
      <c r="W1623" s="8">
        <f>IF(AND(V1623=1,D1623&lt;&gt;""),IF(D1623&gt;=corte,(B1623="CRÍTICO")*1E9+(100000-D1623)*10000+10000-ROW(),""),"")</f>
        <v/>
      </c>
      <c r="X1623" s="8">
        <f>IF(AND(V1623=1,D1623=pas_data,E1623=pas_turno),10000-ROW(),"")</f>
        <v/>
      </c>
    </row>
    <row r="1624">
      <c r="A1624" s="3">
        <f>IF(D1624="","","TT-"&amp;TEXT(ROW()-1,"00000"))</f>
        <v/>
      </c>
      <c r="B1624" s="3">
        <f>IF(D1624="","",IF(V1624=0,"CONCLUÍDO",IF(D1624&lt;corte,"HISTÓRICO",IF(OR(AND(ISNUMBER(R1624),R1624&lt;TODAY()),AND(OR(N1624="PENDENTE",N1624="PARCIAL"),D1624&lt;TODAY()-1)),"CRÍTICO",IF(OR(AND(P1624&lt;&gt;"",S1624=""),AND(N1624="REALIZADO",M1624="PENDENTE"),AND(ISNUMBER(R1624),R1624=TODAY())),"ATENÇÃO",IF(N(K1624)=0,"PENDENTE","EM ANDAMENTO"))))))</f>
        <v/>
      </c>
      <c r="C1624" s="3">
        <f>IF(D1624="","",IF(V1624=0,"🟢 OK",IF(D1624&lt;corte,"⚪ HISTÓRICO (sem baixa)",IF(AND(ISNUMBER(R1624),R1624&lt;TODAY()),"🔴 PRAZO VENCIDO",IF(AND(OR(N1624="PENDENTE",N1624="PARCIAL"),D1624&lt;TODAY()-1),"🔴 EMBARQUE ATRASADO",IF(AND(N1624="REALIZADO",M1624="PENDENTE"),"🟡 EMBARCADO SEM FATURAR",IF(AND(P1624&lt;&gt;"",S1624="",OR(Q1624="",R1624="")),"🟡 PENDÊNCIA SEM RESPONSÁVEL/PRAZO",IF(AND(ISNUMBER(R1624),R1624=TODAY()),"🟡 VENCE HOJE",IF(AND(P1624&lt;&gt;"",S1624=""),"🟡 PENDÊNCIA ABERTA",IF(AND(N(J1624)&gt;0,N(K1624)&lt;J1624),"🟡 FALTA EXECUTAR",IF(OR(M1624="PENDENTE",M1624="PARCIAL"),"🟡 FATURAMENTO PENDENTE","🟡 EMBARQUE PENDENTE")))))))))))</f>
        <v/>
      </c>
      <c r="D1624" s="4" t="n"/>
      <c r="E1624" s="5" t="n"/>
      <c r="F1624" s="5" t="n"/>
      <c r="G1624" s="5" t="n"/>
      <c r="H1624" s="5" t="n"/>
      <c r="I1624" s="5" t="n"/>
      <c r="J1624" s="6" t="n"/>
      <c r="K1624" s="6" t="n"/>
      <c r="L1624" s="7">
        <f>IF(OR(D1624="",N(J1624)=0),"",MIN(1,N(K1624)/J1624))</f>
        <v/>
      </c>
      <c r="M1624" s="5" t="n"/>
      <c r="N1624" s="5" t="n"/>
      <c r="O1624" s="5" t="n"/>
      <c r="P1624" s="5" t="n"/>
      <c r="Q1624" s="5" t="n"/>
      <c r="R1624" s="4" t="n"/>
      <c r="S1624" s="4" t="n"/>
      <c r="T1624" s="5" t="n"/>
      <c r="U1624" s="8">
        <f>IF(AND(V1624=1,D1624&lt;&gt;""),IF(D1624&gt;=corte,TODAY()-D1624,""),"")</f>
        <v/>
      </c>
      <c r="V1624" s="8">
        <f>IF(D1624="",0,IF(OR(AND(P1624&lt;&gt;"",S1624=""),AND(N(J1624)&gt;0,N(K1624)&lt;J1624),OR(M1624="PENDENTE",M1624="PARCIAL"),OR(N1624="PENDENTE",N1624="PARCIAL")),1,0))</f>
        <v/>
      </c>
      <c r="W1624" s="8">
        <f>IF(AND(V1624=1,D1624&lt;&gt;""),IF(D1624&gt;=corte,(B1624="CRÍTICO")*1E9+(100000-D1624)*10000+10000-ROW(),""),"")</f>
        <v/>
      </c>
      <c r="X1624" s="8">
        <f>IF(AND(V1624=1,D1624=pas_data,E1624=pas_turno),10000-ROW(),"")</f>
        <v/>
      </c>
    </row>
    <row r="1625">
      <c r="A1625" s="3">
        <f>IF(D1625="","","TT-"&amp;TEXT(ROW()-1,"00000"))</f>
        <v/>
      </c>
      <c r="B1625" s="3">
        <f>IF(D1625="","",IF(V1625=0,"CONCLUÍDO",IF(D1625&lt;corte,"HISTÓRICO",IF(OR(AND(ISNUMBER(R1625),R1625&lt;TODAY()),AND(OR(N1625="PENDENTE",N1625="PARCIAL"),D1625&lt;TODAY()-1)),"CRÍTICO",IF(OR(AND(P1625&lt;&gt;"",S1625=""),AND(N1625="REALIZADO",M1625="PENDENTE"),AND(ISNUMBER(R1625),R1625=TODAY())),"ATENÇÃO",IF(N(K1625)=0,"PENDENTE","EM ANDAMENTO"))))))</f>
        <v/>
      </c>
      <c r="C1625" s="3">
        <f>IF(D1625="","",IF(V1625=0,"🟢 OK",IF(D1625&lt;corte,"⚪ HISTÓRICO (sem baixa)",IF(AND(ISNUMBER(R1625),R1625&lt;TODAY()),"🔴 PRAZO VENCIDO",IF(AND(OR(N1625="PENDENTE",N1625="PARCIAL"),D1625&lt;TODAY()-1),"🔴 EMBARQUE ATRASADO",IF(AND(N1625="REALIZADO",M1625="PENDENTE"),"🟡 EMBARCADO SEM FATURAR",IF(AND(P1625&lt;&gt;"",S1625="",OR(Q1625="",R1625="")),"🟡 PENDÊNCIA SEM RESPONSÁVEL/PRAZO",IF(AND(ISNUMBER(R1625),R1625=TODAY()),"🟡 VENCE HOJE",IF(AND(P1625&lt;&gt;"",S1625=""),"🟡 PENDÊNCIA ABERTA",IF(AND(N(J1625)&gt;0,N(K1625)&lt;J1625),"🟡 FALTA EXECUTAR",IF(OR(M1625="PENDENTE",M1625="PARCIAL"),"🟡 FATURAMENTO PENDENTE","🟡 EMBARQUE PENDENTE")))))))))))</f>
        <v/>
      </c>
      <c r="D1625" s="4" t="n"/>
      <c r="E1625" s="5" t="n"/>
      <c r="F1625" s="5" t="n"/>
      <c r="G1625" s="5" t="n"/>
      <c r="H1625" s="5" t="n"/>
      <c r="I1625" s="5" t="n"/>
      <c r="J1625" s="6" t="n"/>
      <c r="K1625" s="6" t="n"/>
      <c r="L1625" s="7">
        <f>IF(OR(D1625="",N(J1625)=0),"",MIN(1,N(K1625)/J1625))</f>
        <v/>
      </c>
      <c r="M1625" s="5" t="n"/>
      <c r="N1625" s="5" t="n"/>
      <c r="O1625" s="5" t="n"/>
      <c r="P1625" s="5" t="n"/>
      <c r="Q1625" s="5" t="n"/>
      <c r="R1625" s="4" t="n"/>
      <c r="S1625" s="4" t="n"/>
      <c r="T1625" s="5" t="n"/>
      <c r="U1625" s="8">
        <f>IF(AND(V1625=1,D1625&lt;&gt;""),IF(D1625&gt;=corte,TODAY()-D1625,""),"")</f>
        <v/>
      </c>
      <c r="V1625" s="8">
        <f>IF(D1625="",0,IF(OR(AND(P1625&lt;&gt;"",S1625=""),AND(N(J1625)&gt;0,N(K1625)&lt;J1625),OR(M1625="PENDENTE",M1625="PARCIAL"),OR(N1625="PENDENTE",N1625="PARCIAL")),1,0))</f>
        <v/>
      </c>
      <c r="W1625" s="8">
        <f>IF(AND(V1625=1,D1625&lt;&gt;""),IF(D1625&gt;=corte,(B1625="CRÍTICO")*1E9+(100000-D1625)*10000+10000-ROW(),""),"")</f>
        <v/>
      </c>
      <c r="X1625" s="8">
        <f>IF(AND(V1625=1,D1625=pas_data,E1625=pas_turno),10000-ROW(),"")</f>
        <v/>
      </c>
    </row>
    <row r="1626">
      <c r="A1626" s="3">
        <f>IF(D1626="","","TT-"&amp;TEXT(ROW()-1,"00000"))</f>
        <v/>
      </c>
      <c r="B1626" s="3">
        <f>IF(D1626="","",IF(V1626=0,"CONCLUÍDO",IF(D1626&lt;corte,"HISTÓRICO",IF(OR(AND(ISNUMBER(R1626),R1626&lt;TODAY()),AND(OR(N1626="PENDENTE",N1626="PARCIAL"),D1626&lt;TODAY()-1)),"CRÍTICO",IF(OR(AND(P1626&lt;&gt;"",S1626=""),AND(N1626="REALIZADO",M1626="PENDENTE"),AND(ISNUMBER(R1626),R1626=TODAY())),"ATENÇÃO",IF(N(K1626)=0,"PENDENTE","EM ANDAMENTO"))))))</f>
        <v/>
      </c>
      <c r="C1626" s="3">
        <f>IF(D1626="","",IF(V1626=0,"🟢 OK",IF(D1626&lt;corte,"⚪ HISTÓRICO (sem baixa)",IF(AND(ISNUMBER(R1626),R1626&lt;TODAY()),"🔴 PRAZO VENCIDO",IF(AND(OR(N1626="PENDENTE",N1626="PARCIAL"),D1626&lt;TODAY()-1),"🔴 EMBARQUE ATRASADO",IF(AND(N1626="REALIZADO",M1626="PENDENTE"),"🟡 EMBARCADO SEM FATURAR",IF(AND(P1626&lt;&gt;"",S1626="",OR(Q1626="",R1626="")),"🟡 PENDÊNCIA SEM RESPONSÁVEL/PRAZO",IF(AND(ISNUMBER(R1626),R1626=TODAY()),"🟡 VENCE HOJE",IF(AND(P1626&lt;&gt;"",S1626=""),"🟡 PENDÊNCIA ABERTA",IF(AND(N(J1626)&gt;0,N(K1626)&lt;J1626),"🟡 FALTA EXECUTAR",IF(OR(M1626="PENDENTE",M1626="PARCIAL"),"🟡 FATURAMENTO PENDENTE","🟡 EMBARQUE PENDENTE")))))))))))</f>
        <v/>
      </c>
      <c r="D1626" s="4" t="n"/>
      <c r="E1626" s="5" t="n"/>
      <c r="F1626" s="5" t="n"/>
      <c r="G1626" s="5" t="n"/>
      <c r="H1626" s="5" t="n"/>
      <c r="I1626" s="5" t="n"/>
      <c r="J1626" s="6" t="n"/>
      <c r="K1626" s="6" t="n"/>
      <c r="L1626" s="7">
        <f>IF(OR(D1626="",N(J1626)=0),"",MIN(1,N(K1626)/J1626))</f>
        <v/>
      </c>
      <c r="M1626" s="5" t="n"/>
      <c r="N1626" s="5" t="n"/>
      <c r="O1626" s="5" t="n"/>
      <c r="P1626" s="5" t="n"/>
      <c r="Q1626" s="5" t="n"/>
      <c r="R1626" s="4" t="n"/>
      <c r="S1626" s="4" t="n"/>
      <c r="T1626" s="5" t="n"/>
      <c r="U1626" s="8">
        <f>IF(AND(V1626=1,D1626&lt;&gt;""),IF(D1626&gt;=corte,TODAY()-D1626,""),"")</f>
        <v/>
      </c>
      <c r="V1626" s="8">
        <f>IF(D1626="",0,IF(OR(AND(P1626&lt;&gt;"",S1626=""),AND(N(J1626)&gt;0,N(K1626)&lt;J1626),OR(M1626="PENDENTE",M1626="PARCIAL"),OR(N1626="PENDENTE",N1626="PARCIAL")),1,0))</f>
        <v/>
      </c>
      <c r="W1626" s="8">
        <f>IF(AND(V1626=1,D1626&lt;&gt;""),IF(D1626&gt;=corte,(B1626="CRÍTICO")*1E9+(100000-D1626)*10000+10000-ROW(),""),"")</f>
        <v/>
      </c>
      <c r="X1626" s="8">
        <f>IF(AND(V1626=1,D1626=pas_data,E1626=pas_turno),10000-ROW(),"")</f>
        <v/>
      </c>
    </row>
    <row r="1627">
      <c r="A1627" s="3">
        <f>IF(D1627="","","TT-"&amp;TEXT(ROW()-1,"00000"))</f>
        <v/>
      </c>
      <c r="B1627" s="3">
        <f>IF(D1627="","",IF(V1627=0,"CONCLUÍDO",IF(D1627&lt;corte,"HISTÓRICO",IF(OR(AND(ISNUMBER(R1627),R1627&lt;TODAY()),AND(OR(N1627="PENDENTE",N1627="PARCIAL"),D1627&lt;TODAY()-1)),"CRÍTICO",IF(OR(AND(P1627&lt;&gt;"",S1627=""),AND(N1627="REALIZADO",M1627="PENDENTE"),AND(ISNUMBER(R1627),R1627=TODAY())),"ATENÇÃO",IF(N(K1627)=0,"PENDENTE","EM ANDAMENTO"))))))</f>
        <v/>
      </c>
      <c r="C1627" s="3">
        <f>IF(D1627="","",IF(V1627=0,"🟢 OK",IF(D1627&lt;corte,"⚪ HISTÓRICO (sem baixa)",IF(AND(ISNUMBER(R1627),R1627&lt;TODAY()),"🔴 PRAZO VENCIDO",IF(AND(OR(N1627="PENDENTE",N1627="PARCIAL"),D1627&lt;TODAY()-1),"🔴 EMBARQUE ATRASADO",IF(AND(N1627="REALIZADO",M1627="PENDENTE"),"🟡 EMBARCADO SEM FATURAR",IF(AND(P1627&lt;&gt;"",S1627="",OR(Q1627="",R1627="")),"🟡 PENDÊNCIA SEM RESPONSÁVEL/PRAZO",IF(AND(ISNUMBER(R1627),R1627=TODAY()),"🟡 VENCE HOJE",IF(AND(P1627&lt;&gt;"",S1627=""),"🟡 PENDÊNCIA ABERTA",IF(AND(N(J1627)&gt;0,N(K1627)&lt;J1627),"🟡 FALTA EXECUTAR",IF(OR(M1627="PENDENTE",M1627="PARCIAL"),"🟡 FATURAMENTO PENDENTE","🟡 EMBARQUE PENDENTE")))))))))))</f>
        <v/>
      </c>
      <c r="D1627" s="4" t="n"/>
      <c r="E1627" s="5" t="n"/>
      <c r="F1627" s="5" t="n"/>
      <c r="G1627" s="5" t="n"/>
      <c r="H1627" s="5" t="n"/>
      <c r="I1627" s="5" t="n"/>
      <c r="J1627" s="6" t="n"/>
      <c r="K1627" s="6" t="n"/>
      <c r="L1627" s="7">
        <f>IF(OR(D1627="",N(J1627)=0),"",MIN(1,N(K1627)/J1627))</f>
        <v/>
      </c>
      <c r="M1627" s="5" t="n"/>
      <c r="N1627" s="5" t="n"/>
      <c r="O1627" s="5" t="n"/>
      <c r="P1627" s="5" t="n"/>
      <c r="Q1627" s="5" t="n"/>
      <c r="R1627" s="4" t="n"/>
      <c r="S1627" s="4" t="n"/>
      <c r="T1627" s="5" t="n"/>
      <c r="U1627" s="8">
        <f>IF(AND(V1627=1,D1627&lt;&gt;""),IF(D1627&gt;=corte,TODAY()-D1627,""),"")</f>
        <v/>
      </c>
      <c r="V1627" s="8">
        <f>IF(D1627="",0,IF(OR(AND(P1627&lt;&gt;"",S1627=""),AND(N(J1627)&gt;0,N(K1627)&lt;J1627),OR(M1627="PENDENTE",M1627="PARCIAL"),OR(N1627="PENDENTE",N1627="PARCIAL")),1,0))</f>
        <v/>
      </c>
      <c r="W1627" s="8">
        <f>IF(AND(V1627=1,D1627&lt;&gt;""),IF(D1627&gt;=corte,(B1627="CRÍTICO")*1E9+(100000-D1627)*10000+10000-ROW(),""),"")</f>
        <v/>
      </c>
      <c r="X1627" s="8">
        <f>IF(AND(V1627=1,D1627=pas_data,E1627=pas_turno),10000-ROW(),"")</f>
        <v/>
      </c>
    </row>
    <row r="1628">
      <c r="A1628" s="3">
        <f>IF(D1628="","","TT-"&amp;TEXT(ROW()-1,"00000"))</f>
        <v/>
      </c>
      <c r="B1628" s="3">
        <f>IF(D1628="","",IF(V1628=0,"CONCLUÍDO",IF(D1628&lt;corte,"HISTÓRICO",IF(OR(AND(ISNUMBER(R1628),R1628&lt;TODAY()),AND(OR(N1628="PENDENTE",N1628="PARCIAL"),D1628&lt;TODAY()-1)),"CRÍTICO",IF(OR(AND(P1628&lt;&gt;"",S1628=""),AND(N1628="REALIZADO",M1628="PENDENTE"),AND(ISNUMBER(R1628),R1628=TODAY())),"ATENÇÃO",IF(N(K1628)=0,"PENDENTE","EM ANDAMENTO"))))))</f>
        <v/>
      </c>
      <c r="C1628" s="3">
        <f>IF(D1628="","",IF(V1628=0,"🟢 OK",IF(D1628&lt;corte,"⚪ HISTÓRICO (sem baixa)",IF(AND(ISNUMBER(R1628),R1628&lt;TODAY()),"🔴 PRAZO VENCIDO",IF(AND(OR(N1628="PENDENTE",N1628="PARCIAL"),D1628&lt;TODAY()-1),"🔴 EMBARQUE ATRASADO",IF(AND(N1628="REALIZADO",M1628="PENDENTE"),"🟡 EMBARCADO SEM FATURAR",IF(AND(P1628&lt;&gt;"",S1628="",OR(Q1628="",R1628="")),"🟡 PENDÊNCIA SEM RESPONSÁVEL/PRAZO",IF(AND(ISNUMBER(R1628),R1628=TODAY()),"🟡 VENCE HOJE",IF(AND(P1628&lt;&gt;"",S1628=""),"🟡 PENDÊNCIA ABERTA",IF(AND(N(J1628)&gt;0,N(K1628)&lt;J1628),"🟡 FALTA EXECUTAR",IF(OR(M1628="PENDENTE",M1628="PARCIAL"),"🟡 FATURAMENTO PENDENTE","🟡 EMBARQUE PENDENTE")))))))))))</f>
        <v/>
      </c>
      <c r="D1628" s="4" t="n"/>
      <c r="E1628" s="5" t="n"/>
      <c r="F1628" s="5" t="n"/>
      <c r="G1628" s="5" t="n"/>
      <c r="H1628" s="5" t="n"/>
      <c r="I1628" s="5" t="n"/>
      <c r="J1628" s="6" t="n"/>
      <c r="K1628" s="6" t="n"/>
      <c r="L1628" s="7">
        <f>IF(OR(D1628="",N(J1628)=0),"",MIN(1,N(K1628)/J1628))</f>
        <v/>
      </c>
      <c r="M1628" s="5" t="n"/>
      <c r="N1628" s="5" t="n"/>
      <c r="O1628" s="5" t="n"/>
      <c r="P1628" s="5" t="n"/>
      <c r="Q1628" s="5" t="n"/>
      <c r="R1628" s="4" t="n"/>
      <c r="S1628" s="4" t="n"/>
      <c r="T1628" s="5" t="n"/>
      <c r="U1628" s="8">
        <f>IF(AND(V1628=1,D1628&lt;&gt;""),IF(D1628&gt;=corte,TODAY()-D1628,""),"")</f>
        <v/>
      </c>
      <c r="V1628" s="8">
        <f>IF(D1628="",0,IF(OR(AND(P1628&lt;&gt;"",S1628=""),AND(N(J1628)&gt;0,N(K1628)&lt;J1628),OR(M1628="PENDENTE",M1628="PARCIAL"),OR(N1628="PENDENTE",N1628="PARCIAL")),1,0))</f>
        <v/>
      </c>
      <c r="W1628" s="8">
        <f>IF(AND(V1628=1,D1628&lt;&gt;""),IF(D1628&gt;=corte,(B1628="CRÍTICO")*1E9+(100000-D1628)*10000+10000-ROW(),""),"")</f>
        <v/>
      </c>
      <c r="X1628" s="8">
        <f>IF(AND(V1628=1,D1628=pas_data,E1628=pas_turno),10000-ROW(),"")</f>
        <v/>
      </c>
    </row>
    <row r="1629">
      <c r="A1629" s="3">
        <f>IF(D1629="","","TT-"&amp;TEXT(ROW()-1,"00000"))</f>
        <v/>
      </c>
      <c r="B1629" s="3">
        <f>IF(D1629="","",IF(V1629=0,"CONCLUÍDO",IF(D1629&lt;corte,"HISTÓRICO",IF(OR(AND(ISNUMBER(R1629),R1629&lt;TODAY()),AND(OR(N1629="PENDENTE",N1629="PARCIAL"),D1629&lt;TODAY()-1)),"CRÍTICO",IF(OR(AND(P1629&lt;&gt;"",S1629=""),AND(N1629="REALIZADO",M1629="PENDENTE"),AND(ISNUMBER(R1629),R1629=TODAY())),"ATENÇÃO",IF(N(K1629)=0,"PENDENTE","EM ANDAMENTO"))))))</f>
        <v/>
      </c>
      <c r="C1629" s="3">
        <f>IF(D1629="","",IF(V1629=0,"🟢 OK",IF(D1629&lt;corte,"⚪ HISTÓRICO (sem baixa)",IF(AND(ISNUMBER(R1629),R1629&lt;TODAY()),"🔴 PRAZO VENCIDO",IF(AND(OR(N1629="PENDENTE",N1629="PARCIAL"),D1629&lt;TODAY()-1),"🔴 EMBARQUE ATRASADO",IF(AND(N1629="REALIZADO",M1629="PENDENTE"),"🟡 EMBARCADO SEM FATURAR",IF(AND(P1629&lt;&gt;"",S1629="",OR(Q1629="",R1629="")),"🟡 PENDÊNCIA SEM RESPONSÁVEL/PRAZO",IF(AND(ISNUMBER(R1629),R1629=TODAY()),"🟡 VENCE HOJE",IF(AND(P1629&lt;&gt;"",S1629=""),"🟡 PENDÊNCIA ABERTA",IF(AND(N(J1629)&gt;0,N(K1629)&lt;J1629),"🟡 FALTA EXECUTAR",IF(OR(M1629="PENDENTE",M1629="PARCIAL"),"🟡 FATURAMENTO PENDENTE","🟡 EMBARQUE PENDENTE")))))))))))</f>
        <v/>
      </c>
      <c r="D1629" s="4" t="n"/>
      <c r="E1629" s="5" t="n"/>
      <c r="F1629" s="5" t="n"/>
      <c r="G1629" s="5" t="n"/>
      <c r="H1629" s="5" t="n"/>
      <c r="I1629" s="5" t="n"/>
      <c r="J1629" s="6" t="n"/>
      <c r="K1629" s="6" t="n"/>
      <c r="L1629" s="7">
        <f>IF(OR(D1629="",N(J1629)=0),"",MIN(1,N(K1629)/J1629))</f>
        <v/>
      </c>
      <c r="M1629" s="5" t="n"/>
      <c r="N1629" s="5" t="n"/>
      <c r="O1629" s="5" t="n"/>
      <c r="P1629" s="5" t="n"/>
      <c r="Q1629" s="5" t="n"/>
      <c r="R1629" s="4" t="n"/>
      <c r="S1629" s="4" t="n"/>
      <c r="T1629" s="5" t="n"/>
      <c r="U1629" s="8">
        <f>IF(AND(V1629=1,D1629&lt;&gt;""),IF(D1629&gt;=corte,TODAY()-D1629,""),"")</f>
        <v/>
      </c>
      <c r="V1629" s="8">
        <f>IF(D1629="",0,IF(OR(AND(P1629&lt;&gt;"",S1629=""),AND(N(J1629)&gt;0,N(K1629)&lt;J1629),OR(M1629="PENDENTE",M1629="PARCIAL"),OR(N1629="PENDENTE",N1629="PARCIAL")),1,0))</f>
        <v/>
      </c>
      <c r="W1629" s="8">
        <f>IF(AND(V1629=1,D1629&lt;&gt;""),IF(D1629&gt;=corte,(B1629="CRÍTICO")*1E9+(100000-D1629)*10000+10000-ROW(),""),"")</f>
        <v/>
      </c>
      <c r="X1629" s="8">
        <f>IF(AND(V1629=1,D1629=pas_data,E1629=pas_turno),10000-ROW(),"")</f>
        <v/>
      </c>
    </row>
    <row r="1630">
      <c r="A1630" s="3">
        <f>IF(D1630="","","TT-"&amp;TEXT(ROW()-1,"00000"))</f>
        <v/>
      </c>
      <c r="B1630" s="3">
        <f>IF(D1630="","",IF(V1630=0,"CONCLUÍDO",IF(D1630&lt;corte,"HISTÓRICO",IF(OR(AND(ISNUMBER(R1630),R1630&lt;TODAY()),AND(OR(N1630="PENDENTE",N1630="PARCIAL"),D1630&lt;TODAY()-1)),"CRÍTICO",IF(OR(AND(P1630&lt;&gt;"",S1630=""),AND(N1630="REALIZADO",M1630="PENDENTE"),AND(ISNUMBER(R1630),R1630=TODAY())),"ATENÇÃO",IF(N(K1630)=0,"PENDENTE","EM ANDAMENTO"))))))</f>
        <v/>
      </c>
      <c r="C1630" s="3">
        <f>IF(D1630="","",IF(V1630=0,"🟢 OK",IF(D1630&lt;corte,"⚪ HISTÓRICO (sem baixa)",IF(AND(ISNUMBER(R1630),R1630&lt;TODAY()),"🔴 PRAZO VENCIDO",IF(AND(OR(N1630="PENDENTE",N1630="PARCIAL"),D1630&lt;TODAY()-1),"🔴 EMBARQUE ATRASADO",IF(AND(N1630="REALIZADO",M1630="PENDENTE"),"🟡 EMBARCADO SEM FATURAR",IF(AND(P1630&lt;&gt;"",S1630="",OR(Q1630="",R1630="")),"🟡 PENDÊNCIA SEM RESPONSÁVEL/PRAZO",IF(AND(ISNUMBER(R1630),R1630=TODAY()),"🟡 VENCE HOJE",IF(AND(P1630&lt;&gt;"",S1630=""),"🟡 PENDÊNCIA ABERTA",IF(AND(N(J1630)&gt;0,N(K1630)&lt;J1630),"🟡 FALTA EXECUTAR",IF(OR(M1630="PENDENTE",M1630="PARCIAL"),"🟡 FATURAMENTO PENDENTE","🟡 EMBARQUE PENDENTE")))))))))))</f>
        <v/>
      </c>
      <c r="D1630" s="4" t="n"/>
      <c r="E1630" s="5" t="n"/>
      <c r="F1630" s="5" t="n"/>
      <c r="G1630" s="5" t="n"/>
      <c r="H1630" s="5" t="n"/>
      <c r="I1630" s="5" t="n"/>
      <c r="J1630" s="6" t="n"/>
      <c r="K1630" s="6" t="n"/>
      <c r="L1630" s="7">
        <f>IF(OR(D1630="",N(J1630)=0),"",MIN(1,N(K1630)/J1630))</f>
        <v/>
      </c>
      <c r="M1630" s="5" t="n"/>
      <c r="N1630" s="5" t="n"/>
      <c r="O1630" s="5" t="n"/>
      <c r="P1630" s="5" t="n"/>
      <c r="Q1630" s="5" t="n"/>
      <c r="R1630" s="4" t="n"/>
      <c r="S1630" s="4" t="n"/>
      <c r="T1630" s="5" t="n"/>
      <c r="U1630" s="8">
        <f>IF(AND(V1630=1,D1630&lt;&gt;""),IF(D1630&gt;=corte,TODAY()-D1630,""),"")</f>
        <v/>
      </c>
      <c r="V1630" s="8">
        <f>IF(D1630="",0,IF(OR(AND(P1630&lt;&gt;"",S1630=""),AND(N(J1630)&gt;0,N(K1630)&lt;J1630),OR(M1630="PENDENTE",M1630="PARCIAL"),OR(N1630="PENDENTE",N1630="PARCIAL")),1,0))</f>
        <v/>
      </c>
      <c r="W1630" s="8">
        <f>IF(AND(V1630=1,D1630&lt;&gt;""),IF(D1630&gt;=corte,(B1630="CRÍTICO")*1E9+(100000-D1630)*10000+10000-ROW(),""),"")</f>
        <v/>
      </c>
      <c r="X1630" s="8">
        <f>IF(AND(V1630=1,D1630=pas_data,E1630=pas_turno),10000-ROW(),"")</f>
        <v/>
      </c>
    </row>
    <row r="1631">
      <c r="A1631" s="3">
        <f>IF(D1631="","","TT-"&amp;TEXT(ROW()-1,"00000"))</f>
        <v/>
      </c>
      <c r="B1631" s="3">
        <f>IF(D1631="","",IF(V1631=0,"CONCLUÍDO",IF(D1631&lt;corte,"HISTÓRICO",IF(OR(AND(ISNUMBER(R1631),R1631&lt;TODAY()),AND(OR(N1631="PENDENTE",N1631="PARCIAL"),D1631&lt;TODAY()-1)),"CRÍTICO",IF(OR(AND(P1631&lt;&gt;"",S1631=""),AND(N1631="REALIZADO",M1631="PENDENTE"),AND(ISNUMBER(R1631),R1631=TODAY())),"ATENÇÃO",IF(N(K1631)=0,"PENDENTE","EM ANDAMENTO"))))))</f>
        <v/>
      </c>
      <c r="C1631" s="3">
        <f>IF(D1631="","",IF(V1631=0,"🟢 OK",IF(D1631&lt;corte,"⚪ HISTÓRICO (sem baixa)",IF(AND(ISNUMBER(R1631),R1631&lt;TODAY()),"🔴 PRAZO VENCIDO",IF(AND(OR(N1631="PENDENTE",N1631="PARCIAL"),D1631&lt;TODAY()-1),"🔴 EMBARQUE ATRASADO",IF(AND(N1631="REALIZADO",M1631="PENDENTE"),"🟡 EMBARCADO SEM FATURAR",IF(AND(P1631&lt;&gt;"",S1631="",OR(Q1631="",R1631="")),"🟡 PENDÊNCIA SEM RESPONSÁVEL/PRAZO",IF(AND(ISNUMBER(R1631),R1631=TODAY()),"🟡 VENCE HOJE",IF(AND(P1631&lt;&gt;"",S1631=""),"🟡 PENDÊNCIA ABERTA",IF(AND(N(J1631)&gt;0,N(K1631)&lt;J1631),"🟡 FALTA EXECUTAR",IF(OR(M1631="PENDENTE",M1631="PARCIAL"),"🟡 FATURAMENTO PENDENTE","🟡 EMBARQUE PENDENTE")))))))))))</f>
        <v/>
      </c>
      <c r="D1631" s="4" t="n"/>
      <c r="E1631" s="5" t="n"/>
      <c r="F1631" s="5" t="n"/>
      <c r="G1631" s="5" t="n"/>
      <c r="H1631" s="5" t="n"/>
      <c r="I1631" s="5" t="n"/>
      <c r="J1631" s="6" t="n"/>
      <c r="K1631" s="6" t="n"/>
      <c r="L1631" s="7">
        <f>IF(OR(D1631="",N(J1631)=0),"",MIN(1,N(K1631)/J1631))</f>
        <v/>
      </c>
      <c r="M1631" s="5" t="n"/>
      <c r="N1631" s="5" t="n"/>
      <c r="O1631" s="5" t="n"/>
      <c r="P1631" s="5" t="n"/>
      <c r="Q1631" s="5" t="n"/>
      <c r="R1631" s="4" t="n"/>
      <c r="S1631" s="4" t="n"/>
      <c r="T1631" s="5" t="n"/>
      <c r="U1631" s="8">
        <f>IF(AND(V1631=1,D1631&lt;&gt;""),IF(D1631&gt;=corte,TODAY()-D1631,""),"")</f>
        <v/>
      </c>
      <c r="V1631" s="8">
        <f>IF(D1631="",0,IF(OR(AND(P1631&lt;&gt;"",S1631=""),AND(N(J1631)&gt;0,N(K1631)&lt;J1631),OR(M1631="PENDENTE",M1631="PARCIAL"),OR(N1631="PENDENTE",N1631="PARCIAL")),1,0))</f>
        <v/>
      </c>
      <c r="W1631" s="8">
        <f>IF(AND(V1631=1,D1631&lt;&gt;""),IF(D1631&gt;=corte,(B1631="CRÍTICO")*1E9+(100000-D1631)*10000+10000-ROW(),""),"")</f>
        <v/>
      </c>
      <c r="X1631" s="8">
        <f>IF(AND(V1631=1,D1631=pas_data,E1631=pas_turno),10000-ROW(),"")</f>
        <v/>
      </c>
    </row>
    <row r="1632">
      <c r="A1632" s="3">
        <f>IF(D1632="","","TT-"&amp;TEXT(ROW()-1,"00000"))</f>
        <v/>
      </c>
      <c r="B1632" s="3">
        <f>IF(D1632="","",IF(V1632=0,"CONCLUÍDO",IF(D1632&lt;corte,"HISTÓRICO",IF(OR(AND(ISNUMBER(R1632),R1632&lt;TODAY()),AND(OR(N1632="PENDENTE",N1632="PARCIAL"),D1632&lt;TODAY()-1)),"CRÍTICO",IF(OR(AND(P1632&lt;&gt;"",S1632=""),AND(N1632="REALIZADO",M1632="PENDENTE"),AND(ISNUMBER(R1632),R1632=TODAY())),"ATENÇÃO",IF(N(K1632)=0,"PENDENTE","EM ANDAMENTO"))))))</f>
        <v/>
      </c>
      <c r="C1632" s="3">
        <f>IF(D1632="","",IF(V1632=0,"🟢 OK",IF(D1632&lt;corte,"⚪ HISTÓRICO (sem baixa)",IF(AND(ISNUMBER(R1632),R1632&lt;TODAY()),"🔴 PRAZO VENCIDO",IF(AND(OR(N1632="PENDENTE",N1632="PARCIAL"),D1632&lt;TODAY()-1),"🔴 EMBARQUE ATRASADO",IF(AND(N1632="REALIZADO",M1632="PENDENTE"),"🟡 EMBARCADO SEM FATURAR",IF(AND(P1632&lt;&gt;"",S1632="",OR(Q1632="",R1632="")),"🟡 PENDÊNCIA SEM RESPONSÁVEL/PRAZO",IF(AND(ISNUMBER(R1632),R1632=TODAY()),"🟡 VENCE HOJE",IF(AND(P1632&lt;&gt;"",S1632=""),"🟡 PENDÊNCIA ABERTA",IF(AND(N(J1632)&gt;0,N(K1632)&lt;J1632),"🟡 FALTA EXECUTAR",IF(OR(M1632="PENDENTE",M1632="PARCIAL"),"🟡 FATURAMENTO PENDENTE","🟡 EMBARQUE PENDENTE")))))))))))</f>
        <v/>
      </c>
      <c r="D1632" s="4" t="n"/>
      <c r="E1632" s="5" t="n"/>
      <c r="F1632" s="5" t="n"/>
      <c r="G1632" s="5" t="n"/>
      <c r="H1632" s="5" t="n"/>
      <c r="I1632" s="5" t="n"/>
      <c r="J1632" s="6" t="n"/>
      <c r="K1632" s="6" t="n"/>
      <c r="L1632" s="7">
        <f>IF(OR(D1632="",N(J1632)=0),"",MIN(1,N(K1632)/J1632))</f>
        <v/>
      </c>
      <c r="M1632" s="5" t="n"/>
      <c r="N1632" s="5" t="n"/>
      <c r="O1632" s="5" t="n"/>
      <c r="P1632" s="5" t="n"/>
      <c r="Q1632" s="5" t="n"/>
      <c r="R1632" s="4" t="n"/>
      <c r="S1632" s="4" t="n"/>
      <c r="T1632" s="5" t="n"/>
      <c r="U1632" s="8">
        <f>IF(AND(V1632=1,D1632&lt;&gt;""),IF(D1632&gt;=corte,TODAY()-D1632,""),"")</f>
        <v/>
      </c>
      <c r="V1632" s="8">
        <f>IF(D1632="",0,IF(OR(AND(P1632&lt;&gt;"",S1632=""),AND(N(J1632)&gt;0,N(K1632)&lt;J1632),OR(M1632="PENDENTE",M1632="PARCIAL"),OR(N1632="PENDENTE",N1632="PARCIAL")),1,0))</f>
        <v/>
      </c>
      <c r="W1632" s="8">
        <f>IF(AND(V1632=1,D1632&lt;&gt;""),IF(D1632&gt;=corte,(B1632="CRÍTICO")*1E9+(100000-D1632)*10000+10000-ROW(),""),"")</f>
        <v/>
      </c>
      <c r="X1632" s="8">
        <f>IF(AND(V1632=1,D1632=pas_data,E1632=pas_turno),10000-ROW(),"")</f>
        <v/>
      </c>
    </row>
    <row r="1633">
      <c r="A1633" s="3">
        <f>IF(D1633="","","TT-"&amp;TEXT(ROW()-1,"00000"))</f>
        <v/>
      </c>
      <c r="B1633" s="3">
        <f>IF(D1633="","",IF(V1633=0,"CONCLUÍDO",IF(D1633&lt;corte,"HISTÓRICO",IF(OR(AND(ISNUMBER(R1633),R1633&lt;TODAY()),AND(OR(N1633="PENDENTE",N1633="PARCIAL"),D1633&lt;TODAY()-1)),"CRÍTICO",IF(OR(AND(P1633&lt;&gt;"",S1633=""),AND(N1633="REALIZADO",M1633="PENDENTE"),AND(ISNUMBER(R1633),R1633=TODAY())),"ATENÇÃO",IF(N(K1633)=0,"PENDENTE","EM ANDAMENTO"))))))</f>
        <v/>
      </c>
      <c r="C1633" s="3">
        <f>IF(D1633="","",IF(V1633=0,"🟢 OK",IF(D1633&lt;corte,"⚪ HISTÓRICO (sem baixa)",IF(AND(ISNUMBER(R1633),R1633&lt;TODAY()),"🔴 PRAZO VENCIDO",IF(AND(OR(N1633="PENDENTE",N1633="PARCIAL"),D1633&lt;TODAY()-1),"🔴 EMBARQUE ATRASADO",IF(AND(N1633="REALIZADO",M1633="PENDENTE"),"🟡 EMBARCADO SEM FATURAR",IF(AND(P1633&lt;&gt;"",S1633="",OR(Q1633="",R1633="")),"🟡 PENDÊNCIA SEM RESPONSÁVEL/PRAZO",IF(AND(ISNUMBER(R1633),R1633=TODAY()),"🟡 VENCE HOJE",IF(AND(P1633&lt;&gt;"",S1633=""),"🟡 PENDÊNCIA ABERTA",IF(AND(N(J1633)&gt;0,N(K1633)&lt;J1633),"🟡 FALTA EXECUTAR",IF(OR(M1633="PENDENTE",M1633="PARCIAL"),"🟡 FATURAMENTO PENDENTE","🟡 EMBARQUE PENDENTE")))))))))))</f>
        <v/>
      </c>
      <c r="D1633" s="4" t="n"/>
      <c r="E1633" s="5" t="n"/>
      <c r="F1633" s="5" t="n"/>
      <c r="G1633" s="5" t="n"/>
      <c r="H1633" s="5" t="n"/>
      <c r="I1633" s="5" t="n"/>
      <c r="J1633" s="6" t="n"/>
      <c r="K1633" s="6" t="n"/>
      <c r="L1633" s="7">
        <f>IF(OR(D1633="",N(J1633)=0),"",MIN(1,N(K1633)/J1633))</f>
        <v/>
      </c>
      <c r="M1633" s="5" t="n"/>
      <c r="N1633" s="5" t="n"/>
      <c r="O1633" s="5" t="n"/>
      <c r="P1633" s="5" t="n"/>
      <c r="Q1633" s="5" t="n"/>
      <c r="R1633" s="4" t="n"/>
      <c r="S1633" s="4" t="n"/>
      <c r="T1633" s="5" t="n"/>
      <c r="U1633" s="8">
        <f>IF(AND(V1633=1,D1633&lt;&gt;""),IF(D1633&gt;=corte,TODAY()-D1633,""),"")</f>
        <v/>
      </c>
      <c r="V1633" s="8">
        <f>IF(D1633="",0,IF(OR(AND(P1633&lt;&gt;"",S1633=""),AND(N(J1633)&gt;0,N(K1633)&lt;J1633),OR(M1633="PENDENTE",M1633="PARCIAL"),OR(N1633="PENDENTE",N1633="PARCIAL")),1,0))</f>
        <v/>
      </c>
      <c r="W1633" s="8">
        <f>IF(AND(V1633=1,D1633&lt;&gt;""),IF(D1633&gt;=corte,(B1633="CRÍTICO")*1E9+(100000-D1633)*10000+10000-ROW(),""),"")</f>
        <v/>
      </c>
      <c r="X1633" s="8">
        <f>IF(AND(V1633=1,D1633=pas_data,E1633=pas_turno),10000-ROW(),"")</f>
        <v/>
      </c>
    </row>
    <row r="1634">
      <c r="A1634" s="3">
        <f>IF(D1634="","","TT-"&amp;TEXT(ROW()-1,"00000"))</f>
        <v/>
      </c>
      <c r="B1634" s="3">
        <f>IF(D1634="","",IF(V1634=0,"CONCLUÍDO",IF(D1634&lt;corte,"HISTÓRICO",IF(OR(AND(ISNUMBER(R1634),R1634&lt;TODAY()),AND(OR(N1634="PENDENTE",N1634="PARCIAL"),D1634&lt;TODAY()-1)),"CRÍTICO",IF(OR(AND(P1634&lt;&gt;"",S1634=""),AND(N1634="REALIZADO",M1634="PENDENTE"),AND(ISNUMBER(R1634),R1634=TODAY())),"ATENÇÃO",IF(N(K1634)=0,"PENDENTE","EM ANDAMENTO"))))))</f>
        <v/>
      </c>
      <c r="C1634" s="3">
        <f>IF(D1634="","",IF(V1634=0,"🟢 OK",IF(D1634&lt;corte,"⚪ HISTÓRICO (sem baixa)",IF(AND(ISNUMBER(R1634),R1634&lt;TODAY()),"🔴 PRAZO VENCIDO",IF(AND(OR(N1634="PENDENTE",N1634="PARCIAL"),D1634&lt;TODAY()-1),"🔴 EMBARQUE ATRASADO",IF(AND(N1634="REALIZADO",M1634="PENDENTE"),"🟡 EMBARCADO SEM FATURAR",IF(AND(P1634&lt;&gt;"",S1634="",OR(Q1634="",R1634="")),"🟡 PENDÊNCIA SEM RESPONSÁVEL/PRAZO",IF(AND(ISNUMBER(R1634),R1634=TODAY()),"🟡 VENCE HOJE",IF(AND(P1634&lt;&gt;"",S1634=""),"🟡 PENDÊNCIA ABERTA",IF(AND(N(J1634)&gt;0,N(K1634)&lt;J1634),"🟡 FALTA EXECUTAR",IF(OR(M1634="PENDENTE",M1634="PARCIAL"),"🟡 FATURAMENTO PENDENTE","🟡 EMBARQUE PENDENTE")))))))))))</f>
        <v/>
      </c>
      <c r="D1634" s="4" t="n"/>
      <c r="E1634" s="5" t="n"/>
      <c r="F1634" s="5" t="n"/>
      <c r="G1634" s="5" t="n"/>
      <c r="H1634" s="5" t="n"/>
      <c r="I1634" s="5" t="n"/>
      <c r="J1634" s="6" t="n"/>
      <c r="K1634" s="6" t="n"/>
      <c r="L1634" s="7">
        <f>IF(OR(D1634="",N(J1634)=0),"",MIN(1,N(K1634)/J1634))</f>
        <v/>
      </c>
      <c r="M1634" s="5" t="n"/>
      <c r="N1634" s="5" t="n"/>
      <c r="O1634" s="5" t="n"/>
      <c r="P1634" s="5" t="n"/>
      <c r="Q1634" s="5" t="n"/>
      <c r="R1634" s="4" t="n"/>
      <c r="S1634" s="4" t="n"/>
      <c r="T1634" s="5" t="n"/>
      <c r="U1634" s="8">
        <f>IF(AND(V1634=1,D1634&lt;&gt;""),IF(D1634&gt;=corte,TODAY()-D1634,""),"")</f>
        <v/>
      </c>
      <c r="V1634" s="8">
        <f>IF(D1634="",0,IF(OR(AND(P1634&lt;&gt;"",S1634=""),AND(N(J1634)&gt;0,N(K1634)&lt;J1634),OR(M1634="PENDENTE",M1634="PARCIAL"),OR(N1634="PENDENTE",N1634="PARCIAL")),1,0))</f>
        <v/>
      </c>
      <c r="W1634" s="8">
        <f>IF(AND(V1634=1,D1634&lt;&gt;""),IF(D1634&gt;=corte,(B1634="CRÍTICO")*1E9+(100000-D1634)*10000+10000-ROW(),""),"")</f>
        <v/>
      </c>
      <c r="X1634" s="8">
        <f>IF(AND(V1634=1,D1634=pas_data,E1634=pas_turno),10000-ROW(),"")</f>
        <v/>
      </c>
    </row>
    <row r="1635">
      <c r="A1635" s="3">
        <f>IF(D1635="","","TT-"&amp;TEXT(ROW()-1,"00000"))</f>
        <v/>
      </c>
      <c r="B1635" s="3">
        <f>IF(D1635="","",IF(V1635=0,"CONCLUÍDO",IF(D1635&lt;corte,"HISTÓRICO",IF(OR(AND(ISNUMBER(R1635),R1635&lt;TODAY()),AND(OR(N1635="PENDENTE",N1635="PARCIAL"),D1635&lt;TODAY()-1)),"CRÍTICO",IF(OR(AND(P1635&lt;&gt;"",S1635=""),AND(N1635="REALIZADO",M1635="PENDENTE"),AND(ISNUMBER(R1635),R1635=TODAY())),"ATENÇÃO",IF(N(K1635)=0,"PENDENTE","EM ANDAMENTO"))))))</f>
        <v/>
      </c>
      <c r="C1635" s="3">
        <f>IF(D1635="","",IF(V1635=0,"🟢 OK",IF(D1635&lt;corte,"⚪ HISTÓRICO (sem baixa)",IF(AND(ISNUMBER(R1635),R1635&lt;TODAY()),"🔴 PRAZO VENCIDO",IF(AND(OR(N1635="PENDENTE",N1635="PARCIAL"),D1635&lt;TODAY()-1),"🔴 EMBARQUE ATRASADO",IF(AND(N1635="REALIZADO",M1635="PENDENTE"),"🟡 EMBARCADO SEM FATURAR",IF(AND(P1635&lt;&gt;"",S1635="",OR(Q1635="",R1635="")),"🟡 PENDÊNCIA SEM RESPONSÁVEL/PRAZO",IF(AND(ISNUMBER(R1635),R1635=TODAY()),"🟡 VENCE HOJE",IF(AND(P1635&lt;&gt;"",S1635=""),"🟡 PENDÊNCIA ABERTA",IF(AND(N(J1635)&gt;0,N(K1635)&lt;J1635),"🟡 FALTA EXECUTAR",IF(OR(M1635="PENDENTE",M1635="PARCIAL"),"🟡 FATURAMENTO PENDENTE","🟡 EMBARQUE PENDENTE")))))))))))</f>
        <v/>
      </c>
      <c r="D1635" s="4" t="n"/>
      <c r="E1635" s="5" t="n"/>
      <c r="F1635" s="5" t="n"/>
      <c r="G1635" s="5" t="n"/>
      <c r="H1635" s="5" t="n"/>
      <c r="I1635" s="5" t="n"/>
      <c r="J1635" s="6" t="n"/>
      <c r="K1635" s="6" t="n"/>
      <c r="L1635" s="7">
        <f>IF(OR(D1635="",N(J1635)=0),"",MIN(1,N(K1635)/J1635))</f>
        <v/>
      </c>
      <c r="M1635" s="5" t="n"/>
      <c r="N1635" s="5" t="n"/>
      <c r="O1635" s="5" t="n"/>
      <c r="P1635" s="5" t="n"/>
      <c r="Q1635" s="5" t="n"/>
      <c r="R1635" s="4" t="n"/>
      <c r="S1635" s="4" t="n"/>
      <c r="T1635" s="5" t="n"/>
      <c r="U1635" s="8">
        <f>IF(AND(V1635=1,D1635&lt;&gt;""),IF(D1635&gt;=corte,TODAY()-D1635,""),"")</f>
        <v/>
      </c>
      <c r="V1635" s="8">
        <f>IF(D1635="",0,IF(OR(AND(P1635&lt;&gt;"",S1635=""),AND(N(J1635)&gt;0,N(K1635)&lt;J1635),OR(M1635="PENDENTE",M1635="PARCIAL"),OR(N1635="PENDENTE",N1635="PARCIAL")),1,0))</f>
        <v/>
      </c>
      <c r="W1635" s="8">
        <f>IF(AND(V1635=1,D1635&lt;&gt;""),IF(D1635&gt;=corte,(B1635="CRÍTICO")*1E9+(100000-D1635)*10000+10000-ROW(),""),"")</f>
        <v/>
      </c>
      <c r="X1635" s="8">
        <f>IF(AND(V1635=1,D1635=pas_data,E1635=pas_turno),10000-ROW(),"")</f>
        <v/>
      </c>
    </row>
    <row r="1636">
      <c r="A1636" s="3">
        <f>IF(D1636="","","TT-"&amp;TEXT(ROW()-1,"00000"))</f>
        <v/>
      </c>
      <c r="B1636" s="3">
        <f>IF(D1636="","",IF(V1636=0,"CONCLUÍDO",IF(D1636&lt;corte,"HISTÓRICO",IF(OR(AND(ISNUMBER(R1636),R1636&lt;TODAY()),AND(OR(N1636="PENDENTE",N1636="PARCIAL"),D1636&lt;TODAY()-1)),"CRÍTICO",IF(OR(AND(P1636&lt;&gt;"",S1636=""),AND(N1636="REALIZADO",M1636="PENDENTE"),AND(ISNUMBER(R1636),R1636=TODAY())),"ATENÇÃO",IF(N(K1636)=0,"PENDENTE","EM ANDAMENTO"))))))</f>
        <v/>
      </c>
      <c r="C1636" s="3">
        <f>IF(D1636="","",IF(V1636=0,"🟢 OK",IF(D1636&lt;corte,"⚪ HISTÓRICO (sem baixa)",IF(AND(ISNUMBER(R1636),R1636&lt;TODAY()),"🔴 PRAZO VENCIDO",IF(AND(OR(N1636="PENDENTE",N1636="PARCIAL"),D1636&lt;TODAY()-1),"🔴 EMBARQUE ATRASADO",IF(AND(N1636="REALIZADO",M1636="PENDENTE"),"🟡 EMBARCADO SEM FATURAR",IF(AND(P1636&lt;&gt;"",S1636="",OR(Q1636="",R1636="")),"🟡 PENDÊNCIA SEM RESPONSÁVEL/PRAZO",IF(AND(ISNUMBER(R1636),R1636=TODAY()),"🟡 VENCE HOJE",IF(AND(P1636&lt;&gt;"",S1636=""),"🟡 PENDÊNCIA ABERTA",IF(AND(N(J1636)&gt;0,N(K1636)&lt;J1636),"🟡 FALTA EXECUTAR",IF(OR(M1636="PENDENTE",M1636="PARCIAL"),"🟡 FATURAMENTO PENDENTE","🟡 EMBARQUE PENDENTE")))))))))))</f>
        <v/>
      </c>
      <c r="D1636" s="4" t="n"/>
      <c r="E1636" s="5" t="n"/>
      <c r="F1636" s="5" t="n"/>
      <c r="G1636" s="5" t="n"/>
      <c r="H1636" s="5" t="n"/>
      <c r="I1636" s="5" t="n"/>
      <c r="J1636" s="6" t="n"/>
      <c r="K1636" s="6" t="n"/>
      <c r="L1636" s="7">
        <f>IF(OR(D1636="",N(J1636)=0),"",MIN(1,N(K1636)/J1636))</f>
        <v/>
      </c>
      <c r="M1636" s="5" t="n"/>
      <c r="N1636" s="5" t="n"/>
      <c r="O1636" s="5" t="n"/>
      <c r="P1636" s="5" t="n"/>
      <c r="Q1636" s="5" t="n"/>
      <c r="R1636" s="4" t="n"/>
      <c r="S1636" s="4" t="n"/>
      <c r="T1636" s="5" t="n"/>
      <c r="U1636" s="8">
        <f>IF(AND(V1636=1,D1636&lt;&gt;""),IF(D1636&gt;=corte,TODAY()-D1636,""),"")</f>
        <v/>
      </c>
      <c r="V1636" s="8">
        <f>IF(D1636="",0,IF(OR(AND(P1636&lt;&gt;"",S1636=""),AND(N(J1636)&gt;0,N(K1636)&lt;J1636),OR(M1636="PENDENTE",M1636="PARCIAL"),OR(N1636="PENDENTE",N1636="PARCIAL")),1,0))</f>
        <v/>
      </c>
      <c r="W1636" s="8">
        <f>IF(AND(V1636=1,D1636&lt;&gt;""),IF(D1636&gt;=corte,(B1636="CRÍTICO")*1E9+(100000-D1636)*10000+10000-ROW(),""),"")</f>
        <v/>
      </c>
      <c r="X1636" s="8">
        <f>IF(AND(V1636=1,D1636=pas_data,E1636=pas_turno),10000-ROW(),"")</f>
        <v/>
      </c>
    </row>
    <row r="1637">
      <c r="A1637" s="3">
        <f>IF(D1637="","","TT-"&amp;TEXT(ROW()-1,"00000"))</f>
        <v/>
      </c>
      <c r="B1637" s="3">
        <f>IF(D1637="","",IF(V1637=0,"CONCLUÍDO",IF(D1637&lt;corte,"HISTÓRICO",IF(OR(AND(ISNUMBER(R1637),R1637&lt;TODAY()),AND(OR(N1637="PENDENTE",N1637="PARCIAL"),D1637&lt;TODAY()-1)),"CRÍTICO",IF(OR(AND(P1637&lt;&gt;"",S1637=""),AND(N1637="REALIZADO",M1637="PENDENTE"),AND(ISNUMBER(R1637),R1637=TODAY())),"ATENÇÃO",IF(N(K1637)=0,"PENDENTE","EM ANDAMENTO"))))))</f>
        <v/>
      </c>
      <c r="C1637" s="3">
        <f>IF(D1637="","",IF(V1637=0,"🟢 OK",IF(D1637&lt;corte,"⚪ HISTÓRICO (sem baixa)",IF(AND(ISNUMBER(R1637),R1637&lt;TODAY()),"🔴 PRAZO VENCIDO",IF(AND(OR(N1637="PENDENTE",N1637="PARCIAL"),D1637&lt;TODAY()-1),"🔴 EMBARQUE ATRASADO",IF(AND(N1637="REALIZADO",M1637="PENDENTE"),"🟡 EMBARCADO SEM FATURAR",IF(AND(P1637&lt;&gt;"",S1637="",OR(Q1637="",R1637="")),"🟡 PENDÊNCIA SEM RESPONSÁVEL/PRAZO",IF(AND(ISNUMBER(R1637),R1637=TODAY()),"🟡 VENCE HOJE",IF(AND(P1637&lt;&gt;"",S1637=""),"🟡 PENDÊNCIA ABERTA",IF(AND(N(J1637)&gt;0,N(K1637)&lt;J1637),"🟡 FALTA EXECUTAR",IF(OR(M1637="PENDENTE",M1637="PARCIAL"),"🟡 FATURAMENTO PENDENTE","🟡 EMBARQUE PENDENTE")))))))))))</f>
        <v/>
      </c>
      <c r="D1637" s="4" t="n"/>
      <c r="E1637" s="5" t="n"/>
      <c r="F1637" s="5" t="n"/>
      <c r="G1637" s="5" t="n"/>
      <c r="H1637" s="5" t="n"/>
      <c r="I1637" s="5" t="n"/>
      <c r="J1637" s="6" t="n"/>
      <c r="K1637" s="6" t="n"/>
      <c r="L1637" s="7">
        <f>IF(OR(D1637="",N(J1637)=0),"",MIN(1,N(K1637)/J1637))</f>
        <v/>
      </c>
      <c r="M1637" s="5" t="n"/>
      <c r="N1637" s="5" t="n"/>
      <c r="O1637" s="5" t="n"/>
      <c r="P1637" s="5" t="n"/>
      <c r="Q1637" s="5" t="n"/>
      <c r="R1637" s="4" t="n"/>
      <c r="S1637" s="4" t="n"/>
      <c r="T1637" s="5" t="n"/>
      <c r="U1637" s="8">
        <f>IF(AND(V1637=1,D1637&lt;&gt;""),IF(D1637&gt;=corte,TODAY()-D1637,""),"")</f>
        <v/>
      </c>
      <c r="V1637" s="8">
        <f>IF(D1637="",0,IF(OR(AND(P1637&lt;&gt;"",S1637=""),AND(N(J1637)&gt;0,N(K1637)&lt;J1637),OR(M1637="PENDENTE",M1637="PARCIAL"),OR(N1637="PENDENTE",N1637="PARCIAL")),1,0))</f>
        <v/>
      </c>
      <c r="W1637" s="8">
        <f>IF(AND(V1637=1,D1637&lt;&gt;""),IF(D1637&gt;=corte,(B1637="CRÍTICO")*1E9+(100000-D1637)*10000+10000-ROW(),""),"")</f>
        <v/>
      </c>
      <c r="X1637" s="8">
        <f>IF(AND(V1637=1,D1637=pas_data,E1637=pas_turno),10000-ROW(),"")</f>
        <v/>
      </c>
    </row>
    <row r="1638">
      <c r="A1638" s="3">
        <f>IF(D1638="","","TT-"&amp;TEXT(ROW()-1,"00000"))</f>
        <v/>
      </c>
      <c r="B1638" s="3">
        <f>IF(D1638="","",IF(V1638=0,"CONCLUÍDO",IF(D1638&lt;corte,"HISTÓRICO",IF(OR(AND(ISNUMBER(R1638),R1638&lt;TODAY()),AND(OR(N1638="PENDENTE",N1638="PARCIAL"),D1638&lt;TODAY()-1)),"CRÍTICO",IF(OR(AND(P1638&lt;&gt;"",S1638=""),AND(N1638="REALIZADO",M1638="PENDENTE"),AND(ISNUMBER(R1638),R1638=TODAY())),"ATENÇÃO",IF(N(K1638)=0,"PENDENTE","EM ANDAMENTO"))))))</f>
        <v/>
      </c>
      <c r="C1638" s="3">
        <f>IF(D1638="","",IF(V1638=0,"🟢 OK",IF(D1638&lt;corte,"⚪ HISTÓRICO (sem baixa)",IF(AND(ISNUMBER(R1638),R1638&lt;TODAY()),"🔴 PRAZO VENCIDO",IF(AND(OR(N1638="PENDENTE",N1638="PARCIAL"),D1638&lt;TODAY()-1),"🔴 EMBARQUE ATRASADO",IF(AND(N1638="REALIZADO",M1638="PENDENTE"),"🟡 EMBARCADO SEM FATURAR",IF(AND(P1638&lt;&gt;"",S1638="",OR(Q1638="",R1638="")),"🟡 PENDÊNCIA SEM RESPONSÁVEL/PRAZO",IF(AND(ISNUMBER(R1638),R1638=TODAY()),"🟡 VENCE HOJE",IF(AND(P1638&lt;&gt;"",S1638=""),"🟡 PENDÊNCIA ABERTA",IF(AND(N(J1638)&gt;0,N(K1638)&lt;J1638),"🟡 FALTA EXECUTAR",IF(OR(M1638="PENDENTE",M1638="PARCIAL"),"🟡 FATURAMENTO PENDENTE","🟡 EMBARQUE PENDENTE")))))))))))</f>
        <v/>
      </c>
      <c r="D1638" s="4" t="n"/>
      <c r="E1638" s="5" t="n"/>
      <c r="F1638" s="5" t="n"/>
      <c r="G1638" s="5" t="n"/>
      <c r="H1638" s="5" t="n"/>
      <c r="I1638" s="5" t="n"/>
      <c r="J1638" s="6" t="n"/>
      <c r="K1638" s="6" t="n"/>
      <c r="L1638" s="7">
        <f>IF(OR(D1638="",N(J1638)=0),"",MIN(1,N(K1638)/J1638))</f>
        <v/>
      </c>
      <c r="M1638" s="5" t="n"/>
      <c r="N1638" s="5" t="n"/>
      <c r="O1638" s="5" t="n"/>
      <c r="P1638" s="5" t="n"/>
      <c r="Q1638" s="5" t="n"/>
      <c r="R1638" s="4" t="n"/>
      <c r="S1638" s="4" t="n"/>
      <c r="T1638" s="5" t="n"/>
      <c r="U1638" s="8">
        <f>IF(AND(V1638=1,D1638&lt;&gt;""),IF(D1638&gt;=corte,TODAY()-D1638,""),"")</f>
        <v/>
      </c>
      <c r="V1638" s="8">
        <f>IF(D1638="",0,IF(OR(AND(P1638&lt;&gt;"",S1638=""),AND(N(J1638)&gt;0,N(K1638)&lt;J1638),OR(M1638="PENDENTE",M1638="PARCIAL"),OR(N1638="PENDENTE",N1638="PARCIAL")),1,0))</f>
        <v/>
      </c>
      <c r="W1638" s="8">
        <f>IF(AND(V1638=1,D1638&lt;&gt;""),IF(D1638&gt;=corte,(B1638="CRÍTICO")*1E9+(100000-D1638)*10000+10000-ROW(),""),"")</f>
        <v/>
      </c>
      <c r="X1638" s="8">
        <f>IF(AND(V1638=1,D1638=pas_data,E1638=pas_turno),10000-ROW(),"")</f>
        <v/>
      </c>
    </row>
    <row r="1639">
      <c r="A1639" s="3">
        <f>IF(D1639="","","TT-"&amp;TEXT(ROW()-1,"00000"))</f>
        <v/>
      </c>
      <c r="B1639" s="3">
        <f>IF(D1639="","",IF(V1639=0,"CONCLUÍDO",IF(D1639&lt;corte,"HISTÓRICO",IF(OR(AND(ISNUMBER(R1639),R1639&lt;TODAY()),AND(OR(N1639="PENDENTE",N1639="PARCIAL"),D1639&lt;TODAY()-1)),"CRÍTICO",IF(OR(AND(P1639&lt;&gt;"",S1639=""),AND(N1639="REALIZADO",M1639="PENDENTE"),AND(ISNUMBER(R1639),R1639=TODAY())),"ATENÇÃO",IF(N(K1639)=0,"PENDENTE","EM ANDAMENTO"))))))</f>
        <v/>
      </c>
      <c r="C1639" s="3">
        <f>IF(D1639="","",IF(V1639=0,"🟢 OK",IF(D1639&lt;corte,"⚪ HISTÓRICO (sem baixa)",IF(AND(ISNUMBER(R1639),R1639&lt;TODAY()),"🔴 PRAZO VENCIDO",IF(AND(OR(N1639="PENDENTE",N1639="PARCIAL"),D1639&lt;TODAY()-1),"🔴 EMBARQUE ATRASADO",IF(AND(N1639="REALIZADO",M1639="PENDENTE"),"🟡 EMBARCADO SEM FATURAR",IF(AND(P1639&lt;&gt;"",S1639="",OR(Q1639="",R1639="")),"🟡 PENDÊNCIA SEM RESPONSÁVEL/PRAZO",IF(AND(ISNUMBER(R1639),R1639=TODAY()),"🟡 VENCE HOJE",IF(AND(P1639&lt;&gt;"",S1639=""),"🟡 PENDÊNCIA ABERTA",IF(AND(N(J1639)&gt;0,N(K1639)&lt;J1639),"🟡 FALTA EXECUTAR",IF(OR(M1639="PENDENTE",M1639="PARCIAL"),"🟡 FATURAMENTO PENDENTE","🟡 EMBARQUE PENDENTE")))))))))))</f>
        <v/>
      </c>
      <c r="D1639" s="4" t="n"/>
      <c r="E1639" s="5" t="n"/>
      <c r="F1639" s="5" t="n"/>
      <c r="G1639" s="5" t="n"/>
      <c r="H1639" s="5" t="n"/>
      <c r="I1639" s="5" t="n"/>
      <c r="J1639" s="6" t="n"/>
      <c r="K1639" s="6" t="n"/>
      <c r="L1639" s="7">
        <f>IF(OR(D1639="",N(J1639)=0),"",MIN(1,N(K1639)/J1639))</f>
        <v/>
      </c>
      <c r="M1639" s="5" t="n"/>
      <c r="N1639" s="5" t="n"/>
      <c r="O1639" s="5" t="n"/>
      <c r="P1639" s="5" t="n"/>
      <c r="Q1639" s="5" t="n"/>
      <c r="R1639" s="4" t="n"/>
      <c r="S1639" s="4" t="n"/>
      <c r="T1639" s="5" t="n"/>
      <c r="U1639" s="8">
        <f>IF(AND(V1639=1,D1639&lt;&gt;""),IF(D1639&gt;=corte,TODAY()-D1639,""),"")</f>
        <v/>
      </c>
      <c r="V1639" s="8">
        <f>IF(D1639="",0,IF(OR(AND(P1639&lt;&gt;"",S1639=""),AND(N(J1639)&gt;0,N(K1639)&lt;J1639),OR(M1639="PENDENTE",M1639="PARCIAL"),OR(N1639="PENDENTE",N1639="PARCIAL")),1,0))</f>
        <v/>
      </c>
      <c r="W1639" s="8">
        <f>IF(AND(V1639=1,D1639&lt;&gt;""),IF(D1639&gt;=corte,(B1639="CRÍTICO")*1E9+(100000-D1639)*10000+10000-ROW(),""),"")</f>
        <v/>
      </c>
      <c r="X1639" s="8">
        <f>IF(AND(V1639=1,D1639=pas_data,E1639=pas_turno),10000-ROW(),"")</f>
        <v/>
      </c>
    </row>
    <row r="1640">
      <c r="A1640" s="3">
        <f>IF(D1640="","","TT-"&amp;TEXT(ROW()-1,"00000"))</f>
        <v/>
      </c>
      <c r="B1640" s="3">
        <f>IF(D1640="","",IF(V1640=0,"CONCLUÍDO",IF(D1640&lt;corte,"HISTÓRICO",IF(OR(AND(ISNUMBER(R1640),R1640&lt;TODAY()),AND(OR(N1640="PENDENTE",N1640="PARCIAL"),D1640&lt;TODAY()-1)),"CRÍTICO",IF(OR(AND(P1640&lt;&gt;"",S1640=""),AND(N1640="REALIZADO",M1640="PENDENTE"),AND(ISNUMBER(R1640),R1640=TODAY())),"ATENÇÃO",IF(N(K1640)=0,"PENDENTE","EM ANDAMENTO"))))))</f>
        <v/>
      </c>
      <c r="C1640" s="3">
        <f>IF(D1640="","",IF(V1640=0,"🟢 OK",IF(D1640&lt;corte,"⚪ HISTÓRICO (sem baixa)",IF(AND(ISNUMBER(R1640),R1640&lt;TODAY()),"🔴 PRAZO VENCIDO",IF(AND(OR(N1640="PENDENTE",N1640="PARCIAL"),D1640&lt;TODAY()-1),"🔴 EMBARQUE ATRASADO",IF(AND(N1640="REALIZADO",M1640="PENDENTE"),"🟡 EMBARCADO SEM FATURAR",IF(AND(P1640&lt;&gt;"",S1640="",OR(Q1640="",R1640="")),"🟡 PENDÊNCIA SEM RESPONSÁVEL/PRAZO",IF(AND(ISNUMBER(R1640),R1640=TODAY()),"🟡 VENCE HOJE",IF(AND(P1640&lt;&gt;"",S1640=""),"🟡 PENDÊNCIA ABERTA",IF(AND(N(J1640)&gt;0,N(K1640)&lt;J1640),"🟡 FALTA EXECUTAR",IF(OR(M1640="PENDENTE",M1640="PARCIAL"),"🟡 FATURAMENTO PENDENTE","🟡 EMBARQUE PENDENTE")))))))))))</f>
        <v/>
      </c>
      <c r="D1640" s="4" t="n"/>
      <c r="E1640" s="5" t="n"/>
      <c r="F1640" s="5" t="n"/>
      <c r="G1640" s="5" t="n"/>
      <c r="H1640" s="5" t="n"/>
      <c r="I1640" s="5" t="n"/>
      <c r="J1640" s="6" t="n"/>
      <c r="K1640" s="6" t="n"/>
      <c r="L1640" s="7">
        <f>IF(OR(D1640="",N(J1640)=0),"",MIN(1,N(K1640)/J1640))</f>
        <v/>
      </c>
      <c r="M1640" s="5" t="n"/>
      <c r="N1640" s="5" t="n"/>
      <c r="O1640" s="5" t="n"/>
      <c r="P1640" s="5" t="n"/>
      <c r="Q1640" s="5" t="n"/>
      <c r="R1640" s="4" t="n"/>
      <c r="S1640" s="4" t="n"/>
      <c r="T1640" s="5" t="n"/>
      <c r="U1640" s="8">
        <f>IF(AND(V1640=1,D1640&lt;&gt;""),IF(D1640&gt;=corte,TODAY()-D1640,""),"")</f>
        <v/>
      </c>
      <c r="V1640" s="8">
        <f>IF(D1640="",0,IF(OR(AND(P1640&lt;&gt;"",S1640=""),AND(N(J1640)&gt;0,N(K1640)&lt;J1640),OR(M1640="PENDENTE",M1640="PARCIAL"),OR(N1640="PENDENTE",N1640="PARCIAL")),1,0))</f>
        <v/>
      </c>
      <c r="W1640" s="8">
        <f>IF(AND(V1640=1,D1640&lt;&gt;""),IF(D1640&gt;=corte,(B1640="CRÍTICO")*1E9+(100000-D1640)*10000+10000-ROW(),""),"")</f>
        <v/>
      </c>
      <c r="X1640" s="8">
        <f>IF(AND(V1640=1,D1640=pas_data,E1640=pas_turno),10000-ROW(),"")</f>
        <v/>
      </c>
    </row>
    <row r="1641">
      <c r="A1641" s="3">
        <f>IF(D1641="","","TT-"&amp;TEXT(ROW()-1,"00000"))</f>
        <v/>
      </c>
      <c r="B1641" s="3">
        <f>IF(D1641="","",IF(V1641=0,"CONCLUÍDO",IF(D1641&lt;corte,"HISTÓRICO",IF(OR(AND(ISNUMBER(R1641),R1641&lt;TODAY()),AND(OR(N1641="PENDENTE",N1641="PARCIAL"),D1641&lt;TODAY()-1)),"CRÍTICO",IF(OR(AND(P1641&lt;&gt;"",S1641=""),AND(N1641="REALIZADO",M1641="PENDENTE"),AND(ISNUMBER(R1641),R1641=TODAY())),"ATENÇÃO",IF(N(K1641)=0,"PENDENTE","EM ANDAMENTO"))))))</f>
        <v/>
      </c>
      <c r="C1641" s="3">
        <f>IF(D1641="","",IF(V1641=0,"🟢 OK",IF(D1641&lt;corte,"⚪ HISTÓRICO (sem baixa)",IF(AND(ISNUMBER(R1641),R1641&lt;TODAY()),"🔴 PRAZO VENCIDO",IF(AND(OR(N1641="PENDENTE",N1641="PARCIAL"),D1641&lt;TODAY()-1),"🔴 EMBARQUE ATRASADO",IF(AND(N1641="REALIZADO",M1641="PENDENTE"),"🟡 EMBARCADO SEM FATURAR",IF(AND(P1641&lt;&gt;"",S1641="",OR(Q1641="",R1641="")),"🟡 PENDÊNCIA SEM RESPONSÁVEL/PRAZO",IF(AND(ISNUMBER(R1641),R1641=TODAY()),"🟡 VENCE HOJE",IF(AND(P1641&lt;&gt;"",S1641=""),"🟡 PENDÊNCIA ABERTA",IF(AND(N(J1641)&gt;0,N(K1641)&lt;J1641),"🟡 FALTA EXECUTAR",IF(OR(M1641="PENDENTE",M1641="PARCIAL"),"🟡 FATURAMENTO PENDENTE","🟡 EMBARQUE PENDENTE")))))))))))</f>
        <v/>
      </c>
      <c r="D1641" s="4" t="n"/>
      <c r="E1641" s="5" t="n"/>
      <c r="F1641" s="5" t="n"/>
      <c r="G1641" s="5" t="n"/>
      <c r="H1641" s="5" t="n"/>
      <c r="I1641" s="5" t="n"/>
      <c r="J1641" s="6" t="n"/>
      <c r="K1641" s="6" t="n"/>
      <c r="L1641" s="7">
        <f>IF(OR(D1641="",N(J1641)=0),"",MIN(1,N(K1641)/J1641))</f>
        <v/>
      </c>
      <c r="M1641" s="5" t="n"/>
      <c r="N1641" s="5" t="n"/>
      <c r="O1641" s="5" t="n"/>
      <c r="P1641" s="5" t="n"/>
      <c r="Q1641" s="5" t="n"/>
      <c r="R1641" s="4" t="n"/>
      <c r="S1641" s="4" t="n"/>
      <c r="T1641" s="5" t="n"/>
      <c r="U1641" s="8">
        <f>IF(AND(V1641=1,D1641&lt;&gt;""),IF(D1641&gt;=corte,TODAY()-D1641,""),"")</f>
        <v/>
      </c>
      <c r="V1641" s="8">
        <f>IF(D1641="",0,IF(OR(AND(P1641&lt;&gt;"",S1641=""),AND(N(J1641)&gt;0,N(K1641)&lt;J1641),OR(M1641="PENDENTE",M1641="PARCIAL"),OR(N1641="PENDENTE",N1641="PARCIAL")),1,0))</f>
        <v/>
      </c>
      <c r="W1641" s="8">
        <f>IF(AND(V1641=1,D1641&lt;&gt;""),IF(D1641&gt;=corte,(B1641="CRÍTICO")*1E9+(100000-D1641)*10000+10000-ROW(),""),"")</f>
        <v/>
      </c>
      <c r="X1641" s="8">
        <f>IF(AND(V1641=1,D1641=pas_data,E1641=pas_turno),10000-ROW(),"")</f>
        <v/>
      </c>
    </row>
    <row r="1642">
      <c r="A1642" s="3">
        <f>IF(D1642="","","TT-"&amp;TEXT(ROW()-1,"00000"))</f>
        <v/>
      </c>
      <c r="B1642" s="3">
        <f>IF(D1642="","",IF(V1642=0,"CONCLUÍDO",IF(D1642&lt;corte,"HISTÓRICO",IF(OR(AND(ISNUMBER(R1642),R1642&lt;TODAY()),AND(OR(N1642="PENDENTE",N1642="PARCIAL"),D1642&lt;TODAY()-1)),"CRÍTICO",IF(OR(AND(P1642&lt;&gt;"",S1642=""),AND(N1642="REALIZADO",M1642="PENDENTE"),AND(ISNUMBER(R1642),R1642=TODAY())),"ATENÇÃO",IF(N(K1642)=0,"PENDENTE","EM ANDAMENTO"))))))</f>
        <v/>
      </c>
      <c r="C1642" s="3">
        <f>IF(D1642="","",IF(V1642=0,"🟢 OK",IF(D1642&lt;corte,"⚪ HISTÓRICO (sem baixa)",IF(AND(ISNUMBER(R1642),R1642&lt;TODAY()),"🔴 PRAZO VENCIDO",IF(AND(OR(N1642="PENDENTE",N1642="PARCIAL"),D1642&lt;TODAY()-1),"🔴 EMBARQUE ATRASADO",IF(AND(N1642="REALIZADO",M1642="PENDENTE"),"🟡 EMBARCADO SEM FATURAR",IF(AND(P1642&lt;&gt;"",S1642="",OR(Q1642="",R1642="")),"🟡 PENDÊNCIA SEM RESPONSÁVEL/PRAZO",IF(AND(ISNUMBER(R1642),R1642=TODAY()),"🟡 VENCE HOJE",IF(AND(P1642&lt;&gt;"",S1642=""),"🟡 PENDÊNCIA ABERTA",IF(AND(N(J1642)&gt;0,N(K1642)&lt;J1642),"🟡 FALTA EXECUTAR",IF(OR(M1642="PENDENTE",M1642="PARCIAL"),"🟡 FATURAMENTO PENDENTE","🟡 EMBARQUE PENDENTE")))))))))))</f>
        <v/>
      </c>
      <c r="D1642" s="4" t="n"/>
      <c r="E1642" s="5" t="n"/>
      <c r="F1642" s="5" t="n"/>
      <c r="G1642" s="5" t="n"/>
      <c r="H1642" s="5" t="n"/>
      <c r="I1642" s="5" t="n"/>
      <c r="J1642" s="6" t="n"/>
      <c r="K1642" s="6" t="n"/>
      <c r="L1642" s="7">
        <f>IF(OR(D1642="",N(J1642)=0),"",MIN(1,N(K1642)/J1642))</f>
        <v/>
      </c>
      <c r="M1642" s="5" t="n"/>
      <c r="N1642" s="5" t="n"/>
      <c r="O1642" s="5" t="n"/>
      <c r="P1642" s="5" t="n"/>
      <c r="Q1642" s="5" t="n"/>
      <c r="R1642" s="4" t="n"/>
      <c r="S1642" s="4" t="n"/>
      <c r="T1642" s="5" t="n"/>
      <c r="U1642" s="8">
        <f>IF(AND(V1642=1,D1642&lt;&gt;""),IF(D1642&gt;=corte,TODAY()-D1642,""),"")</f>
        <v/>
      </c>
      <c r="V1642" s="8">
        <f>IF(D1642="",0,IF(OR(AND(P1642&lt;&gt;"",S1642=""),AND(N(J1642)&gt;0,N(K1642)&lt;J1642),OR(M1642="PENDENTE",M1642="PARCIAL"),OR(N1642="PENDENTE",N1642="PARCIAL")),1,0))</f>
        <v/>
      </c>
      <c r="W1642" s="8">
        <f>IF(AND(V1642=1,D1642&lt;&gt;""),IF(D1642&gt;=corte,(B1642="CRÍTICO")*1E9+(100000-D1642)*10000+10000-ROW(),""),"")</f>
        <v/>
      </c>
      <c r="X1642" s="8">
        <f>IF(AND(V1642=1,D1642=pas_data,E1642=pas_turno),10000-ROW(),"")</f>
        <v/>
      </c>
    </row>
    <row r="1643">
      <c r="A1643" s="3">
        <f>IF(D1643="","","TT-"&amp;TEXT(ROW()-1,"00000"))</f>
        <v/>
      </c>
      <c r="B1643" s="3">
        <f>IF(D1643="","",IF(V1643=0,"CONCLUÍDO",IF(D1643&lt;corte,"HISTÓRICO",IF(OR(AND(ISNUMBER(R1643),R1643&lt;TODAY()),AND(OR(N1643="PENDENTE",N1643="PARCIAL"),D1643&lt;TODAY()-1)),"CRÍTICO",IF(OR(AND(P1643&lt;&gt;"",S1643=""),AND(N1643="REALIZADO",M1643="PENDENTE"),AND(ISNUMBER(R1643),R1643=TODAY())),"ATENÇÃO",IF(N(K1643)=0,"PENDENTE","EM ANDAMENTO"))))))</f>
        <v/>
      </c>
      <c r="C1643" s="3">
        <f>IF(D1643="","",IF(V1643=0,"🟢 OK",IF(D1643&lt;corte,"⚪ HISTÓRICO (sem baixa)",IF(AND(ISNUMBER(R1643),R1643&lt;TODAY()),"🔴 PRAZO VENCIDO",IF(AND(OR(N1643="PENDENTE",N1643="PARCIAL"),D1643&lt;TODAY()-1),"🔴 EMBARQUE ATRASADO",IF(AND(N1643="REALIZADO",M1643="PENDENTE"),"🟡 EMBARCADO SEM FATURAR",IF(AND(P1643&lt;&gt;"",S1643="",OR(Q1643="",R1643="")),"🟡 PENDÊNCIA SEM RESPONSÁVEL/PRAZO",IF(AND(ISNUMBER(R1643),R1643=TODAY()),"🟡 VENCE HOJE",IF(AND(P1643&lt;&gt;"",S1643=""),"🟡 PENDÊNCIA ABERTA",IF(AND(N(J1643)&gt;0,N(K1643)&lt;J1643),"🟡 FALTA EXECUTAR",IF(OR(M1643="PENDENTE",M1643="PARCIAL"),"🟡 FATURAMENTO PENDENTE","🟡 EMBARQUE PENDENTE")))))))))))</f>
        <v/>
      </c>
      <c r="D1643" s="4" t="n"/>
      <c r="E1643" s="5" t="n"/>
      <c r="F1643" s="5" t="n"/>
      <c r="G1643" s="5" t="n"/>
      <c r="H1643" s="5" t="n"/>
      <c r="I1643" s="5" t="n"/>
      <c r="J1643" s="6" t="n"/>
      <c r="K1643" s="6" t="n"/>
      <c r="L1643" s="7">
        <f>IF(OR(D1643="",N(J1643)=0),"",MIN(1,N(K1643)/J1643))</f>
        <v/>
      </c>
      <c r="M1643" s="5" t="n"/>
      <c r="N1643" s="5" t="n"/>
      <c r="O1643" s="5" t="n"/>
      <c r="P1643" s="5" t="n"/>
      <c r="Q1643" s="5" t="n"/>
      <c r="R1643" s="4" t="n"/>
      <c r="S1643" s="4" t="n"/>
      <c r="T1643" s="5" t="n"/>
      <c r="U1643" s="8">
        <f>IF(AND(V1643=1,D1643&lt;&gt;""),IF(D1643&gt;=corte,TODAY()-D1643,""),"")</f>
        <v/>
      </c>
      <c r="V1643" s="8">
        <f>IF(D1643="",0,IF(OR(AND(P1643&lt;&gt;"",S1643=""),AND(N(J1643)&gt;0,N(K1643)&lt;J1643),OR(M1643="PENDENTE",M1643="PARCIAL"),OR(N1643="PENDENTE",N1643="PARCIAL")),1,0))</f>
        <v/>
      </c>
      <c r="W1643" s="8">
        <f>IF(AND(V1643=1,D1643&lt;&gt;""),IF(D1643&gt;=corte,(B1643="CRÍTICO")*1E9+(100000-D1643)*10000+10000-ROW(),""),"")</f>
        <v/>
      </c>
      <c r="X1643" s="8">
        <f>IF(AND(V1643=1,D1643=pas_data,E1643=pas_turno),10000-ROW(),"")</f>
        <v/>
      </c>
    </row>
    <row r="1644">
      <c r="A1644" s="3">
        <f>IF(D1644="","","TT-"&amp;TEXT(ROW()-1,"00000"))</f>
        <v/>
      </c>
      <c r="B1644" s="3">
        <f>IF(D1644="","",IF(V1644=0,"CONCLUÍDO",IF(D1644&lt;corte,"HISTÓRICO",IF(OR(AND(ISNUMBER(R1644),R1644&lt;TODAY()),AND(OR(N1644="PENDENTE",N1644="PARCIAL"),D1644&lt;TODAY()-1)),"CRÍTICO",IF(OR(AND(P1644&lt;&gt;"",S1644=""),AND(N1644="REALIZADO",M1644="PENDENTE"),AND(ISNUMBER(R1644),R1644=TODAY())),"ATENÇÃO",IF(N(K1644)=0,"PENDENTE","EM ANDAMENTO"))))))</f>
        <v/>
      </c>
      <c r="C1644" s="3">
        <f>IF(D1644="","",IF(V1644=0,"🟢 OK",IF(D1644&lt;corte,"⚪ HISTÓRICO (sem baixa)",IF(AND(ISNUMBER(R1644),R1644&lt;TODAY()),"🔴 PRAZO VENCIDO",IF(AND(OR(N1644="PENDENTE",N1644="PARCIAL"),D1644&lt;TODAY()-1),"🔴 EMBARQUE ATRASADO",IF(AND(N1644="REALIZADO",M1644="PENDENTE"),"🟡 EMBARCADO SEM FATURAR",IF(AND(P1644&lt;&gt;"",S1644="",OR(Q1644="",R1644="")),"🟡 PENDÊNCIA SEM RESPONSÁVEL/PRAZO",IF(AND(ISNUMBER(R1644),R1644=TODAY()),"🟡 VENCE HOJE",IF(AND(P1644&lt;&gt;"",S1644=""),"🟡 PENDÊNCIA ABERTA",IF(AND(N(J1644)&gt;0,N(K1644)&lt;J1644),"🟡 FALTA EXECUTAR",IF(OR(M1644="PENDENTE",M1644="PARCIAL"),"🟡 FATURAMENTO PENDENTE","🟡 EMBARQUE PENDENTE")))))))))))</f>
        <v/>
      </c>
      <c r="D1644" s="4" t="n"/>
      <c r="E1644" s="5" t="n"/>
      <c r="F1644" s="5" t="n"/>
      <c r="G1644" s="5" t="n"/>
      <c r="H1644" s="5" t="n"/>
      <c r="I1644" s="5" t="n"/>
      <c r="J1644" s="6" t="n"/>
      <c r="K1644" s="6" t="n"/>
      <c r="L1644" s="7">
        <f>IF(OR(D1644="",N(J1644)=0),"",MIN(1,N(K1644)/J1644))</f>
        <v/>
      </c>
      <c r="M1644" s="5" t="n"/>
      <c r="N1644" s="5" t="n"/>
      <c r="O1644" s="5" t="n"/>
      <c r="P1644" s="5" t="n"/>
      <c r="Q1644" s="5" t="n"/>
      <c r="R1644" s="4" t="n"/>
      <c r="S1644" s="4" t="n"/>
      <c r="T1644" s="5" t="n"/>
      <c r="U1644" s="8">
        <f>IF(AND(V1644=1,D1644&lt;&gt;""),IF(D1644&gt;=corte,TODAY()-D1644,""),"")</f>
        <v/>
      </c>
      <c r="V1644" s="8">
        <f>IF(D1644="",0,IF(OR(AND(P1644&lt;&gt;"",S1644=""),AND(N(J1644)&gt;0,N(K1644)&lt;J1644),OR(M1644="PENDENTE",M1644="PARCIAL"),OR(N1644="PENDENTE",N1644="PARCIAL")),1,0))</f>
        <v/>
      </c>
      <c r="W1644" s="8">
        <f>IF(AND(V1644=1,D1644&lt;&gt;""),IF(D1644&gt;=corte,(B1644="CRÍTICO")*1E9+(100000-D1644)*10000+10000-ROW(),""),"")</f>
        <v/>
      </c>
      <c r="X1644" s="8">
        <f>IF(AND(V1644=1,D1644=pas_data,E1644=pas_turno),10000-ROW(),"")</f>
        <v/>
      </c>
    </row>
    <row r="1645">
      <c r="A1645" s="3">
        <f>IF(D1645="","","TT-"&amp;TEXT(ROW()-1,"00000"))</f>
        <v/>
      </c>
      <c r="B1645" s="3">
        <f>IF(D1645="","",IF(V1645=0,"CONCLUÍDO",IF(D1645&lt;corte,"HISTÓRICO",IF(OR(AND(ISNUMBER(R1645),R1645&lt;TODAY()),AND(OR(N1645="PENDENTE",N1645="PARCIAL"),D1645&lt;TODAY()-1)),"CRÍTICO",IF(OR(AND(P1645&lt;&gt;"",S1645=""),AND(N1645="REALIZADO",M1645="PENDENTE"),AND(ISNUMBER(R1645),R1645=TODAY())),"ATENÇÃO",IF(N(K1645)=0,"PENDENTE","EM ANDAMENTO"))))))</f>
        <v/>
      </c>
      <c r="C1645" s="3">
        <f>IF(D1645="","",IF(V1645=0,"🟢 OK",IF(D1645&lt;corte,"⚪ HISTÓRICO (sem baixa)",IF(AND(ISNUMBER(R1645),R1645&lt;TODAY()),"🔴 PRAZO VENCIDO",IF(AND(OR(N1645="PENDENTE",N1645="PARCIAL"),D1645&lt;TODAY()-1),"🔴 EMBARQUE ATRASADO",IF(AND(N1645="REALIZADO",M1645="PENDENTE"),"🟡 EMBARCADO SEM FATURAR",IF(AND(P1645&lt;&gt;"",S1645="",OR(Q1645="",R1645="")),"🟡 PENDÊNCIA SEM RESPONSÁVEL/PRAZO",IF(AND(ISNUMBER(R1645),R1645=TODAY()),"🟡 VENCE HOJE",IF(AND(P1645&lt;&gt;"",S1645=""),"🟡 PENDÊNCIA ABERTA",IF(AND(N(J1645)&gt;0,N(K1645)&lt;J1645),"🟡 FALTA EXECUTAR",IF(OR(M1645="PENDENTE",M1645="PARCIAL"),"🟡 FATURAMENTO PENDENTE","🟡 EMBARQUE PENDENTE")))))))))))</f>
        <v/>
      </c>
      <c r="D1645" s="4" t="n"/>
      <c r="E1645" s="5" t="n"/>
      <c r="F1645" s="5" t="n"/>
      <c r="G1645" s="5" t="n"/>
      <c r="H1645" s="5" t="n"/>
      <c r="I1645" s="5" t="n"/>
      <c r="J1645" s="6" t="n"/>
      <c r="K1645" s="6" t="n"/>
      <c r="L1645" s="7">
        <f>IF(OR(D1645="",N(J1645)=0),"",MIN(1,N(K1645)/J1645))</f>
        <v/>
      </c>
      <c r="M1645" s="5" t="n"/>
      <c r="N1645" s="5" t="n"/>
      <c r="O1645" s="5" t="n"/>
      <c r="P1645" s="5" t="n"/>
      <c r="Q1645" s="5" t="n"/>
      <c r="R1645" s="4" t="n"/>
      <c r="S1645" s="4" t="n"/>
      <c r="T1645" s="5" t="n"/>
      <c r="U1645" s="8">
        <f>IF(AND(V1645=1,D1645&lt;&gt;""),IF(D1645&gt;=corte,TODAY()-D1645,""),"")</f>
        <v/>
      </c>
      <c r="V1645" s="8">
        <f>IF(D1645="",0,IF(OR(AND(P1645&lt;&gt;"",S1645=""),AND(N(J1645)&gt;0,N(K1645)&lt;J1645),OR(M1645="PENDENTE",M1645="PARCIAL"),OR(N1645="PENDENTE",N1645="PARCIAL")),1,0))</f>
        <v/>
      </c>
      <c r="W1645" s="8">
        <f>IF(AND(V1645=1,D1645&lt;&gt;""),IF(D1645&gt;=corte,(B1645="CRÍTICO")*1E9+(100000-D1645)*10000+10000-ROW(),""),"")</f>
        <v/>
      </c>
      <c r="X1645" s="8">
        <f>IF(AND(V1645=1,D1645=pas_data,E1645=pas_turno),10000-ROW(),"")</f>
        <v/>
      </c>
    </row>
    <row r="1646">
      <c r="A1646" s="3">
        <f>IF(D1646="","","TT-"&amp;TEXT(ROW()-1,"00000"))</f>
        <v/>
      </c>
      <c r="B1646" s="3">
        <f>IF(D1646="","",IF(V1646=0,"CONCLUÍDO",IF(D1646&lt;corte,"HISTÓRICO",IF(OR(AND(ISNUMBER(R1646),R1646&lt;TODAY()),AND(OR(N1646="PENDENTE",N1646="PARCIAL"),D1646&lt;TODAY()-1)),"CRÍTICO",IF(OR(AND(P1646&lt;&gt;"",S1646=""),AND(N1646="REALIZADO",M1646="PENDENTE"),AND(ISNUMBER(R1646),R1646=TODAY())),"ATENÇÃO",IF(N(K1646)=0,"PENDENTE","EM ANDAMENTO"))))))</f>
        <v/>
      </c>
      <c r="C1646" s="3">
        <f>IF(D1646="","",IF(V1646=0,"🟢 OK",IF(D1646&lt;corte,"⚪ HISTÓRICO (sem baixa)",IF(AND(ISNUMBER(R1646),R1646&lt;TODAY()),"🔴 PRAZO VENCIDO",IF(AND(OR(N1646="PENDENTE",N1646="PARCIAL"),D1646&lt;TODAY()-1),"🔴 EMBARQUE ATRASADO",IF(AND(N1646="REALIZADO",M1646="PENDENTE"),"🟡 EMBARCADO SEM FATURAR",IF(AND(P1646&lt;&gt;"",S1646="",OR(Q1646="",R1646="")),"🟡 PENDÊNCIA SEM RESPONSÁVEL/PRAZO",IF(AND(ISNUMBER(R1646),R1646=TODAY()),"🟡 VENCE HOJE",IF(AND(P1646&lt;&gt;"",S1646=""),"🟡 PENDÊNCIA ABERTA",IF(AND(N(J1646)&gt;0,N(K1646)&lt;J1646),"🟡 FALTA EXECUTAR",IF(OR(M1646="PENDENTE",M1646="PARCIAL"),"🟡 FATURAMENTO PENDENTE","🟡 EMBARQUE PENDENTE")))))))))))</f>
        <v/>
      </c>
      <c r="D1646" s="4" t="n"/>
      <c r="E1646" s="5" t="n"/>
      <c r="F1646" s="5" t="n"/>
      <c r="G1646" s="5" t="n"/>
      <c r="H1646" s="5" t="n"/>
      <c r="I1646" s="5" t="n"/>
      <c r="J1646" s="6" t="n"/>
      <c r="K1646" s="6" t="n"/>
      <c r="L1646" s="7">
        <f>IF(OR(D1646="",N(J1646)=0),"",MIN(1,N(K1646)/J1646))</f>
        <v/>
      </c>
      <c r="M1646" s="5" t="n"/>
      <c r="N1646" s="5" t="n"/>
      <c r="O1646" s="5" t="n"/>
      <c r="P1646" s="5" t="n"/>
      <c r="Q1646" s="5" t="n"/>
      <c r="R1646" s="4" t="n"/>
      <c r="S1646" s="4" t="n"/>
      <c r="T1646" s="5" t="n"/>
      <c r="U1646" s="8">
        <f>IF(AND(V1646=1,D1646&lt;&gt;""),IF(D1646&gt;=corte,TODAY()-D1646,""),"")</f>
        <v/>
      </c>
      <c r="V1646" s="8">
        <f>IF(D1646="",0,IF(OR(AND(P1646&lt;&gt;"",S1646=""),AND(N(J1646)&gt;0,N(K1646)&lt;J1646),OR(M1646="PENDENTE",M1646="PARCIAL"),OR(N1646="PENDENTE",N1646="PARCIAL")),1,0))</f>
        <v/>
      </c>
      <c r="W1646" s="8">
        <f>IF(AND(V1646=1,D1646&lt;&gt;""),IF(D1646&gt;=corte,(B1646="CRÍTICO")*1E9+(100000-D1646)*10000+10000-ROW(),""),"")</f>
        <v/>
      </c>
      <c r="X1646" s="8">
        <f>IF(AND(V1646=1,D1646=pas_data,E1646=pas_turno),10000-ROW(),"")</f>
        <v/>
      </c>
    </row>
    <row r="1647">
      <c r="A1647" s="3">
        <f>IF(D1647="","","TT-"&amp;TEXT(ROW()-1,"00000"))</f>
        <v/>
      </c>
      <c r="B1647" s="3">
        <f>IF(D1647="","",IF(V1647=0,"CONCLUÍDO",IF(D1647&lt;corte,"HISTÓRICO",IF(OR(AND(ISNUMBER(R1647),R1647&lt;TODAY()),AND(OR(N1647="PENDENTE",N1647="PARCIAL"),D1647&lt;TODAY()-1)),"CRÍTICO",IF(OR(AND(P1647&lt;&gt;"",S1647=""),AND(N1647="REALIZADO",M1647="PENDENTE"),AND(ISNUMBER(R1647),R1647=TODAY())),"ATENÇÃO",IF(N(K1647)=0,"PENDENTE","EM ANDAMENTO"))))))</f>
        <v/>
      </c>
      <c r="C1647" s="3">
        <f>IF(D1647="","",IF(V1647=0,"🟢 OK",IF(D1647&lt;corte,"⚪ HISTÓRICO (sem baixa)",IF(AND(ISNUMBER(R1647),R1647&lt;TODAY()),"🔴 PRAZO VENCIDO",IF(AND(OR(N1647="PENDENTE",N1647="PARCIAL"),D1647&lt;TODAY()-1),"🔴 EMBARQUE ATRASADO",IF(AND(N1647="REALIZADO",M1647="PENDENTE"),"🟡 EMBARCADO SEM FATURAR",IF(AND(P1647&lt;&gt;"",S1647="",OR(Q1647="",R1647="")),"🟡 PENDÊNCIA SEM RESPONSÁVEL/PRAZO",IF(AND(ISNUMBER(R1647),R1647=TODAY()),"🟡 VENCE HOJE",IF(AND(P1647&lt;&gt;"",S1647=""),"🟡 PENDÊNCIA ABERTA",IF(AND(N(J1647)&gt;0,N(K1647)&lt;J1647),"🟡 FALTA EXECUTAR",IF(OR(M1647="PENDENTE",M1647="PARCIAL"),"🟡 FATURAMENTO PENDENTE","🟡 EMBARQUE PENDENTE")))))))))))</f>
        <v/>
      </c>
      <c r="D1647" s="4" t="n"/>
      <c r="E1647" s="5" t="n"/>
      <c r="F1647" s="5" t="n"/>
      <c r="G1647" s="5" t="n"/>
      <c r="H1647" s="5" t="n"/>
      <c r="I1647" s="5" t="n"/>
      <c r="J1647" s="6" t="n"/>
      <c r="K1647" s="6" t="n"/>
      <c r="L1647" s="7">
        <f>IF(OR(D1647="",N(J1647)=0),"",MIN(1,N(K1647)/J1647))</f>
        <v/>
      </c>
      <c r="M1647" s="5" t="n"/>
      <c r="N1647" s="5" t="n"/>
      <c r="O1647" s="5" t="n"/>
      <c r="P1647" s="5" t="n"/>
      <c r="Q1647" s="5" t="n"/>
      <c r="R1647" s="4" t="n"/>
      <c r="S1647" s="4" t="n"/>
      <c r="T1647" s="5" t="n"/>
      <c r="U1647" s="8">
        <f>IF(AND(V1647=1,D1647&lt;&gt;""),IF(D1647&gt;=corte,TODAY()-D1647,""),"")</f>
        <v/>
      </c>
      <c r="V1647" s="8">
        <f>IF(D1647="",0,IF(OR(AND(P1647&lt;&gt;"",S1647=""),AND(N(J1647)&gt;0,N(K1647)&lt;J1647),OR(M1647="PENDENTE",M1647="PARCIAL"),OR(N1647="PENDENTE",N1647="PARCIAL")),1,0))</f>
        <v/>
      </c>
      <c r="W1647" s="8">
        <f>IF(AND(V1647=1,D1647&lt;&gt;""),IF(D1647&gt;=corte,(B1647="CRÍTICO")*1E9+(100000-D1647)*10000+10000-ROW(),""),"")</f>
        <v/>
      </c>
      <c r="X1647" s="8">
        <f>IF(AND(V1647=1,D1647=pas_data,E1647=pas_turno),10000-ROW(),"")</f>
        <v/>
      </c>
    </row>
    <row r="1648">
      <c r="A1648" s="3">
        <f>IF(D1648="","","TT-"&amp;TEXT(ROW()-1,"00000"))</f>
        <v/>
      </c>
      <c r="B1648" s="3">
        <f>IF(D1648="","",IF(V1648=0,"CONCLUÍDO",IF(D1648&lt;corte,"HISTÓRICO",IF(OR(AND(ISNUMBER(R1648),R1648&lt;TODAY()),AND(OR(N1648="PENDENTE",N1648="PARCIAL"),D1648&lt;TODAY()-1)),"CRÍTICO",IF(OR(AND(P1648&lt;&gt;"",S1648=""),AND(N1648="REALIZADO",M1648="PENDENTE"),AND(ISNUMBER(R1648),R1648=TODAY())),"ATENÇÃO",IF(N(K1648)=0,"PENDENTE","EM ANDAMENTO"))))))</f>
        <v/>
      </c>
      <c r="C1648" s="3">
        <f>IF(D1648="","",IF(V1648=0,"🟢 OK",IF(D1648&lt;corte,"⚪ HISTÓRICO (sem baixa)",IF(AND(ISNUMBER(R1648),R1648&lt;TODAY()),"🔴 PRAZO VENCIDO",IF(AND(OR(N1648="PENDENTE",N1648="PARCIAL"),D1648&lt;TODAY()-1),"🔴 EMBARQUE ATRASADO",IF(AND(N1648="REALIZADO",M1648="PENDENTE"),"🟡 EMBARCADO SEM FATURAR",IF(AND(P1648&lt;&gt;"",S1648="",OR(Q1648="",R1648="")),"🟡 PENDÊNCIA SEM RESPONSÁVEL/PRAZO",IF(AND(ISNUMBER(R1648),R1648=TODAY()),"🟡 VENCE HOJE",IF(AND(P1648&lt;&gt;"",S1648=""),"🟡 PENDÊNCIA ABERTA",IF(AND(N(J1648)&gt;0,N(K1648)&lt;J1648),"🟡 FALTA EXECUTAR",IF(OR(M1648="PENDENTE",M1648="PARCIAL"),"🟡 FATURAMENTO PENDENTE","🟡 EMBARQUE PENDENTE")))))))))))</f>
        <v/>
      </c>
      <c r="D1648" s="4" t="n"/>
      <c r="E1648" s="5" t="n"/>
      <c r="F1648" s="5" t="n"/>
      <c r="G1648" s="5" t="n"/>
      <c r="H1648" s="5" t="n"/>
      <c r="I1648" s="5" t="n"/>
      <c r="J1648" s="6" t="n"/>
      <c r="K1648" s="6" t="n"/>
      <c r="L1648" s="7">
        <f>IF(OR(D1648="",N(J1648)=0),"",MIN(1,N(K1648)/J1648))</f>
        <v/>
      </c>
      <c r="M1648" s="5" t="n"/>
      <c r="N1648" s="5" t="n"/>
      <c r="O1648" s="5" t="n"/>
      <c r="P1648" s="5" t="n"/>
      <c r="Q1648" s="5" t="n"/>
      <c r="R1648" s="4" t="n"/>
      <c r="S1648" s="4" t="n"/>
      <c r="T1648" s="5" t="n"/>
      <c r="U1648" s="8">
        <f>IF(AND(V1648=1,D1648&lt;&gt;""),IF(D1648&gt;=corte,TODAY()-D1648,""),"")</f>
        <v/>
      </c>
      <c r="V1648" s="8">
        <f>IF(D1648="",0,IF(OR(AND(P1648&lt;&gt;"",S1648=""),AND(N(J1648)&gt;0,N(K1648)&lt;J1648),OR(M1648="PENDENTE",M1648="PARCIAL"),OR(N1648="PENDENTE",N1648="PARCIAL")),1,0))</f>
        <v/>
      </c>
      <c r="W1648" s="8">
        <f>IF(AND(V1648=1,D1648&lt;&gt;""),IF(D1648&gt;=corte,(B1648="CRÍTICO")*1E9+(100000-D1648)*10000+10000-ROW(),""),"")</f>
        <v/>
      </c>
      <c r="X1648" s="8">
        <f>IF(AND(V1648=1,D1648=pas_data,E1648=pas_turno),10000-ROW(),"")</f>
        <v/>
      </c>
    </row>
    <row r="1649">
      <c r="A1649" s="3">
        <f>IF(D1649="","","TT-"&amp;TEXT(ROW()-1,"00000"))</f>
        <v/>
      </c>
      <c r="B1649" s="3">
        <f>IF(D1649="","",IF(V1649=0,"CONCLUÍDO",IF(D1649&lt;corte,"HISTÓRICO",IF(OR(AND(ISNUMBER(R1649),R1649&lt;TODAY()),AND(OR(N1649="PENDENTE",N1649="PARCIAL"),D1649&lt;TODAY()-1)),"CRÍTICO",IF(OR(AND(P1649&lt;&gt;"",S1649=""),AND(N1649="REALIZADO",M1649="PENDENTE"),AND(ISNUMBER(R1649),R1649=TODAY())),"ATENÇÃO",IF(N(K1649)=0,"PENDENTE","EM ANDAMENTO"))))))</f>
        <v/>
      </c>
      <c r="C1649" s="3">
        <f>IF(D1649="","",IF(V1649=0,"🟢 OK",IF(D1649&lt;corte,"⚪ HISTÓRICO (sem baixa)",IF(AND(ISNUMBER(R1649),R1649&lt;TODAY()),"🔴 PRAZO VENCIDO",IF(AND(OR(N1649="PENDENTE",N1649="PARCIAL"),D1649&lt;TODAY()-1),"🔴 EMBARQUE ATRASADO",IF(AND(N1649="REALIZADO",M1649="PENDENTE"),"🟡 EMBARCADO SEM FATURAR",IF(AND(P1649&lt;&gt;"",S1649="",OR(Q1649="",R1649="")),"🟡 PENDÊNCIA SEM RESPONSÁVEL/PRAZO",IF(AND(ISNUMBER(R1649),R1649=TODAY()),"🟡 VENCE HOJE",IF(AND(P1649&lt;&gt;"",S1649=""),"🟡 PENDÊNCIA ABERTA",IF(AND(N(J1649)&gt;0,N(K1649)&lt;J1649),"🟡 FALTA EXECUTAR",IF(OR(M1649="PENDENTE",M1649="PARCIAL"),"🟡 FATURAMENTO PENDENTE","🟡 EMBARQUE PENDENTE")))))))))))</f>
        <v/>
      </c>
      <c r="D1649" s="4" t="n"/>
      <c r="E1649" s="5" t="n"/>
      <c r="F1649" s="5" t="n"/>
      <c r="G1649" s="5" t="n"/>
      <c r="H1649" s="5" t="n"/>
      <c r="I1649" s="5" t="n"/>
      <c r="J1649" s="6" t="n"/>
      <c r="K1649" s="6" t="n"/>
      <c r="L1649" s="7">
        <f>IF(OR(D1649="",N(J1649)=0),"",MIN(1,N(K1649)/J1649))</f>
        <v/>
      </c>
      <c r="M1649" s="5" t="n"/>
      <c r="N1649" s="5" t="n"/>
      <c r="O1649" s="5" t="n"/>
      <c r="P1649" s="5" t="n"/>
      <c r="Q1649" s="5" t="n"/>
      <c r="R1649" s="4" t="n"/>
      <c r="S1649" s="4" t="n"/>
      <c r="T1649" s="5" t="n"/>
      <c r="U1649" s="8">
        <f>IF(AND(V1649=1,D1649&lt;&gt;""),IF(D1649&gt;=corte,TODAY()-D1649,""),"")</f>
        <v/>
      </c>
      <c r="V1649" s="8">
        <f>IF(D1649="",0,IF(OR(AND(P1649&lt;&gt;"",S1649=""),AND(N(J1649)&gt;0,N(K1649)&lt;J1649),OR(M1649="PENDENTE",M1649="PARCIAL"),OR(N1649="PENDENTE",N1649="PARCIAL")),1,0))</f>
        <v/>
      </c>
      <c r="W1649" s="8">
        <f>IF(AND(V1649=1,D1649&lt;&gt;""),IF(D1649&gt;=corte,(B1649="CRÍTICO")*1E9+(100000-D1649)*10000+10000-ROW(),""),"")</f>
        <v/>
      </c>
      <c r="X1649" s="8">
        <f>IF(AND(V1649=1,D1649=pas_data,E1649=pas_turno),10000-ROW(),"")</f>
        <v/>
      </c>
    </row>
    <row r="1650">
      <c r="A1650" s="3">
        <f>IF(D1650="","","TT-"&amp;TEXT(ROW()-1,"00000"))</f>
        <v/>
      </c>
      <c r="B1650" s="3">
        <f>IF(D1650="","",IF(V1650=0,"CONCLUÍDO",IF(D1650&lt;corte,"HISTÓRICO",IF(OR(AND(ISNUMBER(R1650),R1650&lt;TODAY()),AND(OR(N1650="PENDENTE",N1650="PARCIAL"),D1650&lt;TODAY()-1)),"CRÍTICO",IF(OR(AND(P1650&lt;&gt;"",S1650=""),AND(N1650="REALIZADO",M1650="PENDENTE"),AND(ISNUMBER(R1650),R1650=TODAY())),"ATENÇÃO",IF(N(K1650)=0,"PENDENTE","EM ANDAMENTO"))))))</f>
        <v/>
      </c>
      <c r="C1650" s="3">
        <f>IF(D1650="","",IF(V1650=0,"🟢 OK",IF(D1650&lt;corte,"⚪ HISTÓRICO (sem baixa)",IF(AND(ISNUMBER(R1650),R1650&lt;TODAY()),"🔴 PRAZO VENCIDO",IF(AND(OR(N1650="PENDENTE",N1650="PARCIAL"),D1650&lt;TODAY()-1),"🔴 EMBARQUE ATRASADO",IF(AND(N1650="REALIZADO",M1650="PENDENTE"),"🟡 EMBARCADO SEM FATURAR",IF(AND(P1650&lt;&gt;"",S1650="",OR(Q1650="",R1650="")),"🟡 PENDÊNCIA SEM RESPONSÁVEL/PRAZO",IF(AND(ISNUMBER(R1650),R1650=TODAY()),"🟡 VENCE HOJE",IF(AND(P1650&lt;&gt;"",S1650=""),"🟡 PENDÊNCIA ABERTA",IF(AND(N(J1650)&gt;0,N(K1650)&lt;J1650),"🟡 FALTA EXECUTAR",IF(OR(M1650="PENDENTE",M1650="PARCIAL"),"🟡 FATURAMENTO PENDENTE","🟡 EMBARQUE PENDENTE")))))))))))</f>
        <v/>
      </c>
      <c r="D1650" s="4" t="n"/>
      <c r="E1650" s="5" t="n"/>
      <c r="F1650" s="5" t="n"/>
      <c r="G1650" s="5" t="n"/>
      <c r="H1650" s="5" t="n"/>
      <c r="I1650" s="5" t="n"/>
      <c r="J1650" s="6" t="n"/>
      <c r="K1650" s="6" t="n"/>
      <c r="L1650" s="7">
        <f>IF(OR(D1650="",N(J1650)=0),"",MIN(1,N(K1650)/J1650))</f>
        <v/>
      </c>
      <c r="M1650" s="5" t="n"/>
      <c r="N1650" s="5" t="n"/>
      <c r="O1650" s="5" t="n"/>
      <c r="P1650" s="5" t="n"/>
      <c r="Q1650" s="5" t="n"/>
      <c r="R1650" s="4" t="n"/>
      <c r="S1650" s="4" t="n"/>
      <c r="T1650" s="5" t="n"/>
      <c r="U1650" s="8">
        <f>IF(AND(V1650=1,D1650&lt;&gt;""),IF(D1650&gt;=corte,TODAY()-D1650,""),"")</f>
        <v/>
      </c>
      <c r="V1650" s="8">
        <f>IF(D1650="",0,IF(OR(AND(P1650&lt;&gt;"",S1650=""),AND(N(J1650)&gt;0,N(K1650)&lt;J1650),OR(M1650="PENDENTE",M1650="PARCIAL"),OR(N1650="PENDENTE",N1650="PARCIAL")),1,0))</f>
        <v/>
      </c>
      <c r="W1650" s="8">
        <f>IF(AND(V1650=1,D1650&lt;&gt;""),IF(D1650&gt;=corte,(B1650="CRÍTICO")*1E9+(100000-D1650)*10000+10000-ROW(),""),"")</f>
        <v/>
      </c>
      <c r="X1650" s="8">
        <f>IF(AND(V1650=1,D1650=pas_data,E1650=pas_turno),10000-ROW(),"")</f>
        <v/>
      </c>
    </row>
    <row r="1651">
      <c r="A1651" s="3">
        <f>IF(D1651="","","TT-"&amp;TEXT(ROW()-1,"00000"))</f>
        <v/>
      </c>
      <c r="B1651" s="3">
        <f>IF(D1651="","",IF(V1651=0,"CONCLUÍDO",IF(D1651&lt;corte,"HISTÓRICO",IF(OR(AND(ISNUMBER(R1651),R1651&lt;TODAY()),AND(OR(N1651="PENDENTE",N1651="PARCIAL"),D1651&lt;TODAY()-1)),"CRÍTICO",IF(OR(AND(P1651&lt;&gt;"",S1651=""),AND(N1651="REALIZADO",M1651="PENDENTE"),AND(ISNUMBER(R1651),R1651=TODAY())),"ATENÇÃO",IF(N(K1651)=0,"PENDENTE","EM ANDAMENTO"))))))</f>
        <v/>
      </c>
      <c r="C1651" s="3">
        <f>IF(D1651="","",IF(V1651=0,"🟢 OK",IF(D1651&lt;corte,"⚪ HISTÓRICO (sem baixa)",IF(AND(ISNUMBER(R1651),R1651&lt;TODAY()),"🔴 PRAZO VENCIDO",IF(AND(OR(N1651="PENDENTE",N1651="PARCIAL"),D1651&lt;TODAY()-1),"🔴 EMBARQUE ATRASADO",IF(AND(N1651="REALIZADO",M1651="PENDENTE"),"🟡 EMBARCADO SEM FATURAR",IF(AND(P1651&lt;&gt;"",S1651="",OR(Q1651="",R1651="")),"🟡 PENDÊNCIA SEM RESPONSÁVEL/PRAZO",IF(AND(ISNUMBER(R1651),R1651=TODAY()),"🟡 VENCE HOJE",IF(AND(P1651&lt;&gt;"",S1651=""),"🟡 PENDÊNCIA ABERTA",IF(AND(N(J1651)&gt;0,N(K1651)&lt;J1651),"🟡 FALTA EXECUTAR",IF(OR(M1651="PENDENTE",M1651="PARCIAL"),"🟡 FATURAMENTO PENDENTE","🟡 EMBARQUE PENDENTE")))))))))))</f>
        <v/>
      </c>
      <c r="D1651" s="4" t="n"/>
      <c r="E1651" s="5" t="n"/>
      <c r="F1651" s="5" t="n"/>
      <c r="G1651" s="5" t="n"/>
      <c r="H1651" s="5" t="n"/>
      <c r="I1651" s="5" t="n"/>
      <c r="J1651" s="6" t="n"/>
      <c r="K1651" s="6" t="n"/>
      <c r="L1651" s="7">
        <f>IF(OR(D1651="",N(J1651)=0),"",MIN(1,N(K1651)/J1651))</f>
        <v/>
      </c>
      <c r="M1651" s="5" t="n"/>
      <c r="N1651" s="5" t="n"/>
      <c r="O1651" s="5" t="n"/>
      <c r="P1651" s="5" t="n"/>
      <c r="Q1651" s="5" t="n"/>
      <c r="R1651" s="4" t="n"/>
      <c r="S1651" s="4" t="n"/>
      <c r="T1651" s="5" t="n"/>
      <c r="U1651" s="8">
        <f>IF(AND(V1651=1,D1651&lt;&gt;""),IF(D1651&gt;=corte,TODAY()-D1651,""),"")</f>
        <v/>
      </c>
      <c r="V1651" s="8">
        <f>IF(D1651="",0,IF(OR(AND(P1651&lt;&gt;"",S1651=""),AND(N(J1651)&gt;0,N(K1651)&lt;J1651),OR(M1651="PENDENTE",M1651="PARCIAL"),OR(N1651="PENDENTE",N1651="PARCIAL")),1,0))</f>
        <v/>
      </c>
      <c r="W1651" s="8">
        <f>IF(AND(V1651=1,D1651&lt;&gt;""),IF(D1651&gt;=corte,(B1651="CRÍTICO")*1E9+(100000-D1651)*10000+10000-ROW(),""),"")</f>
        <v/>
      </c>
      <c r="X1651" s="8">
        <f>IF(AND(V1651=1,D1651=pas_data,E1651=pas_turno),10000-ROW(),"")</f>
        <v/>
      </c>
    </row>
    <row r="1652">
      <c r="A1652" s="3">
        <f>IF(D1652="","","TT-"&amp;TEXT(ROW()-1,"00000"))</f>
        <v/>
      </c>
      <c r="B1652" s="3">
        <f>IF(D1652="","",IF(V1652=0,"CONCLUÍDO",IF(D1652&lt;corte,"HISTÓRICO",IF(OR(AND(ISNUMBER(R1652),R1652&lt;TODAY()),AND(OR(N1652="PENDENTE",N1652="PARCIAL"),D1652&lt;TODAY()-1)),"CRÍTICO",IF(OR(AND(P1652&lt;&gt;"",S1652=""),AND(N1652="REALIZADO",M1652="PENDENTE"),AND(ISNUMBER(R1652),R1652=TODAY())),"ATENÇÃO",IF(N(K1652)=0,"PENDENTE","EM ANDAMENTO"))))))</f>
        <v/>
      </c>
      <c r="C1652" s="3">
        <f>IF(D1652="","",IF(V1652=0,"🟢 OK",IF(D1652&lt;corte,"⚪ HISTÓRICO (sem baixa)",IF(AND(ISNUMBER(R1652),R1652&lt;TODAY()),"🔴 PRAZO VENCIDO",IF(AND(OR(N1652="PENDENTE",N1652="PARCIAL"),D1652&lt;TODAY()-1),"🔴 EMBARQUE ATRASADO",IF(AND(N1652="REALIZADO",M1652="PENDENTE"),"🟡 EMBARCADO SEM FATURAR",IF(AND(P1652&lt;&gt;"",S1652="",OR(Q1652="",R1652="")),"🟡 PENDÊNCIA SEM RESPONSÁVEL/PRAZO",IF(AND(ISNUMBER(R1652),R1652=TODAY()),"🟡 VENCE HOJE",IF(AND(P1652&lt;&gt;"",S1652=""),"🟡 PENDÊNCIA ABERTA",IF(AND(N(J1652)&gt;0,N(K1652)&lt;J1652),"🟡 FALTA EXECUTAR",IF(OR(M1652="PENDENTE",M1652="PARCIAL"),"🟡 FATURAMENTO PENDENTE","🟡 EMBARQUE PENDENTE")))))))))))</f>
        <v/>
      </c>
      <c r="D1652" s="4" t="n"/>
      <c r="E1652" s="5" t="n"/>
      <c r="F1652" s="5" t="n"/>
      <c r="G1652" s="5" t="n"/>
      <c r="H1652" s="5" t="n"/>
      <c r="I1652" s="5" t="n"/>
      <c r="J1652" s="6" t="n"/>
      <c r="K1652" s="6" t="n"/>
      <c r="L1652" s="7">
        <f>IF(OR(D1652="",N(J1652)=0),"",MIN(1,N(K1652)/J1652))</f>
        <v/>
      </c>
      <c r="M1652" s="5" t="n"/>
      <c r="N1652" s="5" t="n"/>
      <c r="O1652" s="5" t="n"/>
      <c r="P1652" s="5" t="n"/>
      <c r="Q1652" s="5" t="n"/>
      <c r="R1652" s="4" t="n"/>
      <c r="S1652" s="4" t="n"/>
      <c r="T1652" s="5" t="n"/>
      <c r="U1652" s="8">
        <f>IF(AND(V1652=1,D1652&lt;&gt;""),IF(D1652&gt;=corte,TODAY()-D1652,""),"")</f>
        <v/>
      </c>
      <c r="V1652" s="8">
        <f>IF(D1652="",0,IF(OR(AND(P1652&lt;&gt;"",S1652=""),AND(N(J1652)&gt;0,N(K1652)&lt;J1652),OR(M1652="PENDENTE",M1652="PARCIAL"),OR(N1652="PENDENTE",N1652="PARCIAL")),1,0))</f>
        <v/>
      </c>
      <c r="W1652" s="8">
        <f>IF(AND(V1652=1,D1652&lt;&gt;""),IF(D1652&gt;=corte,(B1652="CRÍTICO")*1E9+(100000-D1652)*10000+10000-ROW(),""),"")</f>
        <v/>
      </c>
      <c r="X1652" s="8">
        <f>IF(AND(V1652=1,D1652=pas_data,E1652=pas_turno),10000-ROW(),"")</f>
        <v/>
      </c>
    </row>
    <row r="1653">
      <c r="A1653" s="3">
        <f>IF(D1653="","","TT-"&amp;TEXT(ROW()-1,"00000"))</f>
        <v/>
      </c>
      <c r="B1653" s="3">
        <f>IF(D1653="","",IF(V1653=0,"CONCLUÍDO",IF(D1653&lt;corte,"HISTÓRICO",IF(OR(AND(ISNUMBER(R1653),R1653&lt;TODAY()),AND(OR(N1653="PENDENTE",N1653="PARCIAL"),D1653&lt;TODAY()-1)),"CRÍTICO",IF(OR(AND(P1653&lt;&gt;"",S1653=""),AND(N1653="REALIZADO",M1653="PENDENTE"),AND(ISNUMBER(R1653),R1653=TODAY())),"ATENÇÃO",IF(N(K1653)=0,"PENDENTE","EM ANDAMENTO"))))))</f>
        <v/>
      </c>
      <c r="C1653" s="3">
        <f>IF(D1653="","",IF(V1653=0,"🟢 OK",IF(D1653&lt;corte,"⚪ HISTÓRICO (sem baixa)",IF(AND(ISNUMBER(R1653),R1653&lt;TODAY()),"🔴 PRAZO VENCIDO",IF(AND(OR(N1653="PENDENTE",N1653="PARCIAL"),D1653&lt;TODAY()-1),"🔴 EMBARQUE ATRASADO",IF(AND(N1653="REALIZADO",M1653="PENDENTE"),"🟡 EMBARCADO SEM FATURAR",IF(AND(P1653&lt;&gt;"",S1653="",OR(Q1653="",R1653="")),"🟡 PENDÊNCIA SEM RESPONSÁVEL/PRAZO",IF(AND(ISNUMBER(R1653),R1653=TODAY()),"🟡 VENCE HOJE",IF(AND(P1653&lt;&gt;"",S1653=""),"🟡 PENDÊNCIA ABERTA",IF(AND(N(J1653)&gt;0,N(K1653)&lt;J1653),"🟡 FALTA EXECUTAR",IF(OR(M1653="PENDENTE",M1653="PARCIAL"),"🟡 FATURAMENTO PENDENTE","🟡 EMBARQUE PENDENTE")))))))))))</f>
        <v/>
      </c>
      <c r="D1653" s="4" t="n"/>
      <c r="E1653" s="5" t="n"/>
      <c r="F1653" s="5" t="n"/>
      <c r="G1653" s="5" t="n"/>
      <c r="H1653" s="5" t="n"/>
      <c r="I1653" s="5" t="n"/>
      <c r="J1653" s="6" t="n"/>
      <c r="K1653" s="6" t="n"/>
      <c r="L1653" s="7">
        <f>IF(OR(D1653="",N(J1653)=0),"",MIN(1,N(K1653)/J1653))</f>
        <v/>
      </c>
      <c r="M1653" s="5" t="n"/>
      <c r="N1653" s="5" t="n"/>
      <c r="O1653" s="5" t="n"/>
      <c r="P1653" s="5" t="n"/>
      <c r="Q1653" s="5" t="n"/>
      <c r="R1653" s="4" t="n"/>
      <c r="S1653" s="4" t="n"/>
      <c r="T1653" s="5" t="n"/>
      <c r="U1653" s="8">
        <f>IF(AND(V1653=1,D1653&lt;&gt;""),IF(D1653&gt;=corte,TODAY()-D1653,""),"")</f>
        <v/>
      </c>
      <c r="V1653" s="8">
        <f>IF(D1653="",0,IF(OR(AND(P1653&lt;&gt;"",S1653=""),AND(N(J1653)&gt;0,N(K1653)&lt;J1653),OR(M1653="PENDENTE",M1653="PARCIAL"),OR(N1653="PENDENTE",N1653="PARCIAL")),1,0))</f>
        <v/>
      </c>
      <c r="W1653" s="8">
        <f>IF(AND(V1653=1,D1653&lt;&gt;""),IF(D1653&gt;=corte,(B1653="CRÍTICO")*1E9+(100000-D1653)*10000+10000-ROW(),""),"")</f>
        <v/>
      </c>
      <c r="X1653" s="8">
        <f>IF(AND(V1653=1,D1653=pas_data,E1653=pas_turno),10000-ROW(),"")</f>
        <v/>
      </c>
    </row>
    <row r="1654">
      <c r="A1654" s="3">
        <f>IF(D1654="","","TT-"&amp;TEXT(ROW()-1,"00000"))</f>
        <v/>
      </c>
      <c r="B1654" s="3">
        <f>IF(D1654="","",IF(V1654=0,"CONCLUÍDO",IF(D1654&lt;corte,"HISTÓRICO",IF(OR(AND(ISNUMBER(R1654),R1654&lt;TODAY()),AND(OR(N1654="PENDENTE",N1654="PARCIAL"),D1654&lt;TODAY()-1)),"CRÍTICO",IF(OR(AND(P1654&lt;&gt;"",S1654=""),AND(N1654="REALIZADO",M1654="PENDENTE"),AND(ISNUMBER(R1654),R1654=TODAY())),"ATENÇÃO",IF(N(K1654)=0,"PENDENTE","EM ANDAMENTO"))))))</f>
        <v/>
      </c>
      <c r="C1654" s="3">
        <f>IF(D1654="","",IF(V1654=0,"🟢 OK",IF(D1654&lt;corte,"⚪ HISTÓRICO (sem baixa)",IF(AND(ISNUMBER(R1654),R1654&lt;TODAY()),"🔴 PRAZO VENCIDO",IF(AND(OR(N1654="PENDENTE",N1654="PARCIAL"),D1654&lt;TODAY()-1),"🔴 EMBARQUE ATRASADO",IF(AND(N1654="REALIZADO",M1654="PENDENTE"),"🟡 EMBARCADO SEM FATURAR",IF(AND(P1654&lt;&gt;"",S1654="",OR(Q1654="",R1654="")),"🟡 PENDÊNCIA SEM RESPONSÁVEL/PRAZO",IF(AND(ISNUMBER(R1654),R1654=TODAY()),"🟡 VENCE HOJE",IF(AND(P1654&lt;&gt;"",S1654=""),"🟡 PENDÊNCIA ABERTA",IF(AND(N(J1654)&gt;0,N(K1654)&lt;J1654),"🟡 FALTA EXECUTAR",IF(OR(M1654="PENDENTE",M1654="PARCIAL"),"🟡 FATURAMENTO PENDENTE","🟡 EMBARQUE PENDENTE")))))))))))</f>
        <v/>
      </c>
      <c r="D1654" s="4" t="n"/>
      <c r="E1654" s="5" t="n"/>
      <c r="F1654" s="5" t="n"/>
      <c r="G1654" s="5" t="n"/>
      <c r="H1654" s="5" t="n"/>
      <c r="I1654" s="5" t="n"/>
      <c r="J1654" s="6" t="n"/>
      <c r="K1654" s="6" t="n"/>
      <c r="L1654" s="7">
        <f>IF(OR(D1654="",N(J1654)=0),"",MIN(1,N(K1654)/J1654))</f>
        <v/>
      </c>
      <c r="M1654" s="5" t="n"/>
      <c r="N1654" s="5" t="n"/>
      <c r="O1654" s="5" t="n"/>
      <c r="P1654" s="5" t="n"/>
      <c r="Q1654" s="5" t="n"/>
      <c r="R1654" s="4" t="n"/>
      <c r="S1654" s="4" t="n"/>
      <c r="T1654" s="5" t="n"/>
      <c r="U1654" s="8">
        <f>IF(AND(V1654=1,D1654&lt;&gt;""),IF(D1654&gt;=corte,TODAY()-D1654,""),"")</f>
        <v/>
      </c>
      <c r="V1654" s="8">
        <f>IF(D1654="",0,IF(OR(AND(P1654&lt;&gt;"",S1654=""),AND(N(J1654)&gt;0,N(K1654)&lt;J1654),OR(M1654="PENDENTE",M1654="PARCIAL"),OR(N1654="PENDENTE",N1654="PARCIAL")),1,0))</f>
        <v/>
      </c>
      <c r="W1654" s="8">
        <f>IF(AND(V1654=1,D1654&lt;&gt;""),IF(D1654&gt;=corte,(B1654="CRÍTICO")*1E9+(100000-D1654)*10000+10000-ROW(),""),"")</f>
        <v/>
      </c>
      <c r="X1654" s="8">
        <f>IF(AND(V1654=1,D1654=pas_data,E1654=pas_turno),10000-ROW(),"")</f>
        <v/>
      </c>
    </row>
    <row r="1655">
      <c r="A1655" s="3">
        <f>IF(D1655="","","TT-"&amp;TEXT(ROW()-1,"00000"))</f>
        <v/>
      </c>
      <c r="B1655" s="3">
        <f>IF(D1655="","",IF(V1655=0,"CONCLUÍDO",IF(D1655&lt;corte,"HISTÓRICO",IF(OR(AND(ISNUMBER(R1655),R1655&lt;TODAY()),AND(OR(N1655="PENDENTE",N1655="PARCIAL"),D1655&lt;TODAY()-1)),"CRÍTICO",IF(OR(AND(P1655&lt;&gt;"",S1655=""),AND(N1655="REALIZADO",M1655="PENDENTE"),AND(ISNUMBER(R1655),R1655=TODAY())),"ATENÇÃO",IF(N(K1655)=0,"PENDENTE","EM ANDAMENTO"))))))</f>
        <v/>
      </c>
      <c r="C1655" s="3">
        <f>IF(D1655="","",IF(V1655=0,"🟢 OK",IF(D1655&lt;corte,"⚪ HISTÓRICO (sem baixa)",IF(AND(ISNUMBER(R1655),R1655&lt;TODAY()),"🔴 PRAZO VENCIDO",IF(AND(OR(N1655="PENDENTE",N1655="PARCIAL"),D1655&lt;TODAY()-1),"🔴 EMBARQUE ATRASADO",IF(AND(N1655="REALIZADO",M1655="PENDENTE"),"🟡 EMBARCADO SEM FATURAR",IF(AND(P1655&lt;&gt;"",S1655="",OR(Q1655="",R1655="")),"🟡 PENDÊNCIA SEM RESPONSÁVEL/PRAZO",IF(AND(ISNUMBER(R1655),R1655=TODAY()),"🟡 VENCE HOJE",IF(AND(P1655&lt;&gt;"",S1655=""),"🟡 PENDÊNCIA ABERTA",IF(AND(N(J1655)&gt;0,N(K1655)&lt;J1655),"🟡 FALTA EXECUTAR",IF(OR(M1655="PENDENTE",M1655="PARCIAL"),"🟡 FATURAMENTO PENDENTE","🟡 EMBARQUE PENDENTE")))))))))))</f>
        <v/>
      </c>
      <c r="D1655" s="4" t="n"/>
      <c r="E1655" s="5" t="n"/>
      <c r="F1655" s="5" t="n"/>
      <c r="G1655" s="5" t="n"/>
      <c r="H1655" s="5" t="n"/>
      <c r="I1655" s="5" t="n"/>
      <c r="J1655" s="6" t="n"/>
      <c r="K1655" s="6" t="n"/>
      <c r="L1655" s="7">
        <f>IF(OR(D1655="",N(J1655)=0),"",MIN(1,N(K1655)/J1655))</f>
        <v/>
      </c>
      <c r="M1655" s="5" t="n"/>
      <c r="N1655" s="5" t="n"/>
      <c r="O1655" s="5" t="n"/>
      <c r="P1655" s="5" t="n"/>
      <c r="Q1655" s="5" t="n"/>
      <c r="R1655" s="4" t="n"/>
      <c r="S1655" s="4" t="n"/>
      <c r="T1655" s="5" t="n"/>
      <c r="U1655" s="8">
        <f>IF(AND(V1655=1,D1655&lt;&gt;""),IF(D1655&gt;=corte,TODAY()-D1655,""),"")</f>
        <v/>
      </c>
      <c r="V1655" s="8">
        <f>IF(D1655="",0,IF(OR(AND(P1655&lt;&gt;"",S1655=""),AND(N(J1655)&gt;0,N(K1655)&lt;J1655),OR(M1655="PENDENTE",M1655="PARCIAL"),OR(N1655="PENDENTE",N1655="PARCIAL")),1,0))</f>
        <v/>
      </c>
      <c r="W1655" s="8">
        <f>IF(AND(V1655=1,D1655&lt;&gt;""),IF(D1655&gt;=corte,(B1655="CRÍTICO")*1E9+(100000-D1655)*10000+10000-ROW(),""),"")</f>
        <v/>
      </c>
      <c r="X1655" s="8">
        <f>IF(AND(V1655=1,D1655=pas_data,E1655=pas_turno),10000-ROW(),"")</f>
        <v/>
      </c>
    </row>
    <row r="1656">
      <c r="A1656" s="3">
        <f>IF(D1656="","","TT-"&amp;TEXT(ROW()-1,"00000"))</f>
        <v/>
      </c>
      <c r="B1656" s="3">
        <f>IF(D1656="","",IF(V1656=0,"CONCLUÍDO",IF(D1656&lt;corte,"HISTÓRICO",IF(OR(AND(ISNUMBER(R1656),R1656&lt;TODAY()),AND(OR(N1656="PENDENTE",N1656="PARCIAL"),D1656&lt;TODAY()-1)),"CRÍTICO",IF(OR(AND(P1656&lt;&gt;"",S1656=""),AND(N1656="REALIZADO",M1656="PENDENTE"),AND(ISNUMBER(R1656),R1656=TODAY())),"ATENÇÃO",IF(N(K1656)=0,"PENDENTE","EM ANDAMENTO"))))))</f>
        <v/>
      </c>
      <c r="C1656" s="3">
        <f>IF(D1656="","",IF(V1656=0,"🟢 OK",IF(D1656&lt;corte,"⚪ HISTÓRICO (sem baixa)",IF(AND(ISNUMBER(R1656),R1656&lt;TODAY()),"🔴 PRAZO VENCIDO",IF(AND(OR(N1656="PENDENTE",N1656="PARCIAL"),D1656&lt;TODAY()-1),"🔴 EMBARQUE ATRASADO",IF(AND(N1656="REALIZADO",M1656="PENDENTE"),"🟡 EMBARCADO SEM FATURAR",IF(AND(P1656&lt;&gt;"",S1656="",OR(Q1656="",R1656="")),"🟡 PENDÊNCIA SEM RESPONSÁVEL/PRAZO",IF(AND(ISNUMBER(R1656),R1656=TODAY()),"🟡 VENCE HOJE",IF(AND(P1656&lt;&gt;"",S1656=""),"🟡 PENDÊNCIA ABERTA",IF(AND(N(J1656)&gt;0,N(K1656)&lt;J1656),"🟡 FALTA EXECUTAR",IF(OR(M1656="PENDENTE",M1656="PARCIAL"),"🟡 FATURAMENTO PENDENTE","🟡 EMBARQUE PENDENTE")))))))))))</f>
        <v/>
      </c>
      <c r="D1656" s="4" t="n"/>
      <c r="E1656" s="5" t="n"/>
      <c r="F1656" s="5" t="n"/>
      <c r="G1656" s="5" t="n"/>
      <c r="H1656" s="5" t="n"/>
      <c r="I1656" s="5" t="n"/>
      <c r="J1656" s="6" t="n"/>
      <c r="K1656" s="6" t="n"/>
      <c r="L1656" s="7">
        <f>IF(OR(D1656="",N(J1656)=0),"",MIN(1,N(K1656)/J1656))</f>
        <v/>
      </c>
      <c r="M1656" s="5" t="n"/>
      <c r="N1656" s="5" t="n"/>
      <c r="O1656" s="5" t="n"/>
      <c r="P1656" s="5" t="n"/>
      <c r="Q1656" s="5" t="n"/>
      <c r="R1656" s="4" t="n"/>
      <c r="S1656" s="4" t="n"/>
      <c r="T1656" s="5" t="n"/>
      <c r="U1656" s="8">
        <f>IF(AND(V1656=1,D1656&lt;&gt;""),IF(D1656&gt;=corte,TODAY()-D1656,""),"")</f>
        <v/>
      </c>
      <c r="V1656" s="8">
        <f>IF(D1656="",0,IF(OR(AND(P1656&lt;&gt;"",S1656=""),AND(N(J1656)&gt;0,N(K1656)&lt;J1656),OR(M1656="PENDENTE",M1656="PARCIAL"),OR(N1656="PENDENTE",N1656="PARCIAL")),1,0))</f>
        <v/>
      </c>
      <c r="W1656" s="8">
        <f>IF(AND(V1656=1,D1656&lt;&gt;""),IF(D1656&gt;=corte,(B1656="CRÍTICO")*1E9+(100000-D1656)*10000+10000-ROW(),""),"")</f>
        <v/>
      </c>
      <c r="X1656" s="8">
        <f>IF(AND(V1656=1,D1656=pas_data,E1656=pas_turno),10000-ROW(),"")</f>
        <v/>
      </c>
    </row>
    <row r="1657">
      <c r="A1657" s="3">
        <f>IF(D1657="","","TT-"&amp;TEXT(ROW()-1,"00000"))</f>
        <v/>
      </c>
      <c r="B1657" s="3">
        <f>IF(D1657="","",IF(V1657=0,"CONCLUÍDO",IF(D1657&lt;corte,"HISTÓRICO",IF(OR(AND(ISNUMBER(R1657),R1657&lt;TODAY()),AND(OR(N1657="PENDENTE",N1657="PARCIAL"),D1657&lt;TODAY()-1)),"CRÍTICO",IF(OR(AND(P1657&lt;&gt;"",S1657=""),AND(N1657="REALIZADO",M1657="PENDENTE"),AND(ISNUMBER(R1657),R1657=TODAY())),"ATENÇÃO",IF(N(K1657)=0,"PENDENTE","EM ANDAMENTO"))))))</f>
        <v/>
      </c>
      <c r="C1657" s="3">
        <f>IF(D1657="","",IF(V1657=0,"🟢 OK",IF(D1657&lt;corte,"⚪ HISTÓRICO (sem baixa)",IF(AND(ISNUMBER(R1657),R1657&lt;TODAY()),"🔴 PRAZO VENCIDO",IF(AND(OR(N1657="PENDENTE",N1657="PARCIAL"),D1657&lt;TODAY()-1),"🔴 EMBARQUE ATRASADO",IF(AND(N1657="REALIZADO",M1657="PENDENTE"),"🟡 EMBARCADO SEM FATURAR",IF(AND(P1657&lt;&gt;"",S1657="",OR(Q1657="",R1657="")),"🟡 PENDÊNCIA SEM RESPONSÁVEL/PRAZO",IF(AND(ISNUMBER(R1657),R1657=TODAY()),"🟡 VENCE HOJE",IF(AND(P1657&lt;&gt;"",S1657=""),"🟡 PENDÊNCIA ABERTA",IF(AND(N(J1657)&gt;0,N(K1657)&lt;J1657),"🟡 FALTA EXECUTAR",IF(OR(M1657="PENDENTE",M1657="PARCIAL"),"🟡 FATURAMENTO PENDENTE","🟡 EMBARQUE PENDENTE")))))))))))</f>
        <v/>
      </c>
      <c r="D1657" s="4" t="n"/>
      <c r="E1657" s="5" t="n"/>
      <c r="F1657" s="5" t="n"/>
      <c r="G1657" s="5" t="n"/>
      <c r="H1657" s="5" t="n"/>
      <c r="I1657" s="5" t="n"/>
      <c r="J1657" s="6" t="n"/>
      <c r="K1657" s="6" t="n"/>
      <c r="L1657" s="7">
        <f>IF(OR(D1657="",N(J1657)=0),"",MIN(1,N(K1657)/J1657))</f>
        <v/>
      </c>
      <c r="M1657" s="5" t="n"/>
      <c r="N1657" s="5" t="n"/>
      <c r="O1657" s="5" t="n"/>
      <c r="P1657" s="5" t="n"/>
      <c r="Q1657" s="5" t="n"/>
      <c r="R1657" s="4" t="n"/>
      <c r="S1657" s="4" t="n"/>
      <c r="T1657" s="5" t="n"/>
      <c r="U1657" s="8">
        <f>IF(AND(V1657=1,D1657&lt;&gt;""),IF(D1657&gt;=corte,TODAY()-D1657,""),"")</f>
        <v/>
      </c>
      <c r="V1657" s="8">
        <f>IF(D1657="",0,IF(OR(AND(P1657&lt;&gt;"",S1657=""),AND(N(J1657)&gt;0,N(K1657)&lt;J1657),OR(M1657="PENDENTE",M1657="PARCIAL"),OR(N1657="PENDENTE",N1657="PARCIAL")),1,0))</f>
        <v/>
      </c>
      <c r="W1657" s="8">
        <f>IF(AND(V1657=1,D1657&lt;&gt;""),IF(D1657&gt;=corte,(B1657="CRÍTICO")*1E9+(100000-D1657)*10000+10000-ROW(),""),"")</f>
        <v/>
      </c>
      <c r="X1657" s="8">
        <f>IF(AND(V1657=1,D1657=pas_data,E1657=pas_turno),10000-ROW(),"")</f>
        <v/>
      </c>
    </row>
    <row r="1658">
      <c r="A1658" s="3">
        <f>IF(D1658="","","TT-"&amp;TEXT(ROW()-1,"00000"))</f>
        <v/>
      </c>
      <c r="B1658" s="3">
        <f>IF(D1658="","",IF(V1658=0,"CONCLUÍDO",IF(D1658&lt;corte,"HISTÓRICO",IF(OR(AND(ISNUMBER(R1658),R1658&lt;TODAY()),AND(OR(N1658="PENDENTE",N1658="PARCIAL"),D1658&lt;TODAY()-1)),"CRÍTICO",IF(OR(AND(P1658&lt;&gt;"",S1658=""),AND(N1658="REALIZADO",M1658="PENDENTE"),AND(ISNUMBER(R1658),R1658=TODAY())),"ATENÇÃO",IF(N(K1658)=0,"PENDENTE","EM ANDAMENTO"))))))</f>
        <v/>
      </c>
      <c r="C1658" s="3">
        <f>IF(D1658="","",IF(V1658=0,"🟢 OK",IF(D1658&lt;corte,"⚪ HISTÓRICO (sem baixa)",IF(AND(ISNUMBER(R1658),R1658&lt;TODAY()),"🔴 PRAZO VENCIDO",IF(AND(OR(N1658="PENDENTE",N1658="PARCIAL"),D1658&lt;TODAY()-1),"🔴 EMBARQUE ATRASADO",IF(AND(N1658="REALIZADO",M1658="PENDENTE"),"🟡 EMBARCADO SEM FATURAR",IF(AND(P1658&lt;&gt;"",S1658="",OR(Q1658="",R1658="")),"🟡 PENDÊNCIA SEM RESPONSÁVEL/PRAZO",IF(AND(ISNUMBER(R1658),R1658=TODAY()),"🟡 VENCE HOJE",IF(AND(P1658&lt;&gt;"",S1658=""),"🟡 PENDÊNCIA ABERTA",IF(AND(N(J1658)&gt;0,N(K1658)&lt;J1658),"🟡 FALTA EXECUTAR",IF(OR(M1658="PENDENTE",M1658="PARCIAL"),"🟡 FATURAMENTO PENDENTE","🟡 EMBARQUE PENDENTE")))))))))))</f>
        <v/>
      </c>
      <c r="D1658" s="4" t="n"/>
      <c r="E1658" s="5" t="n"/>
      <c r="F1658" s="5" t="n"/>
      <c r="G1658" s="5" t="n"/>
      <c r="H1658" s="5" t="n"/>
      <c r="I1658" s="5" t="n"/>
      <c r="J1658" s="6" t="n"/>
      <c r="K1658" s="6" t="n"/>
      <c r="L1658" s="7">
        <f>IF(OR(D1658="",N(J1658)=0),"",MIN(1,N(K1658)/J1658))</f>
        <v/>
      </c>
      <c r="M1658" s="5" t="n"/>
      <c r="N1658" s="5" t="n"/>
      <c r="O1658" s="5" t="n"/>
      <c r="P1658" s="5" t="n"/>
      <c r="Q1658" s="5" t="n"/>
      <c r="R1658" s="4" t="n"/>
      <c r="S1658" s="4" t="n"/>
      <c r="T1658" s="5" t="n"/>
      <c r="U1658" s="8">
        <f>IF(AND(V1658=1,D1658&lt;&gt;""),IF(D1658&gt;=corte,TODAY()-D1658,""),"")</f>
        <v/>
      </c>
      <c r="V1658" s="8">
        <f>IF(D1658="",0,IF(OR(AND(P1658&lt;&gt;"",S1658=""),AND(N(J1658)&gt;0,N(K1658)&lt;J1658),OR(M1658="PENDENTE",M1658="PARCIAL"),OR(N1658="PENDENTE",N1658="PARCIAL")),1,0))</f>
        <v/>
      </c>
      <c r="W1658" s="8">
        <f>IF(AND(V1658=1,D1658&lt;&gt;""),IF(D1658&gt;=corte,(B1658="CRÍTICO")*1E9+(100000-D1658)*10000+10000-ROW(),""),"")</f>
        <v/>
      </c>
      <c r="X1658" s="8">
        <f>IF(AND(V1658=1,D1658=pas_data,E1658=pas_turno),10000-ROW(),"")</f>
        <v/>
      </c>
    </row>
    <row r="1659">
      <c r="A1659" s="3">
        <f>IF(D1659="","","TT-"&amp;TEXT(ROW()-1,"00000"))</f>
        <v/>
      </c>
      <c r="B1659" s="3">
        <f>IF(D1659="","",IF(V1659=0,"CONCLUÍDO",IF(D1659&lt;corte,"HISTÓRICO",IF(OR(AND(ISNUMBER(R1659),R1659&lt;TODAY()),AND(OR(N1659="PENDENTE",N1659="PARCIAL"),D1659&lt;TODAY()-1)),"CRÍTICO",IF(OR(AND(P1659&lt;&gt;"",S1659=""),AND(N1659="REALIZADO",M1659="PENDENTE"),AND(ISNUMBER(R1659),R1659=TODAY())),"ATENÇÃO",IF(N(K1659)=0,"PENDENTE","EM ANDAMENTO"))))))</f>
        <v/>
      </c>
      <c r="C1659" s="3">
        <f>IF(D1659="","",IF(V1659=0,"🟢 OK",IF(D1659&lt;corte,"⚪ HISTÓRICO (sem baixa)",IF(AND(ISNUMBER(R1659),R1659&lt;TODAY()),"🔴 PRAZO VENCIDO",IF(AND(OR(N1659="PENDENTE",N1659="PARCIAL"),D1659&lt;TODAY()-1),"🔴 EMBARQUE ATRASADO",IF(AND(N1659="REALIZADO",M1659="PENDENTE"),"🟡 EMBARCADO SEM FATURAR",IF(AND(P1659&lt;&gt;"",S1659="",OR(Q1659="",R1659="")),"🟡 PENDÊNCIA SEM RESPONSÁVEL/PRAZO",IF(AND(ISNUMBER(R1659),R1659=TODAY()),"🟡 VENCE HOJE",IF(AND(P1659&lt;&gt;"",S1659=""),"🟡 PENDÊNCIA ABERTA",IF(AND(N(J1659)&gt;0,N(K1659)&lt;J1659),"🟡 FALTA EXECUTAR",IF(OR(M1659="PENDENTE",M1659="PARCIAL"),"🟡 FATURAMENTO PENDENTE","🟡 EMBARQUE PENDENTE")))))))))))</f>
        <v/>
      </c>
      <c r="D1659" s="4" t="n"/>
      <c r="E1659" s="5" t="n"/>
      <c r="F1659" s="5" t="n"/>
      <c r="G1659" s="5" t="n"/>
      <c r="H1659" s="5" t="n"/>
      <c r="I1659" s="5" t="n"/>
      <c r="J1659" s="6" t="n"/>
      <c r="K1659" s="6" t="n"/>
      <c r="L1659" s="7">
        <f>IF(OR(D1659="",N(J1659)=0),"",MIN(1,N(K1659)/J1659))</f>
        <v/>
      </c>
      <c r="M1659" s="5" t="n"/>
      <c r="N1659" s="5" t="n"/>
      <c r="O1659" s="5" t="n"/>
      <c r="P1659" s="5" t="n"/>
      <c r="Q1659" s="5" t="n"/>
      <c r="R1659" s="4" t="n"/>
      <c r="S1659" s="4" t="n"/>
      <c r="T1659" s="5" t="n"/>
      <c r="U1659" s="8">
        <f>IF(AND(V1659=1,D1659&lt;&gt;""),IF(D1659&gt;=corte,TODAY()-D1659,""),"")</f>
        <v/>
      </c>
      <c r="V1659" s="8">
        <f>IF(D1659="",0,IF(OR(AND(P1659&lt;&gt;"",S1659=""),AND(N(J1659)&gt;0,N(K1659)&lt;J1659),OR(M1659="PENDENTE",M1659="PARCIAL"),OR(N1659="PENDENTE",N1659="PARCIAL")),1,0))</f>
        <v/>
      </c>
      <c r="W1659" s="8">
        <f>IF(AND(V1659=1,D1659&lt;&gt;""),IF(D1659&gt;=corte,(B1659="CRÍTICO")*1E9+(100000-D1659)*10000+10000-ROW(),""),"")</f>
        <v/>
      </c>
      <c r="X1659" s="8">
        <f>IF(AND(V1659=1,D1659=pas_data,E1659=pas_turno),10000-ROW(),"")</f>
        <v/>
      </c>
    </row>
    <row r="1660">
      <c r="A1660" s="3">
        <f>IF(D1660="","","TT-"&amp;TEXT(ROW()-1,"00000"))</f>
        <v/>
      </c>
      <c r="B1660" s="3">
        <f>IF(D1660="","",IF(V1660=0,"CONCLUÍDO",IF(D1660&lt;corte,"HISTÓRICO",IF(OR(AND(ISNUMBER(R1660),R1660&lt;TODAY()),AND(OR(N1660="PENDENTE",N1660="PARCIAL"),D1660&lt;TODAY()-1)),"CRÍTICO",IF(OR(AND(P1660&lt;&gt;"",S1660=""),AND(N1660="REALIZADO",M1660="PENDENTE"),AND(ISNUMBER(R1660),R1660=TODAY())),"ATENÇÃO",IF(N(K1660)=0,"PENDENTE","EM ANDAMENTO"))))))</f>
        <v/>
      </c>
      <c r="C1660" s="3">
        <f>IF(D1660="","",IF(V1660=0,"🟢 OK",IF(D1660&lt;corte,"⚪ HISTÓRICO (sem baixa)",IF(AND(ISNUMBER(R1660),R1660&lt;TODAY()),"🔴 PRAZO VENCIDO",IF(AND(OR(N1660="PENDENTE",N1660="PARCIAL"),D1660&lt;TODAY()-1),"🔴 EMBARQUE ATRASADO",IF(AND(N1660="REALIZADO",M1660="PENDENTE"),"🟡 EMBARCADO SEM FATURAR",IF(AND(P1660&lt;&gt;"",S1660="",OR(Q1660="",R1660="")),"🟡 PENDÊNCIA SEM RESPONSÁVEL/PRAZO",IF(AND(ISNUMBER(R1660),R1660=TODAY()),"🟡 VENCE HOJE",IF(AND(P1660&lt;&gt;"",S1660=""),"🟡 PENDÊNCIA ABERTA",IF(AND(N(J1660)&gt;0,N(K1660)&lt;J1660),"🟡 FALTA EXECUTAR",IF(OR(M1660="PENDENTE",M1660="PARCIAL"),"🟡 FATURAMENTO PENDENTE","🟡 EMBARQUE PENDENTE")))))))))))</f>
        <v/>
      </c>
      <c r="D1660" s="4" t="n"/>
      <c r="E1660" s="5" t="n"/>
      <c r="F1660" s="5" t="n"/>
      <c r="G1660" s="5" t="n"/>
      <c r="H1660" s="5" t="n"/>
      <c r="I1660" s="5" t="n"/>
      <c r="J1660" s="6" t="n"/>
      <c r="K1660" s="6" t="n"/>
      <c r="L1660" s="7">
        <f>IF(OR(D1660="",N(J1660)=0),"",MIN(1,N(K1660)/J1660))</f>
        <v/>
      </c>
      <c r="M1660" s="5" t="n"/>
      <c r="N1660" s="5" t="n"/>
      <c r="O1660" s="5" t="n"/>
      <c r="P1660" s="5" t="n"/>
      <c r="Q1660" s="5" t="n"/>
      <c r="R1660" s="4" t="n"/>
      <c r="S1660" s="4" t="n"/>
      <c r="T1660" s="5" t="n"/>
      <c r="U1660" s="8">
        <f>IF(AND(V1660=1,D1660&lt;&gt;""),IF(D1660&gt;=corte,TODAY()-D1660,""),"")</f>
        <v/>
      </c>
      <c r="V1660" s="8">
        <f>IF(D1660="",0,IF(OR(AND(P1660&lt;&gt;"",S1660=""),AND(N(J1660)&gt;0,N(K1660)&lt;J1660),OR(M1660="PENDENTE",M1660="PARCIAL"),OR(N1660="PENDENTE",N1660="PARCIAL")),1,0))</f>
        <v/>
      </c>
      <c r="W1660" s="8">
        <f>IF(AND(V1660=1,D1660&lt;&gt;""),IF(D1660&gt;=corte,(B1660="CRÍTICO")*1E9+(100000-D1660)*10000+10000-ROW(),""),"")</f>
        <v/>
      </c>
      <c r="X1660" s="8">
        <f>IF(AND(V1660=1,D1660=pas_data,E1660=pas_turno),10000-ROW(),"")</f>
        <v/>
      </c>
    </row>
    <row r="1661">
      <c r="A1661" s="3">
        <f>IF(D1661="","","TT-"&amp;TEXT(ROW()-1,"00000"))</f>
        <v/>
      </c>
      <c r="B1661" s="3">
        <f>IF(D1661="","",IF(V1661=0,"CONCLUÍDO",IF(D1661&lt;corte,"HISTÓRICO",IF(OR(AND(ISNUMBER(R1661),R1661&lt;TODAY()),AND(OR(N1661="PENDENTE",N1661="PARCIAL"),D1661&lt;TODAY()-1)),"CRÍTICO",IF(OR(AND(P1661&lt;&gt;"",S1661=""),AND(N1661="REALIZADO",M1661="PENDENTE"),AND(ISNUMBER(R1661),R1661=TODAY())),"ATENÇÃO",IF(N(K1661)=0,"PENDENTE","EM ANDAMENTO"))))))</f>
        <v/>
      </c>
      <c r="C1661" s="3">
        <f>IF(D1661="","",IF(V1661=0,"🟢 OK",IF(D1661&lt;corte,"⚪ HISTÓRICO (sem baixa)",IF(AND(ISNUMBER(R1661),R1661&lt;TODAY()),"🔴 PRAZO VENCIDO",IF(AND(OR(N1661="PENDENTE",N1661="PARCIAL"),D1661&lt;TODAY()-1),"🔴 EMBARQUE ATRASADO",IF(AND(N1661="REALIZADO",M1661="PENDENTE"),"🟡 EMBARCADO SEM FATURAR",IF(AND(P1661&lt;&gt;"",S1661="",OR(Q1661="",R1661="")),"🟡 PENDÊNCIA SEM RESPONSÁVEL/PRAZO",IF(AND(ISNUMBER(R1661),R1661=TODAY()),"🟡 VENCE HOJE",IF(AND(P1661&lt;&gt;"",S1661=""),"🟡 PENDÊNCIA ABERTA",IF(AND(N(J1661)&gt;0,N(K1661)&lt;J1661),"🟡 FALTA EXECUTAR",IF(OR(M1661="PENDENTE",M1661="PARCIAL"),"🟡 FATURAMENTO PENDENTE","🟡 EMBARQUE PENDENTE")))))))))))</f>
        <v/>
      </c>
      <c r="D1661" s="4" t="n"/>
      <c r="E1661" s="5" t="n"/>
      <c r="F1661" s="5" t="n"/>
      <c r="G1661" s="5" t="n"/>
      <c r="H1661" s="5" t="n"/>
      <c r="I1661" s="5" t="n"/>
      <c r="J1661" s="6" t="n"/>
      <c r="K1661" s="6" t="n"/>
      <c r="L1661" s="7">
        <f>IF(OR(D1661="",N(J1661)=0),"",MIN(1,N(K1661)/J1661))</f>
        <v/>
      </c>
      <c r="M1661" s="5" t="n"/>
      <c r="N1661" s="5" t="n"/>
      <c r="O1661" s="5" t="n"/>
      <c r="P1661" s="5" t="n"/>
      <c r="Q1661" s="5" t="n"/>
      <c r="R1661" s="4" t="n"/>
      <c r="S1661" s="4" t="n"/>
      <c r="T1661" s="5" t="n"/>
      <c r="U1661" s="8">
        <f>IF(AND(V1661=1,D1661&lt;&gt;""),IF(D1661&gt;=corte,TODAY()-D1661,""),"")</f>
        <v/>
      </c>
      <c r="V1661" s="8">
        <f>IF(D1661="",0,IF(OR(AND(P1661&lt;&gt;"",S1661=""),AND(N(J1661)&gt;0,N(K1661)&lt;J1661),OR(M1661="PENDENTE",M1661="PARCIAL"),OR(N1661="PENDENTE",N1661="PARCIAL")),1,0))</f>
        <v/>
      </c>
      <c r="W1661" s="8">
        <f>IF(AND(V1661=1,D1661&lt;&gt;""),IF(D1661&gt;=corte,(B1661="CRÍTICO")*1E9+(100000-D1661)*10000+10000-ROW(),""),"")</f>
        <v/>
      </c>
      <c r="X1661" s="8">
        <f>IF(AND(V1661=1,D1661=pas_data,E1661=pas_turno),10000-ROW(),"")</f>
        <v/>
      </c>
    </row>
    <row r="1662">
      <c r="A1662" s="3">
        <f>IF(D1662="","","TT-"&amp;TEXT(ROW()-1,"00000"))</f>
        <v/>
      </c>
      <c r="B1662" s="3">
        <f>IF(D1662="","",IF(V1662=0,"CONCLUÍDO",IF(D1662&lt;corte,"HISTÓRICO",IF(OR(AND(ISNUMBER(R1662),R1662&lt;TODAY()),AND(OR(N1662="PENDENTE",N1662="PARCIAL"),D1662&lt;TODAY()-1)),"CRÍTICO",IF(OR(AND(P1662&lt;&gt;"",S1662=""),AND(N1662="REALIZADO",M1662="PENDENTE"),AND(ISNUMBER(R1662),R1662=TODAY())),"ATENÇÃO",IF(N(K1662)=0,"PENDENTE","EM ANDAMENTO"))))))</f>
        <v/>
      </c>
      <c r="C1662" s="3">
        <f>IF(D1662="","",IF(V1662=0,"🟢 OK",IF(D1662&lt;corte,"⚪ HISTÓRICO (sem baixa)",IF(AND(ISNUMBER(R1662),R1662&lt;TODAY()),"🔴 PRAZO VENCIDO",IF(AND(OR(N1662="PENDENTE",N1662="PARCIAL"),D1662&lt;TODAY()-1),"🔴 EMBARQUE ATRASADO",IF(AND(N1662="REALIZADO",M1662="PENDENTE"),"🟡 EMBARCADO SEM FATURAR",IF(AND(P1662&lt;&gt;"",S1662="",OR(Q1662="",R1662="")),"🟡 PENDÊNCIA SEM RESPONSÁVEL/PRAZO",IF(AND(ISNUMBER(R1662),R1662=TODAY()),"🟡 VENCE HOJE",IF(AND(P1662&lt;&gt;"",S1662=""),"🟡 PENDÊNCIA ABERTA",IF(AND(N(J1662)&gt;0,N(K1662)&lt;J1662),"🟡 FALTA EXECUTAR",IF(OR(M1662="PENDENTE",M1662="PARCIAL"),"🟡 FATURAMENTO PENDENTE","🟡 EMBARQUE PENDENTE")))))))))))</f>
        <v/>
      </c>
      <c r="D1662" s="4" t="n"/>
      <c r="E1662" s="5" t="n"/>
      <c r="F1662" s="5" t="n"/>
      <c r="G1662" s="5" t="n"/>
      <c r="H1662" s="5" t="n"/>
      <c r="I1662" s="5" t="n"/>
      <c r="J1662" s="6" t="n"/>
      <c r="K1662" s="6" t="n"/>
      <c r="L1662" s="7">
        <f>IF(OR(D1662="",N(J1662)=0),"",MIN(1,N(K1662)/J1662))</f>
        <v/>
      </c>
      <c r="M1662" s="5" t="n"/>
      <c r="N1662" s="5" t="n"/>
      <c r="O1662" s="5" t="n"/>
      <c r="P1662" s="5" t="n"/>
      <c r="Q1662" s="5" t="n"/>
      <c r="R1662" s="4" t="n"/>
      <c r="S1662" s="4" t="n"/>
      <c r="T1662" s="5" t="n"/>
      <c r="U1662" s="8">
        <f>IF(AND(V1662=1,D1662&lt;&gt;""),IF(D1662&gt;=corte,TODAY()-D1662,""),"")</f>
        <v/>
      </c>
      <c r="V1662" s="8">
        <f>IF(D1662="",0,IF(OR(AND(P1662&lt;&gt;"",S1662=""),AND(N(J1662)&gt;0,N(K1662)&lt;J1662),OR(M1662="PENDENTE",M1662="PARCIAL"),OR(N1662="PENDENTE",N1662="PARCIAL")),1,0))</f>
        <v/>
      </c>
      <c r="W1662" s="8">
        <f>IF(AND(V1662=1,D1662&lt;&gt;""),IF(D1662&gt;=corte,(B1662="CRÍTICO")*1E9+(100000-D1662)*10000+10000-ROW(),""),"")</f>
        <v/>
      </c>
      <c r="X1662" s="8">
        <f>IF(AND(V1662=1,D1662=pas_data,E1662=pas_turno),10000-ROW(),"")</f>
        <v/>
      </c>
    </row>
    <row r="1663">
      <c r="A1663" s="3">
        <f>IF(D1663="","","TT-"&amp;TEXT(ROW()-1,"00000"))</f>
        <v/>
      </c>
      <c r="B1663" s="3">
        <f>IF(D1663="","",IF(V1663=0,"CONCLUÍDO",IF(D1663&lt;corte,"HISTÓRICO",IF(OR(AND(ISNUMBER(R1663),R1663&lt;TODAY()),AND(OR(N1663="PENDENTE",N1663="PARCIAL"),D1663&lt;TODAY()-1)),"CRÍTICO",IF(OR(AND(P1663&lt;&gt;"",S1663=""),AND(N1663="REALIZADO",M1663="PENDENTE"),AND(ISNUMBER(R1663),R1663=TODAY())),"ATENÇÃO",IF(N(K1663)=0,"PENDENTE","EM ANDAMENTO"))))))</f>
        <v/>
      </c>
      <c r="C1663" s="3">
        <f>IF(D1663="","",IF(V1663=0,"🟢 OK",IF(D1663&lt;corte,"⚪ HISTÓRICO (sem baixa)",IF(AND(ISNUMBER(R1663),R1663&lt;TODAY()),"🔴 PRAZO VENCIDO",IF(AND(OR(N1663="PENDENTE",N1663="PARCIAL"),D1663&lt;TODAY()-1),"🔴 EMBARQUE ATRASADO",IF(AND(N1663="REALIZADO",M1663="PENDENTE"),"🟡 EMBARCADO SEM FATURAR",IF(AND(P1663&lt;&gt;"",S1663="",OR(Q1663="",R1663="")),"🟡 PENDÊNCIA SEM RESPONSÁVEL/PRAZO",IF(AND(ISNUMBER(R1663),R1663=TODAY()),"🟡 VENCE HOJE",IF(AND(P1663&lt;&gt;"",S1663=""),"🟡 PENDÊNCIA ABERTA",IF(AND(N(J1663)&gt;0,N(K1663)&lt;J1663),"🟡 FALTA EXECUTAR",IF(OR(M1663="PENDENTE",M1663="PARCIAL"),"🟡 FATURAMENTO PENDENTE","🟡 EMBARQUE PENDENTE")))))))))))</f>
        <v/>
      </c>
      <c r="D1663" s="4" t="n"/>
      <c r="E1663" s="5" t="n"/>
      <c r="F1663" s="5" t="n"/>
      <c r="G1663" s="5" t="n"/>
      <c r="H1663" s="5" t="n"/>
      <c r="I1663" s="5" t="n"/>
      <c r="J1663" s="6" t="n"/>
      <c r="K1663" s="6" t="n"/>
      <c r="L1663" s="7">
        <f>IF(OR(D1663="",N(J1663)=0),"",MIN(1,N(K1663)/J1663))</f>
        <v/>
      </c>
      <c r="M1663" s="5" t="n"/>
      <c r="N1663" s="5" t="n"/>
      <c r="O1663" s="5" t="n"/>
      <c r="P1663" s="5" t="n"/>
      <c r="Q1663" s="5" t="n"/>
      <c r="R1663" s="4" t="n"/>
      <c r="S1663" s="4" t="n"/>
      <c r="T1663" s="5" t="n"/>
      <c r="U1663" s="8">
        <f>IF(AND(V1663=1,D1663&lt;&gt;""),IF(D1663&gt;=corte,TODAY()-D1663,""),"")</f>
        <v/>
      </c>
      <c r="V1663" s="8">
        <f>IF(D1663="",0,IF(OR(AND(P1663&lt;&gt;"",S1663=""),AND(N(J1663)&gt;0,N(K1663)&lt;J1663),OR(M1663="PENDENTE",M1663="PARCIAL"),OR(N1663="PENDENTE",N1663="PARCIAL")),1,0))</f>
        <v/>
      </c>
      <c r="W1663" s="8">
        <f>IF(AND(V1663=1,D1663&lt;&gt;""),IF(D1663&gt;=corte,(B1663="CRÍTICO")*1E9+(100000-D1663)*10000+10000-ROW(),""),"")</f>
        <v/>
      </c>
      <c r="X1663" s="8">
        <f>IF(AND(V1663=1,D1663=pas_data,E1663=pas_turno),10000-ROW(),"")</f>
        <v/>
      </c>
    </row>
    <row r="1664">
      <c r="A1664" s="3">
        <f>IF(D1664="","","TT-"&amp;TEXT(ROW()-1,"00000"))</f>
        <v/>
      </c>
      <c r="B1664" s="3">
        <f>IF(D1664="","",IF(V1664=0,"CONCLUÍDO",IF(D1664&lt;corte,"HISTÓRICO",IF(OR(AND(ISNUMBER(R1664),R1664&lt;TODAY()),AND(OR(N1664="PENDENTE",N1664="PARCIAL"),D1664&lt;TODAY()-1)),"CRÍTICO",IF(OR(AND(P1664&lt;&gt;"",S1664=""),AND(N1664="REALIZADO",M1664="PENDENTE"),AND(ISNUMBER(R1664),R1664=TODAY())),"ATENÇÃO",IF(N(K1664)=0,"PENDENTE","EM ANDAMENTO"))))))</f>
        <v/>
      </c>
      <c r="C1664" s="3">
        <f>IF(D1664="","",IF(V1664=0,"🟢 OK",IF(D1664&lt;corte,"⚪ HISTÓRICO (sem baixa)",IF(AND(ISNUMBER(R1664),R1664&lt;TODAY()),"🔴 PRAZO VENCIDO",IF(AND(OR(N1664="PENDENTE",N1664="PARCIAL"),D1664&lt;TODAY()-1),"🔴 EMBARQUE ATRASADO",IF(AND(N1664="REALIZADO",M1664="PENDENTE"),"🟡 EMBARCADO SEM FATURAR",IF(AND(P1664&lt;&gt;"",S1664="",OR(Q1664="",R1664="")),"🟡 PENDÊNCIA SEM RESPONSÁVEL/PRAZO",IF(AND(ISNUMBER(R1664),R1664=TODAY()),"🟡 VENCE HOJE",IF(AND(P1664&lt;&gt;"",S1664=""),"🟡 PENDÊNCIA ABERTA",IF(AND(N(J1664)&gt;0,N(K1664)&lt;J1664),"🟡 FALTA EXECUTAR",IF(OR(M1664="PENDENTE",M1664="PARCIAL"),"🟡 FATURAMENTO PENDENTE","🟡 EMBARQUE PENDENTE")))))))))))</f>
        <v/>
      </c>
      <c r="D1664" s="4" t="n"/>
      <c r="E1664" s="5" t="n"/>
      <c r="F1664" s="5" t="n"/>
      <c r="G1664" s="5" t="n"/>
      <c r="H1664" s="5" t="n"/>
      <c r="I1664" s="5" t="n"/>
      <c r="J1664" s="6" t="n"/>
      <c r="K1664" s="6" t="n"/>
      <c r="L1664" s="7">
        <f>IF(OR(D1664="",N(J1664)=0),"",MIN(1,N(K1664)/J1664))</f>
        <v/>
      </c>
      <c r="M1664" s="5" t="n"/>
      <c r="N1664" s="5" t="n"/>
      <c r="O1664" s="5" t="n"/>
      <c r="P1664" s="5" t="n"/>
      <c r="Q1664" s="5" t="n"/>
      <c r="R1664" s="4" t="n"/>
      <c r="S1664" s="4" t="n"/>
      <c r="T1664" s="5" t="n"/>
      <c r="U1664" s="8">
        <f>IF(AND(V1664=1,D1664&lt;&gt;""),IF(D1664&gt;=corte,TODAY()-D1664,""),"")</f>
        <v/>
      </c>
      <c r="V1664" s="8">
        <f>IF(D1664="",0,IF(OR(AND(P1664&lt;&gt;"",S1664=""),AND(N(J1664)&gt;0,N(K1664)&lt;J1664),OR(M1664="PENDENTE",M1664="PARCIAL"),OR(N1664="PENDENTE",N1664="PARCIAL")),1,0))</f>
        <v/>
      </c>
      <c r="W1664" s="8">
        <f>IF(AND(V1664=1,D1664&lt;&gt;""),IF(D1664&gt;=corte,(B1664="CRÍTICO")*1E9+(100000-D1664)*10000+10000-ROW(),""),"")</f>
        <v/>
      </c>
      <c r="X1664" s="8">
        <f>IF(AND(V1664=1,D1664=pas_data,E1664=pas_turno),10000-ROW(),"")</f>
        <v/>
      </c>
    </row>
    <row r="1665">
      <c r="A1665" s="3">
        <f>IF(D1665="","","TT-"&amp;TEXT(ROW()-1,"00000"))</f>
        <v/>
      </c>
      <c r="B1665" s="3">
        <f>IF(D1665="","",IF(V1665=0,"CONCLUÍDO",IF(D1665&lt;corte,"HISTÓRICO",IF(OR(AND(ISNUMBER(R1665),R1665&lt;TODAY()),AND(OR(N1665="PENDENTE",N1665="PARCIAL"),D1665&lt;TODAY()-1)),"CRÍTICO",IF(OR(AND(P1665&lt;&gt;"",S1665=""),AND(N1665="REALIZADO",M1665="PENDENTE"),AND(ISNUMBER(R1665),R1665=TODAY())),"ATENÇÃO",IF(N(K1665)=0,"PENDENTE","EM ANDAMENTO"))))))</f>
        <v/>
      </c>
      <c r="C1665" s="3">
        <f>IF(D1665="","",IF(V1665=0,"🟢 OK",IF(D1665&lt;corte,"⚪ HISTÓRICO (sem baixa)",IF(AND(ISNUMBER(R1665),R1665&lt;TODAY()),"🔴 PRAZO VENCIDO",IF(AND(OR(N1665="PENDENTE",N1665="PARCIAL"),D1665&lt;TODAY()-1),"🔴 EMBARQUE ATRASADO",IF(AND(N1665="REALIZADO",M1665="PENDENTE"),"🟡 EMBARCADO SEM FATURAR",IF(AND(P1665&lt;&gt;"",S1665="",OR(Q1665="",R1665="")),"🟡 PENDÊNCIA SEM RESPONSÁVEL/PRAZO",IF(AND(ISNUMBER(R1665),R1665=TODAY()),"🟡 VENCE HOJE",IF(AND(P1665&lt;&gt;"",S1665=""),"🟡 PENDÊNCIA ABERTA",IF(AND(N(J1665)&gt;0,N(K1665)&lt;J1665),"🟡 FALTA EXECUTAR",IF(OR(M1665="PENDENTE",M1665="PARCIAL"),"🟡 FATURAMENTO PENDENTE","🟡 EMBARQUE PENDENTE")))))))))))</f>
        <v/>
      </c>
      <c r="D1665" s="4" t="n"/>
      <c r="E1665" s="5" t="n"/>
      <c r="F1665" s="5" t="n"/>
      <c r="G1665" s="5" t="n"/>
      <c r="H1665" s="5" t="n"/>
      <c r="I1665" s="5" t="n"/>
      <c r="J1665" s="6" t="n"/>
      <c r="K1665" s="6" t="n"/>
      <c r="L1665" s="7">
        <f>IF(OR(D1665="",N(J1665)=0),"",MIN(1,N(K1665)/J1665))</f>
        <v/>
      </c>
      <c r="M1665" s="5" t="n"/>
      <c r="N1665" s="5" t="n"/>
      <c r="O1665" s="5" t="n"/>
      <c r="P1665" s="5" t="n"/>
      <c r="Q1665" s="5" t="n"/>
      <c r="R1665" s="4" t="n"/>
      <c r="S1665" s="4" t="n"/>
      <c r="T1665" s="5" t="n"/>
      <c r="U1665" s="8">
        <f>IF(AND(V1665=1,D1665&lt;&gt;""),IF(D1665&gt;=corte,TODAY()-D1665,""),"")</f>
        <v/>
      </c>
      <c r="V1665" s="8">
        <f>IF(D1665="",0,IF(OR(AND(P1665&lt;&gt;"",S1665=""),AND(N(J1665)&gt;0,N(K1665)&lt;J1665),OR(M1665="PENDENTE",M1665="PARCIAL"),OR(N1665="PENDENTE",N1665="PARCIAL")),1,0))</f>
        <v/>
      </c>
      <c r="W1665" s="8">
        <f>IF(AND(V1665=1,D1665&lt;&gt;""),IF(D1665&gt;=corte,(B1665="CRÍTICO")*1E9+(100000-D1665)*10000+10000-ROW(),""),"")</f>
        <v/>
      </c>
      <c r="X1665" s="8">
        <f>IF(AND(V1665=1,D1665=pas_data,E1665=pas_turno),10000-ROW(),"")</f>
        <v/>
      </c>
    </row>
    <row r="1666">
      <c r="A1666" s="3">
        <f>IF(D1666="","","TT-"&amp;TEXT(ROW()-1,"00000"))</f>
        <v/>
      </c>
      <c r="B1666" s="3">
        <f>IF(D1666="","",IF(V1666=0,"CONCLUÍDO",IF(D1666&lt;corte,"HISTÓRICO",IF(OR(AND(ISNUMBER(R1666),R1666&lt;TODAY()),AND(OR(N1666="PENDENTE",N1666="PARCIAL"),D1666&lt;TODAY()-1)),"CRÍTICO",IF(OR(AND(P1666&lt;&gt;"",S1666=""),AND(N1666="REALIZADO",M1666="PENDENTE"),AND(ISNUMBER(R1666),R1666=TODAY())),"ATENÇÃO",IF(N(K1666)=0,"PENDENTE","EM ANDAMENTO"))))))</f>
        <v/>
      </c>
      <c r="C1666" s="3">
        <f>IF(D1666="","",IF(V1666=0,"🟢 OK",IF(D1666&lt;corte,"⚪ HISTÓRICO (sem baixa)",IF(AND(ISNUMBER(R1666),R1666&lt;TODAY()),"🔴 PRAZO VENCIDO",IF(AND(OR(N1666="PENDENTE",N1666="PARCIAL"),D1666&lt;TODAY()-1),"🔴 EMBARQUE ATRASADO",IF(AND(N1666="REALIZADO",M1666="PENDENTE"),"🟡 EMBARCADO SEM FATURAR",IF(AND(P1666&lt;&gt;"",S1666="",OR(Q1666="",R1666="")),"🟡 PENDÊNCIA SEM RESPONSÁVEL/PRAZO",IF(AND(ISNUMBER(R1666),R1666=TODAY()),"🟡 VENCE HOJE",IF(AND(P1666&lt;&gt;"",S1666=""),"🟡 PENDÊNCIA ABERTA",IF(AND(N(J1666)&gt;0,N(K1666)&lt;J1666),"🟡 FALTA EXECUTAR",IF(OR(M1666="PENDENTE",M1666="PARCIAL"),"🟡 FATURAMENTO PENDENTE","🟡 EMBARQUE PENDENTE")))))))))))</f>
        <v/>
      </c>
      <c r="D1666" s="4" t="n"/>
      <c r="E1666" s="5" t="n"/>
      <c r="F1666" s="5" t="n"/>
      <c r="G1666" s="5" t="n"/>
      <c r="H1666" s="5" t="n"/>
      <c r="I1666" s="5" t="n"/>
      <c r="J1666" s="6" t="n"/>
      <c r="K1666" s="6" t="n"/>
      <c r="L1666" s="7">
        <f>IF(OR(D1666="",N(J1666)=0),"",MIN(1,N(K1666)/J1666))</f>
        <v/>
      </c>
      <c r="M1666" s="5" t="n"/>
      <c r="N1666" s="5" t="n"/>
      <c r="O1666" s="5" t="n"/>
      <c r="P1666" s="5" t="n"/>
      <c r="Q1666" s="5" t="n"/>
      <c r="R1666" s="4" t="n"/>
      <c r="S1666" s="4" t="n"/>
      <c r="T1666" s="5" t="n"/>
      <c r="U1666" s="8">
        <f>IF(AND(V1666=1,D1666&lt;&gt;""),IF(D1666&gt;=corte,TODAY()-D1666,""),"")</f>
        <v/>
      </c>
      <c r="V1666" s="8">
        <f>IF(D1666="",0,IF(OR(AND(P1666&lt;&gt;"",S1666=""),AND(N(J1666)&gt;0,N(K1666)&lt;J1666),OR(M1666="PENDENTE",M1666="PARCIAL"),OR(N1666="PENDENTE",N1666="PARCIAL")),1,0))</f>
        <v/>
      </c>
      <c r="W1666" s="8">
        <f>IF(AND(V1666=1,D1666&lt;&gt;""),IF(D1666&gt;=corte,(B1666="CRÍTICO")*1E9+(100000-D1666)*10000+10000-ROW(),""),"")</f>
        <v/>
      </c>
      <c r="X1666" s="8">
        <f>IF(AND(V1666=1,D1666=pas_data,E1666=pas_turno),10000-ROW(),"")</f>
        <v/>
      </c>
    </row>
    <row r="1667">
      <c r="A1667" s="3">
        <f>IF(D1667="","","TT-"&amp;TEXT(ROW()-1,"00000"))</f>
        <v/>
      </c>
      <c r="B1667" s="3">
        <f>IF(D1667="","",IF(V1667=0,"CONCLUÍDO",IF(D1667&lt;corte,"HISTÓRICO",IF(OR(AND(ISNUMBER(R1667),R1667&lt;TODAY()),AND(OR(N1667="PENDENTE",N1667="PARCIAL"),D1667&lt;TODAY()-1)),"CRÍTICO",IF(OR(AND(P1667&lt;&gt;"",S1667=""),AND(N1667="REALIZADO",M1667="PENDENTE"),AND(ISNUMBER(R1667),R1667=TODAY())),"ATENÇÃO",IF(N(K1667)=0,"PENDENTE","EM ANDAMENTO"))))))</f>
        <v/>
      </c>
      <c r="C1667" s="3">
        <f>IF(D1667="","",IF(V1667=0,"🟢 OK",IF(D1667&lt;corte,"⚪ HISTÓRICO (sem baixa)",IF(AND(ISNUMBER(R1667),R1667&lt;TODAY()),"🔴 PRAZO VENCIDO",IF(AND(OR(N1667="PENDENTE",N1667="PARCIAL"),D1667&lt;TODAY()-1),"🔴 EMBARQUE ATRASADO",IF(AND(N1667="REALIZADO",M1667="PENDENTE"),"🟡 EMBARCADO SEM FATURAR",IF(AND(P1667&lt;&gt;"",S1667="",OR(Q1667="",R1667="")),"🟡 PENDÊNCIA SEM RESPONSÁVEL/PRAZO",IF(AND(ISNUMBER(R1667),R1667=TODAY()),"🟡 VENCE HOJE",IF(AND(P1667&lt;&gt;"",S1667=""),"🟡 PENDÊNCIA ABERTA",IF(AND(N(J1667)&gt;0,N(K1667)&lt;J1667),"🟡 FALTA EXECUTAR",IF(OR(M1667="PENDENTE",M1667="PARCIAL"),"🟡 FATURAMENTO PENDENTE","🟡 EMBARQUE PENDENTE")))))))))))</f>
        <v/>
      </c>
      <c r="D1667" s="4" t="n"/>
      <c r="E1667" s="5" t="n"/>
      <c r="F1667" s="5" t="n"/>
      <c r="G1667" s="5" t="n"/>
      <c r="H1667" s="5" t="n"/>
      <c r="I1667" s="5" t="n"/>
      <c r="J1667" s="6" t="n"/>
      <c r="K1667" s="6" t="n"/>
      <c r="L1667" s="7">
        <f>IF(OR(D1667="",N(J1667)=0),"",MIN(1,N(K1667)/J1667))</f>
        <v/>
      </c>
      <c r="M1667" s="5" t="n"/>
      <c r="N1667" s="5" t="n"/>
      <c r="O1667" s="5" t="n"/>
      <c r="P1667" s="5" t="n"/>
      <c r="Q1667" s="5" t="n"/>
      <c r="R1667" s="4" t="n"/>
      <c r="S1667" s="4" t="n"/>
      <c r="T1667" s="5" t="n"/>
      <c r="U1667" s="8">
        <f>IF(AND(V1667=1,D1667&lt;&gt;""),IF(D1667&gt;=corte,TODAY()-D1667,""),"")</f>
        <v/>
      </c>
      <c r="V1667" s="8">
        <f>IF(D1667="",0,IF(OR(AND(P1667&lt;&gt;"",S1667=""),AND(N(J1667)&gt;0,N(K1667)&lt;J1667),OR(M1667="PENDENTE",M1667="PARCIAL"),OR(N1667="PENDENTE",N1667="PARCIAL")),1,0))</f>
        <v/>
      </c>
      <c r="W1667" s="8">
        <f>IF(AND(V1667=1,D1667&lt;&gt;""),IF(D1667&gt;=corte,(B1667="CRÍTICO")*1E9+(100000-D1667)*10000+10000-ROW(),""),"")</f>
        <v/>
      </c>
      <c r="X1667" s="8">
        <f>IF(AND(V1667=1,D1667=pas_data,E1667=pas_turno),10000-ROW(),"")</f>
        <v/>
      </c>
    </row>
    <row r="1668">
      <c r="A1668" s="3">
        <f>IF(D1668="","","TT-"&amp;TEXT(ROW()-1,"00000"))</f>
        <v/>
      </c>
      <c r="B1668" s="3">
        <f>IF(D1668="","",IF(V1668=0,"CONCLUÍDO",IF(D1668&lt;corte,"HISTÓRICO",IF(OR(AND(ISNUMBER(R1668),R1668&lt;TODAY()),AND(OR(N1668="PENDENTE",N1668="PARCIAL"),D1668&lt;TODAY()-1)),"CRÍTICO",IF(OR(AND(P1668&lt;&gt;"",S1668=""),AND(N1668="REALIZADO",M1668="PENDENTE"),AND(ISNUMBER(R1668),R1668=TODAY())),"ATENÇÃO",IF(N(K1668)=0,"PENDENTE","EM ANDAMENTO"))))))</f>
        <v/>
      </c>
      <c r="C1668" s="3">
        <f>IF(D1668="","",IF(V1668=0,"🟢 OK",IF(D1668&lt;corte,"⚪ HISTÓRICO (sem baixa)",IF(AND(ISNUMBER(R1668),R1668&lt;TODAY()),"🔴 PRAZO VENCIDO",IF(AND(OR(N1668="PENDENTE",N1668="PARCIAL"),D1668&lt;TODAY()-1),"🔴 EMBARQUE ATRASADO",IF(AND(N1668="REALIZADO",M1668="PENDENTE"),"🟡 EMBARCADO SEM FATURAR",IF(AND(P1668&lt;&gt;"",S1668="",OR(Q1668="",R1668="")),"🟡 PENDÊNCIA SEM RESPONSÁVEL/PRAZO",IF(AND(ISNUMBER(R1668),R1668=TODAY()),"🟡 VENCE HOJE",IF(AND(P1668&lt;&gt;"",S1668=""),"🟡 PENDÊNCIA ABERTA",IF(AND(N(J1668)&gt;0,N(K1668)&lt;J1668),"🟡 FALTA EXECUTAR",IF(OR(M1668="PENDENTE",M1668="PARCIAL"),"🟡 FATURAMENTO PENDENTE","🟡 EMBARQUE PENDENTE")))))))))))</f>
        <v/>
      </c>
      <c r="D1668" s="4" t="n"/>
      <c r="E1668" s="5" t="n"/>
      <c r="F1668" s="5" t="n"/>
      <c r="G1668" s="5" t="n"/>
      <c r="H1668" s="5" t="n"/>
      <c r="I1668" s="5" t="n"/>
      <c r="J1668" s="6" t="n"/>
      <c r="K1668" s="6" t="n"/>
      <c r="L1668" s="7">
        <f>IF(OR(D1668="",N(J1668)=0),"",MIN(1,N(K1668)/J1668))</f>
        <v/>
      </c>
      <c r="M1668" s="5" t="n"/>
      <c r="N1668" s="5" t="n"/>
      <c r="O1668" s="5" t="n"/>
      <c r="P1668" s="5" t="n"/>
      <c r="Q1668" s="5" t="n"/>
      <c r="R1668" s="4" t="n"/>
      <c r="S1668" s="4" t="n"/>
      <c r="T1668" s="5" t="n"/>
      <c r="U1668" s="8">
        <f>IF(AND(V1668=1,D1668&lt;&gt;""),IF(D1668&gt;=corte,TODAY()-D1668,""),"")</f>
        <v/>
      </c>
      <c r="V1668" s="8">
        <f>IF(D1668="",0,IF(OR(AND(P1668&lt;&gt;"",S1668=""),AND(N(J1668)&gt;0,N(K1668)&lt;J1668),OR(M1668="PENDENTE",M1668="PARCIAL"),OR(N1668="PENDENTE",N1668="PARCIAL")),1,0))</f>
        <v/>
      </c>
      <c r="W1668" s="8">
        <f>IF(AND(V1668=1,D1668&lt;&gt;""),IF(D1668&gt;=corte,(B1668="CRÍTICO")*1E9+(100000-D1668)*10000+10000-ROW(),""),"")</f>
        <v/>
      </c>
      <c r="X1668" s="8">
        <f>IF(AND(V1668=1,D1668=pas_data,E1668=pas_turno),10000-ROW(),"")</f>
        <v/>
      </c>
    </row>
    <row r="1669">
      <c r="A1669" s="3">
        <f>IF(D1669="","","TT-"&amp;TEXT(ROW()-1,"00000"))</f>
        <v/>
      </c>
      <c r="B1669" s="3">
        <f>IF(D1669="","",IF(V1669=0,"CONCLUÍDO",IF(D1669&lt;corte,"HISTÓRICO",IF(OR(AND(ISNUMBER(R1669),R1669&lt;TODAY()),AND(OR(N1669="PENDENTE",N1669="PARCIAL"),D1669&lt;TODAY()-1)),"CRÍTICO",IF(OR(AND(P1669&lt;&gt;"",S1669=""),AND(N1669="REALIZADO",M1669="PENDENTE"),AND(ISNUMBER(R1669),R1669=TODAY())),"ATENÇÃO",IF(N(K1669)=0,"PENDENTE","EM ANDAMENTO"))))))</f>
        <v/>
      </c>
      <c r="C1669" s="3">
        <f>IF(D1669="","",IF(V1669=0,"🟢 OK",IF(D1669&lt;corte,"⚪ HISTÓRICO (sem baixa)",IF(AND(ISNUMBER(R1669),R1669&lt;TODAY()),"🔴 PRAZO VENCIDO",IF(AND(OR(N1669="PENDENTE",N1669="PARCIAL"),D1669&lt;TODAY()-1),"🔴 EMBARQUE ATRASADO",IF(AND(N1669="REALIZADO",M1669="PENDENTE"),"🟡 EMBARCADO SEM FATURAR",IF(AND(P1669&lt;&gt;"",S1669="",OR(Q1669="",R1669="")),"🟡 PENDÊNCIA SEM RESPONSÁVEL/PRAZO",IF(AND(ISNUMBER(R1669),R1669=TODAY()),"🟡 VENCE HOJE",IF(AND(P1669&lt;&gt;"",S1669=""),"🟡 PENDÊNCIA ABERTA",IF(AND(N(J1669)&gt;0,N(K1669)&lt;J1669),"🟡 FALTA EXECUTAR",IF(OR(M1669="PENDENTE",M1669="PARCIAL"),"🟡 FATURAMENTO PENDENTE","🟡 EMBARQUE PENDENTE")))))))))))</f>
        <v/>
      </c>
      <c r="D1669" s="4" t="n"/>
      <c r="E1669" s="5" t="n"/>
      <c r="F1669" s="5" t="n"/>
      <c r="G1669" s="5" t="n"/>
      <c r="H1669" s="5" t="n"/>
      <c r="I1669" s="5" t="n"/>
      <c r="J1669" s="6" t="n"/>
      <c r="K1669" s="6" t="n"/>
      <c r="L1669" s="7">
        <f>IF(OR(D1669="",N(J1669)=0),"",MIN(1,N(K1669)/J1669))</f>
        <v/>
      </c>
      <c r="M1669" s="5" t="n"/>
      <c r="N1669" s="5" t="n"/>
      <c r="O1669" s="5" t="n"/>
      <c r="P1669" s="5" t="n"/>
      <c r="Q1669" s="5" t="n"/>
      <c r="R1669" s="4" t="n"/>
      <c r="S1669" s="4" t="n"/>
      <c r="T1669" s="5" t="n"/>
      <c r="U1669" s="8">
        <f>IF(AND(V1669=1,D1669&lt;&gt;""),IF(D1669&gt;=corte,TODAY()-D1669,""),"")</f>
        <v/>
      </c>
      <c r="V1669" s="8">
        <f>IF(D1669="",0,IF(OR(AND(P1669&lt;&gt;"",S1669=""),AND(N(J1669)&gt;0,N(K1669)&lt;J1669),OR(M1669="PENDENTE",M1669="PARCIAL"),OR(N1669="PENDENTE",N1669="PARCIAL")),1,0))</f>
        <v/>
      </c>
      <c r="W1669" s="8">
        <f>IF(AND(V1669=1,D1669&lt;&gt;""),IF(D1669&gt;=corte,(B1669="CRÍTICO")*1E9+(100000-D1669)*10000+10000-ROW(),""),"")</f>
        <v/>
      </c>
      <c r="X1669" s="8">
        <f>IF(AND(V1669=1,D1669=pas_data,E1669=pas_turno),10000-ROW(),"")</f>
        <v/>
      </c>
    </row>
    <row r="1670">
      <c r="A1670" s="3">
        <f>IF(D1670="","","TT-"&amp;TEXT(ROW()-1,"00000"))</f>
        <v/>
      </c>
      <c r="B1670" s="3">
        <f>IF(D1670="","",IF(V1670=0,"CONCLUÍDO",IF(D1670&lt;corte,"HISTÓRICO",IF(OR(AND(ISNUMBER(R1670),R1670&lt;TODAY()),AND(OR(N1670="PENDENTE",N1670="PARCIAL"),D1670&lt;TODAY()-1)),"CRÍTICO",IF(OR(AND(P1670&lt;&gt;"",S1670=""),AND(N1670="REALIZADO",M1670="PENDENTE"),AND(ISNUMBER(R1670),R1670=TODAY())),"ATENÇÃO",IF(N(K1670)=0,"PENDENTE","EM ANDAMENTO"))))))</f>
        <v/>
      </c>
      <c r="C1670" s="3">
        <f>IF(D1670="","",IF(V1670=0,"🟢 OK",IF(D1670&lt;corte,"⚪ HISTÓRICO (sem baixa)",IF(AND(ISNUMBER(R1670),R1670&lt;TODAY()),"🔴 PRAZO VENCIDO",IF(AND(OR(N1670="PENDENTE",N1670="PARCIAL"),D1670&lt;TODAY()-1),"🔴 EMBARQUE ATRASADO",IF(AND(N1670="REALIZADO",M1670="PENDENTE"),"🟡 EMBARCADO SEM FATURAR",IF(AND(P1670&lt;&gt;"",S1670="",OR(Q1670="",R1670="")),"🟡 PENDÊNCIA SEM RESPONSÁVEL/PRAZO",IF(AND(ISNUMBER(R1670),R1670=TODAY()),"🟡 VENCE HOJE",IF(AND(P1670&lt;&gt;"",S1670=""),"🟡 PENDÊNCIA ABERTA",IF(AND(N(J1670)&gt;0,N(K1670)&lt;J1670),"🟡 FALTA EXECUTAR",IF(OR(M1670="PENDENTE",M1670="PARCIAL"),"🟡 FATURAMENTO PENDENTE","🟡 EMBARQUE PENDENTE")))))))))))</f>
        <v/>
      </c>
      <c r="D1670" s="4" t="n"/>
      <c r="E1670" s="5" t="n"/>
      <c r="F1670" s="5" t="n"/>
      <c r="G1670" s="5" t="n"/>
      <c r="H1670" s="5" t="n"/>
      <c r="I1670" s="5" t="n"/>
      <c r="J1670" s="6" t="n"/>
      <c r="K1670" s="6" t="n"/>
      <c r="L1670" s="7">
        <f>IF(OR(D1670="",N(J1670)=0),"",MIN(1,N(K1670)/J1670))</f>
        <v/>
      </c>
      <c r="M1670" s="5" t="n"/>
      <c r="N1670" s="5" t="n"/>
      <c r="O1670" s="5" t="n"/>
      <c r="P1670" s="5" t="n"/>
      <c r="Q1670" s="5" t="n"/>
      <c r="R1670" s="4" t="n"/>
      <c r="S1670" s="4" t="n"/>
      <c r="T1670" s="5" t="n"/>
      <c r="U1670" s="8">
        <f>IF(AND(V1670=1,D1670&lt;&gt;""),IF(D1670&gt;=corte,TODAY()-D1670,""),"")</f>
        <v/>
      </c>
      <c r="V1670" s="8">
        <f>IF(D1670="",0,IF(OR(AND(P1670&lt;&gt;"",S1670=""),AND(N(J1670)&gt;0,N(K1670)&lt;J1670),OR(M1670="PENDENTE",M1670="PARCIAL"),OR(N1670="PENDENTE",N1670="PARCIAL")),1,0))</f>
        <v/>
      </c>
      <c r="W1670" s="8">
        <f>IF(AND(V1670=1,D1670&lt;&gt;""),IF(D1670&gt;=corte,(B1670="CRÍTICO")*1E9+(100000-D1670)*10000+10000-ROW(),""),"")</f>
        <v/>
      </c>
      <c r="X1670" s="8">
        <f>IF(AND(V1670=1,D1670=pas_data,E1670=pas_turno),10000-ROW(),"")</f>
        <v/>
      </c>
    </row>
    <row r="1671">
      <c r="A1671" s="3">
        <f>IF(D1671="","","TT-"&amp;TEXT(ROW()-1,"00000"))</f>
        <v/>
      </c>
      <c r="B1671" s="3">
        <f>IF(D1671="","",IF(V1671=0,"CONCLUÍDO",IF(D1671&lt;corte,"HISTÓRICO",IF(OR(AND(ISNUMBER(R1671),R1671&lt;TODAY()),AND(OR(N1671="PENDENTE",N1671="PARCIAL"),D1671&lt;TODAY()-1)),"CRÍTICO",IF(OR(AND(P1671&lt;&gt;"",S1671=""),AND(N1671="REALIZADO",M1671="PENDENTE"),AND(ISNUMBER(R1671),R1671=TODAY())),"ATENÇÃO",IF(N(K1671)=0,"PENDENTE","EM ANDAMENTO"))))))</f>
        <v/>
      </c>
      <c r="C1671" s="3">
        <f>IF(D1671="","",IF(V1671=0,"🟢 OK",IF(D1671&lt;corte,"⚪ HISTÓRICO (sem baixa)",IF(AND(ISNUMBER(R1671),R1671&lt;TODAY()),"🔴 PRAZO VENCIDO",IF(AND(OR(N1671="PENDENTE",N1671="PARCIAL"),D1671&lt;TODAY()-1),"🔴 EMBARQUE ATRASADO",IF(AND(N1671="REALIZADO",M1671="PENDENTE"),"🟡 EMBARCADO SEM FATURAR",IF(AND(P1671&lt;&gt;"",S1671="",OR(Q1671="",R1671="")),"🟡 PENDÊNCIA SEM RESPONSÁVEL/PRAZO",IF(AND(ISNUMBER(R1671),R1671=TODAY()),"🟡 VENCE HOJE",IF(AND(P1671&lt;&gt;"",S1671=""),"🟡 PENDÊNCIA ABERTA",IF(AND(N(J1671)&gt;0,N(K1671)&lt;J1671),"🟡 FALTA EXECUTAR",IF(OR(M1671="PENDENTE",M1671="PARCIAL"),"🟡 FATURAMENTO PENDENTE","🟡 EMBARQUE PENDENTE")))))))))))</f>
        <v/>
      </c>
      <c r="D1671" s="4" t="n"/>
      <c r="E1671" s="5" t="n"/>
      <c r="F1671" s="5" t="n"/>
      <c r="G1671" s="5" t="n"/>
      <c r="H1671" s="5" t="n"/>
      <c r="I1671" s="5" t="n"/>
      <c r="J1671" s="6" t="n"/>
      <c r="K1671" s="6" t="n"/>
      <c r="L1671" s="7">
        <f>IF(OR(D1671="",N(J1671)=0),"",MIN(1,N(K1671)/J1671))</f>
        <v/>
      </c>
      <c r="M1671" s="5" t="n"/>
      <c r="N1671" s="5" t="n"/>
      <c r="O1671" s="5" t="n"/>
      <c r="P1671" s="5" t="n"/>
      <c r="Q1671" s="5" t="n"/>
      <c r="R1671" s="4" t="n"/>
      <c r="S1671" s="4" t="n"/>
      <c r="T1671" s="5" t="n"/>
      <c r="U1671" s="8">
        <f>IF(AND(V1671=1,D1671&lt;&gt;""),IF(D1671&gt;=corte,TODAY()-D1671,""),"")</f>
        <v/>
      </c>
      <c r="V1671" s="8">
        <f>IF(D1671="",0,IF(OR(AND(P1671&lt;&gt;"",S1671=""),AND(N(J1671)&gt;0,N(K1671)&lt;J1671),OR(M1671="PENDENTE",M1671="PARCIAL"),OR(N1671="PENDENTE",N1671="PARCIAL")),1,0))</f>
        <v/>
      </c>
      <c r="W1671" s="8">
        <f>IF(AND(V1671=1,D1671&lt;&gt;""),IF(D1671&gt;=corte,(B1671="CRÍTICO")*1E9+(100000-D1671)*10000+10000-ROW(),""),"")</f>
        <v/>
      </c>
      <c r="X1671" s="8">
        <f>IF(AND(V1671=1,D1671=pas_data,E1671=pas_turno),10000-ROW(),"")</f>
        <v/>
      </c>
    </row>
    <row r="1672">
      <c r="A1672" s="3">
        <f>IF(D1672="","","TT-"&amp;TEXT(ROW()-1,"00000"))</f>
        <v/>
      </c>
      <c r="B1672" s="3">
        <f>IF(D1672="","",IF(V1672=0,"CONCLUÍDO",IF(D1672&lt;corte,"HISTÓRICO",IF(OR(AND(ISNUMBER(R1672),R1672&lt;TODAY()),AND(OR(N1672="PENDENTE",N1672="PARCIAL"),D1672&lt;TODAY()-1)),"CRÍTICO",IF(OR(AND(P1672&lt;&gt;"",S1672=""),AND(N1672="REALIZADO",M1672="PENDENTE"),AND(ISNUMBER(R1672),R1672=TODAY())),"ATENÇÃO",IF(N(K1672)=0,"PENDENTE","EM ANDAMENTO"))))))</f>
        <v/>
      </c>
      <c r="C1672" s="3">
        <f>IF(D1672="","",IF(V1672=0,"🟢 OK",IF(D1672&lt;corte,"⚪ HISTÓRICO (sem baixa)",IF(AND(ISNUMBER(R1672),R1672&lt;TODAY()),"🔴 PRAZO VENCIDO",IF(AND(OR(N1672="PENDENTE",N1672="PARCIAL"),D1672&lt;TODAY()-1),"🔴 EMBARQUE ATRASADO",IF(AND(N1672="REALIZADO",M1672="PENDENTE"),"🟡 EMBARCADO SEM FATURAR",IF(AND(P1672&lt;&gt;"",S1672="",OR(Q1672="",R1672="")),"🟡 PENDÊNCIA SEM RESPONSÁVEL/PRAZO",IF(AND(ISNUMBER(R1672),R1672=TODAY()),"🟡 VENCE HOJE",IF(AND(P1672&lt;&gt;"",S1672=""),"🟡 PENDÊNCIA ABERTA",IF(AND(N(J1672)&gt;0,N(K1672)&lt;J1672),"🟡 FALTA EXECUTAR",IF(OR(M1672="PENDENTE",M1672="PARCIAL"),"🟡 FATURAMENTO PENDENTE","🟡 EMBARQUE PENDENTE")))))))))))</f>
        <v/>
      </c>
      <c r="D1672" s="4" t="n"/>
      <c r="E1672" s="5" t="n"/>
      <c r="F1672" s="5" t="n"/>
      <c r="G1672" s="5" t="n"/>
      <c r="H1672" s="5" t="n"/>
      <c r="I1672" s="5" t="n"/>
      <c r="J1672" s="6" t="n"/>
      <c r="K1672" s="6" t="n"/>
      <c r="L1672" s="7">
        <f>IF(OR(D1672="",N(J1672)=0),"",MIN(1,N(K1672)/J1672))</f>
        <v/>
      </c>
      <c r="M1672" s="5" t="n"/>
      <c r="N1672" s="5" t="n"/>
      <c r="O1672" s="5" t="n"/>
      <c r="P1672" s="5" t="n"/>
      <c r="Q1672" s="5" t="n"/>
      <c r="R1672" s="4" t="n"/>
      <c r="S1672" s="4" t="n"/>
      <c r="T1672" s="5" t="n"/>
      <c r="U1672" s="8">
        <f>IF(AND(V1672=1,D1672&lt;&gt;""),IF(D1672&gt;=corte,TODAY()-D1672,""),"")</f>
        <v/>
      </c>
      <c r="V1672" s="8">
        <f>IF(D1672="",0,IF(OR(AND(P1672&lt;&gt;"",S1672=""),AND(N(J1672)&gt;0,N(K1672)&lt;J1672),OR(M1672="PENDENTE",M1672="PARCIAL"),OR(N1672="PENDENTE",N1672="PARCIAL")),1,0))</f>
        <v/>
      </c>
      <c r="W1672" s="8">
        <f>IF(AND(V1672=1,D1672&lt;&gt;""),IF(D1672&gt;=corte,(B1672="CRÍTICO")*1E9+(100000-D1672)*10000+10000-ROW(),""),"")</f>
        <v/>
      </c>
      <c r="X1672" s="8">
        <f>IF(AND(V1672=1,D1672=pas_data,E1672=pas_turno),10000-ROW(),"")</f>
        <v/>
      </c>
    </row>
    <row r="1673">
      <c r="A1673" s="3">
        <f>IF(D1673="","","TT-"&amp;TEXT(ROW()-1,"00000"))</f>
        <v/>
      </c>
      <c r="B1673" s="3">
        <f>IF(D1673="","",IF(V1673=0,"CONCLUÍDO",IF(D1673&lt;corte,"HISTÓRICO",IF(OR(AND(ISNUMBER(R1673),R1673&lt;TODAY()),AND(OR(N1673="PENDENTE",N1673="PARCIAL"),D1673&lt;TODAY()-1)),"CRÍTICO",IF(OR(AND(P1673&lt;&gt;"",S1673=""),AND(N1673="REALIZADO",M1673="PENDENTE"),AND(ISNUMBER(R1673),R1673=TODAY())),"ATENÇÃO",IF(N(K1673)=0,"PENDENTE","EM ANDAMENTO"))))))</f>
        <v/>
      </c>
      <c r="C1673" s="3">
        <f>IF(D1673="","",IF(V1673=0,"🟢 OK",IF(D1673&lt;corte,"⚪ HISTÓRICO (sem baixa)",IF(AND(ISNUMBER(R1673),R1673&lt;TODAY()),"🔴 PRAZO VENCIDO",IF(AND(OR(N1673="PENDENTE",N1673="PARCIAL"),D1673&lt;TODAY()-1),"🔴 EMBARQUE ATRASADO",IF(AND(N1673="REALIZADO",M1673="PENDENTE"),"🟡 EMBARCADO SEM FATURAR",IF(AND(P1673&lt;&gt;"",S1673="",OR(Q1673="",R1673="")),"🟡 PENDÊNCIA SEM RESPONSÁVEL/PRAZO",IF(AND(ISNUMBER(R1673),R1673=TODAY()),"🟡 VENCE HOJE",IF(AND(P1673&lt;&gt;"",S1673=""),"🟡 PENDÊNCIA ABERTA",IF(AND(N(J1673)&gt;0,N(K1673)&lt;J1673),"🟡 FALTA EXECUTAR",IF(OR(M1673="PENDENTE",M1673="PARCIAL"),"🟡 FATURAMENTO PENDENTE","🟡 EMBARQUE PENDENTE")))))))))))</f>
        <v/>
      </c>
      <c r="D1673" s="4" t="n"/>
      <c r="E1673" s="5" t="n"/>
      <c r="F1673" s="5" t="n"/>
      <c r="G1673" s="5" t="n"/>
      <c r="H1673" s="5" t="n"/>
      <c r="I1673" s="5" t="n"/>
      <c r="J1673" s="6" t="n"/>
      <c r="K1673" s="6" t="n"/>
      <c r="L1673" s="7">
        <f>IF(OR(D1673="",N(J1673)=0),"",MIN(1,N(K1673)/J1673))</f>
        <v/>
      </c>
      <c r="M1673" s="5" t="n"/>
      <c r="N1673" s="5" t="n"/>
      <c r="O1673" s="5" t="n"/>
      <c r="P1673" s="5" t="n"/>
      <c r="Q1673" s="5" t="n"/>
      <c r="R1673" s="4" t="n"/>
      <c r="S1673" s="4" t="n"/>
      <c r="T1673" s="5" t="n"/>
      <c r="U1673" s="8">
        <f>IF(AND(V1673=1,D1673&lt;&gt;""),IF(D1673&gt;=corte,TODAY()-D1673,""),"")</f>
        <v/>
      </c>
      <c r="V1673" s="8">
        <f>IF(D1673="",0,IF(OR(AND(P1673&lt;&gt;"",S1673=""),AND(N(J1673)&gt;0,N(K1673)&lt;J1673),OR(M1673="PENDENTE",M1673="PARCIAL"),OR(N1673="PENDENTE",N1673="PARCIAL")),1,0))</f>
        <v/>
      </c>
      <c r="W1673" s="8">
        <f>IF(AND(V1673=1,D1673&lt;&gt;""),IF(D1673&gt;=corte,(B1673="CRÍTICO")*1E9+(100000-D1673)*10000+10000-ROW(),""),"")</f>
        <v/>
      </c>
      <c r="X1673" s="8">
        <f>IF(AND(V1673=1,D1673=pas_data,E1673=pas_turno),10000-ROW(),"")</f>
        <v/>
      </c>
    </row>
    <row r="1674">
      <c r="A1674" s="3">
        <f>IF(D1674="","","TT-"&amp;TEXT(ROW()-1,"00000"))</f>
        <v/>
      </c>
      <c r="B1674" s="3">
        <f>IF(D1674="","",IF(V1674=0,"CONCLUÍDO",IF(D1674&lt;corte,"HISTÓRICO",IF(OR(AND(ISNUMBER(R1674),R1674&lt;TODAY()),AND(OR(N1674="PENDENTE",N1674="PARCIAL"),D1674&lt;TODAY()-1)),"CRÍTICO",IF(OR(AND(P1674&lt;&gt;"",S1674=""),AND(N1674="REALIZADO",M1674="PENDENTE"),AND(ISNUMBER(R1674),R1674=TODAY())),"ATENÇÃO",IF(N(K1674)=0,"PENDENTE","EM ANDAMENTO"))))))</f>
        <v/>
      </c>
      <c r="C1674" s="3">
        <f>IF(D1674="","",IF(V1674=0,"🟢 OK",IF(D1674&lt;corte,"⚪ HISTÓRICO (sem baixa)",IF(AND(ISNUMBER(R1674),R1674&lt;TODAY()),"🔴 PRAZO VENCIDO",IF(AND(OR(N1674="PENDENTE",N1674="PARCIAL"),D1674&lt;TODAY()-1),"🔴 EMBARQUE ATRASADO",IF(AND(N1674="REALIZADO",M1674="PENDENTE"),"🟡 EMBARCADO SEM FATURAR",IF(AND(P1674&lt;&gt;"",S1674="",OR(Q1674="",R1674="")),"🟡 PENDÊNCIA SEM RESPONSÁVEL/PRAZO",IF(AND(ISNUMBER(R1674),R1674=TODAY()),"🟡 VENCE HOJE",IF(AND(P1674&lt;&gt;"",S1674=""),"🟡 PENDÊNCIA ABERTA",IF(AND(N(J1674)&gt;0,N(K1674)&lt;J1674),"🟡 FALTA EXECUTAR",IF(OR(M1674="PENDENTE",M1674="PARCIAL"),"🟡 FATURAMENTO PENDENTE","🟡 EMBARQUE PENDENTE")))))))))))</f>
        <v/>
      </c>
      <c r="D1674" s="4" t="n"/>
      <c r="E1674" s="5" t="n"/>
      <c r="F1674" s="5" t="n"/>
      <c r="G1674" s="5" t="n"/>
      <c r="H1674" s="5" t="n"/>
      <c r="I1674" s="5" t="n"/>
      <c r="J1674" s="6" t="n"/>
      <c r="K1674" s="6" t="n"/>
      <c r="L1674" s="7">
        <f>IF(OR(D1674="",N(J1674)=0),"",MIN(1,N(K1674)/J1674))</f>
        <v/>
      </c>
      <c r="M1674" s="5" t="n"/>
      <c r="N1674" s="5" t="n"/>
      <c r="O1674" s="5" t="n"/>
      <c r="P1674" s="5" t="n"/>
      <c r="Q1674" s="5" t="n"/>
      <c r="R1674" s="4" t="n"/>
      <c r="S1674" s="4" t="n"/>
      <c r="T1674" s="5" t="n"/>
      <c r="U1674" s="8">
        <f>IF(AND(V1674=1,D1674&lt;&gt;""),IF(D1674&gt;=corte,TODAY()-D1674,""),"")</f>
        <v/>
      </c>
      <c r="V1674" s="8">
        <f>IF(D1674="",0,IF(OR(AND(P1674&lt;&gt;"",S1674=""),AND(N(J1674)&gt;0,N(K1674)&lt;J1674),OR(M1674="PENDENTE",M1674="PARCIAL"),OR(N1674="PENDENTE",N1674="PARCIAL")),1,0))</f>
        <v/>
      </c>
      <c r="W1674" s="8">
        <f>IF(AND(V1674=1,D1674&lt;&gt;""),IF(D1674&gt;=corte,(B1674="CRÍTICO")*1E9+(100000-D1674)*10000+10000-ROW(),""),"")</f>
        <v/>
      </c>
      <c r="X1674" s="8">
        <f>IF(AND(V1674=1,D1674=pas_data,E1674=pas_turno),10000-ROW(),"")</f>
        <v/>
      </c>
    </row>
    <row r="1675">
      <c r="A1675" s="3">
        <f>IF(D1675="","","TT-"&amp;TEXT(ROW()-1,"00000"))</f>
        <v/>
      </c>
      <c r="B1675" s="3">
        <f>IF(D1675="","",IF(V1675=0,"CONCLUÍDO",IF(D1675&lt;corte,"HISTÓRICO",IF(OR(AND(ISNUMBER(R1675),R1675&lt;TODAY()),AND(OR(N1675="PENDENTE",N1675="PARCIAL"),D1675&lt;TODAY()-1)),"CRÍTICO",IF(OR(AND(P1675&lt;&gt;"",S1675=""),AND(N1675="REALIZADO",M1675="PENDENTE"),AND(ISNUMBER(R1675),R1675=TODAY())),"ATENÇÃO",IF(N(K1675)=0,"PENDENTE","EM ANDAMENTO"))))))</f>
        <v/>
      </c>
      <c r="C1675" s="3">
        <f>IF(D1675="","",IF(V1675=0,"🟢 OK",IF(D1675&lt;corte,"⚪ HISTÓRICO (sem baixa)",IF(AND(ISNUMBER(R1675),R1675&lt;TODAY()),"🔴 PRAZO VENCIDO",IF(AND(OR(N1675="PENDENTE",N1675="PARCIAL"),D1675&lt;TODAY()-1),"🔴 EMBARQUE ATRASADO",IF(AND(N1675="REALIZADO",M1675="PENDENTE"),"🟡 EMBARCADO SEM FATURAR",IF(AND(P1675&lt;&gt;"",S1675="",OR(Q1675="",R1675="")),"🟡 PENDÊNCIA SEM RESPONSÁVEL/PRAZO",IF(AND(ISNUMBER(R1675),R1675=TODAY()),"🟡 VENCE HOJE",IF(AND(P1675&lt;&gt;"",S1675=""),"🟡 PENDÊNCIA ABERTA",IF(AND(N(J1675)&gt;0,N(K1675)&lt;J1675),"🟡 FALTA EXECUTAR",IF(OR(M1675="PENDENTE",M1675="PARCIAL"),"🟡 FATURAMENTO PENDENTE","🟡 EMBARQUE PENDENTE")))))))))))</f>
        <v/>
      </c>
      <c r="D1675" s="4" t="n"/>
      <c r="E1675" s="5" t="n"/>
      <c r="F1675" s="5" t="n"/>
      <c r="G1675" s="5" t="n"/>
      <c r="H1675" s="5" t="n"/>
      <c r="I1675" s="5" t="n"/>
      <c r="J1675" s="6" t="n"/>
      <c r="K1675" s="6" t="n"/>
      <c r="L1675" s="7">
        <f>IF(OR(D1675="",N(J1675)=0),"",MIN(1,N(K1675)/J1675))</f>
        <v/>
      </c>
      <c r="M1675" s="5" t="n"/>
      <c r="N1675" s="5" t="n"/>
      <c r="O1675" s="5" t="n"/>
      <c r="P1675" s="5" t="n"/>
      <c r="Q1675" s="5" t="n"/>
      <c r="R1675" s="4" t="n"/>
      <c r="S1675" s="4" t="n"/>
      <c r="T1675" s="5" t="n"/>
      <c r="U1675" s="8">
        <f>IF(AND(V1675=1,D1675&lt;&gt;""),IF(D1675&gt;=corte,TODAY()-D1675,""),"")</f>
        <v/>
      </c>
      <c r="V1675" s="8">
        <f>IF(D1675="",0,IF(OR(AND(P1675&lt;&gt;"",S1675=""),AND(N(J1675)&gt;0,N(K1675)&lt;J1675),OR(M1675="PENDENTE",M1675="PARCIAL"),OR(N1675="PENDENTE",N1675="PARCIAL")),1,0))</f>
        <v/>
      </c>
      <c r="W1675" s="8">
        <f>IF(AND(V1675=1,D1675&lt;&gt;""),IF(D1675&gt;=corte,(B1675="CRÍTICO")*1E9+(100000-D1675)*10000+10000-ROW(),""),"")</f>
        <v/>
      </c>
      <c r="X1675" s="8">
        <f>IF(AND(V1675=1,D1675=pas_data,E1675=pas_turno),10000-ROW(),"")</f>
        <v/>
      </c>
    </row>
    <row r="1676">
      <c r="A1676" s="3">
        <f>IF(D1676="","","TT-"&amp;TEXT(ROW()-1,"00000"))</f>
        <v/>
      </c>
      <c r="B1676" s="3">
        <f>IF(D1676="","",IF(V1676=0,"CONCLUÍDO",IF(D1676&lt;corte,"HISTÓRICO",IF(OR(AND(ISNUMBER(R1676),R1676&lt;TODAY()),AND(OR(N1676="PENDENTE",N1676="PARCIAL"),D1676&lt;TODAY()-1)),"CRÍTICO",IF(OR(AND(P1676&lt;&gt;"",S1676=""),AND(N1676="REALIZADO",M1676="PENDENTE"),AND(ISNUMBER(R1676),R1676=TODAY())),"ATENÇÃO",IF(N(K1676)=0,"PENDENTE","EM ANDAMENTO"))))))</f>
        <v/>
      </c>
      <c r="C1676" s="3">
        <f>IF(D1676="","",IF(V1676=0,"🟢 OK",IF(D1676&lt;corte,"⚪ HISTÓRICO (sem baixa)",IF(AND(ISNUMBER(R1676),R1676&lt;TODAY()),"🔴 PRAZO VENCIDO",IF(AND(OR(N1676="PENDENTE",N1676="PARCIAL"),D1676&lt;TODAY()-1),"🔴 EMBARQUE ATRASADO",IF(AND(N1676="REALIZADO",M1676="PENDENTE"),"🟡 EMBARCADO SEM FATURAR",IF(AND(P1676&lt;&gt;"",S1676="",OR(Q1676="",R1676="")),"🟡 PENDÊNCIA SEM RESPONSÁVEL/PRAZO",IF(AND(ISNUMBER(R1676),R1676=TODAY()),"🟡 VENCE HOJE",IF(AND(P1676&lt;&gt;"",S1676=""),"🟡 PENDÊNCIA ABERTA",IF(AND(N(J1676)&gt;0,N(K1676)&lt;J1676),"🟡 FALTA EXECUTAR",IF(OR(M1676="PENDENTE",M1676="PARCIAL"),"🟡 FATURAMENTO PENDENTE","🟡 EMBARQUE PENDENTE")))))))))))</f>
        <v/>
      </c>
      <c r="D1676" s="4" t="n"/>
      <c r="E1676" s="5" t="n"/>
      <c r="F1676" s="5" t="n"/>
      <c r="G1676" s="5" t="n"/>
      <c r="H1676" s="5" t="n"/>
      <c r="I1676" s="5" t="n"/>
      <c r="J1676" s="6" t="n"/>
      <c r="K1676" s="6" t="n"/>
      <c r="L1676" s="7">
        <f>IF(OR(D1676="",N(J1676)=0),"",MIN(1,N(K1676)/J1676))</f>
        <v/>
      </c>
      <c r="M1676" s="5" t="n"/>
      <c r="N1676" s="5" t="n"/>
      <c r="O1676" s="5" t="n"/>
      <c r="P1676" s="5" t="n"/>
      <c r="Q1676" s="5" t="n"/>
      <c r="R1676" s="4" t="n"/>
      <c r="S1676" s="4" t="n"/>
      <c r="T1676" s="5" t="n"/>
      <c r="U1676" s="8">
        <f>IF(AND(V1676=1,D1676&lt;&gt;""),IF(D1676&gt;=corte,TODAY()-D1676,""),"")</f>
        <v/>
      </c>
      <c r="V1676" s="8">
        <f>IF(D1676="",0,IF(OR(AND(P1676&lt;&gt;"",S1676=""),AND(N(J1676)&gt;0,N(K1676)&lt;J1676),OR(M1676="PENDENTE",M1676="PARCIAL"),OR(N1676="PENDENTE",N1676="PARCIAL")),1,0))</f>
        <v/>
      </c>
      <c r="W1676" s="8">
        <f>IF(AND(V1676=1,D1676&lt;&gt;""),IF(D1676&gt;=corte,(B1676="CRÍTICO")*1E9+(100000-D1676)*10000+10000-ROW(),""),"")</f>
        <v/>
      </c>
      <c r="X1676" s="8">
        <f>IF(AND(V1676=1,D1676=pas_data,E1676=pas_turno),10000-ROW(),"")</f>
        <v/>
      </c>
    </row>
    <row r="1677">
      <c r="A1677" s="3">
        <f>IF(D1677="","","TT-"&amp;TEXT(ROW()-1,"00000"))</f>
        <v/>
      </c>
      <c r="B1677" s="3">
        <f>IF(D1677="","",IF(V1677=0,"CONCLUÍDO",IF(D1677&lt;corte,"HISTÓRICO",IF(OR(AND(ISNUMBER(R1677),R1677&lt;TODAY()),AND(OR(N1677="PENDENTE",N1677="PARCIAL"),D1677&lt;TODAY()-1)),"CRÍTICO",IF(OR(AND(P1677&lt;&gt;"",S1677=""),AND(N1677="REALIZADO",M1677="PENDENTE"),AND(ISNUMBER(R1677),R1677=TODAY())),"ATENÇÃO",IF(N(K1677)=0,"PENDENTE","EM ANDAMENTO"))))))</f>
        <v/>
      </c>
      <c r="C1677" s="3">
        <f>IF(D1677="","",IF(V1677=0,"🟢 OK",IF(D1677&lt;corte,"⚪ HISTÓRICO (sem baixa)",IF(AND(ISNUMBER(R1677),R1677&lt;TODAY()),"🔴 PRAZO VENCIDO",IF(AND(OR(N1677="PENDENTE",N1677="PARCIAL"),D1677&lt;TODAY()-1),"🔴 EMBARQUE ATRASADO",IF(AND(N1677="REALIZADO",M1677="PENDENTE"),"🟡 EMBARCADO SEM FATURAR",IF(AND(P1677&lt;&gt;"",S1677="",OR(Q1677="",R1677="")),"🟡 PENDÊNCIA SEM RESPONSÁVEL/PRAZO",IF(AND(ISNUMBER(R1677),R1677=TODAY()),"🟡 VENCE HOJE",IF(AND(P1677&lt;&gt;"",S1677=""),"🟡 PENDÊNCIA ABERTA",IF(AND(N(J1677)&gt;0,N(K1677)&lt;J1677),"🟡 FALTA EXECUTAR",IF(OR(M1677="PENDENTE",M1677="PARCIAL"),"🟡 FATURAMENTO PENDENTE","🟡 EMBARQUE PENDENTE")))))))))))</f>
        <v/>
      </c>
      <c r="D1677" s="4" t="n"/>
      <c r="E1677" s="5" t="n"/>
      <c r="F1677" s="5" t="n"/>
      <c r="G1677" s="5" t="n"/>
      <c r="H1677" s="5" t="n"/>
      <c r="I1677" s="5" t="n"/>
      <c r="J1677" s="6" t="n"/>
      <c r="K1677" s="6" t="n"/>
      <c r="L1677" s="7">
        <f>IF(OR(D1677="",N(J1677)=0),"",MIN(1,N(K1677)/J1677))</f>
        <v/>
      </c>
      <c r="M1677" s="5" t="n"/>
      <c r="N1677" s="5" t="n"/>
      <c r="O1677" s="5" t="n"/>
      <c r="P1677" s="5" t="n"/>
      <c r="Q1677" s="5" t="n"/>
      <c r="R1677" s="4" t="n"/>
      <c r="S1677" s="4" t="n"/>
      <c r="T1677" s="5" t="n"/>
      <c r="U1677" s="8">
        <f>IF(AND(V1677=1,D1677&lt;&gt;""),IF(D1677&gt;=corte,TODAY()-D1677,""),"")</f>
        <v/>
      </c>
      <c r="V1677" s="8">
        <f>IF(D1677="",0,IF(OR(AND(P1677&lt;&gt;"",S1677=""),AND(N(J1677)&gt;0,N(K1677)&lt;J1677),OR(M1677="PENDENTE",M1677="PARCIAL"),OR(N1677="PENDENTE",N1677="PARCIAL")),1,0))</f>
        <v/>
      </c>
      <c r="W1677" s="8">
        <f>IF(AND(V1677=1,D1677&lt;&gt;""),IF(D1677&gt;=corte,(B1677="CRÍTICO")*1E9+(100000-D1677)*10000+10000-ROW(),""),"")</f>
        <v/>
      </c>
      <c r="X1677" s="8">
        <f>IF(AND(V1677=1,D1677=pas_data,E1677=pas_turno),10000-ROW(),"")</f>
        <v/>
      </c>
    </row>
    <row r="1678">
      <c r="A1678" s="3">
        <f>IF(D1678="","","TT-"&amp;TEXT(ROW()-1,"00000"))</f>
        <v/>
      </c>
      <c r="B1678" s="3">
        <f>IF(D1678="","",IF(V1678=0,"CONCLUÍDO",IF(D1678&lt;corte,"HISTÓRICO",IF(OR(AND(ISNUMBER(R1678),R1678&lt;TODAY()),AND(OR(N1678="PENDENTE",N1678="PARCIAL"),D1678&lt;TODAY()-1)),"CRÍTICO",IF(OR(AND(P1678&lt;&gt;"",S1678=""),AND(N1678="REALIZADO",M1678="PENDENTE"),AND(ISNUMBER(R1678),R1678=TODAY())),"ATENÇÃO",IF(N(K1678)=0,"PENDENTE","EM ANDAMENTO"))))))</f>
        <v/>
      </c>
      <c r="C1678" s="3">
        <f>IF(D1678="","",IF(V1678=0,"🟢 OK",IF(D1678&lt;corte,"⚪ HISTÓRICO (sem baixa)",IF(AND(ISNUMBER(R1678),R1678&lt;TODAY()),"🔴 PRAZO VENCIDO",IF(AND(OR(N1678="PENDENTE",N1678="PARCIAL"),D1678&lt;TODAY()-1),"🔴 EMBARQUE ATRASADO",IF(AND(N1678="REALIZADO",M1678="PENDENTE"),"🟡 EMBARCADO SEM FATURAR",IF(AND(P1678&lt;&gt;"",S1678="",OR(Q1678="",R1678="")),"🟡 PENDÊNCIA SEM RESPONSÁVEL/PRAZO",IF(AND(ISNUMBER(R1678),R1678=TODAY()),"🟡 VENCE HOJE",IF(AND(P1678&lt;&gt;"",S1678=""),"🟡 PENDÊNCIA ABERTA",IF(AND(N(J1678)&gt;0,N(K1678)&lt;J1678),"🟡 FALTA EXECUTAR",IF(OR(M1678="PENDENTE",M1678="PARCIAL"),"🟡 FATURAMENTO PENDENTE","🟡 EMBARQUE PENDENTE")))))))))))</f>
        <v/>
      </c>
      <c r="D1678" s="4" t="n"/>
      <c r="E1678" s="5" t="n"/>
      <c r="F1678" s="5" t="n"/>
      <c r="G1678" s="5" t="n"/>
      <c r="H1678" s="5" t="n"/>
      <c r="I1678" s="5" t="n"/>
      <c r="J1678" s="6" t="n"/>
      <c r="K1678" s="6" t="n"/>
      <c r="L1678" s="7">
        <f>IF(OR(D1678="",N(J1678)=0),"",MIN(1,N(K1678)/J1678))</f>
        <v/>
      </c>
      <c r="M1678" s="5" t="n"/>
      <c r="N1678" s="5" t="n"/>
      <c r="O1678" s="5" t="n"/>
      <c r="P1678" s="5" t="n"/>
      <c r="Q1678" s="5" t="n"/>
      <c r="R1678" s="4" t="n"/>
      <c r="S1678" s="4" t="n"/>
      <c r="T1678" s="5" t="n"/>
      <c r="U1678" s="8">
        <f>IF(AND(V1678=1,D1678&lt;&gt;""),IF(D1678&gt;=corte,TODAY()-D1678,""),"")</f>
        <v/>
      </c>
      <c r="V1678" s="8">
        <f>IF(D1678="",0,IF(OR(AND(P1678&lt;&gt;"",S1678=""),AND(N(J1678)&gt;0,N(K1678)&lt;J1678),OR(M1678="PENDENTE",M1678="PARCIAL"),OR(N1678="PENDENTE",N1678="PARCIAL")),1,0))</f>
        <v/>
      </c>
      <c r="W1678" s="8">
        <f>IF(AND(V1678=1,D1678&lt;&gt;""),IF(D1678&gt;=corte,(B1678="CRÍTICO")*1E9+(100000-D1678)*10000+10000-ROW(),""),"")</f>
        <v/>
      </c>
      <c r="X1678" s="8">
        <f>IF(AND(V1678=1,D1678=pas_data,E1678=pas_turno),10000-ROW(),"")</f>
        <v/>
      </c>
    </row>
    <row r="1679">
      <c r="A1679" s="3">
        <f>IF(D1679="","","TT-"&amp;TEXT(ROW()-1,"00000"))</f>
        <v/>
      </c>
      <c r="B1679" s="3">
        <f>IF(D1679="","",IF(V1679=0,"CONCLUÍDO",IF(D1679&lt;corte,"HISTÓRICO",IF(OR(AND(ISNUMBER(R1679),R1679&lt;TODAY()),AND(OR(N1679="PENDENTE",N1679="PARCIAL"),D1679&lt;TODAY()-1)),"CRÍTICO",IF(OR(AND(P1679&lt;&gt;"",S1679=""),AND(N1679="REALIZADO",M1679="PENDENTE"),AND(ISNUMBER(R1679),R1679=TODAY())),"ATENÇÃO",IF(N(K1679)=0,"PENDENTE","EM ANDAMENTO"))))))</f>
        <v/>
      </c>
      <c r="C1679" s="3">
        <f>IF(D1679="","",IF(V1679=0,"🟢 OK",IF(D1679&lt;corte,"⚪ HISTÓRICO (sem baixa)",IF(AND(ISNUMBER(R1679),R1679&lt;TODAY()),"🔴 PRAZO VENCIDO",IF(AND(OR(N1679="PENDENTE",N1679="PARCIAL"),D1679&lt;TODAY()-1),"🔴 EMBARQUE ATRASADO",IF(AND(N1679="REALIZADO",M1679="PENDENTE"),"🟡 EMBARCADO SEM FATURAR",IF(AND(P1679&lt;&gt;"",S1679="",OR(Q1679="",R1679="")),"🟡 PENDÊNCIA SEM RESPONSÁVEL/PRAZO",IF(AND(ISNUMBER(R1679),R1679=TODAY()),"🟡 VENCE HOJE",IF(AND(P1679&lt;&gt;"",S1679=""),"🟡 PENDÊNCIA ABERTA",IF(AND(N(J1679)&gt;0,N(K1679)&lt;J1679),"🟡 FALTA EXECUTAR",IF(OR(M1679="PENDENTE",M1679="PARCIAL"),"🟡 FATURAMENTO PENDENTE","🟡 EMBARQUE PENDENTE")))))))))))</f>
        <v/>
      </c>
      <c r="D1679" s="4" t="n"/>
      <c r="E1679" s="5" t="n"/>
      <c r="F1679" s="5" t="n"/>
      <c r="G1679" s="5" t="n"/>
      <c r="H1679" s="5" t="n"/>
      <c r="I1679" s="5" t="n"/>
      <c r="J1679" s="6" t="n"/>
      <c r="K1679" s="6" t="n"/>
      <c r="L1679" s="7">
        <f>IF(OR(D1679="",N(J1679)=0),"",MIN(1,N(K1679)/J1679))</f>
        <v/>
      </c>
      <c r="M1679" s="5" t="n"/>
      <c r="N1679" s="5" t="n"/>
      <c r="O1679" s="5" t="n"/>
      <c r="P1679" s="5" t="n"/>
      <c r="Q1679" s="5" t="n"/>
      <c r="R1679" s="4" t="n"/>
      <c r="S1679" s="4" t="n"/>
      <c r="T1679" s="5" t="n"/>
      <c r="U1679" s="8">
        <f>IF(AND(V1679=1,D1679&lt;&gt;""),IF(D1679&gt;=corte,TODAY()-D1679,""),"")</f>
        <v/>
      </c>
      <c r="V1679" s="8">
        <f>IF(D1679="",0,IF(OR(AND(P1679&lt;&gt;"",S1679=""),AND(N(J1679)&gt;0,N(K1679)&lt;J1679),OR(M1679="PENDENTE",M1679="PARCIAL"),OR(N1679="PENDENTE",N1679="PARCIAL")),1,0))</f>
        <v/>
      </c>
      <c r="W1679" s="8">
        <f>IF(AND(V1679=1,D1679&lt;&gt;""),IF(D1679&gt;=corte,(B1679="CRÍTICO")*1E9+(100000-D1679)*10000+10000-ROW(),""),"")</f>
        <v/>
      </c>
      <c r="X1679" s="8">
        <f>IF(AND(V1679=1,D1679=pas_data,E1679=pas_turno),10000-ROW(),"")</f>
        <v/>
      </c>
    </row>
    <row r="1680">
      <c r="A1680" s="3">
        <f>IF(D1680="","","TT-"&amp;TEXT(ROW()-1,"00000"))</f>
        <v/>
      </c>
      <c r="B1680" s="3">
        <f>IF(D1680="","",IF(V1680=0,"CONCLUÍDO",IF(D1680&lt;corte,"HISTÓRICO",IF(OR(AND(ISNUMBER(R1680),R1680&lt;TODAY()),AND(OR(N1680="PENDENTE",N1680="PARCIAL"),D1680&lt;TODAY()-1)),"CRÍTICO",IF(OR(AND(P1680&lt;&gt;"",S1680=""),AND(N1680="REALIZADO",M1680="PENDENTE"),AND(ISNUMBER(R1680),R1680=TODAY())),"ATENÇÃO",IF(N(K1680)=0,"PENDENTE","EM ANDAMENTO"))))))</f>
        <v/>
      </c>
      <c r="C1680" s="3">
        <f>IF(D1680="","",IF(V1680=0,"🟢 OK",IF(D1680&lt;corte,"⚪ HISTÓRICO (sem baixa)",IF(AND(ISNUMBER(R1680),R1680&lt;TODAY()),"🔴 PRAZO VENCIDO",IF(AND(OR(N1680="PENDENTE",N1680="PARCIAL"),D1680&lt;TODAY()-1),"🔴 EMBARQUE ATRASADO",IF(AND(N1680="REALIZADO",M1680="PENDENTE"),"🟡 EMBARCADO SEM FATURAR",IF(AND(P1680&lt;&gt;"",S1680="",OR(Q1680="",R1680="")),"🟡 PENDÊNCIA SEM RESPONSÁVEL/PRAZO",IF(AND(ISNUMBER(R1680),R1680=TODAY()),"🟡 VENCE HOJE",IF(AND(P1680&lt;&gt;"",S1680=""),"🟡 PENDÊNCIA ABERTA",IF(AND(N(J1680)&gt;0,N(K1680)&lt;J1680),"🟡 FALTA EXECUTAR",IF(OR(M1680="PENDENTE",M1680="PARCIAL"),"🟡 FATURAMENTO PENDENTE","🟡 EMBARQUE PENDENTE")))))))))))</f>
        <v/>
      </c>
      <c r="D1680" s="4" t="n"/>
      <c r="E1680" s="5" t="n"/>
      <c r="F1680" s="5" t="n"/>
      <c r="G1680" s="5" t="n"/>
      <c r="H1680" s="5" t="n"/>
      <c r="I1680" s="5" t="n"/>
      <c r="J1680" s="6" t="n"/>
      <c r="K1680" s="6" t="n"/>
      <c r="L1680" s="7">
        <f>IF(OR(D1680="",N(J1680)=0),"",MIN(1,N(K1680)/J1680))</f>
        <v/>
      </c>
      <c r="M1680" s="5" t="n"/>
      <c r="N1680" s="5" t="n"/>
      <c r="O1680" s="5" t="n"/>
      <c r="P1680" s="5" t="n"/>
      <c r="Q1680" s="5" t="n"/>
      <c r="R1680" s="4" t="n"/>
      <c r="S1680" s="4" t="n"/>
      <c r="T1680" s="5" t="n"/>
      <c r="U1680" s="8">
        <f>IF(AND(V1680=1,D1680&lt;&gt;""),IF(D1680&gt;=corte,TODAY()-D1680,""),"")</f>
        <v/>
      </c>
      <c r="V1680" s="8">
        <f>IF(D1680="",0,IF(OR(AND(P1680&lt;&gt;"",S1680=""),AND(N(J1680)&gt;0,N(K1680)&lt;J1680),OR(M1680="PENDENTE",M1680="PARCIAL"),OR(N1680="PENDENTE",N1680="PARCIAL")),1,0))</f>
        <v/>
      </c>
      <c r="W1680" s="8">
        <f>IF(AND(V1680=1,D1680&lt;&gt;""),IF(D1680&gt;=corte,(B1680="CRÍTICO")*1E9+(100000-D1680)*10000+10000-ROW(),""),"")</f>
        <v/>
      </c>
      <c r="X1680" s="8">
        <f>IF(AND(V1680=1,D1680=pas_data,E1680=pas_turno),10000-ROW(),"")</f>
        <v/>
      </c>
    </row>
    <row r="1681">
      <c r="A1681" s="3">
        <f>IF(D1681="","","TT-"&amp;TEXT(ROW()-1,"00000"))</f>
        <v/>
      </c>
      <c r="B1681" s="3">
        <f>IF(D1681="","",IF(V1681=0,"CONCLUÍDO",IF(D1681&lt;corte,"HISTÓRICO",IF(OR(AND(ISNUMBER(R1681),R1681&lt;TODAY()),AND(OR(N1681="PENDENTE",N1681="PARCIAL"),D1681&lt;TODAY()-1)),"CRÍTICO",IF(OR(AND(P1681&lt;&gt;"",S1681=""),AND(N1681="REALIZADO",M1681="PENDENTE"),AND(ISNUMBER(R1681),R1681=TODAY())),"ATENÇÃO",IF(N(K1681)=0,"PENDENTE","EM ANDAMENTO"))))))</f>
        <v/>
      </c>
      <c r="C1681" s="3">
        <f>IF(D1681="","",IF(V1681=0,"🟢 OK",IF(D1681&lt;corte,"⚪ HISTÓRICO (sem baixa)",IF(AND(ISNUMBER(R1681),R1681&lt;TODAY()),"🔴 PRAZO VENCIDO",IF(AND(OR(N1681="PENDENTE",N1681="PARCIAL"),D1681&lt;TODAY()-1),"🔴 EMBARQUE ATRASADO",IF(AND(N1681="REALIZADO",M1681="PENDENTE"),"🟡 EMBARCADO SEM FATURAR",IF(AND(P1681&lt;&gt;"",S1681="",OR(Q1681="",R1681="")),"🟡 PENDÊNCIA SEM RESPONSÁVEL/PRAZO",IF(AND(ISNUMBER(R1681),R1681=TODAY()),"🟡 VENCE HOJE",IF(AND(P1681&lt;&gt;"",S1681=""),"🟡 PENDÊNCIA ABERTA",IF(AND(N(J1681)&gt;0,N(K1681)&lt;J1681),"🟡 FALTA EXECUTAR",IF(OR(M1681="PENDENTE",M1681="PARCIAL"),"🟡 FATURAMENTO PENDENTE","🟡 EMBARQUE PENDENTE")))))))))))</f>
        <v/>
      </c>
      <c r="D1681" s="4" t="n"/>
      <c r="E1681" s="5" t="n"/>
      <c r="F1681" s="5" t="n"/>
      <c r="G1681" s="5" t="n"/>
      <c r="H1681" s="5" t="n"/>
      <c r="I1681" s="5" t="n"/>
      <c r="J1681" s="6" t="n"/>
      <c r="K1681" s="6" t="n"/>
      <c r="L1681" s="7">
        <f>IF(OR(D1681="",N(J1681)=0),"",MIN(1,N(K1681)/J1681))</f>
        <v/>
      </c>
      <c r="M1681" s="5" t="n"/>
      <c r="N1681" s="5" t="n"/>
      <c r="O1681" s="5" t="n"/>
      <c r="P1681" s="5" t="n"/>
      <c r="Q1681" s="5" t="n"/>
      <c r="R1681" s="4" t="n"/>
      <c r="S1681" s="4" t="n"/>
      <c r="T1681" s="5" t="n"/>
      <c r="U1681" s="8">
        <f>IF(AND(V1681=1,D1681&lt;&gt;""),IF(D1681&gt;=corte,TODAY()-D1681,""),"")</f>
        <v/>
      </c>
      <c r="V1681" s="8">
        <f>IF(D1681="",0,IF(OR(AND(P1681&lt;&gt;"",S1681=""),AND(N(J1681)&gt;0,N(K1681)&lt;J1681),OR(M1681="PENDENTE",M1681="PARCIAL"),OR(N1681="PENDENTE",N1681="PARCIAL")),1,0))</f>
        <v/>
      </c>
      <c r="W1681" s="8">
        <f>IF(AND(V1681=1,D1681&lt;&gt;""),IF(D1681&gt;=corte,(B1681="CRÍTICO")*1E9+(100000-D1681)*10000+10000-ROW(),""),"")</f>
        <v/>
      </c>
      <c r="X1681" s="8">
        <f>IF(AND(V1681=1,D1681=pas_data,E1681=pas_turno),10000-ROW(),"")</f>
        <v/>
      </c>
    </row>
    <row r="1682">
      <c r="A1682" s="3">
        <f>IF(D1682="","","TT-"&amp;TEXT(ROW()-1,"00000"))</f>
        <v/>
      </c>
      <c r="B1682" s="3">
        <f>IF(D1682="","",IF(V1682=0,"CONCLUÍDO",IF(D1682&lt;corte,"HISTÓRICO",IF(OR(AND(ISNUMBER(R1682),R1682&lt;TODAY()),AND(OR(N1682="PENDENTE",N1682="PARCIAL"),D1682&lt;TODAY()-1)),"CRÍTICO",IF(OR(AND(P1682&lt;&gt;"",S1682=""),AND(N1682="REALIZADO",M1682="PENDENTE"),AND(ISNUMBER(R1682),R1682=TODAY())),"ATENÇÃO",IF(N(K1682)=0,"PENDENTE","EM ANDAMENTO"))))))</f>
        <v/>
      </c>
      <c r="C1682" s="3">
        <f>IF(D1682="","",IF(V1682=0,"🟢 OK",IF(D1682&lt;corte,"⚪ HISTÓRICO (sem baixa)",IF(AND(ISNUMBER(R1682),R1682&lt;TODAY()),"🔴 PRAZO VENCIDO",IF(AND(OR(N1682="PENDENTE",N1682="PARCIAL"),D1682&lt;TODAY()-1),"🔴 EMBARQUE ATRASADO",IF(AND(N1682="REALIZADO",M1682="PENDENTE"),"🟡 EMBARCADO SEM FATURAR",IF(AND(P1682&lt;&gt;"",S1682="",OR(Q1682="",R1682="")),"🟡 PENDÊNCIA SEM RESPONSÁVEL/PRAZO",IF(AND(ISNUMBER(R1682),R1682=TODAY()),"🟡 VENCE HOJE",IF(AND(P1682&lt;&gt;"",S1682=""),"🟡 PENDÊNCIA ABERTA",IF(AND(N(J1682)&gt;0,N(K1682)&lt;J1682),"🟡 FALTA EXECUTAR",IF(OR(M1682="PENDENTE",M1682="PARCIAL"),"🟡 FATURAMENTO PENDENTE","🟡 EMBARQUE PENDENTE")))))))))))</f>
        <v/>
      </c>
      <c r="D1682" s="4" t="n"/>
      <c r="E1682" s="5" t="n"/>
      <c r="F1682" s="5" t="n"/>
      <c r="G1682" s="5" t="n"/>
      <c r="H1682" s="5" t="n"/>
      <c r="I1682" s="5" t="n"/>
      <c r="J1682" s="6" t="n"/>
      <c r="K1682" s="6" t="n"/>
      <c r="L1682" s="7">
        <f>IF(OR(D1682="",N(J1682)=0),"",MIN(1,N(K1682)/J1682))</f>
        <v/>
      </c>
      <c r="M1682" s="5" t="n"/>
      <c r="N1682" s="5" t="n"/>
      <c r="O1682" s="5" t="n"/>
      <c r="P1682" s="5" t="n"/>
      <c r="Q1682" s="5" t="n"/>
      <c r="R1682" s="4" t="n"/>
      <c r="S1682" s="4" t="n"/>
      <c r="T1682" s="5" t="n"/>
      <c r="U1682" s="8">
        <f>IF(AND(V1682=1,D1682&lt;&gt;""),IF(D1682&gt;=corte,TODAY()-D1682,""),"")</f>
        <v/>
      </c>
      <c r="V1682" s="8">
        <f>IF(D1682="",0,IF(OR(AND(P1682&lt;&gt;"",S1682=""),AND(N(J1682)&gt;0,N(K1682)&lt;J1682),OR(M1682="PENDENTE",M1682="PARCIAL"),OR(N1682="PENDENTE",N1682="PARCIAL")),1,0))</f>
        <v/>
      </c>
      <c r="W1682" s="8">
        <f>IF(AND(V1682=1,D1682&lt;&gt;""),IF(D1682&gt;=corte,(B1682="CRÍTICO")*1E9+(100000-D1682)*10000+10000-ROW(),""),"")</f>
        <v/>
      </c>
      <c r="X1682" s="8">
        <f>IF(AND(V1682=1,D1682=pas_data,E1682=pas_turno),10000-ROW(),"")</f>
        <v/>
      </c>
    </row>
    <row r="1683">
      <c r="A1683" s="3">
        <f>IF(D1683="","","TT-"&amp;TEXT(ROW()-1,"00000"))</f>
        <v/>
      </c>
      <c r="B1683" s="3">
        <f>IF(D1683="","",IF(V1683=0,"CONCLUÍDO",IF(D1683&lt;corte,"HISTÓRICO",IF(OR(AND(ISNUMBER(R1683),R1683&lt;TODAY()),AND(OR(N1683="PENDENTE",N1683="PARCIAL"),D1683&lt;TODAY()-1)),"CRÍTICO",IF(OR(AND(P1683&lt;&gt;"",S1683=""),AND(N1683="REALIZADO",M1683="PENDENTE"),AND(ISNUMBER(R1683),R1683=TODAY())),"ATENÇÃO",IF(N(K1683)=0,"PENDENTE","EM ANDAMENTO"))))))</f>
        <v/>
      </c>
      <c r="C1683" s="3">
        <f>IF(D1683="","",IF(V1683=0,"🟢 OK",IF(D1683&lt;corte,"⚪ HISTÓRICO (sem baixa)",IF(AND(ISNUMBER(R1683),R1683&lt;TODAY()),"🔴 PRAZO VENCIDO",IF(AND(OR(N1683="PENDENTE",N1683="PARCIAL"),D1683&lt;TODAY()-1),"🔴 EMBARQUE ATRASADO",IF(AND(N1683="REALIZADO",M1683="PENDENTE"),"🟡 EMBARCADO SEM FATURAR",IF(AND(P1683&lt;&gt;"",S1683="",OR(Q1683="",R1683="")),"🟡 PENDÊNCIA SEM RESPONSÁVEL/PRAZO",IF(AND(ISNUMBER(R1683),R1683=TODAY()),"🟡 VENCE HOJE",IF(AND(P1683&lt;&gt;"",S1683=""),"🟡 PENDÊNCIA ABERTA",IF(AND(N(J1683)&gt;0,N(K1683)&lt;J1683),"🟡 FALTA EXECUTAR",IF(OR(M1683="PENDENTE",M1683="PARCIAL"),"🟡 FATURAMENTO PENDENTE","🟡 EMBARQUE PENDENTE")))))))))))</f>
        <v/>
      </c>
      <c r="D1683" s="4" t="n"/>
      <c r="E1683" s="5" t="n"/>
      <c r="F1683" s="5" t="n"/>
      <c r="G1683" s="5" t="n"/>
      <c r="H1683" s="5" t="n"/>
      <c r="I1683" s="5" t="n"/>
      <c r="J1683" s="6" t="n"/>
      <c r="K1683" s="6" t="n"/>
      <c r="L1683" s="7">
        <f>IF(OR(D1683="",N(J1683)=0),"",MIN(1,N(K1683)/J1683))</f>
        <v/>
      </c>
      <c r="M1683" s="5" t="n"/>
      <c r="N1683" s="5" t="n"/>
      <c r="O1683" s="5" t="n"/>
      <c r="P1683" s="5" t="n"/>
      <c r="Q1683" s="5" t="n"/>
      <c r="R1683" s="4" t="n"/>
      <c r="S1683" s="4" t="n"/>
      <c r="T1683" s="5" t="n"/>
      <c r="U1683" s="8">
        <f>IF(AND(V1683=1,D1683&lt;&gt;""),IF(D1683&gt;=corte,TODAY()-D1683,""),"")</f>
        <v/>
      </c>
      <c r="V1683" s="8">
        <f>IF(D1683="",0,IF(OR(AND(P1683&lt;&gt;"",S1683=""),AND(N(J1683)&gt;0,N(K1683)&lt;J1683),OR(M1683="PENDENTE",M1683="PARCIAL"),OR(N1683="PENDENTE",N1683="PARCIAL")),1,0))</f>
        <v/>
      </c>
      <c r="W1683" s="8">
        <f>IF(AND(V1683=1,D1683&lt;&gt;""),IF(D1683&gt;=corte,(B1683="CRÍTICO")*1E9+(100000-D1683)*10000+10000-ROW(),""),"")</f>
        <v/>
      </c>
      <c r="X1683" s="8">
        <f>IF(AND(V1683=1,D1683=pas_data,E1683=pas_turno),10000-ROW(),"")</f>
        <v/>
      </c>
    </row>
    <row r="1684">
      <c r="A1684" s="3">
        <f>IF(D1684="","","TT-"&amp;TEXT(ROW()-1,"00000"))</f>
        <v/>
      </c>
      <c r="B1684" s="3">
        <f>IF(D1684="","",IF(V1684=0,"CONCLUÍDO",IF(D1684&lt;corte,"HISTÓRICO",IF(OR(AND(ISNUMBER(R1684),R1684&lt;TODAY()),AND(OR(N1684="PENDENTE",N1684="PARCIAL"),D1684&lt;TODAY()-1)),"CRÍTICO",IF(OR(AND(P1684&lt;&gt;"",S1684=""),AND(N1684="REALIZADO",M1684="PENDENTE"),AND(ISNUMBER(R1684),R1684=TODAY())),"ATENÇÃO",IF(N(K1684)=0,"PENDENTE","EM ANDAMENTO"))))))</f>
        <v/>
      </c>
      <c r="C1684" s="3">
        <f>IF(D1684="","",IF(V1684=0,"🟢 OK",IF(D1684&lt;corte,"⚪ HISTÓRICO (sem baixa)",IF(AND(ISNUMBER(R1684),R1684&lt;TODAY()),"🔴 PRAZO VENCIDO",IF(AND(OR(N1684="PENDENTE",N1684="PARCIAL"),D1684&lt;TODAY()-1),"🔴 EMBARQUE ATRASADO",IF(AND(N1684="REALIZADO",M1684="PENDENTE"),"🟡 EMBARCADO SEM FATURAR",IF(AND(P1684&lt;&gt;"",S1684="",OR(Q1684="",R1684="")),"🟡 PENDÊNCIA SEM RESPONSÁVEL/PRAZO",IF(AND(ISNUMBER(R1684),R1684=TODAY()),"🟡 VENCE HOJE",IF(AND(P1684&lt;&gt;"",S1684=""),"🟡 PENDÊNCIA ABERTA",IF(AND(N(J1684)&gt;0,N(K1684)&lt;J1684),"🟡 FALTA EXECUTAR",IF(OR(M1684="PENDENTE",M1684="PARCIAL"),"🟡 FATURAMENTO PENDENTE","🟡 EMBARQUE PENDENTE")))))))))))</f>
        <v/>
      </c>
      <c r="D1684" s="4" t="n"/>
      <c r="E1684" s="5" t="n"/>
      <c r="F1684" s="5" t="n"/>
      <c r="G1684" s="5" t="n"/>
      <c r="H1684" s="5" t="n"/>
      <c r="I1684" s="5" t="n"/>
      <c r="J1684" s="6" t="n"/>
      <c r="K1684" s="6" t="n"/>
      <c r="L1684" s="7">
        <f>IF(OR(D1684="",N(J1684)=0),"",MIN(1,N(K1684)/J1684))</f>
        <v/>
      </c>
      <c r="M1684" s="5" t="n"/>
      <c r="N1684" s="5" t="n"/>
      <c r="O1684" s="5" t="n"/>
      <c r="P1684" s="5" t="n"/>
      <c r="Q1684" s="5" t="n"/>
      <c r="R1684" s="4" t="n"/>
      <c r="S1684" s="4" t="n"/>
      <c r="T1684" s="5" t="n"/>
      <c r="U1684" s="8">
        <f>IF(AND(V1684=1,D1684&lt;&gt;""),IF(D1684&gt;=corte,TODAY()-D1684,""),"")</f>
        <v/>
      </c>
      <c r="V1684" s="8">
        <f>IF(D1684="",0,IF(OR(AND(P1684&lt;&gt;"",S1684=""),AND(N(J1684)&gt;0,N(K1684)&lt;J1684),OR(M1684="PENDENTE",M1684="PARCIAL"),OR(N1684="PENDENTE",N1684="PARCIAL")),1,0))</f>
        <v/>
      </c>
      <c r="W1684" s="8">
        <f>IF(AND(V1684=1,D1684&lt;&gt;""),IF(D1684&gt;=corte,(B1684="CRÍTICO")*1E9+(100000-D1684)*10000+10000-ROW(),""),"")</f>
        <v/>
      </c>
      <c r="X1684" s="8">
        <f>IF(AND(V1684=1,D1684=pas_data,E1684=pas_turno),10000-ROW(),"")</f>
        <v/>
      </c>
    </row>
    <row r="1685">
      <c r="A1685" s="3">
        <f>IF(D1685="","","TT-"&amp;TEXT(ROW()-1,"00000"))</f>
        <v/>
      </c>
      <c r="B1685" s="3">
        <f>IF(D1685="","",IF(V1685=0,"CONCLUÍDO",IF(D1685&lt;corte,"HISTÓRICO",IF(OR(AND(ISNUMBER(R1685),R1685&lt;TODAY()),AND(OR(N1685="PENDENTE",N1685="PARCIAL"),D1685&lt;TODAY()-1)),"CRÍTICO",IF(OR(AND(P1685&lt;&gt;"",S1685=""),AND(N1685="REALIZADO",M1685="PENDENTE"),AND(ISNUMBER(R1685),R1685=TODAY())),"ATENÇÃO",IF(N(K1685)=0,"PENDENTE","EM ANDAMENTO"))))))</f>
        <v/>
      </c>
      <c r="C1685" s="3">
        <f>IF(D1685="","",IF(V1685=0,"🟢 OK",IF(D1685&lt;corte,"⚪ HISTÓRICO (sem baixa)",IF(AND(ISNUMBER(R1685),R1685&lt;TODAY()),"🔴 PRAZO VENCIDO",IF(AND(OR(N1685="PENDENTE",N1685="PARCIAL"),D1685&lt;TODAY()-1),"🔴 EMBARQUE ATRASADO",IF(AND(N1685="REALIZADO",M1685="PENDENTE"),"🟡 EMBARCADO SEM FATURAR",IF(AND(P1685&lt;&gt;"",S1685="",OR(Q1685="",R1685="")),"🟡 PENDÊNCIA SEM RESPONSÁVEL/PRAZO",IF(AND(ISNUMBER(R1685),R1685=TODAY()),"🟡 VENCE HOJE",IF(AND(P1685&lt;&gt;"",S1685=""),"🟡 PENDÊNCIA ABERTA",IF(AND(N(J1685)&gt;0,N(K1685)&lt;J1685),"🟡 FALTA EXECUTAR",IF(OR(M1685="PENDENTE",M1685="PARCIAL"),"🟡 FATURAMENTO PENDENTE","🟡 EMBARQUE PENDENTE")))))))))))</f>
        <v/>
      </c>
      <c r="D1685" s="4" t="n"/>
      <c r="E1685" s="5" t="n"/>
      <c r="F1685" s="5" t="n"/>
      <c r="G1685" s="5" t="n"/>
      <c r="H1685" s="5" t="n"/>
      <c r="I1685" s="5" t="n"/>
      <c r="J1685" s="6" t="n"/>
      <c r="K1685" s="6" t="n"/>
      <c r="L1685" s="7">
        <f>IF(OR(D1685="",N(J1685)=0),"",MIN(1,N(K1685)/J1685))</f>
        <v/>
      </c>
      <c r="M1685" s="5" t="n"/>
      <c r="N1685" s="5" t="n"/>
      <c r="O1685" s="5" t="n"/>
      <c r="P1685" s="5" t="n"/>
      <c r="Q1685" s="5" t="n"/>
      <c r="R1685" s="4" t="n"/>
      <c r="S1685" s="4" t="n"/>
      <c r="T1685" s="5" t="n"/>
      <c r="U1685" s="8">
        <f>IF(AND(V1685=1,D1685&lt;&gt;""),IF(D1685&gt;=corte,TODAY()-D1685,""),"")</f>
        <v/>
      </c>
      <c r="V1685" s="8">
        <f>IF(D1685="",0,IF(OR(AND(P1685&lt;&gt;"",S1685=""),AND(N(J1685)&gt;0,N(K1685)&lt;J1685),OR(M1685="PENDENTE",M1685="PARCIAL"),OR(N1685="PENDENTE",N1685="PARCIAL")),1,0))</f>
        <v/>
      </c>
      <c r="W1685" s="8">
        <f>IF(AND(V1685=1,D1685&lt;&gt;""),IF(D1685&gt;=corte,(B1685="CRÍTICO")*1E9+(100000-D1685)*10000+10000-ROW(),""),"")</f>
        <v/>
      </c>
      <c r="X1685" s="8">
        <f>IF(AND(V1685=1,D1685=pas_data,E1685=pas_turno),10000-ROW(),"")</f>
        <v/>
      </c>
    </row>
    <row r="1686">
      <c r="A1686" s="3">
        <f>IF(D1686="","","TT-"&amp;TEXT(ROW()-1,"00000"))</f>
        <v/>
      </c>
      <c r="B1686" s="3">
        <f>IF(D1686="","",IF(V1686=0,"CONCLUÍDO",IF(D1686&lt;corte,"HISTÓRICO",IF(OR(AND(ISNUMBER(R1686),R1686&lt;TODAY()),AND(OR(N1686="PENDENTE",N1686="PARCIAL"),D1686&lt;TODAY()-1)),"CRÍTICO",IF(OR(AND(P1686&lt;&gt;"",S1686=""),AND(N1686="REALIZADO",M1686="PENDENTE"),AND(ISNUMBER(R1686),R1686=TODAY())),"ATENÇÃO",IF(N(K1686)=0,"PENDENTE","EM ANDAMENTO"))))))</f>
        <v/>
      </c>
      <c r="C1686" s="3">
        <f>IF(D1686="","",IF(V1686=0,"🟢 OK",IF(D1686&lt;corte,"⚪ HISTÓRICO (sem baixa)",IF(AND(ISNUMBER(R1686),R1686&lt;TODAY()),"🔴 PRAZO VENCIDO",IF(AND(OR(N1686="PENDENTE",N1686="PARCIAL"),D1686&lt;TODAY()-1),"🔴 EMBARQUE ATRASADO",IF(AND(N1686="REALIZADO",M1686="PENDENTE"),"🟡 EMBARCADO SEM FATURAR",IF(AND(P1686&lt;&gt;"",S1686="",OR(Q1686="",R1686="")),"🟡 PENDÊNCIA SEM RESPONSÁVEL/PRAZO",IF(AND(ISNUMBER(R1686),R1686=TODAY()),"🟡 VENCE HOJE",IF(AND(P1686&lt;&gt;"",S1686=""),"🟡 PENDÊNCIA ABERTA",IF(AND(N(J1686)&gt;0,N(K1686)&lt;J1686),"🟡 FALTA EXECUTAR",IF(OR(M1686="PENDENTE",M1686="PARCIAL"),"🟡 FATURAMENTO PENDENTE","🟡 EMBARQUE PENDENTE")))))))))))</f>
        <v/>
      </c>
      <c r="D1686" s="4" t="n"/>
      <c r="E1686" s="5" t="n"/>
      <c r="F1686" s="5" t="n"/>
      <c r="G1686" s="5" t="n"/>
      <c r="H1686" s="5" t="n"/>
      <c r="I1686" s="5" t="n"/>
      <c r="J1686" s="6" t="n"/>
      <c r="K1686" s="6" t="n"/>
      <c r="L1686" s="7">
        <f>IF(OR(D1686="",N(J1686)=0),"",MIN(1,N(K1686)/J1686))</f>
        <v/>
      </c>
      <c r="M1686" s="5" t="n"/>
      <c r="N1686" s="5" t="n"/>
      <c r="O1686" s="5" t="n"/>
      <c r="P1686" s="5" t="n"/>
      <c r="Q1686" s="5" t="n"/>
      <c r="R1686" s="4" t="n"/>
      <c r="S1686" s="4" t="n"/>
      <c r="T1686" s="5" t="n"/>
      <c r="U1686" s="8">
        <f>IF(AND(V1686=1,D1686&lt;&gt;""),IF(D1686&gt;=corte,TODAY()-D1686,""),"")</f>
        <v/>
      </c>
      <c r="V1686" s="8">
        <f>IF(D1686="",0,IF(OR(AND(P1686&lt;&gt;"",S1686=""),AND(N(J1686)&gt;0,N(K1686)&lt;J1686),OR(M1686="PENDENTE",M1686="PARCIAL"),OR(N1686="PENDENTE",N1686="PARCIAL")),1,0))</f>
        <v/>
      </c>
      <c r="W1686" s="8">
        <f>IF(AND(V1686=1,D1686&lt;&gt;""),IF(D1686&gt;=corte,(B1686="CRÍTICO")*1E9+(100000-D1686)*10000+10000-ROW(),""),"")</f>
        <v/>
      </c>
      <c r="X1686" s="8">
        <f>IF(AND(V1686=1,D1686=pas_data,E1686=pas_turno),10000-ROW(),"")</f>
        <v/>
      </c>
    </row>
    <row r="1687">
      <c r="A1687" s="3">
        <f>IF(D1687="","","TT-"&amp;TEXT(ROW()-1,"00000"))</f>
        <v/>
      </c>
      <c r="B1687" s="3">
        <f>IF(D1687="","",IF(V1687=0,"CONCLUÍDO",IF(D1687&lt;corte,"HISTÓRICO",IF(OR(AND(ISNUMBER(R1687),R1687&lt;TODAY()),AND(OR(N1687="PENDENTE",N1687="PARCIAL"),D1687&lt;TODAY()-1)),"CRÍTICO",IF(OR(AND(P1687&lt;&gt;"",S1687=""),AND(N1687="REALIZADO",M1687="PENDENTE"),AND(ISNUMBER(R1687),R1687=TODAY())),"ATENÇÃO",IF(N(K1687)=0,"PENDENTE","EM ANDAMENTO"))))))</f>
        <v/>
      </c>
      <c r="C1687" s="3">
        <f>IF(D1687="","",IF(V1687=0,"🟢 OK",IF(D1687&lt;corte,"⚪ HISTÓRICO (sem baixa)",IF(AND(ISNUMBER(R1687),R1687&lt;TODAY()),"🔴 PRAZO VENCIDO",IF(AND(OR(N1687="PENDENTE",N1687="PARCIAL"),D1687&lt;TODAY()-1),"🔴 EMBARQUE ATRASADO",IF(AND(N1687="REALIZADO",M1687="PENDENTE"),"🟡 EMBARCADO SEM FATURAR",IF(AND(P1687&lt;&gt;"",S1687="",OR(Q1687="",R1687="")),"🟡 PENDÊNCIA SEM RESPONSÁVEL/PRAZO",IF(AND(ISNUMBER(R1687),R1687=TODAY()),"🟡 VENCE HOJE",IF(AND(P1687&lt;&gt;"",S1687=""),"🟡 PENDÊNCIA ABERTA",IF(AND(N(J1687)&gt;0,N(K1687)&lt;J1687),"🟡 FALTA EXECUTAR",IF(OR(M1687="PENDENTE",M1687="PARCIAL"),"🟡 FATURAMENTO PENDENTE","🟡 EMBARQUE PENDENTE")))))))))))</f>
        <v/>
      </c>
      <c r="D1687" s="4" t="n"/>
      <c r="E1687" s="5" t="n"/>
      <c r="F1687" s="5" t="n"/>
      <c r="G1687" s="5" t="n"/>
      <c r="H1687" s="5" t="n"/>
      <c r="I1687" s="5" t="n"/>
      <c r="J1687" s="6" t="n"/>
      <c r="K1687" s="6" t="n"/>
      <c r="L1687" s="7">
        <f>IF(OR(D1687="",N(J1687)=0),"",MIN(1,N(K1687)/J1687))</f>
        <v/>
      </c>
      <c r="M1687" s="5" t="n"/>
      <c r="N1687" s="5" t="n"/>
      <c r="O1687" s="5" t="n"/>
      <c r="P1687" s="5" t="n"/>
      <c r="Q1687" s="5" t="n"/>
      <c r="R1687" s="4" t="n"/>
      <c r="S1687" s="4" t="n"/>
      <c r="T1687" s="5" t="n"/>
      <c r="U1687" s="8">
        <f>IF(AND(V1687=1,D1687&lt;&gt;""),IF(D1687&gt;=corte,TODAY()-D1687,""),"")</f>
        <v/>
      </c>
      <c r="V1687" s="8">
        <f>IF(D1687="",0,IF(OR(AND(P1687&lt;&gt;"",S1687=""),AND(N(J1687)&gt;0,N(K1687)&lt;J1687),OR(M1687="PENDENTE",M1687="PARCIAL"),OR(N1687="PENDENTE",N1687="PARCIAL")),1,0))</f>
        <v/>
      </c>
      <c r="W1687" s="8">
        <f>IF(AND(V1687=1,D1687&lt;&gt;""),IF(D1687&gt;=corte,(B1687="CRÍTICO")*1E9+(100000-D1687)*10000+10000-ROW(),""),"")</f>
        <v/>
      </c>
      <c r="X1687" s="8">
        <f>IF(AND(V1687=1,D1687=pas_data,E1687=pas_turno),10000-ROW(),"")</f>
        <v/>
      </c>
    </row>
    <row r="1688">
      <c r="A1688" s="3">
        <f>IF(D1688="","","TT-"&amp;TEXT(ROW()-1,"00000"))</f>
        <v/>
      </c>
      <c r="B1688" s="3">
        <f>IF(D1688="","",IF(V1688=0,"CONCLUÍDO",IF(D1688&lt;corte,"HISTÓRICO",IF(OR(AND(ISNUMBER(R1688),R1688&lt;TODAY()),AND(OR(N1688="PENDENTE",N1688="PARCIAL"),D1688&lt;TODAY()-1)),"CRÍTICO",IF(OR(AND(P1688&lt;&gt;"",S1688=""),AND(N1688="REALIZADO",M1688="PENDENTE"),AND(ISNUMBER(R1688),R1688=TODAY())),"ATENÇÃO",IF(N(K1688)=0,"PENDENTE","EM ANDAMENTO"))))))</f>
        <v/>
      </c>
      <c r="C1688" s="3">
        <f>IF(D1688="","",IF(V1688=0,"🟢 OK",IF(D1688&lt;corte,"⚪ HISTÓRICO (sem baixa)",IF(AND(ISNUMBER(R1688),R1688&lt;TODAY()),"🔴 PRAZO VENCIDO",IF(AND(OR(N1688="PENDENTE",N1688="PARCIAL"),D1688&lt;TODAY()-1),"🔴 EMBARQUE ATRASADO",IF(AND(N1688="REALIZADO",M1688="PENDENTE"),"🟡 EMBARCADO SEM FATURAR",IF(AND(P1688&lt;&gt;"",S1688="",OR(Q1688="",R1688="")),"🟡 PENDÊNCIA SEM RESPONSÁVEL/PRAZO",IF(AND(ISNUMBER(R1688),R1688=TODAY()),"🟡 VENCE HOJE",IF(AND(P1688&lt;&gt;"",S1688=""),"🟡 PENDÊNCIA ABERTA",IF(AND(N(J1688)&gt;0,N(K1688)&lt;J1688),"🟡 FALTA EXECUTAR",IF(OR(M1688="PENDENTE",M1688="PARCIAL"),"🟡 FATURAMENTO PENDENTE","🟡 EMBARQUE PENDENTE")))))))))))</f>
        <v/>
      </c>
      <c r="D1688" s="4" t="n"/>
      <c r="E1688" s="5" t="n"/>
      <c r="F1688" s="5" t="n"/>
      <c r="G1688" s="5" t="n"/>
      <c r="H1688" s="5" t="n"/>
      <c r="I1688" s="5" t="n"/>
      <c r="J1688" s="6" t="n"/>
      <c r="K1688" s="6" t="n"/>
      <c r="L1688" s="7">
        <f>IF(OR(D1688="",N(J1688)=0),"",MIN(1,N(K1688)/J1688))</f>
        <v/>
      </c>
      <c r="M1688" s="5" t="n"/>
      <c r="N1688" s="5" t="n"/>
      <c r="O1688" s="5" t="n"/>
      <c r="P1688" s="5" t="n"/>
      <c r="Q1688" s="5" t="n"/>
      <c r="R1688" s="4" t="n"/>
      <c r="S1688" s="4" t="n"/>
      <c r="T1688" s="5" t="n"/>
      <c r="U1688" s="8">
        <f>IF(AND(V1688=1,D1688&lt;&gt;""),IF(D1688&gt;=corte,TODAY()-D1688,""),"")</f>
        <v/>
      </c>
      <c r="V1688" s="8">
        <f>IF(D1688="",0,IF(OR(AND(P1688&lt;&gt;"",S1688=""),AND(N(J1688)&gt;0,N(K1688)&lt;J1688),OR(M1688="PENDENTE",M1688="PARCIAL"),OR(N1688="PENDENTE",N1688="PARCIAL")),1,0))</f>
        <v/>
      </c>
      <c r="W1688" s="8">
        <f>IF(AND(V1688=1,D1688&lt;&gt;""),IF(D1688&gt;=corte,(B1688="CRÍTICO")*1E9+(100000-D1688)*10000+10000-ROW(),""),"")</f>
        <v/>
      </c>
      <c r="X1688" s="8">
        <f>IF(AND(V1688=1,D1688=pas_data,E1688=pas_turno),10000-ROW(),"")</f>
        <v/>
      </c>
    </row>
    <row r="1689">
      <c r="A1689" s="3">
        <f>IF(D1689="","","TT-"&amp;TEXT(ROW()-1,"00000"))</f>
        <v/>
      </c>
      <c r="B1689" s="3">
        <f>IF(D1689="","",IF(V1689=0,"CONCLUÍDO",IF(D1689&lt;corte,"HISTÓRICO",IF(OR(AND(ISNUMBER(R1689),R1689&lt;TODAY()),AND(OR(N1689="PENDENTE",N1689="PARCIAL"),D1689&lt;TODAY()-1)),"CRÍTICO",IF(OR(AND(P1689&lt;&gt;"",S1689=""),AND(N1689="REALIZADO",M1689="PENDENTE"),AND(ISNUMBER(R1689),R1689=TODAY())),"ATENÇÃO",IF(N(K1689)=0,"PENDENTE","EM ANDAMENTO"))))))</f>
        <v/>
      </c>
      <c r="C1689" s="3">
        <f>IF(D1689="","",IF(V1689=0,"🟢 OK",IF(D1689&lt;corte,"⚪ HISTÓRICO (sem baixa)",IF(AND(ISNUMBER(R1689),R1689&lt;TODAY()),"🔴 PRAZO VENCIDO",IF(AND(OR(N1689="PENDENTE",N1689="PARCIAL"),D1689&lt;TODAY()-1),"🔴 EMBARQUE ATRASADO",IF(AND(N1689="REALIZADO",M1689="PENDENTE"),"🟡 EMBARCADO SEM FATURAR",IF(AND(P1689&lt;&gt;"",S1689="",OR(Q1689="",R1689="")),"🟡 PENDÊNCIA SEM RESPONSÁVEL/PRAZO",IF(AND(ISNUMBER(R1689),R1689=TODAY()),"🟡 VENCE HOJE",IF(AND(P1689&lt;&gt;"",S1689=""),"🟡 PENDÊNCIA ABERTA",IF(AND(N(J1689)&gt;0,N(K1689)&lt;J1689),"🟡 FALTA EXECUTAR",IF(OR(M1689="PENDENTE",M1689="PARCIAL"),"🟡 FATURAMENTO PENDENTE","🟡 EMBARQUE PENDENTE")))))))))))</f>
        <v/>
      </c>
      <c r="D1689" s="4" t="n"/>
      <c r="E1689" s="5" t="n"/>
      <c r="F1689" s="5" t="n"/>
      <c r="G1689" s="5" t="n"/>
      <c r="H1689" s="5" t="n"/>
      <c r="I1689" s="5" t="n"/>
      <c r="J1689" s="6" t="n"/>
      <c r="K1689" s="6" t="n"/>
      <c r="L1689" s="7">
        <f>IF(OR(D1689="",N(J1689)=0),"",MIN(1,N(K1689)/J1689))</f>
        <v/>
      </c>
      <c r="M1689" s="5" t="n"/>
      <c r="N1689" s="5" t="n"/>
      <c r="O1689" s="5" t="n"/>
      <c r="P1689" s="5" t="n"/>
      <c r="Q1689" s="5" t="n"/>
      <c r="R1689" s="4" t="n"/>
      <c r="S1689" s="4" t="n"/>
      <c r="T1689" s="5" t="n"/>
      <c r="U1689" s="8">
        <f>IF(AND(V1689=1,D1689&lt;&gt;""),IF(D1689&gt;=corte,TODAY()-D1689,""),"")</f>
        <v/>
      </c>
      <c r="V1689" s="8">
        <f>IF(D1689="",0,IF(OR(AND(P1689&lt;&gt;"",S1689=""),AND(N(J1689)&gt;0,N(K1689)&lt;J1689),OR(M1689="PENDENTE",M1689="PARCIAL"),OR(N1689="PENDENTE",N1689="PARCIAL")),1,0))</f>
        <v/>
      </c>
      <c r="W1689" s="8">
        <f>IF(AND(V1689=1,D1689&lt;&gt;""),IF(D1689&gt;=corte,(B1689="CRÍTICO")*1E9+(100000-D1689)*10000+10000-ROW(),""),"")</f>
        <v/>
      </c>
      <c r="X1689" s="8">
        <f>IF(AND(V1689=1,D1689=pas_data,E1689=pas_turno),10000-ROW(),"")</f>
        <v/>
      </c>
    </row>
    <row r="1690">
      <c r="A1690" s="3">
        <f>IF(D1690="","","TT-"&amp;TEXT(ROW()-1,"00000"))</f>
        <v/>
      </c>
      <c r="B1690" s="3">
        <f>IF(D1690="","",IF(V1690=0,"CONCLUÍDO",IF(D1690&lt;corte,"HISTÓRICO",IF(OR(AND(ISNUMBER(R1690),R1690&lt;TODAY()),AND(OR(N1690="PENDENTE",N1690="PARCIAL"),D1690&lt;TODAY()-1)),"CRÍTICO",IF(OR(AND(P1690&lt;&gt;"",S1690=""),AND(N1690="REALIZADO",M1690="PENDENTE"),AND(ISNUMBER(R1690),R1690=TODAY())),"ATENÇÃO",IF(N(K1690)=0,"PENDENTE","EM ANDAMENTO"))))))</f>
        <v/>
      </c>
      <c r="C1690" s="3">
        <f>IF(D1690="","",IF(V1690=0,"🟢 OK",IF(D1690&lt;corte,"⚪ HISTÓRICO (sem baixa)",IF(AND(ISNUMBER(R1690),R1690&lt;TODAY()),"🔴 PRAZO VENCIDO",IF(AND(OR(N1690="PENDENTE",N1690="PARCIAL"),D1690&lt;TODAY()-1),"🔴 EMBARQUE ATRASADO",IF(AND(N1690="REALIZADO",M1690="PENDENTE"),"🟡 EMBARCADO SEM FATURAR",IF(AND(P1690&lt;&gt;"",S1690="",OR(Q1690="",R1690="")),"🟡 PENDÊNCIA SEM RESPONSÁVEL/PRAZO",IF(AND(ISNUMBER(R1690),R1690=TODAY()),"🟡 VENCE HOJE",IF(AND(P1690&lt;&gt;"",S1690=""),"🟡 PENDÊNCIA ABERTA",IF(AND(N(J1690)&gt;0,N(K1690)&lt;J1690),"🟡 FALTA EXECUTAR",IF(OR(M1690="PENDENTE",M1690="PARCIAL"),"🟡 FATURAMENTO PENDENTE","🟡 EMBARQUE PENDENTE")))))))))))</f>
        <v/>
      </c>
      <c r="D1690" s="4" t="n"/>
      <c r="E1690" s="5" t="n"/>
      <c r="F1690" s="5" t="n"/>
      <c r="G1690" s="5" t="n"/>
      <c r="H1690" s="5" t="n"/>
      <c r="I1690" s="5" t="n"/>
      <c r="J1690" s="6" t="n"/>
      <c r="K1690" s="6" t="n"/>
      <c r="L1690" s="7">
        <f>IF(OR(D1690="",N(J1690)=0),"",MIN(1,N(K1690)/J1690))</f>
        <v/>
      </c>
      <c r="M1690" s="5" t="n"/>
      <c r="N1690" s="5" t="n"/>
      <c r="O1690" s="5" t="n"/>
      <c r="P1690" s="5" t="n"/>
      <c r="Q1690" s="5" t="n"/>
      <c r="R1690" s="4" t="n"/>
      <c r="S1690" s="4" t="n"/>
      <c r="T1690" s="5" t="n"/>
      <c r="U1690" s="8">
        <f>IF(AND(V1690=1,D1690&lt;&gt;""),IF(D1690&gt;=corte,TODAY()-D1690,""),"")</f>
        <v/>
      </c>
      <c r="V1690" s="8">
        <f>IF(D1690="",0,IF(OR(AND(P1690&lt;&gt;"",S1690=""),AND(N(J1690)&gt;0,N(K1690)&lt;J1690),OR(M1690="PENDENTE",M1690="PARCIAL"),OR(N1690="PENDENTE",N1690="PARCIAL")),1,0))</f>
        <v/>
      </c>
      <c r="W1690" s="8">
        <f>IF(AND(V1690=1,D1690&lt;&gt;""),IF(D1690&gt;=corte,(B1690="CRÍTICO")*1E9+(100000-D1690)*10000+10000-ROW(),""),"")</f>
        <v/>
      </c>
      <c r="X1690" s="8">
        <f>IF(AND(V1690=1,D1690=pas_data,E1690=pas_turno),10000-ROW(),"")</f>
        <v/>
      </c>
    </row>
    <row r="1691">
      <c r="A1691" s="3">
        <f>IF(D1691="","","TT-"&amp;TEXT(ROW()-1,"00000"))</f>
        <v/>
      </c>
      <c r="B1691" s="3">
        <f>IF(D1691="","",IF(V1691=0,"CONCLUÍDO",IF(D1691&lt;corte,"HISTÓRICO",IF(OR(AND(ISNUMBER(R1691),R1691&lt;TODAY()),AND(OR(N1691="PENDENTE",N1691="PARCIAL"),D1691&lt;TODAY()-1)),"CRÍTICO",IF(OR(AND(P1691&lt;&gt;"",S1691=""),AND(N1691="REALIZADO",M1691="PENDENTE"),AND(ISNUMBER(R1691),R1691=TODAY())),"ATENÇÃO",IF(N(K1691)=0,"PENDENTE","EM ANDAMENTO"))))))</f>
        <v/>
      </c>
      <c r="C1691" s="3">
        <f>IF(D1691="","",IF(V1691=0,"🟢 OK",IF(D1691&lt;corte,"⚪ HISTÓRICO (sem baixa)",IF(AND(ISNUMBER(R1691),R1691&lt;TODAY()),"🔴 PRAZO VENCIDO",IF(AND(OR(N1691="PENDENTE",N1691="PARCIAL"),D1691&lt;TODAY()-1),"🔴 EMBARQUE ATRASADO",IF(AND(N1691="REALIZADO",M1691="PENDENTE"),"🟡 EMBARCADO SEM FATURAR",IF(AND(P1691&lt;&gt;"",S1691="",OR(Q1691="",R1691="")),"🟡 PENDÊNCIA SEM RESPONSÁVEL/PRAZO",IF(AND(ISNUMBER(R1691),R1691=TODAY()),"🟡 VENCE HOJE",IF(AND(P1691&lt;&gt;"",S1691=""),"🟡 PENDÊNCIA ABERTA",IF(AND(N(J1691)&gt;0,N(K1691)&lt;J1691),"🟡 FALTA EXECUTAR",IF(OR(M1691="PENDENTE",M1691="PARCIAL"),"🟡 FATURAMENTO PENDENTE","🟡 EMBARQUE PENDENTE")))))))))))</f>
        <v/>
      </c>
      <c r="D1691" s="4" t="n"/>
      <c r="E1691" s="5" t="n"/>
      <c r="F1691" s="5" t="n"/>
      <c r="G1691" s="5" t="n"/>
      <c r="H1691" s="5" t="n"/>
      <c r="I1691" s="5" t="n"/>
      <c r="J1691" s="6" t="n"/>
      <c r="K1691" s="6" t="n"/>
      <c r="L1691" s="7">
        <f>IF(OR(D1691="",N(J1691)=0),"",MIN(1,N(K1691)/J1691))</f>
        <v/>
      </c>
      <c r="M1691" s="5" t="n"/>
      <c r="N1691" s="5" t="n"/>
      <c r="O1691" s="5" t="n"/>
      <c r="P1691" s="5" t="n"/>
      <c r="Q1691" s="5" t="n"/>
      <c r="R1691" s="4" t="n"/>
      <c r="S1691" s="4" t="n"/>
      <c r="T1691" s="5" t="n"/>
      <c r="U1691" s="8">
        <f>IF(AND(V1691=1,D1691&lt;&gt;""),IF(D1691&gt;=corte,TODAY()-D1691,""),"")</f>
        <v/>
      </c>
      <c r="V1691" s="8">
        <f>IF(D1691="",0,IF(OR(AND(P1691&lt;&gt;"",S1691=""),AND(N(J1691)&gt;0,N(K1691)&lt;J1691),OR(M1691="PENDENTE",M1691="PARCIAL"),OR(N1691="PENDENTE",N1691="PARCIAL")),1,0))</f>
        <v/>
      </c>
      <c r="W1691" s="8">
        <f>IF(AND(V1691=1,D1691&lt;&gt;""),IF(D1691&gt;=corte,(B1691="CRÍTICO")*1E9+(100000-D1691)*10000+10000-ROW(),""),"")</f>
        <v/>
      </c>
      <c r="X1691" s="8">
        <f>IF(AND(V1691=1,D1691=pas_data,E1691=pas_turno),10000-ROW(),"")</f>
        <v/>
      </c>
    </row>
    <row r="1692">
      <c r="A1692" s="3">
        <f>IF(D1692="","","TT-"&amp;TEXT(ROW()-1,"00000"))</f>
        <v/>
      </c>
      <c r="B1692" s="3">
        <f>IF(D1692="","",IF(V1692=0,"CONCLUÍDO",IF(D1692&lt;corte,"HISTÓRICO",IF(OR(AND(ISNUMBER(R1692),R1692&lt;TODAY()),AND(OR(N1692="PENDENTE",N1692="PARCIAL"),D1692&lt;TODAY()-1)),"CRÍTICO",IF(OR(AND(P1692&lt;&gt;"",S1692=""),AND(N1692="REALIZADO",M1692="PENDENTE"),AND(ISNUMBER(R1692),R1692=TODAY())),"ATENÇÃO",IF(N(K1692)=0,"PENDENTE","EM ANDAMENTO"))))))</f>
        <v/>
      </c>
      <c r="C1692" s="3">
        <f>IF(D1692="","",IF(V1692=0,"🟢 OK",IF(D1692&lt;corte,"⚪ HISTÓRICO (sem baixa)",IF(AND(ISNUMBER(R1692),R1692&lt;TODAY()),"🔴 PRAZO VENCIDO",IF(AND(OR(N1692="PENDENTE",N1692="PARCIAL"),D1692&lt;TODAY()-1),"🔴 EMBARQUE ATRASADO",IF(AND(N1692="REALIZADO",M1692="PENDENTE"),"🟡 EMBARCADO SEM FATURAR",IF(AND(P1692&lt;&gt;"",S1692="",OR(Q1692="",R1692="")),"🟡 PENDÊNCIA SEM RESPONSÁVEL/PRAZO",IF(AND(ISNUMBER(R1692),R1692=TODAY()),"🟡 VENCE HOJE",IF(AND(P1692&lt;&gt;"",S1692=""),"🟡 PENDÊNCIA ABERTA",IF(AND(N(J1692)&gt;0,N(K1692)&lt;J1692),"🟡 FALTA EXECUTAR",IF(OR(M1692="PENDENTE",M1692="PARCIAL"),"🟡 FATURAMENTO PENDENTE","🟡 EMBARQUE PENDENTE")))))))))))</f>
        <v/>
      </c>
      <c r="D1692" s="4" t="n"/>
      <c r="E1692" s="5" t="n"/>
      <c r="F1692" s="5" t="n"/>
      <c r="G1692" s="5" t="n"/>
      <c r="H1692" s="5" t="n"/>
      <c r="I1692" s="5" t="n"/>
      <c r="J1692" s="6" t="n"/>
      <c r="K1692" s="6" t="n"/>
      <c r="L1692" s="7">
        <f>IF(OR(D1692="",N(J1692)=0),"",MIN(1,N(K1692)/J1692))</f>
        <v/>
      </c>
      <c r="M1692" s="5" t="n"/>
      <c r="N1692" s="5" t="n"/>
      <c r="O1692" s="5" t="n"/>
      <c r="P1692" s="5" t="n"/>
      <c r="Q1692" s="5" t="n"/>
      <c r="R1692" s="4" t="n"/>
      <c r="S1692" s="4" t="n"/>
      <c r="T1692" s="5" t="n"/>
      <c r="U1692" s="8">
        <f>IF(AND(V1692=1,D1692&lt;&gt;""),IF(D1692&gt;=corte,TODAY()-D1692,""),"")</f>
        <v/>
      </c>
      <c r="V1692" s="8">
        <f>IF(D1692="",0,IF(OR(AND(P1692&lt;&gt;"",S1692=""),AND(N(J1692)&gt;0,N(K1692)&lt;J1692),OR(M1692="PENDENTE",M1692="PARCIAL"),OR(N1692="PENDENTE",N1692="PARCIAL")),1,0))</f>
        <v/>
      </c>
      <c r="W1692" s="8">
        <f>IF(AND(V1692=1,D1692&lt;&gt;""),IF(D1692&gt;=corte,(B1692="CRÍTICO")*1E9+(100000-D1692)*10000+10000-ROW(),""),"")</f>
        <v/>
      </c>
      <c r="X1692" s="8">
        <f>IF(AND(V1692=1,D1692=pas_data,E1692=pas_turno),10000-ROW(),"")</f>
        <v/>
      </c>
    </row>
    <row r="1693">
      <c r="A1693" s="3">
        <f>IF(D1693="","","TT-"&amp;TEXT(ROW()-1,"00000"))</f>
        <v/>
      </c>
      <c r="B1693" s="3">
        <f>IF(D1693="","",IF(V1693=0,"CONCLUÍDO",IF(D1693&lt;corte,"HISTÓRICO",IF(OR(AND(ISNUMBER(R1693),R1693&lt;TODAY()),AND(OR(N1693="PENDENTE",N1693="PARCIAL"),D1693&lt;TODAY()-1)),"CRÍTICO",IF(OR(AND(P1693&lt;&gt;"",S1693=""),AND(N1693="REALIZADO",M1693="PENDENTE"),AND(ISNUMBER(R1693),R1693=TODAY())),"ATENÇÃO",IF(N(K1693)=0,"PENDENTE","EM ANDAMENTO"))))))</f>
        <v/>
      </c>
      <c r="C1693" s="3">
        <f>IF(D1693="","",IF(V1693=0,"🟢 OK",IF(D1693&lt;corte,"⚪ HISTÓRICO (sem baixa)",IF(AND(ISNUMBER(R1693),R1693&lt;TODAY()),"🔴 PRAZO VENCIDO",IF(AND(OR(N1693="PENDENTE",N1693="PARCIAL"),D1693&lt;TODAY()-1),"🔴 EMBARQUE ATRASADO",IF(AND(N1693="REALIZADO",M1693="PENDENTE"),"🟡 EMBARCADO SEM FATURAR",IF(AND(P1693&lt;&gt;"",S1693="",OR(Q1693="",R1693="")),"🟡 PENDÊNCIA SEM RESPONSÁVEL/PRAZO",IF(AND(ISNUMBER(R1693),R1693=TODAY()),"🟡 VENCE HOJE",IF(AND(P1693&lt;&gt;"",S1693=""),"🟡 PENDÊNCIA ABERTA",IF(AND(N(J1693)&gt;0,N(K1693)&lt;J1693),"🟡 FALTA EXECUTAR",IF(OR(M1693="PENDENTE",M1693="PARCIAL"),"🟡 FATURAMENTO PENDENTE","🟡 EMBARQUE PENDENTE")))))))))))</f>
        <v/>
      </c>
      <c r="D1693" s="4" t="n"/>
      <c r="E1693" s="5" t="n"/>
      <c r="F1693" s="5" t="n"/>
      <c r="G1693" s="5" t="n"/>
      <c r="H1693" s="5" t="n"/>
      <c r="I1693" s="5" t="n"/>
      <c r="J1693" s="6" t="n"/>
      <c r="K1693" s="6" t="n"/>
      <c r="L1693" s="7">
        <f>IF(OR(D1693="",N(J1693)=0),"",MIN(1,N(K1693)/J1693))</f>
        <v/>
      </c>
      <c r="M1693" s="5" t="n"/>
      <c r="N1693" s="5" t="n"/>
      <c r="O1693" s="5" t="n"/>
      <c r="P1693" s="5" t="n"/>
      <c r="Q1693" s="5" t="n"/>
      <c r="R1693" s="4" t="n"/>
      <c r="S1693" s="4" t="n"/>
      <c r="T1693" s="5" t="n"/>
      <c r="U1693" s="8">
        <f>IF(AND(V1693=1,D1693&lt;&gt;""),IF(D1693&gt;=corte,TODAY()-D1693,""),"")</f>
        <v/>
      </c>
      <c r="V1693" s="8">
        <f>IF(D1693="",0,IF(OR(AND(P1693&lt;&gt;"",S1693=""),AND(N(J1693)&gt;0,N(K1693)&lt;J1693),OR(M1693="PENDENTE",M1693="PARCIAL"),OR(N1693="PENDENTE",N1693="PARCIAL")),1,0))</f>
        <v/>
      </c>
      <c r="W1693" s="8">
        <f>IF(AND(V1693=1,D1693&lt;&gt;""),IF(D1693&gt;=corte,(B1693="CRÍTICO")*1E9+(100000-D1693)*10000+10000-ROW(),""),"")</f>
        <v/>
      </c>
      <c r="X1693" s="8">
        <f>IF(AND(V1693=1,D1693=pas_data,E1693=pas_turno),10000-ROW(),"")</f>
        <v/>
      </c>
    </row>
    <row r="1694">
      <c r="A1694" s="3">
        <f>IF(D1694="","","TT-"&amp;TEXT(ROW()-1,"00000"))</f>
        <v/>
      </c>
      <c r="B1694" s="3">
        <f>IF(D1694="","",IF(V1694=0,"CONCLUÍDO",IF(D1694&lt;corte,"HISTÓRICO",IF(OR(AND(ISNUMBER(R1694),R1694&lt;TODAY()),AND(OR(N1694="PENDENTE",N1694="PARCIAL"),D1694&lt;TODAY()-1)),"CRÍTICO",IF(OR(AND(P1694&lt;&gt;"",S1694=""),AND(N1694="REALIZADO",M1694="PENDENTE"),AND(ISNUMBER(R1694),R1694=TODAY())),"ATENÇÃO",IF(N(K1694)=0,"PENDENTE","EM ANDAMENTO"))))))</f>
        <v/>
      </c>
      <c r="C1694" s="3">
        <f>IF(D1694="","",IF(V1694=0,"🟢 OK",IF(D1694&lt;corte,"⚪ HISTÓRICO (sem baixa)",IF(AND(ISNUMBER(R1694),R1694&lt;TODAY()),"🔴 PRAZO VENCIDO",IF(AND(OR(N1694="PENDENTE",N1694="PARCIAL"),D1694&lt;TODAY()-1),"🔴 EMBARQUE ATRASADO",IF(AND(N1694="REALIZADO",M1694="PENDENTE"),"🟡 EMBARCADO SEM FATURAR",IF(AND(P1694&lt;&gt;"",S1694="",OR(Q1694="",R1694="")),"🟡 PENDÊNCIA SEM RESPONSÁVEL/PRAZO",IF(AND(ISNUMBER(R1694),R1694=TODAY()),"🟡 VENCE HOJE",IF(AND(P1694&lt;&gt;"",S1694=""),"🟡 PENDÊNCIA ABERTA",IF(AND(N(J1694)&gt;0,N(K1694)&lt;J1694),"🟡 FALTA EXECUTAR",IF(OR(M1694="PENDENTE",M1694="PARCIAL"),"🟡 FATURAMENTO PENDENTE","🟡 EMBARQUE PENDENTE")))))))))))</f>
        <v/>
      </c>
      <c r="D1694" s="4" t="n"/>
      <c r="E1694" s="5" t="n"/>
      <c r="F1694" s="5" t="n"/>
      <c r="G1694" s="5" t="n"/>
      <c r="H1694" s="5" t="n"/>
      <c r="I1694" s="5" t="n"/>
      <c r="J1694" s="6" t="n"/>
      <c r="K1694" s="6" t="n"/>
      <c r="L1694" s="7">
        <f>IF(OR(D1694="",N(J1694)=0),"",MIN(1,N(K1694)/J1694))</f>
        <v/>
      </c>
      <c r="M1694" s="5" t="n"/>
      <c r="N1694" s="5" t="n"/>
      <c r="O1694" s="5" t="n"/>
      <c r="P1694" s="5" t="n"/>
      <c r="Q1694" s="5" t="n"/>
      <c r="R1694" s="4" t="n"/>
      <c r="S1694" s="4" t="n"/>
      <c r="T1694" s="5" t="n"/>
      <c r="U1694" s="8">
        <f>IF(AND(V1694=1,D1694&lt;&gt;""),IF(D1694&gt;=corte,TODAY()-D1694,""),"")</f>
        <v/>
      </c>
      <c r="V1694" s="8">
        <f>IF(D1694="",0,IF(OR(AND(P1694&lt;&gt;"",S1694=""),AND(N(J1694)&gt;0,N(K1694)&lt;J1694),OR(M1694="PENDENTE",M1694="PARCIAL"),OR(N1694="PENDENTE",N1694="PARCIAL")),1,0))</f>
        <v/>
      </c>
      <c r="W1694" s="8">
        <f>IF(AND(V1694=1,D1694&lt;&gt;""),IF(D1694&gt;=corte,(B1694="CRÍTICO")*1E9+(100000-D1694)*10000+10000-ROW(),""),"")</f>
        <v/>
      </c>
      <c r="X1694" s="8">
        <f>IF(AND(V1694=1,D1694=pas_data,E1694=pas_turno),10000-ROW(),"")</f>
        <v/>
      </c>
    </row>
    <row r="1695">
      <c r="A1695" s="3">
        <f>IF(D1695="","","TT-"&amp;TEXT(ROW()-1,"00000"))</f>
        <v/>
      </c>
      <c r="B1695" s="3">
        <f>IF(D1695="","",IF(V1695=0,"CONCLUÍDO",IF(D1695&lt;corte,"HISTÓRICO",IF(OR(AND(ISNUMBER(R1695),R1695&lt;TODAY()),AND(OR(N1695="PENDENTE",N1695="PARCIAL"),D1695&lt;TODAY()-1)),"CRÍTICO",IF(OR(AND(P1695&lt;&gt;"",S1695=""),AND(N1695="REALIZADO",M1695="PENDENTE"),AND(ISNUMBER(R1695),R1695=TODAY())),"ATENÇÃO",IF(N(K1695)=0,"PENDENTE","EM ANDAMENTO"))))))</f>
        <v/>
      </c>
      <c r="C1695" s="3">
        <f>IF(D1695="","",IF(V1695=0,"🟢 OK",IF(D1695&lt;corte,"⚪ HISTÓRICO (sem baixa)",IF(AND(ISNUMBER(R1695),R1695&lt;TODAY()),"🔴 PRAZO VENCIDO",IF(AND(OR(N1695="PENDENTE",N1695="PARCIAL"),D1695&lt;TODAY()-1),"🔴 EMBARQUE ATRASADO",IF(AND(N1695="REALIZADO",M1695="PENDENTE"),"🟡 EMBARCADO SEM FATURAR",IF(AND(P1695&lt;&gt;"",S1695="",OR(Q1695="",R1695="")),"🟡 PENDÊNCIA SEM RESPONSÁVEL/PRAZO",IF(AND(ISNUMBER(R1695),R1695=TODAY()),"🟡 VENCE HOJE",IF(AND(P1695&lt;&gt;"",S1695=""),"🟡 PENDÊNCIA ABERTA",IF(AND(N(J1695)&gt;0,N(K1695)&lt;J1695),"🟡 FALTA EXECUTAR",IF(OR(M1695="PENDENTE",M1695="PARCIAL"),"🟡 FATURAMENTO PENDENTE","🟡 EMBARQUE PENDENTE")))))))))))</f>
        <v/>
      </c>
      <c r="D1695" s="4" t="n"/>
      <c r="E1695" s="5" t="n"/>
      <c r="F1695" s="5" t="n"/>
      <c r="G1695" s="5" t="n"/>
      <c r="H1695" s="5" t="n"/>
      <c r="I1695" s="5" t="n"/>
      <c r="J1695" s="6" t="n"/>
      <c r="K1695" s="6" t="n"/>
      <c r="L1695" s="7">
        <f>IF(OR(D1695="",N(J1695)=0),"",MIN(1,N(K1695)/J1695))</f>
        <v/>
      </c>
      <c r="M1695" s="5" t="n"/>
      <c r="N1695" s="5" t="n"/>
      <c r="O1695" s="5" t="n"/>
      <c r="P1695" s="5" t="n"/>
      <c r="Q1695" s="5" t="n"/>
      <c r="R1695" s="4" t="n"/>
      <c r="S1695" s="4" t="n"/>
      <c r="T1695" s="5" t="n"/>
      <c r="U1695" s="8">
        <f>IF(AND(V1695=1,D1695&lt;&gt;""),IF(D1695&gt;=corte,TODAY()-D1695,""),"")</f>
        <v/>
      </c>
      <c r="V1695" s="8">
        <f>IF(D1695="",0,IF(OR(AND(P1695&lt;&gt;"",S1695=""),AND(N(J1695)&gt;0,N(K1695)&lt;J1695),OR(M1695="PENDENTE",M1695="PARCIAL"),OR(N1695="PENDENTE",N1695="PARCIAL")),1,0))</f>
        <v/>
      </c>
      <c r="W1695" s="8">
        <f>IF(AND(V1695=1,D1695&lt;&gt;""),IF(D1695&gt;=corte,(B1695="CRÍTICO")*1E9+(100000-D1695)*10000+10000-ROW(),""),"")</f>
        <v/>
      </c>
      <c r="X1695" s="8">
        <f>IF(AND(V1695=1,D1695=pas_data,E1695=pas_turno),10000-ROW(),"")</f>
        <v/>
      </c>
    </row>
    <row r="1696">
      <c r="A1696" s="3">
        <f>IF(D1696="","","TT-"&amp;TEXT(ROW()-1,"00000"))</f>
        <v/>
      </c>
      <c r="B1696" s="3">
        <f>IF(D1696="","",IF(V1696=0,"CONCLUÍDO",IF(D1696&lt;corte,"HISTÓRICO",IF(OR(AND(ISNUMBER(R1696),R1696&lt;TODAY()),AND(OR(N1696="PENDENTE",N1696="PARCIAL"),D1696&lt;TODAY()-1)),"CRÍTICO",IF(OR(AND(P1696&lt;&gt;"",S1696=""),AND(N1696="REALIZADO",M1696="PENDENTE"),AND(ISNUMBER(R1696),R1696=TODAY())),"ATENÇÃO",IF(N(K1696)=0,"PENDENTE","EM ANDAMENTO"))))))</f>
        <v/>
      </c>
      <c r="C1696" s="3">
        <f>IF(D1696="","",IF(V1696=0,"🟢 OK",IF(D1696&lt;corte,"⚪ HISTÓRICO (sem baixa)",IF(AND(ISNUMBER(R1696),R1696&lt;TODAY()),"🔴 PRAZO VENCIDO",IF(AND(OR(N1696="PENDENTE",N1696="PARCIAL"),D1696&lt;TODAY()-1),"🔴 EMBARQUE ATRASADO",IF(AND(N1696="REALIZADO",M1696="PENDENTE"),"🟡 EMBARCADO SEM FATURAR",IF(AND(P1696&lt;&gt;"",S1696="",OR(Q1696="",R1696="")),"🟡 PENDÊNCIA SEM RESPONSÁVEL/PRAZO",IF(AND(ISNUMBER(R1696),R1696=TODAY()),"🟡 VENCE HOJE",IF(AND(P1696&lt;&gt;"",S1696=""),"🟡 PENDÊNCIA ABERTA",IF(AND(N(J1696)&gt;0,N(K1696)&lt;J1696),"🟡 FALTA EXECUTAR",IF(OR(M1696="PENDENTE",M1696="PARCIAL"),"🟡 FATURAMENTO PENDENTE","🟡 EMBARQUE PENDENTE")))))))))))</f>
        <v/>
      </c>
      <c r="D1696" s="4" t="n"/>
      <c r="E1696" s="5" t="n"/>
      <c r="F1696" s="5" t="n"/>
      <c r="G1696" s="5" t="n"/>
      <c r="H1696" s="5" t="n"/>
      <c r="I1696" s="5" t="n"/>
      <c r="J1696" s="6" t="n"/>
      <c r="K1696" s="6" t="n"/>
      <c r="L1696" s="7">
        <f>IF(OR(D1696="",N(J1696)=0),"",MIN(1,N(K1696)/J1696))</f>
        <v/>
      </c>
      <c r="M1696" s="5" t="n"/>
      <c r="N1696" s="5" t="n"/>
      <c r="O1696" s="5" t="n"/>
      <c r="P1696" s="5" t="n"/>
      <c r="Q1696" s="5" t="n"/>
      <c r="R1696" s="4" t="n"/>
      <c r="S1696" s="4" t="n"/>
      <c r="T1696" s="5" t="n"/>
      <c r="U1696" s="8">
        <f>IF(AND(V1696=1,D1696&lt;&gt;""),IF(D1696&gt;=corte,TODAY()-D1696,""),"")</f>
        <v/>
      </c>
      <c r="V1696" s="8">
        <f>IF(D1696="",0,IF(OR(AND(P1696&lt;&gt;"",S1696=""),AND(N(J1696)&gt;0,N(K1696)&lt;J1696),OR(M1696="PENDENTE",M1696="PARCIAL"),OR(N1696="PENDENTE",N1696="PARCIAL")),1,0))</f>
        <v/>
      </c>
      <c r="W1696" s="8">
        <f>IF(AND(V1696=1,D1696&lt;&gt;""),IF(D1696&gt;=corte,(B1696="CRÍTICO")*1E9+(100000-D1696)*10000+10000-ROW(),""),"")</f>
        <v/>
      </c>
      <c r="X1696" s="8">
        <f>IF(AND(V1696=1,D1696=pas_data,E1696=pas_turno),10000-ROW(),"")</f>
        <v/>
      </c>
    </row>
    <row r="1697">
      <c r="A1697" s="3">
        <f>IF(D1697="","","TT-"&amp;TEXT(ROW()-1,"00000"))</f>
        <v/>
      </c>
      <c r="B1697" s="3">
        <f>IF(D1697="","",IF(V1697=0,"CONCLUÍDO",IF(D1697&lt;corte,"HISTÓRICO",IF(OR(AND(ISNUMBER(R1697),R1697&lt;TODAY()),AND(OR(N1697="PENDENTE",N1697="PARCIAL"),D1697&lt;TODAY()-1)),"CRÍTICO",IF(OR(AND(P1697&lt;&gt;"",S1697=""),AND(N1697="REALIZADO",M1697="PENDENTE"),AND(ISNUMBER(R1697),R1697=TODAY())),"ATENÇÃO",IF(N(K1697)=0,"PENDENTE","EM ANDAMENTO"))))))</f>
        <v/>
      </c>
      <c r="C1697" s="3">
        <f>IF(D1697="","",IF(V1697=0,"🟢 OK",IF(D1697&lt;corte,"⚪ HISTÓRICO (sem baixa)",IF(AND(ISNUMBER(R1697),R1697&lt;TODAY()),"🔴 PRAZO VENCIDO",IF(AND(OR(N1697="PENDENTE",N1697="PARCIAL"),D1697&lt;TODAY()-1),"🔴 EMBARQUE ATRASADO",IF(AND(N1697="REALIZADO",M1697="PENDENTE"),"🟡 EMBARCADO SEM FATURAR",IF(AND(P1697&lt;&gt;"",S1697="",OR(Q1697="",R1697="")),"🟡 PENDÊNCIA SEM RESPONSÁVEL/PRAZO",IF(AND(ISNUMBER(R1697),R1697=TODAY()),"🟡 VENCE HOJE",IF(AND(P1697&lt;&gt;"",S1697=""),"🟡 PENDÊNCIA ABERTA",IF(AND(N(J1697)&gt;0,N(K1697)&lt;J1697),"🟡 FALTA EXECUTAR",IF(OR(M1697="PENDENTE",M1697="PARCIAL"),"🟡 FATURAMENTO PENDENTE","🟡 EMBARQUE PENDENTE")))))))))))</f>
        <v/>
      </c>
      <c r="D1697" s="4" t="n"/>
      <c r="E1697" s="5" t="n"/>
      <c r="F1697" s="5" t="n"/>
      <c r="G1697" s="5" t="n"/>
      <c r="H1697" s="5" t="n"/>
      <c r="I1697" s="5" t="n"/>
      <c r="J1697" s="6" t="n"/>
      <c r="K1697" s="6" t="n"/>
      <c r="L1697" s="7">
        <f>IF(OR(D1697="",N(J1697)=0),"",MIN(1,N(K1697)/J1697))</f>
        <v/>
      </c>
      <c r="M1697" s="5" t="n"/>
      <c r="N1697" s="5" t="n"/>
      <c r="O1697" s="5" t="n"/>
      <c r="P1697" s="5" t="n"/>
      <c r="Q1697" s="5" t="n"/>
      <c r="R1697" s="4" t="n"/>
      <c r="S1697" s="4" t="n"/>
      <c r="T1697" s="5" t="n"/>
      <c r="U1697" s="8">
        <f>IF(AND(V1697=1,D1697&lt;&gt;""),IF(D1697&gt;=corte,TODAY()-D1697,""),"")</f>
        <v/>
      </c>
      <c r="V1697" s="8">
        <f>IF(D1697="",0,IF(OR(AND(P1697&lt;&gt;"",S1697=""),AND(N(J1697)&gt;0,N(K1697)&lt;J1697),OR(M1697="PENDENTE",M1697="PARCIAL"),OR(N1697="PENDENTE",N1697="PARCIAL")),1,0))</f>
        <v/>
      </c>
      <c r="W1697" s="8">
        <f>IF(AND(V1697=1,D1697&lt;&gt;""),IF(D1697&gt;=corte,(B1697="CRÍTICO")*1E9+(100000-D1697)*10000+10000-ROW(),""),"")</f>
        <v/>
      </c>
      <c r="X1697" s="8">
        <f>IF(AND(V1697=1,D1697=pas_data,E1697=pas_turno),10000-ROW(),"")</f>
        <v/>
      </c>
    </row>
    <row r="1698">
      <c r="A1698" s="3">
        <f>IF(D1698="","","TT-"&amp;TEXT(ROW()-1,"00000"))</f>
        <v/>
      </c>
      <c r="B1698" s="3">
        <f>IF(D1698="","",IF(V1698=0,"CONCLUÍDO",IF(D1698&lt;corte,"HISTÓRICO",IF(OR(AND(ISNUMBER(R1698),R1698&lt;TODAY()),AND(OR(N1698="PENDENTE",N1698="PARCIAL"),D1698&lt;TODAY()-1)),"CRÍTICO",IF(OR(AND(P1698&lt;&gt;"",S1698=""),AND(N1698="REALIZADO",M1698="PENDENTE"),AND(ISNUMBER(R1698),R1698=TODAY())),"ATENÇÃO",IF(N(K1698)=0,"PENDENTE","EM ANDAMENTO"))))))</f>
        <v/>
      </c>
      <c r="C1698" s="3">
        <f>IF(D1698="","",IF(V1698=0,"🟢 OK",IF(D1698&lt;corte,"⚪ HISTÓRICO (sem baixa)",IF(AND(ISNUMBER(R1698),R1698&lt;TODAY()),"🔴 PRAZO VENCIDO",IF(AND(OR(N1698="PENDENTE",N1698="PARCIAL"),D1698&lt;TODAY()-1),"🔴 EMBARQUE ATRASADO",IF(AND(N1698="REALIZADO",M1698="PENDENTE"),"🟡 EMBARCADO SEM FATURAR",IF(AND(P1698&lt;&gt;"",S1698="",OR(Q1698="",R1698="")),"🟡 PENDÊNCIA SEM RESPONSÁVEL/PRAZO",IF(AND(ISNUMBER(R1698),R1698=TODAY()),"🟡 VENCE HOJE",IF(AND(P1698&lt;&gt;"",S1698=""),"🟡 PENDÊNCIA ABERTA",IF(AND(N(J1698)&gt;0,N(K1698)&lt;J1698),"🟡 FALTA EXECUTAR",IF(OR(M1698="PENDENTE",M1698="PARCIAL"),"🟡 FATURAMENTO PENDENTE","🟡 EMBARQUE PENDENTE")))))))))))</f>
        <v/>
      </c>
      <c r="D1698" s="4" t="n"/>
      <c r="E1698" s="5" t="n"/>
      <c r="F1698" s="5" t="n"/>
      <c r="G1698" s="5" t="n"/>
      <c r="H1698" s="5" t="n"/>
      <c r="I1698" s="5" t="n"/>
      <c r="J1698" s="6" t="n"/>
      <c r="K1698" s="6" t="n"/>
      <c r="L1698" s="7">
        <f>IF(OR(D1698="",N(J1698)=0),"",MIN(1,N(K1698)/J1698))</f>
        <v/>
      </c>
      <c r="M1698" s="5" t="n"/>
      <c r="N1698" s="5" t="n"/>
      <c r="O1698" s="5" t="n"/>
      <c r="P1698" s="5" t="n"/>
      <c r="Q1698" s="5" t="n"/>
      <c r="R1698" s="4" t="n"/>
      <c r="S1698" s="4" t="n"/>
      <c r="T1698" s="5" t="n"/>
      <c r="U1698" s="8">
        <f>IF(AND(V1698=1,D1698&lt;&gt;""),IF(D1698&gt;=corte,TODAY()-D1698,""),"")</f>
        <v/>
      </c>
      <c r="V1698" s="8">
        <f>IF(D1698="",0,IF(OR(AND(P1698&lt;&gt;"",S1698=""),AND(N(J1698)&gt;0,N(K1698)&lt;J1698),OR(M1698="PENDENTE",M1698="PARCIAL"),OR(N1698="PENDENTE",N1698="PARCIAL")),1,0))</f>
        <v/>
      </c>
      <c r="W1698" s="8">
        <f>IF(AND(V1698=1,D1698&lt;&gt;""),IF(D1698&gt;=corte,(B1698="CRÍTICO")*1E9+(100000-D1698)*10000+10000-ROW(),""),"")</f>
        <v/>
      </c>
      <c r="X1698" s="8">
        <f>IF(AND(V1698=1,D1698=pas_data,E1698=pas_turno),10000-ROW(),"")</f>
        <v/>
      </c>
    </row>
    <row r="1699">
      <c r="A1699" s="3">
        <f>IF(D1699="","","TT-"&amp;TEXT(ROW()-1,"00000"))</f>
        <v/>
      </c>
      <c r="B1699" s="3">
        <f>IF(D1699="","",IF(V1699=0,"CONCLUÍDO",IF(D1699&lt;corte,"HISTÓRICO",IF(OR(AND(ISNUMBER(R1699),R1699&lt;TODAY()),AND(OR(N1699="PENDENTE",N1699="PARCIAL"),D1699&lt;TODAY()-1)),"CRÍTICO",IF(OR(AND(P1699&lt;&gt;"",S1699=""),AND(N1699="REALIZADO",M1699="PENDENTE"),AND(ISNUMBER(R1699),R1699=TODAY())),"ATENÇÃO",IF(N(K1699)=0,"PENDENTE","EM ANDAMENTO"))))))</f>
        <v/>
      </c>
      <c r="C1699" s="3">
        <f>IF(D1699="","",IF(V1699=0,"🟢 OK",IF(D1699&lt;corte,"⚪ HISTÓRICO (sem baixa)",IF(AND(ISNUMBER(R1699),R1699&lt;TODAY()),"🔴 PRAZO VENCIDO",IF(AND(OR(N1699="PENDENTE",N1699="PARCIAL"),D1699&lt;TODAY()-1),"🔴 EMBARQUE ATRASADO",IF(AND(N1699="REALIZADO",M1699="PENDENTE"),"🟡 EMBARCADO SEM FATURAR",IF(AND(P1699&lt;&gt;"",S1699="",OR(Q1699="",R1699="")),"🟡 PENDÊNCIA SEM RESPONSÁVEL/PRAZO",IF(AND(ISNUMBER(R1699),R1699=TODAY()),"🟡 VENCE HOJE",IF(AND(P1699&lt;&gt;"",S1699=""),"🟡 PENDÊNCIA ABERTA",IF(AND(N(J1699)&gt;0,N(K1699)&lt;J1699),"🟡 FALTA EXECUTAR",IF(OR(M1699="PENDENTE",M1699="PARCIAL"),"🟡 FATURAMENTO PENDENTE","🟡 EMBARQUE PENDENTE")))))))))))</f>
        <v/>
      </c>
      <c r="D1699" s="4" t="n"/>
      <c r="E1699" s="5" t="n"/>
      <c r="F1699" s="5" t="n"/>
      <c r="G1699" s="5" t="n"/>
      <c r="H1699" s="5" t="n"/>
      <c r="I1699" s="5" t="n"/>
      <c r="J1699" s="6" t="n"/>
      <c r="K1699" s="6" t="n"/>
      <c r="L1699" s="7">
        <f>IF(OR(D1699="",N(J1699)=0),"",MIN(1,N(K1699)/J1699))</f>
        <v/>
      </c>
      <c r="M1699" s="5" t="n"/>
      <c r="N1699" s="5" t="n"/>
      <c r="O1699" s="5" t="n"/>
      <c r="P1699" s="5" t="n"/>
      <c r="Q1699" s="5" t="n"/>
      <c r="R1699" s="4" t="n"/>
      <c r="S1699" s="4" t="n"/>
      <c r="T1699" s="5" t="n"/>
      <c r="U1699" s="8">
        <f>IF(AND(V1699=1,D1699&lt;&gt;""),IF(D1699&gt;=corte,TODAY()-D1699,""),"")</f>
        <v/>
      </c>
      <c r="V1699" s="8">
        <f>IF(D1699="",0,IF(OR(AND(P1699&lt;&gt;"",S1699=""),AND(N(J1699)&gt;0,N(K1699)&lt;J1699),OR(M1699="PENDENTE",M1699="PARCIAL"),OR(N1699="PENDENTE",N1699="PARCIAL")),1,0))</f>
        <v/>
      </c>
      <c r="W1699" s="8">
        <f>IF(AND(V1699=1,D1699&lt;&gt;""),IF(D1699&gt;=corte,(B1699="CRÍTICO")*1E9+(100000-D1699)*10000+10000-ROW(),""),"")</f>
        <v/>
      </c>
      <c r="X1699" s="8">
        <f>IF(AND(V1699=1,D1699=pas_data,E1699=pas_turno),10000-ROW(),"")</f>
        <v/>
      </c>
    </row>
    <row r="1700">
      <c r="A1700" s="3">
        <f>IF(D1700="","","TT-"&amp;TEXT(ROW()-1,"00000"))</f>
        <v/>
      </c>
      <c r="B1700" s="3">
        <f>IF(D1700="","",IF(V1700=0,"CONCLUÍDO",IF(D1700&lt;corte,"HISTÓRICO",IF(OR(AND(ISNUMBER(R1700),R1700&lt;TODAY()),AND(OR(N1700="PENDENTE",N1700="PARCIAL"),D1700&lt;TODAY()-1)),"CRÍTICO",IF(OR(AND(P1700&lt;&gt;"",S1700=""),AND(N1700="REALIZADO",M1700="PENDENTE"),AND(ISNUMBER(R1700),R1700=TODAY())),"ATENÇÃO",IF(N(K1700)=0,"PENDENTE","EM ANDAMENTO"))))))</f>
        <v/>
      </c>
      <c r="C1700" s="3">
        <f>IF(D1700="","",IF(V1700=0,"🟢 OK",IF(D1700&lt;corte,"⚪ HISTÓRICO (sem baixa)",IF(AND(ISNUMBER(R1700),R1700&lt;TODAY()),"🔴 PRAZO VENCIDO",IF(AND(OR(N1700="PENDENTE",N1700="PARCIAL"),D1700&lt;TODAY()-1),"🔴 EMBARQUE ATRASADO",IF(AND(N1700="REALIZADO",M1700="PENDENTE"),"🟡 EMBARCADO SEM FATURAR",IF(AND(P1700&lt;&gt;"",S1700="",OR(Q1700="",R1700="")),"🟡 PENDÊNCIA SEM RESPONSÁVEL/PRAZO",IF(AND(ISNUMBER(R1700),R1700=TODAY()),"🟡 VENCE HOJE",IF(AND(P1700&lt;&gt;"",S1700=""),"🟡 PENDÊNCIA ABERTA",IF(AND(N(J1700)&gt;0,N(K1700)&lt;J1700),"🟡 FALTA EXECUTAR",IF(OR(M1700="PENDENTE",M1700="PARCIAL"),"🟡 FATURAMENTO PENDENTE","🟡 EMBARQUE PENDENTE")))))))))))</f>
        <v/>
      </c>
      <c r="D1700" s="4" t="n"/>
      <c r="E1700" s="5" t="n"/>
      <c r="F1700" s="5" t="n"/>
      <c r="G1700" s="5" t="n"/>
      <c r="H1700" s="5" t="n"/>
      <c r="I1700" s="5" t="n"/>
      <c r="J1700" s="6" t="n"/>
      <c r="K1700" s="6" t="n"/>
      <c r="L1700" s="7">
        <f>IF(OR(D1700="",N(J1700)=0),"",MIN(1,N(K1700)/J1700))</f>
        <v/>
      </c>
      <c r="M1700" s="5" t="n"/>
      <c r="N1700" s="5" t="n"/>
      <c r="O1700" s="5" t="n"/>
      <c r="P1700" s="5" t="n"/>
      <c r="Q1700" s="5" t="n"/>
      <c r="R1700" s="4" t="n"/>
      <c r="S1700" s="4" t="n"/>
      <c r="T1700" s="5" t="n"/>
      <c r="U1700" s="8">
        <f>IF(AND(V1700=1,D1700&lt;&gt;""),IF(D1700&gt;=corte,TODAY()-D1700,""),"")</f>
        <v/>
      </c>
      <c r="V1700" s="8">
        <f>IF(D1700="",0,IF(OR(AND(P1700&lt;&gt;"",S1700=""),AND(N(J1700)&gt;0,N(K1700)&lt;J1700),OR(M1700="PENDENTE",M1700="PARCIAL"),OR(N1700="PENDENTE",N1700="PARCIAL")),1,0))</f>
        <v/>
      </c>
      <c r="W1700" s="8">
        <f>IF(AND(V1700=1,D1700&lt;&gt;""),IF(D1700&gt;=corte,(B1700="CRÍTICO")*1E9+(100000-D1700)*10000+10000-ROW(),""),"")</f>
        <v/>
      </c>
      <c r="X1700" s="8">
        <f>IF(AND(V1700=1,D1700=pas_data,E1700=pas_turno),10000-ROW(),"")</f>
        <v/>
      </c>
    </row>
    <row r="1701">
      <c r="A1701" s="3">
        <f>IF(D1701="","","TT-"&amp;TEXT(ROW()-1,"00000"))</f>
        <v/>
      </c>
      <c r="B1701" s="3">
        <f>IF(D1701="","",IF(V1701=0,"CONCLUÍDO",IF(D1701&lt;corte,"HISTÓRICO",IF(OR(AND(ISNUMBER(R1701),R1701&lt;TODAY()),AND(OR(N1701="PENDENTE",N1701="PARCIAL"),D1701&lt;TODAY()-1)),"CRÍTICO",IF(OR(AND(P1701&lt;&gt;"",S1701=""),AND(N1701="REALIZADO",M1701="PENDENTE"),AND(ISNUMBER(R1701),R1701=TODAY())),"ATENÇÃO",IF(N(K1701)=0,"PENDENTE","EM ANDAMENTO"))))))</f>
        <v/>
      </c>
      <c r="C1701" s="3">
        <f>IF(D1701="","",IF(V1701=0,"🟢 OK",IF(D1701&lt;corte,"⚪ HISTÓRICO (sem baixa)",IF(AND(ISNUMBER(R1701),R1701&lt;TODAY()),"🔴 PRAZO VENCIDO",IF(AND(OR(N1701="PENDENTE",N1701="PARCIAL"),D1701&lt;TODAY()-1),"🔴 EMBARQUE ATRASADO",IF(AND(N1701="REALIZADO",M1701="PENDENTE"),"🟡 EMBARCADO SEM FATURAR",IF(AND(P1701&lt;&gt;"",S1701="",OR(Q1701="",R1701="")),"🟡 PENDÊNCIA SEM RESPONSÁVEL/PRAZO",IF(AND(ISNUMBER(R1701),R1701=TODAY()),"🟡 VENCE HOJE",IF(AND(P1701&lt;&gt;"",S1701=""),"🟡 PENDÊNCIA ABERTA",IF(AND(N(J1701)&gt;0,N(K1701)&lt;J1701),"🟡 FALTA EXECUTAR",IF(OR(M1701="PENDENTE",M1701="PARCIAL"),"🟡 FATURAMENTO PENDENTE","🟡 EMBARQUE PENDENTE")))))))))))</f>
        <v/>
      </c>
      <c r="D1701" s="4" t="n"/>
      <c r="E1701" s="5" t="n"/>
      <c r="F1701" s="5" t="n"/>
      <c r="G1701" s="5" t="n"/>
      <c r="H1701" s="5" t="n"/>
      <c r="I1701" s="5" t="n"/>
      <c r="J1701" s="6" t="n"/>
      <c r="K1701" s="6" t="n"/>
      <c r="L1701" s="7">
        <f>IF(OR(D1701="",N(J1701)=0),"",MIN(1,N(K1701)/J1701))</f>
        <v/>
      </c>
      <c r="M1701" s="5" t="n"/>
      <c r="N1701" s="5" t="n"/>
      <c r="O1701" s="5" t="n"/>
      <c r="P1701" s="5" t="n"/>
      <c r="Q1701" s="5" t="n"/>
      <c r="R1701" s="4" t="n"/>
      <c r="S1701" s="4" t="n"/>
      <c r="T1701" s="5" t="n"/>
      <c r="U1701" s="8">
        <f>IF(AND(V1701=1,D1701&lt;&gt;""),IF(D1701&gt;=corte,TODAY()-D1701,""),"")</f>
        <v/>
      </c>
      <c r="V1701" s="8">
        <f>IF(D1701="",0,IF(OR(AND(P1701&lt;&gt;"",S1701=""),AND(N(J1701)&gt;0,N(K1701)&lt;J1701),OR(M1701="PENDENTE",M1701="PARCIAL"),OR(N1701="PENDENTE",N1701="PARCIAL")),1,0))</f>
        <v/>
      </c>
      <c r="W1701" s="8">
        <f>IF(AND(V1701=1,D1701&lt;&gt;""),IF(D1701&gt;=corte,(B1701="CRÍTICO")*1E9+(100000-D1701)*10000+10000-ROW(),""),"")</f>
        <v/>
      </c>
      <c r="X1701" s="8">
        <f>IF(AND(V1701=1,D1701=pas_data,E1701=pas_turno),10000-ROW(),"")</f>
        <v/>
      </c>
    </row>
    <row r="1702">
      <c r="A1702" s="3">
        <f>IF(D1702="","","TT-"&amp;TEXT(ROW()-1,"00000"))</f>
        <v/>
      </c>
      <c r="B1702" s="3">
        <f>IF(D1702="","",IF(V1702=0,"CONCLUÍDO",IF(D1702&lt;corte,"HISTÓRICO",IF(OR(AND(ISNUMBER(R1702),R1702&lt;TODAY()),AND(OR(N1702="PENDENTE",N1702="PARCIAL"),D1702&lt;TODAY()-1)),"CRÍTICO",IF(OR(AND(P1702&lt;&gt;"",S1702=""),AND(N1702="REALIZADO",M1702="PENDENTE"),AND(ISNUMBER(R1702),R1702=TODAY())),"ATENÇÃO",IF(N(K1702)=0,"PENDENTE","EM ANDAMENTO"))))))</f>
        <v/>
      </c>
      <c r="C1702" s="3">
        <f>IF(D1702="","",IF(V1702=0,"🟢 OK",IF(D1702&lt;corte,"⚪ HISTÓRICO (sem baixa)",IF(AND(ISNUMBER(R1702),R1702&lt;TODAY()),"🔴 PRAZO VENCIDO",IF(AND(OR(N1702="PENDENTE",N1702="PARCIAL"),D1702&lt;TODAY()-1),"🔴 EMBARQUE ATRASADO",IF(AND(N1702="REALIZADO",M1702="PENDENTE"),"🟡 EMBARCADO SEM FATURAR",IF(AND(P1702&lt;&gt;"",S1702="",OR(Q1702="",R1702="")),"🟡 PENDÊNCIA SEM RESPONSÁVEL/PRAZO",IF(AND(ISNUMBER(R1702),R1702=TODAY()),"🟡 VENCE HOJE",IF(AND(P1702&lt;&gt;"",S1702=""),"🟡 PENDÊNCIA ABERTA",IF(AND(N(J1702)&gt;0,N(K1702)&lt;J1702),"🟡 FALTA EXECUTAR",IF(OR(M1702="PENDENTE",M1702="PARCIAL"),"🟡 FATURAMENTO PENDENTE","🟡 EMBARQUE PENDENTE")))))))))))</f>
        <v/>
      </c>
      <c r="D1702" s="4" t="n"/>
      <c r="E1702" s="5" t="n"/>
      <c r="F1702" s="5" t="n"/>
      <c r="G1702" s="5" t="n"/>
      <c r="H1702" s="5" t="n"/>
      <c r="I1702" s="5" t="n"/>
      <c r="J1702" s="6" t="n"/>
      <c r="K1702" s="6" t="n"/>
      <c r="L1702" s="7">
        <f>IF(OR(D1702="",N(J1702)=0),"",MIN(1,N(K1702)/J1702))</f>
        <v/>
      </c>
      <c r="M1702" s="5" t="n"/>
      <c r="N1702" s="5" t="n"/>
      <c r="O1702" s="5" t="n"/>
      <c r="P1702" s="5" t="n"/>
      <c r="Q1702" s="5" t="n"/>
      <c r="R1702" s="4" t="n"/>
      <c r="S1702" s="4" t="n"/>
      <c r="T1702" s="5" t="n"/>
      <c r="U1702" s="8">
        <f>IF(AND(V1702=1,D1702&lt;&gt;""),IF(D1702&gt;=corte,TODAY()-D1702,""),"")</f>
        <v/>
      </c>
      <c r="V1702" s="8">
        <f>IF(D1702="",0,IF(OR(AND(P1702&lt;&gt;"",S1702=""),AND(N(J1702)&gt;0,N(K1702)&lt;J1702),OR(M1702="PENDENTE",M1702="PARCIAL"),OR(N1702="PENDENTE",N1702="PARCIAL")),1,0))</f>
        <v/>
      </c>
      <c r="W1702" s="8">
        <f>IF(AND(V1702=1,D1702&lt;&gt;""),IF(D1702&gt;=corte,(B1702="CRÍTICO")*1E9+(100000-D1702)*10000+10000-ROW(),""),"")</f>
        <v/>
      </c>
      <c r="X1702" s="8">
        <f>IF(AND(V1702=1,D1702=pas_data,E1702=pas_turno),10000-ROW(),"")</f>
        <v/>
      </c>
    </row>
    <row r="1703">
      <c r="A1703" s="3">
        <f>IF(D1703="","","TT-"&amp;TEXT(ROW()-1,"00000"))</f>
        <v/>
      </c>
      <c r="B1703" s="3">
        <f>IF(D1703="","",IF(V1703=0,"CONCLUÍDO",IF(D1703&lt;corte,"HISTÓRICO",IF(OR(AND(ISNUMBER(R1703),R1703&lt;TODAY()),AND(OR(N1703="PENDENTE",N1703="PARCIAL"),D1703&lt;TODAY()-1)),"CRÍTICO",IF(OR(AND(P1703&lt;&gt;"",S1703=""),AND(N1703="REALIZADO",M1703="PENDENTE"),AND(ISNUMBER(R1703),R1703=TODAY())),"ATENÇÃO",IF(N(K1703)=0,"PENDENTE","EM ANDAMENTO"))))))</f>
        <v/>
      </c>
      <c r="C1703" s="3">
        <f>IF(D1703="","",IF(V1703=0,"🟢 OK",IF(D1703&lt;corte,"⚪ HISTÓRICO (sem baixa)",IF(AND(ISNUMBER(R1703),R1703&lt;TODAY()),"🔴 PRAZO VENCIDO",IF(AND(OR(N1703="PENDENTE",N1703="PARCIAL"),D1703&lt;TODAY()-1),"🔴 EMBARQUE ATRASADO",IF(AND(N1703="REALIZADO",M1703="PENDENTE"),"🟡 EMBARCADO SEM FATURAR",IF(AND(P1703&lt;&gt;"",S1703="",OR(Q1703="",R1703="")),"🟡 PENDÊNCIA SEM RESPONSÁVEL/PRAZO",IF(AND(ISNUMBER(R1703),R1703=TODAY()),"🟡 VENCE HOJE",IF(AND(P1703&lt;&gt;"",S1703=""),"🟡 PENDÊNCIA ABERTA",IF(AND(N(J1703)&gt;0,N(K1703)&lt;J1703),"🟡 FALTA EXECUTAR",IF(OR(M1703="PENDENTE",M1703="PARCIAL"),"🟡 FATURAMENTO PENDENTE","🟡 EMBARQUE PENDENTE")))))))))))</f>
        <v/>
      </c>
      <c r="D1703" s="4" t="n"/>
      <c r="E1703" s="5" t="n"/>
      <c r="F1703" s="5" t="n"/>
      <c r="G1703" s="5" t="n"/>
      <c r="H1703" s="5" t="n"/>
      <c r="I1703" s="5" t="n"/>
      <c r="J1703" s="6" t="n"/>
      <c r="K1703" s="6" t="n"/>
      <c r="L1703" s="7">
        <f>IF(OR(D1703="",N(J1703)=0),"",MIN(1,N(K1703)/J1703))</f>
        <v/>
      </c>
      <c r="M1703" s="5" t="n"/>
      <c r="N1703" s="5" t="n"/>
      <c r="O1703" s="5" t="n"/>
      <c r="P1703" s="5" t="n"/>
      <c r="Q1703" s="5" t="n"/>
      <c r="R1703" s="4" t="n"/>
      <c r="S1703" s="4" t="n"/>
      <c r="T1703" s="5" t="n"/>
      <c r="U1703" s="8">
        <f>IF(AND(V1703=1,D1703&lt;&gt;""),IF(D1703&gt;=corte,TODAY()-D1703,""),"")</f>
        <v/>
      </c>
      <c r="V1703" s="8">
        <f>IF(D1703="",0,IF(OR(AND(P1703&lt;&gt;"",S1703=""),AND(N(J1703)&gt;0,N(K1703)&lt;J1703),OR(M1703="PENDENTE",M1703="PARCIAL"),OR(N1703="PENDENTE",N1703="PARCIAL")),1,0))</f>
        <v/>
      </c>
      <c r="W1703" s="8">
        <f>IF(AND(V1703=1,D1703&lt;&gt;""),IF(D1703&gt;=corte,(B1703="CRÍTICO")*1E9+(100000-D1703)*10000+10000-ROW(),""),"")</f>
        <v/>
      </c>
      <c r="X1703" s="8">
        <f>IF(AND(V1703=1,D1703=pas_data,E1703=pas_turno),10000-ROW(),"")</f>
        <v/>
      </c>
    </row>
    <row r="1704">
      <c r="A1704" s="3">
        <f>IF(D1704="","","TT-"&amp;TEXT(ROW()-1,"00000"))</f>
        <v/>
      </c>
      <c r="B1704" s="3">
        <f>IF(D1704="","",IF(V1704=0,"CONCLUÍDO",IF(D1704&lt;corte,"HISTÓRICO",IF(OR(AND(ISNUMBER(R1704),R1704&lt;TODAY()),AND(OR(N1704="PENDENTE",N1704="PARCIAL"),D1704&lt;TODAY()-1)),"CRÍTICO",IF(OR(AND(P1704&lt;&gt;"",S1704=""),AND(N1704="REALIZADO",M1704="PENDENTE"),AND(ISNUMBER(R1704),R1704=TODAY())),"ATENÇÃO",IF(N(K1704)=0,"PENDENTE","EM ANDAMENTO"))))))</f>
        <v/>
      </c>
      <c r="C1704" s="3">
        <f>IF(D1704="","",IF(V1704=0,"🟢 OK",IF(D1704&lt;corte,"⚪ HISTÓRICO (sem baixa)",IF(AND(ISNUMBER(R1704),R1704&lt;TODAY()),"🔴 PRAZO VENCIDO",IF(AND(OR(N1704="PENDENTE",N1704="PARCIAL"),D1704&lt;TODAY()-1),"🔴 EMBARQUE ATRASADO",IF(AND(N1704="REALIZADO",M1704="PENDENTE"),"🟡 EMBARCADO SEM FATURAR",IF(AND(P1704&lt;&gt;"",S1704="",OR(Q1704="",R1704="")),"🟡 PENDÊNCIA SEM RESPONSÁVEL/PRAZO",IF(AND(ISNUMBER(R1704),R1704=TODAY()),"🟡 VENCE HOJE",IF(AND(P1704&lt;&gt;"",S1704=""),"🟡 PENDÊNCIA ABERTA",IF(AND(N(J1704)&gt;0,N(K1704)&lt;J1704),"🟡 FALTA EXECUTAR",IF(OR(M1704="PENDENTE",M1704="PARCIAL"),"🟡 FATURAMENTO PENDENTE","🟡 EMBARQUE PENDENTE")))))))))))</f>
        <v/>
      </c>
      <c r="D1704" s="4" t="n"/>
      <c r="E1704" s="5" t="n"/>
      <c r="F1704" s="5" t="n"/>
      <c r="G1704" s="5" t="n"/>
      <c r="H1704" s="5" t="n"/>
      <c r="I1704" s="5" t="n"/>
      <c r="J1704" s="6" t="n"/>
      <c r="K1704" s="6" t="n"/>
      <c r="L1704" s="7">
        <f>IF(OR(D1704="",N(J1704)=0),"",MIN(1,N(K1704)/J1704))</f>
        <v/>
      </c>
      <c r="M1704" s="5" t="n"/>
      <c r="N1704" s="5" t="n"/>
      <c r="O1704" s="5" t="n"/>
      <c r="P1704" s="5" t="n"/>
      <c r="Q1704" s="5" t="n"/>
      <c r="R1704" s="4" t="n"/>
      <c r="S1704" s="4" t="n"/>
      <c r="T1704" s="5" t="n"/>
      <c r="U1704" s="8">
        <f>IF(AND(V1704=1,D1704&lt;&gt;""),IF(D1704&gt;=corte,TODAY()-D1704,""),"")</f>
        <v/>
      </c>
      <c r="V1704" s="8">
        <f>IF(D1704="",0,IF(OR(AND(P1704&lt;&gt;"",S1704=""),AND(N(J1704)&gt;0,N(K1704)&lt;J1704),OR(M1704="PENDENTE",M1704="PARCIAL"),OR(N1704="PENDENTE",N1704="PARCIAL")),1,0))</f>
        <v/>
      </c>
      <c r="W1704" s="8">
        <f>IF(AND(V1704=1,D1704&lt;&gt;""),IF(D1704&gt;=corte,(B1704="CRÍTICO")*1E9+(100000-D1704)*10000+10000-ROW(),""),"")</f>
        <v/>
      </c>
      <c r="X1704" s="8">
        <f>IF(AND(V1704=1,D1704=pas_data,E1704=pas_turno),10000-ROW(),"")</f>
        <v/>
      </c>
    </row>
    <row r="1705">
      <c r="A1705" s="3">
        <f>IF(D1705="","","TT-"&amp;TEXT(ROW()-1,"00000"))</f>
        <v/>
      </c>
      <c r="B1705" s="3">
        <f>IF(D1705="","",IF(V1705=0,"CONCLUÍDO",IF(D1705&lt;corte,"HISTÓRICO",IF(OR(AND(ISNUMBER(R1705),R1705&lt;TODAY()),AND(OR(N1705="PENDENTE",N1705="PARCIAL"),D1705&lt;TODAY()-1)),"CRÍTICO",IF(OR(AND(P1705&lt;&gt;"",S1705=""),AND(N1705="REALIZADO",M1705="PENDENTE"),AND(ISNUMBER(R1705),R1705=TODAY())),"ATENÇÃO",IF(N(K1705)=0,"PENDENTE","EM ANDAMENTO"))))))</f>
        <v/>
      </c>
      <c r="C1705" s="3">
        <f>IF(D1705="","",IF(V1705=0,"🟢 OK",IF(D1705&lt;corte,"⚪ HISTÓRICO (sem baixa)",IF(AND(ISNUMBER(R1705),R1705&lt;TODAY()),"🔴 PRAZO VENCIDO",IF(AND(OR(N1705="PENDENTE",N1705="PARCIAL"),D1705&lt;TODAY()-1),"🔴 EMBARQUE ATRASADO",IF(AND(N1705="REALIZADO",M1705="PENDENTE"),"🟡 EMBARCADO SEM FATURAR",IF(AND(P1705&lt;&gt;"",S1705="",OR(Q1705="",R1705="")),"🟡 PENDÊNCIA SEM RESPONSÁVEL/PRAZO",IF(AND(ISNUMBER(R1705),R1705=TODAY()),"🟡 VENCE HOJE",IF(AND(P1705&lt;&gt;"",S1705=""),"🟡 PENDÊNCIA ABERTA",IF(AND(N(J1705)&gt;0,N(K1705)&lt;J1705),"🟡 FALTA EXECUTAR",IF(OR(M1705="PENDENTE",M1705="PARCIAL"),"🟡 FATURAMENTO PENDENTE","🟡 EMBARQUE PENDENTE")))))))))))</f>
        <v/>
      </c>
      <c r="D1705" s="4" t="n"/>
      <c r="E1705" s="5" t="n"/>
      <c r="F1705" s="5" t="n"/>
      <c r="G1705" s="5" t="n"/>
      <c r="H1705" s="5" t="n"/>
      <c r="I1705" s="5" t="n"/>
      <c r="J1705" s="6" t="n"/>
      <c r="K1705" s="6" t="n"/>
      <c r="L1705" s="7">
        <f>IF(OR(D1705="",N(J1705)=0),"",MIN(1,N(K1705)/J1705))</f>
        <v/>
      </c>
      <c r="M1705" s="5" t="n"/>
      <c r="N1705" s="5" t="n"/>
      <c r="O1705" s="5" t="n"/>
      <c r="P1705" s="5" t="n"/>
      <c r="Q1705" s="5" t="n"/>
      <c r="R1705" s="4" t="n"/>
      <c r="S1705" s="4" t="n"/>
      <c r="T1705" s="5" t="n"/>
      <c r="U1705" s="8">
        <f>IF(AND(V1705=1,D1705&lt;&gt;""),IF(D1705&gt;=corte,TODAY()-D1705,""),"")</f>
        <v/>
      </c>
      <c r="V1705" s="8">
        <f>IF(D1705="",0,IF(OR(AND(P1705&lt;&gt;"",S1705=""),AND(N(J1705)&gt;0,N(K1705)&lt;J1705),OR(M1705="PENDENTE",M1705="PARCIAL"),OR(N1705="PENDENTE",N1705="PARCIAL")),1,0))</f>
        <v/>
      </c>
      <c r="W1705" s="8">
        <f>IF(AND(V1705=1,D1705&lt;&gt;""),IF(D1705&gt;=corte,(B1705="CRÍTICO")*1E9+(100000-D1705)*10000+10000-ROW(),""),"")</f>
        <v/>
      </c>
      <c r="X1705" s="8">
        <f>IF(AND(V1705=1,D1705=pas_data,E1705=pas_turno),10000-ROW(),"")</f>
        <v/>
      </c>
    </row>
    <row r="1706">
      <c r="A1706" s="3">
        <f>IF(D1706="","","TT-"&amp;TEXT(ROW()-1,"00000"))</f>
        <v/>
      </c>
      <c r="B1706" s="3">
        <f>IF(D1706="","",IF(V1706=0,"CONCLUÍDO",IF(D1706&lt;corte,"HISTÓRICO",IF(OR(AND(ISNUMBER(R1706),R1706&lt;TODAY()),AND(OR(N1706="PENDENTE",N1706="PARCIAL"),D1706&lt;TODAY()-1)),"CRÍTICO",IF(OR(AND(P1706&lt;&gt;"",S1706=""),AND(N1706="REALIZADO",M1706="PENDENTE"),AND(ISNUMBER(R1706),R1706=TODAY())),"ATENÇÃO",IF(N(K1706)=0,"PENDENTE","EM ANDAMENTO"))))))</f>
        <v/>
      </c>
      <c r="C1706" s="3">
        <f>IF(D1706="","",IF(V1706=0,"🟢 OK",IF(D1706&lt;corte,"⚪ HISTÓRICO (sem baixa)",IF(AND(ISNUMBER(R1706),R1706&lt;TODAY()),"🔴 PRAZO VENCIDO",IF(AND(OR(N1706="PENDENTE",N1706="PARCIAL"),D1706&lt;TODAY()-1),"🔴 EMBARQUE ATRASADO",IF(AND(N1706="REALIZADO",M1706="PENDENTE"),"🟡 EMBARCADO SEM FATURAR",IF(AND(P1706&lt;&gt;"",S1706="",OR(Q1706="",R1706="")),"🟡 PENDÊNCIA SEM RESPONSÁVEL/PRAZO",IF(AND(ISNUMBER(R1706),R1706=TODAY()),"🟡 VENCE HOJE",IF(AND(P1706&lt;&gt;"",S1706=""),"🟡 PENDÊNCIA ABERTA",IF(AND(N(J1706)&gt;0,N(K1706)&lt;J1706),"🟡 FALTA EXECUTAR",IF(OR(M1706="PENDENTE",M1706="PARCIAL"),"🟡 FATURAMENTO PENDENTE","🟡 EMBARQUE PENDENTE")))))))))))</f>
        <v/>
      </c>
      <c r="D1706" s="4" t="n"/>
      <c r="E1706" s="5" t="n"/>
      <c r="F1706" s="5" t="n"/>
      <c r="G1706" s="5" t="n"/>
      <c r="H1706" s="5" t="n"/>
      <c r="I1706" s="5" t="n"/>
      <c r="J1706" s="6" t="n"/>
      <c r="K1706" s="6" t="n"/>
      <c r="L1706" s="7">
        <f>IF(OR(D1706="",N(J1706)=0),"",MIN(1,N(K1706)/J1706))</f>
        <v/>
      </c>
      <c r="M1706" s="5" t="n"/>
      <c r="N1706" s="5" t="n"/>
      <c r="O1706" s="5" t="n"/>
      <c r="P1706" s="5" t="n"/>
      <c r="Q1706" s="5" t="n"/>
      <c r="R1706" s="4" t="n"/>
      <c r="S1706" s="4" t="n"/>
      <c r="T1706" s="5" t="n"/>
      <c r="U1706" s="8">
        <f>IF(AND(V1706=1,D1706&lt;&gt;""),IF(D1706&gt;=corte,TODAY()-D1706,""),"")</f>
        <v/>
      </c>
      <c r="V1706" s="8">
        <f>IF(D1706="",0,IF(OR(AND(P1706&lt;&gt;"",S1706=""),AND(N(J1706)&gt;0,N(K1706)&lt;J1706),OR(M1706="PENDENTE",M1706="PARCIAL"),OR(N1706="PENDENTE",N1706="PARCIAL")),1,0))</f>
        <v/>
      </c>
      <c r="W1706" s="8">
        <f>IF(AND(V1706=1,D1706&lt;&gt;""),IF(D1706&gt;=corte,(B1706="CRÍTICO")*1E9+(100000-D1706)*10000+10000-ROW(),""),"")</f>
        <v/>
      </c>
      <c r="X1706" s="8">
        <f>IF(AND(V1706=1,D1706=pas_data,E1706=pas_turno),10000-ROW(),"")</f>
        <v/>
      </c>
    </row>
    <row r="1707">
      <c r="A1707" s="3">
        <f>IF(D1707="","","TT-"&amp;TEXT(ROW()-1,"00000"))</f>
        <v/>
      </c>
      <c r="B1707" s="3">
        <f>IF(D1707="","",IF(V1707=0,"CONCLUÍDO",IF(D1707&lt;corte,"HISTÓRICO",IF(OR(AND(ISNUMBER(R1707),R1707&lt;TODAY()),AND(OR(N1707="PENDENTE",N1707="PARCIAL"),D1707&lt;TODAY()-1)),"CRÍTICO",IF(OR(AND(P1707&lt;&gt;"",S1707=""),AND(N1707="REALIZADO",M1707="PENDENTE"),AND(ISNUMBER(R1707),R1707=TODAY())),"ATENÇÃO",IF(N(K1707)=0,"PENDENTE","EM ANDAMENTO"))))))</f>
        <v/>
      </c>
      <c r="C1707" s="3">
        <f>IF(D1707="","",IF(V1707=0,"🟢 OK",IF(D1707&lt;corte,"⚪ HISTÓRICO (sem baixa)",IF(AND(ISNUMBER(R1707),R1707&lt;TODAY()),"🔴 PRAZO VENCIDO",IF(AND(OR(N1707="PENDENTE",N1707="PARCIAL"),D1707&lt;TODAY()-1),"🔴 EMBARQUE ATRASADO",IF(AND(N1707="REALIZADO",M1707="PENDENTE"),"🟡 EMBARCADO SEM FATURAR",IF(AND(P1707&lt;&gt;"",S1707="",OR(Q1707="",R1707="")),"🟡 PENDÊNCIA SEM RESPONSÁVEL/PRAZO",IF(AND(ISNUMBER(R1707),R1707=TODAY()),"🟡 VENCE HOJE",IF(AND(P1707&lt;&gt;"",S1707=""),"🟡 PENDÊNCIA ABERTA",IF(AND(N(J1707)&gt;0,N(K1707)&lt;J1707),"🟡 FALTA EXECUTAR",IF(OR(M1707="PENDENTE",M1707="PARCIAL"),"🟡 FATURAMENTO PENDENTE","🟡 EMBARQUE PENDENTE")))))))))))</f>
        <v/>
      </c>
      <c r="D1707" s="4" t="n"/>
      <c r="E1707" s="5" t="n"/>
      <c r="F1707" s="5" t="n"/>
      <c r="G1707" s="5" t="n"/>
      <c r="H1707" s="5" t="n"/>
      <c r="I1707" s="5" t="n"/>
      <c r="J1707" s="6" t="n"/>
      <c r="K1707" s="6" t="n"/>
      <c r="L1707" s="7">
        <f>IF(OR(D1707="",N(J1707)=0),"",MIN(1,N(K1707)/J1707))</f>
        <v/>
      </c>
      <c r="M1707" s="5" t="n"/>
      <c r="N1707" s="5" t="n"/>
      <c r="O1707" s="5" t="n"/>
      <c r="P1707" s="5" t="n"/>
      <c r="Q1707" s="5" t="n"/>
      <c r="R1707" s="4" t="n"/>
      <c r="S1707" s="4" t="n"/>
      <c r="T1707" s="5" t="n"/>
      <c r="U1707" s="8">
        <f>IF(AND(V1707=1,D1707&lt;&gt;""),IF(D1707&gt;=corte,TODAY()-D1707,""),"")</f>
        <v/>
      </c>
      <c r="V1707" s="8">
        <f>IF(D1707="",0,IF(OR(AND(P1707&lt;&gt;"",S1707=""),AND(N(J1707)&gt;0,N(K1707)&lt;J1707),OR(M1707="PENDENTE",M1707="PARCIAL"),OR(N1707="PENDENTE",N1707="PARCIAL")),1,0))</f>
        <v/>
      </c>
      <c r="W1707" s="8">
        <f>IF(AND(V1707=1,D1707&lt;&gt;""),IF(D1707&gt;=corte,(B1707="CRÍTICO")*1E9+(100000-D1707)*10000+10000-ROW(),""),"")</f>
        <v/>
      </c>
      <c r="X1707" s="8">
        <f>IF(AND(V1707=1,D1707=pas_data,E1707=pas_turno),10000-ROW(),"")</f>
        <v/>
      </c>
    </row>
    <row r="1708">
      <c r="A1708" s="3">
        <f>IF(D1708="","","TT-"&amp;TEXT(ROW()-1,"00000"))</f>
        <v/>
      </c>
      <c r="B1708" s="3">
        <f>IF(D1708="","",IF(V1708=0,"CONCLUÍDO",IF(D1708&lt;corte,"HISTÓRICO",IF(OR(AND(ISNUMBER(R1708),R1708&lt;TODAY()),AND(OR(N1708="PENDENTE",N1708="PARCIAL"),D1708&lt;TODAY()-1)),"CRÍTICO",IF(OR(AND(P1708&lt;&gt;"",S1708=""),AND(N1708="REALIZADO",M1708="PENDENTE"),AND(ISNUMBER(R1708),R1708=TODAY())),"ATENÇÃO",IF(N(K1708)=0,"PENDENTE","EM ANDAMENTO"))))))</f>
        <v/>
      </c>
      <c r="C1708" s="3">
        <f>IF(D1708="","",IF(V1708=0,"🟢 OK",IF(D1708&lt;corte,"⚪ HISTÓRICO (sem baixa)",IF(AND(ISNUMBER(R1708),R1708&lt;TODAY()),"🔴 PRAZO VENCIDO",IF(AND(OR(N1708="PENDENTE",N1708="PARCIAL"),D1708&lt;TODAY()-1),"🔴 EMBARQUE ATRASADO",IF(AND(N1708="REALIZADO",M1708="PENDENTE"),"🟡 EMBARCADO SEM FATURAR",IF(AND(P1708&lt;&gt;"",S1708="",OR(Q1708="",R1708="")),"🟡 PENDÊNCIA SEM RESPONSÁVEL/PRAZO",IF(AND(ISNUMBER(R1708),R1708=TODAY()),"🟡 VENCE HOJE",IF(AND(P1708&lt;&gt;"",S1708=""),"🟡 PENDÊNCIA ABERTA",IF(AND(N(J1708)&gt;0,N(K1708)&lt;J1708),"🟡 FALTA EXECUTAR",IF(OR(M1708="PENDENTE",M1708="PARCIAL"),"🟡 FATURAMENTO PENDENTE","🟡 EMBARQUE PENDENTE")))))))))))</f>
        <v/>
      </c>
      <c r="D1708" s="4" t="n"/>
      <c r="E1708" s="5" t="n"/>
      <c r="F1708" s="5" t="n"/>
      <c r="G1708" s="5" t="n"/>
      <c r="H1708" s="5" t="n"/>
      <c r="I1708" s="5" t="n"/>
      <c r="J1708" s="6" t="n"/>
      <c r="K1708" s="6" t="n"/>
      <c r="L1708" s="7">
        <f>IF(OR(D1708="",N(J1708)=0),"",MIN(1,N(K1708)/J1708))</f>
        <v/>
      </c>
      <c r="M1708" s="5" t="n"/>
      <c r="N1708" s="5" t="n"/>
      <c r="O1708" s="5" t="n"/>
      <c r="P1708" s="5" t="n"/>
      <c r="Q1708" s="5" t="n"/>
      <c r="R1708" s="4" t="n"/>
      <c r="S1708" s="4" t="n"/>
      <c r="T1708" s="5" t="n"/>
      <c r="U1708" s="8">
        <f>IF(AND(V1708=1,D1708&lt;&gt;""),IF(D1708&gt;=corte,TODAY()-D1708,""),"")</f>
        <v/>
      </c>
      <c r="V1708" s="8">
        <f>IF(D1708="",0,IF(OR(AND(P1708&lt;&gt;"",S1708=""),AND(N(J1708)&gt;0,N(K1708)&lt;J1708),OR(M1708="PENDENTE",M1708="PARCIAL"),OR(N1708="PENDENTE",N1708="PARCIAL")),1,0))</f>
        <v/>
      </c>
      <c r="W1708" s="8">
        <f>IF(AND(V1708=1,D1708&lt;&gt;""),IF(D1708&gt;=corte,(B1708="CRÍTICO")*1E9+(100000-D1708)*10000+10000-ROW(),""),"")</f>
        <v/>
      </c>
      <c r="X1708" s="8">
        <f>IF(AND(V1708=1,D1708=pas_data,E1708=pas_turno),10000-ROW(),"")</f>
        <v/>
      </c>
    </row>
    <row r="1709">
      <c r="A1709" s="3">
        <f>IF(D1709="","","TT-"&amp;TEXT(ROW()-1,"00000"))</f>
        <v/>
      </c>
      <c r="B1709" s="3">
        <f>IF(D1709="","",IF(V1709=0,"CONCLUÍDO",IF(D1709&lt;corte,"HISTÓRICO",IF(OR(AND(ISNUMBER(R1709),R1709&lt;TODAY()),AND(OR(N1709="PENDENTE",N1709="PARCIAL"),D1709&lt;TODAY()-1)),"CRÍTICO",IF(OR(AND(P1709&lt;&gt;"",S1709=""),AND(N1709="REALIZADO",M1709="PENDENTE"),AND(ISNUMBER(R1709),R1709=TODAY())),"ATENÇÃO",IF(N(K1709)=0,"PENDENTE","EM ANDAMENTO"))))))</f>
        <v/>
      </c>
      <c r="C1709" s="3">
        <f>IF(D1709="","",IF(V1709=0,"🟢 OK",IF(D1709&lt;corte,"⚪ HISTÓRICO (sem baixa)",IF(AND(ISNUMBER(R1709),R1709&lt;TODAY()),"🔴 PRAZO VENCIDO",IF(AND(OR(N1709="PENDENTE",N1709="PARCIAL"),D1709&lt;TODAY()-1),"🔴 EMBARQUE ATRASADO",IF(AND(N1709="REALIZADO",M1709="PENDENTE"),"🟡 EMBARCADO SEM FATURAR",IF(AND(P1709&lt;&gt;"",S1709="",OR(Q1709="",R1709="")),"🟡 PENDÊNCIA SEM RESPONSÁVEL/PRAZO",IF(AND(ISNUMBER(R1709),R1709=TODAY()),"🟡 VENCE HOJE",IF(AND(P1709&lt;&gt;"",S1709=""),"🟡 PENDÊNCIA ABERTA",IF(AND(N(J1709)&gt;0,N(K1709)&lt;J1709),"🟡 FALTA EXECUTAR",IF(OR(M1709="PENDENTE",M1709="PARCIAL"),"🟡 FATURAMENTO PENDENTE","🟡 EMBARQUE PENDENTE")))))))))))</f>
        <v/>
      </c>
      <c r="D1709" s="4" t="n"/>
      <c r="E1709" s="5" t="n"/>
      <c r="F1709" s="5" t="n"/>
      <c r="G1709" s="5" t="n"/>
      <c r="H1709" s="5" t="n"/>
      <c r="I1709" s="5" t="n"/>
      <c r="J1709" s="6" t="n"/>
      <c r="K1709" s="6" t="n"/>
      <c r="L1709" s="7">
        <f>IF(OR(D1709="",N(J1709)=0),"",MIN(1,N(K1709)/J1709))</f>
        <v/>
      </c>
      <c r="M1709" s="5" t="n"/>
      <c r="N1709" s="5" t="n"/>
      <c r="O1709" s="5" t="n"/>
      <c r="P1709" s="5" t="n"/>
      <c r="Q1709" s="5" t="n"/>
      <c r="R1709" s="4" t="n"/>
      <c r="S1709" s="4" t="n"/>
      <c r="T1709" s="5" t="n"/>
      <c r="U1709" s="8">
        <f>IF(AND(V1709=1,D1709&lt;&gt;""),IF(D1709&gt;=corte,TODAY()-D1709,""),"")</f>
        <v/>
      </c>
      <c r="V1709" s="8">
        <f>IF(D1709="",0,IF(OR(AND(P1709&lt;&gt;"",S1709=""),AND(N(J1709)&gt;0,N(K1709)&lt;J1709),OR(M1709="PENDENTE",M1709="PARCIAL"),OR(N1709="PENDENTE",N1709="PARCIAL")),1,0))</f>
        <v/>
      </c>
      <c r="W1709" s="8">
        <f>IF(AND(V1709=1,D1709&lt;&gt;""),IF(D1709&gt;=corte,(B1709="CRÍTICO")*1E9+(100000-D1709)*10000+10000-ROW(),""),"")</f>
        <v/>
      </c>
      <c r="X1709" s="8">
        <f>IF(AND(V1709=1,D1709=pas_data,E1709=pas_turno),10000-ROW(),"")</f>
        <v/>
      </c>
    </row>
    <row r="1710">
      <c r="A1710" s="3">
        <f>IF(D1710="","","TT-"&amp;TEXT(ROW()-1,"00000"))</f>
        <v/>
      </c>
      <c r="B1710" s="3">
        <f>IF(D1710="","",IF(V1710=0,"CONCLUÍDO",IF(D1710&lt;corte,"HISTÓRICO",IF(OR(AND(ISNUMBER(R1710),R1710&lt;TODAY()),AND(OR(N1710="PENDENTE",N1710="PARCIAL"),D1710&lt;TODAY()-1)),"CRÍTICO",IF(OR(AND(P1710&lt;&gt;"",S1710=""),AND(N1710="REALIZADO",M1710="PENDENTE"),AND(ISNUMBER(R1710),R1710=TODAY())),"ATENÇÃO",IF(N(K1710)=0,"PENDENTE","EM ANDAMENTO"))))))</f>
        <v/>
      </c>
      <c r="C1710" s="3">
        <f>IF(D1710="","",IF(V1710=0,"🟢 OK",IF(D1710&lt;corte,"⚪ HISTÓRICO (sem baixa)",IF(AND(ISNUMBER(R1710),R1710&lt;TODAY()),"🔴 PRAZO VENCIDO",IF(AND(OR(N1710="PENDENTE",N1710="PARCIAL"),D1710&lt;TODAY()-1),"🔴 EMBARQUE ATRASADO",IF(AND(N1710="REALIZADO",M1710="PENDENTE"),"🟡 EMBARCADO SEM FATURAR",IF(AND(P1710&lt;&gt;"",S1710="",OR(Q1710="",R1710="")),"🟡 PENDÊNCIA SEM RESPONSÁVEL/PRAZO",IF(AND(ISNUMBER(R1710),R1710=TODAY()),"🟡 VENCE HOJE",IF(AND(P1710&lt;&gt;"",S1710=""),"🟡 PENDÊNCIA ABERTA",IF(AND(N(J1710)&gt;0,N(K1710)&lt;J1710),"🟡 FALTA EXECUTAR",IF(OR(M1710="PENDENTE",M1710="PARCIAL"),"🟡 FATURAMENTO PENDENTE","🟡 EMBARQUE PENDENTE")))))))))))</f>
        <v/>
      </c>
      <c r="D1710" s="4" t="n"/>
      <c r="E1710" s="5" t="n"/>
      <c r="F1710" s="5" t="n"/>
      <c r="G1710" s="5" t="n"/>
      <c r="H1710" s="5" t="n"/>
      <c r="I1710" s="5" t="n"/>
      <c r="J1710" s="6" t="n"/>
      <c r="K1710" s="6" t="n"/>
      <c r="L1710" s="7">
        <f>IF(OR(D1710="",N(J1710)=0),"",MIN(1,N(K1710)/J1710))</f>
        <v/>
      </c>
      <c r="M1710" s="5" t="n"/>
      <c r="N1710" s="5" t="n"/>
      <c r="O1710" s="5" t="n"/>
      <c r="P1710" s="5" t="n"/>
      <c r="Q1710" s="5" t="n"/>
      <c r="R1710" s="4" t="n"/>
      <c r="S1710" s="4" t="n"/>
      <c r="T1710" s="5" t="n"/>
      <c r="U1710" s="8">
        <f>IF(AND(V1710=1,D1710&lt;&gt;""),IF(D1710&gt;=corte,TODAY()-D1710,""),"")</f>
        <v/>
      </c>
      <c r="V1710" s="8">
        <f>IF(D1710="",0,IF(OR(AND(P1710&lt;&gt;"",S1710=""),AND(N(J1710)&gt;0,N(K1710)&lt;J1710),OR(M1710="PENDENTE",M1710="PARCIAL"),OR(N1710="PENDENTE",N1710="PARCIAL")),1,0))</f>
        <v/>
      </c>
      <c r="W1710" s="8">
        <f>IF(AND(V1710=1,D1710&lt;&gt;""),IF(D1710&gt;=corte,(B1710="CRÍTICO")*1E9+(100000-D1710)*10000+10000-ROW(),""),"")</f>
        <v/>
      </c>
      <c r="X1710" s="8">
        <f>IF(AND(V1710=1,D1710=pas_data,E1710=pas_turno),10000-ROW(),"")</f>
        <v/>
      </c>
    </row>
    <row r="1711">
      <c r="A1711" s="3">
        <f>IF(D1711="","","TT-"&amp;TEXT(ROW()-1,"00000"))</f>
        <v/>
      </c>
      <c r="B1711" s="3">
        <f>IF(D1711="","",IF(V1711=0,"CONCLUÍDO",IF(D1711&lt;corte,"HISTÓRICO",IF(OR(AND(ISNUMBER(R1711),R1711&lt;TODAY()),AND(OR(N1711="PENDENTE",N1711="PARCIAL"),D1711&lt;TODAY()-1)),"CRÍTICO",IF(OR(AND(P1711&lt;&gt;"",S1711=""),AND(N1711="REALIZADO",M1711="PENDENTE"),AND(ISNUMBER(R1711),R1711=TODAY())),"ATENÇÃO",IF(N(K1711)=0,"PENDENTE","EM ANDAMENTO"))))))</f>
        <v/>
      </c>
      <c r="C1711" s="3">
        <f>IF(D1711="","",IF(V1711=0,"🟢 OK",IF(D1711&lt;corte,"⚪ HISTÓRICO (sem baixa)",IF(AND(ISNUMBER(R1711),R1711&lt;TODAY()),"🔴 PRAZO VENCIDO",IF(AND(OR(N1711="PENDENTE",N1711="PARCIAL"),D1711&lt;TODAY()-1),"🔴 EMBARQUE ATRASADO",IF(AND(N1711="REALIZADO",M1711="PENDENTE"),"🟡 EMBARCADO SEM FATURAR",IF(AND(P1711&lt;&gt;"",S1711="",OR(Q1711="",R1711="")),"🟡 PENDÊNCIA SEM RESPONSÁVEL/PRAZO",IF(AND(ISNUMBER(R1711),R1711=TODAY()),"🟡 VENCE HOJE",IF(AND(P1711&lt;&gt;"",S1711=""),"🟡 PENDÊNCIA ABERTA",IF(AND(N(J1711)&gt;0,N(K1711)&lt;J1711),"🟡 FALTA EXECUTAR",IF(OR(M1711="PENDENTE",M1711="PARCIAL"),"🟡 FATURAMENTO PENDENTE","🟡 EMBARQUE PENDENTE")))))))))))</f>
        <v/>
      </c>
      <c r="D1711" s="4" t="n"/>
      <c r="E1711" s="5" t="n"/>
      <c r="F1711" s="5" t="n"/>
      <c r="G1711" s="5" t="n"/>
      <c r="H1711" s="5" t="n"/>
      <c r="I1711" s="5" t="n"/>
      <c r="J1711" s="6" t="n"/>
      <c r="K1711" s="6" t="n"/>
      <c r="L1711" s="7">
        <f>IF(OR(D1711="",N(J1711)=0),"",MIN(1,N(K1711)/J1711))</f>
        <v/>
      </c>
      <c r="M1711" s="5" t="n"/>
      <c r="N1711" s="5" t="n"/>
      <c r="O1711" s="5" t="n"/>
      <c r="P1711" s="5" t="n"/>
      <c r="Q1711" s="5" t="n"/>
      <c r="R1711" s="4" t="n"/>
      <c r="S1711" s="4" t="n"/>
      <c r="T1711" s="5" t="n"/>
      <c r="U1711" s="8">
        <f>IF(AND(V1711=1,D1711&lt;&gt;""),IF(D1711&gt;=corte,TODAY()-D1711,""),"")</f>
        <v/>
      </c>
      <c r="V1711" s="8">
        <f>IF(D1711="",0,IF(OR(AND(P1711&lt;&gt;"",S1711=""),AND(N(J1711)&gt;0,N(K1711)&lt;J1711),OR(M1711="PENDENTE",M1711="PARCIAL"),OR(N1711="PENDENTE",N1711="PARCIAL")),1,0))</f>
        <v/>
      </c>
      <c r="W1711" s="8">
        <f>IF(AND(V1711=1,D1711&lt;&gt;""),IF(D1711&gt;=corte,(B1711="CRÍTICO")*1E9+(100000-D1711)*10000+10000-ROW(),""),"")</f>
        <v/>
      </c>
      <c r="X1711" s="8">
        <f>IF(AND(V1711=1,D1711=pas_data,E1711=pas_turno),10000-ROW(),"")</f>
        <v/>
      </c>
    </row>
    <row r="1712">
      <c r="A1712" s="3">
        <f>IF(D1712="","","TT-"&amp;TEXT(ROW()-1,"00000"))</f>
        <v/>
      </c>
      <c r="B1712" s="3">
        <f>IF(D1712="","",IF(V1712=0,"CONCLUÍDO",IF(D1712&lt;corte,"HISTÓRICO",IF(OR(AND(ISNUMBER(R1712),R1712&lt;TODAY()),AND(OR(N1712="PENDENTE",N1712="PARCIAL"),D1712&lt;TODAY()-1)),"CRÍTICO",IF(OR(AND(P1712&lt;&gt;"",S1712=""),AND(N1712="REALIZADO",M1712="PENDENTE"),AND(ISNUMBER(R1712),R1712=TODAY())),"ATENÇÃO",IF(N(K1712)=0,"PENDENTE","EM ANDAMENTO"))))))</f>
        <v/>
      </c>
      <c r="C1712" s="3">
        <f>IF(D1712="","",IF(V1712=0,"🟢 OK",IF(D1712&lt;corte,"⚪ HISTÓRICO (sem baixa)",IF(AND(ISNUMBER(R1712),R1712&lt;TODAY()),"🔴 PRAZO VENCIDO",IF(AND(OR(N1712="PENDENTE",N1712="PARCIAL"),D1712&lt;TODAY()-1),"🔴 EMBARQUE ATRASADO",IF(AND(N1712="REALIZADO",M1712="PENDENTE"),"🟡 EMBARCADO SEM FATURAR",IF(AND(P1712&lt;&gt;"",S1712="",OR(Q1712="",R1712="")),"🟡 PENDÊNCIA SEM RESPONSÁVEL/PRAZO",IF(AND(ISNUMBER(R1712),R1712=TODAY()),"🟡 VENCE HOJE",IF(AND(P1712&lt;&gt;"",S1712=""),"🟡 PENDÊNCIA ABERTA",IF(AND(N(J1712)&gt;0,N(K1712)&lt;J1712),"🟡 FALTA EXECUTAR",IF(OR(M1712="PENDENTE",M1712="PARCIAL"),"🟡 FATURAMENTO PENDENTE","🟡 EMBARQUE PENDENTE")))))))))))</f>
        <v/>
      </c>
      <c r="D1712" s="4" t="n"/>
      <c r="E1712" s="5" t="n"/>
      <c r="F1712" s="5" t="n"/>
      <c r="G1712" s="5" t="n"/>
      <c r="H1712" s="5" t="n"/>
      <c r="I1712" s="5" t="n"/>
      <c r="J1712" s="6" t="n"/>
      <c r="K1712" s="6" t="n"/>
      <c r="L1712" s="7">
        <f>IF(OR(D1712="",N(J1712)=0),"",MIN(1,N(K1712)/J1712))</f>
        <v/>
      </c>
      <c r="M1712" s="5" t="n"/>
      <c r="N1712" s="5" t="n"/>
      <c r="O1712" s="5" t="n"/>
      <c r="P1712" s="5" t="n"/>
      <c r="Q1712" s="5" t="n"/>
      <c r="R1712" s="4" t="n"/>
      <c r="S1712" s="4" t="n"/>
      <c r="T1712" s="5" t="n"/>
      <c r="U1712" s="8">
        <f>IF(AND(V1712=1,D1712&lt;&gt;""),IF(D1712&gt;=corte,TODAY()-D1712,""),"")</f>
        <v/>
      </c>
      <c r="V1712" s="8">
        <f>IF(D1712="",0,IF(OR(AND(P1712&lt;&gt;"",S1712=""),AND(N(J1712)&gt;0,N(K1712)&lt;J1712),OR(M1712="PENDENTE",M1712="PARCIAL"),OR(N1712="PENDENTE",N1712="PARCIAL")),1,0))</f>
        <v/>
      </c>
      <c r="W1712" s="8">
        <f>IF(AND(V1712=1,D1712&lt;&gt;""),IF(D1712&gt;=corte,(B1712="CRÍTICO")*1E9+(100000-D1712)*10000+10000-ROW(),""),"")</f>
        <v/>
      </c>
      <c r="X1712" s="8">
        <f>IF(AND(V1712=1,D1712=pas_data,E1712=pas_turno),10000-ROW(),"")</f>
        <v/>
      </c>
    </row>
    <row r="1713">
      <c r="A1713" s="3">
        <f>IF(D1713="","","TT-"&amp;TEXT(ROW()-1,"00000"))</f>
        <v/>
      </c>
      <c r="B1713" s="3">
        <f>IF(D1713="","",IF(V1713=0,"CONCLUÍDO",IF(D1713&lt;corte,"HISTÓRICO",IF(OR(AND(ISNUMBER(R1713),R1713&lt;TODAY()),AND(OR(N1713="PENDENTE",N1713="PARCIAL"),D1713&lt;TODAY()-1)),"CRÍTICO",IF(OR(AND(P1713&lt;&gt;"",S1713=""),AND(N1713="REALIZADO",M1713="PENDENTE"),AND(ISNUMBER(R1713),R1713=TODAY())),"ATENÇÃO",IF(N(K1713)=0,"PENDENTE","EM ANDAMENTO"))))))</f>
        <v/>
      </c>
      <c r="C1713" s="3">
        <f>IF(D1713="","",IF(V1713=0,"🟢 OK",IF(D1713&lt;corte,"⚪ HISTÓRICO (sem baixa)",IF(AND(ISNUMBER(R1713),R1713&lt;TODAY()),"🔴 PRAZO VENCIDO",IF(AND(OR(N1713="PENDENTE",N1713="PARCIAL"),D1713&lt;TODAY()-1),"🔴 EMBARQUE ATRASADO",IF(AND(N1713="REALIZADO",M1713="PENDENTE"),"🟡 EMBARCADO SEM FATURAR",IF(AND(P1713&lt;&gt;"",S1713="",OR(Q1713="",R1713="")),"🟡 PENDÊNCIA SEM RESPONSÁVEL/PRAZO",IF(AND(ISNUMBER(R1713),R1713=TODAY()),"🟡 VENCE HOJE",IF(AND(P1713&lt;&gt;"",S1713=""),"🟡 PENDÊNCIA ABERTA",IF(AND(N(J1713)&gt;0,N(K1713)&lt;J1713),"🟡 FALTA EXECUTAR",IF(OR(M1713="PENDENTE",M1713="PARCIAL"),"🟡 FATURAMENTO PENDENTE","🟡 EMBARQUE PENDENTE")))))))))))</f>
        <v/>
      </c>
      <c r="D1713" s="4" t="n"/>
      <c r="E1713" s="5" t="n"/>
      <c r="F1713" s="5" t="n"/>
      <c r="G1713" s="5" t="n"/>
      <c r="H1713" s="5" t="n"/>
      <c r="I1713" s="5" t="n"/>
      <c r="J1713" s="6" t="n"/>
      <c r="K1713" s="6" t="n"/>
      <c r="L1713" s="7">
        <f>IF(OR(D1713="",N(J1713)=0),"",MIN(1,N(K1713)/J1713))</f>
        <v/>
      </c>
      <c r="M1713" s="5" t="n"/>
      <c r="N1713" s="5" t="n"/>
      <c r="O1713" s="5" t="n"/>
      <c r="P1713" s="5" t="n"/>
      <c r="Q1713" s="5" t="n"/>
      <c r="R1713" s="4" t="n"/>
      <c r="S1713" s="4" t="n"/>
      <c r="T1713" s="5" t="n"/>
      <c r="U1713" s="8">
        <f>IF(AND(V1713=1,D1713&lt;&gt;""),IF(D1713&gt;=corte,TODAY()-D1713,""),"")</f>
        <v/>
      </c>
      <c r="V1713" s="8">
        <f>IF(D1713="",0,IF(OR(AND(P1713&lt;&gt;"",S1713=""),AND(N(J1713)&gt;0,N(K1713)&lt;J1713),OR(M1713="PENDENTE",M1713="PARCIAL"),OR(N1713="PENDENTE",N1713="PARCIAL")),1,0))</f>
        <v/>
      </c>
      <c r="W1713" s="8">
        <f>IF(AND(V1713=1,D1713&lt;&gt;""),IF(D1713&gt;=corte,(B1713="CRÍTICO")*1E9+(100000-D1713)*10000+10000-ROW(),""),"")</f>
        <v/>
      </c>
      <c r="X1713" s="8">
        <f>IF(AND(V1713=1,D1713=pas_data,E1713=pas_turno),10000-ROW(),"")</f>
        <v/>
      </c>
    </row>
    <row r="1714">
      <c r="A1714" s="3">
        <f>IF(D1714="","","TT-"&amp;TEXT(ROW()-1,"00000"))</f>
        <v/>
      </c>
      <c r="B1714" s="3">
        <f>IF(D1714="","",IF(V1714=0,"CONCLUÍDO",IF(D1714&lt;corte,"HISTÓRICO",IF(OR(AND(ISNUMBER(R1714),R1714&lt;TODAY()),AND(OR(N1714="PENDENTE",N1714="PARCIAL"),D1714&lt;TODAY()-1)),"CRÍTICO",IF(OR(AND(P1714&lt;&gt;"",S1714=""),AND(N1714="REALIZADO",M1714="PENDENTE"),AND(ISNUMBER(R1714),R1714=TODAY())),"ATENÇÃO",IF(N(K1714)=0,"PENDENTE","EM ANDAMENTO"))))))</f>
        <v/>
      </c>
      <c r="C1714" s="3">
        <f>IF(D1714="","",IF(V1714=0,"🟢 OK",IF(D1714&lt;corte,"⚪ HISTÓRICO (sem baixa)",IF(AND(ISNUMBER(R1714),R1714&lt;TODAY()),"🔴 PRAZO VENCIDO",IF(AND(OR(N1714="PENDENTE",N1714="PARCIAL"),D1714&lt;TODAY()-1),"🔴 EMBARQUE ATRASADO",IF(AND(N1714="REALIZADO",M1714="PENDENTE"),"🟡 EMBARCADO SEM FATURAR",IF(AND(P1714&lt;&gt;"",S1714="",OR(Q1714="",R1714="")),"🟡 PENDÊNCIA SEM RESPONSÁVEL/PRAZO",IF(AND(ISNUMBER(R1714),R1714=TODAY()),"🟡 VENCE HOJE",IF(AND(P1714&lt;&gt;"",S1714=""),"🟡 PENDÊNCIA ABERTA",IF(AND(N(J1714)&gt;0,N(K1714)&lt;J1714),"🟡 FALTA EXECUTAR",IF(OR(M1714="PENDENTE",M1714="PARCIAL"),"🟡 FATURAMENTO PENDENTE","🟡 EMBARQUE PENDENTE")))))))))))</f>
        <v/>
      </c>
      <c r="D1714" s="4" t="n"/>
      <c r="E1714" s="5" t="n"/>
      <c r="F1714" s="5" t="n"/>
      <c r="G1714" s="5" t="n"/>
      <c r="H1714" s="5" t="n"/>
      <c r="I1714" s="5" t="n"/>
      <c r="J1714" s="6" t="n"/>
      <c r="K1714" s="6" t="n"/>
      <c r="L1714" s="7">
        <f>IF(OR(D1714="",N(J1714)=0),"",MIN(1,N(K1714)/J1714))</f>
        <v/>
      </c>
      <c r="M1714" s="5" t="n"/>
      <c r="N1714" s="5" t="n"/>
      <c r="O1714" s="5" t="n"/>
      <c r="P1714" s="5" t="n"/>
      <c r="Q1714" s="5" t="n"/>
      <c r="R1714" s="4" t="n"/>
      <c r="S1714" s="4" t="n"/>
      <c r="T1714" s="5" t="n"/>
      <c r="U1714" s="8">
        <f>IF(AND(V1714=1,D1714&lt;&gt;""),IF(D1714&gt;=corte,TODAY()-D1714,""),"")</f>
        <v/>
      </c>
      <c r="V1714" s="8">
        <f>IF(D1714="",0,IF(OR(AND(P1714&lt;&gt;"",S1714=""),AND(N(J1714)&gt;0,N(K1714)&lt;J1714),OR(M1714="PENDENTE",M1714="PARCIAL"),OR(N1714="PENDENTE",N1714="PARCIAL")),1,0))</f>
        <v/>
      </c>
      <c r="W1714" s="8">
        <f>IF(AND(V1714=1,D1714&lt;&gt;""),IF(D1714&gt;=corte,(B1714="CRÍTICO")*1E9+(100000-D1714)*10000+10000-ROW(),""),"")</f>
        <v/>
      </c>
      <c r="X1714" s="8">
        <f>IF(AND(V1714=1,D1714=pas_data,E1714=pas_turno),10000-ROW(),"")</f>
        <v/>
      </c>
    </row>
    <row r="1715">
      <c r="A1715" s="3">
        <f>IF(D1715="","","TT-"&amp;TEXT(ROW()-1,"00000"))</f>
        <v/>
      </c>
      <c r="B1715" s="3">
        <f>IF(D1715="","",IF(V1715=0,"CONCLUÍDO",IF(D1715&lt;corte,"HISTÓRICO",IF(OR(AND(ISNUMBER(R1715),R1715&lt;TODAY()),AND(OR(N1715="PENDENTE",N1715="PARCIAL"),D1715&lt;TODAY()-1)),"CRÍTICO",IF(OR(AND(P1715&lt;&gt;"",S1715=""),AND(N1715="REALIZADO",M1715="PENDENTE"),AND(ISNUMBER(R1715),R1715=TODAY())),"ATENÇÃO",IF(N(K1715)=0,"PENDENTE","EM ANDAMENTO"))))))</f>
        <v/>
      </c>
      <c r="C1715" s="3">
        <f>IF(D1715="","",IF(V1715=0,"🟢 OK",IF(D1715&lt;corte,"⚪ HISTÓRICO (sem baixa)",IF(AND(ISNUMBER(R1715),R1715&lt;TODAY()),"🔴 PRAZO VENCIDO",IF(AND(OR(N1715="PENDENTE",N1715="PARCIAL"),D1715&lt;TODAY()-1),"🔴 EMBARQUE ATRASADO",IF(AND(N1715="REALIZADO",M1715="PENDENTE"),"🟡 EMBARCADO SEM FATURAR",IF(AND(P1715&lt;&gt;"",S1715="",OR(Q1715="",R1715="")),"🟡 PENDÊNCIA SEM RESPONSÁVEL/PRAZO",IF(AND(ISNUMBER(R1715),R1715=TODAY()),"🟡 VENCE HOJE",IF(AND(P1715&lt;&gt;"",S1715=""),"🟡 PENDÊNCIA ABERTA",IF(AND(N(J1715)&gt;0,N(K1715)&lt;J1715),"🟡 FALTA EXECUTAR",IF(OR(M1715="PENDENTE",M1715="PARCIAL"),"🟡 FATURAMENTO PENDENTE","🟡 EMBARQUE PENDENTE")))))))))))</f>
        <v/>
      </c>
      <c r="D1715" s="4" t="n"/>
      <c r="E1715" s="5" t="n"/>
      <c r="F1715" s="5" t="n"/>
      <c r="G1715" s="5" t="n"/>
      <c r="H1715" s="5" t="n"/>
      <c r="I1715" s="5" t="n"/>
      <c r="J1715" s="6" t="n"/>
      <c r="K1715" s="6" t="n"/>
      <c r="L1715" s="7">
        <f>IF(OR(D1715="",N(J1715)=0),"",MIN(1,N(K1715)/J1715))</f>
        <v/>
      </c>
      <c r="M1715" s="5" t="n"/>
      <c r="N1715" s="5" t="n"/>
      <c r="O1715" s="5" t="n"/>
      <c r="P1715" s="5" t="n"/>
      <c r="Q1715" s="5" t="n"/>
      <c r="R1715" s="4" t="n"/>
      <c r="S1715" s="4" t="n"/>
      <c r="T1715" s="5" t="n"/>
      <c r="U1715" s="8">
        <f>IF(AND(V1715=1,D1715&lt;&gt;""),IF(D1715&gt;=corte,TODAY()-D1715,""),"")</f>
        <v/>
      </c>
      <c r="V1715" s="8">
        <f>IF(D1715="",0,IF(OR(AND(P1715&lt;&gt;"",S1715=""),AND(N(J1715)&gt;0,N(K1715)&lt;J1715),OR(M1715="PENDENTE",M1715="PARCIAL"),OR(N1715="PENDENTE",N1715="PARCIAL")),1,0))</f>
        <v/>
      </c>
      <c r="W1715" s="8">
        <f>IF(AND(V1715=1,D1715&lt;&gt;""),IF(D1715&gt;=corte,(B1715="CRÍTICO")*1E9+(100000-D1715)*10000+10000-ROW(),""),"")</f>
        <v/>
      </c>
      <c r="X1715" s="8">
        <f>IF(AND(V1715=1,D1715=pas_data,E1715=pas_turno),10000-ROW(),"")</f>
        <v/>
      </c>
    </row>
    <row r="1716">
      <c r="A1716" s="3">
        <f>IF(D1716="","","TT-"&amp;TEXT(ROW()-1,"00000"))</f>
        <v/>
      </c>
      <c r="B1716" s="3">
        <f>IF(D1716="","",IF(V1716=0,"CONCLUÍDO",IF(D1716&lt;corte,"HISTÓRICO",IF(OR(AND(ISNUMBER(R1716),R1716&lt;TODAY()),AND(OR(N1716="PENDENTE",N1716="PARCIAL"),D1716&lt;TODAY()-1)),"CRÍTICO",IF(OR(AND(P1716&lt;&gt;"",S1716=""),AND(N1716="REALIZADO",M1716="PENDENTE"),AND(ISNUMBER(R1716),R1716=TODAY())),"ATENÇÃO",IF(N(K1716)=0,"PENDENTE","EM ANDAMENTO"))))))</f>
        <v/>
      </c>
      <c r="C1716" s="3">
        <f>IF(D1716="","",IF(V1716=0,"🟢 OK",IF(D1716&lt;corte,"⚪ HISTÓRICO (sem baixa)",IF(AND(ISNUMBER(R1716),R1716&lt;TODAY()),"🔴 PRAZO VENCIDO",IF(AND(OR(N1716="PENDENTE",N1716="PARCIAL"),D1716&lt;TODAY()-1),"🔴 EMBARQUE ATRASADO",IF(AND(N1716="REALIZADO",M1716="PENDENTE"),"🟡 EMBARCADO SEM FATURAR",IF(AND(P1716&lt;&gt;"",S1716="",OR(Q1716="",R1716="")),"🟡 PENDÊNCIA SEM RESPONSÁVEL/PRAZO",IF(AND(ISNUMBER(R1716),R1716=TODAY()),"🟡 VENCE HOJE",IF(AND(P1716&lt;&gt;"",S1716=""),"🟡 PENDÊNCIA ABERTA",IF(AND(N(J1716)&gt;0,N(K1716)&lt;J1716),"🟡 FALTA EXECUTAR",IF(OR(M1716="PENDENTE",M1716="PARCIAL"),"🟡 FATURAMENTO PENDENTE","🟡 EMBARQUE PENDENTE")))))))))))</f>
        <v/>
      </c>
      <c r="D1716" s="4" t="n"/>
      <c r="E1716" s="5" t="n"/>
      <c r="F1716" s="5" t="n"/>
      <c r="G1716" s="5" t="n"/>
      <c r="H1716" s="5" t="n"/>
      <c r="I1716" s="5" t="n"/>
      <c r="J1716" s="6" t="n"/>
      <c r="K1716" s="6" t="n"/>
      <c r="L1716" s="7">
        <f>IF(OR(D1716="",N(J1716)=0),"",MIN(1,N(K1716)/J1716))</f>
        <v/>
      </c>
      <c r="M1716" s="5" t="n"/>
      <c r="N1716" s="5" t="n"/>
      <c r="O1716" s="5" t="n"/>
      <c r="P1716" s="5" t="n"/>
      <c r="Q1716" s="5" t="n"/>
      <c r="R1716" s="4" t="n"/>
      <c r="S1716" s="4" t="n"/>
      <c r="T1716" s="5" t="n"/>
      <c r="U1716" s="8">
        <f>IF(AND(V1716=1,D1716&lt;&gt;""),IF(D1716&gt;=corte,TODAY()-D1716,""),"")</f>
        <v/>
      </c>
      <c r="V1716" s="8">
        <f>IF(D1716="",0,IF(OR(AND(P1716&lt;&gt;"",S1716=""),AND(N(J1716)&gt;0,N(K1716)&lt;J1716),OR(M1716="PENDENTE",M1716="PARCIAL"),OR(N1716="PENDENTE",N1716="PARCIAL")),1,0))</f>
        <v/>
      </c>
      <c r="W1716" s="8">
        <f>IF(AND(V1716=1,D1716&lt;&gt;""),IF(D1716&gt;=corte,(B1716="CRÍTICO")*1E9+(100000-D1716)*10000+10000-ROW(),""),"")</f>
        <v/>
      </c>
      <c r="X1716" s="8">
        <f>IF(AND(V1716=1,D1716=pas_data,E1716=pas_turno),10000-ROW(),"")</f>
        <v/>
      </c>
    </row>
    <row r="1717">
      <c r="A1717" s="3">
        <f>IF(D1717="","","TT-"&amp;TEXT(ROW()-1,"00000"))</f>
        <v/>
      </c>
      <c r="B1717" s="3">
        <f>IF(D1717="","",IF(V1717=0,"CONCLUÍDO",IF(D1717&lt;corte,"HISTÓRICO",IF(OR(AND(ISNUMBER(R1717),R1717&lt;TODAY()),AND(OR(N1717="PENDENTE",N1717="PARCIAL"),D1717&lt;TODAY()-1)),"CRÍTICO",IF(OR(AND(P1717&lt;&gt;"",S1717=""),AND(N1717="REALIZADO",M1717="PENDENTE"),AND(ISNUMBER(R1717),R1717=TODAY())),"ATENÇÃO",IF(N(K1717)=0,"PENDENTE","EM ANDAMENTO"))))))</f>
        <v/>
      </c>
      <c r="C1717" s="3">
        <f>IF(D1717="","",IF(V1717=0,"🟢 OK",IF(D1717&lt;corte,"⚪ HISTÓRICO (sem baixa)",IF(AND(ISNUMBER(R1717),R1717&lt;TODAY()),"🔴 PRAZO VENCIDO",IF(AND(OR(N1717="PENDENTE",N1717="PARCIAL"),D1717&lt;TODAY()-1),"🔴 EMBARQUE ATRASADO",IF(AND(N1717="REALIZADO",M1717="PENDENTE"),"🟡 EMBARCADO SEM FATURAR",IF(AND(P1717&lt;&gt;"",S1717="",OR(Q1717="",R1717="")),"🟡 PENDÊNCIA SEM RESPONSÁVEL/PRAZO",IF(AND(ISNUMBER(R1717),R1717=TODAY()),"🟡 VENCE HOJE",IF(AND(P1717&lt;&gt;"",S1717=""),"🟡 PENDÊNCIA ABERTA",IF(AND(N(J1717)&gt;0,N(K1717)&lt;J1717),"🟡 FALTA EXECUTAR",IF(OR(M1717="PENDENTE",M1717="PARCIAL"),"🟡 FATURAMENTO PENDENTE","🟡 EMBARQUE PENDENTE")))))))))))</f>
        <v/>
      </c>
      <c r="D1717" s="4" t="n"/>
      <c r="E1717" s="5" t="n"/>
      <c r="F1717" s="5" t="n"/>
      <c r="G1717" s="5" t="n"/>
      <c r="H1717" s="5" t="n"/>
      <c r="I1717" s="5" t="n"/>
      <c r="J1717" s="6" t="n"/>
      <c r="K1717" s="6" t="n"/>
      <c r="L1717" s="7">
        <f>IF(OR(D1717="",N(J1717)=0),"",MIN(1,N(K1717)/J1717))</f>
        <v/>
      </c>
      <c r="M1717" s="5" t="n"/>
      <c r="N1717" s="5" t="n"/>
      <c r="O1717" s="5" t="n"/>
      <c r="P1717" s="5" t="n"/>
      <c r="Q1717" s="5" t="n"/>
      <c r="R1717" s="4" t="n"/>
      <c r="S1717" s="4" t="n"/>
      <c r="T1717" s="5" t="n"/>
      <c r="U1717" s="8">
        <f>IF(AND(V1717=1,D1717&lt;&gt;""),IF(D1717&gt;=corte,TODAY()-D1717,""),"")</f>
        <v/>
      </c>
      <c r="V1717" s="8">
        <f>IF(D1717="",0,IF(OR(AND(P1717&lt;&gt;"",S1717=""),AND(N(J1717)&gt;0,N(K1717)&lt;J1717),OR(M1717="PENDENTE",M1717="PARCIAL"),OR(N1717="PENDENTE",N1717="PARCIAL")),1,0))</f>
        <v/>
      </c>
      <c r="W1717" s="8">
        <f>IF(AND(V1717=1,D1717&lt;&gt;""),IF(D1717&gt;=corte,(B1717="CRÍTICO")*1E9+(100000-D1717)*10000+10000-ROW(),""),"")</f>
        <v/>
      </c>
      <c r="X1717" s="8">
        <f>IF(AND(V1717=1,D1717=pas_data,E1717=pas_turno),10000-ROW(),"")</f>
        <v/>
      </c>
    </row>
    <row r="1718">
      <c r="A1718" s="3">
        <f>IF(D1718="","","TT-"&amp;TEXT(ROW()-1,"00000"))</f>
        <v/>
      </c>
      <c r="B1718" s="3">
        <f>IF(D1718="","",IF(V1718=0,"CONCLUÍDO",IF(D1718&lt;corte,"HISTÓRICO",IF(OR(AND(ISNUMBER(R1718),R1718&lt;TODAY()),AND(OR(N1718="PENDENTE",N1718="PARCIAL"),D1718&lt;TODAY()-1)),"CRÍTICO",IF(OR(AND(P1718&lt;&gt;"",S1718=""),AND(N1718="REALIZADO",M1718="PENDENTE"),AND(ISNUMBER(R1718),R1718=TODAY())),"ATENÇÃO",IF(N(K1718)=0,"PENDENTE","EM ANDAMENTO"))))))</f>
        <v/>
      </c>
      <c r="C1718" s="3">
        <f>IF(D1718="","",IF(V1718=0,"🟢 OK",IF(D1718&lt;corte,"⚪ HISTÓRICO (sem baixa)",IF(AND(ISNUMBER(R1718),R1718&lt;TODAY()),"🔴 PRAZO VENCIDO",IF(AND(OR(N1718="PENDENTE",N1718="PARCIAL"),D1718&lt;TODAY()-1),"🔴 EMBARQUE ATRASADO",IF(AND(N1718="REALIZADO",M1718="PENDENTE"),"🟡 EMBARCADO SEM FATURAR",IF(AND(P1718&lt;&gt;"",S1718="",OR(Q1718="",R1718="")),"🟡 PENDÊNCIA SEM RESPONSÁVEL/PRAZO",IF(AND(ISNUMBER(R1718),R1718=TODAY()),"🟡 VENCE HOJE",IF(AND(P1718&lt;&gt;"",S1718=""),"🟡 PENDÊNCIA ABERTA",IF(AND(N(J1718)&gt;0,N(K1718)&lt;J1718),"🟡 FALTA EXECUTAR",IF(OR(M1718="PENDENTE",M1718="PARCIAL"),"🟡 FATURAMENTO PENDENTE","🟡 EMBARQUE PENDENTE")))))))))))</f>
        <v/>
      </c>
      <c r="D1718" s="4" t="n"/>
      <c r="E1718" s="5" t="n"/>
      <c r="F1718" s="5" t="n"/>
      <c r="G1718" s="5" t="n"/>
      <c r="H1718" s="5" t="n"/>
      <c r="I1718" s="5" t="n"/>
      <c r="J1718" s="6" t="n"/>
      <c r="K1718" s="6" t="n"/>
      <c r="L1718" s="7">
        <f>IF(OR(D1718="",N(J1718)=0),"",MIN(1,N(K1718)/J1718))</f>
        <v/>
      </c>
      <c r="M1718" s="5" t="n"/>
      <c r="N1718" s="5" t="n"/>
      <c r="O1718" s="5" t="n"/>
      <c r="P1718" s="5" t="n"/>
      <c r="Q1718" s="5" t="n"/>
      <c r="R1718" s="4" t="n"/>
      <c r="S1718" s="4" t="n"/>
      <c r="T1718" s="5" t="n"/>
      <c r="U1718" s="8">
        <f>IF(AND(V1718=1,D1718&lt;&gt;""),IF(D1718&gt;=corte,TODAY()-D1718,""),"")</f>
        <v/>
      </c>
      <c r="V1718" s="8">
        <f>IF(D1718="",0,IF(OR(AND(P1718&lt;&gt;"",S1718=""),AND(N(J1718)&gt;0,N(K1718)&lt;J1718),OR(M1718="PENDENTE",M1718="PARCIAL"),OR(N1718="PENDENTE",N1718="PARCIAL")),1,0))</f>
        <v/>
      </c>
      <c r="W1718" s="8">
        <f>IF(AND(V1718=1,D1718&lt;&gt;""),IF(D1718&gt;=corte,(B1718="CRÍTICO")*1E9+(100000-D1718)*10000+10000-ROW(),""),"")</f>
        <v/>
      </c>
      <c r="X1718" s="8">
        <f>IF(AND(V1718=1,D1718=pas_data,E1718=pas_turno),10000-ROW(),"")</f>
        <v/>
      </c>
    </row>
    <row r="1719">
      <c r="A1719" s="3">
        <f>IF(D1719="","","TT-"&amp;TEXT(ROW()-1,"00000"))</f>
        <v/>
      </c>
      <c r="B1719" s="3">
        <f>IF(D1719="","",IF(V1719=0,"CONCLUÍDO",IF(D1719&lt;corte,"HISTÓRICO",IF(OR(AND(ISNUMBER(R1719),R1719&lt;TODAY()),AND(OR(N1719="PENDENTE",N1719="PARCIAL"),D1719&lt;TODAY()-1)),"CRÍTICO",IF(OR(AND(P1719&lt;&gt;"",S1719=""),AND(N1719="REALIZADO",M1719="PENDENTE"),AND(ISNUMBER(R1719),R1719=TODAY())),"ATENÇÃO",IF(N(K1719)=0,"PENDENTE","EM ANDAMENTO"))))))</f>
        <v/>
      </c>
      <c r="C1719" s="3">
        <f>IF(D1719="","",IF(V1719=0,"🟢 OK",IF(D1719&lt;corte,"⚪ HISTÓRICO (sem baixa)",IF(AND(ISNUMBER(R1719),R1719&lt;TODAY()),"🔴 PRAZO VENCIDO",IF(AND(OR(N1719="PENDENTE",N1719="PARCIAL"),D1719&lt;TODAY()-1),"🔴 EMBARQUE ATRASADO",IF(AND(N1719="REALIZADO",M1719="PENDENTE"),"🟡 EMBARCADO SEM FATURAR",IF(AND(P1719&lt;&gt;"",S1719="",OR(Q1719="",R1719="")),"🟡 PENDÊNCIA SEM RESPONSÁVEL/PRAZO",IF(AND(ISNUMBER(R1719),R1719=TODAY()),"🟡 VENCE HOJE",IF(AND(P1719&lt;&gt;"",S1719=""),"🟡 PENDÊNCIA ABERTA",IF(AND(N(J1719)&gt;0,N(K1719)&lt;J1719),"🟡 FALTA EXECUTAR",IF(OR(M1719="PENDENTE",M1719="PARCIAL"),"🟡 FATURAMENTO PENDENTE","🟡 EMBARQUE PENDENTE")))))))))))</f>
        <v/>
      </c>
      <c r="D1719" s="4" t="n"/>
      <c r="E1719" s="5" t="n"/>
      <c r="F1719" s="5" t="n"/>
      <c r="G1719" s="5" t="n"/>
      <c r="H1719" s="5" t="n"/>
      <c r="I1719" s="5" t="n"/>
      <c r="J1719" s="6" t="n"/>
      <c r="K1719" s="6" t="n"/>
      <c r="L1719" s="7">
        <f>IF(OR(D1719="",N(J1719)=0),"",MIN(1,N(K1719)/J1719))</f>
        <v/>
      </c>
      <c r="M1719" s="5" t="n"/>
      <c r="N1719" s="5" t="n"/>
      <c r="O1719" s="5" t="n"/>
      <c r="P1719" s="5" t="n"/>
      <c r="Q1719" s="5" t="n"/>
      <c r="R1719" s="4" t="n"/>
      <c r="S1719" s="4" t="n"/>
      <c r="T1719" s="5" t="n"/>
      <c r="U1719" s="8">
        <f>IF(AND(V1719=1,D1719&lt;&gt;""),IF(D1719&gt;=corte,TODAY()-D1719,""),"")</f>
        <v/>
      </c>
      <c r="V1719" s="8">
        <f>IF(D1719="",0,IF(OR(AND(P1719&lt;&gt;"",S1719=""),AND(N(J1719)&gt;0,N(K1719)&lt;J1719),OR(M1719="PENDENTE",M1719="PARCIAL"),OR(N1719="PENDENTE",N1719="PARCIAL")),1,0))</f>
        <v/>
      </c>
      <c r="W1719" s="8">
        <f>IF(AND(V1719=1,D1719&lt;&gt;""),IF(D1719&gt;=corte,(B1719="CRÍTICO")*1E9+(100000-D1719)*10000+10000-ROW(),""),"")</f>
        <v/>
      </c>
      <c r="X1719" s="8">
        <f>IF(AND(V1719=1,D1719=pas_data,E1719=pas_turno),10000-ROW(),"")</f>
        <v/>
      </c>
    </row>
    <row r="1720">
      <c r="A1720" s="3">
        <f>IF(D1720="","","TT-"&amp;TEXT(ROW()-1,"00000"))</f>
        <v/>
      </c>
      <c r="B1720" s="3">
        <f>IF(D1720="","",IF(V1720=0,"CONCLUÍDO",IF(D1720&lt;corte,"HISTÓRICO",IF(OR(AND(ISNUMBER(R1720),R1720&lt;TODAY()),AND(OR(N1720="PENDENTE",N1720="PARCIAL"),D1720&lt;TODAY()-1)),"CRÍTICO",IF(OR(AND(P1720&lt;&gt;"",S1720=""),AND(N1720="REALIZADO",M1720="PENDENTE"),AND(ISNUMBER(R1720),R1720=TODAY())),"ATENÇÃO",IF(N(K1720)=0,"PENDENTE","EM ANDAMENTO"))))))</f>
        <v/>
      </c>
      <c r="C1720" s="3">
        <f>IF(D1720="","",IF(V1720=0,"🟢 OK",IF(D1720&lt;corte,"⚪ HISTÓRICO (sem baixa)",IF(AND(ISNUMBER(R1720),R1720&lt;TODAY()),"🔴 PRAZO VENCIDO",IF(AND(OR(N1720="PENDENTE",N1720="PARCIAL"),D1720&lt;TODAY()-1),"🔴 EMBARQUE ATRASADO",IF(AND(N1720="REALIZADO",M1720="PENDENTE"),"🟡 EMBARCADO SEM FATURAR",IF(AND(P1720&lt;&gt;"",S1720="",OR(Q1720="",R1720="")),"🟡 PENDÊNCIA SEM RESPONSÁVEL/PRAZO",IF(AND(ISNUMBER(R1720),R1720=TODAY()),"🟡 VENCE HOJE",IF(AND(P1720&lt;&gt;"",S1720=""),"🟡 PENDÊNCIA ABERTA",IF(AND(N(J1720)&gt;0,N(K1720)&lt;J1720),"🟡 FALTA EXECUTAR",IF(OR(M1720="PENDENTE",M1720="PARCIAL"),"🟡 FATURAMENTO PENDENTE","🟡 EMBARQUE PENDENTE")))))))))))</f>
        <v/>
      </c>
      <c r="D1720" s="4" t="n"/>
      <c r="E1720" s="5" t="n"/>
      <c r="F1720" s="5" t="n"/>
      <c r="G1720" s="5" t="n"/>
      <c r="H1720" s="5" t="n"/>
      <c r="I1720" s="5" t="n"/>
      <c r="J1720" s="6" t="n"/>
      <c r="K1720" s="6" t="n"/>
      <c r="L1720" s="7">
        <f>IF(OR(D1720="",N(J1720)=0),"",MIN(1,N(K1720)/J1720))</f>
        <v/>
      </c>
      <c r="M1720" s="5" t="n"/>
      <c r="N1720" s="5" t="n"/>
      <c r="O1720" s="5" t="n"/>
      <c r="P1720" s="5" t="n"/>
      <c r="Q1720" s="5" t="n"/>
      <c r="R1720" s="4" t="n"/>
      <c r="S1720" s="4" t="n"/>
      <c r="T1720" s="5" t="n"/>
      <c r="U1720" s="8">
        <f>IF(AND(V1720=1,D1720&lt;&gt;""),IF(D1720&gt;=corte,TODAY()-D1720,""),"")</f>
        <v/>
      </c>
      <c r="V1720" s="8">
        <f>IF(D1720="",0,IF(OR(AND(P1720&lt;&gt;"",S1720=""),AND(N(J1720)&gt;0,N(K1720)&lt;J1720),OR(M1720="PENDENTE",M1720="PARCIAL"),OR(N1720="PENDENTE",N1720="PARCIAL")),1,0))</f>
        <v/>
      </c>
      <c r="W1720" s="8">
        <f>IF(AND(V1720=1,D1720&lt;&gt;""),IF(D1720&gt;=corte,(B1720="CRÍTICO")*1E9+(100000-D1720)*10000+10000-ROW(),""),"")</f>
        <v/>
      </c>
      <c r="X1720" s="8">
        <f>IF(AND(V1720=1,D1720=pas_data,E1720=pas_turno),10000-ROW(),"")</f>
        <v/>
      </c>
    </row>
    <row r="1721">
      <c r="A1721" s="3">
        <f>IF(D1721="","","TT-"&amp;TEXT(ROW()-1,"00000"))</f>
        <v/>
      </c>
      <c r="B1721" s="3">
        <f>IF(D1721="","",IF(V1721=0,"CONCLUÍDO",IF(D1721&lt;corte,"HISTÓRICO",IF(OR(AND(ISNUMBER(R1721),R1721&lt;TODAY()),AND(OR(N1721="PENDENTE",N1721="PARCIAL"),D1721&lt;TODAY()-1)),"CRÍTICO",IF(OR(AND(P1721&lt;&gt;"",S1721=""),AND(N1721="REALIZADO",M1721="PENDENTE"),AND(ISNUMBER(R1721),R1721=TODAY())),"ATENÇÃO",IF(N(K1721)=0,"PENDENTE","EM ANDAMENTO"))))))</f>
        <v/>
      </c>
      <c r="C1721" s="3">
        <f>IF(D1721="","",IF(V1721=0,"🟢 OK",IF(D1721&lt;corte,"⚪ HISTÓRICO (sem baixa)",IF(AND(ISNUMBER(R1721),R1721&lt;TODAY()),"🔴 PRAZO VENCIDO",IF(AND(OR(N1721="PENDENTE",N1721="PARCIAL"),D1721&lt;TODAY()-1),"🔴 EMBARQUE ATRASADO",IF(AND(N1721="REALIZADO",M1721="PENDENTE"),"🟡 EMBARCADO SEM FATURAR",IF(AND(P1721&lt;&gt;"",S1721="",OR(Q1721="",R1721="")),"🟡 PENDÊNCIA SEM RESPONSÁVEL/PRAZO",IF(AND(ISNUMBER(R1721),R1721=TODAY()),"🟡 VENCE HOJE",IF(AND(P1721&lt;&gt;"",S1721=""),"🟡 PENDÊNCIA ABERTA",IF(AND(N(J1721)&gt;0,N(K1721)&lt;J1721),"🟡 FALTA EXECUTAR",IF(OR(M1721="PENDENTE",M1721="PARCIAL"),"🟡 FATURAMENTO PENDENTE","🟡 EMBARQUE PENDENTE")))))))))))</f>
        <v/>
      </c>
      <c r="D1721" s="4" t="n"/>
      <c r="E1721" s="5" t="n"/>
      <c r="F1721" s="5" t="n"/>
      <c r="G1721" s="5" t="n"/>
      <c r="H1721" s="5" t="n"/>
      <c r="I1721" s="5" t="n"/>
      <c r="J1721" s="6" t="n"/>
      <c r="K1721" s="6" t="n"/>
      <c r="L1721" s="7">
        <f>IF(OR(D1721="",N(J1721)=0),"",MIN(1,N(K1721)/J1721))</f>
        <v/>
      </c>
      <c r="M1721" s="5" t="n"/>
      <c r="N1721" s="5" t="n"/>
      <c r="O1721" s="5" t="n"/>
      <c r="P1721" s="5" t="n"/>
      <c r="Q1721" s="5" t="n"/>
      <c r="R1721" s="4" t="n"/>
      <c r="S1721" s="4" t="n"/>
      <c r="T1721" s="5" t="n"/>
      <c r="U1721" s="8">
        <f>IF(AND(V1721=1,D1721&lt;&gt;""),IF(D1721&gt;=corte,TODAY()-D1721,""),"")</f>
        <v/>
      </c>
      <c r="V1721" s="8">
        <f>IF(D1721="",0,IF(OR(AND(P1721&lt;&gt;"",S1721=""),AND(N(J1721)&gt;0,N(K1721)&lt;J1721),OR(M1721="PENDENTE",M1721="PARCIAL"),OR(N1721="PENDENTE",N1721="PARCIAL")),1,0))</f>
        <v/>
      </c>
      <c r="W1721" s="8">
        <f>IF(AND(V1721=1,D1721&lt;&gt;""),IF(D1721&gt;=corte,(B1721="CRÍTICO")*1E9+(100000-D1721)*10000+10000-ROW(),""),"")</f>
        <v/>
      </c>
      <c r="X1721" s="8">
        <f>IF(AND(V1721=1,D1721=pas_data,E1721=pas_turno),10000-ROW(),"")</f>
        <v/>
      </c>
    </row>
    <row r="1722">
      <c r="A1722" s="3">
        <f>IF(D1722="","","TT-"&amp;TEXT(ROW()-1,"00000"))</f>
        <v/>
      </c>
      <c r="B1722" s="3">
        <f>IF(D1722="","",IF(V1722=0,"CONCLUÍDO",IF(D1722&lt;corte,"HISTÓRICO",IF(OR(AND(ISNUMBER(R1722),R1722&lt;TODAY()),AND(OR(N1722="PENDENTE",N1722="PARCIAL"),D1722&lt;TODAY()-1)),"CRÍTICO",IF(OR(AND(P1722&lt;&gt;"",S1722=""),AND(N1722="REALIZADO",M1722="PENDENTE"),AND(ISNUMBER(R1722),R1722=TODAY())),"ATENÇÃO",IF(N(K1722)=0,"PENDENTE","EM ANDAMENTO"))))))</f>
        <v/>
      </c>
      <c r="C1722" s="3">
        <f>IF(D1722="","",IF(V1722=0,"🟢 OK",IF(D1722&lt;corte,"⚪ HISTÓRICO (sem baixa)",IF(AND(ISNUMBER(R1722),R1722&lt;TODAY()),"🔴 PRAZO VENCIDO",IF(AND(OR(N1722="PENDENTE",N1722="PARCIAL"),D1722&lt;TODAY()-1),"🔴 EMBARQUE ATRASADO",IF(AND(N1722="REALIZADO",M1722="PENDENTE"),"🟡 EMBARCADO SEM FATURAR",IF(AND(P1722&lt;&gt;"",S1722="",OR(Q1722="",R1722="")),"🟡 PENDÊNCIA SEM RESPONSÁVEL/PRAZO",IF(AND(ISNUMBER(R1722),R1722=TODAY()),"🟡 VENCE HOJE",IF(AND(P1722&lt;&gt;"",S1722=""),"🟡 PENDÊNCIA ABERTA",IF(AND(N(J1722)&gt;0,N(K1722)&lt;J1722),"🟡 FALTA EXECUTAR",IF(OR(M1722="PENDENTE",M1722="PARCIAL"),"🟡 FATURAMENTO PENDENTE","🟡 EMBARQUE PENDENTE")))))))))))</f>
        <v/>
      </c>
      <c r="D1722" s="4" t="n"/>
      <c r="E1722" s="5" t="n"/>
      <c r="F1722" s="5" t="n"/>
      <c r="G1722" s="5" t="n"/>
      <c r="H1722" s="5" t="n"/>
      <c r="I1722" s="5" t="n"/>
      <c r="J1722" s="6" t="n"/>
      <c r="K1722" s="6" t="n"/>
      <c r="L1722" s="7">
        <f>IF(OR(D1722="",N(J1722)=0),"",MIN(1,N(K1722)/J1722))</f>
        <v/>
      </c>
      <c r="M1722" s="5" t="n"/>
      <c r="N1722" s="5" t="n"/>
      <c r="O1722" s="5" t="n"/>
      <c r="P1722" s="5" t="n"/>
      <c r="Q1722" s="5" t="n"/>
      <c r="R1722" s="4" t="n"/>
      <c r="S1722" s="4" t="n"/>
      <c r="T1722" s="5" t="n"/>
      <c r="U1722" s="8">
        <f>IF(AND(V1722=1,D1722&lt;&gt;""),IF(D1722&gt;=corte,TODAY()-D1722,""),"")</f>
        <v/>
      </c>
      <c r="V1722" s="8">
        <f>IF(D1722="",0,IF(OR(AND(P1722&lt;&gt;"",S1722=""),AND(N(J1722)&gt;0,N(K1722)&lt;J1722),OR(M1722="PENDENTE",M1722="PARCIAL"),OR(N1722="PENDENTE",N1722="PARCIAL")),1,0))</f>
        <v/>
      </c>
      <c r="W1722" s="8">
        <f>IF(AND(V1722=1,D1722&lt;&gt;""),IF(D1722&gt;=corte,(B1722="CRÍTICO")*1E9+(100000-D1722)*10000+10000-ROW(),""),"")</f>
        <v/>
      </c>
      <c r="X1722" s="8">
        <f>IF(AND(V1722=1,D1722=pas_data,E1722=pas_turno),10000-ROW(),"")</f>
        <v/>
      </c>
    </row>
    <row r="1723">
      <c r="A1723" s="3">
        <f>IF(D1723="","","TT-"&amp;TEXT(ROW()-1,"00000"))</f>
        <v/>
      </c>
      <c r="B1723" s="3">
        <f>IF(D1723="","",IF(V1723=0,"CONCLUÍDO",IF(D1723&lt;corte,"HISTÓRICO",IF(OR(AND(ISNUMBER(R1723),R1723&lt;TODAY()),AND(OR(N1723="PENDENTE",N1723="PARCIAL"),D1723&lt;TODAY()-1)),"CRÍTICO",IF(OR(AND(P1723&lt;&gt;"",S1723=""),AND(N1723="REALIZADO",M1723="PENDENTE"),AND(ISNUMBER(R1723),R1723=TODAY())),"ATENÇÃO",IF(N(K1723)=0,"PENDENTE","EM ANDAMENTO"))))))</f>
        <v/>
      </c>
      <c r="C1723" s="3">
        <f>IF(D1723="","",IF(V1723=0,"🟢 OK",IF(D1723&lt;corte,"⚪ HISTÓRICO (sem baixa)",IF(AND(ISNUMBER(R1723),R1723&lt;TODAY()),"🔴 PRAZO VENCIDO",IF(AND(OR(N1723="PENDENTE",N1723="PARCIAL"),D1723&lt;TODAY()-1),"🔴 EMBARQUE ATRASADO",IF(AND(N1723="REALIZADO",M1723="PENDENTE"),"🟡 EMBARCADO SEM FATURAR",IF(AND(P1723&lt;&gt;"",S1723="",OR(Q1723="",R1723="")),"🟡 PENDÊNCIA SEM RESPONSÁVEL/PRAZO",IF(AND(ISNUMBER(R1723),R1723=TODAY()),"🟡 VENCE HOJE",IF(AND(P1723&lt;&gt;"",S1723=""),"🟡 PENDÊNCIA ABERTA",IF(AND(N(J1723)&gt;0,N(K1723)&lt;J1723),"🟡 FALTA EXECUTAR",IF(OR(M1723="PENDENTE",M1723="PARCIAL"),"🟡 FATURAMENTO PENDENTE","🟡 EMBARQUE PENDENTE")))))))))))</f>
        <v/>
      </c>
      <c r="D1723" s="4" t="n"/>
      <c r="E1723" s="5" t="n"/>
      <c r="F1723" s="5" t="n"/>
      <c r="G1723" s="5" t="n"/>
      <c r="H1723" s="5" t="n"/>
      <c r="I1723" s="5" t="n"/>
      <c r="J1723" s="6" t="n"/>
      <c r="K1723" s="6" t="n"/>
      <c r="L1723" s="7">
        <f>IF(OR(D1723="",N(J1723)=0),"",MIN(1,N(K1723)/J1723))</f>
        <v/>
      </c>
      <c r="M1723" s="5" t="n"/>
      <c r="N1723" s="5" t="n"/>
      <c r="O1723" s="5" t="n"/>
      <c r="P1723" s="5" t="n"/>
      <c r="Q1723" s="5" t="n"/>
      <c r="R1723" s="4" t="n"/>
      <c r="S1723" s="4" t="n"/>
      <c r="T1723" s="5" t="n"/>
      <c r="U1723" s="8">
        <f>IF(AND(V1723=1,D1723&lt;&gt;""),IF(D1723&gt;=corte,TODAY()-D1723,""),"")</f>
        <v/>
      </c>
      <c r="V1723" s="8">
        <f>IF(D1723="",0,IF(OR(AND(P1723&lt;&gt;"",S1723=""),AND(N(J1723)&gt;0,N(K1723)&lt;J1723),OR(M1723="PENDENTE",M1723="PARCIAL"),OR(N1723="PENDENTE",N1723="PARCIAL")),1,0))</f>
        <v/>
      </c>
      <c r="W1723" s="8">
        <f>IF(AND(V1723=1,D1723&lt;&gt;""),IF(D1723&gt;=corte,(B1723="CRÍTICO")*1E9+(100000-D1723)*10000+10000-ROW(),""),"")</f>
        <v/>
      </c>
      <c r="X1723" s="8">
        <f>IF(AND(V1723=1,D1723=pas_data,E1723=pas_turno),10000-ROW(),"")</f>
        <v/>
      </c>
    </row>
    <row r="1724">
      <c r="A1724" s="3">
        <f>IF(D1724="","","TT-"&amp;TEXT(ROW()-1,"00000"))</f>
        <v/>
      </c>
      <c r="B1724" s="3">
        <f>IF(D1724="","",IF(V1724=0,"CONCLUÍDO",IF(D1724&lt;corte,"HISTÓRICO",IF(OR(AND(ISNUMBER(R1724),R1724&lt;TODAY()),AND(OR(N1724="PENDENTE",N1724="PARCIAL"),D1724&lt;TODAY()-1)),"CRÍTICO",IF(OR(AND(P1724&lt;&gt;"",S1724=""),AND(N1724="REALIZADO",M1724="PENDENTE"),AND(ISNUMBER(R1724),R1724=TODAY())),"ATENÇÃO",IF(N(K1724)=0,"PENDENTE","EM ANDAMENTO"))))))</f>
        <v/>
      </c>
      <c r="C1724" s="3">
        <f>IF(D1724="","",IF(V1724=0,"🟢 OK",IF(D1724&lt;corte,"⚪ HISTÓRICO (sem baixa)",IF(AND(ISNUMBER(R1724),R1724&lt;TODAY()),"🔴 PRAZO VENCIDO",IF(AND(OR(N1724="PENDENTE",N1724="PARCIAL"),D1724&lt;TODAY()-1),"🔴 EMBARQUE ATRASADO",IF(AND(N1724="REALIZADO",M1724="PENDENTE"),"🟡 EMBARCADO SEM FATURAR",IF(AND(P1724&lt;&gt;"",S1724="",OR(Q1724="",R1724="")),"🟡 PENDÊNCIA SEM RESPONSÁVEL/PRAZO",IF(AND(ISNUMBER(R1724),R1724=TODAY()),"🟡 VENCE HOJE",IF(AND(P1724&lt;&gt;"",S1724=""),"🟡 PENDÊNCIA ABERTA",IF(AND(N(J1724)&gt;0,N(K1724)&lt;J1724),"🟡 FALTA EXECUTAR",IF(OR(M1724="PENDENTE",M1724="PARCIAL"),"🟡 FATURAMENTO PENDENTE","🟡 EMBARQUE PENDENTE")))))))))))</f>
        <v/>
      </c>
      <c r="D1724" s="4" t="n"/>
      <c r="E1724" s="5" t="n"/>
      <c r="F1724" s="5" t="n"/>
      <c r="G1724" s="5" t="n"/>
      <c r="H1724" s="5" t="n"/>
      <c r="I1724" s="5" t="n"/>
      <c r="J1724" s="6" t="n"/>
      <c r="K1724" s="6" t="n"/>
      <c r="L1724" s="7">
        <f>IF(OR(D1724="",N(J1724)=0),"",MIN(1,N(K1724)/J1724))</f>
        <v/>
      </c>
      <c r="M1724" s="5" t="n"/>
      <c r="N1724" s="5" t="n"/>
      <c r="O1724" s="5" t="n"/>
      <c r="P1724" s="5" t="n"/>
      <c r="Q1724" s="5" t="n"/>
      <c r="R1724" s="4" t="n"/>
      <c r="S1724" s="4" t="n"/>
      <c r="T1724" s="5" t="n"/>
      <c r="U1724" s="8">
        <f>IF(AND(V1724=1,D1724&lt;&gt;""),IF(D1724&gt;=corte,TODAY()-D1724,""),"")</f>
        <v/>
      </c>
      <c r="V1724" s="8">
        <f>IF(D1724="",0,IF(OR(AND(P1724&lt;&gt;"",S1724=""),AND(N(J1724)&gt;0,N(K1724)&lt;J1724),OR(M1724="PENDENTE",M1724="PARCIAL"),OR(N1724="PENDENTE",N1724="PARCIAL")),1,0))</f>
        <v/>
      </c>
      <c r="W1724" s="8">
        <f>IF(AND(V1724=1,D1724&lt;&gt;""),IF(D1724&gt;=corte,(B1724="CRÍTICO")*1E9+(100000-D1724)*10000+10000-ROW(),""),"")</f>
        <v/>
      </c>
      <c r="X1724" s="8">
        <f>IF(AND(V1724=1,D1724=pas_data,E1724=pas_turno),10000-ROW(),"")</f>
        <v/>
      </c>
    </row>
    <row r="1725">
      <c r="A1725" s="3">
        <f>IF(D1725="","","TT-"&amp;TEXT(ROW()-1,"00000"))</f>
        <v/>
      </c>
      <c r="B1725" s="3">
        <f>IF(D1725="","",IF(V1725=0,"CONCLUÍDO",IF(D1725&lt;corte,"HISTÓRICO",IF(OR(AND(ISNUMBER(R1725),R1725&lt;TODAY()),AND(OR(N1725="PENDENTE",N1725="PARCIAL"),D1725&lt;TODAY()-1)),"CRÍTICO",IF(OR(AND(P1725&lt;&gt;"",S1725=""),AND(N1725="REALIZADO",M1725="PENDENTE"),AND(ISNUMBER(R1725),R1725=TODAY())),"ATENÇÃO",IF(N(K1725)=0,"PENDENTE","EM ANDAMENTO"))))))</f>
        <v/>
      </c>
      <c r="C1725" s="3">
        <f>IF(D1725="","",IF(V1725=0,"🟢 OK",IF(D1725&lt;corte,"⚪ HISTÓRICO (sem baixa)",IF(AND(ISNUMBER(R1725),R1725&lt;TODAY()),"🔴 PRAZO VENCIDO",IF(AND(OR(N1725="PENDENTE",N1725="PARCIAL"),D1725&lt;TODAY()-1),"🔴 EMBARQUE ATRASADO",IF(AND(N1725="REALIZADO",M1725="PENDENTE"),"🟡 EMBARCADO SEM FATURAR",IF(AND(P1725&lt;&gt;"",S1725="",OR(Q1725="",R1725="")),"🟡 PENDÊNCIA SEM RESPONSÁVEL/PRAZO",IF(AND(ISNUMBER(R1725),R1725=TODAY()),"🟡 VENCE HOJE",IF(AND(P1725&lt;&gt;"",S1725=""),"🟡 PENDÊNCIA ABERTA",IF(AND(N(J1725)&gt;0,N(K1725)&lt;J1725),"🟡 FALTA EXECUTAR",IF(OR(M1725="PENDENTE",M1725="PARCIAL"),"🟡 FATURAMENTO PENDENTE","🟡 EMBARQUE PENDENTE")))))))))))</f>
        <v/>
      </c>
      <c r="D1725" s="4" t="n"/>
      <c r="E1725" s="5" t="n"/>
      <c r="F1725" s="5" t="n"/>
      <c r="G1725" s="5" t="n"/>
      <c r="H1725" s="5" t="n"/>
      <c r="I1725" s="5" t="n"/>
      <c r="J1725" s="6" t="n"/>
      <c r="K1725" s="6" t="n"/>
      <c r="L1725" s="7">
        <f>IF(OR(D1725="",N(J1725)=0),"",MIN(1,N(K1725)/J1725))</f>
        <v/>
      </c>
      <c r="M1725" s="5" t="n"/>
      <c r="N1725" s="5" t="n"/>
      <c r="O1725" s="5" t="n"/>
      <c r="P1725" s="5" t="n"/>
      <c r="Q1725" s="5" t="n"/>
      <c r="R1725" s="4" t="n"/>
      <c r="S1725" s="4" t="n"/>
      <c r="T1725" s="5" t="n"/>
      <c r="U1725" s="8">
        <f>IF(AND(V1725=1,D1725&lt;&gt;""),IF(D1725&gt;=corte,TODAY()-D1725,""),"")</f>
        <v/>
      </c>
      <c r="V1725" s="8">
        <f>IF(D1725="",0,IF(OR(AND(P1725&lt;&gt;"",S1725=""),AND(N(J1725)&gt;0,N(K1725)&lt;J1725),OR(M1725="PENDENTE",M1725="PARCIAL"),OR(N1725="PENDENTE",N1725="PARCIAL")),1,0))</f>
        <v/>
      </c>
      <c r="W1725" s="8">
        <f>IF(AND(V1725=1,D1725&lt;&gt;""),IF(D1725&gt;=corte,(B1725="CRÍTICO")*1E9+(100000-D1725)*10000+10000-ROW(),""),"")</f>
        <v/>
      </c>
      <c r="X1725" s="8">
        <f>IF(AND(V1725=1,D1725=pas_data,E1725=pas_turno),10000-ROW(),"")</f>
        <v/>
      </c>
    </row>
    <row r="1726">
      <c r="A1726" s="3">
        <f>IF(D1726="","","TT-"&amp;TEXT(ROW()-1,"00000"))</f>
        <v/>
      </c>
      <c r="B1726" s="3">
        <f>IF(D1726="","",IF(V1726=0,"CONCLUÍDO",IF(D1726&lt;corte,"HISTÓRICO",IF(OR(AND(ISNUMBER(R1726),R1726&lt;TODAY()),AND(OR(N1726="PENDENTE",N1726="PARCIAL"),D1726&lt;TODAY()-1)),"CRÍTICO",IF(OR(AND(P1726&lt;&gt;"",S1726=""),AND(N1726="REALIZADO",M1726="PENDENTE"),AND(ISNUMBER(R1726),R1726=TODAY())),"ATENÇÃO",IF(N(K1726)=0,"PENDENTE","EM ANDAMENTO"))))))</f>
        <v/>
      </c>
      <c r="C1726" s="3">
        <f>IF(D1726="","",IF(V1726=0,"🟢 OK",IF(D1726&lt;corte,"⚪ HISTÓRICO (sem baixa)",IF(AND(ISNUMBER(R1726),R1726&lt;TODAY()),"🔴 PRAZO VENCIDO",IF(AND(OR(N1726="PENDENTE",N1726="PARCIAL"),D1726&lt;TODAY()-1),"🔴 EMBARQUE ATRASADO",IF(AND(N1726="REALIZADO",M1726="PENDENTE"),"🟡 EMBARCADO SEM FATURAR",IF(AND(P1726&lt;&gt;"",S1726="",OR(Q1726="",R1726="")),"🟡 PENDÊNCIA SEM RESPONSÁVEL/PRAZO",IF(AND(ISNUMBER(R1726),R1726=TODAY()),"🟡 VENCE HOJE",IF(AND(P1726&lt;&gt;"",S1726=""),"🟡 PENDÊNCIA ABERTA",IF(AND(N(J1726)&gt;0,N(K1726)&lt;J1726),"🟡 FALTA EXECUTAR",IF(OR(M1726="PENDENTE",M1726="PARCIAL"),"🟡 FATURAMENTO PENDENTE","🟡 EMBARQUE PENDENTE")))))))))))</f>
        <v/>
      </c>
      <c r="D1726" s="4" t="n"/>
      <c r="E1726" s="5" t="n"/>
      <c r="F1726" s="5" t="n"/>
      <c r="G1726" s="5" t="n"/>
      <c r="H1726" s="5" t="n"/>
      <c r="I1726" s="5" t="n"/>
      <c r="J1726" s="6" t="n"/>
      <c r="K1726" s="6" t="n"/>
      <c r="L1726" s="7">
        <f>IF(OR(D1726="",N(J1726)=0),"",MIN(1,N(K1726)/J1726))</f>
        <v/>
      </c>
      <c r="M1726" s="5" t="n"/>
      <c r="N1726" s="5" t="n"/>
      <c r="O1726" s="5" t="n"/>
      <c r="P1726" s="5" t="n"/>
      <c r="Q1726" s="5" t="n"/>
      <c r="R1726" s="4" t="n"/>
      <c r="S1726" s="4" t="n"/>
      <c r="T1726" s="5" t="n"/>
      <c r="U1726" s="8">
        <f>IF(AND(V1726=1,D1726&lt;&gt;""),IF(D1726&gt;=corte,TODAY()-D1726,""),"")</f>
        <v/>
      </c>
      <c r="V1726" s="8">
        <f>IF(D1726="",0,IF(OR(AND(P1726&lt;&gt;"",S1726=""),AND(N(J1726)&gt;0,N(K1726)&lt;J1726),OR(M1726="PENDENTE",M1726="PARCIAL"),OR(N1726="PENDENTE",N1726="PARCIAL")),1,0))</f>
        <v/>
      </c>
      <c r="W1726" s="8">
        <f>IF(AND(V1726=1,D1726&lt;&gt;""),IF(D1726&gt;=corte,(B1726="CRÍTICO")*1E9+(100000-D1726)*10000+10000-ROW(),""),"")</f>
        <v/>
      </c>
      <c r="X1726" s="8">
        <f>IF(AND(V1726=1,D1726=pas_data,E1726=pas_turno),10000-ROW(),"")</f>
        <v/>
      </c>
    </row>
    <row r="1727">
      <c r="A1727" s="3">
        <f>IF(D1727="","","TT-"&amp;TEXT(ROW()-1,"00000"))</f>
        <v/>
      </c>
      <c r="B1727" s="3">
        <f>IF(D1727="","",IF(V1727=0,"CONCLUÍDO",IF(D1727&lt;corte,"HISTÓRICO",IF(OR(AND(ISNUMBER(R1727),R1727&lt;TODAY()),AND(OR(N1727="PENDENTE",N1727="PARCIAL"),D1727&lt;TODAY()-1)),"CRÍTICO",IF(OR(AND(P1727&lt;&gt;"",S1727=""),AND(N1727="REALIZADO",M1727="PENDENTE"),AND(ISNUMBER(R1727),R1727=TODAY())),"ATENÇÃO",IF(N(K1727)=0,"PENDENTE","EM ANDAMENTO"))))))</f>
        <v/>
      </c>
      <c r="C1727" s="3">
        <f>IF(D1727="","",IF(V1727=0,"🟢 OK",IF(D1727&lt;corte,"⚪ HISTÓRICO (sem baixa)",IF(AND(ISNUMBER(R1727),R1727&lt;TODAY()),"🔴 PRAZO VENCIDO",IF(AND(OR(N1727="PENDENTE",N1727="PARCIAL"),D1727&lt;TODAY()-1),"🔴 EMBARQUE ATRASADO",IF(AND(N1727="REALIZADO",M1727="PENDENTE"),"🟡 EMBARCADO SEM FATURAR",IF(AND(P1727&lt;&gt;"",S1727="",OR(Q1727="",R1727="")),"🟡 PENDÊNCIA SEM RESPONSÁVEL/PRAZO",IF(AND(ISNUMBER(R1727),R1727=TODAY()),"🟡 VENCE HOJE",IF(AND(P1727&lt;&gt;"",S1727=""),"🟡 PENDÊNCIA ABERTA",IF(AND(N(J1727)&gt;0,N(K1727)&lt;J1727),"🟡 FALTA EXECUTAR",IF(OR(M1727="PENDENTE",M1727="PARCIAL"),"🟡 FATURAMENTO PENDENTE","🟡 EMBARQUE PENDENTE")))))))))))</f>
        <v/>
      </c>
      <c r="D1727" s="4" t="n"/>
      <c r="E1727" s="5" t="n"/>
      <c r="F1727" s="5" t="n"/>
      <c r="G1727" s="5" t="n"/>
      <c r="H1727" s="5" t="n"/>
      <c r="I1727" s="5" t="n"/>
      <c r="J1727" s="6" t="n"/>
      <c r="K1727" s="6" t="n"/>
      <c r="L1727" s="7">
        <f>IF(OR(D1727="",N(J1727)=0),"",MIN(1,N(K1727)/J1727))</f>
        <v/>
      </c>
      <c r="M1727" s="5" t="n"/>
      <c r="N1727" s="5" t="n"/>
      <c r="O1727" s="5" t="n"/>
      <c r="P1727" s="5" t="n"/>
      <c r="Q1727" s="5" t="n"/>
      <c r="R1727" s="4" t="n"/>
      <c r="S1727" s="4" t="n"/>
      <c r="T1727" s="5" t="n"/>
      <c r="U1727" s="8">
        <f>IF(AND(V1727=1,D1727&lt;&gt;""),IF(D1727&gt;=corte,TODAY()-D1727,""),"")</f>
        <v/>
      </c>
      <c r="V1727" s="8">
        <f>IF(D1727="",0,IF(OR(AND(P1727&lt;&gt;"",S1727=""),AND(N(J1727)&gt;0,N(K1727)&lt;J1727),OR(M1727="PENDENTE",M1727="PARCIAL"),OR(N1727="PENDENTE",N1727="PARCIAL")),1,0))</f>
        <v/>
      </c>
      <c r="W1727" s="8">
        <f>IF(AND(V1727=1,D1727&lt;&gt;""),IF(D1727&gt;=corte,(B1727="CRÍTICO")*1E9+(100000-D1727)*10000+10000-ROW(),""),"")</f>
        <v/>
      </c>
      <c r="X1727" s="8">
        <f>IF(AND(V1727=1,D1727=pas_data,E1727=pas_turno),10000-ROW(),"")</f>
        <v/>
      </c>
    </row>
    <row r="1728">
      <c r="A1728" s="3">
        <f>IF(D1728="","","TT-"&amp;TEXT(ROW()-1,"00000"))</f>
        <v/>
      </c>
      <c r="B1728" s="3">
        <f>IF(D1728="","",IF(V1728=0,"CONCLUÍDO",IF(D1728&lt;corte,"HISTÓRICO",IF(OR(AND(ISNUMBER(R1728),R1728&lt;TODAY()),AND(OR(N1728="PENDENTE",N1728="PARCIAL"),D1728&lt;TODAY()-1)),"CRÍTICO",IF(OR(AND(P1728&lt;&gt;"",S1728=""),AND(N1728="REALIZADO",M1728="PENDENTE"),AND(ISNUMBER(R1728),R1728=TODAY())),"ATENÇÃO",IF(N(K1728)=0,"PENDENTE","EM ANDAMENTO"))))))</f>
        <v/>
      </c>
      <c r="C1728" s="3">
        <f>IF(D1728="","",IF(V1728=0,"🟢 OK",IF(D1728&lt;corte,"⚪ HISTÓRICO (sem baixa)",IF(AND(ISNUMBER(R1728),R1728&lt;TODAY()),"🔴 PRAZO VENCIDO",IF(AND(OR(N1728="PENDENTE",N1728="PARCIAL"),D1728&lt;TODAY()-1),"🔴 EMBARQUE ATRASADO",IF(AND(N1728="REALIZADO",M1728="PENDENTE"),"🟡 EMBARCADO SEM FATURAR",IF(AND(P1728&lt;&gt;"",S1728="",OR(Q1728="",R1728="")),"🟡 PENDÊNCIA SEM RESPONSÁVEL/PRAZO",IF(AND(ISNUMBER(R1728),R1728=TODAY()),"🟡 VENCE HOJE",IF(AND(P1728&lt;&gt;"",S1728=""),"🟡 PENDÊNCIA ABERTA",IF(AND(N(J1728)&gt;0,N(K1728)&lt;J1728),"🟡 FALTA EXECUTAR",IF(OR(M1728="PENDENTE",M1728="PARCIAL"),"🟡 FATURAMENTO PENDENTE","🟡 EMBARQUE PENDENTE")))))))))))</f>
        <v/>
      </c>
      <c r="D1728" s="4" t="n"/>
      <c r="E1728" s="5" t="n"/>
      <c r="F1728" s="5" t="n"/>
      <c r="G1728" s="5" t="n"/>
      <c r="H1728" s="5" t="n"/>
      <c r="I1728" s="5" t="n"/>
      <c r="J1728" s="6" t="n"/>
      <c r="K1728" s="6" t="n"/>
      <c r="L1728" s="7">
        <f>IF(OR(D1728="",N(J1728)=0),"",MIN(1,N(K1728)/J1728))</f>
        <v/>
      </c>
      <c r="M1728" s="5" t="n"/>
      <c r="N1728" s="5" t="n"/>
      <c r="O1728" s="5" t="n"/>
      <c r="P1728" s="5" t="n"/>
      <c r="Q1728" s="5" t="n"/>
      <c r="R1728" s="4" t="n"/>
      <c r="S1728" s="4" t="n"/>
      <c r="T1728" s="5" t="n"/>
      <c r="U1728" s="8">
        <f>IF(AND(V1728=1,D1728&lt;&gt;""),IF(D1728&gt;=corte,TODAY()-D1728,""),"")</f>
        <v/>
      </c>
      <c r="V1728" s="8">
        <f>IF(D1728="",0,IF(OR(AND(P1728&lt;&gt;"",S1728=""),AND(N(J1728)&gt;0,N(K1728)&lt;J1728),OR(M1728="PENDENTE",M1728="PARCIAL"),OR(N1728="PENDENTE",N1728="PARCIAL")),1,0))</f>
        <v/>
      </c>
      <c r="W1728" s="8">
        <f>IF(AND(V1728=1,D1728&lt;&gt;""),IF(D1728&gt;=corte,(B1728="CRÍTICO")*1E9+(100000-D1728)*10000+10000-ROW(),""),"")</f>
        <v/>
      </c>
      <c r="X1728" s="8">
        <f>IF(AND(V1728=1,D1728=pas_data,E1728=pas_turno),10000-ROW(),"")</f>
        <v/>
      </c>
    </row>
    <row r="1729">
      <c r="A1729" s="3">
        <f>IF(D1729="","","TT-"&amp;TEXT(ROW()-1,"00000"))</f>
        <v/>
      </c>
      <c r="B1729" s="3">
        <f>IF(D1729="","",IF(V1729=0,"CONCLUÍDO",IF(D1729&lt;corte,"HISTÓRICO",IF(OR(AND(ISNUMBER(R1729),R1729&lt;TODAY()),AND(OR(N1729="PENDENTE",N1729="PARCIAL"),D1729&lt;TODAY()-1)),"CRÍTICO",IF(OR(AND(P1729&lt;&gt;"",S1729=""),AND(N1729="REALIZADO",M1729="PENDENTE"),AND(ISNUMBER(R1729),R1729=TODAY())),"ATENÇÃO",IF(N(K1729)=0,"PENDENTE","EM ANDAMENTO"))))))</f>
        <v/>
      </c>
      <c r="C1729" s="3">
        <f>IF(D1729="","",IF(V1729=0,"🟢 OK",IF(D1729&lt;corte,"⚪ HISTÓRICO (sem baixa)",IF(AND(ISNUMBER(R1729),R1729&lt;TODAY()),"🔴 PRAZO VENCIDO",IF(AND(OR(N1729="PENDENTE",N1729="PARCIAL"),D1729&lt;TODAY()-1),"🔴 EMBARQUE ATRASADO",IF(AND(N1729="REALIZADO",M1729="PENDENTE"),"🟡 EMBARCADO SEM FATURAR",IF(AND(P1729&lt;&gt;"",S1729="",OR(Q1729="",R1729="")),"🟡 PENDÊNCIA SEM RESPONSÁVEL/PRAZO",IF(AND(ISNUMBER(R1729),R1729=TODAY()),"🟡 VENCE HOJE",IF(AND(P1729&lt;&gt;"",S1729=""),"🟡 PENDÊNCIA ABERTA",IF(AND(N(J1729)&gt;0,N(K1729)&lt;J1729),"🟡 FALTA EXECUTAR",IF(OR(M1729="PENDENTE",M1729="PARCIAL"),"🟡 FATURAMENTO PENDENTE","🟡 EMBARQUE PENDENTE")))))))))))</f>
        <v/>
      </c>
      <c r="D1729" s="4" t="n"/>
      <c r="E1729" s="5" t="n"/>
      <c r="F1729" s="5" t="n"/>
      <c r="G1729" s="5" t="n"/>
      <c r="H1729" s="5" t="n"/>
      <c r="I1729" s="5" t="n"/>
      <c r="J1729" s="6" t="n"/>
      <c r="K1729" s="6" t="n"/>
      <c r="L1729" s="7">
        <f>IF(OR(D1729="",N(J1729)=0),"",MIN(1,N(K1729)/J1729))</f>
        <v/>
      </c>
      <c r="M1729" s="5" t="n"/>
      <c r="N1729" s="5" t="n"/>
      <c r="O1729" s="5" t="n"/>
      <c r="P1729" s="5" t="n"/>
      <c r="Q1729" s="5" t="n"/>
      <c r="R1729" s="4" t="n"/>
      <c r="S1729" s="4" t="n"/>
      <c r="T1729" s="5" t="n"/>
      <c r="U1729" s="8">
        <f>IF(AND(V1729=1,D1729&lt;&gt;""),IF(D1729&gt;=corte,TODAY()-D1729,""),"")</f>
        <v/>
      </c>
      <c r="V1729" s="8">
        <f>IF(D1729="",0,IF(OR(AND(P1729&lt;&gt;"",S1729=""),AND(N(J1729)&gt;0,N(K1729)&lt;J1729),OR(M1729="PENDENTE",M1729="PARCIAL"),OR(N1729="PENDENTE",N1729="PARCIAL")),1,0))</f>
        <v/>
      </c>
      <c r="W1729" s="8">
        <f>IF(AND(V1729=1,D1729&lt;&gt;""),IF(D1729&gt;=corte,(B1729="CRÍTICO")*1E9+(100000-D1729)*10000+10000-ROW(),""),"")</f>
        <v/>
      </c>
      <c r="X1729" s="8">
        <f>IF(AND(V1729=1,D1729=pas_data,E1729=pas_turno),10000-ROW(),"")</f>
        <v/>
      </c>
    </row>
    <row r="1730">
      <c r="A1730" s="3">
        <f>IF(D1730="","","TT-"&amp;TEXT(ROW()-1,"00000"))</f>
        <v/>
      </c>
      <c r="B1730" s="3">
        <f>IF(D1730="","",IF(V1730=0,"CONCLUÍDO",IF(D1730&lt;corte,"HISTÓRICO",IF(OR(AND(ISNUMBER(R1730),R1730&lt;TODAY()),AND(OR(N1730="PENDENTE",N1730="PARCIAL"),D1730&lt;TODAY()-1)),"CRÍTICO",IF(OR(AND(P1730&lt;&gt;"",S1730=""),AND(N1730="REALIZADO",M1730="PENDENTE"),AND(ISNUMBER(R1730),R1730=TODAY())),"ATENÇÃO",IF(N(K1730)=0,"PENDENTE","EM ANDAMENTO"))))))</f>
        <v/>
      </c>
      <c r="C1730" s="3">
        <f>IF(D1730="","",IF(V1730=0,"🟢 OK",IF(D1730&lt;corte,"⚪ HISTÓRICO (sem baixa)",IF(AND(ISNUMBER(R1730),R1730&lt;TODAY()),"🔴 PRAZO VENCIDO",IF(AND(OR(N1730="PENDENTE",N1730="PARCIAL"),D1730&lt;TODAY()-1),"🔴 EMBARQUE ATRASADO",IF(AND(N1730="REALIZADO",M1730="PENDENTE"),"🟡 EMBARCADO SEM FATURAR",IF(AND(P1730&lt;&gt;"",S1730="",OR(Q1730="",R1730="")),"🟡 PENDÊNCIA SEM RESPONSÁVEL/PRAZO",IF(AND(ISNUMBER(R1730),R1730=TODAY()),"🟡 VENCE HOJE",IF(AND(P1730&lt;&gt;"",S1730=""),"🟡 PENDÊNCIA ABERTA",IF(AND(N(J1730)&gt;0,N(K1730)&lt;J1730),"🟡 FALTA EXECUTAR",IF(OR(M1730="PENDENTE",M1730="PARCIAL"),"🟡 FATURAMENTO PENDENTE","🟡 EMBARQUE PENDENTE")))))))))))</f>
        <v/>
      </c>
      <c r="D1730" s="4" t="n"/>
      <c r="E1730" s="5" t="n"/>
      <c r="F1730" s="5" t="n"/>
      <c r="G1730" s="5" t="n"/>
      <c r="H1730" s="5" t="n"/>
      <c r="I1730" s="5" t="n"/>
      <c r="J1730" s="6" t="n"/>
      <c r="K1730" s="6" t="n"/>
      <c r="L1730" s="7">
        <f>IF(OR(D1730="",N(J1730)=0),"",MIN(1,N(K1730)/J1730))</f>
        <v/>
      </c>
      <c r="M1730" s="5" t="n"/>
      <c r="N1730" s="5" t="n"/>
      <c r="O1730" s="5" t="n"/>
      <c r="P1730" s="5" t="n"/>
      <c r="Q1730" s="5" t="n"/>
      <c r="R1730" s="4" t="n"/>
      <c r="S1730" s="4" t="n"/>
      <c r="T1730" s="5" t="n"/>
      <c r="U1730" s="8">
        <f>IF(AND(V1730=1,D1730&lt;&gt;""),IF(D1730&gt;=corte,TODAY()-D1730,""),"")</f>
        <v/>
      </c>
      <c r="V1730" s="8">
        <f>IF(D1730="",0,IF(OR(AND(P1730&lt;&gt;"",S1730=""),AND(N(J1730)&gt;0,N(K1730)&lt;J1730),OR(M1730="PENDENTE",M1730="PARCIAL"),OR(N1730="PENDENTE",N1730="PARCIAL")),1,0))</f>
        <v/>
      </c>
      <c r="W1730" s="8">
        <f>IF(AND(V1730=1,D1730&lt;&gt;""),IF(D1730&gt;=corte,(B1730="CRÍTICO")*1E9+(100000-D1730)*10000+10000-ROW(),""),"")</f>
        <v/>
      </c>
      <c r="X1730" s="8">
        <f>IF(AND(V1730=1,D1730=pas_data,E1730=pas_turno),10000-ROW(),"")</f>
        <v/>
      </c>
    </row>
    <row r="1731">
      <c r="A1731" s="3">
        <f>IF(D1731="","","TT-"&amp;TEXT(ROW()-1,"00000"))</f>
        <v/>
      </c>
      <c r="B1731" s="3">
        <f>IF(D1731="","",IF(V1731=0,"CONCLUÍDO",IF(D1731&lt;corte,"HISTÓRICO",IF(OR(AND(ISNUMBER(R1731),R1731&lt;TODAY()),AND(OR(N1731="PENDENTE",N1731="PARCIAL"),D1731&lt;TODAY()-1)),"CRÍTICO",IF(OR(AND(P1731&lt;&gt;"",S1731=""),AND(N1731="REALIZADO",M1731="PENDENTE"),AND(ISNUMBER(R1731),R1731=TODAY())),"ATENÇÃO",IF(N(K1731)=0,"PENDENTE","EM ANDAMENTO"))))))</f>
        <v/>
      </c>
      <c r="C1731" s="3">
        <f>IF(D1731="","",IF(V1731=0,"🟢 OK",IF(D1731&lt;corte,"⚪ HISTÓRICO (sem baixa)",IF(AND(ISNUMBER(R1731),R1731&lt;TODAY()),"🔴 PRAZO VENCIDO",IF(AND(OR(N1731="PENDENTE",N1731="PARCIAL"),D1731&lt;TODAY()-1),"🔴 EMBARQUE ATRASADO",IF(AND(N1731="REALIZADO",M1731="PENDENTE"),"🟡 EMBARCADO SEM FATURAR",IF(AND(P1731&lt;&gt;"",S1731="",OR(Q1731="",R1731="")),"🟡 PENDÊNCIA SEM RESPONSÁVEL/PRAZO",IF(AND(ISNUMBER(R1731),R1731=TODAY()),"🟡 VENCE HOJE",IF(AND(P1731&lt;&gt;"",S1731=""),"🟡 PENDÊNCIA ABERTA",IF(AND(N(J1731)&gt;0,N(K1731)&lt;J1731),"🟡 FALTA EXECUTAR",IF(OR(M1731="PENDENTE",M1731="PARCIAL"),"🟡 FATURAMENTO PENDENTE","🟡 EMBARQUE PENDENTE")))))))))))</f>
        <v/>
      </c>
      <c r="D1731" s="4" t="n"/>
      <c r="E1731" s="5" t="n"/>
      <c r="F1731" s="5" t="n"/>
      <c r="G1731" s="5" t="n"/>
      <c r="H1731" s="5" t="n"/>
      <c r="I1731" s="5" t="n"/>
      <c r="J1731" s="6" t="n"/>
      <c r="K1731" s="6" t="n"/>
      <c r="L1731" s="7">
        <f>IF(OR(D1731="",N(J1731)=0),"",MIN(1,N(K1731)/J1731))</f>
        <v/>
      </c>
      <c r="M1731" s="5" t="n"/>
      <c r="N1731" s="5" t="n"/>
      <c r="O1731" s="5" t="n"/>
      <c r="P1731" s="5" t="n"/>
      <c r="Q1731" s="5" t="n"/>
      <c r="R1731" s="4" t="n"/>
      <c r="S1731" s="4" t="n"/>
      <c r="T1731" s="5" t="n"/>
      <c r="U1731" s="8">
        <f>IF(AND(V1731=1,D1731&lt;&gt;""),IF(D1731&gt;=corte,TODAY()-D1731,""),"")</f>
        <v/>
      </c>
      <c r="V1731" s="8">
        <f>IF(D1731="",0,IF(OR(AND(P1731&lt;&gt;"",S1731=""),AND(N(J1731)&gt;0,N(K1731)&lt;J1731),OR(M1731="PENDENTE",M1731="PARCIAL"),OR(N1731="PENDENTE",N1731="PARCIAL")),1,0))</f>
        <v/>
      </c>
      <c r="W1731" s="8">
        <f>IF(AND(V1731=1,D1731&lt;&gt;""),IF(D1731&gt;=corte,(B1731="CRÍTICO")*1E9+(100000-D1731)*10000+10000-ROW(),""),"")</f>
        <v/>
      </c>
      <c r="X1731" s="8">
        <f>IF(AND(V1731=1,D1731=pas_data,E1731=pas_turno),10000-ROW(),"")</f>
        <v/>
      </c>
    </row>
    <row r="1732">
      <c r="A1732" s="3">
        <f>IF(D1732="","","TT-"&amp;TEXT(ROW()-1,"00000"))</f>
        <v/>
      </c>
      <c r="B1732" s="3">
        <f>IF(D1732="","",IF(V1732=0,"CONCLUÍDO",IF(D1732&lt;corte,"HISTÓRICO",IF(OR(AND(ISNUMBER(R1732),R1732&lt;TODAY()),AND(OR(N1732="PENDENTE",N1732="PARCIAL"),D1732&lt;TODAY()-1)),"CRÍTICO",IF(OR(AND(P1732&lt;&gt;"",S1732=""),AND(N1732="REALIZADO",M1732="PENDENTE"),AND(ISNUMBER(R1732),R1732=TODAY())),"ATENÇÃO",IF(N(K1732)=0,"PENDENTE","EM ANDAMENTO"))))))</f>
        <v/>
      </c>
      <c r="C1732" s="3">
        <f>IF(D1732="","",IF(V1732=0,"🟢 OK",IF(D1732&lt;corte,"⚪ HISTÓRICO (sem baixa)",IF(AND(ISNUMBER(R1732),R1732&lt;TODAY()),"🔴 PRAZO VENCIDO",IF(AND(OR(N1732="PENDENTE",N1732="PARCIAL"),D1732&lt;TODAY()-1),"🔴 EMBARQUE ATRASADO",IF(AND(N1732="REALIZADO",M1732="PENDENTE"),"🟡 EMBARCADO SEM FATURAR",IF(AND(P1732&lt;&gt;"",S1732="",OR(Q1732="",R1732="")),"🟡 PENDÊNCIA SEM RESPONSÁVEL/PRAZO",IF(AND(ISNUMBER(R1732),R1732=TODAY()),"🟡 VENCE HOJE",IF(AND(P1732&lt;&gt;"",S1732=""),"🟡 PENDÊNCIA ABERTA",IF(AND(N(J1732)&gt;0,N(K1732)&lt;J1732),"🟡 FALTA EXECUTAR",IF(OR(M1732="PENDENTE",M1732="PARCIAL"),"🟡 FATURAMENTO PENDENTE","🟡 EMBARQUE PENDENTE")))))))))))</f>
        <v/>
      </c>
      <c r="D1732" s="4" t="n"/>
      <c r="E1732" s="5" t="n"/>
      <c r="F1732" s="5" t="n"/>
      <c r="G1732" s="5" t="n"/>
      <c r="H1732" s="5" t="n"/>
      <c r="I1732" s="5" t="n"/>
      <c r="J1732" s="6" t="n"/>
      <c r="K1732" s="6" t="n"/>
      <c r="L1732" s="7">
        <f>IF(OR(D1732="",N(J1732)=0),"",MIN(1,N(K1732)/J1732))</f>
        <v/>
      </c>
      <c r="M1732" s="5" t="n"/>
      <c r="N1732" s="5" t="n"/>
      <c r="O1732" s="5" t="n"/>
      <c r="P1732" s="5" t="n"/>
      <c r="Q1732" s="5" t="n"/>
      <c r="R1732" s="4" t="n"/>
      <c r="S1732" s="4" t="n"/>
      <c r="T1732" s="5" t="n"/>
      <c r="U1732" s="8">
        <f>IF(AND(V1732=1,D1732&lt;&gt;""),IF(D1732&gt;=corte,TODAY()-D1732,""),"")</f>
        <v/>
      </c>
      <c r="V1732" s="8">
        <f>IF(D1732="",0,IF(OR(AND(P1732&lt;&gt;"",S1732=""),AND(N(J1732)&gt;0,N(K1732)&lt;J1732),OR(M1732="PENDENTE",M1732="PARCIAL"),OR(N1732="PENDENTE",N1732="PARCIAL")),1,0))</f>
        <v/>
      </c>
      <c r="W1732" s="8">
        <f>IF(AND(V1732=1,D1732&lt;&gt;""),IF(D1732&gt;=corte,(B1732="CRÍTICO")*1E9+(100000-D1732)*10000+10000-ROW(),""),"")</f>
        <v/>
      </c>
      <c r="X1732" s="8">
        <f>IF(AND(V1732=1,D1732=pas_data,E1732=pas_turno),10000-ROW(),"")</f>
        <v/>
      </c>
    </row>
    <row r="1733">
      <c r="A1733" s="3">
        <f>IF(D1733="","","TT-"&amp;TEXT(ROW()-1,"00000"))</f>
        <v/>
      </c>
      <c r="B1733" s="3">
        <f>IF(D1733="","",IF(V1733=0,"CONCLUÍDO",IF(D1733&lt;corte,"HISTÓRICO",IF(OR(AND(ISNUMBER(R1733),R1733&lt;TODAY()),AND(OR(N1733="PENDENTE",N1733="PARCIAL"),D1733&lt;TODAY()-1)),"CRÍTICO",IF(OR(AND(P1733&lt;&gt;"",S1733=""),AND(N1733="REALIZADO",M1733="PENDENTE"),AND(ISNUMBER(R1733),R1733=TODAY())),"ATENÇÃO",IF(N(K1733)=0,"PENDENTE","EM ANDAMENTO"))))))</f>
        <v/>
      </c>
      <c r="C1733" s="3">
        <f>IF(D1733="","",IF(V1733=0,"🟢 OK",IF(D1733&lt;corte,"⚪ HISTÓRICO (sem baixa)",IF(AND(ISNUMBER(R1733),R1733&lt;TODAY()),"🔴 PRAZO VENCIDO",IF(AND(OR(N1733="PENDENTE",N1733="PARCIAL"),D1733&lt;TODAY()-1),"🔴 EMBARQUE ATRASADO",IF(AND(N1733="REALIZADO",M1733="PENDENTE"),"🟡 EMBARCADO SEM FATURAR",IF(AND(P1733&lt;&gt;"",S1733="",OR(Q1733="",R1733="")),"🟡 PENDÊNCIA SEM RESPONSÁVEL/PRAZO",IF(AND(ISNUMBER(R1733),R1733=TODAY()),"🟡 VENCE HOJE",IF(AND(P1733&lt;&gt;"",S1733=""),"🟡 PENDÊNCIA ABERTA",IF(AND(N(J1733)&gt;0,N(K1733)&lt;J1733),"🟡 FALTA EXECUTAR",IF(OR(M1733="PENDENTE",M1733="PARCIAL"),"🟡 FATURAMENTO PENDENTE","🟡 EMBARQUE PENDENTE")))))))))))</f>
        <v/>
      </c>
      <c r="D1733" s="4" t="n"/>
      <c r="E1733" s="5" t="n"/>
      <c r="F1733" s="5" t="n"/>
      <c r="G1733" s="5" t="n"/>
      <c r="H1733" s="5" t="n"/>
      <c r="I1733" s="5" t="n"/>
      <c r="J1733" s="6" t="n"/>
      <c r="K1733" s="6" t="n"/>
      <c r="L1733" s="7">
        <f>IF(OR(D1733="",N(J1733)=0),"",MIN(1,N(K1733)/J1733))</f>
        <v/>
      </c>
      <c r="M1733" s="5" t="n"/>
      <c r="N1733" s="5" t="n"/>
      <c r="O1733" s="5" t="n"/>
      <c r="P1733" s="5" t="n"/>
      <c r="Q1733" s="5" t="n"/>
      <c r="R1733" s="4" t="n"/>
      <c r="S1733" s="4" t="n"/>
      <c r="T1733" s="5" t="n"/>
      <c r="U1733" s="8">
        <f>IF(AND(V1733=1,D1733&lt;&gt;""),IF(D1733&gt;=corte,TODAY()-D1733,""),"")</f>
        <v/>
      </c>
      <c r="V1733" s="8">
        <f>IF(D1733="",0,IF(OR(AND(P1733&lt;&gt;"",S1733=""),AND(N(J1733)&gt;0,N(K1733)&lt;J1733),OR(M1733="PENDENTE",M1733="PARCIAL"),OR(N1733="PENDENTE",N1733="PARCIAL")),1,0))</f>
        <v/>
      </c>
      <c r="W1733" s="8">
        <f>IF(AND(V1733=1,D1733&lt;&gt;""),IF(D1733&gt;=corte,(B1733="CRÍTICO")*1E9+(100000-D1733)*10000+10000-ROW(),""),"")</f>
        <v/>
      </c>
      <c r="X1733" s="8">
        <f>IF(AND(V1733=1,D1733=pas_data,E1733=pas_turno),10000-ROW(),"")</f>
        <v/>
      </c>
    </row>
    <row r="1734">
      <c r="A1734" s="3">
        <f>IF(D1734="","","TT-"&amp;TEXT(ROW()-1,"00000"))</f>
        <v/>
      </c>
      <c r="B1734" s="3">
        <f>IF(D1734="","",IF(V1734=0,"CONCLUÍDO",IF(D1734&lt;corte,"HISTÓRICO",IF(OR(AND(ISNUMBER(R1734),R1734&lt;TODAY()),AND(OR(N1734="PENDENTE",N1734="PARCIAL"),D1734&lt;TODAY()-1)),"CRÍTICO",IF(OR(AND(P1734&lt;&gt;"",S1734=""),AND(N1734="REALIZADO",M1734="PENDENTE"),AND(ISNUMBER(R1734),R1734=TODAY())),"ATENÇÃO",IF(N(K1734)=0,"PENDENTE","EM ANDAMENTO"))))))</f>
        <v/>
      </c>
      <c r="C1734" s="3">
        <f>IF(D1734="","",IF(V1734=0,"🟢 OK",IF(D1734&lt;corte,"⚪ HISTÓRICO (sem baixa)",IF(AND(ISNUMBER(R1734),R1734&lt;TODAY()),"🔴 PRAZO VENCIDO",IF(AND(OR(N1734="PENDENTE",N1734="PARCIAL"),D1734&lt;TODAY()-1),"🔴 EMBARQUE ATRASADO",IF(AND(N1734="REALIZADO",M1734="PENDENTE"),"🟡 EMBARCADO SEM FATURAR",IF(AND(P1734&lt;&gt;"",S1734="",OR(Q1734="",R1734="")),"🟡 PENDÊNCIA SEM RESPONSÁVEL/PRAZO",IF(AND(ISNUMBER(R1734),R1734=TODAY()),"🟡 VENCE HOJE",IF(AND(P1734&lt;&gt;"",S1734=""),"🟡 PENDÊNCIA ABERTA",IF(AND(N(J1734)&gt;0,N(K1734)&lt;J1734),"🟡 FALTA EXECUTAR",IF(OR(M1734="PENDENTE",M1734="PARCIAL"),"🟡 FATURAMENTO PENDENTE","🟡 EMBARQUE PENDENTE")))))))))))</f>
        <v/>
      </c>
      <c r="D1734" s="4" t="n"/>
      <c r="E1734" s="5" t="n"/>
      <c r="F1734" s="5" t="n"/>
      <c r="G1734" s="5" t="n"/>
      <c r="H1734" s="5" t="n"/>
      <c r="I1734" s="5" t="n"/>
      <c r="J1734" s="6" t="n"/>
      <c r="K1734" s="6" t="n"/>
      <c r="L1734" s="7">
        <f>IF(OR(D1734="",N(J1734)=0),"",MIN(1,N(K1734)/J1734))</f>
        <v/>
      </c>
      <c r="M1734" s="5" t="n"/>
      <c r="N1734" s="5" t="n"/>
      <c r="O1734" s="5" t="n"/>
      <c r="P1734" s="5" t="n"/>
      <c r="Q1734" s="5" t="n"/>
      <c r="R1734" s="4" t="n"/>
      <c r="S1734" s="4" t="n"/>
      <c r="T1734" s="5" t="n"/>
      <c r="U1734" s="8">
        <f>IF(AND(V1734=1,D1734&lt;&gt;""),IF(D1734&gt;=corte,TODAY()-D1734,""),"")</f>
        <v/>
      </c>
      <c r="V1734" s="8">
        <f>IF(D1734="",0,IF(OR(AND(P1734&lt;&gt;"",S1734=""),AND(N(J1734)&gt;0,N(K1734)&lt;J1734),OR(M1734="PENDENTE",M1734="PARCIAL"),OR(N1734="PENDENTE",N1734="PARCIAL")),1,0))</f>
        <v/>
      </c>
      <c r="W1734" s="8">
        <f>IF(AND(V1734=1,D1734&lt;&gt;""),IF(D1734&gt;=corte,(B1734="CRÍTICO")*1E9+(100000-D1734)*10000+10000-ROW(),""),"")</f>
        <v/>
      </c>
      <c r="X1734" s="8">
        <f>IF(AND(V1734=1,D1734=pas_data,E1734=pas_turno),10000-ROW(),"")</f>
        <v/>
      </c>
    </row>
    <row r="1735">
      <c r="A1735" s="3">
        <f>IF(D1735="","","TT-"&amp;TEXT(ROW()-1,"00000"))</f>
        <v/>
      </c>
      <c r="B1735" s="3">
        <f>IF(D1735="","",IF(V1735=0,"CONCLUÍDO",IF(D1735&lt;corte,"HISTÓRICO",IF(OR(AND(ISNUMBER(R1735),R1735&lt;TODAY()),AND(OR(N1735="PENDENTE",N1735="PARCIAL"),D1735&lt;TODAY()-1)),"CRÍTICO",IF(OR(AND(P1735&lt;&gt;"",S1735=""),AND(N1735="REALIZADO",M1735="PENDENTE"),AND(ISNUMBER(R1735),R1735=TODAY())),"ATENÇÃO",IF(N(K1735)=0,"PENDENTE","EM ANDAMENTO"))))))</f>
        <v/>
      </c>
      <c r="C1735" s="3">
        <f>IF(D1735="","",IF(V1735=0,"🟢 OK",IF(D1735&lt;corte,"⚪ HISTÓRICO (sem baixa)",IF(AND(ISNUMBER(R1735),R1735&lt;TODAY()),"🔴 PRAZO VENCIDO",IF(AND(OR(N1735="PENDENTE",N1735="PARCIAL"),D1735&lt;TODAY()-1),"🔴 EMBARQUE ATRASADO",IF(AND(N1735="REALIZADO",M1735="PENDENTE"),"🟡 EMBARCADO SEM FATURAR",IF(AND(P1735&lt;&gt;"",S1735="",OR(Q1735="",R1735="")),"🟡 PENDÊNCIA SEM RESPONSÁVEL/PRAZO",IF(AND(ISNUMBER(R1735),R1735=TODAY()),"🟡 VENCE HOJE",IF(AND(P1735&lt;&gt;"",S1735=""),"🟡 PENDÊNCIA ABERTA",IF(AND(N(J1735)&gt;0,N(K1735)&lt;J1735),"🟡 FALTA EXECUTAR",IF(OR(M1735="PENDENTE",M1735="PARCIAL"),"🟡 FATURAMENTO PENDENTE","🟡 EMBARQUE PENDENTE")))))))))))</f>
        <v/>
      </c>
      <c r="D1735" s="4" t="n"/>
      <c r="E1735" s="5" t="n"/>
      <c r="F1735" s="5" t="n"/>
      <c r="G1735" s="5" t="n"/>
      <c r="H1735" s="5" t="n"/>
      <c r="I1735" s="5" t="n"/>
      <c r="J1735" s="6" t="n"/>
      <c r="K1735" s="6" t="n"/>
      <c r="L1735" s="7">
        <f>IF(OR(D1735="",N(J1735)=0),"",MIN(1,N(K1735)/J1735))</f>
        <v/>
      </c>
      <c r="M1735" s="5" t="n"/>
      <c r="N1735" s="5" t="n"/>
      <c r="O1735" s="5" t="n"/>
      <c r="P1735" s="5" t="n"/>
      <c r="Q1735" s="5" t="n"/>
      <c r="R1735" s="4" t="n"/>
      <c r="S1735" s="4" t="n"/>
      <c r="T1735" s="5" t="n"/>
      <c r="U1735" s="8">
        <f>IF(AND(V1735=1,D1735&lt;&gt;""),IF(D1735&gt;=corte,TODAY()-D1735,""),"")</f>
        <v/>
      </c>
      <c r="V1735" s="8">
        <f>IF(D1735="",0,IF(OR(AND(P1735&lt;&gt;"",S1735=""),AND(N(J1735)&gt;0,N(K1735)&lt;J1735),OR(M1735="PENDENTE",M1735="PARCIAL"),OR(N1735="PENDENTE",N1735="PARCIAL")),1,0))</f>
        <v/>
      </c>
      <c r="W1735" s="8">
        <f>IF(AND(V1735=1,D1735&lt;&gt;""),IF(D1735&gt;=corte,(B1735="CRÍTICO")*1E9+(100000-D1735)*10000+10000-ROW(),""),"")</f>
        <v/>
      </c>
      <c r="X1735" s="8">
        <f>IF(AND(V1735=1,D1735=pas_data,E1735=pas_turno),10000-ROW(),"")</f>
        <v/>
      </c>
    </row>
    <row r="1736">
      <c r="A1736" s="3">
        <f>IF(D1736="","","TT-"&amp;TEXT(ROW()-1,"00000"))</f>
        <v/>
      </c>
      <c r="B1736" s="3">
        <f>IF(D1736="","",IF(V1736=0,"CONCLUÍDO",IF(D1736&lt;corte,"HISTÓRICO",IF(OR(AND(ISNUMBER(R1736),R1736&lt;TODAY()),AND(OR(N1736="PENDENTE",N1736="PARCIAL"),D1736&lt;TODAY()-1)),"CRÍTICO",IF(OR(AND(P1736&lt;&gt;"",S1736=""),AND(N1736="REALIZADO",M1736="PENDENTE"),AND(ISNUMBER(R1736),R1736=TODAY())),"ATENÇÃO",IF(N(K1736)=0,"PENDENTE","EM ANDAMENTO"))))))</f>
        <v/>
      </c>
      <c r="C1736" s="3">
        <f>IF(D1736="","",IF(V1736=0,"🟢 OK",IF(D1736&lt;corte,"⚪ HISTÓRICO (sem baixa)",IF(AND(ISNUMBER(R1736),R1736&lt;TODAY()),"🔴 PRAZO VENCIDO",IF(AND(OR(N1736="PENDENTE",N1736="PARCIAL"),D1736&lt;TODAY()-1),"🔴 EMBARQUE ATRASADO",IF(AND(N1736="REALIZADO",M1736="PENDENTE"),"🟡 EMBARCADO SEM FATURAR",IF(AND(P1736&lt;&gt;"",S1736="",OR(Q1736="",R1736="")),"🟡 PENDÊNCIA SEM RESPONSÁVEL/PRAZO",IF(AND(ISNUMBER(R1736),R1736=TODAY()),"🟡 VENCE HOJE",IF(AND(P1736&lt;&gt;"",S1736=""),"🟡 PENDÊNCIA ABERTA",IF(AND(N(J1736)&gt;0,N(K1736)&lt;J1736),"🟡 FALTA EXECUTAR",IF(OR(M1736="PENDENTE",M1736="PARCIAL"),"🟡 FATURAMENTO PENDENTE","🟡 EMBARQUE PENDENTE")))))))))))</f>
        <v/>
      </c>
      <c r="D1736" s="4" t="n"/>
      <c r="E1736" s="5" t="n"/>
      <c r="F1736" s="5" t="n"/>
      <c r="G1736" s="5" t="n"/>
      <c r="H1736" s="5" t="n"/>
      <c r="I1736" s="5" t="n"/>
      <c r="J1736" s="6" t="n"/>
      <c r="K1736" s="6" t="n"/>
      <c r="L1736" s="7">
        <f>IF(OR(D1736="",N(J1736)=0),"",MIN(1,N(K1736)/J1736))</f>
        <v/>
      </c>
      <c r="M1736" s="5" t="n"/>
      <c r="N1736" s="5" t="n"/>
      <c r="O1736" s="5" t="n"/>
      <c r="P1736" s="5" t="n"/>
      <c r="Q1736" s="5" t="n"/>
      <c r="R1736" s="4" t="n"/>
      <c r="S1736" s="4" t="n"/>
      <c r="T1736" s="5" t="n"/>
      <c r="U1736" s="8">
        <f>IF(AND(V1736=1,D1736&lt;&gt;""),IF(D1736&gt;=corte,TODAY()-D1736,""),"")</f>
        <v/>
      </c>
      <c r="V1736" s="8">
        <f>IF(D1736="",0,IF(OR(AND(P1736&lt;&gt;"",S1736=""),AND(N(J1736)&gt;0,N(K1736)&lt;J1736),OR(M1736="PENDENTE",M1736="PARCIAL"),OR(N1736="PENDENTE",N1736="PARCIAL")),1,0))</f>
        <v/>
      </c>
      <c r="W1736" s="8">
        <f>IF(AND(V1736=1,D1736&lt;&gt;""),IF(D1736&gt;=corte,(B1736="CRÍTICO")*1E9+(100000-D1736)*10000+10000-ROW(),""),"")</f>
        <v/>
      </c>
      <c r="X1736" s="8">
        <f>IF(AND(V1736=1,D1736=pas_data,E1736=pas_turno),10000-ROW(),"")</f>
        <v/>
      </c>
    </row>
    <row r="1737">
      <c r="A1737" s="3">
        <f>IF(D1737="","","TT-"&amp;TEXT(ROW()-1,"00000"))</f>
        <v/>
      </c>
      <c r="B1737" s="3">
        <f>IF(D1737="","",IF(V1737=0,"CONCLUÍDO",IF(D1737&lt;corte,"HISTÓRICO",IF(OR(AND(ISNUMBER(R1737),R1737&lt;TODAY()),AND(OR(N1737="PENDENTE",N1737="PARCIAL"),D1737&lt;TODAY()-1)),"CRÍTICO",IF(OR(AND(P1737&lt;&gt;"",S1737=""),AND(N1737="REALIZADO",M1737="PENDENTE"),AND(ISNUMBER(R1737),R1737=TODAY())),"ATENÇÃO",IF(N(K1737)=0,"PENDENTE","EM ANDAMENTO"))))))</f>
        <v/>
      </c>
      <c r="C1737" s="3">
        <f>IF(D1737="","",IF(V1737=0,"🟢 OK",IF(D1737&lt;corte,"⚪ HISTÓRICO (sem baixa)",IF(AND(ISNUMBER(R1737),R1737&lt;TODAY()),"🔴 PRAZO VENCIDO",IF(AND(OR(N1737="PENDENTE",N1737="PARCIAL"),D1737&lt;TODAY()-1),"🔴 EMBARQUE ATRASADO",IF(AND(N1737="REALIZADO",M1737="PENDENTE"),"🟡 EMBARCADO SEM FATURAR",IF(AND(P1737&lt;&gt;"",S1737="",OR(Q1737="",R1737="")),"🟡 PENDÊNCIA SEM RESPONSÁVEL/PRAZO",IF(AND(ISNUMBER(R1737),R1737=TODAY()),"🟡 VENCE HOJE",IF(AND(P1737&lt;&gt;"",S1737=""),"🟡 PENDÊNCIA ABERTA",IF(AND(N(J1737)&gt;0,N(K1737)&lt;J1737),"🟡 FALTA EXECUTAR",IF(OR(M1737="PENDENTE",M1737="PARCIAL"),"🟡 FATURAMENTO PENDENTE","🟡 EMBARQUE PENDENTE")))))))))))</f>
        <v/>
      </c>
      <c r="D1737" s="4" t="n"/>
      <c r="E1737" s="5" t="n"/>
      <c r="F1737" s="5" t="n"/>
      <c r="G1737" s="5" t="n"/>
      <c r="H1737" s="5" t="n"/>
      <c r="I1737" s="5" t="n"/>
      <c r="J1737" s="6" t="n"/>
      <c r="K1737" s="6" t="n"/>
      <c r="L1737" s="7">
        <f>IF(OR(D1737="",N(J1737)=0),"",MIN(1,N(K1737)/J1737))</f>
        <v/>
      </c>
      <c r="M1737" s="5" t="n"/>
      <c r="N1737" s="5" t="n"/>
      <c r="O1737" s="5" t="n"/>
      <c r="P1737" s="5" t="n"/>
      <c r="Q1737" s="5" t="n"/>
      <c r="R1737" s="4" t="n"/>
      <c r="S1737" s="4" t="n"/>
      <c r="T1737" s="5" t="n"/>
      <c r="U1737" s="8">
        <f>IF(AND(V1737=1,D1737&lt;&gt;""),IF(D1737&gt;=corte,TODAY()-D1737,""),"")</f>
        <v/>
      </c>
      <c r="V1737" s="8">
        <f>IF(D1737="",0,IF(OR(AND(P1737&lt;&gt;"",S1737=""),AND(N(J1737)&gt;0,N(K1737)&lt;J1737),OR(M1737="PENDENTE",M1737="PARCIAL"),OR(N1737="PENDENTE",N1737="PARCIAL")),1,0))</f>
        <v/>
      </c>
      <c r="W1737" s="8">
        <f>IF(AND(V1737=1,D1737&lt;&gt;""),IF(D1737&gt;=corte,(B1737="CRÍTICO")*1E9+(100000-D1737)*10000+10000-ROW(),""),"")</f>
        <v/>
      </c>
      <c r="X1737" s="8">
        <f>IF(AND(V1737=1,D1737=pas_data,E1737=pas_turno),10000-ROW(),"")</f>
        <v/>
      </c>
    </row>
    <row r="1738">
      <c r="A1738" s="3">
        <f>IF(D1738="","","TT-"&amp;TEXT(ROW()-1,"00000"))</f>
        <v/>
      </c>
      <c r="B1738" s="3">
        <f>IF(D1738="","",IF(V1738=0,"CONCLUÍDO",IF(D1738&lt;corte,"HISTÓRICO",IF(OR(AND(ISNUMBER(R1738),R1738&lt;TODAY()),AND(OR(N1738="PENDENTE",N1738="PARCIAL"),D1738&lt;TODAY()-1)),"CRÍTICO",IF(OR(AND(P1738&lt;&gt;"",S1738=""),AND(N1738="REALIZADO",M1738="PENDENTE"),AND(ISNUMBER(R1738),R1738=TODAY())),"ATENÇÃO",IF(N(K1738)=0,"PENDENTE","EM ANDAMENTO"))))))</f>
        <v/>
      </c>
      <c r="C1738" s="3">
        <f>IF(D1738="","",IF(V1738=0,"🟢 OK",IF(D1738&lt;corte,"⚪ HISTÓRICO (sem baixa)",IF(AND(ISNUMBER(R1738),R1738&lt;TODAY()),"🔴 PRAZO VENCIDO",IF(AND(OR(N1738="PENDENTE",N1738="PARCIAL"),D1738&lt;TODAY()-1),"🔴 EMBARQUE ATRASADO",IF(AND(N1738="REALIZADO",M1738="PENDENTE"),"🟡 EMBARCADO SEM FATURAR",IF(AND(P1738&lt;&gt;"",S1738="",OR(Q1738="",R1738="")),"🟡 PENDÊNCIA SEM RESPONSÁVEL/PRAZO",IF(AND(ISNUMBER(R1738),R1738=TODAY()),"🟡 VENCE HOJE",IF(AND(P1738&lt;&gt;"",S1738=""),"🟡 PENDÊNCIA ABERTA",IF(AND(N(J1738)&gt;0,N(K1738)&lt;J1738),"🟡 FALTA EXECUTAR",IF(OR(M1738="PENDENTE",M1738="PARCIAL"),"🟡 FATURAMENTO PENDENTE","🟡 EMBARQUE PENDENTE")))))))))))</f>
        <v/>
      </c>
      <c r="D1738" s="4" t="n"/>
      <c r="E1738" s="5" t="n"/>
      <c r="F1738" s="5" t="n"/>
      <c r="G1738" s="5" t="n"/>
      <c r="H1738" s="5" t="n"/>
      <c r="I1738" s="5" t="n"/>
      <c r="J1738" s="6" t="n"/>
      <c r="K1738" s="6" t="n"/>
      <c r="L1738" s="7">
        <f>IF(OR(D1738="",N(J1738)=0),"",MIN(1,N(K1738)/J1738))</f>
        <v/>
      </c>
      <c r="M1738" s="5" t="n"/>
      <c r="N1738" s="5" t="n"/>
      <c r="O1738" s="5" t="n"/>
      <c r="P1738" s="5" t="n"/>
      <c r="Q1738" s="5" t="n"/>
      <c r="R1738" s="4" t="n"/>
      <c r="S1738" s="4" t="n"/>
      <c r="T1738" s="5" t="n"/>
      <c r="U1738" s="8">
        <f>IF(AND(V1738=1,D1738&lt;&gt;""),IF(D1738&gt;=corte,TODAY()-D1738,""),"")</f>
        <v/>
      </c>
      <c r="V1738" s="8">
        <f>IF(D1738="",0,IF(OR(AND(P1738&lt;&gt;"",S1738=""),AND(N(J1738)&gt;0,N(K1738)&lt;J1738),OR(M1738="PENDENTE",M1738="PARCIAL"),OR(N1738="PENDENTE",N1738="PARCIAL")),1,0))</f>
        <v/>
      </c>
      <c r="W1738" s="8">
        <f>IF(AND(V1738=1,D1738&lt;&gt;""),IF(D1738&gt;=corte,(B1738="CRÍTICO")*1E9+(100000-D1738)*10000+10000-ROW(),""),"")</f>
        <v/>
      </c>
      <c r="X1738" s="8">
        <f>IF(AND(V1738=1,D1738=pas_data,E1738=pas_turno),10000-ROW(),"")</f>
        <v/>
      </c>
    </row>
    <row r="1739">
      <c r="A1739" s="3">
        <f>IF(D1739="","","TT-"&amp;TEXT(ROW()-1,"00000"))</f>
        <v/>
      </c>
      <c r="B1739" s="3">
        <f>IF(D1739="","",IF(V1739=0,"CONCLUÍDO",IF(D1739&lt;corte,"HISTÓRICO",IF(OR(AND(ISNUMBER(R1739),R1739&lt;TODAY()),AND(OR(N1739="PENDENTE",N1739="PARCIAL"),D1739&lt;TODAY()-1)),"CRÍTICO",IF(OR(AND(P1739&lt;&gt;"",S1739=""),AND(N1739="REALIZADO",M1739="PENDENTE"),AND(ISNUMBER(R1739),R1739=TODAY())),"ATENÇÃO",IF(N(K1739)=0,"PENDENTE","EM ANDAMENTO"))))))</f>
        <v/>
      </c>
      <c r="C1739" s="3">
        <f>IF(D1739="","",IF(V1739=0,"🟢 OK",IF(D1739&lt;corte,"⚪ HISTÓRICO (sem baixa)",IF(AND(ISNUMBER(R1739),R1739&lt;TODAY()),"🔴 PRAZO VENCIDO",IF(AND(OR(N1739="PENDENTE",N1739="PARCIAL"),D1739&lt;TODAY()-1),"🔴 EMBARQUE ATRASADO",IF(AND(N1739="REALIZADO",M1739="PENDENTE"),"🟡 EMBARCADO SEM FATURAR",IF(AND(P1739&lt;&gt;"",S1739="",OR(Q1739="",R1739="")),"🟡 PENDÊNCIA SEM RESPONSÁVEL/PRAZO",IF(AND(ISNUMBER(R1739),R1739=TODAY()),"🟡 VENCE HOJE",IF(AND(P1739&lt;&gt;"",S1739=""),"🟡 PENDÊNCIA ABERTA",IF(AND(N(J1739)&gt;0,N(K1739)&lt;J1739),"🟡 FALTA EXECUTAR",IF(OR(M1739="PENDENTE",M1739="PARCIAL"),"🟡 FATURAMENTO PENDENTE","🟡 EMBARQUE PENDENTE")))))))))))</f>
        <v/>
      </c>
      <c r="D1739" s="4" t="n"/>
      <c r="E1739" s="5" t="n"/>
      <c r="F1739" s="5" t="n"/>
      <c r="G1739" s="5" t="n"/>
      <c r="H1739" s="5" t="n"/>
      <c r="I1739" s="5" t="n"/>
      <c r="J1739" s="6" t="n"/>
      <c r="K1739" s="6" t="n"/>
      <c r="L1739" s="7">
        <f>IF(OR(D1739="",N(J1739)=0),"",MIN(1,N(K1739)/J1739))</f>
        <v/>
      </c>
      <c r="M1739" s="5" t="n"/>
      <c r="N1739" s="5" t="n"/>
      <c r="O1739" s="5" t="n"/>
      <c r="P1739" s="5" t="n"/>
      <c r="Q1739" s="5" t="n"/>
      <c r="R1739" s="4" t="n"/>
      <c r="S1739" s="4" t="n"/>
      <c r="T1739" s="5" t="n"/>
      <c r="U1739" s="8">
        <f>IF(AND(V1739=1,D1739&lt;&gt;""),IF(D1739&gt;=corte,TODAY()-D1739,""),"")</f>
        <v/>
      </c>
      <c r="V1739" s="8">
        <f>IF(D1739="",0,IF(OR(AND(P1739&lt;&gt;"",S1739=""),AND(N(J1739)&gt;0,N(K1739)&lt;J1739),OR(M1739="PENDENTE",M1739="PARCIAL"),OR(N1739="PENDENTE",N1739="PARCIAL")),1,0))</f>
        <v/>
      </c>
      <c r="W1739" s="8">
        <f>IF(AND(V1739=1,D1739&lt;&gt;""),IF(D1739&gt;=corte,(B1739="CRÍTICO")*1E9+(100000-D1739)*10000+10000-ROW(),""),"")</f>
        <v/>
      </c>
      <c r="X1739" s="8">
        <f>IF(AND(V1739=1,D1739=pas_data,E1739=pas_turno),10000-ROW(),"")</f>
        <v/>
      </c>
    </row>
    <row r="1740">
      <c r="A1740" s="3">
        <f>IF(D1740="","","TT-"&amp;TEXT(ROW()-1,"00000"))</f>
        <v/>
      </c>
      <c r="B1740" s="3">
        <f>IF(D1740="","",IF(V1740=0,"CONCLUÍDO",IF(D1740&lt;corte,"HISTÓRICO",IF(OR(AND(ISNUMBER(R1740),R1740&lt;TODAY()),AND(OR(N1740="PENDENTE",N1740="PARCIAL"),D1740&lt;TODAY()-1)),"CRÍTICO",IF(OR(AND(P1740&lt;&gt;"",S1740=""),AND(N1740="REALIZADO",M1740="PENDENTE"),AND(ISNUMBER(R1740),R1740=TODAY())),"ATENÇÃO",IF(N(K1740)=0,"PENDENTE","EM ANDAMENTO"))))))</f>
        <v/>
      </c>
      <c r="C1740" s="3">
        <f>IF(D1740="","",IF(V1740=0,"🟢 OK",IF(D1740&lt;corte,"⚪ HISTÓRICO (sem baixa)",IF(AND(ISNUMBER(R1740),R1740&lt;TODAY()),"🔴 PRAZO VENCIDO",IF(AND(OR(N1740="PENDENTE",N1740="PARCIAL"),D1740&lt;TODAY()-1),"🔴 EMBARQUE ATRASADO",IF(AND(N1740="REALIZADO",M1740="PENDENTE"),"🟡 EMBARCADO SEM FATURAR",IF(AND(P1740&lt;&gt;"",S1740="",OR(Q1740="",R1740="")),"🟡 PENDÊNCIA SEM RESPONSÁVEL/PRAZO",IF(AND(ISNUMBER(R1740),R1740=TODAY()),"🟡 VENCE HOJE",IF(AND(P1740&lt;&gt;"",S1740=""),"🟡 PENDÊNCIA ABERTA",IF(AND(N(J1740)&gt;0,N(K1740)&lt;J1740),"🟡 FALTA EXECUTAR",IF(OR(M1740="PENDENTE",M1740="PARCIAL"),"🟡 FATURAMENTO PENDENTE","🟡 EMBARQUE PENDENTE")))))))))))</f>
        <v/>
      </c>
      <c r="D1740" s="4" t="n"/>
      <c r="E1740" s="5" t="n"/>
      <c r="F1740" s="5" t="n"/>
      <c r="G1740" s="5" t="n"/>
      <c r="H1740" s="5" t="n"/>
      <c r="I1740" s="5" t="n"/>
      <c r="J1740" s="6" t="n"/>
      <c r="K1740" s="6" t="n"/>
      <c r="L1740" s="7">
        <f>IF(OR(D1740="",N(J1740)=0),"",MIN(1,N(K1740)/J1740))</f>
        <v/>
      </c>
      <c r="M1740" s="5" t="n"/>
      <c r="N1740" s="5" t="n"/>
      <c r="O1740" s="5" t="n"/>
      <c r="P1740" s="5" t="n"/>
      <c r="Q1740" s="5" t="n"/>
      <c r="R1740" s="4" t="n"/>
      <c r="S1740" s="4" t="n"/>
      <c r="T1740" s="5" t="n"/>
      <c r="U1740" s="8">
        <f>IF(AND(V1740=1,D1740&lt;&gt;""),IF(D1740&gt;=corte,TODAY()-D1740,""),"")</f>
        <v/>
      </c>
      <c r="V1740" s="8">
        <f>IF(D1740="",0,IF(OR(AND(P1740&lt;&gt;"",S1740=""),AND(N(J1740)&gt;0,N(K1740)&lt;J1740),OR(M1740="PENDENTE",M1740="PARCIAL"),OR(N1740="PENDENTE",N1740="PARCIAL")),1,0))</f>
        <v/>
      </c>
      <c r="W1740" s="8">
        <f>IF(AND(V1740=1,D1740&lt;&gt;""),IF(D1740&gt;=corte,(B1740="CRÍTICO")*1E9+(100000-D1740)*10000+10000-ROW(),""),"")</f>
        <v/>
      </c>
      <c r="X1740" s="8">
        <f>IF(AND(V1740=1,D1740=pas_data,E1740=pas_turno),10000-ROW(),"")</f>
        <v/>
      </c>
    </row>
    <row r="1741">
      <c r="A1741" s="3">
        <f>IF(D1741="","","TT-"&amp;TEXT(ROW()-1,"00000"))</f>
        <v/>
      </c>
      <c r="B1741" s="3">
        <f>IF(D1741="","",IF(V1741=0,"CONCLUÍDO",IF(D1741&lt;corte,"HISTÓRICO",IF(OR(AND(ISNUMBER(R1741),R1741&lt;TODAY()),AND(OR(N1741="PENDENTE",N1741="PARCIAL"),D1741&lt;TODAY()-1)),"CRÍTICO",IF(OR(AND(P1741&lt;&gt;"",S1741=""),AND(N1741="REALIZADO",M1741="PENDENTE"),AND(ISNUMBER(R1741),R1741=TODAY())),"ATENÇÃO",IF(N(K1741)=0,"PENDENTE","EM ANDAMENTO"))))))</f>
        <v/>
      </c>
      <c r="C1741" s="3">
        <f>IF(D1741="","",IF(V1741=0,"🟢 OK",IF(D1741&lt;corte,"⚪ HISTÓRICO (sem baixa)",IF(AND(ISNUMBER(R1741),R1741&lt;TODAY()),"🔴 PRAZO VENCIDO",IF(AND(OR(N1741="PENDENTE",N1741="PARCIAL"),D1741&lt;TODAY()-1),"🔴 EMBARQUE ATRASADO",IF(AND(N1741="REALIZADO",M1741="PENDENTE"),"🟡 EMBARCADO SEM FATURAR",IF(AND(P1741&lt;&gt;"",S1741="",OR(Q1741="",R1741="")),"🟡 PENDÊNCIA SEM RESPONSÁVEL/PRAZO",IF(AND(ISNUMBER(R1741),R1741=TODAY()),"🟡 VENCE HOJE",IF(AND(P1741&lt;&gt;"",S1741=""),"🟡 PENDÊNCIA ABERTA",IF(AND(N(J1741)&gt;0,N(K1741)&lt;J1741),"🟡 FALTA EXECUTAR",IF(OR(M1741="PENDENTE",M1741="PARCIAL"),"🟡 FATURAMENTO PENDENTE","🟡 EMBARQUE PENDENTE")))))))))))</f>
        <v/>
      </c>
      <c r="D1741" s="4" t="n"/>
      <c r="E1741" s="5" t="n"/>
      <c r="F1741" s="5" t="n"/>
      <c r="G1741" s="5" t="n"/>
      <c r="H1741" s="5" t="n"/>
      <c r="I1741" s="5" t="n"/>
      <c r="J1741" s="6" t="n"/>
      <c r="K1741" s="6" t="n"/>
      <c r="L1741" s="7">
        <f>IF(OR(D1741="",N(J1741)=0),"",MIN(1,N(K1741)/J1741))</f>
        <v/>
      </c>
      <c r="M1741" s="5" t="n"/>
      <c r="N1741" s="5" t="n"/>
      <c r="O1741" s="5" t="n"/>
      <c r="P1741" s="5" t="n"/>
      <c r="Q1741" s="5" t="n"/>
      <c r="R1741" s="4" t="n"/>
      <c r="S1741" s="4" t="n"/>
      <c r="T1741" s="5" t="n"/>
      <c r="U1741" s="8">
        <f>IF(AND(V1741=1,D1741&lt;&gt;""),IF(D1741&gt;=corte,TODAY()-D1741,""),"")</f>
        <v/>
      </c>
      <c r="V1741" s="8">
        <f>IF(D1741="",0,IF(OR(AND(P1741&lt;&gt;"",S1741=""),AND(N(J1741)&gt;0,N(K1741)&lt;J1741),OR(M1741="PENDENTE",M1741="PARCIAL"),OR(N1741="PENDENTE",N1741="PARCIAL")),1,0))</f>
        <v/>
      </c>
      <c r="W1741" s="8">
        <f>IF(AND(V1741=1,D1741&lt;&gt;""),IF(D1741&gt;=corte,(B1741="CRÍTICO")*1E9+(100000-D1741)*10000+10000-ROW(),""),"")</f>
        <v/>
      </c>
      <c r="X1741" s="8">
        <f>IF(AND(V1741=1,D1741=pas_data,E1741=pas_turno),10000-ROW(),"")</f>
        <v/>
      </c>
    </row>
    <row r="1742">
      <c r="A1742" s="3">
        <f>IF(D1742="","","TT-"&amp;TEXT(ROW()-1,"00000"))</f>
        <v/>
      </c>
      <c r="B1742" s="3">
        <f>IF(D1742="","",IF(V1742=0,"CONCLUÍDO",IF(D1742&lt;corte,"HISTÓRICO",IF(OR(AND(ISNUMBER(R1742),R1742&lt;TODAY()),AND(OR(N1742="PENDENTE",N1742="PARCIAL"),D1742&lt;TODAY()-1)),"CRÍTICO",IF(OR(AND(P1742&lt;&gt;"",S1742=""),AND(N1742="REALIZADO",M1742="PENDENTE"),AND(ISNUMBER(R1742),R1742=TODAY())),"ATENÇÃO",IF(N(K1742)=0,"PENDENTE","EM ANDAMENTO"))))))</f>
        <v/>
      </c>
      <c r="C1742" s="3">
        <f>IF(D1742="","",IF(V1742=0,"🟢 OK",IF(D1742&lt;corte,"⚪ HISTÓRICO (sem baixa)",IF(AND(ISNUMBER(R1742),R1742&lt;TODAY()),"🔴 PRAZO VENCIDO",IF(AND(OR(N1742="PENDENTE",N1742="PARCIAL"),D1742&lt;TODAY()-1),"🔴 EMBARQUE ATRASADO",IF(AND(N1742="REALIZADO",M1742="PENDENTE"),"🟡 EMBARCADO SEM FATURAR",IF(AND(P1742&lt;&gt;"",S1742="",OR(Q1742="",R1742="")),"🟡 PENDÊNCIA SEM RESPONSÁVEL/PRAZO",IF(AND(ISNUMBER(R1742),R1742=TODAY()),"🟡 VENCE HOJE",IF(AND(P1742&lt;&gt;"",S1742=""),"🟡 PENDÊNCIA ABERTA",IF(AND(N(J1742)&gt;0,N(K1742)&lt;J1742),"🟡 FALTA EXECUTAR",IF(OR(M1742="PENDENTE",M1742="PARCIAL"),"🟡 FATURAMENTO PENDENTE","🟡 EMBARQUE PENDENTE")))))))))))</f>
        <v/>
      </c>
      <c r="D1742" s="4" t="n"/>
      <c r="E1742" s="5" t="n"/>
      <c r="F1742" s="5" t="n"/>
      <c r="G1742" s="5" t="n"/>
      <c r="H1742" s="5" t="n"/>
      <c r="I1742" s="5" t="n"/>
      <c r="J1742" s="6" t="n"/>
      <c r="K1742" s="6" t="n"/>
      <c r="L1742" s="7">
        <f>IF(OR(D1742="",N(J1742)=0),"",MIN(1,N(K1742)/J1742))</f>
        <v/>
      </c>
      <c r="M1742" s="5" t="n"/>
      <c r="N1742" s="5" t="n"/>
      <c r="O1742" s="5" t="n"/>
      <c r="P1742" s="5" t="n"/>
      <c r="Q1742" s="5" t="n"/>
      <c r="R1742" s="4" t="n"/>
      <c r="S1742" s="4" t="n"/>
      <c r="T1742" s="5" t="n"/>
      <c r="U1742" s="8">
        <f>IF(AND(V1742=1,D1742&lt;&gt;""),IF(D1742&gt;=corte,TODAY()-D1742,""),"")</f>
        <v/>
      </c>
      <c r="V1742" s="8">
        <f>IF(D1742="",0,IF(OR(AND(P1742&lt;&gt;"",S1742=""),AND(N(J1742)&gt;0,N(K1742)&lt;J1742),OR(M1742="PENDENTE",M1742="PARCIAL"),OR(N1742="PENDENTE",N1742="PARCIAL")),1,0))</f>
        <v/>
      </c>
      <c r="W1742" s="8">
        <f>IF(AND(V1742=1,D1742&lt;&gt;""),IF(D1742&gt;=corte,(B1742="CRÍTICO")*1E9+(100000-D1742)*10000+10000-ROW(),""),"")</f>
        <v/>
      </c>
      <c r="X1742" s="8">
        <f>IF(AND(V1742=1,D1742=pas_data,E1742=pas_turno),10000-ROW(),"")</f>
        <v/>
      </c>
    </row>
    <row r="1743">
      <c r="A1743" s="3">
        <f>IF(D1743="","","TT-"&amp;TEXT(ROW()-1,"00000"))</f>
        <v/>
      </c>
      <c r="B1743" s="3">
        <f>IF(D1743="","",IF(V1743=0,"CONCLUÍDO",IF(D1743&lt;corte,"HISTÓRICO",IF(OR(AND(ISNUMBER(R1743),R1743&lt;TODAY()),AND(OR(N1743="PENDENTE",N1743="PARCIAL"),D1743&lt;TODAY()-1)),"CRÍTICO",IF(OR(AND(P1743&lt;&gt;"",S1743=""),AND(N1743="REALIZADO",M1743="PENDENTE"),AND(ISNUMBER(R1743),R1743=TODAY())),"ATENÇÃO",IF(N(K1743)=0,"PENDENTE","EM ANDAMENTO"))))))</f>
        <v/>
      </c>
      <c r="C1743" s="3">
        <f>IF(D1743="","",IF(V1743=0,"🟢 OK",IF(D1743&lt;corte,"⚪ HISTÓRICO (sem baixa)",IF(AND(ISNUMBER(R1743),R1743&lt;TODAY()),"🔴 PRAZO VENCIDO",IF(AND(OR(N1743="PENDENTE",N1743="PARCIAL"),D1743&lt;TODAY()-1),"🔴 EMBARQUE ATRASADO",IF(AND(N1743="REALIZADO",M1743="PENDENTE"),"🟡 EMBARCADO SEM FATURAR",IF(AND(P1743&lt;&gt;"",S1743="",OR(Q1743="",R1743="")),"🟡 PENDÊNCIA SEM RESPONSÁVEL/PRAZO",IF(AND(ISNUMBER(R1743),R1743=TODAY()),"🟡 VENCE HOJE",IF(AND(P1743&lt;&gt;"",S1743=""),"🟡 PENDÊNCIA ABERTA",IF(AND(N(J1743)&gt;0,N(K1743)&lt;J1743),"🟡 FALTA EXECUTAR",IF(OR(M1743="PENDENTE",M1743="PARCIAL"),"🟡 FATURAMENTO PENDENTE","🟡 EMBARQUE PENDENTE")))))))))))</f>
        <v/>
      </c>
      <c r="D1743" s="4" t="n"/>
      <c r="E1743" s="5" t="n"/>
      <c r="F1743" s="5" t="n"/>
      <c r="G1743" s="5" t="n"/>
      <c r="H1743" s="5" t="n"/>
      <c r="I1743" s="5" t="n"/>
      <c r="J1743" s="6" t="n"/>
      <c r="K1743" s="6" t="n"/>
      <c r="L1743" s="7">
        <f>IF(OR(D1743="",N(J1743)=0),"",MIN(1,N(K1743)/J1743))</f>
        <v/>
      </c>
      <c r="M1743" s="5" t="n"/>
      <c r="N1743" s="5" t="n"/>
      <c r="O1743" s="5" t="n"/>
      <c r="P1743" s="5" t="n"/>
      <c r="Q1743" s="5" t="n"/>
      <c r="R1743" s="4" t="n"/>
      <c r="S1743" s="4" t="n"/>
      <c r="T1743" s="5" t="n"/>
      <c r="U1743" s="8">
        <f>IF(AND(V1743=1,D1743&lt;&gt;""),IF(D1743&gt;=corte,TODAY()-D1743,""),"")</f>
        <v/>
      </c>
      <c r="V1743" s="8">
        <f>IF(D1743="",0,IF(OR(AND(P1743&lt;&gt;"",S1743=""),AND(N(J1743)&gt;0,N(K1743)&lt;J1743),OR(M1743="PENDENTE",M1743="PARCIAL"),OR(N1743="PENDENTE",N1743="PARCIAL")),1,0))</f>
        <v/>
      </c>
      <c r="W1743" s="8">
        <f>IF(AND(V1743=1,D1743&lt;&gt;""),IF(D1743&gt;=corte,(B1743="CRÍTICO")*1E9+(100000-D1743)*10000+10000-ROW(),""),"")</f>
        <v/>
      </c>
      <c r="X1743" s="8">
        <f>IF(AND(V1743=1,D1743=pas_data,E1743=pas_turno),10000-ROW(),"")</f>
        <v/>
      </c>
    </row>
    <row r="1744">
      <c r="A1744" s="3">
        <f>IF(D1744="","","TT-"&amp;TEXT(ROW()-1,"00000"))</f>
        <v/>
      </c>
      <c r="B1744" s="3">
        <f>IF(D1744="","",IF(V1744=0,"CONCLUÍDO",IF(D1744&lt;corte,"HISTÓRICO",IF(OR(AND(ISNUMBER(R1744),R1744&lt;TODAY()),AND(OR(N1744="PENDENTE",N1744="PARCIAL"),D1744&lt;TODAY()-1)),"CRÍTICO",IF(OR(AND(P1744&lt;&gt;"",S1744=""),AND(N1744="REALIZADO",M1744="PENDENTE"),AND(ISNUMBER(R1744),R1744=TODAY())),"ATENÇÃO",IF(N(K1744)=0,"PENDENTE","EM ANDAMENTO"))))))</f>
        <v/>
      </c>
      <c r="C1744" s="3">
        <f>IF(D1744="","",IF(V1744=0,"🟢 OK",IF(D1744&lt;corte,"⚪ HISTÓRICO (sem baixa)",IF(AND(ISNUMBER(R1744),R1744&lt;TODAY()),"🔴 PRAZO VENCIDO",IF(AND(OR(N1744="PENDENTE",N1744="PARCIAL"),D1744&lt;TODAY()-1),"🔴 EMBARQUE ATRASADO",IF(AND(N1744="REALIZADO",M1744="PENDENTE"),"🟡 EMBARCADO SEM FATURAR",IF(AND(P1744&lt;&gt;"",S1744="",OR(Q1744="",R1744="")),"🟡 PENDÊNCIA SEM RESPONSÁVEL/PRAZO",IF(AND(ISNUMBER(R1744),R1744=TODAY()),"🟡 VENCE HOJE",IF(AND(P1744&lt;&gt;"",S1744=""),"🟡 PENDÊNCIA ABERTA",IF(AND(N(J1744)&gt;0,N(K1744)&lt;J1744),"🟡 FALTA EXECUTAR",IF(OR(M1744="PENDENTE",M1744="PARCIAL"),"🟡 FATURAMENTO PENDENTE","🟡 EMBARQUE PENDENTE")))))))))))</f>
        <v/>
      </c>
      <c r="D1744" s="4" t="n"/>
      <c r="E1744" s="5" t="n"/>
      <c r="F1744" s="5" t="n"/>
      <c r="G1744" s="5" t="n"/>
      <c r="H1744" s="5" t="n"/>
      <c r="I1744" s="5" t="n"/>
      <c r="J1744" s="6" t="n"/>
      <c r="K1744" s="6" t="n"/>
      <c r="L1744" s="7">
        <f>IF(OR(D1744="",N(J1744)=0),"",MIN(1,N(K1744)/J1744))</f>
        <v/>
      </c>
      <c r="M1744" s="5" t="n"/>
      <c r="N1744" s="5" t="n"/>
      <c r="O1744" s="5" t="n"/>
      <c r="P1744" s="5" t="n"/>
      <c r="Q1744" s="5" t="n"/>
      <c r="R1744" s="4" t="n"/>
      <c r="S1744" s="4" t="n"/>
      <c r="T1744" s="5" t="n"/>
      <c r="U1744" s="8">
        <f>IF(AND(V1744=1,D1744&lt;&gt;""),IF(D1744&gt;=corte,TODAY()-D1744,""),"")</f>
        <v/>
      </c>
      <c r="V1744" s="8">
        <f>IF(D1744="",0,IF(OR(AND(P1744&lt;&gt;"",S1744=""),AND(N(J1744)&gt;0,N(K1744)&lt;J1744),OR(M1744="PENDENTE",M1744="PARCIAL"),OR(N1744="PENDENTE",N1744="PARCIAL")),1,0))</f>
        <v/>
      </c>
      <c r="W1744" s="8">
        <f>IF(AND(V1744=1,D1744&lt;&gt;""),IF(D1744&gt;=corte,(B1744="CRÍTICO")*1E9+(100000-D1744)*10000+10000-ROW(),""),"")</f>
        <v/>
      </c>
      <c r="X1744" s="8">
        <f>IF(AND(V1744=1,D1744=pas_data,E1744=pas_turno),10000-ROW(),"")</f>
        <v/>
      </c>
    </row>
    <row r="1745">
      <c r="A1745" s="3">
        <f>IF(D1745="","","TT-"&amp;TEXT(ROW()-1,"00000"))</f>
        <v/>
      </c>
      <c r="B1745" s="3">
        <f>IF(D1745="","",IF(V1745=0,"CONCLUÍDO",IF(D1745&lt;corte,"HISTÓRICO",IF(OR(AND(ISNUMBER(R1745),R1745&lt;TODAY()),AND(OR(N1745="PENDENTE",N1745="PARCIAL"),D1745&lt;TODAY()-1)),"CRÍTICO",IF(OR(AND(P1745&lt;&gt;"",S1745=""),AND(N1745="REALIZADO",M1745="PENDENTE"),AND(ISNUMBER(R1745),R1745=TODAY())),"ATENÇÃO",IF(N(K1745)=0,"PENDENTE","EM ANDAMENTO"))))))</f>
        <v/>
      </c>
      <c r="C1745" s="3">
        <f>IF(D1745="","",IF(V1745=0,"🟢 OK",IF(D1745&lt;corte,"⚪ HISTÓRICO (sem baixa)",IF(AND(ISNUMBER(R1745),R1745&lt;TODAY()),"🔴 PRAZO VENCIDO",IF(AND(OR(N1745="PENDENTE",N1745="PARCIAL"),D1745&lt;TODAY()-1),"🔴 EMBARQUE ATRASADO",IF(AND(N1745="REALIZADO",M1745="PENDENTE"),"🟡 EMBARCADO SEM FATURAR",IF(AND(P1745&lt;&gt;"",S1745="",OR(Q1745="",R1745="")),"🟡 PENDÊNCIA SEM RESPONSÁVEL/PRAZO",IF(AND(ISNUMBER(R1745),R1745=TODAY()),"🟡 VENCE HOJE",IF(AND(P1745&lt;&gt;"",S1745=""),"🟡 PENDÊNCIA ABERTA",IF(AND(N(J1745)&gt;0,N(K1745)&lt;J1745),"🟡 FALTA EXECUTAR",IF(OR(M1745="PENDENTE",M1745="PARCIAL"),"🟡 FATURAMENTO PENDENTE","🟡 EMBARQUE PENDENTE")))))))))))</f>
        <v/>
      </c>
      <c r="D1745" s="4" t="n"/>
      <c r="E1745" s="5" t="n"/>
      <c r="F1745" s="5" t="n"/>
      <c r="G1745" s="5" t="n"/>
      <c r="H1745" s="5" t="n"/>
      <c r="I1745" s="5" t="n"/>
      <c r="J1745" s="6" t="n"/>
      <c r="K1745" s="6" t="n"/>
      <c r="L1745" s="7">
        <f>IF(OR(D1745="",N(J1745)=0),"",MIN(1,N(K1745)/J1745))</f>
        <v/>
      </c>
      <c r="M1745" s="5" t="n"/>
      <c r="N1745" s="5" t="n"/>
      <c r="O1745" s="5" t="n"/>
      <c r="P1745" s="5" t="n"/>
      <c r="Q1745" s="5" t="n"/>
      <c r="R1745" s="4" t="n"/>
      <c r="S1745" s="4" t="n"/>
      <c r="T1745" s="5" t="n"/>
      <c r="U1745" s="8">
        <f>IF(AND(V1745=1,D1745&lt;&gt;""),IF(D1745&gt;=corte,TODAY()-D1745,""),"")</f>
        <v/>
      </c>
      <c r="V1745" s="8">
        <f>IF(D1745="",0,IF(OR(AND(P1745&lt;&gt;"",S1745=""),AND(N(J1745)&gt;0,N(K1745)&lt;J1745),OR(M1745="PENDENTE",M1745="PARCIAL"),OR(N1745="PENDENTE",N1745="PARCIAL")),1,0))</f>
        <v/>
      </c>
      <c r="W1745" s="8">
        <f>IF(AND(V1745=1,D1745&lt;&gt;""),IF(D1745&gt;=corte,(B1745="CRÍTICO")*1E9+(100000-D1745)*10000+10000-ROW(),""),"")</f>
        <v/>
      </c>
      <c r="X1745" s="8">
        <f>IF(AND(V1745=1,D1745=pas_data,E1745=pas_turno),10000-ROW(),"")</f>
        <v/>
      </c>
    </row>
    <row r="1746">
      <c r="A1746" s="3">
        <f>IF(D1746="","","TT-"&amp;TEXT(ROW()-1,"00000"))</f>
        <v/>
      </c>
      <c r="B1746" s="3">
        <f>IF(D1746="","",IF(V1746=0,"CONCLUÍDO",IF(D1746&lt;corte,"HISTÓRICO",IF(OR(AND(ISNUMBER(R1746),R1746&lt;TODAY()),AND(OR(N1746="PENDENTE",N1746="PARCIAL"),D1746&lt;TODAY()-1)),"CRÍTICO",IF(OR(AND(P1746&lt;&gt;"",S1746=""),AND(N1746="REALIZADO",M1746="PENDENTE"),AND(ISNUMBER(R1746),R1746=TODAY())),"ATENÇÃO",IF(N(K1746)=0,"PENDENTE","EM ANDAMENTO"))))))</f>
        <v/>
      </c>
      <c r="C1746" s="3">
        <f>IF(D1746="","",IF(V1746=0,"🟢 OK",IF(D1746&lt;corte,"⚪ HISTÓRICO (sem baixa)",IF(AND(ISNUMBER(R1746),R1746&lt;TODAY()),"🔴 PRAZO VENCIDO",IF(AND(OR(N1746="PENDENTE",N1746="PARCIAL"),D1746&lt;TODAY()-1),"🔴 EMBARQUE ATRASADO",IF(AND(N1746="REALIZADO",M1746="PENDENTE"),"🟡 EMBARCADO SEM FATURAR",IF(AND(P1746&lt;&gt;"",S1746="",OR(Q1746="",R1746="")),"🟡 PENDÊNCIA SEM RESPONSÁVEL/PRAZO",IF(AND(ISNUMBER(R1746),R1746=TODAY()),"🟡 VENCE HOJE",IF(AND(P1746&lt;&gt;"",S1746=""),"🟡 PENDÊNCIA ABERTA",IF(AND(N(J1746)&gt;0,N(K1746)&lt;J1746),"🟡 FALTA EXECUTAR",IF(OR(M1746="PENDENTE",M1746="PARCIAL"),"🟡 FATURAMENTO PENDENTE","🟡 EMBARQUE PENDENTE")))))))))))</f>
        <v/>
      </c>
      <c r="D1746" s="4" t="n"/>
      <c r="E1746" s="5" t="n"/>
      <c r="F1746" s="5" t="n"/>
      <c r="G1746" s="5" t="n"/>
      <c r="H1746" s="5" t="n"/>
      <c r="I1746" s="5" t="n"/>
      <c r="J1746" s="6" t="n"/>
      <c r="K1746" s="6" t="n"/>
      <c r="L1746" s="7">
        <f>IF(OR(D1746="",N(J1746)=0),"",MIN(1,N(K1746)/J1746))</f>
        <v/>
      </c>
      <c r="M1746" s="5" t="n"/>
      <c r="N1746" s="5" t="n"/>
      <c r="O1746" s="5" t="n"/>
      <c r="P1746" s="5" t="n"/>
      <c r="Q1746" s="5" t="n"/>
      <c r="R1746" s="4" t="n"/>
      <c r="S1746" s="4" t="n"/>
      <c r="T1746" s="5" t="n"/>
      <c r="U1746" s="8">
        <f>IF(AND(V1746=1,D1746&lt;&gt;""),IF(D1746&gt;=corte,TODAY()-D1746,""),"")</f>
        <v/>
      </c>
      <c r="V1746" s="8">
        <f>IF(D1746="",0,IF(OR(AND(P1746&lt;&gt;"",S1746=""),AND(N(J1746)&gt;0,N(K1746)&lt;J1746),OR(M1746="PENDENTE",M1746="PARCIAL"),OR(N1746="PENDENTE",N1746="PARCIAL")),1,0))</f>
        <v/>
      </c>
      <c r="W1746" s="8">
        <f>IF(AND(V1746=1,D1746&lt;&gt;""),IF(D1746&gt;=corte,(B1746="CRÍTICO")*1E9+(100000-D1746)*10000+10000-ROW(),""),"")</f>
        <v/>
      </c>
      <c r="X1746" s="8">
        <f>IF(AND(V1746=1,D1746=pas_data,E1746=pas_turno),10000-ROW(),"")</f>
        <v/>
      </c>
    </row>
    <row r="1747">
      <c r="A1747" s="3">
        <f>IF(D1747="","","TT-"&amp;TEXT(ROW()-1,"00000"))</f>
        <v/>
      </c>
      <c r="B1747" s="3">
        <f>IF(D1747="","",IF(V1747=0,"CONCLUÍDO",IF(D1747&lt;corte,"HISTÓRICO",IF(OR(AND(ISNUMBER(R1747),R1747&lt;TODAY()),AND(OR(N1747="PENDENTE",N1747="PARCIAL"),D1747&lt;TODAY()-1)),"CRÍTICO",IF(OR(AND(P1747&lt;&gt;"",S1747=""),AND(N1747="REALIZADO",M1747="PENDENTE"),AND(ISNUMBER(R1747),R1747=TODAY())),"ATENÇÃO",IF(N(K1747)=0,"PENDENTE","EM ANDAMENTO"))))))</f>
        <v/>
      </c>
      <c r="C1747" s="3">
        <f>IF(D1747="","",IF(V1747=0,"🟢 OK",IF(D1747&lt;corte,"⚪ HISTÓRICO (sem baixa)",IF(AND(ISNUMBER(R1747),R1747&lt;TODAY()),"🔴 PRAZO VENCIDO",IF(AND(OR(N1747="PENDENTE",N1747="PARCIAL"),D1747&lt;TODAY()-1),"🔴 EMBARQUE ATRASADO",IF(AND(N1747="REALIZADO",M1747="PENDENTE"),"🟡 EMBARCADO SEM FATURAR",IF(AND(P1747&lt;&gt;"",S1747="",OR(Q1747="",R1747="")),"🟡 PENDÊNCIA SEM RESPONSÁVEL/PRAZO",IF(AND(ISNUMBER(R1747),R1747=TODAY()),"🟡 VENCE HOJE",IF(AND(P1747&lt;&gt;"",S1747=""),"🟡 PENDÊNCIA ABERTA",IF(AND(N(J1747)&gt;0,N(K1747)&lt;J1747),"🟡 FALTA EXECUTAR",IF(OR(M1747="PENDENTE",M1747="PARCIAL"),"🟡 FATURAMENTO PENDENTE","🟡 EMBARQUE PENDENTE")))))))))))</f>
        <v/>
      </c>
      <c r="D1747" s="4" t="n"/>
      <c r="E1747" s="5" t="n"/>
      <c r="F1747" s="5" t="n"/>
      <c r="G1747" s="5" t="n"/>
      <c r="H1747" s="5" t="n"/>
      <c r="I1747" s="5" t="n"/>
      <c r="J1747" s="6" t="n"/>
      <c r="K1747" s="6" t="n"/>
      <c r="L1747" s="7">
        <f>IF(OR(D1747="",N(J1747)=0),"",MIN(1,N(K1747)/J1747))</f>
        <v/>
      </c>
      <c r="M1747" s="5" t="n"/>
      <c r="N1747" s="5" t="n"/>
      <c r="O1747" s="5" t="n"/>
      <c r="P1747" s="5" t="n"/>
      <c r="Q1747" s="5" t="n"/>
      <c r="R1747" s="4" t="n"/>
      <c r="S1747" s="4" t="n"/>
      <c r="T1747" s="5" t="n"/>
      <c r="U1747" s="8">
        <f>IF(AND(V1747=1,D1747&lt;&gt;""),IF(D1747&gt;=corte,TODAY()-D1747,""),"")</f>
        <v/>
      </c>
      <c r="V1747" s="8">
        <f>IF(D1747="",0,IF(OR(AND(P1747&lt;&gt;"",S1747=""),AND(N(J1747)&gt;0,N(K1747)&lt;J1747),OR(M1747="PENDENTE",M1747="PARCIAL"),OR(N1747="PENDENTE",N1747="PARCIAL")),1,0))</f>
        <v/>
      </c>
      <c r="W1747" s="8">
        <f>IF(AND(V1747=1,D1747&lt;&gt;""),IF(D1747&gt;=corte,(B1747="CRÍTICO")*1E9+(100000-D1747)*10000+10000-ROW(),""),"")</f>
        <v/>
      </c>
      <c r="X1747" s="8">
        <f>IF(AND(V1747=1,D1747=pas_data,E1747=pas_turno),10000-ROW(),"")</f>
        <v/>
      </c>
    </row>
    <row r="1748">
      <c r="A1748" s="3">
        <f>IF(D1748="","","TT-"&amp;TEXT(ROW()-1,"00000"))</f>
        <v/>
      </c>
      <c r="B1748" s="3">
        <f>IF(D1748="","",IF(V1748=0,"CONCLUÍDO",IF(D1748&lt;corte,"HISTÓRICO",IF(OR(AND(ISNUMBER(R1748),R1748&lt;TODAY()),AND(OR(N1748="PENDENTE",N1748="PARCIAL"),D1748&lt;TODAY()-1)),"CRÍTICO",IF(OR(AND(P1748&lt;&gt;"",S1748=""),AND(N1748="REALIZADO",M1748="PENDENTE"),AND(ISNUMBER(R1748),R1748=TODAY())),"ATENÇÃO",IF(N(K1748)=0,"PENDENTE","EM ANDAMENTO"))))))</f>
        <v/>
      </c>
      <c r="C1748" s="3">
        <f>IF(D1748="","",IF(V1748=0,"🟢 OK",IF(D1748&lt;corte,"⚪ HISTÓRICO (sem baixa)",IF(AND(ISNUMBER(R1748),R1748&lt;TODAY()),"🔴 PRAZO VENCIDO",IF(AND(OR(N1748="PENDENTE",N1748="PARCIAL"),D1748&lt;TODAY()-1),"🔴 EMBARQUE ATRASADO",IF(AND(N1748="REALIZADO",M1748="PENDENTE"),"🟡 EMBARCADO SEM FATURAR",IF(AND(P1748&lt;&gt;"",S1748="",OR(Q1748="",R1748="")),"🟡 PENDÊNCIA SEM RESPONSÁVEL/PRAZO",IF(AND(ISNUMBER(R1748),R1748=TODAY()),"🟡 VENCE HOJE",IF(AND(P1748&lt;&gt;"",S1748=""),"🟡 PENDÊNCIA ABERTA",IF(AND(N(J1748)&gt;0,N(K1748)&lt;J1748),"🟡 FALTA EXECUTAR",IF(OR(M1748="PENDENTE",M1748="PARCIAL"),"🟡 FATURAMENTO PENDENTE","🟡 EMBARQUE PENDENTE")))))))))))</f>
        <v/>
      </c>
      <c r="D1748" s="4" t="n"/>
      <c r="E1748" s="5" t="n"/>
      <c r="F1748" s="5" t="n"/>
      <c r="G1748" s="5" t="n"/>
      <c r="H1748" s="5" t="n"/>
      <c r="I1748" s="5" t="n"/>
      <c r="J1748" s="6" t="n"/>
      <c r="K1748" s="6" t="n"/>
      <c r="L1748" s="7">
        <f>IF(OR(D1748="",N(J1748)=0),"",MIN(1,N(K1748)/J1748))</f>
        <v/>
      </c>
      <c r="M1748" s="5" t="n"/>
      <c r="N1748" s="5" t="n"/>
      <c r="O1748" s="5" t="n"/>
      <c r="P1748" s="5" t="n"/>
      <c r="Q1748" s="5" t="n"/>
      <c r="R1748" s="4" t="n"/>
      <c r="S1748" s="4" t="n"/>
      <c r="T1748" s="5" t="n"/>
      <c r="U1748" s="8">
        <f>IF(AND(V1748=1,D1748&lt;&gt;""),IF(D1748&gt;=corte,TODAY()-D1748,""),"")</f>
        <v/>
      </c>
      <c r="V1748" s="8">
        <f>IF(D1748="",0,IF(OR(AND(P1748&lt;&gt;"",S1748=""),AND(N(J1748)&gt;0,N(K1748)&lt;J1748),OR(M1748="PENDENTE",M1748="PARCIAL"),OR(N1748="PENDENTE",N1748="PARCIAL")),1,0))</f>
        <v/>
      </c>
      <c r="W1748" s="8">
        <f>IF(AND(V1748=1,D1748&lt;&gt;""),IF(D1748&gt;=corte,(B1748="CRÍTICO")*1E9+(100000-D1748)*10000+10000-ROW(),""),"")</f>
        <v/>
      </c>
      <c r="X1748" s="8">
        <f>IF(AND(V1748=1,D1748=pas_data,E1748=pas_turno),10000-ROW(),"")</f>
        <v/>
      </c>
    </row>
    <row r="1749">
      <c r="A1749" s="3">
        <f>IF(D1749="","","TT-"&amp;TEXT(ROW()-1,"00000"))</f>
        <v/>
      </c>
      <c r="B1749" s="3">
        <f>IF(D1749="","",IF(V1749=0,"CONCLUÍDO",IF(D1749&lt;corte,"HISTÓRICO",IF(OR(AND(ISNUMBER(R1749),R1749&lt;TODAY()),AND(OR(N1749="PENDENTE",N1749="PARCIAL"),D1749&lt;TODAY()-1)),"CRÍTICO",IF(OR(AND(P1749&lt;&gt;"",S1749=""),AND(N1749="REALIZADO",M1749="PENDENTE"),AND(ISNUMBER(R1749),R1749=TODAY())),"ATENÇÃO",IF(N(K1749)=0,"PENDENTE","EM ANDAMENTO"))))))</f>
        <v/>
      </c>
      <c r="C1749" s="3">
        <f>IF(D1749="","",IF(V1749=0,"🟢 OK",IF(D1749&lt;corte,"⚪ HISTÓRICO (sem baixa)",IF(AND(ISNUMBER(R1749),R1749&lt;TODAY()),"🔴 PRAZO VENCIDO",IF(AND(OR(N1749="PENDENTE",N1749="PARCIAL"),D1749&lt;TODAY()-1),"🔴 EMBARQUE ATRASADO",IF(AND(N1749="REALIZADO",M1749="PENDENTE"),"🟡 EMBARCADO SEM FATURAR",IF(AND(P1749&lt;&gt;"",S1749="",OR(Q1749="",R1749="")),"🟡 PENDÊNCIA SEM RESPONSÁVEL/PRAZO",IF(AND(ISNUMBER(R1749),R1749=TODAY()),"🟡 VENCE HOJE",IF(AND(P1749&lt;&gt;"",S1749=""),"🟡 PENDÊNCIA ABERTA",IF(AND(N(J1749)&gt;0,N(K1749)&lt;J1749),"🟡 FALTA EXECUTAR",IF(OR(M1749="PENDENTE",M1749="PARCIAL"),"🟡 FATURAMENTO PENDENTE","🟡 EMBARQUE PENDENTE")))))))))))</f>
        <v/>
      </c>
      <c r="D1749" s="4" t="n"/>
      <c r="E1749" s="5" t="n"/>
      <c r="F1749" s="5" t="n"/>
      <c r="G1749" s="5" t="n"/>
      <c r="H1749" s="5" t="n"/>
      <c r="I1749" s="5" t="n"/>
      <c r="J1749" s="6" t="n"/>
      <c r="K1749" s="6" t="n"/>
      <c r="L1749" s="7">
        <f>IF(OR(D1749="",N(J1749)=0),"",MIN(1,N(K1749)/J1749))</f>
        <v/>
      </c>
      <c r="M1749" s="5" t="n"/>
      <c r="N1749" s="5" t="n"/>
      <c r="O1749" s="5" t="n"/>
      <c r="P1749" s="5" t="n"/>
      <c r="Q1749" s="5" t="n"/>
      <c r="R1749" s="4" t="n"/>
      <c r="S1749" s="4" t="n"/>
      <c r="T1749" s="5" t="n"/>
      <c r="U1749" s="8">
        <f>IF(AND(V1749=1,D1749&lt;&gt;""),IF(D1749&gt;=corte,TODAY()-D1749,""),"")</f>
        <v/>
      </c>
      <c r="V1749" s="8">
        <f>IF(D1749="",0,IF(OR(AND(P1749&lt;&gt;"",S1749=""),AND(N(J1749)&gt;0,N(K1749)&lt;J1749),OR(M1749="PENDENTE",M1749="PARCIAL"),OR(N1749="PENDENTE",N1749="PARCIAL")),1,0))</f>
        <v/>
      </c>
      <c r="W1749" s="8">
        <f>IF(AND(V1749=1,D1749&lt;&gt;""),IF(D1749&gt;=corte,(B1749="CRÍTICO")*1E9+(100000-D1749)*10000+10000-ROW(),""),"")</f>
        <v/>
      </c>
      <c r="X1749" s="8">
        <f>IF(AND(V1749=1,D1749=pas_data,E1749=pas_turno),10000-ROW(),"")</f>
        <v/>
      </c>
    </row>
    <row r="1750">
      <c r="A1750" s="3">
        <f>IF(D1750="","","TT-"&amp;TEXT(ROW()-1,"00000"))</f>
        <v/>
      </c>
      <c r="B1750" s="3">
        <f>IF(D1750="","",IF(V1750=0,"CONCLUÍDO",IF(D1750&lt;corte,"HISTÓRICO",IF(OR(AND(ISNUMBER(R1750),R1750&lt;TODAY()),AND(OR(N1750="PENDENTE",N1750="PARCIAL"),D1750&lt;TODAY()-1)),"CRÍTICO",IF(OR(AND(P1750&lt;&gt;"",S1750=""),AND(N1750="REALIZADO",M1750="PENDENTE"),AND(ISNUMBER(R1750),R1750=TODAY())),"ATENÇÃO",IF(N(K1750)=0,"PENDENTE","EM ANDAMENTO"))))))</f>
        <v/>
      </c>
      <c r="C1750" s="3">
        <f>IF(D1750="","",IF(V1750=0,"🟢 OK",IF(D1750&lt;corte,"⚪ HISTÓRICO (sem baixa)",IF(AND(ISNUMBER(R1750),R1750&lt;TODAY()),"🔴 PRAZO VENCIDO",IF(AND(OR(N1750="PENDENTE",N1750="PARCIAL"),D1750&lt;TODAY()-1),"🔴 EMBARQUE ATRASADO",IF(AND(N1750="REALIZADO",M1750="PENDENTE"),"🟡 EMBARCADO SEM FATURAR",IF(AND(P1750&lt;&gt;"",S1750="",OR(Q1750="",R1750="")),"🟡 PENDÊNCIA SEM RESPONSÁVEL/PRAZO",IF(AND(ISNUMBER(R1750),R1750=TODAY()),"🟡 VENCE HOJE",IF(AND(P1750&lt;&gt;"",S1750=""),"🟡 PENDÊNCIA ABERTA",IF(AND(N(J1750)&gt;0,N(K1750)&lt;J1750),"🟡 FALTA EXECUTAR",IF(OR(M1750="PENDENTE",M1750="PARCIAL"),"🟡 FATURAMENTO PENDENTE","🟡 EMBARQUE PENDENTE")))))))))))</f>
        <v/>
      </c>
      <c r="D1750" s="4" t="n"/>
      <c r="E1750" s="5" t="n"/>
      <c r="F1750" s="5" t="n"/>
      <c r="G1750" s="5" t="n"/>
      <c r="H1750" s="5" t="n"/>
      <c r="I1750" s="5" t="n"/>
      <c r="J1750" s="6" t="n"/>
      <c r="K1750" s="6" t="n"/>
      <c r="L1750" s="7">
        <f>IF(OR(D1750="",N(J1750)=0),"",MIN(1,N(K1750)/J1750))</f>
        <v/>
      </c>
      <c r="M1750" s="5" t="n"/>
      <c r="N1750" s="5" t="n"/>
      <c r="O1750" s="5" t="n"/>
      <c r="P1750" s="5" t="n"/>
      <c r="Q1750" s="5" t="n"/>
      <c r="R1750" s="4" t="n"/>
      <c r="S1750" s="4" t="n"/>
      <c r="T1750" s="5" t="n"/>
      <c r="U1750" s="8">
        <f>IF(AND(V1750=1,D1750&lt;&gt;""),IF(D1750&gt;=corte,TODAY()-D1750,""),"")</f>
        <v/>
      </c>
      <c r="V1750" s="8">
        <f>IF(D1750="",0,IF(OR(AND(P1750&lt;&gt;"",S1750=""),AND(N(J1750)&gt;0,N(K1750)&lt;J1750),OR(M1750="PENDENTE",M1750="PARCIAL"),OR(N1750="PENDENTE",N1750="PARCIAL")),1,0))</f>
        <v/>
      </c>
      <c r="W1750" s="8">
        <f>IF(AND(V1750=1,D1750&lt;&gt;""),IF(D1750&gt;=corte,(B1750="CRÍTICO")*1E9+(100000-D1750)*10000+10000-ROW(),""),"")</f>
        <v/>
      </c>
      <c r="X1750" s="8">
        <f>IF(AND(V1750=1,D1750=pas_data,E1750=pas_turno),10000-ROW(),"")</f>
        <v/>
      </c>
    </row>
    <row r="1751">
      <c r="A1751" s="3">
        <f>IF(D1751="","","TT-"&amp;TEXT(ROW()-1,"00000"))</f>
        <v/>
      </c>
      <c r="B1751" s="3">
        <f>IF(D1751="","",IF(V1751=0,"CONCLUÍDO",IF(D1751&lt;corte,"HISTÓRICO",IF(OR(AND(ISNUMBER(R1751),R1751&lt;TODAY()),AND(OR(N1751="PENDENTE",N1751="PARCIAL"),D1751&lt;TODAY()-1)),"CRÍTICO",IF(OR(AND(P1751&lt;&gt;"",S1751=""),AND(N1751="REALIZADO",M1751="PENDENTE"),AND(ISNUMBER(R1751),R1751=TODAY())),"ATENÇÃO",IF(N(K1751)=0,"PENDENTE","EM ANDAMENTO"))))))</f>
        <v/>
      </c>
      <c r="C1751" s="3">
        <f>IF(D1751="","",IF(V1751=0,"🟢 OK",IF(D1751&lt;corte,"⚪ HISTÓRICO (sem baixa)",IF(AND(ISNUMBER(R1751),R1751&lt;TODAY()),"🔴 PRAZO VENCIDO",IF(AND(OR(N1751="PENDENTE",N1751="PARCIAL"),D1751&lt;TODAY()-1),"🔴 EMBARQUE ATRASADO",IF(AND(N1751="REALIZADO",M1751="PENDENTE"),"🟡 EMBARCADO SEM FATURAR",IF(AND(P1751&lt;&gt;"",S1751="",OR(Q1751="",R1751="")),"🟡 PENDÊNCIA SEM RESPONSÁVEL/PRAZO",IF(AND(ISNUMBER(R1751),R1751=TODAY()),"🟡 VENCE HOJE",IF(AND(P1751&lt;&gt;"",S1751=""),"🟡 PENDÊNCIA ABERTA",IF(AND(N(J1751)&gt;0,N(K1751)&lt;J1751),"🟡 FALTA EXECUTAR",IF(OR(M1751="PENDENTE",M1751="PARCIAL"),"🟡 FATURAMENTO PENDENTE","🟡 EMBARQUE PENDENTE")))))))))))</f>
        <v/>
      </c>
      <c r="D1751" s="4" t="n"/>
      <c r="E1751" s="5" t="n"/>
      <c r="F1751" s="5" t="n"/>
      <c r="G1751" s="5" t="n"/>
      <c r="H1751" s="5" t="n"/>
      <c r="I1751" s="5" t="n"/>
      <c r="J1751" s="6" t="n"/>
      <c r="K1751" s="6" t="n"/>
      <c r="L1751" s="7">
        <f>IF(OR(D1751="",N(J1751)=0),"",MIN(1,N(K1751)/J1751))</f>
        <v/>
      </c>
      <c r="M1751" s="5" t="n"/>
      <c r="N1751" s="5" t="n"/>
      <c r="O1751" s="5" t="n"/>
      <c r="P1751" s="5" t="n"/>
      <c r="Q1751" s="5" t="n"/>
      <c r="R1751" s="4" t="n"/>
      <c r="S1751" s="4" t="n"/>
      <c r="T1751" s="5" t="n"/>
      <c r="U1751" s="8">
        <f>IF(AND(V1751=1,D1751&lt;&gt;""),IF(D1751&gt;=corte,TODAY()-D1751,""),"")</f>
        <v/>
      </c>
      <c r="V1751" s="8">
        <f>IF(D1751="",0,IF(OR(AND(P1751&lt;&gt;"",S1751=""),AND(N(J1751)&gt;0,N(K1751)&lt;J1751),OR(M1751="PENDENTE",M1751="PARCIAL"),OR(N1751="PENDENTE",N1751="PARCIAL")),1,0))</f>
        <v/>
      </c>
      <c r="W1751" s="8">
        <f>IF(AND(V1751=1,D1751&lt;&gt;""),IF(D1751&gt;=corte,(B1751="CRÍTICO")*1E9+(100000-D1751)*10000+10000-ROW(),""),"")</f>
        <v/>
      </c>
      <c r="X1751" s="8">
        <f>IF(AND(V1751=1,D1751=pas_data,E1751=pas_turno),10000-ROW(),"")</f>
        <v/>
      </c>
    </row>
    <row r="1752">
      <c r="A1752" s="3">
        <f>IF(D1752="","","TT-"&amp;TEXT(ROW()-1,"00000"))</f>
        <v/>
      </c>
      <c r="B1752" s="3">
        <f>IF(D1752="","",IF(V1752=0,"CONCLUÍDO",IF(D1752&lt;corte,"HISTÓRICO",IF(OR(AND(ISNUMBER(R1752),R1752&lt;TODAY()),AND(OR(N1752="PENDENTE",N1752="PARCIAL"),D1752&lt;TODAY()-1)),"CRÍTICO",IF(OR(AND(P1752&lt;&gt;"",S1752=""),AND(N1752="REALIZADO",M1752="PENDENTE"),AND(ISNUMBER(R1752),R1752=TODAY())),"ATENÇÃO",IF(N(K1752)=0,"PENDENTE","EM ANDAMENTO"))))))</f>
        <v/>
      </c>
      <c r="C1752" s="3">
        <f>IF(D1752="","",IF(V1752=0,"🟢 OK",IF(D1752&lt;corte,"⚪ HISTÓRICO (sem baixa)",IF(AND(ISNUMBER(R1752),R1752&lt;TODAY()),"🔴 PRAZO VENCIDO",IF(AND(OR(N1752="PENDENTE",N1752="PARCIAL"),D1752&lt;TODAY()-1),"🔴 EMBARQUE ATRASADO",IF(AND(N1752="REALIZADO",M1752="PENDENTE"),"🟡 EMBARCADO SEM FATURAR",IF(AND(P1752&lt;&gt;"",S1752="",OR(Q1752="",R1752="")),"🟡 PENDÊNCIA SEM RESPONSÁVEL/PRAZO",IF(AND(ISNUMBER(R1752),R1752=TODAY()),"🟡 VENCE HOJE",IF(AND(P1752&lt;&gt;"",S1752=""),"🟡 PENDÊNCIA ABERTA",IF(AND(N(J1752)&gt;0,N(K1752)&lt;J1752),"🟡 FALTA EXECUTAR",IF(OR(M1752="PENDENTE",M1752="PARCIAL"),"🟡 FATURAMENTO PENDENTE","🟡 EMBARQUE PENDENTE")))))))))))</f>
        <v/>
      </c>
      <c r="D1752" s="4" t="n"/>
      <c r="E1752" s="5" t="n"/>
      <c r="F1752" s="5" t="n"/>
      <c r="G1752" s="5" t="n"/>
      <c r="H1752" s="5" t="n"/>
      <c r="I1752" s="5" t="n"/>
      <c r="J1752" s="6" t="n"/>
      <c r="K1752" s="6" t="n"/>
      <c r="L1752" s="7">
        <f>IF(OR(D1752="",N(J1752)=0),"",MIN(1,N(K1752)/J1752))</f>
        <v/>
      </c>
      <c r="M1752" s="5" t="n"/>
      <c r="N1752" s="5" t="n"/>
      <c r="O1752" s="5" t="n"/>
      <c r="P1752" s="5" t="n"/>
      <c r="Q1752" s="5" t="n"/>
      <c r="R1752" s="4" t="n"/>
      <c r="S1752" s="4" t="n"/>
      <c r="T1752" s="5" t="n"/>
      <c r="U1752" s="8">
        <f>IF(AND(V1752=1,D1752&lt;&gt;""),IF(D1752&gt;=corte,TODAY()-D1752,""),"")</f>
        <v/>
      </c>
      <c r="V1752" s="8">
        <f>IF(D1752="",0,IF(OR(AND(P1752&lt;&gt;"",S1752=""),AND(N(J1752)&gt;0,N(K1752)&lt;J1752),OR(M1752="PENDENTE",M1752="PARCIAL"),OR(N1752="PENDENTE",N1752="PARCIAL")),1,0))</f>
        <v/>
      </c>
      <c r="W1752" s="8">
        <f>IF(AND(V1752=1,D1752&lt;&gt;""),IF(D1752&gt;=corte,(B1752="CRÍTICO")*1E9+(100000-D1752)*10000+10000-ROW(),""),"")</f>
        <v/>
      </c>
      <c r="X1752" s="8">
        <f>IF(AND(V1752=1,D1752=pas_data,E1752=pas_turno),10000-ROW(),"")</f>
        <v/>
      </c>
    </row>
    <row r="1753">
      <c r="A1753" s="3">
        <f>IF(D1753="","","TT-"&amp;TEXT(ROW()-1,"00000"))</f>
        <v/>
      </c>
      <c r="B1753" s="3">
        <f>IF(D1753="","",IF(V1753=0,"CONCLUÍDO",IF(D1753&lt;corte,"HISTÓRICO",IF(OR(AND(ISNUMBER(R1753),R1753&lt;TODAY()),AND(OR(N1753="PENDENTE",N1753="PARCIAL"),D1753&lt;TODAY()-1)),"CRÍTICO",IF(OR(AND(P1753&lt;&gt;"",S1753=""),AND(N1753="REALIZADO",M1753="PENDENTE"),AND(ISNUMBER(R1753),R1753=TODAY())),"ATENÇÃO",IF(N(K1753)=0,"PENDENTE","EM ANDAMENTO"))))))</f>
        <v/>
      </c>
      <c r="C1753" s="3">
        <f>IF(D1753="","",IF(V1753=0,"🟢 OK",IF(D1753&lt;corte,"⚪ HISTÓRICO (sem baixa)",IF(AND(ISNUMBER(R1753),R1753&lt;TODAY()),"🔴 PRAZO VENCIDO",IF(AND(OR(N1753="PENDENTE",N1753="PARCIAL"),D1753&lt;TODAY()-1),"🔴 EMBARQUE ATRASADO",IF(AND(N1753="REALIZADO",M1753="PENDENTE"),"🟡 EMBARCADO SEM FATURAR",IF(AND(P1753&lt;&gt;"",S1753="",OR(Q1753="",R1753="")),"🟡 PENDÊNCIA SEM RESPONSÁVEL/PRAZO",IF(AND(ISNUMBER(R1753),R1753=TODAY()),"🟡 VENCE HOJE",IF(AND(P1753&lt;&gt;"",S1753=""),"🟡 PENDÊNCIA ABERTA",IF(AND(N(J1753)&gt;0,N(K1753)&lt;J1753),"🟡 FALTA EXECUTAR",IF(OR(M1753="PENDENTE",M1753="PARCIAL"),"🟡 FATURAMENTO PENDENTE","🟡 EMBARQUE PENDENTE")))))))))))</f>
        <v/>
      </c>
      <c r="D1753" s="4" t="n"/>
      <c r="E1753" s="5" t="n"/>
      <c r="F1753" s="5" t="n"/>
      <c r="G1753" s="5" t="n"/>
      <c r="H1753" s="5" t="n"/>
      <c r="I1753" s="5" t="n"/>
      <c r="J1753" s="6" t="n"/>
      <c r="K1753" s="6" t="n"/>
      <c r="L1753" s="7">
        <f>IF(OR(D1753="",N(J1753)=0),"",MIN(1,N(K1753)/J1753))</f>
        <v/>
      </c>
      <c r="M1753" s="5" t="n"/>
      <c r="N1753" s="5" t="n"/>
      <c r="O1753" s="5" t="n"/>
      <c r="P1753" s="5" t="n"/>
      <c r="Q1753" s="5" t="n"/>
      <c r="R1753" s="4" t="n"/>
      <c r="S1753" s="4" t="n"/>
      <c r="T1753" s="5" t="n"/>
      <c r="U1753" s="8">
        <f>IF(AND(V1753=1,D1753&lt;&gt;""),IF(D1753&gt;=corte,TODAY()-D1753,""),"")</f>
        <v/>
      </c>
      <c r="V1753" s="8">
        <f>IF(D1753="",0,IF(OR(AND(P1753&lt;&gt;"",S1753=""),AND(N(J1753)&gt;0,N(K1753)&lt;J1753),OR(M1753="PENDENTE",M1753="PARCIAL"),OR(N1753="PENDENTE",N1753="PARCIAL")),1,0))</f>
        <v/>
      </c>
      <c r="W1753" s="8">
        <f>IF(AND(V1753=1,D1753&lt;&gt;""),IF(D1753&gt;=corte,(B1753="CRÍTICO")*1E9+(100000-D1753)*10000+10000-ROW(),""),"")</f>
        <v/>
      </c>
      <c r="X1753" s="8">
        <f>IF(AND(V1753=1,D1753=pas_data,E1753=pas_turno),10000-ROW(),"")</f>
        <v/>
      </c>
    </row>
    <row r="1754">
      <c r="A1754" s="3">
        <f>IF(D1754="","","TT-"&amp;TEXT(ROW()-1,"00000"))</f>
        <v/>
      </c>
      <c r="B1754" s="3">
        <f>IF(D1754="","",IF(V1754=0,"CONCLUÍDO",IF(D1754&lt;corte,"HISTÓRICO",IF(OR(AND(ISNUMBER(R1754),R1754&lt;TODAY()),AND(OR(N1754="PENDENTE",N1754="PARCIAL"),D1754&lt;TODAY()-1)),"CRÍTICO",IF(OR(AND(P1754&lt;&gt;"",S1754=""),AND(N1754="REALIZADO",M1754="PENDENTE"),AND(ISNUMBER(R1754),R1754=TODAY())),"ATENÇÃO",IF(N(K1754)=0,"PENDENTE","EM ANDAMENTO"))))))</f>
        <v/>
      </c>
      <c r="C1754" s="3">
        <f>IF(D1754="","",IF(V1754=0,"🟢 OK",IF(D1754&lt;corte,"⚪ HISTÓRICO (sem baixa)",IF(AND(ISNUMBER(R1754),R1754&lt;TODAY()),"🔴 PRAZO VENCIDO",IF(AND(OR(N1754="PENDENTE",N1754="PARCIAL"),D1754&lt;TODAY()-1),"🔴 EMBARQUE ATRASADO",IF(AND(N1754="REALIZADO",M1754="PENDENTE"),"🟡 EMBARCADO SEM FATURAR",IF(AND(P1754&lt;&gt;"",S1754="",OR(Q1754="",R1754="")),"🟡 PENDÊNCIA SEM RESPONSÁVEL/PRAZO",IF(AND(ISNUMBER(R1754),R1754=TODAY()),"🟡 VENCE HOJE",IF(AND(P1754&lt;&gt;"",S1754=""),"🟡 PENDÊNCIA ABERTA",IF(AND(N(J1754)&gt;0,N(K1754)&lt;J1754),"🟡 FALTA EXECUTAR",IF(OR(M1754="PENDENTE",M1754="PARCIAL"),"🟡 FATURAMENTO PENDENTE","🟡 EMBARQUE PENDENTE")))))))))))</f>
        <v/>
      </c>
      <c r="D1754" s="4" t="n"/>
      <c r="E1754" s="5" t="n"/>
      <c r="F1754" s="5" t="n"/>
      <c r="G1754" s="5" t="n"/>
      <c r="H1754" s="5" t="n"/>
      <c r="I1754" s="5" t="n"/>
      <c r="J1754" s="6" t="n"/>
      <c r="K1754" s="6" t="n"/>
      <c r="L1754" s="7">
        <f>IF(OR(D1754="",N(J1754)=0),"",MIN(1,N(K1754)/J1754))</f>
        <v/>
      </c>
      <c r="M1754" s="5" t="n"/>
      <c r="N1754" s="5" t="n"/>
      <c r="O1754" s="5" t="n"/>
      <c r="P1754" s="5" t="n"/>
      <c r="Q1754" s="5" t="n"/>
      <c r="R1754" s="4" t="n"/>
      <c r="S1754" s="4" t="n"/>
      <c r="T1754" s="5" t="n"/>
      <c r="U1754" s="8">
        <f>IF(AND(V1754=1,D1754&lt;&gt;""),IF(D1754&gt;=corte,TODAY()-D1754,""),"")</f>
        <v/>
      </c>
      <c r="V1754" s="8">
        <f>IF(D1754="",0,IF(OR(AND(P1754&lt;&gt;"",S1754=""),AND(N(J1754)&gt;0,N(K1754)&lt;J1754),OR(M1754="PENDENTE",M1754="PARCIAL"),OR(N1754="PENDENTE",N1754="PARCIAL")),1,0))</f>
        <v/>
      </c>
      <c r="W1754" s="8">
        <f>IF(AND(V1754=1,D1754&lt;&gt;""),IF(D1754&gt;=corte,(B1754="CRÍTICO")*1E9+(100000-D1754)*10000+10000-ROW(),""),"")</f>
        <v/>
      </c>
      <c r="X1754" s="8">
        <f>IF(AND(V1754=1,D1754=pas_data,E1754=pas_turno),10000-ROW(),"")</f>
        <v/>
      </c>
    </row>
    <row r="1755">
      <c r="A1755" s="3">
        <f>IF(D1755="","","TT-"&amp;TEXT(ROW()-1,"00000"))</f>
        <v/>
      </c>
      <c r="B1755" s="3">
        <f>IF(D1755="","",IF(V1755=0,"CONCLUÍDO",IF(D1755&lt;corte,"HISTÓRICO",IF(OR(AND(ISNUMBER(R1755),R1755&lt;TODAY()),AND(OR(N1755="PENDENTE",N1755="PARCIAL"),D1755&lt;TODAY()-1)),"CRÍTICO",IF(OR(AND(P1755&lt;&gt;"",S1755=""),AND(N1755="REALIZADO",M1755="PENDENTE"),AND(ISNUMBER(R1755),R1755=TODAY())),"ATENÇÃO",IF(N(K1755)=0,"PENDENTE","EM ANDAMENTO"))))))</f>
        <v/>
      </c>
      <c r="C1755" s="3">
        <f>IF(D1755="","",IF(V1755=0,"🟢 OK",IF(D1755&lt;corte,"⚪ HISTÓRICO (sem baixa)",IF(AND(ISNUMBER(R1755),R1755&lt;TODAY()),"🔴 PRAZO VENCIDO",IF(AND(OR(N1755="PENDENTE",N1755="PARCIAL"),D1755&lt;TODAY()-1),"🔴 EMBARQUE ATRASADO",IF(AND(N1755="REALIZADO",M1755="PENDENTE"),"🟡 EMBARCADO SEM FATURAR",IF(AND(P1755&lt;&gt;"",S1755="",OR(Q1755="",R1755="")),"🟡 PENDÊNCIA SEM RESPONSÁVEL/PRAZO",IF(AND(ISNUMBER(R1755),R1755=TODAY()),"🟡 VENCE HOJE",IF(AND(P1755&lt;&gt;"",S1755=""),"🟡 PENDÊNCIA ABERTA",IF(AND(N(J1755)&gt;0,N(K1755)&lt;J1755),"🟡 FALTA EXECUTAR",IF(OR(M1755="PENDENTE",M1755="PARCIAL"),"🟡 FATURAMENTO PENDENTE","🟡 EMBARQUE PENDENTE")))))))))))</f>
        <v/>
      </c>
      <c r="D1755" s="4" t="n"/>
      <c r="E1755" s="5" t="n"/>
      <c r="F1755" s="5" t="n"/>
      <c r="G1755" s="5" t="n"/>
      <c r="H1755" s="5" t="n"/>
      <c r="I1755" s="5" t="n"/>
      <c r="J1755" s="6" t="n"/>
      <c r="K1755" s="6" t="n"/>
      <c r="L1755" s="7">
        <f>IF(OR(D1755="",N(J1755)=0),"",MIN(1,N(K1755)/J1755))</f>
        <v/>
      </c>
      <c r="M1755" s="5" t="n"/>
      <c r="N1755" s="5" t="n"/>
      <c r="O1755" s="5" t="n"/>
      <c r="P1755" s="5" t="n"/>
      <c r="Q1755" s="5" t="n"/>
      <c r="R1755" s="4" t="n"/>
      <c r="S1755" s="4" t="n"/>
      <c r="T1755" s="5" t="n"/>
      <c r="U1755" s="8">
        <f>IF(AND(V1755=1,D1755&lt;&gt;""),IF(D1755&gt;=corte,TODAY()-D1755,""),"")</f>
        <v/>
      </c>
      <c r="V1755" s="8">
        <f>IF(D1755="",0,IF(OR(AND(P1755&lt;&gt;"",S1755=""),AND(N(J1755)&gt;0,N(K1755)&lt;J1755),OR(M1755="PENDENTE",M1755="PARCIAL"),OR(N1755="PENDENTE",N1755="PARCIAL")),1,0))</f>
        <v/>
      </c>
      <c r="W1755" s="8">
        <f>IF(AND(V1755=1,D1755&lt;&gt;""),IF(D1755&gt;=corte,(B1755="CRÍTICO")*1E9+(100000-D1755)*10000+10000-ROW(),""),"")</f>
        <v/>
      </c>
      <c r="X1755" s="8">
        <f>IF(AND(V1755=1,D1755=pas_data,E1755=pas_turno),10000-ROW(),"")</f>
        <v/>
      </c>
    </row>
    <row r="1756">
      <c r="A1756" s="3">
        <f>IF(D1756="","","TT-"&amp;TEXT(ROW()-1,"00000"))</f>
        <v/>
      </c>
      <c r="B1756" s="3">
        <f>IF(D1756="","",IF(V1756=0,"CONCLUÍDO",IF(D1756&lt;corte,"HISTÓRICO",IF(OR(AND(ISNUMBER(R1756),R1756&lt;TODAY()),AND(OR(N1756="PENDENTE",N1756="PARCIAL"),D1756&lt;TODAY()-1)),"CRÍTICO",IF(OR(AND(P1756&lt;&gt;"",S1756=""),AND(N1756="REALIZADO",M1756="PENDENTE"),AND(ISNUMBER(R1756),R1756=TODAY())),"ATENÇÃO",IF(N(K1756)=0,"PENDENTE","EM ANDAMENTO"))))))</f>
        <v/>
      </c>
      <c r="C1756" s="3">
        <f>IF(D1756="","",IF(V1756=0,"🟢 OK",IF(D1756&lt;corte,"⚪ HISTÓRICO (sem baixa)",IF(AND(ISNUMBER(R1756),R1756&lt;TODAY()),"🔴 PRAZO VENCIDO",IF(AND(OR(N1756="PENDENTE",N1756="PARCIAL"),D1756&lt;TODAY()-1),"🔴 EMBARQUE ATRASADO",IF(AND(N1756="REALIZADO",M1756="PENDENTE"),"🟡 EMBARCADO SEM FATURAR",IF(AND(P1756&lt;&gt;"",S1756="",OR(Q1756="",R1756="")),"🟡 PENDÊNCIA SEM RESPONSÁVEL/PRAZO",IF(AND(ISNUMBER(R1756),R1756=TODAY()),"🟡 VENCE HOJE",IF(AND(P1756&lt;&gt;"",S1756=""),"🟡 PENDÊNCIA ABERTA",IF(AND(N(J1756)&gt;0,N(K1756)&lt;J1756),"🟡 FALTA EXECUTAR",IF(OR(M1756="PENDENTE",M1756="PARCIAL"),"🟡 FATURAMENTO PENDENTE","🟡 EMBARQUE PENDENTE")))))))))))</f>
        <v/>
      </c>
      <c r="D1756" s="4" t="n"/>
      <c r="E1756" s="5" t="n"/>
      <c r="F1756" s="5" t="n"/>
      <c r="G1756" s="5" t="n"/>
      <c r="H1756" s="5" t="n"/>
      <c r="I1756" s="5" t="n"/>
      <c r="J1756" s="6" t="n"/>
      <c r="K1756" s="6" t="n"/>
      <c r="L1756" s="7">
        <f>IF(OR(D1756="",N(J1756)=0),"",MIN(1,N(K1756)/J1756))</f>
        <v/>
      </c>
      <c r="M1756" s="5" t="n"/>
      <c r="N1756" s="5" t="n"/>
      <c r="O1756" s="5" t="n"/>
      <c r="P1756" s="5" t="n"/>
      <c r="Q1756" s="5" t="n"/>
      <c r="R1756" s="4" t="n"/>
      <c r="S1756" s="4" t="n"/>
      <c r="T1756" s="5" t="n"/>
      <c r="U1756" s="8">
        <f>IF(AND(V1756=1,D1756&lt;&gt;""),IF(D1756&gt;=corte,TODAY()-D1756,""),"")</f>
        <v/>
      </c>
      <c r="V1756" s="8">
        <f>IF(D1756="",0,IF(OR(AND(P1756&lt;&gt;"",S1756=""),AND(N(J1756)&gt;0,N(K1756)&lt;J1756),OR(M1756="PENDENTE",M1756="PARCIAL"),OR(N1756="PENDENTE",N1756="PARCIAL")),1,0))</f>
        <v/>
      </c>
      <c r="W1756" s="8">
        <f>IF(AND(V1756=1,D1756&lt;&gt;""),IF(D1756&gt;=corte,(B1756="CRÍTICO")*1E9+(100000-D1756)*10000+10000-ROW(),""),"")</f>
        <v/>
      </c>
      <c r="X1756" s="8">
        <f>IF(AND(V1756=1,D1756=pas_data,E1756=pas_turno),10000-ROW(),"")</f>
        <v/>
      </c>
    </row>
    <row r="1757">
      <c r="A1757" s="3">
        <f>IF(D1757="","","TT-"&amp;TEXT(ROW()-1,"00000"))</f>
        <v/>
      </c>
      <c r="B1757" s="3">
        <f>IF(D1757="","",IF(V1757=0,"CONCLUÍDO",IF(D1757&lt;corte,"HISTÓRICO",IF(OR(AND(ISNUMBER(R1757),R1757&lt;TODAY()),AND(OR(N1757="PENDENTE",N1757="PARCIAL"),D1757&lt;TODAY()-1)),"CRÍTICO",IF(OR(AND(P1757&lt;&gt;"",S1757=""),AND(N1757="REALIZADO",M1757="PENDENTE"),AND(ISNUMBER(R1757),R1757=TODAY())),"ATENÇÃO",IF(N(K1757)=0,"PENDENTE","EM ANDAMENTO"))))))</f>
        <v/>
      </c>
      <c r="C1757" s="3">
        <f>IF(D1757="","",IF(V1757=0,"🟢 OK",IF(D1757&lt;corte,"⚪ HISTÓRICO (sem baixa)",IF(AND(ISNUMBER(R1757),R1757&lt;TODAY()),"🔴 PRAZO VENCIDO",IF(AND(OR(N1757="PENDENTE",N1757="PARCIAL"),D1757&lt;TODAY()-1),"🔴 EMBARQUE ATRASADO",IF(AND(N1757="REALIZADO",M1757="PENDENTE"),"🟡 EMBARCADO SEM FATURAR",IF(AND(P1757&lt;&gt;"",S1757="",OR(Q1757="",R1757="")),"🟡 PENDÊNCIA SEM RESPONSÁVEL/PRAZO",IF(AND(ISNUMBER(R1757),R1757=TODAY()),"🟡 VENCE HOJE",IF(AND(P1757&lt;&gt;"",S1757=""),"🟡 PENDÊNCIA ABERTA",IF(AND(N(J1757)&gt;0,N(K1757)&lt;J1757),"🟡 FALTA EXECUTAR",IF(OR(M1757="PENDENTE",M1757="PARCIAL"),"🟡 FATURAMENTO PENDENTE","🟡 EMBARQUE PENDENTE")))))))))))</f>
        <v/>
      </c>
      <c r="D1757" s="4" t="n"/>
      <c r="E1757" s="5" t="n"/>
      <c r="F1757" s="5" t="n"/>
      <c r="G1757" s="5" t="n"/>
      <c r="H1757" s="5" t="n"/>
      <c r="I1757" s="5" t="n"/>
      <c r="J1757" s="6" t="n"/>
      <c r="K1757" s="6" t="n"/>
      <c r="L1757" s="7">
        <f>IF(OR(D1757="",N(J1757)=0),"",MIN(1,N(K1757)/J1757))</f>
        <v/>
      </c>
      <c r="M1757" s="5" t="n"/>
      <c r="N1757" s="5" t="n"/>
      <c r="O1757" s="5" t="n"/>
      <c r="P1757" s="5" t="n"/>
      <c r="Q1757" s="5" t="n"/>
      <c r="R1757" s="4" t="n"/>
      <c r="S1757" s="4" t="n"/>
      <c r="T1757" s="5" t="n"/>
      <c r="U1757" s="8">
        <f>IF(AND(V1757=1,D1757&lt;&gt;""),IF(D1757&gt;=corte,TODAY()-D1757,""),"")</f>
        <v/>
      </c>
      <c r="V1757" s="8">
        <f>IF(D1757="",0,IF(OR(AND(P1757&lt;&gt;"",S1757=""),AND(N(J1757)&gt;0,N(K1757)&lt;J1757),OR(M1757="PENDENTE",M1757="PARCIAL"),OR(N1757="PENDENTE",N1757="PARCIAL")),1,0))</f>
        <v/>
      </c>
      <c r="W1757" s="8">
        <f>IF(AND(V1757=1,D1757&lt;&gt;""),IF(D1757&gt;=corte,(B1757="CRÍTICO")*1E9+(100000-D1757)*10000+10000-ROW(),""),"")</f>
        <v/>
      </c>
      <c r="X1757" s="8">
        <f>IF(AND(V1757=1,D1757=pas_data,E1757=pas_turno),10000-ROW(),"")</f>
        <v/>
      </c>
    </row>
    <row r="1758">
      <c r="A1758" s="3">
        <f>IF(D1758="","","TT-"&amp;TEXT(ROW()-1,"00000"))</f>
        <v/>
      </c>
      <c r="B1758" s="3">
        <f>IF(D1758="","",IF(V1758=0,"CONCLUÍDO",IF(D1758&lt;corte,"HISTÓRICO",IF(OR(AND(ISNUMBER(R1758),R1758&lt;TODAY()),AND(OR(N1758="PENDENTE",N1758="PARCIAL"),D1758&lt;TODAY()-1)),"CRÍTICO",IF(OR(AND(P1758&lt;&gt;"",S1758=""),AND(N1758="REALIZADO",M1758="PENDENTE"),AND(ISNUMBER(R1758),R1758=TODAY())),"ATENÇÃO",IF(N(K1758)=0,"PENDENTE","EM ANDAMENTO"))))))</f>
        <v/>
      </c>
      <c r="C1758" s="3">
        <f>IF(D1758="","",IF(V1758=0,"🟢 OK",IF(D1758&lt;corte,"⚪ HISTÓRICO (sem baixa)",IF(AND(ISNUMBER(R1758),R1758&lt;TODAY()),"🔴 PRAZO VENCIDO",IF(AND(OR(N1758="PENDENTE",N1758="PARCIAL"),D1758&lt;TODAY()-1),"🔴 EMBARQUE ATRASADO",IF(AND(N1758="REALIZADO",M1758="PENDENTE"),"🟡 EMBARCADO SEM FATURAR",IF(AND(P1758&lt;&gt;"",S1758="",OR(Q1758="",R1758="")),"🟡 PENDÊNCIA SEM RESPONSÁVEL/PRAZO",IF(AND(ISNUMBER(R1758),R1758=TODAY()),"🟡 VENCE HOJE",IF(AND(P1758&lt;&gt;"",S1758=""),"🟡 PENDÊNCIA ABERTA",IF(AND(N(J1758)&gt;0,N(K1758)&lt;J1758),"🟡 FALTA EXECUTAR",IF(OR(M1758="PENDENTE",M1758="PARCIAL"),"🟡 FATURAMENTO PENDENTE","🟡 EMBARQUE PENDENTE")))))))))))</f>
        <v/>
      </c>
      <c r="D1758" s="4" t="n"/>
      <c r="E1758" s="5" t="n"/>
      <c r="F1758" s="5" t="n"/>
      <c r="G1758" s="5" t="n"/>
      <c r="H1758" s="5" t="n"/>
      <c r="I1758" s="5" t="n"/>
      <c r="J1758" s="6" t="n"/>
      <c r="K1758" s="6" t="n"/>
      <c r="L1758" s="7">
        <f>IF(OR(D1758="",N(J1758)=0),"",MIN(1,N(K1758)/J1758))</f>
        <v/>
      </c>
      <c r="M1758" s="5" t="n"/>
      <c r="N1758" s="5" t="n"/>
      <c r="O1758" s="5" t="n"/>
      <c r="P1758" s="5" t="n"/>
      <c r="Q1758" s="5" t="n"/>
      <c r="R1758" s="4" t="n"/>
      <c r="S1758" s="4" t="n"/>
      <c r="T1758" s="5" t="n"/>
      <c r="U1758" s="8">
        <f>IF(AND(V1758=1,D1758&lt;&gt;""),IF(D1758&gt;=corte,TODAY()-D1758,""),"")</f>
        <v/>
      </c>
      <c r="V1758" s="8">
        <f>IF(D1758="",0,IF(OR(AND(P1758&lt;&gt;"",S1758=""),AND(N(J1758)&gt;0,N(K1758)&lt;J1758),OR(M1758="PENDENTE",M1758="PARCIAL"),OR(N1758="PENDENTE",N1758="PARCIAL")),1,0))</f>
        <v/>
      </c>
      <c r="W1758" s="8">
        <f>IF(AND(V1758=1,D1758&lt;&gt;""),IF(D1758&gt;=corte,(B1758="CRÍTICO")*1E9+(100000-D1758)*10000+10000-ROW(),""),"")</f>
        <v/>
      </c>
      <c r="X1758" s="8">
        <f>IF(AND(V1758=1,D1758=pas_data,E1758=pas_turno),10000-ROW(),"")</f>
        <v/>
      </c>
    </row>
    <row r="1759">
      <c r="A1759" s="3">
        <f>IF(D1759="","","TT-"&amp;TEXT(ROW()-1,"00000"))</f>
        <v/>
      </c>
      <c r="B1759" s="3">
        <f>IF(D1759="","",IF(V1759=0,"CONCLUÍDO",IF(D1759&lt;corte,"HISTÓRICO",IF(OR(AND(ISNUMBER(R1759),R1759&lt;TODAY()),AND(OR(N1759="PENDENTE",N1759="PARCIAL"),D1759&lt;TODAY()-1)),"CRÍTICO",IF(OR(AND(P1759&lt;&gt;"",S1759=""),AND(N1759="REALIZADO",M1759="PENDENTE"),AND(ISNUMBER(R1759),R1759=TODAY())),"ATENÇÃO",IF(N(K1759)=0,"PENDENTE","EM ANDAMENTO"))))))</f>
        <v/>
      </c>
      <c r="C1759" s="3">
        <f>IF(D1759="","",IF(V1759=0,"🟢 OK",IF(D1759&lt;corte,"⚪ HISTÓRICO (sem baixa)",IF(AND(ISNUMBER(R1759),R1759&lt;TODAY()),"🔴 PRAZO VENCIDO",IF(AND(OR(N1759="PENDENTE",N1759="PARCIAL"),D1759&lt;TODAY()-1),"🔴 EMBARQUE ATRASADO",IF(AND(N1759="REALIZADO",M1759="PENDENTE"),"🟡 EMBARCADO SEM FATURAR",IF(AND(P1759&lt;&gt;"",S1759="",OR(Q1759="",R1759="")),"🟡 PENDÊNCIA SEM RESPONSÁVEL/PRAZO",IF(AND(ISNUMBER(R1759),R1759=TODAY()),"🟡 VENCE HOJE",IF(AND(P1759&lt;&gt;"",S1759=""),"🟡 PENDÊNCIA ABERTA",IF(AND(N(J1759)&gt;0,N(K1759)&lt;J1759),"🟡 FALTA EXECUTAR",IF(OR(M1759="PENDENTE",M1759="PARCIAL"),"🟡 FATURAMENTO PENDENTE","🟡 EMBARQUE PENDENTE")))))))))))</f>
        <v/>
      </c>
      <c r="D1759" s="4" t="n"/>
      <c r="E1759" s="5" t="n"/>
      <c r="F1759" s="5" t="n"/>
      <c r="G1759" s="5" t="n"/>
      <c r="H1759" s="5" t="n"/>
      <c r="I1759" s="5" t="n"/>
      <c r="J1759" s="6" t="n"/>
      <c r="K1759" s="6" t="n"/>
      <c r="L1759" s="7">
        <f>IF(OR(D1759="",N(J1759)=0),"",MIN(1,N(K1759)/J1759))</f>
        <v/>
      </c>
      <c r="M1759" s="5" t="n"/>
      <c r="N1759" s="5" t="n"/>
      <c r="O1759" s="5" t="n"/>
      <c r="P1759" s="5" t="n"/>
      <c r="Q1759" s="5" t="n"/>
      <c r="R1759" s="4" t="n"/>
      <c r="S1759" s="4" t="n"/>
      <c r="T1759" s="5" t="n"/>
      <c r="U1759" s="8">
        <f>IF(AND(V1759=1,D1759&lt;&gt;""),IF(D1759&gt;=corte,TODAY()-D1759,""),"")</f>
        <v/>
      </c>
      <c r="V1759" s="8">
        <f>IF(D1759="",0,IF(OR(AND(P1759&lt;&gt;"",S1759=""),AND(N(J1759)&gt;0,N(K1759)&lt;J1759),OR(M1759="PENDENTE",M1759="PARCIAL"),OR(N1759="PENDENTE",N1759="PARCIAL")),1,0))</f>
        <v/>
      </c>
      <c r="W1759" s="8">
        <f>IF(AND(V1759=1,D1759&lt;&gt;""),IF(D1759&gt;=corte,(B1759="CRÍTICO")*1E9+(100000-D1759)*10000+10000-ROW(),""),"")</f>
        <v/>
      </c>
      <c r="X1759" s="8">
        <f>IF(AND(V1759=1,D1759=pas_data,E1759=pas_turno),10000-ROW(),"")</f>
        <v/>
      </c>
    </row>
    <row r="1760">
      <c r="A1760" s="3">
        <f>IF(D1760="","","TT-"&amp;TEXT(ROW()-1,"00000"))</f>
        <v/>
      </c>
      <c r="B1760" s="3">
        <f>IF(D1760="","",IF(V1760=0,"CONCLUÍDO",IF(D1760&lt;corte,"HISTÓRICO",IF(OR(AND(ISNUMBER(R1760),R1760&lt;TODAY()),AND(OR(N1760="PENDENTE",N1760="PARCIAL"),D1760&lt;TODAY()-1)),"CRÍTICO",IF(OR(AND(P1760&lt;&gt;"",S1760=""),AND(N1760="REALIZADO",M1760="PENDENTE"),AND(ISNUMBER(R1760),R1760=TODAY())),"ATENÇÃO",IF(N(K1760)=0,"PENDENTE","EM ANDAMENTO"))))))</f>
        <v/>
      </c>
      <c r="C1760" s="3">
        <f>IF(D1760="","",IF(V1760=0,"🟢 OK",IF(D1760&lt;corte,"⚪ HISTÓRICO (sem baixa)",IF(AND(ISNUMBER(R1760),R1760&lt;TODAY()),"🔴 PRAZO VENCIDO",IF(AND(OR(N1760="PENDENTE",N1760="PARCIAL"),D1760&lt;TODAY()-1),"🔴 EMBARQUE ATRASADO",IF(AND(N1760="REALIZADO",M1760="PENDENTE"),"🟡 EMBARCADO SEM FATURAR",IF(AND(P1760&lt;&gt;"",S1760="",OR(Q1760="",R1760="")),"🟡 PENDÊNCIA SEM RESPONSÁVEL/PRAZO",IF(AND(ISNUMBER(R1760),R1760=TODAY()),"🟡 VENCE HOJE",IF(AND(P1760&lt;&gt;"",S1760=""),"🟡 PENDÊNCIA ABERTA",IF(AND(N(J1760)&gt;0,N(K1760)&lt;J1760),"🟡 FALTA EXECUTAR",IF(OR(M1760="PENDENTE",M1760="PARCIAL"),"🟡 FATURAMENTO PENDENTE","🟡 EMBARQUE PENDENTE")))))))))))</f>
        <v/>
      </c>
      <c r="D1760" s="4" t="n"/>
      <c r="E1760" s="5" t="n"/>
      <c r="F1760" s="5" t="n"/>
      <c r="G1760" s="5" t="n"/>
      <c r="H1760" s="5" t="n"/>
      <c r="I1760" s="5" t="n"/>
      <c r="J1760" s="6" t="n"/>
      <c r="K1760" s="6" t="n"/>
      <c r="L1760" s="7">
        <f>IF(OR(D1760="",N(J1760)=0),"",MIN(1,N(K1760)/J1760))</f>
        <v/>
      </c>
      <c r="M1760" s="5" t="n"/>
      <c r="N1760" s="5" t="n"/>
      <c r="O1760" s="5" t="n"/>
      <c r="P1760" s="5" t="n"/>
      <c r="Q1760" s="5" t="n"/>
      <c r="R1760" s="4" t="n"/>
      <c r="S1760" s="4" t="n"/>
      <c r="T1760" s="5" t="n"/>
      <c r="U1760" s="8">
        <f>IF(AND(V1760=1,D1760&lt;&gt;""),IF(D1760&gt;=corte,TODAY()-D1760,""),"")</f>
        <v/>
      </c>
      <c r="V1760" s="8">
        <f>IF(D1760="",0,IF(OR(AND(P1760&lt;&gt;"",S1760=""),AND(N(J1760)&gt;0,N(K1760)&lt;J1760),OR(M1760="PENDENTE",M1760="PARCIAL"),OR(N1760="PENDENTE",N1760="PARCIAL")),1,0))</f>
        <v/>
      </c>
      <c r="W1760" s="8">
        <f>IF(AND(V1760=1,D1760&lt;&gt;""),IF(D1760&gt;=corte,(B1760="CRÍTICO")*1E9+(100000-D1760)*10000+10000-ROW(),""),"")</f>
        <v/>
      </c>
      <c r="X1760" s="8">
        <f>IF(AND(V1760=1,D1760=pas_data,E1760=pas_turno),10000-ROW(),"")</f>
        <v/>
      </c>
    </row>
    <row r="1761">
      <c r="A1761" s="3">
        <f>IF(D1761="","","TT-"&amp;TEXT(ROW()-1,"00000"))</f>
        <v/>
      </c>
      <c r="B1761" s="3">
        <f>IF(D1761="","",IF(V1761=0,"CONCLUÍDO",IF(D1761&lt;corte,"HISTÓRICO",IF(OR(AND(ISNUMBER(R1761),R1761&lt;TODAY()),AND(OR(N1761="PENDENTE",N1761="PARCIAL"),D1761&lt;TODAY()-1)),"CRÍTICO",IF(OR(AND(P1761&lt;&gt;"",S1761=""),AND(N1761="REALIZADO",M1761="PENDENTE"),AND(ISNUMBER(R1761),R1761=TODAY())),"ATENÇÃO",IF(N(K1761)=0,"PENDENTE","EM ANDAMENTO"))))))</f>
        <v/>
      </c>
      <c r="C1761" s="3">
        <f>IF(D1761="","",IF(V1761=0,"🟢 OK",IF(D1761&lt;corte,"⚪ HISTÓRICO (sem baixa)",IF(AND(ISNUMBER(R1761),R1761&lt;TODAY()),"🔴 PRAZO VENCIDO",IF(AND(OR(N1761="PENDENTE",N1761="PARCIAL"),D1761&lt;TODAY()-1),"🔴 EMBARQUE ATRASADO",IF(AND(N1761="REALIZADO",M1761="PENDENTE"),"🟡 EMBARCADO SEM FATURAR",IF(AND(P1761&lt;&gt;"",S1761="",OR(Q1761="",R1761="")),"🟡 PENDÊNCIA SEM RESPONSÁVEL/PRAZO",IF(AND(ISNUMBER(R1761),R1761=TODAY()),"🟡 VENCE HOJE",IF(AND(P1761&lt;&gt;"",S1761=""),"🟡 PENDÊNCIA ABERTA",IF(AND(N(J1761)&gt;0,N(K1761)&lt;J1761),"🟡 FALTA EXECUTAR",IF(OR(M1761="PENDENTE",M1761="PARCIAL"),"🟡 FATURAMENTO PENDENTE","🟡 EMBARQUE PENDENTE")))))))))))</f>
        <v/>
      </c>
      <c r="D1761" s="4" t="n"/>
      <c r="E1761" s="5" t="n"/>
      <c r="F1761" s="5" t="n"/>
      <c r="G1761" s="5" t="n"/>
      <c r="H1761" s="5" t="n"/>
      <c r="I1761" s="5" t="n"/>
      <c r="J1761" s="6" t="n"/>
      <c r="K1761" s="6" t="n"/>
      <c r="L1761" s="7">
        <f>IF(OR(D1761="",N(J1761)=0),"",MIN(1,N(K1761)/J1761))</f>
        <v/>
      </c>
      <c r="M1761" s="5" t="n"/>
      <c r="N1761" s="5" t="n"/>
      <c r="O1761" s="5" t="n"/>
      <c r="P1761" s="5" t="n"/>
      <c r="Q1761" s="5" t="n"/>
      <c r="R1761" s="4" t="n"/>
      <c r="S1761" s="4" t="n"/>
      <c r="T1761" s="5" t="n"/>
      <c r="U1761" s="8">
        <f>IF(AND(V1761=1,D1761&lt;&gt;""),IF(D1761&gt;=corte,TODAY()-D1761,""),"")</f>
        <v/>
      </c>
      <c r="V1761" s="8">
        <f>IF(D1761="",0,IF(OR(AND(P1761&lt;&gt;"",S1761=""),AND(N(J1761)&gt;0,N(K1761)&lt;J1761),OR(M1761="PENDENTE",M1761="PARCIAL"),OR(N1761="PENDENTE",N1761="PARCIAL")),1,0))</f>
        <v/>
      </c>
      <c r="W1761" s="8">
        <f>IF(AND(V1761=1,D1761&lt;&gt;""),IF(D1761&gt;=corte,(B1761="CRÍTICO")*1E9+(100000-D1761)*10000+10000-ROW(),""),"")</f>
        <v/>
      </c>
      <c r="X1761" s="8">
        <f>IF(AND(V1761=1,D1761=pas_data,E1761=pas_turno),10000-ROW(),"")</f>
        <v/>
      </c>
    </row>
    <row r="1762">
      <c r="A1762" s="3">
        <f>IF(D1762="","","TT-"&amp;TEXT(ROW()-1,"00000"))</f>
        <v/>
      </c>
      <c r="B1762" s="3">
        <f>IF(D1762="","",IF(V1762=0,"CONCLUÍDO",IF(D1762&lt;corte,"HISTÓRICO",IF(OR(AND(ISNUMBER(R1762),R1762&lt;TODAY()),AND(OR(N1762="PENDENTE",N1762="PARCIAL"),D1762&lt;TODAY()-1)),"CRÍTICO",IF(OR(AND(P1762&lt;&gt;"",S1762=""),AND(N1762="REALIZADO",M1762="PENDENTE"),AND(ISNUMBER(R1762),R1762=TODAY())),"ATENÇÃO",IF(N(K1762)=0,"PENDENTE","EM ANDAMENTO"))))))</f>
        <v/>
      </c>
      <c r="C1762" s="3">
        <f>IF(D1762="","",IF(V1762=0,"🟢 OK",IF(D1762&lt;corte,"⚪ HISTÓRICO (sem baixa)",IF(AND(ISNUMBER(R1762),R1762&lt;TODAY()),"🔴 PRAZO VENCIDO",IF(AND(OR(N1762="PENDENTE",N1762="PARCIAL"),D1762&lt;TODAY()-1),"🔴 EMBARQUE ATRASADO",IF(AND(N1762="REALIZADO",M1762="PENDENTE"),"🟡 EMBARCADO SEM FATURAR",IF(AND(P1762&lt;&gt;"",S1762="",OR(Q1762="",R1762="")),"🟡 PENDÊNCIA SEM RESPONSÁVEL/PRAZO",IF(AND(ISNUMBER(R1762),R1762=TODAY()),"🟡 VENCE HOJE",IF(AND(P1762&lt;&gt;"",S1762=""),"🟡 PENDÊNCIA ABERTA",IF(AND(N(J1762)&gt;0,N(K1762)&lt;J1762),"🟡 FALTA EXECUTAR",IF(OR(M1762="PENDENTE",M1762="PARCIAL"),"🟡 FATURAMENTO PENDENTE","🟡 EMBARQUE PENDENTE")))))))))))</f>
        <v/>
      </c>
      <c r="D1762" s="4" t="n"/>
      <c r="E1762" s="5" t="n"/>
      <c r="F1762" s="5" t="n"/>
      <c r="G1762" s="5" t="n"/>
      <c r="H1762" s="5" t="n"/>
      <c r="I1762" s="5" t="n"/>
      <c r="J1762" s="6" t="n"/>
      <c r="K1762" s="6" t="n"/>
      <c r="L1762" s="7">
        <f>IF(OR(D1762="",N(J1762)=0),"",MIN(1,N(K1762)/J1762))</f>
        <v/>
      </c>
      <c r="M1762" s="5" t="n"/>
      <c r="N1762" s="5" t="n"/>
      <c r="O1762" s="5" t="n"/>
      <c r="P1762" s="5" t="n"/>
      <c r="Q1762" s="5" t="n"/>
      <c r="R1762" s="4" t="n"/>
      <c r="S1762" s="4" t="n"/>
      <c r="T1762" s="5" t="n"/>
      <c r="U1762" s="8">
        <f>IF(AND(V1762=1,D1762&lt;&gt;""),IF(D1762&gt;=corte,TODAY()-D1762,""),"")</f>
        <v/>
      </c>
      <c r="V1762" s="8">
        <f>IF(D1762="",0,IF(OR(AND(P1762&lt;&gt;"",S1762=""),AND(N(J1762)&gt;0,N(K1762)&lt;J1762),OR(M1762="PENDENTE",M1762="PARCIAL"),OR(N1762="PENDENTE",N1762="PARCIAL")),1,0))</f>
        <v/>
      </c>
      <c r="W1762" s="8">
        <f>IF(AND(V1762=1,D1762&lt;&gt;""),IF(D1762&gt;=corte,(B1762="CRÍTICO")*1E9+(100000-D1762)*10000+10000-ROW(),""),"")</f>
        <v/>
      </c>
      <c r="X1762" s="8">
        <f>IF(AND(V1762=1,D1762=pas_data,E1762=pas_turno),10000-ROW(),"")</f>
        <v/>
      </c>
    </row>
    <row r="1763">
      <c r="A1763" s="3">
        <f>IF(D1763="","","TT-"&amp;TEXT(ROW()-1,"00000"))</f>
        <v/>
      </c>
      <c r="B1763" s="3">
        <f>IF(D1763="","",IF(V1763=0,"CONCLUÍDO",IF(D1763&lt;corte,"HISTÓRICO",IF(OR(AND(ISNUMBER(R1763),R1763&lt;TODAY()),AND(OR(N1763="PENDENTE",N1763="PARCIAL"),D1763&lt;TODAY()-1)),"CRÍTICO",IF(OR(AND(P1763&lt;&gt;"",S1763=""),AND(N1763="REALIZADO",M1763="PENDENTE"),AND(ISNUMBER(R1763),R1763=TODAY())),"ATENÇÃO",IF(N(K1763)=0,"PENDENTE","EM ANDAMENTO"))))))</f>
        <v/>
      </c>
      <c r="C1763" s="3">
        <f>IF(D1763="","",IF(V1763=0,"🟢 OK",IF(D1763&lt;corte,"⚪ HISTÓRICO (sem baixa)",IF(AND(ISNUMBER(R1763),R1763&lt;TODAY()),"🔴 PRAZO VENCIDO",IF(AND(OR(N1763="PENDENTE",N1763="PARCIAL"),D1763&lt;TODAY()-1),"🔴 EMBARQUE ATRASADO",IF(AND(N1763="REALIZADO",M1763="PENDENTE"),"🟡 EMBARCADO SEM FATURAR",IF(AND(P1763&lt;&gt;"",S1763="",OR(Q1763="",R1763="")),"🟡 PENDÊNCIA SEM RESPONSÁVEL/PRAZO",IF(AND(ISNUMBER(R1763),R1763=TODAY()),"🟡 VENCE HOJE",IF(AND(P1763&lt;&gt;"",S1763=""),"🟡 PENDÊNCIA ABERTA",IF(AND(N(J1763)&gt;0,N(K1763)&lt;J1763),"🟡 FALTA EXECUTAR",IF(OR(M1763="PENDENTE",M1763="PARCIAL"),"🟡 FATURAMENTO PENDENTE","🟡 EMBARQUE PENDENTE")))))))))))</f>
        <v/>
      </c>
      <c r="D1763" s="4" t="n"/>
      <c r="E1763" s="5" t="n"/>
      <c r="F1763" s="5" t="n"/>
      <c r="G1763" s="5" t="n"/>
      <c r="H1763" s="5" t="n"/>
      <c r="I1763" s="5" t="n"/>
      <c r="J1763" s="6" t="n"/>
      <c r="K1763" s="6" t="n"/>
      <c r="L1763" s="7">
        <f>IF(OR(D1763="",N(J1763)=0),"",MIN(1,N(K1763)/J1763))</f>
        <v/>
      </c>
      <c r="M1763" s="5" t="n"/>
      <c r="N1763" s="5" t="n"/>
      <c r="O1763" s="5" t="n"/>
      <c r="P1763" s="5" t="n"/>
      <c r="Q1763" s="5" t="n"/>
      <c r="R1763" s="4" t="n"/>
      <c r="S1763" s="4" t="n"/>
      <c r="T1763" s="5" t="n"/>
      <c r="U1763" s="8">
        <f>IF(AND(V1763=1,D1763&lt;&gt;""),IF(D1763&gt;=corte,TODAY()-D1763,""),"")</f>
        <v/>
      </c>
      <c r="V1763" s="8">
        <f>IF(D1763="",0,IF(OR(AND(P1763&lt;&gt;"",S1763=""),AND(N(J1763)&gt;0,N(K1763)&lt;J1763),OR(M1763="PENDENTE",M1763="PARCIAL"),OR(N1763="PENDENTE",N1763="PARCIAL")),1,0))</f>
        <v/>
      </c>
      <c r="W1763" s="8">
        <f>IF(AND(V1763=1,D1763&lt;&gt;""),IF(D1763&gt;=corte,(B1763="CRÍTICO")*1E9+(100000-D1763)*10000+10000-ROW(),""),"")</f>
        <v/>
      </c>
      <c r="X1763" s="8">
        <f>IF(AND(V1763=1,D1763=pas_data,E1763=pas_turno),10000-ROW(),"")</f>
        <v/>
      </c>
    </row>
    <row r="1764">
      <c r="A1764" s="3">
        <f>IF(D1764="","","TT-"&amp;TEXT(ROW()-1,"00000"))</f>
        <v/>
      </c>
      <c r="B1764" s="3">
        <f>IF(D1764="","",IF(V1764=0,"CONCLUÍDO",IF(D1764&lt;corte,"HISTÓRICO",IF(OR(AND(ISNUMBER(R1764),R1764&lt;TODAY()),AND(OR(N1764="PENDENTE",N1764="PARCIAL"),D1764&lt;TODAY()-1)),"CRÍTICO",IF(OR(AND(P1764&lt;&gt;"",S1764=""),AND(N1764="REALIZADO",M1764="PENDENTE"),AND(ISNUMBER(R1764),R1764=TODAY())),"ATENÇÃO",IF(N(K1764)=0,"PENDENTE","EM ANDAMENTO"))))))</f>
        <v/>
      </c>
      <c r="C1764" s="3">
        <f>IF(D1764="","",IF(V1764=0,"🟢 OK",IF(D1764&lt;corte,"⚪ HISTÓRICO (sem baixa)",IF(AND(ISNUMBER(R1764),R1764&lt;TODAY()),"🔴 PRAZO VENCIDO",IF(AND(OR(N1764="PENDENTE",N1764="PARCIAL"),D1764&lt;TODAY()-1),"🔴 EMBARQUE ATRASADO",IF(AND(N1764="REALIZADO",M1764="PENDENTE"),"🟡 EMBARCADO SEM FATURAR",IF(AND(P1764&lt;&gt;"",S1764="",OR(Q1764="",R1764="")),"🟡 PENDÊNCIA SEM RESPONSÁVEL/PRAZO",IF(AND(ISNUMBER(R1764),R1764=TODAY()),"🟡 VENCE HOJE",IF(AND(P1764&lt;&gt;"",S1764=""),"🟡 PENDÊNCIA ABERTA",IF(AND(N(J1764)&gt;0,N(K1764)&lt;J1764),"🟡 FALTA EXECUTAR",IF(OR(M1764="PENDENTE",M1764="PARCIAL"),"🟡 FATURAMENTO PENDENTE","🟡 EMBARQUE PENDENTE")))))))))))</f>
        <v/>
      </c>
      <c r="D1764" s="4" t="n"/>
      <c r="E1764" s="5" t="n"/>
      <c r="F1764" s="5" t="n"/>
      <c r="G1764" s="5" t="n"/>
      <c r="H1764" s="5" t="n"/>
      <c r="I1764" s="5" t="n"/>
      <c r="J1764" s="6" t="n"/>
      <c r="K1764" s="6" t="n"/>
      <c r="L1764" s="7">
        <f>IF(OR(D1764="",N(J1764)=0),"",MIN(1,N(K1764)/J1764))</f>
        <v/>
      </c>
      <c r="M1764" s="5" t="n"/>
      <c r="N1764" s="5" t="n"/>
      <c r="O1764" s="5" t="n"/>
      <c r="P1764" s="5" t="n"/>
      <c r="Q1764" s="5" t="n"/>
      <c r="R1764" s="4" t="n"/>
      <c r="S1764" s="4" t="n"/>
      <c r="T1764" s="5" t="n"/>
      <c r="U1764" s="8">
        <f>IF(AND(V1764=1,D1764&lt;&gt;""),IF(D1764&gt;=corte,TODAY()-D1764,""),"")</f>
        <v/>
      </c>
      <c r="V1764" s="8">
        <f>IF(D1764="",0,IF(OR(AND(P1764&lt;&gt;"",S1764=""),AND(N(J1764)&gt;0,N(K1764)&lt;J1764),OR(M1764="PENDENTE",M1764="PARCIAL"),OR(N1764="PENDENTE",N1764="PARCIAL")),1,0))</f>
        <v/>
      </c>
      <c r="W1764" s="8">
        <f>IF(AND(V1764=1,D1764&lt;&gt;""),IF(D1764&gt;=corte,(B1764="CRÍTICO")*1E9+(100000-D1764)*10000+10000-ROW(),""),"")</f>
        <v/>
      </c>
      <c r="X1764" s="8">
        <f>IF(AND(V1764=1,D1764=pas_data,E1764=pas_turno),10000-ROW(),"")</f>
        <v/>
      </c>
    </row>
    <row r="1765">
      <c r="A1765" s="3">
        <f>IF(D1765="","","TT-"&amp;TEXT(ROW()-1,"00000"))</f>
        <v/>
      </c>
      <c r="B1765" s="3">
        <f>IF(D1765="","",IF(V1765=0,"CONCLUÍDO",IF(D1765&lt;corte,"HISTÓRICO",IF(OR(AND(ISNUMBER(R1765),R1765&lt;TODAY()),AND(OR(N1765="PENDENTE",N1765="PARCIAL"),D1765&lt;TODAY()-1)),"CRÍTICO",IF(OR(AND(P1765&lt;&gt;"",S1765=""),AND(N1765="REALIZADO",M1765="PENDENTE"),AND(ISNUMBER(R1765),R1765=TODAY())),"ATENÇÃO",IF(N(K1765)=0,"PENDENTE","EM ANDAMENTO"))))))</f>
        <v/>
      </c>
      <c r="C1765" s="3">
        <f>IF(D1765="","",IF(V1765=0,"🟢 OK",IF(D1765&lt;corte,"⚪ HISTÓRICO (sem baixa)",IF(AND(ISNUMBER(R1765),R1765&lt;TODAY()),"🔴 PRAZO VENCIDO",IF(AND(OR(N1765="PENDENTE",N1765="PARCIAL"),D1765&lt;TODAY()-1),"🔴 EMBARQUE ATRASADO",IF(AND(N1765="REALIZADO",M1765="PENDENTE"),"🟡 EMBARCADO SEM FATURAR",IF(AND(P1765&lt;&gt;"",S1765="",OR(Q1765="",R1765="")),"🟡 PENDÊNCIA SEM RESPONSÁVEL/PRAZO",IF(AND(ISNUMBER(R1765),R1765=TODAY()),"🟡 VENCE HOJE",IF(AND(P1765&lt;&gt;"",S1765=""),"🟡 PENDÊNCIA ABERTA",IF(AND(N(J1765)&gt;0,N(K1765)&lt;J1765),"🟡 FALTA EXECUTAR",IF(OR(M1765="PENDENTE",M1765="PARCIAL"),"🟡 FATURAMENTO PENDENTE","🟡 EMBARQUE PENDENTE")))))))))))</f>
        <v/>
      </c>
      <c r="D1765" s="4" t="n"/>
      <c r="E1765" s="5" t="n"/>
      <c r="F1765" s="5" t="n"/>
      <c r="G1765" s="5" t="n"/>
      <c r="H1765" s="5" t="n"/>
      <c r="I1765" s="5" t="n"/>
      <c r="J1765" s="6" t="n"/>
      <c r="K1765" s="6" t="n"/>
      <c r="L1765" s="7">
        <f>IF(OR(D1765="",N(J1765)=0),"",MIN(1,N(K1765)/J1765))</f>
        <v/>
      </c>
      <c r="M1765" s="5" t="n"/>
      <c r="N1765" s="5" t="n"/>
      <c r="O1765" s="5" t="n"/>
      <c r="P1765" s="5" t="n"/>
      <c r="Q1765" s="5" t="n"/>
      <c r="R1765" s="4" t="n"/>
      <c r="S1765" s="4" t="n"/>
      <c r="T1765" s="5" t="n"/>
      <c r="U1765" s="8">
        <f>IF(AND(V1765=1,D1765&lt;&gt;""),IF(D1765&gt;=corte,TODAY()-D1765,""),"")</f>
        <v/>
      </c>
      <c r="V1765" s="8">
        <f>IF(D1765="",0,IF(OR(AND(P1765&lt;&gt;"",S1765=""),AND(N(J1765)&gt;0,N(K1765)&lt;J1765),OR(M1765="PENDENTE",M1765="PARCIAL"),OR(N1765="PENDENTE",N1765="PARCIAL")),1,0))</f>
        <v/>
      </c>
      <c r="W1765" s="8">
        <f>IF(AND(V1765=1,D1765&lt;&gt;""),IF(D1765&gt;=corte,(B1765="CRÍTICO")*1E9+(100000-D1765)*10000+10000-ROW(),""),"")</f>
        <v/>
      </c>
      <c r="X1765" s="8">
        <f>IF(AND(V1765=1,D1765=pas_data,E1765=pas_turno),10000-ROW(),"")</f>
        <v/>
      </c>
    </row>
    <row r="1766">
      <c r="A1766" s="3">
        <f>IF(D1766="","","TT-"&amp;TEXT(ROW()-1,"00000"))</f>
        <v/>
      </c>
      <c r="B1766" s="3">
        <f>IF(D1766="","",IF(V1766=0,"CONCLUÍDO",IF(D1766&lt;corte,"HISTÓRICO",IF(OR(AND(ISNUMBER(R1766),R1766&lt;TODAY()),AND(OR(N1766="PENDENTE",N1766="PARCIAL"),D1766&lt;TODAY()-1)),"CRÍTICO",IF(OR(AND(P1766&lt;&gt;"",S1766=""),AND(N1766="REALIZADO",M1766="PENDENTE"),AND(ISNUMBER(R1766),R1766=TODAY())),"ATENÇÃO",IF(N(K1766)=0,"PENDENTE","EM ANDAMENTO"))))))</f>
        <v/>
      </c>
      <c r="C1766" s="3">
        <f>IF(D1766="","",IF(V1766=0,"🟢 OK",IF(D1766&lt;corte,"⚪ HISTÓRICO (sem baixa)",IF(AND(ISNUMBER(R1766),R1766&lt;TODAY()),"🔴 PRAZO VENCIDO",IF(AND(OR(N1766="PENDENTE",N1766="PARCIAL"),D1766&lt;TODAY()-1),"🔴 EMBARQUE ATRASADO",IF(AND(N1766="REALIZADO",M1766="PENDENTE"),"🟡 EMBARCADO SEM FATURAR",IF(AND(P1766&lt;&gt;"",S1766="",OR(Q1766="",R1766="")),"🟡 PENDÊNCIA SEM RESPONSÁVEL/PRAZO",IF(AND(ISNUMBER(R1766),R1766=TODAY()),"🟡 VENCE HOJE",IF(AND(P1766&lt;&gt;"",S1766=""),"🟡 PENDÊNCIA ABERTA",IF(AND(N(J1766)&gt;0,N(K1766)&lt;J1766),"🟡 FALTA EXECUTAR",IF(OR(M1766="PENDENTE",M1766="PARCIAL"),"🟡 FATURAMENTO PENDENTE","🟡 EMBARQUE PENDENTE")))))))))))</f>
        <v/>
      </c>
      <c r="D1766" s="4" t="n"/>
      <c r="E1766" s="5" t="n"/>
      <c r="F1766" s="5" t="n"/>
      <c r="G1766" s="5" t="n"/>
      <c r="H1766" s="5" t="n"/>
      <c r="I1766" s="5" t="n"/>
      <c r="J1766" s="6" t="n"/>
      <c r="K1766" s="6" t="n"/>
      <c r="L1766" s="7">
        <f>IF(OR(D1766="",N(J1766)=0),"",MIN(1,N(K1766)/J1766))</f>
        <v/>
      </c>
      <c r="M1766" s="5" t="n"/>
      <c r="N1766" s="5" t="n"/>
      <c r="O1766" s="5" t="n"/>
      <c r="P1766" s="5" t="n"/>
      <c r="Q1766" s="5" t="n"/>
      <c r="R1766" s="4" t="n"/>
      <c r="S1766" s="4" t="n"/>
      <c r="T1766" s="5" t="n"/>
      <c r="U1766" s="8">
        <f>IF(AND(V1766=1,D1766&lt;&gt;""),IF(D1766&gt;=corte,TODAY()-D1766,""),"")</f>
        <v/>
      </c>
      <c r="V1766" s="8">
        <f>IF(D1766="",0,IF(OR(AND(P1766&lt;&gt;"",S1766=""),AND(N(J1766)&gt;0,N(K1766)&lt;J1766),OR(M1766="PENDENTE",M1766="PARCIAL"),OR(N1766="PENDENTE",N1766="PARCIAL")),1,0))</f>
        <v/>
      </c>
      <c r="W1766" s="8">
        <f>IF(AND(V1766=1,D1766&lt;&gt;""),IF(D1766&gt;=corte,(B1766="CRÍTICO")*1E9+(100000-D1766)*10000+10000-ROW(),""),"")</f>
        <v/>
      </c>
      <c r="X1766" s="8">
        <f>IF(AND(V1766=1,D1766=pas_data,E1766=pas_turno),10000-ROW(),"")</f>
        <v/>
      </c>
    </row>
    <row r="1767">
      <c r="A1767" s="3">
        <f>IF(D1767="","","TT-"&amp;TEXT(ROW()-1,"00000"))</f>
        <v/>
      </c>
      <c r="B1767" s="3">
        <f>IF(D1767="","",IF(V1767=0,"CONCLUÍDO",IF(D1767&lt;corte,"HISTÓRICO",IF(OR(AND(ISNUMBER(R1767),R1767&lt;TODAY()),AND(OR(N1767="PENDENTE",N1767="PARCIAL"),D1767&lt;TODAY()-1)),"CRÍTICO",IF(OR(AND(P1767&lt;&gt;"",S1767=""),AND(N1767="REALIZADO",M1767="PENDENTE"),AND(ISNUMBER(R1767),R1767=TODAY())),"ATENÇÃO",IF(N(K1767)=0,"PENDENTE","EM ANDAMENTO"))))))</f>
        <v/>
      </c>
      <c r="C1767" s="3">
        <f>IF(D1767="","",IF(V1767=0,"🟢 OK",IF(D1767&lt;corte,"⚪ HISTÓRICO (sem baixa)",IF(AND(ISNUMBER(R1767),R1767&lt;TODAY()),"🔴 PRAZO VENCIDO",IF(AND(OR(N1767="PENDENTE",N1767="PARCIAL"),D1767&lt;TODAY()-1),"🔴 EMBARQUE ATRASADO",IF(AND(N1767="REALIZADO",M1767="PENDENTE"),"🟡 EMBARCADO SEM FATURAR",IF(AND(P1767&lt;&gt;"",S1767="",OR(Q1767="",R1767="")),"🟡 PENDÊNCIA SEM RESPONSÁVEL/PRAZO",IF(AND(ISNUMBER(R1767),R1767=TODAY()),"🟡 VENCE HOJE",IF(AND(P1767&lt;&gt;"",S1767=""),"🟡 PENDÊNCIA ABERTA",IF(AND(N(J1767)&gt;0,N(K1767)&lt;J1767),"🟡 FALTA EXECUTAR",IF(OR(M1767="PENDENTE",M1767="PARCIAL"),"🟡 FATURAMENTO PENDENTE","🟡 EMBARQUE PENDENTE")))))))))))</f>
        <v/>
      </c>
      <c r="D1767" s="4" t="n"/>
      <c r="E1767" s="5" t="n"/>
      <c r="F1767" s="5" t="n"/>
      <c r="G1767" s="5" t="n"/>
      <c r="H1767" s="5" t="n"/>
      <c r="I1767" s="5" t="n"/>
      <c r="J1767" s="6" t="n"/>
      <c r="K1767" s="6" t="n"/>
      <c r="L1767" s="7">
        <f>IF(OR(D1767="",N(J1767)=0),"",MIN(1,N(K1767)/J1767))</f>
        <v/>
      </c>
      <c r="M1767" s="5" t="n"/>
      <c r="N1767" s="5" t="n"/>
      <c r="O1767" s="5" t="n"/>
      <c r="P1767" s="5" t="n"/>
      <c r="Q1767" s="5" t="n"/>
      <c r="R1767" s="4" t="n"/>
      <c r="S1767" s="4" t="n"/>
      <c r="T1767" s="5" t="n"/>
      <c r="U1767" s="8">
        <f>IF(AND(V1767=1,D1767&lt;&gt;""),IF(D1767&gt;=corte,TODAY()-D1767,""),"")</f>
        <v/>
      </c>
      <c r="V1767" s="8">
        <f>IF(D1767="",0,IF(OR(AND(P1767&lt;&gt;"",S1767=""),AND(N(J1767)&gt;0,N(K1767)&lt;J1767),OR(M1767="PENDENTE",M1767="PARCIAL"),OR(N1767="PENDENTE",N1767="PARCIAL")),1,0))</f>
        <v/>
      </c>
      <c r="W1767" s="8">
        <f>IF(AND(V1767=1,D1767&lt;&gt;""),IF(D1767&gt;=corte,(B1767="CRÍTICO")*1E9+(100000-D1767)*10000+10000-ROW(),""),"")</f>
        <v/>
      </c>
      <c r="X1767" s="8">
        <f>IF(AND(V1767=1,D1767=pas_data,E1767=pas_turno),10000-ROW(),"")</f>
        <v/>
      </c>
    </row>
    <row r="1768">
      <c r="A1768" s="3">
        <f>IF(D1768="","","TT-"&amp;TEXT(ROW()-1,"00000"))</f>
        <v/>
      </c>
      <c r="B1768" s="3">
        <f>IF(D1768="","",IF(V1768=0,"CONCLUÍDO",IF(D1768&lt;corte,"HISTÓRICO",IF(OR(AND(ISNUMBER(R1768),R1768&lt;TODAY()),AND(OR(N1768="PENDENTE",N1768="PARCIAL"),D1768&lt;TODAY()-1)),"CRÍTICO",IF(OR(AND(P1768&lt;&gt;"",S1768=""),AND(N1768="REALIZADO",M1768="PENDENTE"),AND(ISNUMBER(R1768),R1768=TODAY())),"ATENÇÃO",IF(N(K1768)=0,"PENDENTE","EM ANDAMENTO"))))))</f>
        <v/>
      </c>
      <c r="C1768" s="3">
        <f>IF(D1768="","",IF(V1768=0,"🟢 OK",IF(D1768&lt;corte,"⚪ HISTÓRICO (sem baixa)",IF(AND(ISNUMBER(R1768),R1768&lt;TODAY()),"🔴 PRAZO VENCIDO",IF(AND(OR(N1768="PENDENTE",N1768="PARCIAL"),D1768&lt;TODAY()-1),"🔴 EMBARQUE ATRASADO",IF(AND(N1768="REALIZADO",M1768="PENDENTE"),"🟡 EMBARCADO SEM FATURAR",IF(AND(P1768&lt;&gt;"",S1768="",OR(Q1768="",R1768="")),"🟡 PENDÊNCIA SEM RESPONSÁVEL/PRAZO",IF(AND(ISNUMBER(R1768),R1768=TODAY()),"🟡 VENCE HOJE",IF(AND(P1768&lt;&gt;"",S1768=""),"🟡 PENDÊNCIA ABERTA",IF(AND(N(J1768)&gt;0,N(K1768)&lt;J1768),"🟡 FALTA EXECUTAR",IF(OR(M1768="PENDENTE",M1768="PARCIAL"),"🟡 FATURAMENTO PENDENTE","🟡 EMBARQUE PENDENTE")))))))))))</f>
        <v/>
      </c>
      <c r="D1768" s="4" t="n"/>
      <c r="E1768" s="5" t="n"/>
      <c r="F1768" s="5" t="n"/>
      <c r="G1768" s="5" t="n"/>
      <c r="H1768" s="5" t="n"/>
      <c r="I1768" s="5" t="n"/>
      <c r="J1768" s="6" t="n"/>
      <c r="K1768" s="6" t="n"/>
      <c r="L1768" s="7">
        <f>IF(OR(D1768="",N(J1768)=0),"",MIN(1,N(K1768)/J1768))</f>
        <v/>
      </c>
      <c r="M1768" s="5" t="n"/>
      <c r="N1768" s="5" t="n"/>
      <c r="O1768" s="5" t="n"/>
      <c r="P1768" s="5" t="n"/>
      <c r="Q1768" s="5" t="n"/>
      <c r="R1768" s="4" t="n"/>
      <c r="S1768" s="4" t="n"/>
      <c r="T1768" s="5" t="n"/>
      <c r="U1768" s="8">
        <f>IF(AND(V1768=1,D1768&lt;&gt;""),IF(D1768&gt;=corte,TODAY()-D1768,""),"")</f>
        <v/>
      </c>
      <c r="V1768" s="8">
        <f>IF(D1768="",0,IF(OR(AND(P1768&lt;&gt;"",S1768=""),AND(N(J1768)&gt;0,N(K1768)&lt;J1768),OR(M1768="PENDENTE",M1768="PARCIAL"),OR(N1768="PENDENTE",N1768="PARCIAL")),1,0))</f>
        <v/>
      </c>
      <c r="W1768" s="8">
        <f>IF(AND(V1768=1,D1768&lt;&gt;""),IF(D1768&gt;=corte,(B1768="CRÍTICO")*1E9+(100000-D1768)*10000+10000-ROW(),""),"")</f>
        <v/>
      </c>
      <c r="X1768" s="8">
        <f>IF(AND(V1768=1,D1768=pas_data,E1768=pas_turno),10000-ROW(),"")</f>
        <v/>
      </c>
    </row>
    <row r="1769">
      <c r="A1769" s="3">
        <f>IF(D1769="","","TT-"&amp;TEXT(ROW()-1,"00000"))</f>
        <v/>
      </c>
      <c r="B1769" s="3">
        <f>IF(D1769="","",IF(V1769=0,"CONCLUÍDO",IF(D1769&lt;corte,"HISTÓRICO",IF(OR(AND(ISNUMBER(R1769),R1769&lt;TODAY()),AND(OR(N1769="PENDENTE",N1769="PARCIAL"),D1769&lt;TODAY()-1)),"CRÍTICO",IF(OR(AND(P1769&lt;&gt;"",S1769=""),AND(N1769="REALIZADO",M1769="PENDENTE"),AND(ISNUMBER(R1769),R1769=TODAY())),"ATENÇÃO",IF(N(K1769)=0,"PENDENTE","EM ANDAMENTO"))))))</f>
        <v/>
      </c>
      <c r="C1769" s="3">
        <f>IF(D1769="","",IF(V1769=0,"🟢 OK",IF(D1769&lt;corte,"⚪ HISTÓRICO (sem baixa)",IF(AND(ISNUMBER(R1769),R1769&lt;TODAY()),"🔴 PRAZO VENCIDO",IF(AND(OR(N1769="PENDENTE",N1769="PARCIAL"),D1769&lt;TODAY()-1),"🔴 EMBARQUE ATRASADO",IF(AND(N1769="REALIZADO",M1769="PENDENTE"),"🟡 EMBARCADO SEM FATURAR",IF(AND(P1769&lt;&gt;"",S1769="",OR(Q1769="",R1769="")),"🟡 PENDÊNCIA SEM RESPONSÁVEL/PRAZO",IF(AND(ISNUMBER(R1769),R1769=TODAY()),"🟡 VENCE HOJE",IF(AND(P1769&lt;&gt;"",S1769=""),"🟡 PENDÊNCIA ABERTA",IF(AND(N(J1769)&gt;0,N(K1769)&lt;J1769),"🟡 FALTA EXECUTAR",IF(OR(M1769="PENDENTE",M1769="PARCIAL"),"🟡 FATURAMENTO PENDENTE","🟡 EMBARQUE PENDENTE")))))))))))</f>
        <v/>
      </c>
      <c r="D1769" s="4" t="n"/>
      <c r="E1769" s="5" t="n"/>
      <c r="F1769" s="5" t="n"/>
      <c r="G1769" s="5" t="n"/>
      <c r="H1769" s="5" t="n"/>
      <c r="I1769" s="5" t="n"/>
      <c r="J1769" s="6" t="n"/>
      <c r="K1769" s="6" t="n"/>
      <c r="L1769" s="7">
        <f>IF(OR(D1769="",N(J1769)=0),"",MIN(1,N(K1769)/J1769))</f>
        <v/>
      </c>
      <c r="M1769" s="5" t="n"/>
      <c r="N1769" s="5" t="n"/>
      <c r="O1769" s="5" t="n"/>
      <c r="P1769" s="5" t="n"/>
      <c r="Q1769" s="5" t="n"/>
      <c r="R1769" s="4" t="n"/>
      <c r="S1769" s="4" t="n"/>
      <c r="T1769" s="5" t="n"/>
      <c r="U1769" s="8">
        <f>IF(AND(V1769=1,D1769&lt;&gt;""),IF(D1769&gt;=corte,TODAY()-D1769,""),"")</f>
        <v/>
      </c>
      <c r="V1769" s="8">
        <f>IF(D1769="",0,IF(OR(AND(P1769&lt;&gt;"",S1769=""),AND(N(J1769)&gt;0,N(K1769)&lt;J1769),OR(M1769="PENDENTE",M1769="PARCIAL"),OR(N1769="PENDENTE",N1769="PARCIAL")),1,0))</f>
        <v/>
      </c>
      <c r="W1769" s="8">
        <f>IF(AND(V1769=1,D1769&lt;&gt;""),IF(D1769&gt;=corte,(B1769="CRÍTICO")*1E9+(100000-D1769)*10000+10000-ROW(),""),"")</f>
        <v/>
      </c>
      <c r="X1769" s="8">
        <f>IF(AND(V1769=1,D1769=pas_data,E1769=pas_turno),10000-ROW(),"")</f>
        <v/>
      </c>
    </row>
    <row r="1770">
      <c r="A1770" s="3">
        <f>IF(D1770="","","TT-"&amp;TEXT(ROW()-1,"00000"))</f>
        <v/>
      </c>
      <c r="B1770" s="3">
        <f>IF(D1770="","",IF(V1770=0,"CONCLUÍDO",IF(D1770&lt;corte,"HISTÓRICO",IF(OR(AND(ISNUMBER(R1770),R1770&lt;TODAY()),AND(OR(N1770="PENDENTE",N1770="PARCIAL"),D1770&lt;TODAY()-1)),"CRÍTICO",IF(OR(AND(P1770&lt;&gt;"",S1770=""),AND(N1770="REALIZADO",M1770="PENDENTE"),AND(ISNUMBER(R1770),R1770=TODAY())),"ATENÇÃO",IF(N(K1770)=0,"PENDENTE","EM ANDAMENTO"))))))</f>
        <v/>
      </c>
      <c r="C1770" s="3">
        <f>IF(D1770="","",IF(V1770=0,"🟢 OK",IF(D1770&lt;corte,"⚪ HISTÓRICO (sem baixa)",IF(AND(ISNUMBER(R1770),R1770&lt;TODAY()),"🔴 PRAZO VENCIDO",IF(AND(OR(N1770="PENDENTE",N1770="PARCIAL"),D1770&lt;TODAY()-1),"🔴 EMBARQUE ATRASADO",IF(AND(N1770="REALIZADO",M1770="PENDENTE"),"🟡 EMBARCADO SEM FATURAR",IF(AND(P1770&lt;&gt;"",S1770="",OR(Q1770="",R1770="")),"🟡 PENDÊNCIA SEM RESPONSÁVEL/PRAZO",IF(AND(ISNUMBER(R1770),R1770=TODAY()),"🟡 VENCE HOJE",IF(AND(P1770&lt;&gt;"",S1770=""),"🟡 PENDÊNCIA ABERTA",IF(AND(N(J1770)&gt;0,N(K1770)&lt;J1770),"🟡 FALTA EXECUTAR",IF(OR(M1770="PENDENTE",M1770="PARCIAL"),"🟡 FATURAMENTO PENDENTE","🟡 EMBARQUE PENDENTE")))))))))))</f>
        <v/>
      </c>
      <c r="D1770" s="4" t="n"/>
      <c r="E1770" s="5" t="n"/>
      <c r="F1770" s="5" t="n"/>
      <c r="G1770" s="5" t="n"/>
      <c r="H1770" s="5" t="n"/>
      <c r="I1770" s="5" t="n"/>
      <c r="J1770" s="6" t="n"/>
      <c r="K1770" s="6" t="n"/>
      <c r="L1770" s="7">
        <f>IF(OR(D1770="",N(J1770)=0),"",MIN(1,N(K1770)/J1770))</f>
        <v/>
      </c>
      <c r="M1770" s="5" t="n"/>
      <c r="N1770" s="5" t="n"/>
      <c r="O1770" s="5" t="n"/>
      <c r="P1770" s="5" t="n"/>
      <c r="Q1770" s="5" t="n"/>
      <c r="R1770" s="4" t="n"/>
      <c r="S1770" s="4" t="n"/>
      <c r="T1770" s="5" t="n"/>
      <c r="U1770" s="8">
        <f>IF(AND(V1770=1,D1770&lt;&gt;""),IF(D1770&gt;=corte,TODAY()-D1770,""),"")</f>
        <v/>
      </c>
      <c r="V1770" s="8">
        <f>IF(D1770="",0,IF(OR(AND(P1770&lt;&gt;"",S1770=""),AND(N(J1770)&gt;0,N(K1770)&lt;J1770),OR(M1770="PENDENTE",M1770="PARCIAL"),OR(N1770="PENDENTE",N1770="PARCIAL")),1,0))</f>
        <v/>
      </c>
      <c r="W1770" s="8">
        <f>IF(AND(V1770=1,D1770&lt;&gt;""),IF(D1770&gt;=corte,(B1770="CRÍTICO")*1E9+(100000-D1770)*10000+10000-ROW(),""),"")</f>
        <v/>
      </c>
      <c r="X1770" s="8">
        <f>IF(AND(V1770=1,D1770=pas_data,E1770=pas_turno),10000-ROW(),"")</f>
        <v/>
      </c>
    </row>
    <row r="1771">
      <c r="A1771" s="3">
        <f>IF(D1771="","","TT-"&amp;TEXT(ROW()-1,"00000"))</f>
        <v/>
      </c>
      <c r="B1771" s="3">
        <f>IF(D1771="","",IF(V1771=0,"CONCLUÍDO",IF(D1771&lt;corte,"HISTÓRICO",IF(OR(AND(ISNUMBER(R1771),R1771&lt;TODAY()),AND(OR(N1771="PENDENTE",N1771="PARCIAL"),D1771&lt;TODAY()-1)),"CRÍTICO",IF(OR(AND(P1771&lt;&gt;"",S1771=""),AND(N1771="REALIZADO",M1771="PENDENTE"),AND(ISNUMBER(R1771),R1771=TODAY())),"ATENÇÃO",IF(N(K1771)=0,"PENDENTE","EM ANDAMENTO"))))))</f>
        <v/>
      </c>
      <c r="C1771" s="3">
        <f>IF(D1771="","",IF(V1771=0,"🟢 OK",IF(D1771&lt;corte,"⚪ HISTÓRICO (sem baixa)",IF(AND(ISNUMBER(R1771),R1771&lt;TODAY()),"🔴 PRAZO VENCIDO",IF(AND(OR(N1771="PENDENTE",N1771="PARCIAL"),D1771&lt;TODAY()-1),"🔴 EMBARQUE ATRASADO",IF(AND(N1771="REALIZADO",M1771="PENDENTE"),"🟡 EMBARCADO SEM FATURAR",IF(AND(P1771&lt;&gt;"",S1771="",OR(Q1771="",R1771="")),"🟡 PENDÊNCIA SEM RESPONSÁVEL/PRAZO",IF(AND(ISNUMBER(R1771),R1771=TODAY()),"🟡 VENCE HOJE",IF(AND(P1771&lt;&gt;"",S1771=""),"🟡 PENDÊNCIA ABERTA",IF(AND(N(J1771)&gt;0,N(K1771)&lt;J1771),"🟡 FALTA EXECUTAR",IF(OR(M1771="PENDENTE",M1771="PARCIAL"),"🟡 FATURAMENTO PENDENTE","🟡 EMBARQUE PENDENTE")))))))))))</f>
        <v/>
      </c>
      <c r="D1771" s="4" t="n"/>
      <c r="E1771" s="5" t="n"/>
      <c r="F1771" s="5" t="n"/>
      <c r="G1771" s="5" t="n"/>
      <c r="H1771" s="5" t="n"/>
      <c r="I1771" s="5" t="n"/>
      <c r="J1771" s="6" t="n"/>
      <c r="K1771" s="6" t="n"/>
      <c r="L1771" s="7">
        <f>IF(OR(D1771="",N(J1771)=0),"",MIN(1,N(K1771)/J1771))</f>
        <v/>
      </c>
      <c r="M1771" s="5" t="n"/>
      <c r="N1771" s="5" t="n"/>
      <c r="O1771" s="5" t="n"/>
      <c r="P1771" s="5" t="n"/>
      <c r="Q1771" s="5" t="n"/>
      <c r="R1771" s="4" t="n"/>
      <c r="S1771" s="4" t="n"/>
      <c r="T1771" s="5" t="n"/>
      <c r="U1771" s="8">
        <f>IF(AND(V1771=1,D1771&lt;&gt;""),IF(D1771&gt;=corte,TODAY()-D1771,""),"")</f>
        <v/>
      </c>
      <c r="V1771" s="8">
        <f>IF(D1771="",0,IF(OR(AND(P1771&lt;&gt;"",S1771=""),AND(N(J1771)&gt;0,N(K1771)&lt;J1771),OR(M1771="PENDENTE",M1771="PARCIAL"),OR(N1771="PENDENTE",N1771="PARCIAL")),1,0))</f>
        <v/>
      </c>
      <c r="W1771" s="8">
        <f>IF(AND(V1771=1,D1771&lt;&gt;""),IF(D1771&gt;=corte,(B1771="CRÍTICO")*1E9+(100000-D1771)*10000+10000-ROW(),""),"")</f>
        <v/>
      </c>
      <c r="X1771" s="8">
        <f>IF(AND(V1771=1,D1771=pas_data,E1771=pas_turno),10000-ROW(),"")</f>
        <v/>
      </c>
    </row>
    <row r="1772">
      <c r="A1772" s="3">
        <f>IF(D1772="","","TT-"&amp;TEXT(ROW()-1,"00000"))</f>
        <v/>
      </c>
      <c r="B1772" s="3">
        <f>IF(D1772="","",IF(V1772=0,"CONCLUÍDO",IF(D1772&lt;corte,"HISTÓRICO",IF(OR(AND(ISNUMBER(R1772),R1772&lt;TODAY()),AND(OR(N1772="PENDENTE",N1772="PARCIAL"),D1772&lt;TODAY()-1)),"CRÍTICO",IF(OR(AND(P1772&lt;&gt;"",S1772=""),AND(N1772="REALIZADO",M1772="PENDENTE"),AND(ISNUMBER(R1772),R1772=TODAY())),"ATENÇÃO",IF(N(K1772)=0,"PENDENTE","EM ANDAMENTO"))))))</f>
        <v/>
      </c>
      <c r="C1772" s="3">
        <f>IF(D1772="","",IF(V1772=0,"🟢 OK",IF(D1772&lt;corte,"⚪ HISTÓRICO (sem baixa)",IF(AND(ISNUMBER(R1772),R1772&lt;TODAY()),"🔴 PRAZO VENCIDO",IF(AND(OR(N1772="PENDENTE",N1772="PARCIAL"),D1772&lt;TODAY()-1),"🔴 EMBARQUE ATRASADO",IF(AND(N1772="REALIZADO",M1772="PENDENTE"),"🟡 EMBARCADO SEM FATURAR",IF(AND(P1772&lt;&gt;"",S1772="",OR(Q1772="",R1772="")),"🟡 PENDÊNCIA SEM RESPONSÁVEL/PRAZO",IF(AND(ISNUMBER(R1772),R1772=TODAY()),"🟡 VENCE HOJE",IF(AND(P1772&lt;&gt;"",S1772=""),"🟡 PENDÊNCIA ABERTA",IF(AND(N(J1772)&gt;0,N(K1772)&lt;J1772),"🟡 FALTA EXECUTAR",IF(OR(M1772="PENDENTE",M1772="PARCIAL"),"🟡 FATURAMENTO PENDENTE","🟡 EMBARQUE PENDENTE")))))))))))</f>
        <v/>
      </c>
      <c r="D1772" s="4" t="n"/>
      <c r="E1772" s="5" t="n"/>
      <c r="F1772" s="5" t="n"/>
      <c r="G1772" s="5" t="n"/>
      <c r="H1772" s="5" t="n"/>
      <c r="I1772" s="5" t="n"/>
      <c r="J1772" s="6" t="n"/>
      <c r="K1772" s="6" t="n"/>
      <c r="L1772" s="7">
        <f>IF(OR(D1772="",N(J1772)=0),"",MIN(1,N(K1772)/J1772))</f>
        <v/>
      </c>
      <c r="M1772" s="5" t="n"/>
      <c r="N1772" s="5" t="n"/>
      <c r="O1772" s="5" t="n"/>
      <c r="P1772" s="5" t="n"/>
      <c r="Q1772" s="5" t="n"/>
      <c r="R1772" s="4" t="n"/>
      <c r="S1772" s="4" t="n"/>
      <c r="T1772" s="5" t="n"/>
      <c r="U1772" s="8">
        <f>IF(AND(V1772=1,D1772&lt;&gt;""),IF(D1772&gt;=corte,TODAY()-D1772,""),"")</f>
        <v/>
      </c>
      <c r="V1772" s="8">
        <f>IF(D1772="",0,IF(OR(AND(P1772&lt;&gt;"",S1772=""),AND(N(J1772)&gt;0,N(K1772)&lt;J1772),OR(M1772="PENDENTE",M1772="PARCIAL"),OR(N1772="PENDENTE",N1772="PARCIAL")),1,0))</f>
        <v/>
      </c>
      <c r="W1772" s="8">
        <f>IF(AND(V1772=1,D1772&lt;&gt;""),IF(D1772&gt;=corte,(B1772="CRÍTICO")*1E9+(100000-D1772)*10000+10000-ROW(),""),"")</f>
        <v/>
      </c>
      <c r="X1772" s="8">
        <f>IF(AND(V1772=1,D1772=pas_data,E1772=pas_turno),10000-ROW(),"")</f>
        <v/>
      </c>
    </row>
    <row r="1773">
      <c r="A1773" s="3">
        <f>IF(D1773="","","TT-"&amp;TEXT(ROW()-1,"00000"))</f>
        <v/>
      </c>
      <c r="B1773" s="3">
        <f>IF(D1773="","",IF(V1773=0,"CONCLUÍDO",IF(D1773&lt;corte,"HISTÓRICO",IF(OR(AND(ISNUMBER(R1773),R1773&lt;TODAY()),AND(OR(N1773="PENDENTE",N1773="PARCIAL"),D1773&lt;TODAY()-1)),"CRÍTICO",IF(OR(AND(P1773&lt;&gt;"",S1773=""),AND(N1773="REALIZADO",M1773="PENDENTE"),AND(ISNUMBER(R1773),R1773=TODAY())),"ATENÇÃO",IF(N(K1773)=0,"PENDENTE","EM ANDAMENTO"))))))</f>
        <v/>
      </c>
      <c r="C1773" s="3">
        <f>IF(D1773="","",IF(V1773=0,"🟢 OK",IF(D1773&lt;corte,"⚪ HISTÓRICO (sem baixa)",IF(AND(ISNUMBER(R1773),R1773&lt;TODAY()),"🔴 PRAZO VENCIDO",IF(AND(OR(N1773="PENDENTE",N1773="PARCIAL"),D1773&lt;TODAY()-1),"🔴 EMBARQUE ATRASADO",IF(AND(N1773="REALIZADO",M1773="PENDENTE"),"🟡 EMBARCADO SEM FATURAR",IF(AND(P1773&lt;&gt;"",S1773="",OR(Q1773="",R1773="")),"🟡 PENDÊNCIA SEM RESPONSÁVEL/PRAZO",IF(AND(ISNUMBER(R1773),R1773=TODAY()),"🟡 VENCE HOJE",IF(AND(P1773&lt;&gt;"",S1773=""),"🟡 PENDÊNCIA ABERTA",IF(AND(N(J1773)&gt;0,N(K1773)&lt;J1773),"🟡 FALTA EXECUTAR",IF(OR(M1773="PENDENTE",M1773="PARCIAL"),"🟡 FATURAMENTO PENDENTE","🟡 EMBARQUE PENDENTE")))))))))))</f>
        <v/>
      </c>
      <c r="D1773" s="4" t="n"/>
      <c r="E1773" s="5" t="n"/>
      <c r="F1773" s="5" t="n"/>
      <c r="G1773" s="5" t="n"/>
      <c r="H1773" s="5" t="n"/>
      <c r="I1773" s="5" t="n"/>
      <c r="J1773" s="6" t="n"/>
      <c r="K1773" s="6" t="n"/>
      <c r="L1773" s="7">
        <f>IF(OR(D1773="",N(J1773)=0),"",MIN(1,N(K1773)/J1773))</f>
        <v/>
      </c>
      <c r="M1773" s="5" t="n"/>
      <c r="N1773" s="5" t="n"/>
      <c r="O1773" s="5" t="n"/>
      <c r="P1773" s="5" t="n"/>
      <c r="Q1773" s="5" t="n"/>
      <c r="R1773" s="4" t="n"/>
      <c r="S1773" s="4" t="n"/>
      <c r="T1773" s="5" t="n"/>
      <c r="U1773" s="8">
        <f>IF(AND(V1773=1,D1773&lt;&gt;""),IF(D1773&gt;=corte,TODAY()-D1773,""),"")</f>
        <v/>
      </c>
      <c r="V1773" s="8">
        <f>IF(D1773="",0,IF(OR(AND(P1773&lt;&gt;"",S1773=""),AND(N(J1773)&gt;0,N(K1773)&lt;J1773),OR(M1773="PENDENTE",M1773="PARCIAL"),OR(N1773="PENDENTE",N1773="PARCIAL")),1,0))</f>
        <v/>
      </c>
      <c r="W1773" s="8">
        <f>IF(AND(V1773=1,D1773&lt;&gt;""),IF(D1773&gt;=corte,(B1773="CRÍTICO")*1E9+(100000-D1773)*10000+10000-ROW(),""),"")</f>
        <v/>
      </c>
      <c r="X1773" s="8">
        <f>IF(AND(V1773=1,D1773=pas_data,E1773=pas_turno),10000-ROW(),"")</f>
        <v/>
      </c>
    </row>
    <row r="1774">
      <c r="A1774" s="3">
        <f>IF(D1774="","","TT-"&amp;TEXT(ROW()-1,"00000"))</f>
        <v/>
      </c>
      <c r="B1774" s="3">
        <f>IF(D1774="","",IF(V1774=0,"CONCLUÍDO",IF(D1774&lt;corte,"HISTÓRICO",IF(OR(AND(ISNUMBER(R1774),R1774&lt;TODAY()),AND(OR(N1774="PENDENTE",N1774="PARCIAL"),D1774&lt;TODAY()-1)),"CRÍTICO",IF(OR(AND(P1774&lt;&gt;"",S1774=""),AND(N1774="REALIZADO",M1774="PENDENTE"),AND(ISNUMBER(R1774),R1774=TODAY())),"ATENÇÃO",IF(N(K1774)=0,"PENDENTE","EM ANDAMENTO"))))))</f>
        <v/>
      </c>
      <c r="C1774" s="3">
        <f>IF(D1774="","",IF(V1774=0,"🟢 OK",IF(D1774&lt;corte,"⚪ HISTÓRICO (sem baixa)",IF(AND(ISNUMBER(R1774),R1774&lt;TODAY()),"🔴 PRAZO VENCIDO",IF(AND(OR(N1774="PENDENTE",N1774="PARCIAL"),D1774&lt;TODAY()-1),"🔴 EMBARQUE ATRASADO",IF(AND(N1774="REALIZADO",M1774="PENDENTE"),"🟡 EMBARCADO SEM FATURAR",IF(AND(P1774&lt;&gt;"",S1774="",OR(Q1774="",R1774="")),"🟡 PENDÊNCIA SEM RESPONSÁVEL/PRAZO",IF(AND(ISNUMBER(R1774),R1774=TODAY()),"🟡 VENCE HOJE",IF(AND(P1774&lt;&gt;"",S1774=""),"🟡 PENDÊNCIA ABERTA",IF(AND(N(J1774)&gt;0,N(K1774)&lt;J1774),"🟡 FALTA EXECUTAR",IF(OR(M1774="PENDENTE",M1774="PARCIAL"),"🟡 FATURAMENTO PENDENTE","🟡 EMBARQUE PENDENTE")))))))))))</f>
        <v/>
      </c>
      <c r="D1774" s="4" t="n"/>
      <c r="E1774" s="5" t="n"/>
      <c r="F1774" s="5" t="n"/>
      <c r="G1774" s="5" t="n"/>
      <c r="H1774" s="5" t="n"/>
      <c r="I1774" s="5" t="n"/>
      <c r="J1774" s="6" t="n"/>
      <c r="K1774" s="6" t="n"/>
      <c r="L1774" s="7">
        <f>IF(OR(D1774="",N(J1774)=0),"",MIN(1,N(K1774)/J1774))</f>
        <v/>
      </c>
      <c r="M1774" s="5" t="n"/>
      <c r="N1774" s="5" t="n"/>
      <c r="O1774" s="5" t="n"/>
      <c r="P1774" s="5" t="n"/>
      <c r="Q1774" s="5" t="n"/>
      <c r="R1774" s="4" t="n"/>
      <c r="S1774" s="4" t="n"/>
      <c r="T1774" s="5" t="n"/>
      <c r="U1774" s="8">
        <f>IF(AND(V1774=1,D1774&lt;&gt;""),IF(D1774&gt;=corte,TODAY()-D1774,""),"")</f>
        <v/>
      </c>
      <c r="V1774" s="8">
        <f>IF(D1774="",0,IF(OR(AND(P1774&lt;&gt;"",S1774=""),AND(N(J1774)&gt;0,N(K1774)&lt;J1774),OR(M1774="PENDENTE",M1774="PARCIAL"),OR(N1774="PENDENTE",N1774="PARCIAL")),1,0))</f>
        <v/>
      </c>
      <c r="W1774" s="8">
        <f>IF(AND(V1774=1,D1774&lt;&gt;""),IF(D1774&gt;=corte,(B1774="CRÍTICO")*1E9+(100000-D1774)*10000+10000-ROW(),""),"")</f>
        <v/>
      </c>
      <c r="X1774" s="8">
        <f>IF(AND(V1774=1,D1774=pas_data,E1774=pas_turno),10000-ROW(),"")</f>
        <v/>
      </c>
    </row>
    <row r="1775">
      <c r="A1775" s="3">
        <f>IF(D1775="","","TT-"&amp;TEXT(ROW()-1,"00000"))</f>
        <v/>
      </c>
      <c r="B1775" s="3">
        <f>IF(D1775="","",IF(V1775=0,"CONCLUÍDO",IF(D1775&lt;corte,"HISTÓRICO",IF(OR(AND(ISNUMBER(R1775),R1775&lt;TODAY()),AND(OR(N1775="PENDENTE",N1775="PARCIAL"),D1775&lt;TODAY()-1)),"CRÍTICO",IF(OR(AND(P1775&lt;&gt;"",S1775=""),AND(N1775="REALIZADO",M1775="PENDENTE"),AND(ISNUMBER(R1775),R1775=TODAY())),"ATENÇÃO",IF(N(K1775)=0,"PENDENTE","EM ANDAMENTO"))))))</f>
        <v/>
      </c>
      <c r="C1775" s="3">
        <f>IF(D1775="","",IF(V1775=0,"🟢 OK",IF(D1775&lt;corte,"⚪ HISTÓRICO (sem baixa)",IF(AND(ISNUMBER(R1775),R1775&lt;TODAY()),"🔴 PRAZO VENCIDO",IF(AND(OR(N1775="PENDENTE",N1775="PARCIAL"),D1775&lt;TODAY()-1),"🔴 EMBARQUE ATRASADO",IF(AND(N1775="REALIZADO",M1775="PENDENTE"),"🟡 EMBARCADO SEM FATURAR",IF(AND(P1775&lt;&gt;"",S1775="",OR(Q1775="",R1775="")),"🟡 PENDÊNCIA SEM RESPONSÁVEL/PRAZO",IF(AND(ISNUMBER(R1775),R1775=TODAY()),"🟡 VENCE HOJE",IF(AND(P1775&lt;&gt;"",S1775=""),"🟡 PENDÊNCIA ABERTA",IF(AND(N(J1775)&gt;0,N(K1775)&lt;J1775),"🟡 FALTA EXECUTAR",IF(OR(M1775="PENDENTE",M1775="PARCIAL"),"🟡 FATURAMENTO PENDENTE","🟡 EMBARQUE PENDENTE")))))))))))</f>
        <v/>
      </c>
      <c r="D1775" s="4" t="n"/>
      <c r="E1775" s="5" t="n"/>
      <c r="F1775" s="5" t="n"/>
      <c r="G1775" s="5" t="n"/>
      <c r="H1775" s="5" t="n"/>
      <c r="I1775" s="5" t="n"/>
      <c r="J1775" s="6" t="n"/>
      <c r="K1775" s="6" t="n"/>
      <c r="L1775" s="7">
        <f>IF(OR(D1775="",N(J1775)=0),"",MIN(1,N(K1775)/J1775))</f>
        <v/>
      </c>
      <c r="M1775" s="5" t="n"/>
      <c r="N1775" s="5" t="n"/>
      <c r="O1775" s="5" t="n"/>
      <c r="P1775" s="5" t="n"/>
      <c r="Q1775" s="5" t="n"/>
      <c r="R1775" s="4" t="n"/>
      <c r="S1775" s="4" t="n"/>
      <c r="T1775" s="5" t="n"/>
      <c r="U1775" s="8">
        <f>IF(AND(V1775=1,D1775&lt;&gt;""),IF(D1775&gt;=corte,TODAY()-D1775,""),"")</f>
        <v/>
      </c>
      <c r="V1775" s="8">
        <f>IF(D1775="",0,IF(OR(AND(P1775&lt;&gt;"",S1775=""),AND(N(J1775)&gt;0,N(K1775)&lt;J1775),OR(M1775="PENDENTE",M1775="PARCIAL"),OR(N1775="PENDENTE",N1775="PARCIAL")),1,0))</f>
        <v/>
      </c>
      <c r="W1775" s="8">
        <f>IF(AND(V1775=1,D1775&lt;&gt;""),IF(D1775&gt;=corte,(B1775="CRÍTICO")*1E9+(100000-D1775)*10000+10000-ROW(),""),"")</f>
        <v/>
      </c>
      <c r="X1775" s="8">
        <f>IF(AND(V1775=1,D1775=pas_data,E1775=pas_turno),10000-ROW(),"")</f>
        <v/>
      </c>
    </row>
    <row r="1776">
      <c r="A1776" s="3">
        <f>IF(D1776="","","TT-"&amp;TEXT(ROW()-1,"00000"))</f>
        <v/>
      </c>
      <c r="B1776" s="3">
        <f>IF(D1776="","",IF(V1776=0,"CONCLUÍDO",IF(D1776&lt;corte,"HISTÓRICO",IF(OR(AND(ISNUMBER(R1776),R1776&lt;TODAY()),AND(OR(N1776="PENDENTE",N1776="PARCIAL"),D1776&lt;TODAY()-1)),"CRÍTICO",IF(OR(AND(P1776&lt;&gt;"",S1776=""),AND(N1776="REALIZADO",M1776="PENDENTE"),AND(ISNUMBER(R1776),R1776=TODAY())),"ATENÇÃO",IF(N(K1776)=0,"PENDENTE","EM ANDAMENTO"))))))</f>
        <v/>
      </c>
      <c r="C1776" s="3">
        <f>IF(D1776="","",IF(V1776=0,"🟢 OK",IF(D1776&lt;corte,"⚪ HISTÓRICO (sem baixa)",IF(AND(ISNUMBER(R1776),R1776&lt;TODAY()),"🔴 PRAZO VENCIDO",IF(AND(OR(N1776="PENDENTE",N1776="PARCIAL"),D1776&lt;TODAY()-1),"🔴 EMBARQUE ATRASADO",IF(AND(N1776="REALIZADO",M1776="PENDENTE"),"🟡 EMBARCADO SEM FATURAR",IF(AND(P1776&lt;&gt;"",S1776="",OR(Q1776="",R1776="")),"🟡 PENDÊNCIA SEM RESPONSÁVEL/PRAZO",IF(AND(ISNUMBER(R1776),R1776=TODAY()),"🟡 VENCE HOJE",IF(AND(P1776&lt;&gt;"",S1776=""),"🟡 PENDÊNCIA ABERTA",IF(AND(N(J1776)&gt;0,N(K1776)&lt;J1776),"🟡 FALTA EXECUTAR",IF(OR(M1776="PENDENTE",M1776="PARCIAL"),"🟡 FATURAMENTO PENDENTE","🟡 EMBARQUE PENDENTE")))))))))))</f>
        <v/>
      </c>
      <c r="D1776" s="4" t="n"/>
      <c r="E1776" s="5" t="n"/>
      <c r="F1776" s="5" t="n"/>
      <c r="G1776" s="5" t="n"/>
      <c r="H1776" s="5" t="n"/>
      <c r="I1776" s="5" t="n"/>
      <c r="J1776" s="6" t="n"/>
      <c r="K1776" s="6" t="n"/>
      <c r="L1776" s="7">
        <f>IF(OR(D1776="",N(J1776)=0),"",MIN(1,N(K1776)/J1776))</f>
        <v/>
      </c>
      <c r="M1776" s="5" t="n"/>
      <c r="N1776" s="5" t="n"/>
      <c r="O1776" s="5" t="n"/>
      <c r="P1776" s="5" t="n"/>
      <c r="Q1776" s="5" t="n"/>
      <c r="R1776" s="4" t="n"/>
      <c r="S1776" s="4" t="n"/>
      <c r="T1776" s="5" t="n"/>
      <c r="U1776" s="8">
        <f>IF(AND(V1776=1,D1776&lt;&gt;""),IF(D1776&gt;=corte,TODAY()-D1776,""),"")</f>
        <v/>
      </c>
      <c r="V1776" s="8">
        <f>IF(D1776="",0,IF(OR(AND(P1776&lt;&gt;"",S1776=""),AND(N(J1776)&gt;0,N(K1776)&lt;J1776),OR(M1776="PENDENTE",M1776="PARCIAL"),OR(N1776="PENDENTE",N1776="PARCIAL")),1,0))</f>
        <v/>
      </c>
      <c r="W1776" s="8">
        <f>IF(AND(V1776=1,D1776&lt;&gt;""),IF(D1776&gt;=corte,(B1776="CRÍTICO")*1E9+(100000-D1776)*10000+10000-ROW(),""),"")</f>
        <v/>
      </c>
      <c r="X1776" s="8">
        <f>IF(AND(V1776=1,D1776=pas_data,E1776=pas_turno),10000-ROW(),"")</f>
        <v/>
      </c>
    </row>
    <row r="1777">
      <c r="A1777" s="3">
        <f>IF(D1777="","","TT-"&amp;TEXT(ROW()-1,"00000"))</f>
        <v/>
      </c>
      <c r="B1777" s="3">
        <f>IF(D1777="","",IF(V1777=0,"CONCLUÍDO",IF(D1777&lt;corte,"HISTÓRICO",IF(OR(AND(ISNUMBER(R1777),R1777&lt;TODAY()),AND(OR(N1777="PENDENTE",N1777="PARCIAL"),D1777&lt;TODAY()-1)),"CRÍTICO",IF(OR(AND(P1777&lt;&gt;"",S1777=""),AND(N1777="REALIZADO",M1777="PENDENTE"),AND(ISNUMBER(R1777),R1777=TODAY())),"ATENÇÃO",IF(N(K1777)=0,"PENDENTE","EM ANDAMENTO"))))))</f>
        <v/>
      </c>
      <c r="C1777" s="3">
        <f>IF(D1777="","",IF(V1777=0,"🟢 OK",IF(D1777&lt;corte,"⚪ HISTÓRICO (sem baixa)",IF(AND(ISNUMBER(R1777),R1777&lt;TODAY()),"🔴 PRAZO VENCIDO",IF(AND(OR(N1777="PENDENTE",N1777="PARCIAL"),D1777&lt;TODAY()-1),"🔴 EMBARQUE ATRASADO",IF(AND(N1777="REALIZADO",M1777="PENDENTE"),"🟡 EMBARCADO SEM FATURAR",IF(AND(P1777&lt;&gt;"",S1777="",OR(Q1777="",R1777="")),"🟡 PENDÊNCIA SEM RESPONSÁVEL/PRAZO",IF(AND(ISNUMBER(R1777),R1777=TODAY()),"🟡 VENCE HOJE",IF(AND(P1777&lt;&gt;"",S1777=""),"🟡 PENDÊNCIA ABERTA",IF(AND(N(J1777)&gt;0,N(K1777)&lt;J1777),"🟡 FALTA EXECUTAR",IF(OR(M1777="PENDENTE",M1777="PARCIAL"),"🟡 FATURAMENTO PENDENTE","🟡 EMBARQUE PENDENTE")))))))))))</f>
        <v/>
      </c>
      <c r="D1777" s="4" t="n"/>
      <c r="E1777" s="5" t="n"/>
      <c r="F1777" s="5" t="n"/>
      <c r="G1777" s="5" t="n"/>
      <c r="H1777" s="5" t="n"/>
      <c r="I1777" s="5" t="n"/>
      <c r="J1777" s="6" t="n"/>
      <c r="K1777" s="6" t="n"/>
      <c r="L1777" s="7">
        <f>IF(OR(D1777="",N(J1777)=0),"",MIN(1,N(K1777)/J1777))</f>
        <v/>
      </c>
      <c r="M1777" s="5" t="n"/>
      <c r="N1777" s="5" t="n"/>
      <c r="O1777" s="5" t="n"/>
      <c r="P1777" s="5" t="n"/>
      <c r="Q1777" s="5" t="n"/>
      <c r="R1777" s="4" t="n"/>
      <c r="S1777" s="4" t="n"/>
      <c r="T1777" s="5" t="n"/>
      <c r="U1777" s="8">
        <f>IF(AND(V1777=1,D1777&lt;&gt;""),IF(D1777&gt;=corte,TODAY()-D1777,""),"")</f>
        <v/>
      </c>
      <c r="V1777" s="8">
        <f>IF(D1777="",0,IF(OR(AND(P1777&lt;&gt;"",S1777=""),AND(N(J1777)&gt;0,N(K1777)&lt;J1777),OR(M1777="PENDENTE",M1777="PARCIAL"),OR(N1777="PENDENTE",N1777="PARCIAL")),1,0))</f>
        <v/>
      </c>
      <c r="W1777" s="8">
        <f>IF(AND(V1777=1,D1777&lt;&gt;""),IF(D1777&gt;=corte,(B1777="CRÍTICO")*1E9+(100000-D1777)*10000+10000-ROW(),""),"")</f>
        <v/>
      </c>
      <c r="X1777" s="8">
        <f>IF(AND(V1777=1,D1777=pas_data,E1777=pas_turno),10000-ROW(),"")</f>
        <v/>
      </c>
    </row>
    <row r="1778">
      <c r="A1778" s="3">
        <f>IF(D1778="","","TT-"&amp;TEXT(ROW()-1,"00000"))</f>
        <v/>
      </c>
      <c r="B1778" s="3">
        <f>IF(D1778="","",IF(V1778=0,"CONCLUÍDO",IF(D1778&lt;corte,"HISTÓRICO",IF(OR(AND(ISNUMBER(R1778),R1778&lt;TODAY()),AND(OR(N1778="PENDENTE",N1778="PARCIAL"),D1778&lt;TODAY()-1)),"CRÍTICO",IF(OR(AND(P1778&lt;&gt;"",S1778=""),AND(N1778="REALIZADO",M1778="PENDENTE"),AND(ISNUMBER(R1778),R1778=TODAY())),"ATENÇÃO",IF(N(K1778)=0,"PENDENTE","EM ANDAMENTO"))))))</f>
        <v/>
      </c>
      <c r="C1778" s="3">
        <f>IF(D1778="","",IF(V1778=0,"🟢 OK",IF(D1778&lt;corte,"⚪ HISTÓRICO (sem baixa)",IF(AND(ISNUMBER(R1778),R1778&lt;TODAY()),"🔴 PRAZO VENCIDO",IF(AND(OR(N1778="PENDENTE",N1778="PARCIAL"),D1778&lt;TODAY()-1),"🔴 EMBARQUE ATRASADO",IF(AND(N1778="REALIZADO",M1778="PENDENTE"),"🟡 EMBARCADO SEM FATURAR",IF(AND(P1778&lt;&gt;"",S1778="",OR(Q1778="",R1778="")),"🟡 PENDÊNCIA SEM RESPONSÁVEL/PRAZO",IF(AND(ISNUMBER(R1778),R1778=TODAY()),"🟡 VENCE HOJE",IF(AND(P1778&lt;&gt;"",S1778=""),"🟡 PENDÊNCIA ABERTA",IF(AND(N(J1778)&gt;0,N(K1778)&lt;J1778),"🟡 FALTA EXECUTAR",IF(OR(M1778="PENDENTE",M1778="PARCIAL"),"🟡 FATURAMENTO PENDENTE","🟡 EMBARQUE PENDENTE")))))))))))</f>
        <v/>
      </c>
      <c r="D1778" s="4" t="n"/>
      <c r="E1778" s="5" t="n"/>
      <c r="F1778" s="5" t="n"/>
      <c r="G1778" s="5" t="n"/>
      <c r="H1778" s="5" t="n"/>
      <c r="I1778" s="5" t="n"/>
      <c r="J1778" s="6" t="n"/>
      <c r="K1778" s="6" t="n"/>
      <c r="L1778" s="7">
        <f>IF(OR(D1778="",N(J1778)=0),"",MIN(1,N(K1778)/J1778))</f>
        <v/>
      </c>
      <c r="M1778" s="5" t="n"/>
      <c r="N1778" s="5" t="n"/>
      <c r="O1778" s="5" t="n"/>
      <c r="P1778" s="5" t="n"/>
      <c r="Q1778" s="5" t="n"/>
      <c r="R1778" s="4" t="n"/>
      <c r="S1778" s="4" t="n"/>
      <c r="T1778" s="5" t="n"/>
      <c r="U1778" s="8">
        <f>IF(AND(V1778=1,D1778&lt;&gt;""),IF(D1778&gt;=corte,TODAY()-D1778,""),"")</f>
        <v/>
      </c>
      <c r="V1778" s="8">
        <f>IF(D1778="",0,IF(OR(AND(P1778&lt;&gt;"",S1778=""),AND(N(J1778)&gt;0,N(K1778)&lt;J1778),OR(M1778="PENDENTE",M1778="PARCIAL"),OR(N1778="PENDENTE",N1778="PARCIAL")),1,0))</f>
        <v/>
      </c>
      <c r="W1778" s="8">
        <f>IF(AND(V1778=1,D1778&lt;&gt;""),IF(D1778&gt;=corte,(B1778="CRÍTICO")*1E9+(100000-D1778)*10000+10000-ROW(),""),"")</f>
        <v/>
      </c>
      <c r="X1778" s="8">
        <f>IF(AND(V1778=1,D1778=pas_data,E1778=pas_turno),10000-ROW(),"")</f>
        <v/>
      </c>
    </row>
    <row r="1779">
      <c r="A1779" s="3">
        <f>IF(D1779="","","TT-"&amp;TEXT(ROW()-1,"00000"))</f>
        <v/>
      </c>
      <c r="B1779" s="3">
        <f>IF(D1779="","",IF(V1779=0,"CONCLUÍDO",IF(D1779&lt;corte,"HISTÓRICO",IF(OR(AND(ISNUMBER(R1779),R1779&lt;TODAY()),AND(OR(N1779="PENDENTE",N1779="PARCIAL"),D1779&lt;TODAY()-1)),"CRÍTICO",IF(OR(AND(P1779&lt;&gt;"",S1779=""),AND(N1779="REALIZADO",M1779="PENDENTE"),AND(ISNUMBER(R1779),R1779=TODAY())),"ATENÇÃO",IF(N(K1779)=0,"PENDENTE","EM ANDAMENTO"))))))</f>
        <v/>
      </c>
      <c r="C1779" s="3">
        <f>IF(D1779="","",IF(V1779=0,"🟢 OK",IF(D1779&lt;corte,"⚪ HISTÓRICO (sem baixa)",IF(AND(ISNUMBER(R1779),R1779&lt;TODAY()),"🔴 PRAZO VENCIDO",IF(AND(OR(N1779="PENDENTE",N1779="PARCIAL"),D1779&lt;TODAY()-1),"🔴 EMBARQUE ATRASADO",IF(AND(N1779="REALIZADO",M1779="PENDENTE"),"🟡 EMBARCADO SEM FATURAR",IF(AND(P1779&lt;&gt;"",S1779="",OR(Q1779="",R1779="")),"🟡 PENDÊNCIA SEM RESPONSÁVEL/PRAZO",IF(AND(ISNUMBER(R1779),R1779=TODAY()),"🟡 VENCE HOJE",IF(AND(P1779&lt;&gt;"",S1779=""),"🟡 PENDÊNCIA ABERTA",IF(AND(N(J1779)&gt;0,N(K1779)&lt;J1779),"🟡 FALTA EXECUTAR",IF(OR(M1779="PENDENTE",M1779="PARCIAL"),"🟡 FATURAMENTO PENDENTE","🟡 EMBARQUE PENDENTE")))))))))))</f>
        <v/>
      </c>
      <c r="D1779" s="4" t="n"/>
      <c r="E1779" s="5" t="n"/>
      <c r="F1779" s="5" t="n"/>
      <c r="G1779" s="5" t="n"/>
      <c r="H1779" s="5" t="n"/>
      <c r="I1779" s="5" t="n"/>
      <c r="J1779" s="6" t="n"/>
      <c r="K1779" s="6" t="n"/>
      <c r="L1779" s="7">
        <f>IF(OR(D1779="",N(J1779)=0),"",MIN(1,N(K1779)/J1779))</f>
        <v/>
      </c>
      <c r="M1779" s="5" t="n"/>
      <c r="N1779" s="5" t="n"/>
      <c r="O1779" s="5" t="n"/>
      <c r="P1779" s="5" t="n"/>
      <c r="Q1779" s="5" t="n"/>
      <c r="R1779" s="4" t="n"/>
      <c r="S1779" s="4" t="n"/>
      <c r="T1779" s="5" t="n"/>
      <c r="U1779" s="8">
        <f>IF(AND(V1779=1,D1779&lt;&gt;""),IF(D1779&gt;=corte,TODAY()-D1779,""),"")</f>
        <v/>
      </c>
      <c r="V1779" s="8">
        <f>IF(D1779="",0,IF(OR(AND(P1779&lt;&gt;"",S1779=""),AND(N(J1779)&gt;0,N(K1779)&lt;J1779),OR(M1779="PENDENTE",M1779="PARCIAL"),OR(N1779="PENDENTE",N1779="PARCIAL")),1,0))</f>
        <v/>
      </c>
      <c r="W1779" s="8">
        <f>IF(AND(V1779=1,D1779&lt;&gt;""),IF(D1779&gt;=corte,(B1779="CRÍTICO")*1E9+(100000-D1779)*10000+10000-ROW(),""),"")</f>
        <v/>
      </c>
      <c r="X1779" s="8">
        <f>IF(AND(V1779=1,D1779=pas_data,E1779=pas_turno),10000-ROW(),"")</f>
        <v/>
      </c>
    </row>
    <row r="1780">
      <c r="A1780" s="3">
        <f>IF(D1780="","","TT-"&amp;TEXT(ROW()-1,"00000"))</f>
        <v/>
      </c>
      <c r="B1780" s="3">
        <f>IF(D1780="","",IF(V1780=0,"CONCLUÍDO",IF(D1780&lt;corte,"HISTÓRICO",IF(OR(AND(ISNUMBER(R1780),R1780&lt;TODAY()),AND(OR(N1780="PENDENTE",N1780="PARCIAL"),D1780&lt;TODAY()-1)),"CRÍTICO",IF(OR(AND(P1780&lt;&gt;"",S1780=""),AND(N1780="REALIZADO",M1780="PENDENTE"),AND(ISNUMBER(R1780),R1780=TODAY())),"ATENÇÃO",IF(N(K1780)=0,"PENDENTE","EM ANDAMENTO"))))))</f>
        <v/>
      </c>
      <c r="C1780" s="3">
        <f>IF(D1780="","",IF(V1780=0,"🟢 OK",IF(D1780&lt;corte,"⚪ HISTÓRICO (sem baixa)",IF(AND(ISNUMBER(R1780),R1780&lt;TODAY()),"🔴 PRAZO VENCIDO",IF(AND(OR(N1780="PENDENTE",N1780="PARCIAL"),D1780&lt;TODAY()-1),"🔴 EMBARQUE ATRASADO",IF(AND(N1780="REALIZADO",M1780="PENDENTE"),"🟡 EMBARCADO SEM FATURAR",IF(AND(P1780&lt;&gt;"",S1780="",OR(Q1780="",R1780="")),"🟡 PENDÊNCIA SEM RESPONSÁVEL/PRAZO",IF(AND(ISNUMBER(R1780),R1780=TODAY()),"🟡 VENCE HOJE",IF(AND(P1780&lt;&gt;"",S1780=""),"🟡 PENDÊNCIA ABERTA",IF(AND(N(J1780)&gt;0,N(K1780)&lt;J1780),"🟡 FALTA EXECUTAR",IF(OR(M1780="PENDENTE",M1780="PARCIAL"),"🟡 FATURAMENTO PENDENTE","🟡 EMBARQUE PENDENTE")))))))))))</f>
        <v/>
      </c>
      <c r="D1780" s="4" t="n"/>
      <c r="E1780" s="5" t="n"/>
      <c r="F1780" s="5" t="n"/>
      <c r="G1780" s="5" t="n"/>
      <c r="H1780" s="5" t="n"/>
      <c r="I1780" s="5" t="n"/>
      <c r="J1780" s="6" t="n"/>
      <c r="K1780" s="6" t="n"/>
      <c r="L1780" s="7">
        <f>IF(OR(D1780="",N(J1780)=0),"",MIN(1,N(K1780)/J1780))</f>
        <v/>
      </c>
      <c r="M1780" s="5" t="n"/>
      <c r="N1780" s="5" t="n"/>
      <c r="O1780" s="5" t="n"/>
      <c r="P1780" s="5" t="n"/>
      <c r="Q1780" s="5" t="n"/>
      <c r="R1780" s="4" t="n"/>
      <c r="S1780" s="4" t="n"/>
      <c r="T1780" s="5" t="n"/>
      <c r="U1780" s="8">
        <f>IF(AND(V1780=1,D1780&lt;&gt;""),IF(D1780&gt;=corte,TODAY()-D1780,""),"")</f>
        <v/>
      </c>
      <c r="V1780" s="8">
        <f>IF(D1780="",0,IF(OR(AND(P1780&lt;&gt;"",S1780=""),AND(N(J1780)&gt;0,N(K1780)&lt;J1780),OR(M1780="PENDENTE",M1780="PARCIAL"),OR(N1780="PENDENTE",N1780="PARCIAL")),1,0))</f>
        <v/>
      </c>
      <c r="W1780" s="8">
        <f>IF(AND(V1780=1,D1780&lt;&gt;""),IF(D1780&gt;=corte,(B1780="CRÍTICO")*1E9+(100000-D1780)*10000+10000-ROW(),""),"")</f>
        <v/>
      </c>
      <c r="X1780" s="8">
        <f>IF(AND(V1780=1,D1780=pas_data,E1780=pas_turno),10000-ROW(),"")</f>
        <v/>
      </c>
    </row>
    <row r="1781">
      <c r="A1781" s="3">
        <f>IF(D1781="","","TT-"&amp;TEXT(ROW()-1,"00000"))</f>
        <v/>
      </c>
      <c r="B1781" s="3">
        <f>IF(D1781="","",IF(V1781=0,"CONCLUÍDO",IF(D1781&lt;corte,"HISTÓRICO",IF(OR(AND(ISNUMBER(R1781),R1781&lt;TODAY()),AND(OR(N1781="PENDENTE",N1781="PARCIAL"),D1781&lt;TODAY()-1)),"CRÍTICO",IF(OR(AND(P1781&lt;&gt;"",S1781=""),AND(N1781="REALIZADO",M1781="PENDENTE"),AND(ISNUMBER(R1781),R1781=TODAY())),"ATENÇÃO",IF(N(K1781)=0,"PENDENTE","EM ANDAMENTO"))))))</f>
        <v/>
      </c>
      <c r="C1781" s="3">
        <f>IF(D1781="","",IF(V1781=0,"🟢 OK",IF(D1781&lt;corte,"⚪ HISTÓRICO (sem baixa)",IF(AND(ISNUMBER(R1781),R1781&lt;TODAY()),"🔴 PRAZO VENCIDO",IF(AND(OR(N1781="PENDENTE",N1781="PARCIAL"),D1781&lt;TODAY()-1),"🔴 EMBARQUE ATRASADO",IF(AND(N1781="REALIZADO",M1781="PENDENTE"),"🟡 EMBARCADO SEM FATURAR",IF(AND(P1781&lt;&gt;"",S1781="",OR(Q1781="",R1781="")),"🟡 PENDÊNCIA SEM RESPONSÁVEL/PRAZO",IF(AND(ISNUMBER(R1781),R1781=TODAY()),"🟡 VENCE HOJE",IF(AND(P1781&lt;&gt;"",S1781=""),"🟡 PENDÊNCIA ABERTA",IF(AND(N(J1781)&gt;0,N(K1781)&lt;J1781),"🟡 FALTA EXECUTAR",IF(OR(M1781="PENDENTE",M1781="PARCIAL"),"🟡 FATURAMENTO PENDENTE","🟡 EMBARQUE PENDENTE")))))))))))</f>
        <v/>
      </c>
      <c r="D1781" s="4" t="n"/>
      <c r="E1781" s="5" t="n"/>
      <c r="F1781" s="5" t="n"/>
      <c r="G1781" s="5" t="n"/>
      <c r="H1781" s="5" t="n"/>
      <c r="I1781" s="5" t="n"/>
      <c r="J1781" s="6" t="n"/>
      <c r="K1781" s="6" t="n"/>
      <c r="L1781" s="7">
        <f>IF(OR(D1781="",N(J1781)=0),"",MIN(1,N(K1781)/J1781))</f>
        <v/>
      </c>
      <c r="M1781" s="5" t="n"/>
      <c r="N1781" s="5" t="n"/>
      <c r="O1781" s="5" t="n"/>
      <c r="P1781" s="5" t="n"/>
      <c r="Q1781" s="5" t="n"/>
      <c r="R1781" s="4" t="n"/>
      <c r="S1781" s="4" t="n"/>
      <c r="T1781" s="5" t="n"/>
      <c r="U1781" s="8">
        <f>IF(AND(V1781=1,D1781&lt;&gt;""),IF(D1781&gt;=corte,TODAY()-D1781,""),"")</f>
        <v/>
      </c>
      <c r="V1781" s="8">
        <f>IF(D1781="",0,IF(OR(AND(P1781&lt;&gt;"",S1781=""),AND(N(J1781)&gt;0,N(K1781)&lt;J1781),OR(M1781="PENDENTE",M1781="PARCIAL"),OR(N1781="PENDENTE",N1781="PARCIAL")),1,0))</f>
        <v/>
      </c>
      <c r="W1781" s="8">
        <f>IF(AND(V1781=1,D1781&lt;&gt;""),IF(D1781&gt;=corte,(B1781="CRÍTICO")*1E9+(100000-D1781)*10000+10000-ROW(),""),"")</f>
        <v/>
      </c>
      <c r="X1781" s="8">
        <f>IF(AND(V1781=1,D1781=pas_data,E1781=pas_turno),10000-ROW(),"")</f>
        <v/>
      </c>
    </row>
    <row r="1782">
      <c r="A1782" s="3">
        <f>IF(D1782="","","TT-"&amp;TEXT(ROW()-1,"00000"))</f>
        <v/>
      </c>
      <c r="B1782" s="3">
        <f>IF(D1782="","",IF(V1782=0,"CONCLUÍDO",IF(D1782&lt;corte,"HISTÓRICO",IF(OR(AND(ISNUMBER(R1782),R1782&lt;TODAY()),AND(OR(N1782="PENDENTE",N1782="PARCIAL"),D1782&lt;TODAY()-1)),"CRÍTICO",IF(OR(AND(P1782&lt;&gt;"",S1782=""),AND(N1782="REALIZADO",M1782="PENDENTE"),AND(ISNUMBER(R1782),R1782=TODAY())),"ATENÇÃO",IF(N(K1782)=0,"PENDENTE","EM ANDAMENTO"))))))</f>
        <v/>
      </c>
      <c r="C1782" s="3">
        <f>IF(D1782="","",IF(V1782=0,"🟢 OK",IF(D1782&lt;corte,"⚪ HISTÓRICO (sem baixa)",IF(AND(ISNUMBER(R1782),R1782&lt;TODAY()),"🔴 PRAZO VENCIDO",IF(AND(OR(N1782="PENDENTE",N1782="PARCIAL"),D1782&lt;TODAY()-1),"🔴 EMBARQUE ATRASADO",IF(AND(N1782="REALIZADO",M1782="PENDENTE"),"🟡 EMBARCADO SEM FATURAR",IF(AND(P1782&lt;&gt;"",S1782="",OR(Q1782="",R1782="")),"🟡 PENDÊNCIA SEM RESPONSÁVEL/PRAZO",IF(AND(ISNUMBER(R1782),R1782=TODAY()),"🟡 VENCE HOJE",IF(AND(P1782&lt;&gt;"",S1782=""),"🟡 PENDÊNCIA ABERTA",IF(AND(N(J1782)&gt;0,N(K1782)&lt;J1782),"🟡 FALTA EXECUTAR",IF(OR(M1782="PENDENTE",M1782="PARCIAL"),"🟡 FATURAMENTO PENDENTE","🟡 EMBARQUE PENDENTE")))))))))))</f>
        <v/>
      </c>
      <c r="D1782" s="4" t="n"/>
      <c r="E1782" s="5" t="n"/>
      <c r="F1782" s="5" t="n"/>
      <c r="G1782" s="5" t="n"/>
      <c r="H1782" s="5" t="n"/>
      <c r="I1782" s="5" t="n"/>
      <c r="J1782" s="6" t="n"/>
      <c r="K1782" s="6" t="n"/>
      <c r="L1782" s="7">
        <f>IF(OR(D1782="",N(J1782)=0),"",MIN(1,N(K1782)/J1782))</f>
        <v/>
      </c>
      <c r="M1782" s="5" t="n"/>
      <c r="N1782" s="5" t="n"/>
      <c r="O1782" s="5" t="n"/>
      <c r="P1782" s="5" t="n"/>
      <c r="Q1782" s="5" t="n"/>
      <c r="R1782" s="4" t="n"/>
      <c r="S1782" s="4" t="n"/>
      <c r="T1782" s="5" t="n"/>
      <c r="U1782" s="8">
        <f>IF(AND(V1782=1,D1782&lt;&gt;""),IF(D1782&gt;=corte,TODAY()-D1782,""),"")</f>
        <v/>
      </c>
      <c r="V1782" s="8">
        <f>IF(D1782="",0,IF(OR(AND(P1782&lt;&gt;"",S1782=""),AND(N(J1782)&gt;0,N(K1782)&lt;J1782),OR(M1782="PENDENTE",M1782="PARCIAL"),OR(N1782="PENDENTE",N1782="PARCIAL")),1,0))</f>
        <v/>
      </c>
      <c r="W1782" s="8">
        <f>IF(AND(V1782=1,D1782&lt;&gt;""),IF(D1782&gt;=corte,(B1782="CRÍTICO")*1E9+(100000-D1782)*10000+10000-ROW(),""),"")</f>
        <v/>
      </c>
      <c r="X1782" s="8">
        <f>IF(AND(V1782=1,D1782=pas_data,E1782=pas_turno),10000-ROW(),"")</f>
        <v/>
      </c>
    </row>
    <row r="1783">
      <c r="A1783" s="3">
        <f>IF(D1783="","","TT-"&amp;TEXT(ROW()-1,"00000"))</f>
        <v/>
      </c>
      <c r="B1783" s="3">
        <f>IF(D1783="","",IF(V1783=0,"CONCLUÍDO",IF(D1783&lt;corte,"HISTÓRICO",IF(OR(AND(ISNUMBER(R1783),R1783&lt;TODAY()),AND(OR(N1783="PENDENTE",N1783="PARCIAL"),D1783&lt;TODAY()-1)),"CRÍTICO",IF(OR(AND(P1783&lt;&gt;"",S1783=""),AND(N1783="REALIZADO",M1783="PENDENTE"),AND(ISNUMBER(R1783),R1783=TODAY())),"ATENÇÃO",IF(N(K1783)=0,"PENDENTE","EM ANDAMENTO"))))))</f>
        <v/>
      </c>
      <c r="C1783" s="3">
        <f>IF(D1783="","",IF(V1783=0,"🟢 OK",IF(D1783&lt;corte,"⚪ HISTÓRICO (sem baixa)",IF(AND(ISNUMBER(R1783),R1783&lt;TODAY()),"🔴 PRAZO VENCIDO",IF(AND(OR(N1783="PENDENTE",N1783="PARCIAL"),D1783&lt;TODAY()-1),"🔴 EMBARQUE ATRASADO",IF(AND(N1783="REALIZADO",M1783="PENDENTE"),"🟡 EMBARCADO SEM FATURAR",IF(AND(P1783&lt;&gt;"",S1783="",OR(Q1783="",R1783="")),"🟡 PENDÊNCIA SEM RESPONSÁVEL/PRAZO",IF(AND(ISNUMBER(R1783),R1783=TODAY()),"🟡 VENCE HOJE",IF(AND(P1783&lt;&gt;"",S1783=""),"🟡 PENDÊNCIA ABERTA",IF(AND(N(J1783)&gt;0,N(K1783)&lt;J1783),"🟡 FALTA EXECUTAR",IF(OR(M1783="PENDENTE",M1783="PARCIAL"),"🟡 FATURAMENTO PENDENTE","🟡 EMBARQUE PENDENTE")))))))))))</f>
        <v/>
      </c>
      <c r="D1783" s="4" t="n"/>
      <c r="E1783" s="5" t="n"/>
      <c r="F1783" s="5" t="n"/>
      <c r="G1783" s="5" t="n"/>
      <c r="H1783" s="5" t="n"/>
      <c r="I1783" s="5" t="n"/>
      <c r="J1783" s="6" t="n"/>
      <c r="K1783" s="6" t="n"/>
      <c r="L1783" s="7">
        <f>IF(OR(D1783="",N(J1783)=0),"",MIN(1,N(K1783)/J1783))</f>
        <v/>
      </c>
      <c r="M1783" s="5" t="n"/>
      <c r="N1783" s="5" t="n"/>
      <c r="O1783" s="5" t="n"/>
      <c r="P1783" s="5" t="n"/>
      <c r="Q1783" s="5" t="n"/>
      <c r="R1783" s="4" t="n"/>
      <c r="S1783" s="4" t="n"/>
      <c r="T1783" s="5" t="n"/>
      <c r="U1783" s="8">
        <f>IF(AND(V1783=1,D1783&lt;&gt;""),IF(D1783&gt;=corte,TODAY()-D1783,""),"")</f>
        <v/>
      </c>
      <c r="V1783" s="8">
        <f>IF(D1783="",0,IF(OR(AND(P1783&lt;&gt;"",S1783=""),AND(N(J1783)&gt;0,N(K1783)&lt;J1783),OR(M1783="PENDENTE",M1783="PARCIAL"),OR(N1783="PENDENTE",N1783="PARCIAL")),1,0))</f>
        <v/>
      </c>
      <c r="W1783" s="8">
        <f>IF(AND(V1783=1,D1783&lt;&gt;""),IF(D1783&gt;=corte,(B1783="CRÍTICO")*1E9+(100000-D1783)*10000+10000-ROW(),""),"")</f>
        <v/>
      </c>
      <c r="X1783" s="8">
        <f>IF(AND(V1783=1,D1783=pas_data,E1783=pas_turno),10000-ROW(),"")</f>
        <v/>
      </c>
    </row>
    <row r="1784">
      <c r="A1784" s="3">
        <f>IF(D1784="","","TT-"&amp;TEXT(ROW()-1,"00000"))</f>
        <v/>
      </c>
      <c r="B1784" s="3">
        <f>IF(D1784="","",IF(V1784=0,"CONCLUÍDO",IF(D1784&lt;corte,"HISTÓRICO",IF(OR(AND(ISNUMBER(R1784),R1784&lt;TODAY()),AND(OR(N1784="PENDENTE",N1784="PARCIAL"),D1784&lt;TODAY()-1)),"CRÍTICO",IF(OR(AND(P1784&lt;&gt;"",S1784=""),AND(N1784="REALIZADO",M1784="PENDENTE"),AND(ISNUMBER(R1784),R1784=TODAY())),"ATENÇÃO",IF(N(K1784)=0,"PENDENTE","EM ANDAMENTO"))))))</f>
        <v/>
      </c>
      <c r="C1784" s="3">
        <f>IF(D1784="","",IF(V1784=0,"🟢 OK",IF(D1784&lt;corte,"⚪ HISTÓRICO (sem baixa)",IF(AND(ISNUMBER(R1784),R1784&lt;TODAY()),"🔴 PRAZO VENCIDO",IF(AND(OR(N1784="PENDENTE",N1784="PARCIAL"),D1784&lt;TODAY()-1),"🔴 EMBARQUE ATRASADO",IF(AND(N1784="REALIZADO",M1784="PENDENTE"),"🟡 EMBARCADO SEM FATURAR",IF(AND(P1784&lt;&gt;"",S1784="",OR(Q1784="",R1784="")),"🟡 PENDÊNCIA SEM RESPONSÁVEL/PRAZO",IF(AND(ISNUMBER(R1784),R1784=TODAY()),"🟡 VENCE HOJE",IF(AND(P1784&lt;&gt;"",S1784=""),"🟡 PENDÊNCIA ABERTA",IF(AND(N(J1784)&gt;0,N(K1784)&lt;J1784),"🟡 FALTA EXECUTAR",IF(OR(M1784="PENDENTE",M1784="PARCIAL"),"🟡 FATURAMENTO PENDENTE","🟡 EMBARQUE PENDENTE")))))))))))</f>
        <v/>
      </c>
      <c r="D1784" s="4" t="n"/>
      <c r="E1784" s="5" t="n"/>
      <c r="F1784" s="5" t="n"/>
      <c r="G1784" s="5" t="n"/>
      <c r="H1784" s="5" t="n"/>
      <c r="I1784" s="5" t="n"/>
      <c r="J1784" s="6" t="n"/>
      <c r="K1784" s="6" t="n"/>
      <c r="L1784" s="7">
        <f>IF(OR(D1784="",N(J1784)=0),"",MIN(1,N(K1784)/J1784))</f>
        <v/>
      </c>
      <c r="M1784" s="5" t="n"/>
      <c r="N1784" s="5" t="n"/>
      <c r="O1784" s="5" t="n"/>
      <c r="P1784" s="5" t="n"/>
      <c r="Q1784" s="5" t="n"/>
      <c r="R1784" s="4" t="n"/>
      <c r="S1784" s="4" t="n"/>
      <c r="T1784" s="5" t="n"/>
      <c r="U1784" s="8">
        <f>IF(AND(V1784=1,D1784&lt;&gt;""),IF(D1784&gt;=corte,TODAY()-D1784,""),"")</f>
        <v/>
      </c>
      <c r="V1784" s="8">
        <f>IF(D1784="",0,IF(OR(AND(P1784&lt;&gt;"",S1784=""),AND(N(J1784)&gt;0,N(K1784)&lt;J1784),OR(M1784="PENDENTE",M1784="PARCIAL"),OR(N1784="PENDENTE",N1784="PARCIAL")),1,0))</f>
        <v/>
      </c>
      <c r="W1784" s="8">
        <f>IF(AND(V1784=1,D1784&lt;&gt;""),IF(D1784&gt;=corte,(B1784="CRÍTICO")*1E9+(100000-D1784)*10000+10000-ROW(),""),"")</f>
        <v/>
      </c>
      <c r="X1784" s="8">
        <f>IF(AND(V1784=1,D1784=pas_data,E1784=pas_turno),10000-ROW(),"")</f>
        <v/>
      </c>
    </row>
    <row r="1785">
      <c r="A1785" s="3">
        <f>IF(D1785="","","TT-"&amp;TEXT(ROW()-1,"00000"))</f>
        <v/>
      </c>
      <c r="B1785" s="3">
        <f>IF(D1785="","",IF(V1785=0,"CONCLUÍDO",IF(D1785&lt;corte,"HISTÓRICO",IF(OR(AND(ISNUMBER(R1785),R1785&lt;TODAY()),AND(OR(N1785="PENDENTE",N1785="PARCIAL"),D1785&lt;TODAY()-1)),"CRÍTICO",IF(OR(AND(P1785&lt;&gt;"",S1785=""),AND(N1785="REALIZADO",M1785="PENDENTE"),AND(ISNUMBER(R1785),R1785=TODAY())),"ATENÇÃO",IF(N(K1785)=0,"PENDENTE","EM ANDAMENTO"))))))</f>
        <v/>
      </c>
      <c r="C1785" s="3">
        <f>IF(D1785="","",IF(V1785=0,"🟢 OK",IF(D1785&lt;corte,"⚪ HISTÓRICO (sem baixa)",IF(AND(ISNUMBER(R1785),R1785&lt;TODAY()),"🔴 PRAZO VENCIDO",IF(AND(OR(N1785="PENDENTE",N1785="PARCIAL"),D1785&lt;TODAY()-1),"🔴 EMBARQUE ATRASADO",IF(AND(N1785="REALIZADO",M1785="PENDENTE"),"🟡 EMBARCADO SEM FATURAR",IF(AND(P1785&lt;&gt;"",S1785="",OR(Q1785="",R1785="")),"🟡 PENDÊNCIA SEM RESPONSÁVEL/PRAZO",IF(AND(ISNUMBER(R1785),R1785=TODAY()),"🟡 VENCE HOJE",IF(AND(P1785&lt;&gt;"",S1785=""),"🟡 PENDÊNCIA ABERTA",IF(AND(N(J1785)&gt;0,N(K1785)&lt;J1785),"🟡 FALTA EXECUTAR",IF(OR(M1785="PENDENTE",M1785="PARCIAL"),"🟡 FATURAMENTO PENDENTE","🟡 EMBARQUE PENDENTE")))))))))))</f>
        <v/>
      </c>
      <c r="D1785" s="4" t="n"/>
      <c r="E1785" s="5" t="n"/>
      <c r="F1785" s="5" t="n"/>
      <c r="G1785" s="5" t="n"/>
      <c r="H1785" s="5" t="n"/>
      <c r="I1785" s="5" t="n"/>
      <c r="J1785" s="6" t="n"/>
      <c r="K1785" s="6" t="n"/>
      <c r="L1785" s="7">
        <f>IF(OR(D1785="",N(J1785)=0),"",MIN(1,N(K1785)/J1785))</f>
        <v/>
      </c>
      <c r="M1785" s="5" t="n"/>
      <c r="N1785" s="5" t="n"/>
      <c r="O1785" s="5" t="n"/>
      <c r="P1785" s="5" t="n"/>
      <c r="Q1785" s="5" t="n"/>
      <c r="R1785" s="4" t="n"/>
      <c r="S1785" s="4" t="n"/>
      <c r="T1785" s="5" t="n"/>
      <c r="U1785" s="8">
        <f>IF(AND(V1785=1,D1785&lt;&gt;""),IF(D1785&gt;=corte,TODAY()-D1785,""),"")</f>
        <v/>
      </c>
      <c r="V1785" s="8">
        <f>IF(D1785="",0,IF(OR(AND(P1785&lt;&gt;"",S1785=""),AND(N(J1785)&gt;0,N(K1785)&lt;J1785),OR(M1785="PENDENTE",M1785="PARCIAL"),OR(N1785="PENDENTE",N1785="PARCIAL")),1,0))</f>
        <v/>
      </c>
      <c r="W1785" s="8">
        <f>IF(AND(V1785=1,D1785&lt;&gt;""),IF(D1785&gt;=corte,(B1785="CRÍTICO")*1E9+(100000-D1785)*10000+10000-ROW(),""),"")</f>
        <v/>
      </c>
      <c r="X1785" s="8">
        <f>IF(AND(V1785=1,D1785=pas_data,E1785=pas_turno),10000-ROW(),"")</f>
        <v/>
      </c>
    </row>
    <row r="1786">
      <c r="A1786" s="3">
        <f>IF(D1786="","","TT-"&amp;TEXT(ROW()-1,"00000"))</f>
        <v/>
      </c>
      <c r="B1786" s="3">
        <f>IF(D1786="","",IF(V1786=0,"CONCLUÍDO",IF(D1786&lt;corte,"HISTÓRICO",IF(OR(AND(ISNUMBER(R1786),R1786&lt;TODAY()),AND(OR(N1786="PENDENTE",N1786="PARCIAL"),D1786&lt;TODAY()-1)),"CRÍTICO",IF(OR(AND(P1786&lt;&gt;"",S1786=""),AND(N1786="REALIZADO",M1786="PENDENTE"),AND(ISNUMBER(R1786),R1786=TODAY())),"ATENÇÃO",IF(N(K1786)=0,"PENDENTE","EM ANDAMENTO"))))))</f>
        <v/>
      </c>
      <c r="C1786" s="3">
        <f>IF(D1786="","",IF(V1786=0,"🟢 OK",IF(D1786&lt;corte,"⚪ HISTÓRICO (sem baixa)",IF(AND(ISNUMBER(R1786),R1786&lt;TODAY()),"🔴 PRAZO VENCIDO",IF(AND(OR(N1786="PENDENTE",N1786="PARCIAL"),D1786&lt;TODAY()-1),"🔴 EMBARQUE ATRASADO",IF(AND(N1786="REALIZADO",M1786="PENDENTE"),"🟡 EMBARCADO SEM FATURAR",IF(AND(P1786&lt;&gt;"",S1786="",OR(Q1786="",R1786="")),"🟡 PENDÊNCIA SEM RESPONSÁVEL/PRAZO",IF(AND(ISNUMBER(R1786),R1786=TODAY()),"🟡 VENCE HOJE",IF(AND(P1786&lt;&gt;"",S1786=""),"🟡 PENDÊNCIA ABERTA",IF(AND(N(J1786)&gt;0,N(K1786)&lt;J1786),"🟡 FALTA EXECUTAR",IF(OR(M1786="PENDENTE",M1786="PARCIAL"),"🟡 FATURAMENTO PENDENTE","🟡 EMBARQUE PENDENTE")))))))))))</f>
        <v/>
      </c>
      <c r="D1786" s="4" t="n"/>
      <c r="E1786" s="5" t="n"/>
      <c r="F1786" s="5" t="n"/>
      <c r="G1786" s="5" t="n"/>
      <c r="H1786" s="5" t="n"/>
      <c r="I1786" s="5" t="n"/>
      <c r="J1786" s="6" t="n"/>
      <c r="K1786" s="6" t="n"/>
      <c r="L1786" s="7">
        <f>IF(OR(D1786="",N(J1786)=0),"",MIN(1,N(K1786)/J1786))</f>
        <v/>
      </c>
      <c r="M1786" s="5" t="n"/>
      <c r="N1786" s="5" t="n"/>
      <c r="O1786" s="5" t="n"/>
      <c r="P1786" s="5" t="n"/>
      <c r="Q1786" s="5" t="n"/>
      <c r="R1786" s="4" t="n"/>
      <c r="S1786" s="4" t="n"/>
      <c r="T1786" s="5" t="n"/>
      <c r="U1786" s="8">
        <f>IF(AND(V1786=1,D1786&lt;&gt;""),IF(D1786&gt;=corte,TODAY()-D1786,""),"")</f>
        <v/>
      </c>
      <c r="V1786" s="8">
        <f>IF(D1786="",0,IF(OR(AND(P1786&lt;&gt;"",S1786=""),AND(N(J1786)&gt;0,N(K1786)&lt;J1786),OR(M1786="PENDENTE",M1786="PARCIAL"),OR(N1786="PENDENTE",N1786="PARCIAL")),1,0))</f>
        <v/>
      </c>
      <c r="W1786" s="8">
        <f>IF(AND(V1786=1,D1786&lt;&gt;""),IF(D1786&gt;=corte,(B1786="CRÍTICO")*1E9+(100000-D1786)*10000+10000-ROW(),""),"")</f>
        <v/>
      </c>
      <c r="X1786" s="8">
        <f>IF(AND(V1786=1,D1786=pas_data,E1786=pas_turno),10000-ROW(),"")</f>
        <v/>
      </c>
    </row>
    <row r="1787">
      <c r="A1787" s="3">
        <f>IF(D1787="","","TT-"&amp;TEXT(ROW()-1,"00000"))</f>
        <v/>
      </c>
      <c r="B1787" s="3">
        <f>IF(D1787="","",IF(V1787=0,"CONCLUÍDO",IF(D1787&lt;corte,"HISTÓRICO",IF(OR(AND(ISNUMBER(R1787),R1787&lt;TODAY()),AND(OR(N1787="PENDENTE",N1787="PARCIAL"),D1787&lt;TODAY()-1)),"CRÍTICO",IF(OR(AND(P1787&lt;&gt;"",S1787=""),AND(N1787="REALIZADO",M1787="PENDENTE"),AND(ISNUMBER(R1787),R1787=TODAY())),"ATENÇÃO",IF(N(K1787)=0,"PENDENTE","EM ANDAMENTO"))))))</f>
        <v/>
      </c>
      <c r="C1787" s="3">
        <f>IF(D1787="","",IF(V1787=0,"🟢 OK",IF(D1787&lt;corte,"⚪ HISTÓRICO (sem baixa)",IF(AND(ISNUMBER(R1787),R1787&lt;TODAY()),"🔴 PRAZO VENCIDO",IF(AND(OR(N1787="PENDENTE",N1787="PARCIAL"),D1787&lt;TODAY()-1),"🔴 EMBARQUE ATRASADO",IF(AND(N1787="REALIZADO",M1787="PENDENTE"),"🟡 EMBARCADO SEM FATURAR",IF(AND(P1787&lt;&gt;"",S1787="",OR(Q1787="",R1787="")),"🟡 PENDÊNCIA SEM RESPONSÁVEL/PRAZO",IF(AND(ISNUMBER(R1787),R1787=TODAY()),"🟡 VENCE HOJE",IF(AND(P1787&lt;&gt;"",S1787=""),"🟡 PENDÊNCIA ABERTA",IF(AND(N(J1787)&gt;0,N(K1787)&lt;J1787),"🟡 FALTA EXECUTAR",IF(OR(M1787="PENDENTE",M1787="PARCIAL"),"🟡 FATURAMENTO PENDENTE","🟡 EMBARQUE PENDENTE")))))))))))</f>
        <v/>
      </c>
      <c r="D1787" s="4" t="n"/>
      <c r="E1787" s="5" t="n"/>
      <c r="F1787" s="5" t="n"/>
      <c r="G1787" s="5" t="n"/>
      <c r="H1787" s="5" t="n"/>
      <c r="I1787" s="5" t="n"/>
      <c r="J1787" s="6" t="n"/>
      <c r="K1787" s="6" t="n"/>
      <c r="L1787" s="7">
        <f>IF(OR(D1787="",N(J1787)=0),"",MIN(1,N(K1787)/J1787))</f>
        <v/>
      </c>
      <c r="M1787" s="5" t="n"/>
      <c r="N1787" s="5" t="n"/>
      <c r="O1787" s="5" t="n"/>
      <c r="P1787" s="5" t="n"/>
      <c r="Q1787" s="5" t="n"/>
      <c r="R1787" s="4" t="n"/>
      <c r="S1787" s="4" t="n"/>
      <c r="T1787" s="5" t="n"/>
      <c r="U1787" s="8">
        <f>IF(AND(V1787=1,D1787&lt;&gt;""),IF(D1787&gt;=corte,TODAY()-D1787,""),"")</f>
        <v/>
      </c>
      <c r="V1787" s="8">
        <f>IF(D1787="",0,IF(OR(AND(P1787&lt;&gt;"",S1787=""),AND(N(J1787)&gt;0,N(K1787)&lt;J1787),OR(M1787="PENDENTE",M1787="PARCIAL"),OR(N1787="PENDENTE",N1787="PARCIAL")),1,0))</f>
        <v/>
      </c>
      <c r="W1787" s="8">
        <f>IF(AND(V1787=1,D1787&lt;&gt;""),IF(D1787&gt;=corte,(B1787="CRÍTICO")*1E9+(100000-D1787)*10000+10000-ROW(),""),"")</f>
        <v/>
      </c>
      <c r="X1787" s="8">
        <f>IF(AND(V1787=1,D1787=pas_data,E1787=pas_turno),10000-ROW(),"")</f>
        <v/>
      </c>
    </row>
    <row r="1788">
      <c r="A1788" s="3">
        <f>IF(D1788="","","TT-"&amp;TEXT(ROW()-1,"00000"))</f>
        <v/>
      </c>
      <c r="B1788" s="3">
        <f>IF(D1788="","",IF(V1788=0,"CONCLUÍDO",IF(D1788&lt;corte,"HISTÓRICO",IF(OR(AND(ISNUMBER(R1788),R1788&lt;TODAY()),AND(OR(N1788="PENDENTE",N1788="PARCIAL"),D1788&lt;TODAY()-1)),"CRÍTICO",IF(OR(AND(P1788&lt;&gt;"",S1788=""),AND(N1788="REALIZADO",M1788="PENDENTE"),AND(ISNUMBER(R1788),R1788=TODAY())),"ATENÇÃO",IF(N(K1788)=0,"PENDENTE","EM ANDAMENTO"))))))</f>
        <v/>
      </c>
      <c r="C1788" s="3">
        <f>IF(D1788="","",IF(V1788=0,"🟢 OK",IF(D1788&lt;corte,"⚪ HISTÓRICO (sem baixa)",IF(AND(ISNUMBER(R1788),R1788&lt;TODAY()),"🔴 PRAZO VENCIDO",IF(AND(OR(N1788="PENDENTE",N1788="PARCIAL"),D1788&lt;TODAY()-1),"🔴 EMBARQUE ATRASADO",IF(AND(N1788="REALIZADO",M1788="PENDENTE"),"🟡 EMBARCADO SEM FATURAR",IF(AND(P1788&lt;&gt;"",S1788="",OR(Q1788="",R1788="")),"🟡 PENDÊNCIA SEM RESPONSÁVEL/PRAZO",IF(AND(ISNUMBER(R1788),R1788=TODAY()),"🟡 VENCE HOJE",IF(AND(P1788&lt;&gt;"",S1788=""),"🟡 PENDÊNCIA ABERTA",IF(AND(N(J1788)&gt;0,N(K1788)&lt;J1788),"🟡 FALTA EXECUTAR",IF(OR(M1788="PENDENTE",M1788="PARCIAL"),"🟡 FATURAMENTO PENDENTE","🟡 EMBARQUE PENDENTE")))))))))))</f>
        <v/>
      </c>
      <c r="D1788" s="4" t="n"/>
      <c r="E1788" s="5" t="n"/>
      <c r="F1788" s="5" t="n"/>
      <c r="G1788" s="5" t="n"/>
      <c r="H1788" s="5" t="n"/>
      <c r="I1788" s="5" t="n"/>
      <c r="J1788" s="6" t="n"/>
      <c r="K1788" s="6" t="n"/>
      <c r="L1788" s="7">
        <f>IF(OR(D1788="",N(J1788)=0),"",MIN(1,N(K1788)/J1788))</f>
        <v/>
      </c>
      <c r="M1788" s="5" t="n"/>
      <c r="N1788" s="5" t="n"/>
      <c r="O1788" s="5" t="n"/>
      <c r="P1788" s="5" t="n"/>
      <c r="Q1788" s="5" t="n"/>
      <c r="R1788" s="4" t="n"/>
      <c r="S1788" s="4" t="n"/>
      <c r="T1788" s="5" t="n"/>
      <c r="U1788" s="8">
        <f>IF(AND(V1788=1,D1788&lt;&gt;""),IF(D1788&gt;=corte,TODAY()-D1788,""),"")</f>
        <v/>
      </c>
      <c r="V1788" s="8">
        <f>IF(D1788="",0,IF(OR(AND(P1788&lt;&gt;"",S1788=""),AND(N(J1788)&gt;0,N(K1788)&lt;J1788),OR(M1788="PENDENTE",M1788="PARCIAL"),OR(N1788="PENDENTE",N1788="PARCIAL")),1,0))</f>
        <v/>
      </c>
      <c r="W1788" s="8">
        <f>IF(AND(V1788=1,D1788&lt;&gt;""),IF(D1788&gt;=corte,(B1788="CRÍTICO")*1E9+(100000-D1788)*10000+10000-ROW(),""),"")</f>
        <v/>
      </c>
      <c r="X1788" s="8">
        <f>IF(AND(V1788=1,D1788=pas_data,E1788=pas_turno),10000-ROW(),"")</f>
        <v/>
      </c>
    </row>
    <row r="1789">
      <c r="A1789" s="3">
        <f>IF(D1789="","","TT-"&amp;TEXT(ROW()-1,"00000"))</f>
        <v/>
      </c>
      <c r="B1789" s="3">
        <f>IF(D1789="","",IF(V1789=0,"CONCLUÍDO",IF(D1789&lt;corte,"HISTÓRICO",IF(OR(AND(ISNUMBER(R1789),R1789&lt;TODAY()),AND(OR(N1789="PENDENTE",N1789="PARCIAL"),D1789&lt;TODAY()-1)),"CRÍTICO",IF(OR(AND(P1789&lt;&gt;"",S1789=""),AND(N1789="REALIZADO",M1789="PENDENTE"),AND(ISNUMBER(R1789),R1789=TODAY())),"ATENÇÃO",IF(N(K1789)=0,"PENDENTE","EM ANDAMENTO"))))))</f>
        <v/>
      </c>
      <c r="C1789" s="3">
        <f>IF(D1789="","",IF(V1789=0,"🟢 OK",IF(D1789&lt;corte,"⚪ HISTÓRICO (sem baixa)",IF(AND(ISNUMBER(R1789),R1789&lt;TODAY()),"🔴 PRAZO VENCIDO",IF(AND(OR(N1789="PENDENTE",N1789="PARCIAL"),D1789&lt;TODAY()-1),"🔴 EMBARQUE ATRASADO",IF(AND(N1789="REALIZADO",M1789="PENDENTE"),"🟡 EMBARCADO SEM FATURAR",IF(AND(P1789&lt;&gt;"",S1789="",OR(Q1789="",R1789="")),"🟡 PENDÊNCIA SEM RESPONSÁVEL/PRAZO",IF(AND(ISNUMBER(R1789),R1789=TODAY()),"🟡 VENCE HOJE",IF(AND(P1789&lt;&gt;"",S1789=""),"🟡 PENDÊNCIA ABERTA",IF(AND(N(J1789)&gt;0,N(K1789)&lt;J1789),"🟡 FALTA EXECUTAR",IF(OR(M1789="PENDENTE",M1789="PARCIAL"),"🟡 FATURAMENTO PENDENTE","🟡 EMBARQUE PENDENTE")))))))))))</f>
        <v/>
      </c>
      <c r="D1789" s="4" t="n"/>
      <c r="E1789" s="5" t="n"/>
      <c r="F1789" s="5" t="n"/>
      <c r="G1789" s="5" t="n"/>
      <c r="H1789" s="5" t="n"/>
      <c r="I1789" s="5" t="n"/>
      <c r="J1789" s="6" t="n"/>
      <c r="K1789" s="6" t="n"/>
      <c r="L1789" s="7">
        <f>IF(OR(D1789="",N(J1789)=0),"",MIN(1,N(K1789)/J1789))</f>
        <v/>
      </c>
      <c r="M1789" s="5" t="n"/>
      <c r="N1789" s="5" t="n"/>
      <c r="O1789" s="5" t="n"/>
      <c r="P1789" s="5" t="n"/>
      <c r="Q1789" s="5" t="n"/>
      <c r="R1789" s="4" t="n"/>
      <c r="S1789" s="4" t="n"/>
      <c r="T1789" s="5" t="n"/>
      <c r="U1789" s="8">
        <f>IF(AND(V1789=1,D1789&lt;&gt;""),IF(D1789&gt;=corte,TODAY()-D1789,""),"")</f>
        <v/>
      </c>
      <c r="V1789" s="8">
        <f>IF(D1789="",0,IF(OR(AND(P1789&lt;&gt;"",S1789=""),AND(N(J1789)&gt;0,N(K1789)&lt;J1789),OR(M1789="PENDENTE",M1789="PARCIAL"),OR(N1789="PENDENTE",N1789="PARCIAL")),1,0))</f>
        <v/>
      </c>
      <c r="W1789" s="8">
        <f>IF(AND(V1789=1,D1789&lt;&gt;""),IF(D1789&gt;=corte,(B1789="CRÍTICO")*1E9+(100000-D1789)*10000+10000-ROW(),""),"")</f>
        <v/>
      </c>
      <c r="X1789" s="8">
        <f>IF(AND(V1789=1,D1789=pas_data,E1789=pas_turno),10000-ROW(),"")</f>
        <v/>
      </c>
    </row>
    <row r="1790">
      <c r="A1790" s="3">
        <f>IF(D1790="","","TT-"&amp;TEXT(ROW()-1,"00000"))</f>
        <v/>
      </c>
      <c r="B1790" s="3">
        <f>IF(D1790="","",IF(V1790=0,"CONCLUÍDO",IF(D1790&lt;corte,"HISTÓRICO",IF(OR(AND(ISNUMBER(R1790),R1790&lt;TODAY()),AND(OR(N1790="PENDENTE",N1790="PARCIAL"),D1790&lt;TODAY()-1)),"CRÍTICO",IF(OR(AND(P1790&lt;&gt;"",S1790=""),AND(N1790="REALIZADO",M1790="PENDENTE"),AND(ISNUMBER(R1790),R1790=TODAY())),"ATENÇÃO",IF(N(K1790)=0,"PENDENTE","EM ANDAMENTO"))))))</f>
        <v/>
      </c>
      <c r="C1790" s="3">
        <f>IF(D1790="","",IF(V1790=0,"🟢 OK",IF(D1790&lt;corte,"⚪ HISTÓRICO (sem baixa)",IF(AND(ISNUMBER(R1790),R1790&lt;TODAY()),"🔴 PRAZO VENCIDO",IF(AND(OR(N1790="PENDENTE",N1790="PARCIAL"),D1790&lt;TODAY()-1),"🔴 EMBARQUE ATRASADO",IF(AND(N1790="REALIZADO",M1790="PENDENTE"),"🟡 EMBARCADO SEM FATURAR",IF(AND(P1790&lt;&gt;"",S1790="",OR(Q1790="",R1790="")),"🟡 PENDÊNCIA SEM RESPONSÁVEL/PRAZO",IF(AND(ISNUMBER(R1790),R1790=TODAY()),"🟡 VENCE HOJE",IF(AND(P1790&lt;&gt;"",S1790=""),"🟡 PENDÊNCIA ABERTA",IF(AND(N(J1790)&gt;0,N(K1790)&lt;J1790),"🟡 FALTA EXECUTAR",IF(OR(M1790="PENDENTE",M1790="PARCIAL"),"🟡 FATURAMENTO PENDENTE","🟡 EMBARQUE PENDENTE")))))))))))</f>
        <v/>
      </c>
      <c r="D1790" s="4" t="n"/>
      <c r="E1790" s="5" t="n"/>
      <c r="F1790" s="5" t="n"/>
      <c r="G1790" s="5" t="n"/>
      <c r="H1790" s="5" t="n"/>
      <c r="I1790" s="5" t="n"/>
      <c r="J1790" s="6" t="n"/>
      <c r="K1790" s="6" t="n"/>
      <c r="L1790" s="7">
        <f>IF(OR(D1790="",N(J1790)=0),"",MIN(1,N(K1790)/J1790))</f>
        <v/>
      </c>
      <c r="M1790" s="5" t="n"/>
      <c r="N1790" s="5" t="n"/>
      <c r="O1790" s="5" t="n"/>
      <c r="P1790" s="5" t="n"/>
      <c r="Q1790" s="5" t="n"/>
      <c r="R1790" s="4" t="n"/>
      <c r="S1790" s="4" t="n"/>
      <c r="T1790" s="5" t="n"/>
      <c r="U1790" s="8">
        <f>IF(AND(V1790=1,D1790&lt;&gt;""),IF(D1790&gt;=corte,TODAY()-D1790,""),"")</f>
        <v/>
      </c>
      <c r="V1790" s="8">
        <f>IF(D1790="",0,IF(OR(AND(P1790&lt;&gt;"",S1790=""),AND(N(J1790)&gt;0,N(K1790)&lt;J1790),OR(M1790="PENDENTE",M1790="PARCIAL"),OR(N1790="PENDENTE",N1790="PARCIAL")),1,0))</f>
        <v/>
      </c>
      <c r="W1790" s="8">
        <f>IF(AND(V1790=1,D1790&lt;&gt;""),IF(D1790&gt;=corte,(B1790="CRÍTICO")*1E9+(100000-D1790)*10000+10000-ROW(),""),"")</f>
        <v/>
      </c>
      <c r="X1790" s="8">
        <f>IF(AND(V1790=1,D1790=pas_data,E1790=pas_turno),10000-ROW(),"")</f>
        <v/>
      </c>
    </row>
    <row r="1791">
      <c r="A1791" s="3">
        <f>IF(D1791="","","TT-"&amp;TEXT(ROW()-1,"00000"))</f>
        <v/>
      </c>
      <c r="B1791" s="3">
        <f>IF(D1791="","",IF(V1791=0,"CONCLUÍDO",IF(D1791&lt;corte,"HISTÓRICO",IF(OR(AND(ISNUMBER(R1791),R1791&lt;TODAY()),AND(OR(N1791="PENDENTE",N1791="PARCIAL"),D1791&lt;TODAY()-1)),"CRÍTICO",IF(OR(AND(P1791&lt;&gt;"",S1791=""),AND(N1791="REALIZADO",M1791="PENDENTE"),AND(ISNUMBER(R1791),R1791=TODAY())),"ATENÇÃO",IF(N(K1791)=0,"PENDENTE","EM ANDAMENTO"))))))</f>
        <v/>
      </c>
      <c r="C1791" s="3">
        <f>IF(D1791="","",IF(V1791=0,"🟢 OK",IF(D1791&lt;corte,"⚪ HISTÓRICO (sem baixa)",IF(AND(ISNUMBER(R1791),R1791&lt;TODAY()),"🔴 PRAZO VENCIDO",IF(AND(OR(N1791="PENDENTE",N1791="PARCIAL"),D1791&lt;TODAY()-1),"🔴 EMBARQUE ATRASADO",IF(AND(N1791="REALIZADO",M1791="PENDENTE"),"🟡 EMBARCADO SEM FATURAR",IF(AND(P1791&lt;&gt;"",S1791="",OR(Q1791="",R1791="")),"🟡 PENDÊNCIA SEM RESPONSÁVEL/PRAZO",IF(AND(ISNUMBER(R1791),R1791=TODAY()),"🟡 VENCE HOJE",IF(AND(P1791&lt;&gt;"",S1791=""),"🟡 PENDÊNCIA ABERTA",IF(AND(N(J1791)&gt;0,N(K1791)&lt;J1791),"🟡 FALTA EXECUTAR",IF(OR(M1791="PENDENTE",M1791="PARCIAL"),"🟡 FATURAMENTO PENDENTE","🟡 EMBARQUE PENDENTE")))))))))))</f>
        <v/>
      </c>
      <c r="D1791" s="4" t="n"/>
      <c r="E1791" s="5" t="n"/>
      <c r="F1791" s="5" t="n"/>
      <c r="G1791" s="5" t="n"/>
      <c r="H1791" s="5" t="n"/>
      <c r="I1791" s="5" t="n"/>
      <c r="J1791" s="6" t="n"/>
      <c r="K1791" s="6" t="n"/>
      <c r="L1791" s="7">
        <f>IF(OR(D1791="",N(J1791)=0),"",MIN(1,N(K1791)/J1791))</f>
        <v/>
      </c>
      <c r="M1791" s="5" t="n"/>
      <c r="N1791" s="5" t="n"/>
      <c r="O1791" s="5" t="n"/>
      <c r="P1791" s="5" t="n"/>
      <c r="Q1791" s="5" t="n"/>
      <c r="R1791" s="4" t="n"/>
      <c r="S1791" s="4" t="n"/>
      <c r="T1791" s="5" t="n"/>
      <c r="U1791" s="8">
        <f>IF(AND(V1791=1,D1791&lt;&gt;""),IF(D1791&gt;=corte,TODAY()-D1791,""),"")</f>
        <v/>
      </c>
      <c r="V1791" s="8">
        <f>IF(D1791="",0,IF(OR(AND(P1791&lt;&gt;"",S1791=""),AND(N(J1791)&gt;0,N(K1791)&lt;J1791),OR(M1791="PENDENTE",M1791="PARCIAL"),OR(N1791="PENDENTE",N1791="PARCIAL")),1,0))</f>
        <v/>
      </c>
      <c r="W1791" s="8">
        <f>IF(AND(V1791=1,D1791&lt;&gt;""),IF(D1791&gt;=corte,(B1791="CRÍTICO")*1E9+(100000-D1791)*10000+10000-ROW(),""),"")</f>
        <v/>
      </c>
      <c r="X1791" s="8">
        <f>IF(AND(V1791=1,D1791=pas_data,E1791=pas_turno),10000-ROW(),"")</f>
        <v/>
      </c>
    </row>
    <row r="1792">
      <c r="A1792" s="3">
        <f>IF(D1792="","","TT-"&amp;TEXT(ROW()-1,"00000"))</f>
        <v/>
      </c>
      <c r="B1792" s="3">
        <f>IF(D1792="","",IF(V1792=0,"CONCLUÍDO",IF(D1792&lt;corte,"HISTÓRICO",IF(OR(AND(ISNUMBER(R1792),R1792&lt;TODAY()),AND(OR(N1792="PENDENTE",N1792="PARCIAL"),D1792&lt;TODAY()-1)),"CRÍTICO",IF(OR(AND(P1792&lt;&gt;"",S1792=""),AND(N1792="REALIZADO",M1792="PENDENTE"),AND(ISNUMBER(R1792),R1792=TODAY())),"ATENÇÃO",IF(N(K1792)=0,"PENDENTE","EM ANDAMENTO"))))))</f>
        <v/>
      </c>
      <c r="C1792" s="3">
        <f>IF(D1792="","",IF(V1792=0,"🟢 OK",IF(D1792&lt;corte,"⚪ HISTÓRICO (sem baixa)",IF(AND(ISNUMBER(R1792),R1792&lt;TODAY()),"🔴 PRAZO VENCIDO",IF(AND(OR(N1792="PENDENTE",N1792="PARCIAL"),D1792&lt;TODAY()-1),"🔴 EMBARQUE ATRASADO",IF(AND(N1792="REALIZADO",M1792="PENDENTE"),"🟡 EMBARCADO SEM FATURAR",IF(AND(P1792&lt;&gt;"",S1792="",OR(Q1792="",R1792="")),"🟡 PENDÊNCIA SEM RESPONSÁVEL/PRAZO",IF(AND(ISNUMBER(R1792),R1792=TODAY()),"🟡 VENCE HOJE",IF(AND(P1792&lt;&gt;"",S1792=""),"🟡 PENDÊNCIA ABERTA",IF(AND(N(J1792)&gt;0,N(K1792)&lt;J1792),"🟡 FALTA EXECUTAR",IF(OR(M1792="PENDENTE",M1792="PARCIAL"),"🟡 FATURAMENTO PENDENTE","🟡 EMBARQUE PENDENTE")))))))))))</f>
        <v/>
      </c>
      <c r="D1792" s="4" t="n"/>
      <c r="E1792" s="5" t="n"/>
      <c r="F1792" s="5" t="n"/>
      <c r="G1792" s="5" t="n"/>
      <c r="H1792" s="5" t="n"/>
      <c r="I1792" s="5" t="n"/>
      <c r="J1792" s="6" t="n"/>
      <c r="K1792" s="6" t="n"/>
      <c r="L1792" s="7">
        <f>IF(OR(D1792="",N(J1792)=0),"",MIN(1,N(K1792)/J1792))</f>
        <v/>
      </c>
      <c r="M1792" s="5" t="n"/>
      <c r="N1792" s="5" t="n"/>
      <c r="O1792" s="5" t="n"/>
      <c r="P1792" s="5" t="n"/>
      <c r="Q1792" s="5" t="n"/>
      <c r="R1792" s="4" t="n"/>
      <c r="S1792" s="4" t="n"/>
      <c r="T1792" s="5" t="n"/>
      <c r="U1792" s="8">
        <f>IF(AND(V1792=1,D1792&lt;&gt;""),IF(D1792&gt;=corte,TODAY()-D1792,""),"")</f>
        <v/>
      </c>
      <c r="V1792" s="8">
        <f>IF(D1792="",0,IF(OR(AND(P1792&lt;&gt;"",S1792=""),AND(N(J1792)&gt;0,N(K1792)&lt;J1792),OR(M1792="PENDENTE",M1792="PARCIAL"),OR(N1792="PENDENTE",N1792="PARCIAL")),1,0))</f>
        <v/>
      </c>
      <c r="W1792" s="8">
        <f>IF(AND(V1792=1,D1792&lt;&gt;""),IF(D1792&gt;=corte,(B1792="CRÍTICO")*1E9+(100000-D1792)*10000+10000-ROW(),""),"")</f>
        <v/>
      </c>
      <c r="X1792" s="8">
        <f>IF(AND(V1792=1,D1792=pas_data,E1792=pas_turno),10000-ROW(),"")</f>
        <v/>
      </c>
    </row>
    <row r="1793">
      <c r="A1793" s="3">
        <f>IF(D1793="","","TT-"&amp;TEXT(ROW()-1,"00000"))</f>
        <v/>
      </c>
      <c r="B1793" s="3">
        <f>IF(D1793="","",IF(V1793=0,"CONCLUÍDO",IF(D1793&lt;corte,"HISTÓRICO",IF(OR(AND(ISNUMBER(R1793),R1793&lt;TODAY()),AND(OR(N1793="PENDENTE",N1793="PARCIAL"),D1793&lt;TODAY()-1)),"CRÍTICO",IF(OR(AND(P1793&lt;&gt;"",S1793=""),AND(N1793="REALIZADO",M1793="PENDENTE"),AND(ISNUMBER(R1793),R1793=TODAY())),"ATENÇÃO",IF(N(K1793)=0,"PENDENTE","EM ANDAMENTO"))))))</f>
        <v/>
      </c>
      <c r="C1793" s="3">
        <f>IF(D1793="","",IF(V1793=0,"🟢 OK",IF(D1793&lt;corte,"⚪ HISTÓRICO (sem baixa)",IF(AND(ISNUMBER(R1793),R1793&lt;TODAY()),"🔴 PRAZO VENCIDO",IF(AND(OR(N1793="PENDENTE",N1793="PARCIAL"),D1793&lt;TODAY()-1),"🔴 EMBARQUE ATRASADO",IF(AND(N1793="REALIZADO",M1793="PENDENTE"),"🟡 EMBARCADO SEM FATURAR",IF(AND(P1793&lt;&gt;"",S1793="",OR(Q1793="",R1793="")),"🟡 PENDÊNCIA SEM RESPONSÁVEL/PRAZO",IF(AND(ISNUMBER(R1793),R1793=TODAY()),"🟡 VENCE HOJE",IF(AND(P1793&lt;&gt;"",S1793=""),"🟡 PENDÊNCIA ABERTA",IF(AND(N(J1793)&gt;0,N(K1793)&lt;J1793),"🟡 FALTA EXECUTAR",IF(OR(M1793="PENDENTE",M1793="PARCIAL"),"🟡 FATURAMENTO PENDENTE","🟡 EMBARQUE PENDENTE")))))))))))</f>
        <v/>
      </c>
      <c r="D1793" s="4" t="n"/>
      <c r="E1793" s="5" t="n"/>
      <c r="F1793" s="5" t="n"/>
      <c r="G1793" s="5" t="n"/>
      <c r="H1793" s="5" t="n"/>
      <c r="I1793" s="5" t="n"/>
      <c r="J1793" s="6" t="n"/>
      <c r="K1793" s="6" t="n"/>
      <c r="L1793" s="7">
        <f>IF(OR(D1793="",N(J1793)=0),"",MIN(1,N(K1793)/J1793))</f>
        <v/>
      </c>
      <c r="M1793" s="5" t="n"/>
      <c r="N1793" s="5" t="n"/>
      <c r="O1793" s="5" t="n"/>
      <c r="P1793" s="5" t="n"/>
      <c r="Q1793" s="5" t="n"/>
      <c r="R1793" s="4" t="n"/>
      <c r="S1793" s="4" t="n"/>
      <c r="T1793" s="5" t="n"/>
      <c r="U1793" s="8">
        <f>IF(AND(V1793=1,D1793&lt;&gt;""),IF(D1793&gt;=corte,TODAY()-D1793,""),"")</f>
        <v/>
      </c>
      <c r="V1793" s="8">
        <f>IF(D1793="",0,IF(OR(AND(P1793&lt;&gt;"",S1793=""),AND(N(J1793)&gt;0,N(K1793)&lt;J1793),OR(M1793="PENDENTE",M1793="PARCIAL"),OR(N1793="PENDENTE",N1793="PARCIAL")),1,0))</f>
        <v/>
      </c>
      <c r="W1793" s="8">
        <f>IF(AND(V1793=1,D1793&lt;&gt;""),IF(D1793&gt;=corte,(B1793="CRÍTICO")*1E9+(100000-D1793)*10000+10000-ROW(),""),"")</f>
        <v/>
      </c>
      <c r="X1793" s="8">
        <f>IF(AND(V1793=1,D1793=pas_data,E1793=pas_turno),10000-ROW(),"")</f>
        <v/>
      </c>
    </row>
    <row r="1794">
      <c r="A1794" s="3">
        <f>IF(D1794="","","TT-"&amp;TEXT(ROW()-1,"00000"))</f>
        <v/>
      </c>
      <c r="B1794" s="3">
        <f>IF(D1794="","",IF(V1794=0,"CONCLUÍDO",IF(D1794&lt;corte,"HISTÓRICO",IF(OR(AND(ISNUMBER(R1794),R1794&lt;TODAY()),AND(OR(N1794="PENDENTE",N1794="PARCIAL"),D1794&lt;TODAY()-1)),"CRÍTICO",IF(OR(AND(P1794&lt;&gt;"",S1794=""),AND(N1794="REALIZADO",M1794="PENDENTE"),AND(ISNUMBER(R1794),R1794=TODAY())),"ATENÇÃO",IF(N(K1794)=0,"PENDENTE","EM ANDAMENTO"))))))</f>
        <v/>
      </c>
      <c r="C1794" s="3">
        <f>IF(D1794="","",IF(V1794=0,"🟢 OK",IF(D1794&lt;corte,"⚪ HISTÓRICO (sem baixa)",IF(AND(ISNUMBER(R1794),R1794&lt;TODAY()),"🔴 PRAZO VENCIDO",IF(AND(OR(N1794="PENDENTE",N1794="PARCIAL"),D1794&lt;TODAY()-1),"🔴 EMBARQUE ATRASADO",IF(AND(N1794="REALIZADO",M1794="PENDENTE"),"🟡 EMBARCADO SEM FATURAR",IF(AND(P1794&lt;&gt;"",S1794="",OR(Q1794="",R1794="")),"🟡 PENDÊNCIA SEM RESPONSÁVEL/PRAZO",IF(AND(ISNUMBER(R1794),R1794=TODAY()),"🟡 VENCE HOJE",IF(AND(P1794&lt;&gt;"",S1794=""),"🟡 PENDÊNCIA ABERTA",IF(AND(N(J1794)&gt;0,N(K1794)&lt;J1794),"🟡 FALTA EXECUTAR",IF(OR(M1794="PENDENTE",M1794="PARCIAL"),"🟡 FATURAMENTO PENDENTE","🟡 EMBARQUE PENDENTE")))))))))))</f>
        <v/>
      </c>
      <c r="D1794" s="4" t="n"/>
      <c r="E1794" s="5" t="n"/>
      <c r="F1794" s="5" t="n"/>
      <c r="G1794" s="5" t="n"/>
      <c r="H1794" s="5" t="n"/>
      <c r="I1794" s="5" t="n"/>
      <c r="J1794" s="6" t="n"/>
      <c r="K1794" s="6" t="n"/>
      <c r="L1794" s="7">
        <f>IF(OR(D1794="",N(J1794)=0),"",MIN(1,N(K1794)/J1794))</f>
        <v/>
      </c>
      <c r="M1794" s="5" t="n"/>
      <c r="N1794" s="5" t="n"/>
      <c r="O1794" s="5" t="n"/>
      <c r="P1794" s="5" t="n"/>
      <c r="Q1794" s="5" t="n"/>
      <c r="R1794" s="4" t="n"/>
      <c r="S1794" s="4" t="n"/>
      <c r="T1794" s="5" t="n"/>
      <c r="U1794" s="8">
        <f>IF(AND(V1794=1,D1794&lt;&gt;""),IF(D1794&gt;=corte,TODAY()-D1794,""),"")</f>
        <v/>
      </c>
      <c r="V1794" s="8">
        <f>IF(D1794="",0,IF(OR(AND(P1794&lt;&gt;"",S1794=""),AND(N(J1794)&gt;0,N(K1794)&lt;J1794),OR(M1794="PENDENTE",M1794="PARCIAL"),OR(N1794="PENDENTE",N1794="PARCIAL")),1,0))</f>
        <v/>
      </c>
      <c r="W1794" s="8">
        <f>IF(AND(V1794=1,D1794&lt;&gt;""),IF(D1794&gt;=corte,(B1794="CRÍTICO")*1E9+(100000-D1794)*10000+10000-ROW(),""),"")</f>
        <v/>
      </c>
      <c r="X1794" s="8">
        <f>IF(AND(V1794=1,D1794=pas_data,E1794=pas_turno),10000-ROW(),"")</f>
        <v/>
      </c>
    </row>
    <row r="1795">
      <c r="A1795" s="3">
        <f>IF(D1795="","","TT-"&amp;TEXT(ROW()-1,"00000"))</f>
        <v/>
      </c>
      <c r="B1795" s="3">
        <f>IF(D1795="","",IF(V1795=0,"CONCLUÍDO",IF(D1795&lt;corte,"HISTÓRICO",IF(OR(AND(ISNUMBER(R1795),R1795&lt;TODAY()),AND(OR(N1795="PENDENTE",N1795="PARCIAL"),D1795&lt;TODAY()-1)),"CRÍTICO",IF(OR(AND(P1795&lt;&gt;"",S1795=""),AND(N1795="REALIZADO",M1795="PENDENTE"),AND(ISNUMBER(R1795),R1795=TODAY())),"ATENÇÃO",IF(N(K1795)=0,"PENDENTE","EM ANDAMENTO"))))))</f>
        <v/>
      </c>
      <c r="C1795" s="3">
        <f>IF(D1795="","",IF(V1795=0,"🟢 OK",IF(D1795&lt;corte,"⚪ HISTÓRICO (sem baixa)",IF(AND(ISNUMBER(R1795),R1795&lt;TODAY()),"🔴 PRAZO VENCIDO",IF(AND(OR(N1795="PENDENTE",N1795="PARCIAL"),D1795&lt;TODAY()-1),"🔴 EMBARQUE ATRASADO",IF(AND(N1795="REALIZADO",M1795="PENDENTE"),"🟡 EMBARCADO SEM FATURAR",IF(AND(P1795&lt;&gt;"",S1795="",OR(Q1795="",R1795="")),"🟡 PENDÊNCIA SEM RESPONSÁVEL/PRAZO",IF(AND(ISNUMBER(R1795),R1795=TODAY()),"🟡 VENCE HOJE",IF(AND(P1795&lt;&gt;"",S1795=""),"🟡 PENDÊNCIA ABERTA",IF(AND(N(J1795)&gt;0,N(K1795)&lt;J1795),"🟡 FALTA EXECUTAR",IF(OR(M1795="PENDENTE",M1795="PARCIAL"),"🟡 FATURAMENTO PENDENTE","🟡 EMBARQUE PENDENTE")))))))))))</f>
        <v/>
      </c>
      <c r="D1795" s="4" t="n"/>
      <c r="E1795" s="5" t="n"/>
      <c r="F1795" s="5" t="n"/>
      <c r="G1795" s="5" t="n"/>
      <c r="H1795" s="5" t="n"/>
      <c r="I1795" s="5" t="n"/>
      <c r="J1795" s="6" t="n"/>
      <c r="K1795" s="6" t="n"/>
      <c r="L1795" s="7">
        <f>IF(OR(D1795="",N(J1795)=0),"",MIN(1,N(K1795)/J1795))</f>
        <v/>
      </c>
      <c r="M1795" s="5" t="n"/>
      <c r="N1795" s="5" t="n"/>
      <c r="O1795" s="5" t="n"/>
      <c r="P1795" s="5" t="n"/>
      <c r="Q1795" s="5" t="n"/>
      <c r="R1795" s="4" t="n"/>
      <c r="S1795" s="4" t="n"/>
      <c r="T1795" s="5" t="n"/>
      <c r="U1795" s="8">
        <f>IF(AND(V1795=1,D1795&lt;&gt;""),IF(D1795&gt;=corte,TODAY()-D1795,""),"")</f>
        <v/>
      </c>
      <c r="V1795" s="8">
        <f>IF(D1795="",0,IF(OR(AND(P1795&lt;&gt;"",S1795=""),AND(N(J1795)&gt;0,N(K1795)&lt;J1795),OR(M1795="PENDENTE",M1795="PARCIAL"),OR(N1795="PENDENTE",N1795="PARCIAL")),1,0))</f>
        <v/>
      </c>
      <c r="W1795" s="8">
        <f>IF(AND(V1795=1,D1795&lt;&gt;""),IF(D1795&gt;=corte,(B1795="CRÍTICO")*1E9+(100000-D1795)*10000+10000-ROW(),""),"")</f>
        <v/>
      </c>
      <c r="X1795" s="8">
        <f>IF(AND(V1795=1,D1795=pas_data,E1795=pas_turno),10000-ROW(),"")</f>
        <v/>
      </c>
    </row>
    <row r="1796">
      <c r="A1796" s="3">
        <f>IF(D1796="","","TT-"&amp;TEXT(ROW()-1,"00000"))</f>
        <v/>
      </c>
      <c r="B1796" s="3">
        <f>IF(D1796="","",IF(V1796=0,"CONCLUÍDO",IF(D1796&lt;corte,"HISTÓRICO",IF(OR(AND(ISNUMBER(R1796),R1796&lt;TODAY()),AND(OR(N1796="PENDENTE",N1796="PARCIAL"),D1796&lt;TODAY()-1)),"CRÍTICO",IF(OR(AND(P1796&lt;&gt;"",S1796=""),AND(N1796="REALIZADO",M1796="PENDENTE"),AND(ISNUMBER(R1796),R1796=TODAY())),"ATENÇÃO",IF(N(K1796)=0,"PENDENTE","EM ANDAMENTO"))))))</f>
        <v/>
      </c>
      <c r="C1796" s="3">
        <f>IF(D1796="","",IF(V1796=0,"🟢 OK",IF(D1796&lt;corte,"⚪ HISTÓRICO (sem baixa)",IF(AND(ISNUMBER(R1796),R1796&lt;TODAY()),"🔴 PRAZO VENCIDO",IF(AND(OR(N1796="PENDENTE",N1796="PARCIAL"),D1796&lt;TODAY()-1),"🔴 EMBARQUE ATRASADO",IF(AND(N1796="REALIZADO",M1796="PENDENTE"),"🟡 EMBARCADO SEM FATURAR",IF(AND(P1796&lt;&gt;"",S1796="",OR(Q1796="",R1796="")),"🟡 PENDÊNCIA SEM RESPONSÁVEL/PRAZO",IF(AND(ISNUMBER(R1796),R1796=TODAY()),"🟡 VENCE HOJE",IF(AND(P1796&lt;&gt;"",S1796=""),"🟡 PENDÊNCIA ABERTA",IF(AND(N(J1796)&gt;0,N(K1796)&lt;J1796),"🟡 FALTA EXECUTAR",IF(OR(M1796="PENDENTE",M1796="PARCIAL"),"🟡 FATURAMENTO PENDENTE","🟡 EMBARQUE PENDENTE")))))))))))</f>
        <v/>
      </c>
      <c r="D1796" s="4" t="n"/>
      <c r="E1796" s="5" t="n"/>
      <c r="F1796" s="5" t="n"/>
      <c r="G1796" s="5" t="n"/>
      <c r="H1796" s="5" t="n"/>
      <c r="I1796" s="5" t="n"/>
      <c r="J1796" s="6" t="n"/>
      <c r="K1796" s="6" t="n"/>
      <c r="L1796" s="7">
        <f>IF(OR(D1796="",N(J1796)=0),"",MIN(1,N(K1796)/J1796))</f>
        <v/>
      </c>
      <c r="M1796" s="5" t="n"/>
      <c r="N1796" s="5" t="n"/>
      <c r="O1796" s="5" t="n"/>
      <c r="P1796" s="5" t="n"/>
      <c r="Q1796" s="5" t="n"/>
      <c r="R1796" s="4" t="n"/>
      <c r="S1796" s="4" t="n"/>
      <c r="T1796" s="5" t="n"/>
      <c r="U1796" s="8">
        <f>IF(AND(V1796=1,D1796&lt;&gt;""),IF(D1796&gt;=corte,TODAY()-D1796,""),"")</f>
        <v/>
      </c>
      <c r="V1796" s="8">
        <f>IF(D1796="",0,IF(OR(AND(P1796&lt;&gt;"",S1796=""),AND(N(J1796)&gt;0,N(K1796)&lt;J1796),OR(M1796="PENDENTE",M1796="PARCIAL"),OR(N1796="PENDENTE",N1796="PARCIAL")),1,0))</f>
        <v/>
      </c>
      <c r="W1796" s="8">
        <f>IF(AND(V1796=1,D1796&lt;&gt;""),IF(D1796&gt;=corte,(B1796="CRÍTICO")*1E9+(100000-D1796)*10000+10000-ROW(),""),"")</f>
        <v/>
      </c>
      <c r="X1796" s="8">
        <f>IF(AND(V1796=1,D1796=pas_data,E1796=pas_turno),10000-ROW(),"")</f>
        <v/>
      </c>
    </row>
    <row r="1797">
      <c r="A1797" s="3">
        <f>IF(D1797="","","TT-"&amp;TEXT(ROW()-1,"00000"))</f>
        <v/>
      </c>
      <c r="B1797" s="3">
        <f>IF(D1797="","",IF(V1797=0,"CONCLUÍDO",IF(D1797&lt;corte,"HISTÓRICO",IF(OR(AND(ISNUMBER(R1797),R1797&lt;TODAY()),AND(OR(N1797="PENDENTE",N1797="PARCIAL"),D1797&lt;TODAY()-1)),"CRÍTICO",IF(OR(AND(P1797&lt;&gt;"",S1797=""),AND(N1797="REALIZADO",M1797="PENDENTE"),AND(ISNUMBER(R1797),R1797=TODAY())),"ATENÇÃO",IF(N(K1797)=0,"PENDENTE","EM ANDAMENTO"))))))</f>
        <v/>
      </c>
      <c r="C1797" s="3">
        <f>IF(D1797="","",IF(V1797=0,"🟢 OK",IF(D1797&lt;corte,"⚪ HISTÓRICO (sem baixa)",IF(AND(ISNUMBER(R1797),R1797&lt;TODAY()),"🔴 PRAZO VENCIDO",IF(AND(OR(N1797="PENDENTE",N1797="PARCIAL"),D1797&lt;TODAY()-1),"🔴 EMBARQUE ATRASADO",IF(AND(N1797="REALIZADO",M1797="PENDENTE"),"🟡 EMBARCADO SEM FATURAR",IF(AND(P1797&lt;&gt;"",S1797="",OR(Q1797="",R1797="")),"🟡 PENDÊNCIA SEM RESPONSÁVEL/PRAZO",IF(AND(ISNUMBER(R1797),R1797=TODAY()),"🟡 VENCE HOJE",IF(AND(P1797&lt;&gt;"",S1797=""),"🟡 PENDÊNCIA ABERTA",IF(AND(N(J1797)&gt;0,N(K1797)&lt;J1797),"🟡 FALTA EXECUTAR",IF(OR(M1797="PENDENTE",M1797="PARCIAL"),"🟡 FATURAMENTO PENDENTE","🟡 EMBARQUE PENDENTE")))))))))))</f>
        <v/>
      </c>
      <c r="D1797" s="4" t="n"/>
      <c r="E1797" s="5" t="n"/>
      <c r="F1797" s="5" t="n"/>
      <c r="G1797" s="5" t="n"/>
      <c r="H1797" s="5" t="n"/>
      <c r="I1797" s="5" t="n"/>
      <c r="J1797" s="6" t="n"/>
      <c r="K1797" s="6" t="n"/>
      <c r="L1797" s="7">
        <f>IF(OR(D1797="",N(J1797)=0),"",MIN(1,N(K1797)/J1797))</f>
        <v/>
      </c>
      <c r="M1797" s="5" t="n"/>
      <c r="N1797" s="5" t="n"/>
      <c r="O1797" s="5" t="n"/>
      <c r="P1797" s="5" t="n"/>
      <c r="Q1797" s="5" t="n"/>
      <c r="R1797" s="4" t="n"/>
      <c r="S1797" s="4" t="n"/>
      <c r="T1797" s="5" t="n"/>
      <c r="U1797" s="8">
        <f>IF(AND(V1797=1,D1797&lt;&gt;""),IF(D1797&gt;=corte,TODAY()-D1797,""),"")</f>
        <v/>
      </c>
      <c r="V1797" s="8">
        <f>IF(D1797="",0,IF(OR(AND(P1797&lt;&gt;"",S1797=""),AND(N(J1797)&gt;0,N(K1797)&lt;J1797),OR(M1797="PENDENTE",M1797="PARCIAL"),OR(N1797="PENDENTE",N1797="PARCIAL")),1,0))</f>
        <v/>
      </c>
      <c r="W1797" s="8">
        <f>IF(AND(V1797=1,D1797&lt;&gt;""),IF(D1797&gt;=corte,(B1797="CRÍTICO")*1E9+(100000-D1797)*10000+10000-ROW(),""),"")</f>
        <v/>
      </c>
      <c r="X1797" s="8">
        <f>IF(AND(V1797=1,D1797=pas_data,E1797=pas_turno),10000-ROW(),"")</f>
        <v/>
      </c>
    </row>
    <row r="1798">
      <c r="A1798" s="3">
        <f>IF(D1798="","","TT-"&amp;TEXT(ROW()-1,"00000"))</f>
        <v/>
      </c>
      <c r="B1798" s="3">
        <f>IF(D1798="","",IF(V1798=0,"CONCLUÍDO",IF(D1798&lt;corte,"HISTÓRICO",IF(OR(AND(ISNUMBER(R1798),R1798&lt;TODAY()),AND(OR(N1798="PENDENTE",N1798="PARCIAL"),D1798&lt;TODAY()-1)),"CRÍTICO",IF(OR(AND(P1798&lt;&gt;"",S1798=""),AND(N1798="REALIZADO",M1798="PENDENTE"),AND(ISNUMBER(R1798),R1798=TODAY())),"ATENÇÃO",IF(N(K1798)=0,"PENDENTE","EM ANDAMENTO"))))))</f>
        <v/>
      </c>
      <c r="C1798" s="3">
        <f>IF(D1798="","",IF(V1798=0,"🟢 OK",IF(D1798&lt;corte,"⚪ HISTÓRICO (sem baixa)",IF(AND(ISNUMBER(R1798),R1798&lt;TODAY()),"🔴 PRAZO VENCIDO",IF(AND(OR(N1798="PENDENTE",N1798="PARCIAL"),D1798&lt;TODAY()-1),"🔴 EMBARQUE ATRASADO",IF(AND(N1798="REALIZADO",M1798="PENDENTE"),"🟡 EMBARCADO SEM FATURAR",IF(AND(P1798&lt;&gt;"",S1798="",OR(Q1798="",R1798="")),"🟡 PENDÊNCIA SEM RESPONSÁVEL/PRAZO",IF(AND(ISNUMBER(R1798),R1798=TODAY()),"🟡 VENCE HOJE",IF(AND(P1798&lt;&gt;"",S1798=""),"🟡 PENDÊNCIA ABERTA",IF(AND(N(J1798)&gt;0,N(K1798)&lt;J1798),"🟡 FALTA EXECUTAR",IF(OR(M1798="PENDENTE",M1798="PARCIAL"),"🟡 FATURAMENTO PENDENTE","🟡 EMBARQUE PENDENTE")))))))))))</f>
        <v/>
      </c>
      <c r="D1798" s="4" t="n"/>
      <c r="E1798" s="5" t="n"/>
      <c r="F1798" s="5" t="n"/>
      <c r="G1798" s="5" t="n"/>
      <c r="H1798" s="5" t="n"/>
      <c r="I1798" s="5" t="n"/>
      <c r="J1798" s="6" t="n"/>
      <c r="K1798" s="6" t="n"/>
      <c r="L1798" s="7">
        <f>IF(OR(D1798="",N(J1798)=0),"",MIN(1,N(K1798)/J1798))</f>
        <v/>
      </c>
      <c r="M1798" s="5" t="n"/>
      <c r="N1798" s="5" t="n"/>
      <c r="O1798" s="5" t="n"/>
      <c r="P1798" s="5" t="n"/>
      <c r="Q1798" s="5" t="n"/>
      <c r="R1798" s="4" t="n"/>
      <c r="S1798" s="4" t="n"/>
      <c r="T1798" s="5" t="n"/>
      <c r="U1798" s="8">
        <f>IF(AND(V1798=1,D1798&lt;&gt;""),IF(D1798&gt;=corte,TODAY()-D1798,""),"")</f>
        <v/>
      </c>
      <c r="V1798" s="8">
        <f>IF(D1798="",0,IF(OR(AND(P1798&lt;&gt;"",S1798=""),AND(N(J1798)&gt;0,N(K1798)&lt;J1798),OR(M1798="PENDENTE",M1798="PARCIAL"),OR(N1798="PENDENTE",N1798="PARCIAL")),1,0))</f>
        <v/>
      </c>
      <c r="W1798" s="8">
        <f>IF(AND(V1798=1,D1798&lt;&gt;""),IF(D1798&gt;=corte,(B1798="CRÍTICO")*1E9+(100000-D1798)*10000+10000-ROW(),""),"")</f>
        <v/>
      </c>
      <c r="X1798" s="8">
        <f>IF(AND(V1798=1,D1798=pas_data,E1798=pas_turno),10000-ROW(),"")</f>
        <v/>
      </c>
    </row>
    <row r="1799">
      <c r="A1799" s="3">
        <f>IF(D1799="","","TT-"&amp;TEXT(ROW()-1,"00000"))</f>
        <v/>
      </c>
      <c r="B1799" s="3">
        <f>IF(D1799="","",IF(V1799=0,"CONCLUÍDO",IF(D1799&lt;corte,"HISTÓRICO",IF(OR(AND(ISNUMBER(R1799),R1799&lt;TODAY()),AND(OR(N1799="PENDENTE",N1799="PARCIAL"),D1799&lt;TODAY()-1)),"CRÍTICO",IF(OR(AND(P1799&lt;&gt;"",S1799=""),AND(N1799="REALIZADO",M1799="PENDENTE"),AND(ISNUMBER(R1799),R1799=TODAY())),"ATENÇÃO",IF(N(K1799)=0,"PENDENTE","EM ANDAMENTO"))))))</f>
        <v/>
      </c>
      <c r="C1799" s="3">
        <f>IF(D1799="","",IF(V1799=0,"🟢 OK",IF(D1799&lt;corte,"⚪ HISTÓRICO (sem baixa)",IF(AND(ISNUMBER(R1799),R1799&lt;TODAY()),"🔴 PRAZO VENCIDO",IF(AND(OR(N1799="PENDENTE",N1799="PARCIAL"),D1799&lt;TODAY()-1),"🔴 EMBARQUE ATRASADO",IF(AND(N1799="REALIZADO",M1799="PENDENTE"),"🟡 EMBARCADO SEM FATURAR",IF(AND(P1799&lt;&gt;"",S1799="",OR(Q1799="",R1799="")),"🟡 PENDÊNCIA SEM RESPONSÁVEL/PRAZO",IF(AND(ISNUMBER(R1799),R1799=TODAY()),"🟡 VENCE HOJE",IF(AND(P1799&lt;&gt;"",S1799=""),"🟡 PENDÊNCIA ABERTA",IF(AND(N(J1799)&gt;0,N(K1799)&lt;J1799),"🟡 FALTA EXECUTAR",IF(OR(M1799="PENDENTE",M1799="PARCIAL"),"🟡 FATURAMENTO PENDENTE","🟡 EMBARQUE PENDENTE")))))))))))</f>
        <v/>
      </c>
      <c r="D1799" s="4" t="n"/>
      <c r="E1799" s="5" t="n"/>
      <c r="F1799" s="5" t="n"/>
      <c r="G1799" s="5" t="n"/>
      <c r="H1799" s="5" t="n"/>
      <c r="I1799" s="5" t="n"/>
      <c r="J1799" s="6" t="n"/>
      <c r="K1799" s="6" t="n"/>
      <c r="L1799" s="7">
        <f>IF(OR(D1799="",N(J1799)=0),"",MIN(1,N(K1799)/J1799))</f>
        <v/>
      </c>
      <c r="M1799" s="5" t="n"/>
      <c r="N1799" s="5" t="n"/>
      <c r="O1799" s="5" t="n"/>
      <c r="P1799" s="5" t="n"/>
      <c r="Q1799" s="5" t="n"/>
      <c r="R1799" s="4" t="n"/>
      <c r="S1799" s="4" t="n"/>
      <c r="T1799" s="5" t="n"/>
      <c r="U1799" s="8">
        <f>IF(AND(V1799=1,D1799&lt;&gt;""),IF(D1799&gt;=corte,TODAY()-D1799,""),"")</f>
        <v/>
      </c>
      <c r="V1799" s="8">
        <f>IF(D1799="",0,IF(OR(AND(P1799&lt;&gt;"",S1799=""),AND(N(J1799)&gt;0,N(K1799)&lt;J1799),OR(M1799="PENDENTE",M1799="PARCIAL"),OR(N1799="PENDENTE",N1799="PARCIAL")),1,0))</f>
        <v/>
      </c>
      <c r="W1799" s="8">
        <f>IF(AND(V1799=1,D1799&lt;&gt;""),IF(D1799&gt;=corte,(B1799="CRÍTICO")*1E9+(100000-D1799)*10000+10000-ROW(),""),"")</f>
        <v/>
      </c>
      <c r="X1799" s="8">
        <f>IF(AND(V1799=1,D1799=pas_data,E1799=pas_turno),10000-ROW(),"")</f>
        <v/>
      </c>
    </row>
    <row r="1800">
      <c r="A1800" s="3">
        <f>IF(D1800="","","TT-"&amp;TEXT(ROW()-1,"00000"))</f>
        <v/>
      </c>
      <c r="B1800" s="3">
        <f>IF(D1800="","",IF(V1800=0,"CONCLUÍDO",IF(D1800&lt;corte,"HISTÓRICO",IF(OR(AND(ISNUMBER(R1800),R1800&lt;TODAY()),AND(OR(N1800="PENDENTE",N1800="PARCIAL"),D1800&lt;TODAY()-1)),"CRÍTICO",IF(OR(AND(P1800&lt;&gt;"",S1800=""),AND(N1800="REALIZADO",M1800="PENDENTE"),AND(ISNUMBER(R1800),R1800=TODAY())),"ATENÇÃO",IF(N(K1800)=0,"PENDENTE","EM ANDAMENTO"))))))</f>
        <v/>
      </c>
      <c r="C1800" s="3">
        <f>IF(D1800="","",IF(V1800=0,"🟢 OK",IF(D1800&lt;corte,"⚪ HISTÓRICO (sem baixa)",IF(AND(ISNUMBER(R1800),R1800&lt;TODAY()),"🔴 PRAZO VENCIDO",IF(AND(OR(N1800="PENDENTE",N1800="PARCIAL"),D1800&lt;TODAY()-1),"🔴 EMBARQUE ATRASADO",IF(AND(N1800="REALIZADO",M1800="PENDENTE"),"🟡 EMBARCADO SEM FATURAR",IF(AND(P1800&lt;&gt;"",S1800="",OR(Q1800="",R1800="")),"🟡 PENDÊNCIA SEM RESPONSÁVEL/PRAZO",IF(AND(ISNUMBER(R1800),R1800=TODAY()),"🟡 VENCE HOJE",IF(AND(P1800&lt;&gt;"",S1800=""),"🟡 PENDÊNCIA ABERTA",IF(AND(N(J1800)&gt;0,N(K1800)&lt;J1800),"🟡 FALTA EXECUTAR",IF(OR(M1800="PENDENTE",M1800="PARCIAL"),"🟡 FATURAMENTO PENDENTE","🟡 EMBARQUE PENDENTE")))))))))))</f>
        <v/>
      </c>
      <c r="D1800" s="4" t="n"/>
      <c r="E1800" s="5" t="n"/>
      <c r="F1800" s="5" t="n"/>
      <c r="G1800" s="5" t="n"/>
      <c r="H1800" s="5" t="n"/>
      <c r="I1800" s="5" t="n"/>
      <c r="J1800" s="6" t="n"/>
      <c r="K1800" s="6" t="n"/>
      <c r="L1800" s="7">
        <f>IF(OR(D1800="",N(J1800)=0),"",MIN(1,N(K1800)/J1800))</f>
        <v/>
      </c>
      <c r="M1800" s="5" t="n"/>
      <c r="N1800" s="5" t="n"/>
      <c r="O1800" s="5" t="n"/>
      <c r="P1800" s="5" t="n"/>
      <c r="Q1800" s="5" t="n"/>
      <c r="R1800" s="4" t="n"/>
      <c r="S1800" s="4" t="n"/>
      <c r="T1800" s="5" t="n"/>
      <c r="U1800" s="8">
        <f>IF(AND(V1800=1,D1800&lt;&gt;""),IF(D1800&gt;=corte,TODAY()-D1800,""),"")</f>
        <v/>
      </c>
      <c r="V1800" s="8">
        <f>IF(D1800="",0,IF(OR(AND(P1800&lt;&gt;"",S1800=""),AND(N(J1800)&gt;0,N(K1800)&lt;J1800),OR(M1800="PENDENTE",M1800="PARCIAL"),OR(N1800="PENDENTE",N1800="PARCIAL")),1,0))</f>
        <v/>
      </c>
      <c r="W1800" s="8">
        <f>IF(AND(V1800=1,D1800&lt;&gt;""),IF(D1800&gt;=corte,(B1800="CRÍTICO")*1E9+(100000-D1800)*10000+10000-ROW(),""),"")</f>
        <v/>
      </c>
      <c r="X1800" s="8">
        <f>IF(AND(V1800=1,D1800=pas_data,E1800=pas_turno),10000-ROW(),"")</f>
        <v/>
      </c>
    </row>
    <row r="1801">
      <c r="A1801" s="3">
        <f>IF(D1801="","","TT-"&amp;TEXT(ROW()-1,"00000"))</f>
        <v/>
      </c>
      <c r="B1801" s="3">
        <f>IF(D1801="","",IF(V1801=0,"CONCLUÍDO",IF(D1801&lt;corte,"HISTÓRICO",IF(OR(AND(ISNUMBER(R1801),R1801&lt;TODAY()),AND(OR(N1801="PENDENTE",N1801="PARCIAL"),D1801&lt;TODAY()-1)),"CRÍTICO",IF(OR(AND(P1801&lt;&gt;"",S1801=""),AND(N1801="REALIZADO",M1801="PENDENTE"),AND(ISNUMBER(R1801),R1801=TODAY())),"ATENÇÃO",IF(N(K1801)=0,"PENDENTE","EM ANDAMENTO"))))))</f>
        <v/>
      </c>
      <c r="C1801" s="3">
        <f>IF(D1801="","",IF(V1801=0,"🟢 OK",IF(D1801&lt;corte,"⚪ HISTÓRICO (sem baixa)",IF(AND(ISNUMBER(R1801),R1801&lt;TODAY()),"🔴 PRAZO VENCIDO",IF(AND(OR(N1801="PENDENTE",N1801="PARCIAL"),D1801&lt;TODAY()-1),"🔴 EMBARQUE ATRASADO",IF(AND(N1801="REALIZADO",M1801="PENDENTE"),"🟡 EMBARCADO SEM FATURAR",IF(AND(P1801&lt;&gt;"",S1801="",OR(Q1801="",R1801="")),"🟡 PENDÊNCIA SEM RESPONSÁVEL/PRAZO",IF(AND(ISNUMBER(R1801),R1801=TODAY()),"🟡 VENCE HOJE",IF(AND(P1801&lt;&gt;"",S1801=""),"🟡 PENDÊNCIA ABERTA",IF(AND(N(J1801)&gt;0,N(K1801)&lt;J1801),"🟡 FALTA EXECUTAR",IF(OR(M1801="PENDENTE",M1801="PARCIAL"),"🟡 FATURAMENTO PENDENTE","🟡 EMBARQUE PENDENTE")))))))))))</f>
        <v/>
      </c>
      <c r="D1801" s="4" t="n"/>
      <c r="E1801" s="5" t="n"/>
      <c r="F1801" s="5" t="n"/>
      <c r="G1801" s="5" t="n"/>
      <c r="H1801" s="5" t="n"/>
      <c r="I1801" s="5" t="n"/>
      <c r="J1801" s="6" t="n"/>
      <c r="K1801" s="6" t="n"/>
      <c r="L1801" s="7">
        <f>IF(OR(D1801="",N(J1801)=0),"",MIN(1,N(K1801)/J1801))</f>
        <v/>
      </c>
      <c r="M1801" s="5" t="n"/>
      <c r="N1801" s="5" t="n"/>
      <c r="O1801" s="5" t="n"/>
      <c r="P1801" s="5" t="n"/>
      <c r="Q1801" s="5" t="n"/>
      <c r="R1801" s="4" t="n"/>
      <c r="S1801" s="4" t="n"/>
      <c r="T1801" s="5" t="n"/>
      <c r="U1801" s="8">
        <f>IF(AND(V1801=1,D1801&lt;&gt;""),IF(D1801&gt;=corte,TODAY()-D1801,""),"")</f>
        <v/>
      </c>
      <c r="V1801" s="8">
        <f>IF(D1801="",0,IF(OR(AND(P1801&lt;&gt;"",S1801=""),AND(N(J1801)&gt;0,N(K1801)&lt;J1801),OR(M1801="PENDENTE",M1801="PARCIAL"),OR(N1801="PENDENTE",N1801="PARCIAL")),1,0))</f>
        <v/>
      </c>
      <c r="W1801" s="8">
        <f>IF(AND(V1801=1,D1801&lt;&gt;""),IF(D1801&gt;=corte,(B1801="CRÍTICO")*1E9+(100000-D1801)*10000+10000-ROW(),""),"")</f>
        <v/>
      </c>
      <c r="X1801" s="8">
        <f>IF(AND(V1801=1,D1801=pas_data,E1801=pas_turno),10000-ROW(),"")</f>
        <v/>
      </c>
    </row>
    <row r="1802">
      <c r="A1802" s="3">
        <f>IF(D1802="","","TT-"&amp;TEXT(ROW()-1,"00000"))</f>
        <v/>
      </c>
      <c r="B1802" s="3">
        <f>IF(D1802="","",IF(V1802=0,"CONCLUÍDO",IF(D1802&lt;corte,"HISTÓRICO",IF(OR(AND(ISNUMBER(R1802),R1802&lt;TODAY()),AND(OR(N1802="PENDENTE",N1802="PARCIAL"),D1802&lt;TODAY()-1)),"CRÍTICO",IF(OR(AND(P1802&lt;&gt;"",S1802=""),AND(N1802="REALIZADO",M1802="PENDENTE"),AND(ISNUMBER(R1802),R1802=TODAY())),"ATENÇÃO",IF(N(K1802)=0,"PENDENTE","EM ANDAMENTO"))))))</f>
        <v/>
      </c>
      <c r="C1802" s="3">
        <f>IF(D1802="","",IF(V1802=0,"🟢 OK",IF(D1802&lt;corte,"⚪ HISTÓRICO (sem baixa)",IF(AND(ISNUMBER(R1802),R1802&lt;TODAY()),"🔴 PRAZO VENCIDO",IF(AND(OR(N1802="PENDENTE",N1802="PARCIAL"),D1802&lt;TODAY()-1),"🔴 EMBARQUE ATRASADO",IF(AND(N1802="REALIZADO",M1802="PENDENTE"),"🟡 EMBARCADO SEM FATURAR",IF(AND(P1802&lt;&gt;"",S1802="",OR(Q1802="",R1802="")),"🟡 PENDÊNCIA SEM RESPONSÁVEL/PRAZO",IF(AND(ISNUMBER(R1802),R1802=TODAY()),"🟡 VENCE HOJE",IF(AND(P1802&lt;&gt;"",S1802=""),"🟡 PENDÊNCIA ABERTA",IF(AND(N(J1802)&gt;0,N(K1802)&lt;J1802),"🟡 FALTA EXECUTAR",IF(OR(M1802="PENDENTE",M1802="PARCIAL"),"🟡 FATURAMENTO PENDENTE","🟡 EMBARQUE PENDENTE")))))))))))</f>
        <v/>
      </c>
      <c r="D1802" s="4" t="n"/>
      <c r="E1802" s="5" t="n"/>
      <c r="F1802" s="5" t="n"/>
      <c r="G1802" s="5" t="n"/>
      <c r="H1802" s="5" t="n"/>
      <c r="I1802" s="5" t="n"/>
      <c r="J1802" s="6" t="n"/>
      <c r="K1802" s="6" t="n"/>
      <c r="L1802" s="7">
        <f>IF(OR(D1802="",N(J1802)=0),"",MIN(1,N(K1802)/J1802))</f>
        <v/>
      </c>
      <c r="M1802" s="5" t="n"/>
      <c r="N1802" s="5" t="n"/>
      <c r="O1802" s="5" t="n"/>
      <c r="P1802" s="5" t="n"/>
      <c r="Q1802" s="5" t="n"/>
      <c r="R1802" s="4" t="n"/>
      <c r="S1802" s="4" t="n"/>
      <c r="T1802" s="5" t="n"/>
      <c r="U1802" s="8">
        <f>IF(AND(V1802=1,D1802&lt;&gt;""),IF(D1802&gt;=corte,TODAY()-D1802,""),"")</f>
        <v/>
      </c>
      <c r="V1802" s="8">
        <f>IF(D1802="",0,IF(OR(AND(P1802&lt;&gt;"",S1802=""),AND(N(J1802)&gt;0,N(K1802)&lt;J1802),OR(M1802="PENDENTE",M1802="PARCIAL"),OR(N1802="PENDENTE",N1802="PARCIAL")),1,0))</f>
        <v/>
      </c>
      <c r="W1802" s="8">
        <f>IF(AND(V1802=1,D1802&lt;&gt;""),IF(D1802&gt;=corte,(B1802="CRÍTICO")*1E9+(100000-D1802)*10000+10000-ROW(),""),"")</f>
        <v/>
      </c>
      <c r="X1802" s="8">
        <f>IF(AND(V1802=1,D1802=pas_data,E1802=pas_turno),10000-ROW(),"")</f>
        <v/>
      </c>
    </row>
    <row r="1803">
      <c r="A1803" s="3">
        <f>IF(D1803="","","TT-"&amp;TEXT(ROW()-1,"00000"))</f>
        <v/>
      </c>
      <c r="B1803" s="3">
        <f>IF(D1803="","",IF(V1803=0,"CONCLUÍDO",IF(D1803&lt;corte,"HISTÓRICO",IF(OR(AND(ISNUMBER(R1803),R1803&lt;TODAY()),AND(OR(N1803="PENDENTE",N1803="PARCIAL"),D1803&lt;TODAY()-1)),"CRÍTICO",IF(OR(AND(P1803&lt;&gt;"",S1803=""),AND(N1803="REALIZADO",M1803="PENDENTE"),AND(ISNUMBER(R1803),R1803=TODAY())),"ATENÇÃO",IF(N(K1803)=0,"PENDENTE","EM ANDAMENTO"))))))</f>
        <v/>
      </c>
      <c r="C1803" s="3">
        <f>IF(D1803="","",IF(V1803=0,"🟢 OK",IF(D1803&lt;corte,"⚪ HISTÓRICO (sem baixa)",IF(AND(ISNUMBER(R1803),R1803&lt;TODAY()),"🔴 PRAZO VENCIDO",IF(AND(OR(N1803="PENDENTE",N1803="PARCIAL"),D1803&lt;TODAY()-1),"🔴 EMBARQUE ATRASADO",IF(AND(N1803="REALIZADO",M1803="PENDENTE"),"🟡 EMBARCADO SEM FATURAR",IF(AND(P1803&lt;&gt;"",S1803="",OR(Q1803="",R1803="")),"🟡 PENDÊNCIA SEM RESPONSÁVEL/PRAZO",IF(AND(ISNUMBER(R1803),R1803=TODAY()),"🟡 VENCE HOJE",IF(AND(P1803&lt;&gt;"",S1803=""),"🟡 PENDÊNCIA ABERTA",IF(AND(N(J1803)&gt;0,N(K1803)&lt;J1803),"🟡 FALTA EXECUTAR",IF(OR(M1803="PENDENTE",M1803="PARCIAL"),"🟡 FATURAMENTO PENDENTE","🟡 EMBARQUE PENDENTE")))))))))))</f>
        <v/>
      </c>
      <c r="D1803" s="4" t="n"/>
      <c r="E1803" s="5" t="n"/>
      <c r="F1803" s="5" t="n"/>
      <c r="G1803" s="5" t="n"/>
      <c r="H1803" s="5" t="n"/>
      <c r="I1803" s="5" t="n"/>
      <c r="J1803" s="6" t="n"/>
      <c r="K1803" s="6" t="n"/>
      <c r="L1803" s="7">
        <f>IF(OR(D1803="",N(J1803)=0),"",MIN(1,N(K1803)/J1803))</f>
        <v/>
      </c>
      <c r="M1803" s="5" t="n"/>
      <c r="N1803" s="5" t="n"/>
      <c r="O1803" s="5" t="n"/>
      <c r="P1803" s="5" t="n"/>
      <c r="Q1803" s="5" t="n"/>
      <c r="R1803" s="4" t="n"/>
      <c r="S1803" s="4" t="n"/>
      <c r="T1803" s="5" t="n"/>
      <c r="U1803" s="8">
        <f>IF(AND(V1803=1,D1803&lt;&gt;""),IF(D1803&gt;=corte,TODAY()-D1803,""),"")</f>
        <v/>
      </c>
      <c r="V1803" s="8">
        <f>IF(D1803="",0,IF(OR(AND(P1803&lt;&gt;"",S1803=""),AND(N(J1803)&gt;0,N(K1803)&lt;J1803),OR(M1803="PENDENTE",M1803="PARCIAL"),OR(N1803="PENDENTE",N1803="PARCIAL")),1,0))</f>
        <v/>
      </c>
      <c r="W1803" s="8">
        <f>IF(AND(V1803=1,D1803&lt;&gt;""),IF(D1803&gt;=corte,(B1803="CRÍTICO")*1E9+(100000-D1803)*10000+10000-ROW(),""),"")</f>
        <v/>
      </c>
      <c r="X1803" s="8">
        <f>IF(AND(V1803=1,D1803=pas_data,E1803=pas_turno),10000-ROW(),"")</f>
        <v/>
      </c>
    </row>
    <row r="1804">
      <c r="A1804" s="3">
        <f>IF(D1804="","","TT-"&amp;TEXT(ROW()-1,"00000"))</f>
        <v/>
      </c>
      <c r="B1804" s="3">
        <f>IF(D1804="","",IF(V1804=0,"CONCLUÍDO",IF(D1804&lt;corte,"HISTÓRICO",IF(OR(AND(ISNUMBER(R1804),R1804&lt;TODAY()),AND(OR(N1804="PENDENTE",N1804="PARCIAL"),D1804&lt;TODAY()-1)),"CRÍTICO",IF(OR(AND(P1804&lt;&gt;"",S1804=""),AND(N1804="REALIZADO",M1804="PENDENTE"),AND(ISNUMBER(R1804),R1804=TODAY())),"ATENÇÃO",IF(N(K1804)=0,"PENDENTE","EM ANDAMENTO"))))))</f>
        <v/>
      </c>
      <c r="C1804" s="3">
        <f>IF(D1804="","",IF(V1804=0,"🟢 OK",IF(D1804&lt;corte,"⚪ HISTÓRICO (sem baixa)",IF(AND(ISNUMBER(R1804),R1804&lt;TODAY()),"🔴 PRAZO VENCIDO",IF(AND(OR(N1804="PENDENTE",N1804="PARCIAL"),D1804&lt;TODAY()-1),"🔴 EMBARQUE ATRASADO",IF(AND(N1804="REALIZADO",M1804="PENDENTE"),"🟡 EMBARCADO SEM FATURAR",IF(AND(P1804&lt;&gt;"",S1804="",OR(Q1804="",R1804="")),"🟡 PENDÊNCIA SEM RESPONSÁVEL/PRAZO",IF(AND(ISNUMBER(R1804),R1804=TODAY()),"🟡 VENCE HOJE",IF(AND(P1804&lt;&gt;"",S1804=""),"🟡 PENDÊNCIA ABERTA",IF(AND(N(J1804)&gt;0,N(K1804)&lt;J1804),"🟡 FALTA EXECUTAR",IF(OR(M1804="PENDENTE",M1804="PARCIAL"),"🟡 FATURAMENTO PENDENTE","🟡 EMBARQUE PENDENTE")))))))))))</f>
        <v/>
      </c>
      <c r="D1804" s="4" t="n"/>
      <c r="E1804" s="5" t="n"/>
      <c r="F1804" s="5" t="n"/>
      <c r="G1804" s="5" t="n"/>
      <c r="H1804" s="5" t="n"/>
      <c r="I1804" s="5" t="n"/>
      <c r="J1804" s="6" t="n"/>
      <c r="K1804" s="6" t="n"/>
      <c r="L1804" s="7">
        <f>IF(OR(D1804="",N(J1804)=0),"",MIN(1,N(K1804)/J1804))</f>
        <v/>
      </c>
      <c r="M1804" s="5" t="n"/>
      <c r="N1804" s="5" t="n"/>
      <c r="O1804" s="5" t="n"/>
      <c r="P1804" s="5" t="n"/>
      <c r="Q1804" s="5" t="n"/>
      <c r="R1804" s="4" t="n"/>
      <c r="S1804" s="4" t="n"/>
      <c r="T1804" s="5" t="n"/>
      <c r="U1804" s="8">
        <f>IF(AND(V1804=1,D1804&lt;&gt;""),IF(D1804&gt;=corte,TODAY()-D1804,""),"")</f>
        <v/>
      </c>
      <c r="V1804" s="8">
        <f>IF(D1804="",0,IF(OR(AND(P1804&lt;&gt;"",S1804=""),AND(N(J1804)&gt;0,N(K1804)&lt;J1804),OR(M1804="PENDENTE",M1804="PARCIAL"),OR(N1804="PENDENTE",N1804="PARCIAL")),1,0))</f>
        <v/>
      </c>
      <c r="W1804" s="8">
        <f>IF(AND(V1804=1,D1804&lt;&gt;""),IF(D1804&gt;=corte,(B1804="CRÍTICO")*1E9+(100000-D1804)*10000+10000-ROW(),""),"")</f>
        <v/>
      </c>
      <c r="X1804" s="8">
        <f>IF(AND(V1804=1,D1804=pas_data,E1804=pas_turno),10000-ROW(),"")</f>
        <v/>
      </c>
    </row>
    <row r="1805">
      <c r="A1805" s="3">
        <f>IF(D1805="","","TT-"&amp;TEXT(ROW()-1,"00000"))</f>
        <v/>
      </c>
      <c r="B1805" s="3">
        <f>IF(D1805="","",IF(V1805=0,"CONCLUÍDO",IF(D1805&lt;corte,"HISTÓRICO",IF(OR(AND(ISNUMBER(R1805),R1805&lt;TODAY()),AND(OR(N1805="PENDENTE",N1805="PARCIAL"),D1805&lt;TODAY()-1)),"CRÍTICO",IF(OR(AND(P1805&lt;&gt;"",S1805=""),AND(N1805="REALIZADO",M1805="PENDENTE"),AND(ISNUMBER(R1805),R1805=TODAY())),"ATENÇÃO",IF(N(K1805)=0,"PENDENTE","EM ANDAMENTO"))))))</f>
        <v/>
      </c>
      <c r="C1805" s="3">
        <f>IF(D1805="","",IF(V1805=0,"🟢 OK",IF(D1805&lt;corte,"⚪ HISTÓRICO (sem baixa)",IF(AND(ISNUMBER(R1805),R1805&lt;TODAY()),"🔴 PRAZO VENCIDO",IF(AND(OR(N1805="PENDENTE",N1805="PARCIAL"),D1805&lt;TODAY()-1),"🔴 EMBARQUE ATRASADO",IF(AND(N1805="REALIZADO",M1805="PENDENTE"),"🟡 EMBARCADO SEM FATURAR",IF(AND(P1805&lt;&gt;"",S1805="",OR(Q1805="",R1805="")),"🟡 PENDÊNCIA SEM RESPONSÁVEL/PRAZO",IF(AND(ISNUMBER(R1805),R1805=TODAY()),"🟡 VENCE HOJE",IF(AND(P1805&lt;&gt;"",S1805=""),"🟡 PENDÊNCIA ABERTA",IF(AND(N(J1805)&gt;0,N(K1805)&lt;J1805),"🟡 FALTA EXECUTAR",IF(OR(M1805="PENDENTE",M1805="PARCIAL"),"🟡 FATURAMENTO PENDENTE","🟡 EMBARQUE PENDENTE")))))))))))</f>
        <v/>
      </c>
      <c r="D1805" s="4" t="n"/>
      <c r="E1805" s="5" t="n"/>
      <c r="F1805" s="5" t="n"/>
      <c r="G1805" s="5" t="n"/>
      <c r="H1805" s="5" t="n"/>
      <c r="I1805" s="5" t="n"/>
      <c r="J1805" s="6" t="n"/>
      <c r="K1805" s="6" t="n"/>
      <c r="L1805" s="7">
        <f>IF(OR(D1805="",N(J1805)=0),"",MIN(1,N(K1805)/J1805))</f>
        <v/>
      </c>
      <c r="M1805" s="5" t="n"/>
      <c r="N1805" s="5" t="n"/>
      <c r="O1805" s="5" t="n"/>
      <c r="P1805" s="5" t="n"/>
      <c r="Q1805" s="5" t="n"/>
      <c r="R1805" s="4" t="n"/>
      <c r="S1805" s="4" t="n"/>
      <c r="T1805" s="5" t="n"/>
      <c r="U1805" s="8">
        <f>IF(AND(V1805=1,D1805&lt;&gt;""),IF(D1805&gt;=corte,TODAY()-D1805,""),"")</f>
        <v/>
      </c>
      <c r="V1805" s="8">
        <f>IF(D1805="",0,IF(OR(AND(P1805&lt;&gt;"",S1805=""),AND(N(J1805)&gt;0,N(K1805)&lt;J1805),OR(M1805="PENDENTE",M1805="PARCIAL"),OR(N1805="PENDENTE",N1805="PARCIAL")),1,0))</f>
        <v/>
      </c>
      <c r="W1805" s="8">
        <f>IF(AND(V1805=1,D1805&lt;&gt;""),IF(D1805&gt;=corte,(B1805="CRÍTICO")*1E9+(100000-D1805)*10000+10000-ROW(),""),"")</f>
        <v/>
      </c>
      <c r="X1805" s="8">
        <f>IF(AND(V1805=1,D1805=pas_data,E1805=pas_turno),10000-ROW(),"")</f>
        <v/>
      </c>
    </row>
    <row r="1806">
      <c r="A1806" s="3">
        <f>IF(D1806="","","TT-"&amp;TEXT(ROW()-1,"00000"))</f>
        <v/>
      </c>
      <c r="B1806" s="3">
        <f>IF(D1806="","",IF(V1806=0,"CONCLUÍDO",IF(D1806&lt;corte,"HISTÓRICO",IF(OR(AND(ISNUMBER(R1806),R1806&lt;TODAY()),AND(OR(N1806="PENDENTE",N1806="PARCIAL"),D1806&lt;TODAY()-1)),"CRÍTICO",IF(OR(AND(P1806&lt;&gt;"",S1806=""),AND(N1806="REALIZADO",M1806="PENDENTE"),AND(ISNUMBER(R1806),R1806=TODAY())),"ATENÇÃO",IF(N(K1806)=0,"PENDENTE","EM ANDAMENTO"))))))</f>
        <v/>
      </c>
      <c r="C1806" s="3">
        <f>IF(D1806="","",IF(V1806=0,"🟢 OK",IF(D1806&lt;corte,"⚪ HISTÓRICO (sem baixa)",IF(AND(ISNUMBER(R1806),R1806&lt;TODAY()),"🔴 PRAZO VENCIDO",IF(AND(OR(N1806="PENDENTE",N1806="PARCIAL"),D1806&lt;TODAY()-1),"🔴 EMBARQUE ATRASADO",IF(AND(N1806="REALIZADO",M1806="PENDENTE"),"🟡 EMBARCADO SEM FATURAR",IF(AND(P1806&lt;&gt;"",S1806="",OR(Q1806="",R1806="")),"🟡 PENDÊNCIA SEM RESPONSÁVEL/PRAZO",IF(AND(ISNUMBER(R1806),R1806=TODAY()),"🟡 VENCE HOJE",IF(AND(P1806&lt;&gt;"",S1806=""),"🟡 PENDÊNCIA ABERTA",IF(AND(N(J1806)&gt;0,N(K1806)&lt;J1806),"🟡 FALTA EXECUTAR",IF(OR(M1806="PENDENTE",M1806="PARCIAL"),"🟡 FATURAMENTO PENDENTE","🟡 EMBARQUE PENDENTE")))))))))))</f>
        <v/>
      </c>
      <c r="D1806" s="4" t="n"/>
      <c r="E1806" s="5" t="n"/>
      <c r="F1806" s="5" t="n"/>
      <c r="G1806" s="5" t="n"/>
      <c r="H1806" s="5" t="n"/>
      <c r="I1806" s="5" t="n"/>
      <c r="J1806" s="6" t="n"/>
      <c r="K1806" s="6" t="n"/>
      <c r="L1806" s="7">
        <f>IF(OR(D1806="",N(J1806)=0),"",MIN(1,N(K1806)/J1806))</f>
        <v/>
      </c>
      <c r="M1806" s="5" t="n"/>
      <c r="N1806" s="5" t="n"/>
      <c r="O1806" s="5" t="n"/>
      <c r="P1806" s="5" t="n"/>
      <c r="Q1806" s="5" t="n"/>
      <c r="R1806" s="4" t="n"/>
      <c r="S1806" s="4" t="n"/>
      <c r="T1806" s="5" t="n"/>
      <c r="U1806" s="8">
        <f>IF(AND(V1806=1,D1806&lt;&gt;""),IF(D1806&gt;=corte,TODAY()-D1806,""),"")</f>
        <v/>
      </c>
      <c r="V1806" s="8">
        <f>IF(D1806="",0,IF(OR(AND(P1806&lt;&gt;"",S1806=""),AND(N(J1806)&gt;0,N(K1806)&lt;J1806),OR(M1806="PENDENTE",M1806="PARCIAL"),OR(N1806="PENDENTE",N1806="PARCIAL")),1,0))</f>
        <v/>
      </c>
      <c r="W1806" s="8">
        <f>IF(AND(V1806=1,D1806&lt;&gt;""),IF(D1806&gt;=corte,(B1806="CRÍTICO")*1E9+(100000-D1806)*10000+10000-ROW(),""),"")</f>
        <v/>
      </c>
      <c r="X1806" s="8">
        <f>IF(AND(V1806=1,D1806=pas_data,E1806=pas_turno),10000-ROW(),"")</f>
        <v/>
      </c>
    </row>
    <row r="1807">
      <c r="A1807" s="3">
        <f>IF(D1807="","","TT-"&amp;TEXT(ROW()-1,"00000"))</f>
        <v/>
      </c>
      <c r="B1807" s="3">
        <f>IF(D1807="","",IF(V1807=0,"CONCLUÍDO",IF(D1807&lt;corte,"HISTÓRICO",IF(OR(AND(ISNUMBER(R1807),R1807&lt;TODAY()),AND(OR(N1807="PENDENTE",N1807="PARCIAL"),D1807&lt;TODAY()-1)),"CRÍTICO",IF(OR(AND(P1807&lt;&gt;"",S1807=""),AND(N1807="REALIZADO",M1807="PENDENTE"),AND(ISNUMBER(R1807),R1807=TODAY())),"ATENÇÃO",IF(N(K1807)=0,"PENDENTE","EM ANDAMENTO"))))))</f>
        <v/>
      </c>
      <c r="C1807" s="3">
        <f>IF(D1807="","",IF(V1807=0,"🟢 OK",IF(D1807&lt;corte,"⚪ HISTÓRICO (sem baixa)",IF(AND(ISNUMBER(R1807),R1807&lt;TODAY()),"🔴 PRAZO VENCIDO",IF(AND(OR(N1807="PENDENTE",N1807="PARCIAL"),D1807&lt;TODAY()-1),"🔴 EMBARQUE ATRASADO",IF(AND(N1807="REALIZADO",M1807="PENDENTE"),"🟡 EMBARCADO SEM FATURAR",IF(AND(P1807&lt;&gt;"",S1807="",OR(Q1807="",R1807="")),"🟡 PENDÊNCIA SEM RESPONSÁVEL/PRAZO",IF(AND(ISNUMBER(R1807),R1807=TODAY()),"🟡 VENCE HOJE",IF(AND(P1807&lt;&gt;"",S1807=""),"🟡 PENDÊNCIA ABERTA",IF(AND(N(J1807)&gt;0,N(K1807)&lt;J1807),"🟡 FALTA EXECUTAR",IF(OR(M1807="PENDENTE",M1807="PARCIAL"),"🟡 FATURAMENTO PENDENTE","🟡 EMBARQUE PENDENTE")))))))))))</f>
        <v/>
      </c>
      <c r="D1807" s="4" t="n"/>
      <c r="E1807" s="5" t="n"/>
      <c r="F1807" s="5" t="n"/>
      <c r="G1807" s="5" t="n"/>
      <c r="H1807" s="5" t="n"/>
      <c r="I1807" s="5" t="n"/>
      <c r="J1807" s="6" t="n"/>
      <c r="K1807" s="6" t="n"/>
      <c r="L1807" s="7">
        <f>IF(OR(D1807="",N(J1807)=0),"",MIN(1,N(K1807)/J1807))</f>
        <v/>
      </c>
      <c r="M1807" s="5" t="n"/>
      <c r="N1807" s="5" t="n"/>
      <c r="O1807" s="5" t="n"/>
      <c r="P1807" s="5" t="n"/>
      <c r="Q1807" s="5" t="n"/>
      <c r="R1807" s="4" t="n"/>
      <c r="S1807" s="4" t="n"/>
      <c r="T1807" s="5" t="n"/>
      <c r="U1807" s="8">
        <f>IF(AND(V1807=1,D1807&lt;&gt;""),IF(D1807&gt;=corte,TODAY()-D1807,""),"")</f>
        <v/>
      </c>
      <c r="V1807" s="8">
        <f>IF(D1807="",0,IF(OR(AND(P1807&lt;&gt;"",S1807=""),AND(N(J1807)&gt;0,N(K1807)&lt;J1807),OR(M1807="PENDENTE",M1807="PARCIAL"),OR(N1807="PENDENTE",N1807="PARCIAL")),1,0))</f>
        <v/>
      </c>
      <c r="W1807" s="8">
        <f>IF(AND(V1807=1,D1807&lt;&gt;""),IF(D1807&gt;=corte,(B1807="CRÍTICO")*1E9+(100000-D1807)*10000+10000-ROW(),""),"")</f>
        <v/>
      </c>
      <c r="X1807" s="8">
        <f>IF(AND(V1807=1,D1807=pas_data,E1807=pas_turno),10000-ROW(),"")</f>
        <v/>
      </c>
    </row>
    <row r="1808">
      <c r="A1808" s="3">
        <f>IF(D1808="","","TT-"&amp;TEXT(ROW()-1,"00000"))</f>
        <v/>
      </c>
      <c r="B1808" s="3">
        <f>IF(D1808="","",IF(V1808=0,"CONCLUÍDO",IF(D1808&lt;corte,"HISTÓRICO",IF(OR(AND(ISNUMBER(R1808),R1808&lt;TODAY()),AND(OR(N1808="PENDENTE",N1808="PARCIAL"),D1808&lt;TODAY()-1)),"CRÍTICO",IF(OR(AND(P1808&lt;&gt;"",S1808=""),AND(N1808="REALIZADO",M1808="PENDENTE"),AND(ISNUMBER(R1808),R1808=TODAY())),"ATENÇÃO",IF(N(K1808)=0,"PENDENTE","EM ANDAMENTO"))))))</f>
        <v/>
      </c>
      <c r="C1808" s="3">
        <f>IF(D1808="","",IF(V1808=0,"🟢 OK",IF(D1808&lt;corte,"⚪ HISTÓRICO (sem baixa)",IF(AND(ISNUMBER(R1808),R1808&lt;TODAY()),"🔴 PRAZO VENCIDO",IF(AND(OR(N1808="PENDENTE",N1808="PARCIAL"),D1808&lt;TODAY()-1),"🔴 EMBARQUE ATRASADO",IF(AND(N1808="REALIZADO",M1808="PENDENTE"),"🟡 EMBARCADO SEM FATURAR",IF(AND(P1808&lt;&gt;"",S1808="",OR(Q1808="",R1808="")),"🟡 PENDÊNCIA SEM RESPONSÁVEL/PRAZO",IF(AND(ISNUMBER(R1808),R1808=TODAY()),"🟡 VENCE HOJE",IF(AND(P1808&lt;&gt;"",S1808=""),"🟡 PENDÊNCIA ABERTA",IF(AND(N(J1808)&gt;0,N(K1808)&lt;J1808),"🟡 FALTA EXECUTAR",IF(OR(M1808="PENDENTE",M1808="PARCIAL"),"🟡 FATURAMENTO PENDENTE","🟡 EMBARQUE PENDENTE")))))))))))</f>
        <v/>
      </c>
      <c r="D1808" s="4" t="n"/>
      <c r="E1808" s="5" t="n"/>
      <c r="F1808" s="5" t="n"/>
      <c r="G1808" s="5" t="n"/>
      <c r="H1808" s="5" t="n"/>
      <c r="I1808" s="5" t="n"/>
      <c r="J1808" s="6" t="n"/>
      <c r="K1808" s="6" t="n"/>
      <c r="L1808" s="7">
        <f>IF(OR(D1808="",N(J1808)=0),"",MIN(1,N(K1808)/J1808))</f>
        <v/>
      </c>
      <c r="M1808" s="5" t="n"/>
      <c r="N1808" s="5" t="n"/>
      <c r="O1808" s="5" t="n"/>
      <c r="P1808" s="5" t="n"/>
      <c r="Q1808" s="5" t="n"/>
      <c r="R1808" s="4" t="n"/>
      <c r="S1808" s="4" t="n"/>
      <c r="T1808" s="5" t="n"/>
      <c r="U1808" s="8">
        <f>IF(AND(V1808=1,D1808&lt;&gt;""),IF(D1808&gt;=corte,TODAY()-D1808,""),"")</f>
        <v/>
      </c>
      <c r="V1808" s="8">
        <f>IF(D1808="",0,IF(OR(AND(P1808&lt;&gt;"",S1808=""),AND(N(J1808)&gt;0,N(K1808)&lt;J1808),OR(M1808="PENDENTE",M1808="PARCIAL"),OR(N1808="PENDENTE",N1808="PARCIAL")),1,0))</f>
        <v/>
      </c>
      <c r="W1808" s="8">
        <f>IF(AND(V1808=1,D1808&lt;&gt;""),IF(D1808&gt;=corte,(B1808="CRÍTICO")*1E9+(100000-D1808)*10000+10000-ROW(),""),"")</f>
        <v/>
      </c>
      <c r="X1808" s="8">
        <f>IF(AND(V1808=1,D1808=pas_data,E1808=pas_turno),10000-ROW(),"")</f>
        <v/>
      </c>
    </row>
    <row r="1809">
      <c r="A1809" s="3">
        <f>IF(D1809="","","TT-"&amp;TEXT(ROW()-1,"00000"))</f>
        <v/>
      </c>
      <c r="B1809" s="3">
        <f>IF(D1809="","",IF(V1809=0,"CONCLUÍDO",IF(D1809&lt;corte,"HISTÓRICO",IF(OR(AND(ISNUMBER(R1809),R1809&lt;TODAY()),AND(OR(N1809="PENDENTE",N1809="PARCIAL"),D1809&lt;TODAY()-1)),"CRÍTICO",IF(OR(AND(P1809&lt;&gt;"",S1809=""),AND(N1809="REALIZADO",M1809="PENDENTE"),AND(ISNUMBER(R1809),R1809=TODAY())),"ATENÇÃO",IF(N(K1809)=0,"PENDENTE","EM ANDAMENTO"))))))</f>
        <v/>
      </c>
      <c r="C1809" s="3">
        <f>IF(D1809="","",IF(V1809=0,"🟢 OK",IF(D1809&lt;corte,"⚪ HISTÓRICO (sem baixa)",IF(AND(ISNUMBER(R1809),R1809&lt;TODAY()),"🔴 PRAZO VENCIDO",IF(AND(OR(N1809="PENDENTE",N1809="PARCIAL"),D1809&lt;TODAY()-1),"🔴 EMBARQUE ATRASADO",IF(AND(N1809="REALIZADO",M1809="PENDENTE"),"🟡 EMBARCADO SEM FATURAR",IF(AND(P1809&lt;&gt;"",S1809="",OR(Q1809="",R1809="")),"🟡 PENDÊNCIA SEM RESPONSÁVEL/PRAZO",IF(AND(ISNUMBER(R1809),R1809=TODAY()),"🟡 VENCE HOJE",IF(AND(P1809&lt;&gt;"",S1809=""),"🟡 PENDÊNCIA ABERTA",IF(AND(N(J1809)&gt;0,N(K1809)&lt;J1809),"🟡 FALTA EXECUTAR",IF(OR(M1809="PENDENTE",M1809="PARCIAL"),"🟡 FATURAMENTO PENDENTE","🟡 EMBARQUE PENDENTE")))))))))))</f>
        <v/>
      </c>
      <c r="D1809" s="4" t="n"/>
      <c r="E1809" s="5" t="n"/>
      <c r="F1809" s="5" t="n"/>
      <c r="G1809" s="5" t="n"/>
      <c r="H1809" s="5" t="n"/>
      <c r="I1809" s="5" t="n"/>
      <c r="J1809" s="6" t="n"/>
      <c r="K1809" s="6" t="n"/>
      <c r="L1809" s="7">
        <f>IF(OR(D1809="",N(J1809)=0),"",MIN(1,N(K1809)/J1809))</f>
        <v/>
      </c>
      <c r="M1809" s="5" t="n"/>
      <c r="N1809" s="5" t="n"/>
      <c r="O1809" s="5" t="n"/>
      <c r="P1809" s="5" t="n"/>
      <c r="Q1809" s="5" t="n"/>
      <c r="R1809" s="4" t="n"/>
      <c r="S1809" s="4" t="n"/>
      <c r="T1809" s="5" t="n"/>
      <c r="U1809" s="8">
        <f>IF(AND(V1809=1,D1809&lt;&gt;""),IF(D1809&gt;=corte,TODAY()-D1809,""),"")</f>
        <v/>
      </c>
      <c r="V1809" s="8">
        <f>IF(D1809="",0,IF(OR(AND(P1809&lt;&gt;"",S1809=""),AND(N(J1809)&gt;0,N(K1809)&lt;J1809),OR(M1809="PENDENTE",M1809="PARCIAL"),OR(N1809="PENDENTE",N1809="PARCIAL")),1,0))</f>
        <v/>
      </c>
      <c r="W1809" s="8">
        <f>IF(AND(V1809=1,D1809&lt;&gt;""),IF(D1809&gt;=corte,(B1809="CRÍTICO")*1E9+(100000-D1809)*10000+10000-ROW(),""),"")</f>
        <v/>
      </c>
      <c r="X1809" s="8">
        <f>IF(AND(V1809=1,D1809=pas_data,E1809=pas_turno),10000-ROW(),"")</f>
        <v/>
      </c>
    </row>
    <row r="1810">
      <c r="A1810" s="3">
        <f>IF(D1810="","","TT-"&amp;TEXT(ROW()-1,"00000"))</f>
        <v/>
      </c>
      <c r="B1810" s="3">
        <f>IF(D1810="","",IF(V1810=0,"CONCLUÍDO",IF(D1810&lt;corte,"HISTÓRICO",IF(OR(AND(ISNUMBER(R1810),R1810&lt;TODAY()),AND(OR(N1810="PENDENTE",N1810="PARCIAL"),D1810&lt;TODAY()-1)),"CRÍTICO",IF(OR(AND(P1810&lt;&gt;"",S1810=""),AND(N1810="REALIZADO",M1810="PENDENTE"),AND(ISNUMBER(R1810),R1810=TODAY())),"ATENÇÃO",IF(N(K1810)=0,"PENDENTE","EM ANDAMENTO"))))))</f>
        <v/>
      </c>
      <c r="C1810" s="3">
        <f>IF(D1810="","",IF(V1810=0,"🟢 OK",IF(D1810&lt;corte,"⚪ HISTÓRICO (sem baixa)",IF(AND(ISNUMBER(R1810),R1810&lt;TODAY()),"🔴 PRAZO VENCIDO",IF(AND(OR(N1810="PENDENTE",N1810="PARCIAL"),D1810&lt;TODAY()-1),"🔴 EMBARQUE ATRASADO",IF(AND(N1810="REALIZADO",M1810="PENDENTE"),"🟡 EMBARCADO SEM FATURAR",IF(AND(P1810&lt;&gt;"",S1810="",OR(Q1810="",R1810="")),"🟡 PENDÊNCIA SEM RESPONSÁVEL/PRAZO",IF(AND(ISNUMBER(R1810),R1810=TODAY()),"🟡 VENCE HOJE",IF(AND(P1810&lt;&gt;"",S1810=""),"🟡 PENDÊNCIA ABERTA",IF(AND(N(J1810)&gt;0,N(K1810)&lt;J1810),"🟡 FALTA EXECUTAR",IF(OR(M1810="PENDENTE",M1810="PARCIAL"),"🟡 FATURAMENTO PENDENTE","🟡 EMBARQUE PENDENTE")))))))))))</f>
        <v/>
      </c>
      <c r="D1810" s="4" t="n"/>
      <c r="E1810" s="5" t="n"/>
      <c r="F1810" s="5" t="n"/>
      <c r="G1810" s="5" t="n"/>
      <c r="H1810" s="5" t="n"/>
      <c r="I1810" s="5" t="n"/>
      <c r="J1810" s="6" t="n"/>
      <c r="K1810" s="6" t="n"/>
      <c r="L1810" s="7">
        <f>IF(OR(D1810="",N(J1810)=0),"",MIN(1,N(K1810)/J1810))</f>
        <v/>
      </c>
      <c r="M1810" s="5" t="n"/>
      <c r="N1810" s="5" t="n"/>
      <c r="O1810" s="5" t="n"/>
      <c r="P1810" s="5" t="n"/>
      <c r="Q1810" s="5" t="n"/>
      <c r="R1810" s="4" t="n"/>
      <c r="S1810" s="4" t="n"/>
      <c r="T1810" s="5" t="n"/>
      <c r="U1810" s="8">
        <f>IF(AND(V1810=1,D1810&lt;&gt;""),IF(D1810&gt;=corte,TODAY()-D1810,""),"")</f>
        <v/>
      </c>
      <c r="V1810" s="8">
        <f>IF(D1810="",0,IF(OR(AND(P1810&lt;&gt;"",S1810=""),AND(N(J1810)&gt;0,N(K1810)&lt;J1810),OR(M1810="PENDENTE",M1810="PARCIAL"),OR(N1810="PENDENTE",N1810="PARCIAL")),1,0))</f>
        <v/>
      </c>
      <c r="W1810" s="8">
        <f>IF(AND(V1810=1,D1810&lt;&gt;""),IF(D1810&gt;=corte,(B1810="CRÍTICO")*1E9+(100000-D1810)*10000+10000-ROW(),""),"")</f>
        <v/>
      </c>
      <c r="X1810" s="8">
        <f>IF(AND(V1810=1,D1810=pas_data,E1810=pas_turno),10000-ROW(),"")</f>
        <v/>
      </c>
    </row>
    <row r="1811">
      <c r="A1811" s="3">
        <f>IF(D1811="","","TT-"&amp;TEXT(ROW()-1,"00000"))</f>
        <v/>
      </c>
      <c r="B1811" s="3">
        <f>IF(D1811="","",IF(V1811=0,"CONCLUÍDO",IF(D1811&lt;corte,"HISTÓRICO",IF(OR(AND(ISNUMBER(R1811),R1811&lt;TODAY()),AND(OR(N1811="PENDENTE",N1811="PARCIAL"),D1811&lt;TODAY()-1)),"CRÍTICO",IF(OR(AND(P1811&lt;&gt;"",S1811=""),AND(N1811="REALIZADO",M1811="PENDENTE"),AND(ISNUMBER(R1811),R1811=TODAY())),"ATENÇÃO",IF(N(K1811)=0,"PENDENTE","EM ANDAMENTO"))))))</f>
        <v/>
      </c>
      <c r="C1811" s="3">
        <f>IF(D1811="","",IF(V1811=0,"🟢 OK",IF(D1811&lt;corte,"⚪ HISTÓRICO (sem baixa)",IF(AND(ISNUMBER(R1811),R1811&lt;TODAY()),"🔴 PRAZO VENCIDO",IF(AND(OR(N1811="PENDENTE",N1811="PARCIAL"),D1811&lt;TODAY()-1),"🔴 EMBARQUE ATRASADO",IF(AND(N1811="REALIZADO",M1811="PENDENTE"),"🟡 EMBARCADO SEM FATURAR",IF(AND(P1811&lt;&gt;"",S1811="",OR(Q1811="",R1811="")),"🟡 PENDÊNCIA SEM RESPONSÁVEL/PRAZO",IF(AND(ISNUMBER(R1811),R1811=TODAY()),"🟡 VENCE HOJE",IF(AND(P1811&lt;&gt;"",S1811=""),"🟡 PENDÊNCIA ABERTA",IF(AND(N(J1811)&gt;0,N(K1811)&lt;J1811),"🟡 FALTA EXECUTAR",IF(OR(M1811="PENDENTE",M1811="PARCIAL"),"🟡 FATURAMENTO PENDENTE","🟡 EMBARQUE PENDENTE")))))))))))</f>
        <v/>
      </c>
      <c r="D1811" s="4" t="n"/>
      <c r="E1811" s="5" t="n"/>
      <c r="F1811" s="5" t="n"/>
      <c r="G1811" s="5" t="n"/>
      <c r="H1811" s="5" t="n"/>
      <c r="I1811" s="5" t="n"/>
      <c r="J1811" s="6" t="n"/>
      <c r="K1811" s="6" t="n"/>
      <c r="L1811" s="7">
        <f>IF(OR(D1811="",N(J1811)=0),"",MIN(1,N(K1811)/J1811))</f>
        <v/>
      </c>
      <c r="M1811" s="5" t="n"/>
      <c r="N1811" s="5" t="n"/>
      <c r="O1811" s="5" t="n"/>
      <c r="P1811" s="5" t="n"/>
      <c r="Q1811" s="5" t="n"/>
      <c r="R1811" s="4" t="n"/>
      <c r="S1811" s="4" t="n"/>
      <c r="T1811" s="5" t="n"/>
      <c r="U1811" s="8">
        <f>IF(AND(V1811=1,D1811&lt;&gt;""),IF(D1811&gt;=corte,TODAY()-D1811,""),"")</f>
        <v/>
      </c>
      <c r="V1811" s="8">
        <f>IF(D1811="",0,IF(OR(AND(P1811&lt;&gt;"",S1811=""),AND(N(J1811)&gt;0,N(K1811)&lt;J1811),OR(M1811="PENDENTE",M1811="PARCIAL"),OR(N1811="PENDENTE",N1811="PARCIAL")),1,0))</f>
        <v/>
      </c>
      <c r="W1811" s="8">
        <f>IF(AND(V1811=1,D1811&lt;&gt;""),IF(D1811&gt;=corte,(B1811="CRÍTICO")*1E9+(100000-D1811)*10000+10000-ROW(),""),"")</f>
        <v/>
      </c>
      <c r="X1811" s="8">
        <f>IF(AND(V1811=1,D1811=pas_data,E1811=pas_turno),10000-ROW(),"")</f>
        <v/>
      </c>
    </row>
    <row r="1812">
      <c r="A1812" s="3">
        <f>IF(D1812="","","TT-"&amp;TEXT(ROW()-1,"00000"))</f>
        <v/>
      </c>
      <c r="B1812" s="3">
        <f>IF(D1812="","",IF(V1812=0,"CONCLUÍDO",IF(D1812&lt;corte,"HISTÓRICO",IF(OR(AND(ISNUMBER(R1812),R1812&lt;TODAY()),AND(OR(N1812="PENDENTE",N1812="PARCIAL"),D1812&lt;TODAY()-1)),"CRÍTICO",IF(OR(AND(P1812&lt;&gt;"",S1812=""),AND(N1812="REALIZADO",M1812="PENDENTE"),AND(ISNUMBER(R1812),R1812=TODAY())),"ATENÇÃO",IF(N(K1812)=0,"PENDENTE","EM ANDAMENTO"))))))</f>
        <v/>
      </c>
      <c r="C1812" s="3">
        <f>IF(D1812="","",IF(V1812=0,"🟢 OK",IF(D1812&lt;corte,"⚪ HISTÓRICO (sem baixa)",IF(AND(ISNUMBER(R1812),R1812&lt;TODAY()),"🔴 PRAZO VENCIDO",IF(AND(OR(N1812="PENDENTE",N1812="PARCIAL"),D1812&lt;TODAY()-1),"🔴 EMBARQUE ATRASADO",IF(AND(N1812="REALIZADO",M1812="PENDENTE"),"🟡 EMBARCADO SEM FATURAR",IF(AND(P1812&lt;&gt;"",S1812="",OR(Q1812="",R1812="")),"🟡 PENDÊNCIA SEM RESPONSÁVEL/PRAZO",IF(AND(ISNUMBER(R1812),R1812=TODAY()),"🟡 VENCE HOJE",IF(AND(P1812&lt;&gt;"",S1812=""),"🟡 PENDÊNCIA ABERTA",IF(AND(N(J1812)&gt;0,N(K1812)&lt;J1812),"🟡 FALTA EXECUTAR",IF(OR(M1812="PENDENTE",M1812="PARCIAL"),"🟡 FATURAMENTO PENDENTE","🟡 EMBARQUE PENDENTE")))))))))))</f>
        <v/>
      </c>
      <c r="D1812" s="4" t="n"/>
      <c r="E1812" s="5" t="n"/>
      <c r="F1812" s="5" t="n"/>
      <c r="G1812" s="5" t="n"/>
      <c r="H1812" s="5" t="n"/>
      <c r="I1812" s="5" t="n"/>
      <c r="J1812" s="6" t="n"/>
      <c r="K1812" s="6" t="n"/>
      <c r="L1812" s="7">
        <f>IF(OR(D1812="",N(J1812)=0),"",MIN(1,N(K1812)/J1812))</f>
        <v/>
      </c>
      <c r="M1812" s="5" t="n"/>
      <c r="N1812" s="5" t="n"/>
      <c r="O1812" s="5" t="n"/>
      <c r="P1812" s="5" t="n"/>
      <c r="Q1812" s="5" t="n"/>
      <c r="R1812" s="4" t="n"/>
      <c r="S1812" s="4" t="n"/>
      <c r="T1812" s="5" t="n"/>
      <c r="U1812" s="8">
        <f>IF(AND(V1812=1,D1812&lt;&gt;""),IF(D1812&gt;=corte,TODAY()-D1812,""),"")</f>
        <v/>
      </c>
      <c r="V1812" s="8">
        <f>IF(D1812="",0,IF(OR(AND(P1812&lt;&gt;"",S1812=""),AND(N(J1812)&gt;0,N(K1812)&lt;J1812),OR(M1812="PENDENTE",M1812="PARCIAL"),OR(N1812="PENDENTE",N1812="PARCIAL")),1,0))</f>
        <v/>
      </c>
      <c r="W1812" s="8">
        <f>IF(AND(V1812=1,D1812&lt;&gt;""),IF(D1812&gt;=corte,(B1812="CRÍTICO")*1E9+(100000-D1812)*10000+10000-ROW(),""),"")</f>
        <v/>
      </c>
      <c r="X1812" s="8">
        <f>IF(AND(V1812=1,D1812=pas_data,E1812=pas_turno),10000-ROW(),"")</f>
        <v/>
      </c>
    </row>
    <row r="1813">
      <c r="A1813" s="3">
        <f>IF(D1813="","","TT-"&amp;TEXT(ROW()-1,"00000"))</f>
        <v/>
      </c>
      <c r="B1813" s="3">
        <f>IF(D1813="","",IF(V1813=0,"CONCLUÍDO",IF(D1813&lt;corte,"HISTÓRICO",IF(OR(AND(ISNUMBER(R1813),R1813&lt;TODAY()),AND(OR(N1813="PENDENTE",N1813="PARCIAL"),D1813&lt;TODAY()-1)),"CRÍTICO",IF(OR(AND(P1813&lt;&gt;"",S1813=""),AND(N1813="REALIZADO",M1813="PENDENTE"),AND(ISNUMBER(R1813),R1813=TODAY())),"ATENÇÃO",IF(N(K1813)=0,"PENDENTE","EM ANDAMENTO"))))))</f>
        <v/>
      </c>
      <c r="C1813" s="3">
        <f>IF(D1813="","",IF(V1813=0,"🟢 OK",IF(D1813&lt;corte,"⚪ HISTÓRICO (sem baixa)",IF(AND(ISNUMBER(R1813),R1813&lt;TODAY()),"🔴 PRAZO VENCIDO",IF(AND(OR(N1813="PENDENTE",N1813="PARCIAL"),D1813&lt;TODAY()-1),"🔴 EMBARQUE ATRASADO",IF(AND(N1813="REALIZADO",M1813="PENDENTE"),"🟡 EMBARCADO SEM FATURAR",IF(AND(P1813&lt;&gt;"",S1813="",OR(Q1813="",R1813="")),"🟡 PENDÊNCIA SEM RESPONSÁVEL/PRAZO",IF(AND(ISNUMBER(R1813),R1813=TODAY()),"🟡 VENCE HOJE",IF(AND(P1813&lt;&gt;"",S1813=""),"🟡 PENDÊNCIA ABERTA",IF(AND(N(J1813)&gt;0,N(K1813)&lt;J1813),"🟡 FALTA EXECUTAR",IF(OR(M1813="PENDENTE",M1813="PARCIAL"),"🟡 FATURAMENTO PENDENTE","🟡 EMBARQUE PENDENTE")))))))))))</f>
        <v/>
      </c>
      <c r="D1813" s="4" t="n"/>
      <c r="E1813" s="5" t="n"/>
      <c r="F1813" s="5" t="n"/>
      <c r="G1813" s="5" t="n"/>
      <c r="H1813" s="5" t="n"/>
      <c r="I1813" s="5" t="n"/>
      <c r="J1813" s="6" t="n"/>
      <c r="K1813" s="6" t="n"/>
      <c r="L1813" s="7">
        <f>IF(OR(D1813="",N(J1813)=0),"",MIN(1,N(K1813)/J1813))</f>
        <v/>
      </c>
      <c r="M1813" s="5" t="n"/>
      <c r="N1813" s="5" t="n"/>
      <c r="O1813" s="5" t="n"/>
      <c r="P1813" s="5" t="n"/>
      <c r="Q1813" s="5" t="n"/>
      <c r="R1813" s="4" t="n"/>
      <c r="S1813" s="4" t="n"/>
      <c r="T1813" s="5" t="n"/>
      <c r="U1813" s="8">
        <f>IF(AND(V1813=1,D1813&lt;&gt;""),IF(D1813&gt;=corte,TODAY()-D1813,""),"")</f>
        <v/>
      </c>
      <c r="V1813" s="8">
        <f>IF(D1813="",0,IF(OR(AND(P1813&lt;&gt;"",S1813=""),AND(N(J1813)&gt;0,N(K1813)&lt;J1813),OR(M1813="PENDENTE",M1813="PARCIAL"),OR(N1813="PENDENTE",N1813="PARCIAL")),1,0))</f>
        <v/>
      </c>
      <c r="W1813" s="8">
        <f>IF(AND(V1813=1,D1813&lt;&gt;""),IF(D1813&gt;=corte,(B1813="CRÍTICO")*1E9+(100000-D1813)*10000+10000-ROW(),""),"")</f>
        <v/>
      </c>
      <c r="X1813" s="8">
        <f>IF(AND(V1813=1,D1813=pas_data,E1813=pas_turno),10000-ROW(),"")</f>
        <v/>
      </c>
    </row>
    <row r="1814">
      <c r="A1814" s="3">
        <f>IF(D1814="","","TT-"&amp;TEXT(ROW()-1,"00000"))</f>
        <v/>
      </c>
      <c r="B1814" s="3">
        <f>IF(D1814="","",IF(V1814=0,"CONCLUÍDO",IF(D1814&lt;corte,"HISTÓRICO",IF(OR(AND(ISNUMBER(R1814),R1814&lt;TODAY()),AND(OR(N1814="PENDENTE",N1814="PARCIAL"),D1814&lt;TODAY()-1)),"CRÍTICO",IF(OR(AND(P1814&lt;&gt;"",S1814=""),AND(N1814="REALIZADO",M1814="PENDENTE"),AND(ISNUMBER(R1814),R1814=TODAY())),"ATENÇÃO",IF(N(K1814)=0,"PENDENTE","EM ANDAMENTO"))))))</f>
        <v/>
      </c>
      <c r="C1814" s="3">
        <f>IF(D1814="","",IF(V1814=0,"🟢 OK",IF(D1814&lt;corte,"⚪ HISTÓRICO (sem baixa)",IF(AND(ISNUMBER(R1814),R1814&lt;TODAY()),"🔴 PRAZO VENCIDO",IF(AND(OR(N1814="PENDENTE",N1814="PARCIAL"),D1814&lt;TODAY()-1),"🔴 EMBARQUE ATRASADO",IF(AND(N1814="REALIZADO",M1814="PENDENTE"),"🟡 EMBARCADO SEM FATURAR",IF(AND(P1814&lt;&gt;"",S1814="",OR(Q1814="",R1814="")),"🟡 PENDÊNCIA SEM RESPONSÁVEL/PRAZO",IF(AND(ISNUMBER(R1814),R1814=TODAY()),"🟡 VENCE HOJE",IF(AND(P1814&lt;&gt;"",S1814=""),"🟡 PENDÊNCIA ABERTA",IF(AND(N(J1814)&gt;0,N(K1814)&lt;J1814),"🟡 FALTA EXECUTAR",IF(OR(M1814="PENDENTE",M1814="PARCIAL"),"🟡 FATURAMENTO PENDENTE","🟡 EMBARQUE PENDENTE")))))))))))</f>
        <v/>
      </c>
      <c r="D1814" s="4" t="n"/>
      <c r="E1814" s="5" t="n"/>
      <c r="F1814" s="5" t="n"/>
      <c r="G1814" s="5" t="n"/>
      <c r="H1814" s="5" t="n"/>
      <c r="I1814" s="5" t="n"/>
      <c r="J1814" s="6" t="n"/>
      <c r="K1814" s="6" t="n"/>
      <c r="L1814" s="7">
        <f>IF(OR(D1814="",N(J1814)=0),"",MIN(1,N(K1814)/J1814))</f>
        <v/>
      </c>
      <c r="M1814" s="5" t="n"/>
      <c r="N1814" s="5" t="n"/>
      <c r="O1814" s="5" t="n"/>
      <c r="P1814" s="5" t="n"/>
      <c r="Q1814" s="5" t="n"/>
      <c r="R1814" s="4" t="n"/>
      <c r="S1814" s="4" t="n"/>
      <c r="T1814" s="5" t="n"/>
      <c r="U1814" s="8">
        <f>IF(AND(V1814=1,D1814&lt;&gt;""),IF(D1814&gt;=corte,TODAY()-D1814,""),"")</f>
        <v/>
      </c>
      <c r="V1814" s="8">
        <f>IF(D1814="",0,IF(OR(AND(P1814&lt;&gt;"",S1814=""),AND(N(J1814)&gt;0,N(K1814)&lt;J1814),OR(M1814="PENDENTE",M1814="PARCIAL"),OR(N1814="PENDENTE",N1814="PARCIAL")),1,0))</f>
        <v/>
      </c>
      <c r="W1814" s="8">
        <f>IF(AND(V1814=1,D1814&lt;&gt;""),IF(D1814&gt;=corte,(B1814="CRÍTICO")*1E9+(100000-D1814)*10000+10000-ROW(),""),"")</f>
        <v/>
      </c>
      <c r="X1814" s="8">
        <f>IF(AND(V1814=1,D1814=pas_data,E1814=pas_turno),10000-ROW(),"")</f>
        <v/>
      </c>
    </row>
    <row r="1815">
      <c r="A1815" s="3">
        <f>IF(D1815="","","TT-"&amp;TEXT(ROW()-1,"00000"))</f>
        <v/>
      </c>
      <c r="B1815" s="3">
        <f>IF(D1815="","",IF(V1815=0,"CONCLUÍDO",IF(D1815&lt;corte,"HISTÓRICO",IF(OR(AND(ISNUMBER(R1815),R1815&lt;TODAY()),AND(OR(N1815="PENDENTE",N1815="PARCIAL"),D1815&lt;TODAY()-1)),"CRÍTICO",IF(OR(AND(P1815&lt;&gt;"",S1815=""),AND(N1815="REALIZADO",M1815="PENDENTE"),AND(ISNUMBER(R1815),R1815=TODAY())),"ATENÇÃO",IF(N(K1815)=0,"PENDENTE","EM ANDAMENTO"))))))</f>
        <v/>
      </c>
      <c r="C1815" s="3">
        <f>IF(D1815="","",IF(V1815=0,"🟢 OK",IF(D1815&lt;corte,"⚪ HISTÓRICO (sem baixa)",IF(AND(ISNUMBER(R1815),R1815&lt;TODAY()),"🔴 PRAZO VENCIDO",IF(AND(OR(N1815="PENDENTE",N1815="PARCIAL"),D1815&lt;TODAY()-1),"🔴 EMBARQUE ATRASADO",IF(AND(N1815="REALIZADO",M1815="PENDENTE"),"🟡 EMBARCADO SEM FATURAR",IF(AND(P1815&lt;&gt;"",S1815="",OR(Q1815="",R1815="")),"🟡 PENDÊNCIA SEM RESPONSÁVEL/PRAZO",IF(AND(ISNUMBER(R1815),R1815=TODAY()),"🟡 VENCE HOJE",IF(AND(P1815&lt;&gt;"",S1815=""),"🟡 PENDÊNCIA ABERTA",IF(AND(N(J1815)&gt;0,N(K1815)&lt;J1815),"🟡 FALTA EXECUTAR",IF(OR(M1815="PENDENTE",M1815="PARCIAL"),"🟡 FATURAMENTO PENDENTE","🟡 EMBARQUE PENDENTE")))))))))))</f>
        <v/>
      </c>
      <c r="D1815" s="4" t="n"/>
      <c r="E1815" s="5" t="n"/>
      <c r="F1815" s="5" t="n"/>
      <c r="G1815" s="5" t="n"/>
      <c r="H1815" s="5" t="n"/>
      <c r="I1815" s="5" t="n"/>
      <c r="J1815" s="6" t="n"/>
      <c r="K1815" s="6" t="n"/>
      <c r="L1815" s="7">
        <f>IF(OR(D1815="",N(J1815)=0),"",MIN(1,N(K1815)/J1815))</f>
        <v/>
      </c>
      <c r="M1815" s="5" t="n"/>
      <c r="N1815" s="5" t="n"/>
      <c r="O1815" s="5" t="n"/>
      <c r="P1815" s="5" t="n"/>
      <c r="Q1815" s="5" t="n"/>
      <c r="R1815" s="4" t="n"/>
      <c r="S1815" s="4" t="n"/>
      <c r="T1815" s="5" t="n"/>
      <c r="U1815" s="8">
        <f>IF(AND(V1815=1,D1815&lt;&gt;""),IF(D1815&gt;=corte,TODAY()-D1815,""),"")</f>
        <v/>
      </c>
      <c r="V1815" s="8">
        <f>IF(D1815="",0,IF(OR(AND(P1815&lt;&gt;"",S1815=""),AND(N(J1815)&gt;0,N(K1815)&lt;J1815),OR(M1815="PENDENTE",M1815="PARCIAL"),OR(N1815="PENDENTE",N1815="PARCIAL")),1,0))</f>
        <v/>
      </c>
      <c r="W1815" s="8">
        <f>IF(AND(V1815=1,D1815&lt;&gt;""),IF(D1815&gt;=corte,(B1815="CRÍTICO")*1E9+(100000-D1815)*10000+10000-ROW(),""),"")</f>
        <v/>
      </c>
      <c r="X1815" s="8">
        <f>IF(AND(V1815=1,D1815=pas_data,E1815=pas_turno),10000-ROW(),"")</f>
        <v/>
      </c>
    </row>
    <row r="1816">
      <c r="A1816" s="3">
        <f>IF(D1816="","","TT-"&amp;TEXT(ROW()-1,"00000"))</f>
        <v/>
      </c>
      <c r="B1816" s="3">
        <f>IF(D1816="","",IF(V1816=0,"CONCLUÍDO",IF(D1816&lt;corte,"HISTÓRICO",IF(OR(AND(ISNUMBER(R1816),R1816&lt;TODAY()),AND(OR(N1816="PENDENTE",N1816="PARCIAL"),D1816&lt;TODAY()-1)),"CRÍTICO",IF(OR(AND(P1816&lt;&gt;"",S1816=""),AND(N1816="REALIZADO",M1816="PENDENTE"),AND(ISNUMBER(R1816),R1816=TODAY())),"ATENÇÃO",IF(N(K1816)=0,"PENDENTE","EM ANDAMENTO"))))))</f>
        <v/>
      </c>
      <c r="C1816" s="3">
        <f>IF(D1816="","",IF(V1816=0,"🟢 OK",IF(D1816&lt;corte,"⚪ HISTÓRICO (sem baixa)",IF(AND(ISNUMBER(R1816),R1816&lt;TODAY()),"🔴 PRAZO VENCIDO",IF(AND(OR(N1816="PENDENTE",N1816="PARCIAL"),D1816&lt;TODAY()-1),"🔴 EMBARQUE ATRASADO",IF(AND(N1816="REALIZADO",M1816="PENDENTE"),"🟡 EMBARCADO SEM FATURAR",IF(AND(P1816&lt;&gt;"",S1816="",OR(Q1816="",R1816="")),"🟡 PENDÊNCIA SEM RESPONSÁVEL/PRAZO",IF(AND(ISNUMBER(R1816),R1816=TODAY()),"🟡 VENCE HOJE",IF(AND(P1816&lt;&gt;"",S1816=""),"🟡 PENDÊNCIA ABERTA",IF(AND(N(J1816)&gt;0,N(K1816)&lt;J1816),"🟡 FALTA EXECUTAR",IF(OR(M1816="PENDENTE",M1816="PARCIAL"),"🟡 FATURAMENTO PENDENTE","🟡 EMBARQUE PENDENTE")))))))))))</f>
        <v/>
      </c>
      <c r="D1816" s="4" t="n"/>
      <c r="E1816" s="5" t="n"/>
      <c r="F1816" s="5" t="n"/>
      <c r="G1816" s="5" t="n"/>
      <c r="H1816" s="5" t="n"/>
      <c r="I1816" s="5" t="n"/>
      <c r="J1816" s="6" t="n"/>
      <c r="K1816" s="6" t="n"/>
      <c r="L1816" s="7">
        <f>IF(OR(D1816="",N(J1816)=0),"",MIN(1,N(K1816)/J1816))</f>
        <v/>
      </c>
      <c r="M1816" s="5" t="n"/>
      <c r="N1816" s="5" t="n"/>
      <c r="O1816" s="5" t="n"/>
      <c r="P1816" s="5" t="n"/>
      <c r="Q1816" s="5" t="n"/>
      <c r="R1816" s="4" t="n"/>
      <c r="S1816" s="4" t="n"/>
      <c r="T1816" s="5" t="n"/>
      <c r="U1816" s="8">
        <f>IF(AND(V1816=1,D1816&lt;&gt;""),IF(D1816&gt;=corte,TODAY()-D1816,""),"")</f>
        <v/>
      </c>
      <c r="V1816" s="8">
        <f>IF(D1816="",0,IF(OR(AND(P1816&lt;&gt;"",S1816=""),AND(N(J1816)&gt;0,N(K1816)&lt;J1816),OR(M1816="PENDENTE",M1816="PARCIAL"),OR(N1816="PENDENTE",N1816="PARCIAL")),1,0))</f>
        <v/>
      </c>
      <c r="W1816" s="8">
        <f>IF(AND(V1816=1,D1816&lt;&gt;""),IF(D1816&gt;=corte,(B1816="CRÍTICO")*1E9+(100000-D1816)*10000+10000-ROW(),""),"")</f>
        <v/>
      </c>
      <c r="X1816" s="8">
        <f>IF(AND(V1816=1,D1816=pas_data,E1816=pas_turno),10000-ROW(),"")</f>
        <v/>
      </c>
    </row>
    <row r="1817">
      <c r="A1817" s="3">
        <f>IF(D1817="","","TT-"&amp;TEXT(ROW()-1,"00000"))</f>
        <v/>
      </c>
      <c r="B1817" s="3">
        <f>IF(D1817="","",IF(V1817=0,"CONCLUÍDO",IF(D1817&lt;corte,"HISTÓRICO",IF(OR(AND(ISNUMBER(R1817),R1817&lt;TODAY()),AND(OR(N1817="PENDENTE",N1817="PARCIAL"),D1817&lt;TODAY()-1)),"CRÍTICO",IF(OR(AND(P1817&lt;&gt;"",S1817=""),AND(N1817="REALIZADO",M1817="PENDENTE"),AND(ISNUMBER(R1817),R1817=TODAY())),"ATENÇÃO",IF(N(K1817)=0,"PENDENTE","EM ANDAMENTO"))))))</f>
        <v/>
      </c>
      <c r="C1817" s="3">
        <f>IF(D1817="","",IF(V1817=0,"🟢 OK",IF(D1817&lt;corte,"⚪ HISTÓRICO (sem baixa)",IF(AND(ISNUMBER(R1817),R1817&lt;TODAY()),"🔴 PRAZO VENCIDO",IF(AND(OR(N1817="PENDENTE",N1817="PARCIAL"),D1817&lt;TODAY()-1),"🔴 EMBARQUE ATRASADO",IF(AND(N1817="REALIZADO",M1817="PENDENTE"),"🟡 EMBARCADO SEM FATURAR",IF(AND(P1817&lt;&gt;"",S1817="",OR(Q1817="",R1817="")),"🟡 PENDÊNCIA SEM RESPONSÁVEL/PRAZO",IF(AND(ISNUMBER(R1817),R1817=TODAY()),"🟡 VENCE HOJE",IF(AND(P1817&lt;&gt;"",S1817=""),"🟡 PENDÊNCIA ABERTA",IF(AND(N(J1817)&gt;0,N(K1817)&lt;J1817),"🟡 FALTA EXECUTAR",IF(OR(M1817="PENDENTE",M1817="PARCIAL"),"🟡 FATURAMENTO PENDENTE","🟡 EMBARQUE PENDENTE")))))))))))</f>
        <v/>
      </c>
      <c r="D1817" s="4" t="n"/>
      <c r="E1817" s="5" t="n"/>
      <c r="F1817" s="5" t="n"/>
      <c r="G1817" s="5" t="n"/>
      <c r="H1817" s="5" t="n"/>
      <c r="I1817" s="5" t="n"/>
      <c r="J1817" s="6" t="n"/>
      <c r="K1817" s="6" t="n"/>
      <c r="L1817" s="7">
        <f>IF(OR(D1817="",N(J1817)=0),"",MIN(1,N(K1817)/J1817))</f>
        <v/>
      </c>
      <c r="M1817" s="5" t="n"/>
      <c r="N1817" s="5" t="n"/>
      <c r="O1817" s="5" t="n"/>
      <c r="P1817" s="5" t="n"/>
      <c r="Q1817" s="5" t="n"/>
      <c r="R1817" s="4" t="n"/>
      <c r="S1817" s="4" t="n"/>
      <c r="T1817" s="5" t="n"/>
      <c r="U1817" s="8">
        <f>IF(AND(V1817=1,D1817&lt;&gt;""),IF(D1817&gt;=corte,TODAY()-D1817,""),"")</f>
        <v/>
      </c>
      <c r="V1817" s="8">
        <f>IF(D1817="",0,IF(OR(AND(P1817&lt;&gt;"",S1817=""),AND(N(J1817)&gt;0,N(K1817)&lt;J1817),OR(M1817="PENDENTE",M1817="PARCIAL"),OR(N1817="PENDENTE",N1817="PARCIAL")),1,0))</f>
        <v/>
      </c>
      <c r="W1817" s="8">
        <f>IF(AND(V1817=1,D1817&lt;&gt;""),IF(D1817&gt;=corte,(B1817="CRÍTICO")*1E9+(100000-D1817)*10000+10000-ROW(),""),"")</f>
        <v/>
      </c>
      <c r="X1817" s="8">
        <f>IF(AND(V1817=1,D1817=pas_data,E1817=pas_turno),10000-ROW(),"")</f>
        <v/>
      </c>
    </row>
    <row r="1818">
      <c r="A1818" s="3">
        <f>IF(D1818="","","TT-"&amp;TEXT(ROW()-1,"00000"))</f>
        <v/>
      </c>
      <c r="B1818" s="3">
        <f>IF(D1818="","",IF(V1818=0,"CONCLUÍDO",IF(D1818&lt;corte,"HISTÓRICO",IF(OR(AND(ISNUMBER(R1818),R1818&lt;TODAY()),AND(OR(N1818="PENDENTE",N1818="PARCIAL"),D1818&lt;TODAY()-1)),"CRÍTICO",IF(OR(AND(P1818&lt;&gt;"",S1818=""),AND(N1818="REALIZADO",M1818="PENDENTE"),AND(ISNUMBER(R1818),R1818=TODAY())),"ATENÇÃO",IF(N(K1818)=0,"PENDENTE","EM ANDAMENTO"))))))</f>
        <v/>
      </c>
      <c r="C1818" s="3">
        <f>IF(D1818="","",IF(V1818=0,"🟢 OK",IF(D1818&lt;corte,"⚪ HISTÓRICO (sem baixa)",IF(AND(ISNUMBER(R1818),R1818&lt;TODAY()),"🔴 PRAZO VENCIDO",IF(AND(OR(N1818="PENDENTE",N1818="PARCIAL"),D1818&lt;TODAY()-1),"🔴 EMBARQUE ATRASADO",IF(AND(N1818="REALIZADO",M1818="PENDENTE"),"🟡 EMBARCADO SEM FATURAR",IF(AND(P1818&lt;&gt;"",S1818="",OR(Q1818="",R1818="")),"🟡 PENDÊNCIA SEM RESPONSÁVEL/PRAZO",IF(AND(ISNUMBER(R1818),R1818=TODAY()),"🟡 VENCE HOJE",IF(AND(P1818&lt;&gt;"",S1818=""),"🟡 PENDÊNCIA ABERTA",IF(AND(N(J1818)&gt;0,N(K1818)&lt;J1818),"🟡 FALTA EXECUTAR",IF(OR(M1818="PENDENTE",M1818="PARCIAL"),"🟡 FATURAMENTO PENDENTE","🟡 EMBARQUE PENDENTE")))))))))))</f>
        <v/>
      </c>
      <c r="D1818" s="4" t="n"/>
      <c r="E1818" s="5" t="n"/>
      <c r="F1818" s="5" t="n"/>
      <c r="G1818" s="5" t="n"/>
      <c r="H1818" s="5" t="n"/>
      <c r="I1818" s="5" t="n"/>
      <c r="J1818" s="6" t="n"/>
      <c r="K1818" s="6" t="n"/>
      <c r="L1818" s="7">
        <f>IF(OR(D1818="",N(J1818)=0),"",MIN(1,N(K1818)/J1818))</f>
        <v/>
      </c>
      <c r="M1818" s="5" t="n"/>
      <c r="N1818" s="5" t="n"/>
      <c r="O1818" s="5" t="n"/>
      <c r="P1818" s="5" t="n"/>
      <c r="Q1818" s="5" t="n"/>
      <c r="R1818" s="4" t="n"/>
      <c r="S1818" s="4" t="n"/>
      <c r="T1818" s="5" t="n"/>
      <c r="U1818" s="8">
        <f>IF(AND(V1818=1,D1818&lt;&gt;""),IF(D1818&gt;=corte,TODAY()-D1818,""),"")</f>
        <v/>
      </c>
      <c r="V1818" s="8">
        <f>IF(D1818="",0,IF(OR(AND(P1818&lt;&gt;"",S1818=""),AND(N(J1818)&gt;0,N(K1818)&lt;J1818),OR(M1818="PENDENTE",M1818="PARCIAL"),OR(N1818="PENDENTE",N1818="PARCIAL")),1,0))</f>
        <v/>
      </c>
      <c r="W1818" s="8">
        <f>IF(AND(V1818=1,D1818&lt;&gt;""),IF(D1818&gt;=corte,(B1818="CRÍTICO")*1E9+(100000-D1818)*10000+10000-ROW(),""),"")</f>
        <v/>
      </c>
      <c r="X1818" s="8">
        <f>IF(AND(V1818=1,D1818=pas_data,E1818=pas_turno),10000-ROW(),"")</f>
        <v/>
      </c>
    </row>
    <row r="1819">
      <c r="A1819" s="3">
        <f>IF(D1819="","","TT-"&amp;TEXT(ROW()-1,"00000"))</f>
        <v/>
      </c>
      <c r="B1819" s="3">
        <f>IF(D1819="","",IF(V1819=0,"CONCLUÍDO",IF(D1819&lt;corte,"HISTÓRICO",IF(OR(AND(ISNUMBER(R1819),R1819&lt;TODAY()),AND(OR(N1819="PENDENTE",N1819="PARCIAL"),D1819&lt;TODAY()-1)),"CRÍTICO",IF(OR(AND(P1819&lt;&gt;"",S1819=""),AND(N1819="REALIZADO",M1819="PENDENTE"),AND(ISNUMBER(R1819),R1819=TODAY())),"ATENÇÃO",IF(N(K1819)=0,"PENDENTE","EM ANDAMENTO"))))))</f>
        <v/>
      </c>
      <c r="C1819" s="3">
        <f>IF(D1819="","",IF(V1819=0,"🟢 OK",IF(D1819&lt;corte,"⚪ HISTÓRICO (sem baixa)",IF(AND(ISNUMBER(R1819),R1819&lt;TODAY()),"🔴 PRAZO VENCIDO",IF(AND(OR(N1819="PENDENTE",N1819="PARCIAL"),D1819&lt;TODAY()-1),"🔴 EMBARQUE ATRASADO",IF(AND(N1819="REALIZADO",M1819="PENDENTE"),"🟡 EMBARCADO SEM FATURAR",IF(AND(P1819&lt;&gt;"",S1819="",OR(Q1819="",R1819="")),"🟡 PENDÊNCIA SEM RESPONSÁVEL/PRAZO",IF(AND(ISNUMBER(R1819),R1819=TODAY()),"🟡 VENCE HOJE",IF(AND(P1819&lt;&gt;"",S1819=""),"🟡 PENDÊNCIA ABERTA",IF(AND(N(J1819)&gt;0,N(K1819)&lt;J1819),"🟡 FALTA EXECUTAR",IF(OR(M1819="PENDENTE",M1819="PARCIAL"),"🟡 FATURAMENTO PENDENTE","🟡 EMBARQUE PENDENTE")))))))))))</f>
        <v/>
      </c>
      <c r="D1819" s="4" t="n"/>
      <c r="E1819" s="5" t="n"/>
      <c r="F1819" s="5" t="n"/>
      <c r="G1819" s="5" t="n"/>
      <c r="H1819" s="5" t="n"/>
      <c r="I1819" s="5" t="n"/>
      <c r="J1819" s="6" t="n"/>
      <c r="K1819" s="6" t="n"/>
      <c r="L1819" s="7">
        <f>IF(OR(D1819="",N(J1819)=0),"",MIN(1,N(K1819)/J1819))</f>
        <v/>
      </c>
      <c r="M1819" s="5" t="n"/>
      <c r="N1819" s="5" t="n"/>
      <c r="O1819" s="5" t="n"/>
      <c r="P1819" s="5" t="n"/>
      <c r="Q1819" s="5" t="n"/>
      <c r="R1819" s="4" t="n"/>
      <c r="S1819" s="4" t="n"/>
      <c r="T1819" s="5" t="n"/>
      <c r="U1819" s="8">
        <f>IF(AND(V1819=1,D1819&lt;&gt;""),IF(D1819&gt;=corte,TODAY()-D1819,""),"")</f>
        <v/>
      </c>
      <c r="V1819" s="8">
        <f>IF(D1819="",0,IF(OR(AND(P1819&lt;&gt;"",S1819=""),AND(N(J1819)&gt;0,N(K1819)&lt;J1819),OR(M1819="PENDENTE",M1819="PARCIAL"),OR(N1819="PENDENTE",N1819="PARCIAL")),1,0))</f>
        <v/>
      </c>
      <c r="W1819" s="8">
        <f>IF(AND(V1819=1,D1819&lt;&gt;""),IF(D1819&gt;=corte,(B1819="CRÍTICO")*1E9+(100000-D1819)*10000+10000-ROW(),""),"")</f>
        <v/>
      </c>
      <c r="X1819" s="8">
        <f>IF(AND(V1819=1,D1819=pas_data,E1819=pas_turno),10000-ROW(),"")</f>
        <v/>
      </c>
    </row>
    <row r="1820">
      <c r="A1820" s="3">
        <f>IF(D1820="","","TT-"&amp;TEXT(ROW()-1,"00000"))</f>
        <v/>
      </c>
      <c r="B1820" s="3">
        <f>IF(D1820="","",IF(V1820=0,"CONCLUÍDO",IF(D1820&lt;corte,"HISTÓRICO",IF(OR(AND(ISNUMBER(R1820),R1820&lt;TODAY()),AND(OR(N1820="PENDENTE",N1820="PARCIAL"),D1820&lt;TODAY()-1)),"CRÍTICO",IF(OR(AND(P1820&lt;&gt;"",S1820=""),AND(N1820="REALIZADO",M1820="PENDENTE"),AND(ISNUMBER(R1820),R1820=TODAY())),"ATENÇÃO",IF(N(K1820)=0,"PENDENTE","EM ANDAMENTO"))))))</f>
        <v/>
      </c>
      <c r="C1820" s="3">
        <f>IF(D1820="","",IF(V1820=0,"🟢 OK",IF(D1820&lt;corte,"⚪ HISTÓRICO (sem baixa)",IF(AND(ISNUMBER(R1820),R1820&lt;TODAY()),"🔴 PRAZO VENCIDO",IF(AND(OR(N1820="PENDENTE",N1820="PARCIAL"),D1820&lt;TODAY()-1),"🔴 EMBARQUE ATRASADO",IF(AND(N1820="REALIZADO",M1820="PENDENTE"),"🟡 EMBARCADO SEM FATURAR",IF(AND(P1820&lt;&gt;"",S1820="",OR(Q1820="",R1820="")),"🟡 PENDÊNCIA SEM RESPONSÁVEL/PRAZO",IF(AND(ISNUMBER(R1820),R1820=TODAY()),"🟡 VENCE HOJE",IF(AND(P1820&lt;&gt;"",S1820=""),"🟡 PENDÊNCIA ABERTA",IF(AND(N(J1820)&gt;0,N(K1820)&lt;J1820),"🟡 FALTA EXECUTAR",IF(OR(M1820="PENDENTE",M1820="PARCIAL"),"🟡 FATURAMENTO PENDENTE","🟡 EMBARQUE PENDENTE")))))))))))</f>
        <v/>
      </c>
      <c r="D1820" s="4" t="n"/>
      <c r="E1820" s="5" t="n"/>
      <c r="F1820" s="5" t="n"/>
      <c r="G1820" s="5" t="n"/>
      <c r="H1820" s="5" t="n"/>
      <c r="I1820" s="5" t="n"/>
      <c r="J1820" s="6" t="n"/>
      <c r="K1820" s="6" t="n"/>
      <c r="L1820" s="7">
        <f>IF(OR(D1820="",N(J1820)=0),"",MIN(1,N(K1820)/J1820))</f>
        <v/>
      </c>
      <c r="M1820" s="5" t="n"/>
      <c r="N1820" s="5" t="n"/>
      <c r="O1820" s="5" t="n"/>
      <c r="P1820" s="5" t="n"/>
      <c r="Q1820" s="5" t="n"/>
      <c r="R1820" s="4" t="n"/>
      <c r="S1820" s="4" t="n"/>
      <c r="T1820" s="5" t="n"/>
      <c r="U1820" s="8">
        <f>IF(AND(V1820=1,D1820&lt;&gt;""),IF(D1820&gt;=corte,TODAY()-D1820,""),"")</f>
        <v/>
      </c>
      <c r="V1820" s="8">
        <f>IF(D1820="",0,IF(OR(AND(P1820&lt;&gt;"",S1820=""),AND(N(J1820)&gt;0,N(K1820)&lt;J1820),OR(M1820="PENDENTE",M1820="PARCIAL"),OR(N1820="PENDENTE",N1820="PARCIAL")),1,0))</f>
        <v/>
      </c>
      <c r="W1820" s="8">
        <f>IF(AND(V1820=1,D1820&lt;&gt;""),IF(D1820&gt;=corte,(B1820="CRÍTICO")*1E9+(100000-D1820)*10000+10000-ROW(),""),"")</f>
        <v/>
      </c>
      <c r="X1820" s="8">
        <f>IF(AND(V1820=1,D1820=pas_data,E1820=pas_turno),10000-ROW(),"")</f>
        <v/>
      </c>
    </row>
    <row r="1821">
      <c r="A1821" s="3">
        <f>IF(D1821="","","TT-"&amp;TEXT(ROW()-1,"00000"))</f>
        <v/>
      </c>
      <c r="B1821" s="3">
        <f>IF(D1821="","",IF(V1821=0,"CONCLUÍDO",IF(D1821&lt;corte,"HISTÓRICO",IF(OR(AND(ISNUMBER(R1821),R1821&lt;TODAY()),AND(OR(N1821="PENDENTE",N1821="PARCIAL"),D1821&lt;TODAY()-1)),"CRÍTICO",IF(OR(AND(P1821&lt;&gt;"",S1821=""),AND(N1821="REALIZADO",M1821="PENDENTE"),AND(ISNUMBER(R1821),R1821=TODAY())),"ATENÇÃO",IF(N(K1821)=0,"PENDENTE","EM ANDAMENTO"))))))</f>
        <v/>
      </c>
      <c r="C1821" s="3">
        <f>IF(D1821="","",IF(V1821=0,"🟢 OK",IF(D1821&lt;corte,"⚪ HISTÓRICO (sem baixa)",IF(AND(ISNUMBER(R1821),R1821&lt;TODAY()),"🔴 PRAZO VENCIDO",IF(AND(OR(N1821="PENDENTE",N1821="PARCIAL"),D1821&lt;TODAY()-1),"🔴 EMBARQUE ATRASADO",IF(AND(N1821="REALIZADO",M1821="PENDENTE"),"🟡 EMBARCADO SEM FATURAR",IF(AND(P1821&lt;&gt;"",S1821="",OR(Q1821="",R1821="")),"🟡 PENDÊNCIA SEM RESPONSÁVEL/PRAZO",IF(AND(ISNUMBER(R1821),R1821=TODAY()),"🟡 VENCE HOJE",IF(AND(P1821&lt;&gt;"",S1821=""),"🟡 PENDÊNCIA ABERTA",IF(AND(N(J1821)&gt;0,N(K1821)&lt;J1821),"🟡 FALTA EXECUTAR",IF(OR(M1821="PENDENTE",M1821="PARCIAL"),"🟡 FATURAMENTO PENDENTE","🟡 EMBARQUE PENDENTE")))))))))))</f>
        <v/>
      </c>
      <c r="D1821" s="4" t="n"/>
      <c r="E1821" s="5" t="n"/>
      <c r="F1821" s="5" t="n"/>
      <c r="G1821" s="5" t="n"/>
      <c r="H1821" s="5" t="n"/>
      <c r="I1821" s="5" t="n"/>
      <c r="J1821" s="6" t="n"/>
      <c r="K1821" s="6" t="n"/>
      <c r="L1821" s="7">
        <f>IF(OR(D1821="",N(J1821)=0),"",MIN(1,N(K1821)/J1821))</f>
        <v/>
      </c>
      <c r="M1821" s="5" t="n"/>
      <c r="N1821" s="5" t="n"/>
      <c r="O1821" s="5" t="n"/>
      <c r="P1821" s="5" t="n"/>
      <c r="Q1821" s="5" t="n"/>
      <c r="R1821" s="4" t="n"/>
      <c r="S1821" s="4" t="n"/>
      <c r="T1821" s="5" t="n"/>
      <c r="U1821" s="8">
        <f>IF(AND(V1821=1,D1821&lt;&gt;""),IF(D1821&gt;=corte,TODAY()-D1821,""),"")</f>
        <v/>
      </c>
      <c r="V1821" s="8">
        <f>IF(D1821="",0,IF(OR(AND(P1821&lt;&gt;"",S1821=""),AND(N(J1821)&gt;0,N(K1821)&lt;J1821),OR(M1821="PENDENTE",M1821="PARCIAL"),OR(N1821="PENDENTE",N1821="PARCIAL")),1,0))</f>
        <v/>
      </c>
      <c r="W1821" s="8">
        <f>IF(AND(V1821=1,D1821&lt;&gt;""),IF(D1821&gt;=corte,(B1821="CRÍTICO")*1E9+(100000-D1821)*10000+10000-ROW(),""),"")</f>
        <v/>
      </c>
      <c r="X1821" s="8">
        <f>IF(AND(V1821=1,D1821=pas_data,E1821=pas_turno),10000-ROW(),"")</f>
        <v/>
      </c>
    </row>
    <row r="1822">
      <c r="A1822" s="3">
        <f>IF(D1822="","","TT-"&amp;TEXT(ROW()-1,"00000"))</f>
        <v/>
      </c>
      <c r="B1822" s="3">
        <f>IF(D1822="","",IF(V1822=0,"CONCLUÍDO",IF(D1822&lt;corte,"HISTÓRICO",IF(OR(AND(ISNUMBER(R1822),R1822&lt;TODAY()),AND(OR(N1822="PENDENTE",N1822="PARCIAL"),D1822&lt;TODAY()-1)),"CRÍTICO",IF(OR(AND(P1822&lt;&gt;"",S1822=""),AND(N1822="REALIZADO",M1822="PENDENTE"),AND(ISNUMBER(R1822),R1822=TODAY())),"ATENÇÃO",IF(N(K1822)=0,"PENDENTE","EM ANDAMENTO"))))))</f>
        <v/>
      </c>
      <c r="C1822" s="3">
        <f>IF(D1822="","",IF(V1822=0,"🟢 OK",IF(D1822&lt;corte,"⚪ HISTÓRICO (sem baixa)",IF(AND(ISNUMBER(R1822),R1822&lt;TODAY()),"🔴 PRAZO VENCIDO",IF(AND(OR(N1822="PENDENTE",N1822="PARCIAL"),D1822&lt;TODAY()-1),"🔴 EMBARQUE ATRASADO",IF(AND(N1822="REALIZADO",M1822="PENDENTE"),"🟡 EMBARCADO SEM FATURAR",IF(AND(P1822&lt;&gt;"",S1822="",OR(Q1822="",R1822="")),"🟡 PENDÊNCIA SEM RESPONSÁVEL/PRAZO",IF(AND(ISNUMBER(R1822),R1822=TODAY()),"🟡 VENCE HOJE",IF(AND(P1822&lt;&gt;"",S1822=""),"🟡 PENDÊNCIA ABERTA",IF(AND(N(J1822)&gt;0,N(K1822)&lt;J1822),"🟡 FALTA EXECUTAR",IF(OR(M1822="PENDENTE",M1822="PARCIAL"),"🟡 FATURAMENTO PENDENTE","🟡 EMBARQUE PENDENTE")))))))))))</f>
        <v/>
      </c>
      <c r="D1822" s="4" t="n"/>
      <c r="E1822" s="5" t="n"/>
      <c r="F1822" s="5" t="n"/>
      <c r="G1822" s="5" t="n"/>
      <c r="H1822" s="5" t="n"/>
      <c r="I1822" s="5" t="n"/>
      <c r="J1822" s="6" t="n"/>
      <c r="K1822" s="6" t="n"/>
      <c r="L1822" s="7">
        <f>IF(OR(D1822="",N(J1822)=0),"",MIN(1,N(K1822)/J1822))</f>
        <v/>
      </c>
      <c r="M1822" s="5" t="n"/>
      <c r="N1822" s="5" t="n"/>
      <c r="O1822" s="5" t="n"/>
      <c r="P1822" s="5" t="n"/>
      <c r="Q1822" s="5" t="n"/>
      <c r="R1822" s="4" t="n"/>
      <c r="S1822" s="4" t="n"/>
      <c r="T1822" s="5" t="n"/>
      <c r="U1822" s="8">
        <f>IF(AND(V1822=1,D1822&lt;&gt;""),IF(D1822&gt;=corte,TODAY()-D1822,""),"")</f>
        <v/>
      </c>
      <c r="V1822" s="8">
        <f>IF(D1822="",0,IF(OR(AND(P1822&lt;&gt;"",S1822=""),AND(N(J1822)&gt;0,N(K1822)&lt;J1822),OR(M1822="PENDENTE",M1822="PARCIAL"),OR(N1822="PENDENTE",N1822="PARCIAL")),1,0))</f>
        <v/>
      </c>
      <c r="W1822" s="8">
        <f>IF(AND(V1822=1,D1822&lt;&gt;""),IF(D1822&gt;=corte,(B1822="CRÍTICO")*1E9+(100000-D1822)*10000+10000-ROW(),""),"")</f>
        <v/>
      </c>
      <c r="X1822" s="8">
        <f>IF(AND(V1822=1,D1822=pas_data,E1822=pas_turno),10000-ROW(),"")</f>
        <v/>
      </c>
    </row>
    <row r="1823">
      <c r="A1823" s="3">
        <f>IF(D1823="","","TT-"&amp;TEXT(ROW()-1,"00000"))</f>
        <v/>
      </c>
      <c r="B1823" s="3">
        <f>IF(D1823="","",IF(V1823=0,"CONCLUÍDO",IF(D1823&lt;corte,"HISTÓRICO",IF(OR(AND(ISNUMBER(R1823),R1823&lt;TODAY()),AND(OR(N1823="PENDENTE",N1823="PARCIAL"),D1823&lt;TODAY()-1)),"CRÍTICO",IF(OR(AND(P1823&lt;&gt;"",S1823=""),AND(N1823="REALIZADO",M1823="PENDENTE"),AND(ISNUMBER(R1823),R1823=TODAY())),"ATENÇÃO",IF(N(K1823)=0,"PENDENTE","EM ANDAMENTO"))))))</f>
        <v/>
      </c>
      <c r="C1823" s="3">
        <f>IF(D1823="","",IF(V1823=0,"🟢 OK",IF(D1823&lt;corte,"⚪ HISTÓRICO (sem baixa)",IF(AND(ISNUMBER(R1823),R1823&lt;TODAY()),"🔴 PRAZO VENCIDO",IF(AND(OR(N1823="PENDENTE",N1823="PARCIAL"),D1823&lt;TODAY()-1),"🔴 EMBARQUE ATRASADO",IF(AND(N1823="REALIZADO",M1823="PENDENTE"),"🟡 EMBARCADO SEM FATURAR",IF(AND(P1823&lt;&gt;"",S1823="",OR(Q1823="",R1823="")),"🟡 PENDÊNCIA SEM RESPONSÁVEL/PRAZO",IF(AND(ISNUMBER(R1823),R1823=TODAY()),"🟡 VENCE HOJE",IF(AND(P1823&lt;&gt;"",S1823=""),"🟡 PENDÊNCIA ABERTA",IF(AND(N(J1823)&gt;0,N(K1823)&lt;J1823),"🟡 FALTA EXECUTAR",IF(OR(M1823="PENDENTE",M1823="PARCIAL"),"🟡 FATURAMENTO PENDENTE","🟡 EMBARQUE PENDENTE")))))))))))</f>
        <v/>
      </c>
      <c r="D1823" s="4" t="n"/>
      <c r="E1823" s="5" t="n"/>
      <c r="F1823" s="5" t="n"/>
      <c r="G1823" s="5" t="n"/>
      <c r="H1823" s="5" t="n"/>
      <c r="I1823" s="5" t="n"/>
      <c r="J1823" s="6" t="n"/>
      <c r="K1823" s="6" t="n"/>
      <c r="L1823" s="7">
        <f>IF(OR(D1823="",N(J1823)=0),"",MIN(1,N(K1823)/J1823))</f>
        <v/>
      </c>
      <c r="M1823" s="5" t="n"/>
      <c r="N1823" s="5" t="n"/>
      <c r="O1823" s="5" t="n"/>
      <c r="P1823" s="5" t="n"/>
      <c r="Q1823" s="5" t="n"/>
      <c r="R1823" s="4" t="n"/>
      <c r="S1823" s="4" t="n"/>
      <c r="T1823" s="5" t="n"/>
      <c r="U1823" s="8">
        <f>IF(AND(V1823=1,D1823&lt;&gt;""),IF(D1823&gt;=corte,TODAY()-D1823,""),"")</f>
        <v/>
      </c>
      <c r="V1823" s="8">
        <f>IF(D1823="",0,IF(OR(AND(P1823&lt;&gt;"",S1823=""),AND(N(J1823)&gt;0,N(K1823)&lt;J1823),OR(M1823="PENDENTE",M1823="PARCIAL"),OR(N1823="PENDENTE",N1823="PARCIAL")),1,0))</f>
        <v/>
      </c>
      <c r="W1823" s="8">
        <f>IF(AND(V1823=1,D1823&lt;&gt;""),IF(D1823&gt;=corte,(B1823="CRÍTICO")*1E9+(100000-D1823)*10000+10000-ROW(),""),"")</f>
        <v/>
      </c>
      <c r="X1823" s="8">
        <f>IF(AND(V1823=1,D1823=pas_data,E1823=pas_turno),10000-ROW(),"")</f>
        <v/>
      </c>
    </row>
    <row r="1824">
      <c r="A1824" s="3">
        <f>IF(D1824="","","TT-"&amp;TEXT(ROW()-1,"00000"))</f>
        <v/>
      </c>
      <c r="B1824" s="3">
        <f>IF(D1824="","",IF(V1824=0,"CONCLUÍDO",IF(D1824&lt;corte,"HISTÓRICO",IF(OR(AND(ISNUMBER(R1824),R1824&lt;TODAY()),AND(OR(N1824="PENDENTE",N1824="PARCIAL"),D1824&lt;TODAY()-1)),"CRÍTICO",IF(OR(AND(P1824&lt;&gt;"",S1824=""),AND(N1824="REALIZADO",M1824="PENDENTE"),AND(ISNUMBER(R1824),R1824=TODAY())),"ATENÇÃO",IF(N(K1824)=0,"PENDENTE","EM ANDAMENTO"))))))</f>
        <v/>
      </c>
      <c r="C1824" s="3">
        <f>IF(D1824="","",IF(V1824=0,"🟢 OK",IF(D1824&lt;corte,"⚪ HISTÓRICO (sem baixa)",IF(AND(ISNUMBER(R1824),R1824&lt;TODAY()),"🔴 PRAZO VENCIDO",IF(AND(OR(N1824="PENDENTE",N1824="PARCIAL"),D1824&lt;TODAY()-1),"🔴 EMBARQUE ATRASADO",IF(AND(N1824="REALIZADO",M1824="PENDENTE"),"🟡 EMBARCADO SEM FATURAR",IF(AND(P1824&lt;&gt;"",S1824="",OR(Q1824="",R1824="")),"🟡 PENDÊNCIA SEM RESPONSÁVEL/PRAZO",IF(AND(ISNUMBER(R1824),R1824=TODAY()),"🟡 VENCE HOJE",IF(AND(P1824&lt;&gt;"",S1824=""),"🟡 PENDÊNCIA ABERTA",IF(AND(N(J1824)&gt;0,N(K1824)&lt;J1824),"🟡 FALTA EXECUTAR",IF(OR(M1824="PENDENTE",M1824="PARCIAL"),"🟡 FATURAMENTO PENDENTE","🟡 EMBARQUE PENDENTE")))))))))))</f>
        <v/>
      </c>
      <c r="D1824" s="4" t="n"/>
      <c r="E1824" s="5" t="n"/>
      <c r="F1824" s="5" t="n"/>
      <c r="G1824" s="5" t="n"/>
      <c r="H1824" s="5" t="n"/>
      <c r="I1824" s="5" t="n"/>
      <c r="J1824" s="6" t="n"/>
      <c r="K1824" s="6" t="n"/>
      <c r="L1824" s="7">
        <f>IF(OR(D1824="",N(J1824)=0),"",MIN(1,N(K1824)/J1824))</f>
        <v/>
      </c>
      <c r="M1824" s="5" t="n"/>
      <c r="N1824" s="5" t="n"/>
      <c r="O1824" s="5" t="n"/>
      <c r="P1824" s="5" t="n"/>
      <c r="Q1824" s="5" t="n"/>
      <c r="R1824" s="4" t="n"/>
      <c r="S1824" s="4" t="n"/>
      <c r="T1824" s="5" t="n"/>
      <c r="U1824" s="8">
        <f>IF(AND(V1824=1,D1824&lt;&gt;""),IF(D1824&gt;=corte,TODAY()-D1824,""),"")</f>
        <v/>
      </c>
      <c r="V1824" s="8">
        <f>IF(D1824="",0,IF(OR(AND(P1824&lt;&gt;"",S1824=""),AND(N(J1824)&gt;0,N(K1824)&lt;J1824),OR(M1824="PENDENTE",M1824="PARCIAL"),OR(N1824="PENDENTE",N1824="PARCIAL")),1,0))</f>
        <v/>
      </c>
      <c r="W1824" s="8">
        <f>IF(AND(V1824=1,D1824&lt;&gt;""),IF(D1824&gt;=corte,(B1824="CRÍTICO")*1E9+(100000-D1824)*10000+10000-ROW(),""),"")</f>
        <v/>
      </c>
      <c r="X1824" s="8">
        <f>IF(AND(V1824=1,D1824=pas_data,E1824=pas_turno),10000-ROW(),"")</f>
        <v/>
      </c>
    </row>
    <row r="1825">
      <c r="A1825" s="3">
        <f>IF(D1825="","","TT-"&amp;TEXT(ROW()-1,"00000"))</f>
        <v/>
      </c>
      <c r="B1825" s="3">
        <f>IF(D1825="","",IF(V1825=0,"CONCLUÍDO",IF(D1825&lt;corte,"HISTÓRICO",IF(OR(AND(ISNUMBER(R1825),R1825&lt;TODAY()),AND(OR(N1825="PENDENTE",N1825="PARCIAL"),D1825&lt;TODAY()-1)),"CRÍTICO",IF(OR(AND(P1825&lt;&gt;"",S1825=""),AND(N1825="REALIZADO",M1825="PENDENTE"),AND(ISNUMBER(R1825),R1825=TODAY())),"ATENÇÃO",IF(N(K1825)=0,"PENDENTE","EM ANDAMENTO"))))))</f>
        <v/>
      </c>
      <c r="C1825" s="3">
        <f>IF(D1825="","",IF(V1825=0,"🟢 OK",IF(D1825&lt;corte,"⚪ HISTÓRICO (sem baixa)",IF(AND(ISNUMBER(R1825),R1825&lt;TODAY()),"🔴 PRAZO VENCIDO",IF(AND(OR(N1825="PENDENTE",N1825="PARCIAL"),D1825&lt;TODAY()-1),"🔴 EMBARQUE ATRASADO",IF(AND(N1825="REALIZADO",M1825="PENDENTE"),"🟡 EMBARCADO SEM FATURAR",IF(AND(P1825&lt;&gt;"",S1825="",OR(Q1825="",R1825="")),"🟡 PENDÊNCIA SEM RESPONSÁVEL/PRAZO",IF(AND(ISNUMBER(R1825),R1825=TODAY()),"🟡 VENCE HOJE",IF(AND(P1825&lt;&gt;"",S1825=""),"🟡 PENDÊNCIA ABERTA",IF(AND(N(J1825)&gt;0,N(K1825)&lt;J1825),"🟡 FALTA EXECUTAR",IF(OR(M1825="PENDENTE",M1825="PARCIAL"),"🟡 FATURAMENTO PENDENTE","🟡 EMBARQUE PENDENTE")))))))))))</f>
        <v/>
      </c>
      <c r="D1825" s="4" t="n"/>
      <c r="E1825" s="5" t="n"/>
      <c r="F1825" s="5" t="n"/>
      <c r="G1825" s="5" t="n"/>
      <c r="H1825" s="5" t="n"/>
      <c r="I1825" s="5" t="n"/>
      <c r="J1825" s="6" t="n"/>
      <c r="K1825" s="6" t="n"/>
      <c r="L1825" s="7">
        <f>IF(OR(D1825="",N(J1825)=0),"",MIN(1,N(K1825)/J1825))</f>
        <v/>
      </c>
      <c r="M1825" s="5" t="n"/>
      <c r="N1825" s="5" t="n"/>
      <c r="O1825" s="5" t="n"/>
      <c r="P1825" s="5" t="n"/>
      <c r="Q1825" s="5" t="n"/>
      <c r="R1825" s="4" t="n"/>
      <c r="S1825" s="4" t="n"/>
      <c r="T1825" s="5" t="n"/>
      <c r="U1825" s="8">
        <f>IF(AND(V1825=1,D1825&lt;&gt;""),IF(D1825&gt;=corte,TODAY()-D1825,""),"")</f>
        <v/>
      </c>
      <c r="V1825" s="8">
        <f>IF(D1825="",0,IF(OR(AND(P1825&lt;&gt;"",S1825=""),AND(N(J1825)&gt;0,N(K1825)&lt;J1825),OR(M1825="PENDENTE",M1825="PARCIAL"),OR(N1825="PENDENTE",N1825="PARCIAL")),1,0))</f>
        <v/>
      </c>
      <c r="W1825" s="8">
        <f>IF(AND(V1825=1,D1825&lt;&gt;""),IF(D1825&gt;=corte,(B1825="CRÍTICO")*1E9+(100000-D1825)*10000+10000-ROW(),""),"")</f>
        <v/>
      </c>
      <c r="X1825" s="8">
        <f>IF(AND(V1825=1,D1825=pas_data,E1825=pas_turno),10000-ROW(),"")</f>
        <v/>
      </c>
    </row>
    <row r="1826">
      <c r="A1826" s="3">
        <f>IF(D1826="","","TT-"&amp;TEXT(ROW()-1,"00000"))</f>
        <v/>
      </c>
      <c r="B1826" s="3">
        <f>IF(D1826="","",IF(V1826=0,"CONCLUÍDO",IF(D1826&lt;corte,"HISTÓRICO",IF(OR(AND(ISNUMBER(R1826),R1826&lt;TODAY()),AND(OR(N1826="PENDENTE",N1826="PARCIAL"),D1826&lt;TODAY()-1)),"CRÍTICO",IF(OR(AND(P1826&lt;&gt;"",S1826=""),AND(N1826="REALIZADO",M1826="PENDENTE"),AND(ISNUMBER(R1826),R1826=TODAY())),"ATENÇÃO",IF(N(K1826)=0,"PENDENTE","EM ANDAMENTO"))))))</f>
        <v/>
      </c>
      <c r="C1826" s="3">
        <f>IF(D1826="","",IF(V1826=0,"🟢 OK",IF(D1826&lt;corte,"⚪ HISTÓRICO (sem baixa)",IF(AND(ISNUMBER(R1826),R1826&lt;TODAY()),"🔴 PRAZO VENCIDO",IF(AND(OR(N1826="PENDENTE",N1826="PARCIAL"),D1826&lt;TODAY()-1),"🔴 EMBARQUE ATRASADO",IF(AND(N1826="REALIZADO",M1826="PENDENTE"),"🟡 EMBARCADO SEM FATURAR",IF(AND(P1826&lt;&gt;"",S1826="",OR(Q1826="",R1826="")),"🟡 PENDÊNCIA SEM RESPONSÁVEL/PRAZO",IF(AND(ISNUMBER(R1826),R1826=TODAY()),"🟡 VENCE HOJE",IF(AND(P1826&lt;&gt;"",S1826=""),"🟡 PENDÊNCIA ABERTA",IF(AND(N(J1826)&gt;0,N(K1826)&lt;J1826),"🟡 FALTA EXECUTAR",IF(OR(M1826="PENDENTE",M1826="PARCIAL"),"🟡 FATURAMENTO PENDENTE","🟡 EMBARQUE PENDENTE")))))))))))</f>
        <v/>
      </c>
      <c r="D1826" s="4" t="n"/>
      <c r="E1826" s="5" t="n"/>
      <c r="F1826" s="5" t="n"/>
      <c r="G1826" s="5" t="n"/>
      <c r="H1826" s="5" t="n"/>
      <c r="I1826" s="5" t="n"/>
      <c r="J1826" s="6" t="n"/>
      <c r="K1826" s="6" t="n"/>
      <c r="L1826" s="7">
        <f>IF(OR(D1826="",N(J1826)=0),"",MIN(1,N(K1826)/J1826))</f>
        <v/>
      </c>
      <c r="M1826" s="5" t="n"/>
      <c r="N1826" s="5" t="n"/>
      <c r="O1826" s="5" t="n"/>
      <c r="P1826" s="5" t="n"/>
      <c r="Q1826" s="5" t="n"/>
      <c r="R1826" s="4" t="n"/>
      <c r="S1826" s="4" t="n"/>
      <c r="T1826" s="5" t="n"/>
      <c r="U1826" s="8">
        <f>IF(AND(V1826=1,D1826&lt;&gt;""),IF(D1826&gt;=corte,TODAY()-D1826,""),"")</f>
        <v/>
      </c>
      <c r="V1826" s="8">
        <f>IF(D1826="",0,IF(OR(AND(P1826&lt;&gt;"",S1826=""),AND(N(J1826)&gt;0,N(K1826)&lt;J1826),OR(M1826="PENDENTE",M1826="PARCIAL"),OR(N1826="PENDENTE",N1826="PARCIAL")),1,0))</f>
        <v/>
      </c>
      <c r="W1826" s="8">
        <f>IF(AND(V1826=1,D1826&lt;&gt;""),IF(D1826&gt;=corte,(B1826="CRÍTICO")*1E9+(100000-D1826)*10000+10000-ROW(),""),"")</f>
        <v/>
      </c>
      <c r="X1826" s="8">
        <f>IF(AND(V1826=1,D1826=pas_data,E1826=pas_turno),10000-ROW(),"")</f>
        <v/>
      </c>
    </row>
    <row r="1827">
      <c r="A1827" s="3">
        <f>IF(D1827="","","TT-"&amp;TEXT(ROW()-1,"00000"))</f>
        <v/>
      </c>
      <c r="B1827" s="3">
        <f>IF(D1827="","",IF(V1827=0,"CONCLUÍDO",IF(D1827&lt;corte,"HISTÓRICO",IF(OR(AND(ISNUMBER(R1827),R1827&lt;TODAY()),AND(OR(N1827="PENDENTE",N1827="PARCIAL"),D1827&lt;TODAY()-1)),"CRÍTICO",IF(OR(AND(P1827&lt;&gt;"",S1827=""),AND(N1827="REALIZADO",M1827="PENDENTE"),AND(ISNUMBER(R1827),R1827=TODAY())),"ATENÇÃO",IF(N(K1827)=0,"PENDENTE","EM ANDAMENTO"))))))</f>
        <v/>
      </c>
      <c r="C1827" s="3">
        <f>IF(D1827="","",IF(V1827=0,"🟢 OK",IF(D1827&lt;corte,"⚪ HISTÓRICO (sem baixa)",IF(AND(ISNUMBER(R1827),R1827&lt;TODAY()),"🔴 PRAZO VENCIDO",IF(AND(OR(N1827="PENDENTE",N1827="PARCIAL"),D1827&lt;TODAY()-1),"🔴 EMBARQUE ATRASADO",IF(AND(N1827="REALIZADO",M1827="PENDENTE"),"🟡 EMBARCADO SEM FATURAR",IF(AND(P1827&lt;&gt;"",S1827="",OR(Q1827="",R1827="")),"🟡 PENDÊNCIA SEM RESPONSÁVEL/PRAZO",IF(AND(ISNUMBER(R1827),R1827=TODAY()),"🟡 VENCE HOJE",IF(AND(P1827&lt;&gt;"",S1827=""),"🟡 PENDÊNCIA ABERTA",IF(AND(N(J1827)&gt;0,N(K1827)&lt;J1827),"🟡 FALTA EXECUTAR",IF(OR(M1827="PENDENTE",M1827="PARCIAL"),"🟡 FATURAMENTO PENDENTE","🟡 EMBARQUE PENDENTE")))))))))))</f>
        <v/>
      </c>
      <c r="D1827" s="4" t="n"/>
      <c r="E1827" s="5" t="n"/>
      <c r="F1827" s="5" t="n"/>
      <c r="G1827" s="5" t="n"/>
      <c r="H1827" s="5" t="n"/>
      <c r="I1827" s="5" t="n"/>
      <c r="J1827" s="6" t="n"/>
      <c r="K1827" s="6" t="n"/>
      <c r="L1827" s="7">
        <f>IF(OR(D1827="",N(J1827)=0),"",MIN(1,N(K1827)/J1827))</f>
        <v/>
      </c>
      <c r="M1827" s="5" t="n"/>
      <c r="N1827" s="5" t="n"/>
      <c r="O1827" s="5" t="n"/>
      <c r="P1827" s="5" t="n"/>
      <c r="Q1827" s="5" t="n"/>
      <c r="R1827" s="4" t="n"/>
      <c r="S1827" s="4" t="n"/>
      <c r="T1827" s="5" t="n"/>
      <c r="U1827" s="8">
        <f>IF(AND(V1827=1,D1827&lt;&gt;""),IF(D1827&gt;=corte,TODAY()-D1827,""),"")</f>
        <v/>
      </c>
      <c r="V1827" s="8">
        <f>IF(D1827="",0,IF(OR(AND(P1827&lt;&gt;"",S1827=""),AND(N(J1827)&gt;0,N(K1827)&lt;J1827),OR(M1827="PENDENTE",M1827="PARCIAL"),OR(N1827="PENDENTE",N1827="PARCIAL")),1,0))</f>
        <v/>
      </c>
      <c r="W1827" s="8">
        <f>IF(AND(V1827=1,D1827&lt;&gt;""),IF(D1827&gt;=corte,(B1827="CRÍTICO")*1E9+(100000-D1827)*10000+10000-ROW(),""),"")</f>
        <v/>
      </c>
      <c r="X1827" s="8">
        <f>IF(AND(V1827=1,D1827=pas_data,E1827=pas_turno),10000-ROW(),"")</f>
        <v/>
      </c>
    </row>
    <row r="1828">
      <c r="A1828" s="3">
        <f>IF(D1828="","","TT-"&amp;TEXT(ROW()-1,"00000"))</f>
        <v/>
      </c>
      <c r="B1828" s="3">
        <f>IF(D1828="","",IF(V1828=0,"CONCLUÍDO",IF(D1828&lt;corte,"HISTÓRICO",IF(OR(AND(ISNUMBER(R1828),R1828&lt;TODAY()),AND(OR(N1828="PENDENTE",N1828="PARCIAL"),D1828&lt;TODAY()-1)),"CRÍTICO",IF(OR(AND(P1828&lt;&gt;"",S1828=""),AND(N1828="REALIZADO",M1828="PENDENTE"),AND(ISNUMBER(R1828),R1828=TODAY())),"ATENÇÃO",IF(N(K1828)=0,"PENDENTE","EM ANDAMENTO"))))))</f>
        <v/>
      </c>
      <c r="C1828" s="3">
        <f>IF(D1828="","",IF(V1828=0,"🟢 OK",IF(D1828&lt;corte,"⚪ HISTÓRICO (sem baixa)",IF(AND(ISNUMBER(R1828),R1828&lt;TODAY()),"🔴 PRAZO VENCIDO",IF(AND(OR(N1828="PENDENTE",N1828="PARCIAL"),D1828&lt;TODAY()-1),"🔴 EMBARQUE ATRASADO",IF(AND(N1828="REALIZADO",M1828="PENDENTE"),"🟡 EMBARCADO SEM FATURAR",IF(AND(P1828&lt;&gt;"",S1828="",OR(Q1828="",R1828="")),"🟡 PENDÊNCIA SEM RESPONSÁVEL/PRAZO",IF(AND(ISNUMBER(R1828),R1828=TODAY()),"🟡 VENCE HOJE",IF(AND(P1828&lt;&gt;"",S1828=""),"🟡 PENDÊNCIA ABERTA",IF(AND(N(J1828)&gt;0,N(K1828)&lt;J1828),"🟡 FALTA EXECUTAR",IF(OR(M1828="PENDENTE",M1828="PARCIAL"),"🟡 FATURAMENTO PENDENTE","🟡 EMBARQUE PENDENTE")))))))))))</f>
        <v/>
      </c>
      <c r="D1828" s="4" t="n"/>
      <c r="E1828" s="5" t="n"/>
      <c r="F1828" s="5" t="n"/>
      <c r="G1828" s="5" t="n"/>
      <c r="H1828" s="5" t="n"/>
      <c r="I1828" s="5" t="n"/>
      <c r="J1828" s="6" t="n"/>
      <c r="K1828" s="6" t="n"/>
      <c r="L1828" s="7">
        <f>IF(OR(D1828="",N(J1828)=0),"",MIN(1,N(K1828)/J1828))</f>
        <v/>
      </c>
      <c r="M1828" s="5" t="n"/>
      <c r="N1828" s="5" t="n"/>
      <c r="O1828" s="5" t="n"/>
      <c r="P1828" s="5" t="n"/>
      <c r="Q1828" s="5" t="n"/>
      <c r="R1828" s="4" t="n"/>
      <c r="S1828" s="4" t="n"/>
      <c r="T1828" s="5" t="n"/>
      <c r="U1828" s="8">
        <f>IF(AND(V1828=1,D1828&lt;&gt;""),IF(D1828&gt;=corte,TODAY()-D1828,""),"")</f>
        <v/>
      </c>
      <c r="V1828" s="8">
        <f>IF(D1828="",0,IF(OR(AND(P1828&lt;&gt;"",S1828=""),AND(N(J1828)&gt;0,N(K1828)&lt;J1828),OR(M1828="PENDENTE",M1828="PARCIAL"),OR(N1828="PENDENTE",N1828="PARCIAL")),1,0))</f>
        <v/>
      </c>
      <c r="W1828" s="8">
        <f>IF(AND(V1828=1,D1828&lt;&gt;""),IF(D1828&gt;=corte,(B1828="CRÍTICO")*1E9+(100000-D1828)*10000+10000-ROW(),""),"")</f>
        <v/>
      </c>
      <c r="X1828" s="8">
        <f>IF(AND(V1828=1,D1828=pas_data,E1828=pas_turno),10000-ROW(),"")</f>
        <v/>
      </c>
    </row>
    <row r="1829">
      <c r="A1829" s="3">
        <f>IF(D1829="","","TT-"&amp;TEXT(ROW()-1,"00000"))</f>
        <v/>
      </c>
      <c r="B1829" s="3">
        <f>IF(D1829="","",IF(V1829=0,"CONCLUÍDO",IF(D1829&lt;corte,"HISTÓRICO",IF(OR(AND(ISNUMBER(R1829),R1829&lt;TODAY()),AND(OR(N1829="PENDENTE",N1829="PARCIAL"),D1829&lt;TODAY()-1)),"CRÍTICO",IF(OR(AND(P1829&lt;&gt;"",S1829=""),AND(N1829="REALIZADO",M1829="PENDENTE"),AND(ISNUMBER(R1829),R1829=TODAY())),"ATENÇÃO",IF(N(K1829)=0,"PENDENTE","EM ANDAMENTO"))))))</f>
        <v/>
      </c>
      <c r="C1829" s="3">
        <f>IF(D1829="","",IF(V1829=0,"🟢 OK",IF(D1829&lt;corte,"⚪ HISTÓRICO (sem baixa)",IF(AND(ISNUMBER(R1829),R1829&lt;TODAY()),"🔴 PRAZO VENCIDO",IF(AND(OR(N1829="PENDENTE",N1829="PARCIAL"),D1829&lt;TODAY()-1),"🔴 EMBARQUE ATRASADO",IF(AND(N1829="REALIZADO",M1829="PENDENTE"),"🟡 EMBARCADO SEM FATURAR",IF(AND(P1829&lt;&gt;"",S1829="",OR(Q1829="",R1829="")),"🟡 PENDÊNCIA SEM RESPONSÁVEL/PRAZO",IF(AND(ISNUMBER(R1829),R1829=TODAY()),"🟡 VENCE HOJE",IF(AND(P1829&lt;&gt;"",S1829=""),"🟡 PENDÊNCIA ABERTA",IF(AND(N(J1829)&gt;0,N(K1829)&lt;J1829),"🟡 FALTA EXECUTAR",IF(OR(M1829="PENDENTE",M1829="PARCIAL"),"🟡 FATURAMENTO PENDENTE","🟡 EMBARQUE PENDENTE")))))))))))</f>
        <v/>
      </c>
      <c r="D1829" s="4" t="n"/>
      <c r="E1829" s="5" t="n"/>
      <c r="F1829" s="5" t="n"/>
      <c r="G1829" s="5" t="n"/>
      <c r="H1829" s="5" t="n"/>
      <c r="I1829" s="5" t="n"/>
      <c r="J1829" s="6" t="n"/>
      <c r="K1829" s="6" t="n"/>
      <c r="L1829" s="7">
        <f>IF(OR(D1829="",N(J1829)=0),"",MIN(1,N(K1829)/J1829))</f>
        <v/>
      </c>
      <c r="M1829" s="5" t="n"/>
      <c r="N1829" s="5" t="n"/>
      <c r="O1829" s="5" t="n"/>
      <c r="P1829" s="5" t="n"/>
      <c r="Q1829" s="5" t="n"/>
      <c r="R1829" s="4" t="n"/>
      <c r="S1829" s="4" t="n"/>
      <c r="T1829" s="5" t="n"/>
      <c r="U1829" s="8">
        <f>IF(AND(V1829=1,D1829&lt;&gt;""),IF(D1829&gt;=corte,TODAY()-D1829,""),"")</f>
        <v/>
      </c>
      <c r="V1829" s="8">
        <f>IF(D1829="",0,IF(OR(AND(P1829&lt;&gt;"",S1829=""),AND(N(J1829)&gt;0,N(K1829)&lt;J1829),OR(M1829="PENDENTE",M1829="PARCIAL"),OR(N1829="PENDENTE",N1829="PARCIAL")),1,0))</f>
        <v/>
      </c>
      <c r="W1829" s="8">
        <f>IF(AND(V1829=1,D1829&lt;&gt;""),IF(D1829&gt;=corte,(B1829="CRÍTICO")*1E9+(100000-D1829)*10000+10000-ROW(),""),"")</f>
        <v/>
      </c>
      <c r="X1829" s="8">
        <f>IF(AND(V1829=1,D1829=pas_data,E1829=pas_turno),10000-ROW(),"")</f>
        <v/>
      </c>
    </row>
    <row r="1830">
      <c r="A1830" s="3">
        <f>IF(D1830="","","TT-"&amp;TEXT(ROW()-1,"00000"))</f>
        <v/>
      </c>
      <c r="B1830" s="3">
        <f>IF(D1830="","",IF(V1830=0,"CONCLUÍDO",IF(D1830&lt;corte,"HISTÓRICO",IF(OR(AND(ISNUMBER(R1830),R1830&lt;TODAY()),AND(OR(N1830="PENDENTE",N1830="PARCIAL"),D1830&lt;TODAY()-1)),"CRÍTICO",IF(OR(AND(P1830&lt;&gt;"",S1830=""),AND(N1830="REALIZADO",M1830="PENDENTE"),AND(ISNUMBER(R1830),R1830=TODAY())),"ATENÇÃO",IF(N(K1830)=0,"PENDENTE","EM ANDAMENTO"))))))</f>
        <v/>
      </c>
      <c r="C1830" s="3">
        <f>IF(D1830="","",IF(V1830=0,"🟢 OK",IF(D1830&lt;corte,"⚪ HISTÓRICO (sem baixa)",IF(AND(ISNUMBER(R1830),R1830&lt;TODAY()),"🔴 PRAZO VENCIDO",IF(AND(OR(N1830="PENDENTE",N1830="PARCIAL"),D1830&lt;TODAY()-1),"🔴 EMBARQUE ATRASADO",IF(AND(N1830="REALIZADO",M1830="PENDENTE"),"🟡 EMBARCADO SEM FATURAR",IF(AND(P1830&lt;&gt;"",S1830="",OR(Q1830="",R1830="")),"🟡 PENDÊNCIA SEM RESPONSÁVEL/PRAZO",IF(AND(ISNUMBER(R1830),R1830=TODAY()),"🟡 VENCE HOJE",IF(AND(P1830&lt;&gt;"",S1830=""),"🟡 PENDÊNCIA ABERTA",IF(AND(N(J1830)&gt;0,N(K1830)&lt;J1830),"🟡 FALTA EXECUTAR",IF(OR(M1830="PENDENTE",M1830="PARCIAL"),"🟡 FATURAMENTO PENDENTE","🟡 EMBARQUE PENDENTE")))))))))))</f>
        <v/>
      </c>
      <c r="D1830" s="4" t="n"/>
      <c r="E1830" s="5" t="n"/>
      <c r="F1830" s="5" t="n"/>
      <c r="G1830" s="5" t="n"/>
      <c r="H1830" s="5" t="n"/>
      <c r="I1830" s="5" t="n"/>
      <c r="J1830" s="6" t="n"/>
      <c r="K1830" s="6" t="n"/>
      <c r="L1830" s="7">
        <f>IF(OR(D1830="",N(J1830)=0),"",MIN(1,N(K1830)/J1830))</f>
        <v/>
      </c>
      <c r="M1830" s="5" t="n"/>
      <c r="N1830" s="5" t="n"/>
      <c r="O1830" s="5" t="n"/>
      <c r="P1830" s="5" t="n"/>
      <c r="Q1830" s="5" t="n"/>
      <c r="R1830" s="4" t="n"/>
      <c r="S1830" s="4" t="n"/>
      <c r="T1830" s="5" t="n"/>
      <c r="U1830" s="8">
        <f>IF(AND(V1830=1,D1830&lt;&gt;""),IF(D1830&gt;=corte,TODAY()-D1830,""),"")</f>
        <v/>
      </c>
      <c r="V1830" s="8">
        <f>IF(D1830="",0,IF(OR(AND(P1830&lt;&gt;"",S1830=""),AND(N(J1830)&gt;0,N(K1830)&lt;J1830),OR(M1830="PENDENTE",M1830="PARCIAL"),OR(N1830="PENDENTE",N1830="PARCIAL")),1,0))</f>
        <v/>
      </c>
      <c r="W1830" s="8">
        <f>IF(AND(V1830=1,D1830&lt;&gt;""),IF(D1830&gt;=corte,(B1830="CRÍTICO")*1E9+(100000-D1830)*10000+10000-ROW(),""),"")</f>
        <v/>
      </c>
      <c r="X1830" s="8">
        <f>IF(AND(V1830=1,D1830=pas_data,E1830=pas_turno),10000-ROW(),"")</f>
        <v/>
      </c>
    </row>
    <row r="1831">
      <c r="A1831" s="3">
        <f>IF(D1831="","","TT-"&amp;TEXT(ROW()-1,"00000"))</f>
        <v/>
      </c>
      <c r="B1831" s="3">
        <f>IF(D1831="","",IF(V1831=0,"CONCLUÍDO",IF(D1831&lt;corte,"HISTÓRICO",IF(OR(AND(ISNUMBER(R1831),R1831&lt;TODAY()),AND(OR(N1831="PENDENTE",N1831="PARCIAL"),D1831&lt;TODAY()-1)),"CRÍTICO",IF(OR(AND(P1831&lt;&gt;"",S1831=""),AND(N1831="REALIZADO",M1831="PENDENTE"),AND(ISNUMBER(R1831),R1831=TODAY())),"ATENÇÃO",IF(N(K1831)=0,"PENDENTE","EM ANDAMENTO"))))))</f>
        <v/>
      </c>
      <c r="C1831" s="3">
        <f>IF(D1831="","",IF(V1831=0,"🟢 OK",IF(D1831&lt;corte,"⚪ HISTÓRICO (sem baixa)",IF(AND(ISNUMBER(R1831),R1831&lt;TODAY()),"🔴 PRAZO VENCIDO",IF(AND(OR(N1831="PENDENTE",N1831="PARCIAL"),D1831&lt;TODAY()-1),"🔴 EMBARQUE ATRASADO",IF(AND(N1831="REALIZADO",M1831="PENDENTE"),"🟡 EMBARCADO SEM FATURAR",IF(AND(P1831&lt;&gt;"",S1831="",OR(Q1831="",R1831="")),"🟡 PENDÊNCIA SEM RESPONSÁVEL/PRAZO",IF(AND(ISNUMBER(R1831),R1831=TODAY()),"🟡 VENCE HOJE",IF(AND(P1831&lt;&gt;"",S1831=""),"🟡 PENDÊNCIA ABERTA",IF(AND(N(J1831)&gt;0,N(K1831)&lt;J1831),"🟡 FALTA EXECUTAR",IF(OR(M1831="PENDENTE",M1831="PARCIAL"),"🟡 FATURAMENTO PENDENTE","🟡 EMBARQUE PENDENTE")))))))))))</f>
        <v/>
      </c>
      <c r="D1831" s="4" t="n"/>
      <c r="E1831" s="5" t="n"/>
      <c r="F1831" s="5" t="n"/>
      <c r="G1831" s="5" t="n"/>
      <c r="H1831" s="5" t="n"/>
      <c r="I1831" s="5" t="n"/>
      <c r="J1831" s="6" t="n"/>
      <c r="K1831" s="6" t="n"/>
      <c r="L1831" s="7">
        <f>IF(OR(D1831="",N(J1831)=0),"",MIN(1,N(K1831)/J1831))</f>
        <v/>
      </c>
      <c r="M1831" s="5" t="n"/>
      <c r="N1831" s="5" t="n"/>
      <c r="O1831" s="5" t="n"/>
      <c r="P1831" s="5" t="n"/>
      <c r="Q1831" s="5" t="n"/>
      <c r="R1831" s="4" t="n"/>
      <c r="S1831" s="4" t="n"/>
      <c r="T1831" s="5" t="n"/>
      <c r="U1831" s="8">
        <f>IF(AND(V1831=1,D1831&lt;&gt;""),IF(D1831&gt;=corte,TODAY()-D1831,""),"")</f>
        <v/>
      </c>
      <c r="V1831" s="8">
        <f>IF(D1831="",0,IF(OR(AND(P1831&lt;&gt;"",S1831=""),AND(N(J1831)&gt;0,N(K1831)&lt;J1831),OR(M1831="PENDENTE",M1831="PARCIAL"),OR(N1831="PENDENTE",N1831="PARCIAL")),1,0))</f>
        <v/>
      </c>
      <c r="W1831" s="8">
        <f>IF(AND(V1831=1,D1831&lt;&gt;""),IF(D1831&gt;=corte,(B1831="CRÍTICO")*1E9+(100000-D1831)*10000+10000-ROW(),""),"")</f>
        <v/>
      </c>
      <c r="X1831" s="8">
        <f>IF(AND(V1831=1,D1831=pas_data,E1831=pas_turno),10000-ROW(),"")</f>
        <v/>
      </c>
    </row>
    <row r="1832">
      <c r="A1832" s="3">
        <f>IF(D1832="","","TT-"&amp;TEXT(ROW()-1,"00000"))</f>
        <v/>
      </c>
      <c r="B1832" s="3">
        <f>IF(D1832="","",IF(V1832=0,"CONCLUÍDO",IF(D1832&lt;corte,"HISTÓRICO",IF(OR(AND(ISNUMBER(R1832),R1832&lt;TODAY()),AND(OR(N1832="PENDENTE",N1832="PARCIAL"),D1832&lt;TODAY()-1)),"CRÍTICO",IF(OR(AND(P1832&lt;&gt;"",S1832=""),AND(N1832="REALIZADO",M1832="PENDENTE"),AND(ISNUMBER(R1832),R1832=TODAY())),"ATENÇÃO",IF(N(K1832)=0,"PENDENTE","EM ANDAMENTO"))))))</f>
        <v/>
      </c>
      <c r="C1832" s="3">
        <f>IF(D1832="","",IF(V1832=0,"🟢 OK",IF(D1832&lt;corte,"⚪ HISTÓRICO (sem baixa)",IF(AND(ISNUMBER(R1832),R1832&lt;TODAY()),"🔴 PRAZO VENCIDO",IF(AND(OR(N1832="PENDENTE",N1832="PARCIAL"),D1832&lt;TODAY()-1),"🔴 EMBARQUE ATRASADO",IF(AND(N1832="REALIZADO",M1832="PENDENTE"),"🟡 EMBARCADO SEM FATURAR",IF(AND(P1832&lt;&gt;"",S1832="",OR(Q1832="",R1832="")),"🟡 PENDÊNCIA SEM RESPONSÁVEL/PRAZO",IF(AND(ISNUMBER(R1832),R1832=TODAY()),"🟡 VENCE HOJE",IF(AND(P1832&lt;&gt;"",S1832=""),"🟡 PENDÊNCIA ABERTA",IF(AND(N(J1832)&gt;0,N(K1832)&lt;J1832),"🟡 FALTA EXECUTAR",IF(OR(M1832="PENDENTE",M1832="PARCIAL"),"🟡 FATURAMENTO PENDENTE","🟡 EMBARQUE PENDENTE")))))))))))</f>
        <v/>
      </c>
      <c r="D1832" s="4" t="n"/>
      <c r="E1832" s="5" t="n"/>
      <c r="F1832" s="5" t="n"/>
      <c r="G1832" s="5" t="n"/>
      <c r="H1832" s="5" t="n"/>
      <c r="I1832" s="5" t="n"/>
      <c r="J1832" s="6" t="n"/>
      <c r="K1832" s="6" t="n"/>
      <c r="L1832" s="7">
        <f>IF(OR(D1832="",N(J1832)=0),"",MIN(1,N(K1832)/J1832))</f>
        <v/>
      </c>
      <c r="M1832" s="5" t="n"/>
      <c r="N1832" s="5" t="n"/>
      <c r="O1832" s="5" t="n"/>
      <c r="P1832" s="5" t="n"/>
      <c r="Q1832" s="5" t="n"/>
      <c r="R1832" s="4" t="n"/>
      <c r="S1832" s="4" t="n"/>
      <c r="T1832" s="5" t="n"/>
      <c r="U1832" s="8">
        <f>IF(AND(V1832=1,D1832&lt;&gt;""),IF(D1832&gt;=corte,TODAY()-D1832,""),"")</f>
        <v/>
      </c>
      <c r="V1832" s="8">
        <f>IF(D1832="",0,IF(OR(AND(P1832&lt;&gt;"",S1832=""),AND(N(J1832)&gt;0,N(K1832)&lt;J1832),OR(M1832="PENDENTE",M1832="PARCIAL"),OR(N1832="PENDENTE",N1832="PARCIAL")),1,0))</f>
        <v/>
      </c>
      <c r="W1832" s="8">
        <f>IF(AND(V1832=1,D1832&lt;&gt;""),IF(D1832&gt;=corte,(B1832="CRÍTICO")*1E9+(100000-D1832)*10000+10000-ROW(),""),"")</f>
        <v/>
      </c>
      <c r="X1832" s="8">
        <f>IF(AND(V1832=1,D1832=pas_data,E1832=pas_turno),10000-ROW(),"")</f>
        <v/>
      </c>
    </row>
    <row r="1833">
      <c r="A1833" s="3">
        <f>IF(D1833="","","TT-"&amp;TEXT(ROW()-1,"00000"))</f>
        <v/>
      </c>
      <c r="B1833" s="3">
        <f>IF(D1833="","",IF(V1833=0,"CONCLUÍDO",IF(D1833&lt;corte,"HISTÓRICO",IF(OR(AND(ISNUMBER(R1833),R1833&lt;TODAY()),AND(OR(N1833="PENDENTE",N1833="PARCIAL"),D1833&lt;TODAY()-1)),"CRÍTICO",IF(OR(AND(P1833&lt;&gt;"",S1833=""),AND(N1833="REALIZADO",M1833="PENDENTE"),AND(ISNUMBER(R1833),R1833=TODAY())),"ATENÇÃO",IF(N(K1833)=0,"PENDENTE","EM ANDAMENTO"))))))</f>
        <v/>
      </c>
      <c r="C1833" s="3">
        <f>IF(D1833="","",IF(V1833=0,"🟢 OK",IF(D1833&lt;corte,"⚪ HISTÓRICO (sem baixa)",IF(AND(ISNUMBER(R1833),R1833&lt;TODAY()),"🔴 PRAZO VENCIDO",IF(AND(OR(N1833="PENDENTE",N1833="PARCIAL"),D1833&lt;TODAY()-1),"🔴 EMBARQUE ATRASADO",IF(AND(N1833="REALIZADO",M1833="PENDENTE"),"🟡 EMBARCADO SEM FATURAR",IF(AND(P1833&lt;&gt;"",S1833="",OR(Q1833="",R1833="")),"🟡 PENDÊNCIA SEM RESPONSÁVEL/PRAZO",IF(AND(ISNUMBER(R1833),R1833=TODAY()),"🟡 VENCE HOJE",IF(AND(P1833&lt;&gt;"",S1833=""),"🟡 PENDÊNCIA ABERTA",IF(AND(N(J1833)&gt;0,N(K1833)&lt;J1833),"🟡 FALTA EXECUTAR",IF(OR(M1833="PENDENTE",M1833="PARCIAL"),"🟡 FATURAMENTO PENDENTE","🟡 EMBARQUE PENDENTE")))))))))))</f>
        <v/>
      </c>
      <c r="D1833" s="4" t="n"/>
      <c r="E1833" s="5" t="n"/>
      <c r="F1833" s="5" t="n"/>
      <c r="G1833" s="5" t="n"/>
      <c r="H1833" s="5" t="n"/>
      <c r="I1833" s="5" t="n"/>
      <c r="J1833" s="6" t="n"/>
      <c r="K1833" s="6" t="n"/>
      <c r="L1833" s="7">
        <f>IF(OR(D1833="",N(J1833)=0),"",MIN(1,N(K1833)/J1833))</f>
        <v/>
      </c>
      <c r="M1833" s="5" t="n"/>
      <c r="N1833" s="5" t="n"/>
      <c r="O1833" s="5" t="n"/>
      <c r="P1833" s="5" t="n"/>
      <c r="Q1833" s="5" t="n"/>
      <c r="R1833" s="4" t="n"/>
      <c r="S1833" s="4" t="n"/>
      <c r="T1833" s="5" t="n"/>
      <c r="U1833" s="8">
        <f>IF(AND(V1833=1,D1833&lt;&gt;""),IF(D1833&gt;=corte,TODAY()-D1833,""),"")</f>
        <v/>
      </c>
      <c r="V1833" s="8">
        <f>IF(D1833="",0,IF(OR(AND(P1833&lt;&gt;"",S1833=""),AND(N(J1833)&gt;0,N(K1833)&lt;J1833),OR(M1833="PENDENTE",M1833="PARCIAL"),OR(N1833="PENDENTE",N1833="PARCIAL")),1,0))</f>
        <v/>
      </c>
      <c r="W1833" s="8">
        <f>IF(AND(V1833=1,D1833&lt;&gt;""),IF(D1833&gt;=corte,(B1833="CRÍTICO")*1E9+(100000-D1833)*10000+10000-ROW(),""),"")</f>
        <v/>
      </c>
      <c r="X1833" s="8">
        <f>IF(AND(V1833=1,D1833=pas_data,E1833=pas_turno),10000-ROW(),"")</f>
        <v/>
      </c>
    </row>
    <row r="1834">
      <c r="A1834" s="3">
        <f>IF(D1834="","","TT-"&amp;TEXT(ROW()-1,"00000"))</f>
        <v/>
      </c>
      <c r="B1834" s="3">
        <f>IF(D1834="","",IF(V1834=0,"CONCLUÍDO",IF(D1834&lt;corte,"HISTÓRICO",IF(OR(AND(ISNUMBER(R1834),R1834&lt;TODAY()),AND(OR(N1834="PENDENTE",N1834="PARCIAL"),D1834&lt;TODAY()-1)),"CRÍTICO",IF(OR(AND(P1834&lt;&gt;"",S1834=""),AND(N1834="REALIZADO",M1834="PENDENTE"),AND(ISNUMBER(R1834),R1834=TODAY())),"ATENÇÃO",IF(N(K1834)=0,"PENDENTE","EM ANDAMENTO"))))))</f>
        <v/>
      </c>
      <c r="C1834" s="3">
        <f>IF(D1834="","",IF(V1834=0,"🟢 OK",IF(D1834&lt;corte,"⚪ HISTÓRICO (sem baixa)",IF(AND(ISNUMBER(R1834),R1834&lt;TODAY()),"🔴 PRAZO VENCIDO",IF(AND(OR(N1834="PENDENTE",N1834="PARCIAL"),D1834&lt;TODAY()-1),"🔴 EMBARQUE ATRASADO",IF(AND(N1834="REALIZADO",M1834="PENDENTE"),"🟡 EMBARCADO SEM FATURAR",IF(AND(P1834&lt;&gt;"",S1834="",OR(Q1834="",R1834="")),"🟡 PENDÊNCIA SEM RESPONSÁVEL/PRAZO",IF(AND(ISNUMBER(R1834),R1834=TODAY()),"🟡 VENCE HOJE",IF(AND(P1834&lt;&gt;"",S1834=""),"🟡 PENDÊNCIA ABERTA",IF(AND(N(J1834)&gt;0,N(K1834)&lt;J1834),"🟡 FALTA EXECUTAR",IF(OR(M1834="PENDENTE",M1834="PARCIAL"),"🟡 FATURAMENTO PENDENTE","🟡 EMBARQUE PENDENTE")))))))))))</f>
        <v/>
      </c>
      <c r="D1834" s="4" t="n"/>
      <c r="E1834" s="5" t="n"/>
      <c r="F1834" s="5" t="n"/>
      <c r="G1834" s="5" t="n"/>
      <c r="H1834" s="5" t="n"/>
      <c r="I1834" s="5" t="n"/>
      <c r="J1834" s="6" t="n"/>
      <c r="K1834" s="6" t="n"/>
      <c r="L1834" s="7">
        <f>IF(OR(D1834="",N(J1834)=0),"",MIN(1,N(K1834)/J1834))</f>
        <v/>
      </c>
      <c r="M1834" s="5" t="n"/>
      <c r="N1834" s="5" t="n"/>
      <c r="O1834" s="5" t="n"/>
      <c r="P1834" s="5" t="n"/>
      <c r="Q1834" s="5" t="n"/>
      <c r="R1834" s="4" t="n"/>
      <c r="S1834" s="4" t="n"/>
      <c r="T1834" s="5" t="n"/>
      <c r="U1834" s="8">
        <f>IF(AND(V1834=1,D1834&lt;&gt;""),IF(D1834&gt;=corte,TODAY()-D1834,""),"")</f>
        <v/>
      </c>
      <c r="V1834" s="8">
        <f>IF(D1834="",0,IF(OR(AND(P1834&lt;&gt;"",S1834=""),AND(N(J1834)&gt;0,N(K1834)&lt;J1834),OR(M1834="PENDENTE",M1834="PARCIAL"),OR(N1834="PENDENTE",N1834="PARCIAL")),1,0))</f>
        <v/>
      </c>
      <c r="W1834" s="8">
        <f>IF(AND(V1834=1,D1834&lt;&gt;""),IF(D1834&gt;=corte,(B1834="CRÍTICO")*1E9+(100000-D1834)*10000+10000-ROW(),""),"")</f>
        <v/>
      </c>
      <c r="X1834" s="8">
        <f>IF(AND(V1834=1,D1834=pas_data,E1834=pas_turno),10000-ROW(),"")</f>
        <v/>
      </c>
    </row>
    <row r="1835">
      <c r="A1835" s="3">
        <f>IF(D1835="","","TT-"&amp;TEXT(ROW()-1,"00000"))</f>
        <v/>
      </c>
      <c r="B1835" s="3">
        <f>IF(D1835="","",IF(V1835=0,"CONCLUÍDO",IF(D1835&lt;corte,"HISTÓRICO",IF(OR(AND(ISNUMBER(R1835),R1835&lt;TODAY()),AND(OR(N1835="PENDENTE",N1835="PARCIAL"),D1835&lt;TODAY()-1)),"CRÍTICO",IF(OR(AND(P1835&lt;&gt;"",S1835=""),AND(N1835="REALIZADO",M1835="PENDENTE"),AND(ISNUMBER(R1835),R1835=TODAY())),"ATENÇÃO",IF(N(K1835)=0,"PENDENTE","EM ANDAMENTO"))))))</f>
        <v/>
      </c>
      <c r="C1835" s="3">
        <f>IF(D1835="","",IF(V1835=0,"🟢 OK",IF(D1835&lt;corte,"⚪ HISTÓRICO (sem baixa)",IF(AND(ISNUMBER(R1835),R1835&lt;TODAY()),"🔴 PRAZO VENCIDO",IF(AND(OR(N1835="PENDENTE",N1835="PARCIAL"),D1835&lt;TODAY()-1),"🔴 EMBARQUE ATRASADO",IF(AND(N1835="REALIZADO",M1835="PENDENTE"),"🟡 EMBARCADO SEM FATURAR",IF(AND(P1835&lt;&gt;"",S1835="",OR(Q1835="",R1835="")),"🟡 PENDÊNCIA SEM RESPONSÁVEL/PRAZO",IF(AND(ISNUMBER(R1835),R1835=TODAY()),"🟡 VENCE HOJE",IF(AND(P1835&lt;&gt;"",S1835=""),"🟡 PENDÊNCIA ABERTA",IF(AND(N(J1835)&gt;0,N(K1835)&lt;J1835),"🟡 FALTA EXECUTAR",IF(OR(M1835="PENDENTE",M1835="PARCIAL"),"🟡 FATURAMENTO PENDENTE","🟡 EMBARQUE PENDENTE")))))))))))</f>
        <v/>
      </c>
      <c r="D1835" s="4" t="n"/>
      <c r="E1835" s="5" t="n"/>
      <c r="F1835" s="5" t="n"/>
      <c r="G1835" s="5" t="n"/>
      <c r="H1835" s="5" t="n"/>
      <c r="I1835" s="5" t="n"/>
      <c r="J1835" s="6" t="n"/>
      <c r="K1835" s="6" t="n"/>
      <c r="L1835" s="7">
        <f>IF(OR(D1835="",N(J1835)=0),"",MIN(1,N(K1835)/J1835))</f>
        <v/>
      </c>
      <c r="M1835" s="5" t="n"/>
      <c r="N1835" s="5" t="n"/>
      <c r="O1835" s="5" t="n"/>
      <c r="P1835" s="5" t="n"/>
      <c r="Q1835" s="5" t="n"/>
      <c r="R1835" s="4" t="n"/>
      <c r="S1835" s="4" t="n"/>
      <c r="T1835" s="5" t="n"/>
      <c r="U1835" s="8">
        <f>IF(AND(V1835=1,D1835&lt;&gt;""),IF(D1835&gt;=corte,TODAY()-D1835,""),"")</f>
        <v/>
      </c>
      <c r="V1835" s="8">
        <f>IF(D1835="",0,IF(OR(AND(P1835&lt;&gt;"",S1835=""),AND(N(J1835)&gt;0,N(K1835)&lt;J1835),OR(M1835="PENDENTE",M1835="PARCIAL"),OR(N1835="PENDENTE",N1835="PARCIAL")),1,0))</f>
        <v/>
      </c>
      <c r="W1835" s="8">
        <f>IF(AND(V1835=1,D1835&lt;&gt;""),IF(D1835&gt;=corte,(B1835="CRÍTICO")*1E9+(100000-D1835)*10000+10000-ROW(),""),"")</f>
        <v/>
      </c>
      <c r="X1835" s="8">
        <f>IF(AND(V1835=1,D1835=pas_data,E1835=pas_turno),10000-ROW(),"")</f>
        <v/>
      </c>
    </row>
    <row r="1836">
      <c r="A1836" s="3">
        <f>IF(D1836="","","TT-"&amp;TEXT(ROW()-1,"00000"))</f>
        <v/>
      </c>
      <c r="B1836" s="3">
        <f>IF(D1836="","",IF(V1836=0,"CONCLUÍDO",IF(D1836&lt;corte,"HISTÓRICO",IF(OR(AND(ISNUMBER(R1836),R1836&lt;TODAY()),AND(OR(N1836="PENDENTE",N1836="PARCIAL"),D1836&lt;TODAY()-1)),"CRÍTICO",IF(OR(AND(P1836&lt;&gt;"",S1836=""),AND(N1836="REALIZADO",M1836="PENDENTE"),AND(ISNUMBER(R1836),R1836=TODAY())),"ATENÇÃO",IF(N(K1836)=0,"PENDENTE","EM ANDAMENTO"))))))</f>
        <v/>
      </c>
      <c r="C1836" s="3">
        <f>IF(D1836="","",IF(V1836=0,"🟢 OK",IF(D1836&lt;corte,"⚪ HISTÓRICO (sem baixa)",IF(AND(ISNUMBER(R1836),R1836&lt;TODAY()),"🔴 PRAZO VENCIDO",IF(AND(OR(N1836="PENDENTE",N1836="PARCIAL"),D1836&lt;TODAY()-1),"🔴 EMBARQUE ATRASADO",IF(AND(N1836="REALIZADO",M1836="PENDENTE"),"🟡 EMBARCADO SEM FATURAR",IF(AND(P1836&lt;&gt;"",S1836="",OR(Q1836="",R1836="")),"🟡 PENDÊNCIA SEM RESPONSÁVEL/PRAZO",IF(AND(ISNUMBER(R1836),R1836=TODAY()),"🟡 VENCE HOJE",IF(AND(P1836&lt;&gt;"",S1836=""),"🟡 PENDÊNCIA ABERTA",IF(AND(N(J1836)&gt;0,N(K1836)&lt;J1836),"🟡 FALTA EXECUTAR",IF(OR(M1836="PENDENTE",M1836="PARCIAL"),"🟡 FATURAMENTO PENDENTE","🟡 EMBARQUE PENDENTE")))))))))))</f>
        <v/>
      </c>
      <c r="D1836" s="4" t="n"/>
      <c r="E1836" s="5" t="n"/>
      <c r="F1836" s="5" t="n"/>
      <c r="G1836" s="5" t="n"/>
      <c r="H1836" s="5" t="n"/>
      <c r="I1836" s="5" t="n"/>
      <c r="J1836" s="6" t="n"/>
      <c r="K1836" s="6" t="n"/>
      <c r="L1836" s="7">
        <f>IF(OR(D1836="",N(J1836)=0),"",MIN(1,N(K1836)/J1836))</f>
        <v/>
      </c>
      <c r="M1836" s="5" t="n"/>
      <c r="N1836" s="5" t="n"/>
      <c r="O1836" s="5" t="n"/>
      <c r="P1836" s="5" t="n"/>
      <c r="Q1836" s="5" t="n"/>
      <c r="R1836" s="4" t="n"/>
      <c r="S1836" s="4" t="n"/>
      <c r="T1836" s="5" t="n"/>
      <c r="U1836" s="8">
        <f>IF(AND(V1836=1,D1836&lt;&gt;""),IF(D1836&gt;=corte,TODAY()-D1836,""),"")</f>
        <v/>
      </c>
      <c r="V1836" s="8">
        <f>IF(D1836="",0,IF(OR(AND(P1836&lt;&gt;"",S1836=""),AND(N(J1836)&gt;0,N(K1836)&lt;J1836),OR(M1836="PENDENTE",M1836="PARCIAL"),OR(N1836="PENDENTE",N1836="PARCIAL")),1,0))</f>
        <v/>
      </c>
      <c r="W1836" s="8">
        <f>IF(AND(V1836=1,D1836&lt;&gt;""),IF(D1836&gt;=corte,(B1836="CRÍTICO")*1E9+(100000-D1836)*10000+10000-ROW(),""),"")</f>
        <v/>
      </c>
      <c r="X1836" s="8">
        <f>IF(AND(V1836=1,D1836=pas_data,E1836=pas_turno),10000-ROW(),"")</f>
        <v/>
      </c>
    </row>
    <row r="1837">
      <c r="A1837" s="3">
        <f>IF(D1837="","","TT-"&amp;TEXT(ROW()-1,"00000"))</f>
        <v/>
      </c>
      <c r="B1837" s="3">
        <f>IF(D1837="","",IF(V1837=0,"CONCLUÍDO",IF(D1837&lt;corte,"HISTÓRICO",IF(OR(AND(ISNUMBER(R1837),R1837&lt;TODAY()),AND(OR(N1837="PENDENTE",N1837="PARCIAL"),D1837&lt;TODAY()-1)),"CRÍTICO",IF(OR(AND(P1837&lt;&gt;"",S1837=""),AND(N1837="REALIZADO",M1837="PENDENTE"),AND(ISNUMBER(R1837),R1837=TODAY())),"ATENÇÃO",IF(N(K1837)=0,"PENDENTE","EM ANDAMENTO"))))))</f>
        <v/>
      </c>
      <c r="C1837" s="3">
        <f>IF(D1837="","",IF(V1837=0,"🟢 OK",IF(D1837&lt;corte,"⚪ HISTÓRICO (sem baixa)",IF(AND(ISNUMBER(R1837),R1837&lt;TODAY()),"🔴 PRAZO VENCIDO",IF(AND(OR(N1837="PENDENTE",N1837="PARCIAL"),D1837&lt;TODAY()-1),"🔴 EMBARQUE ATRASADO",IF(AND(N1837="REALIZADO",M1837="PENDENTE"),"🟡 EMBARCADO SEM FATURAR",IF(AND(P1837&lt;&gt;"",S1837="",OR(Q1837="",R1837="")),"🟡 PENDÊNCIA SEM RESPONSÁVEL/PRAZO",IF(AND(ISNUMBER(R1837),R1837=TODAY()),"🟡 VENCE HOJE",IF(AND(P1837&lt;&gt;"",S1837=""),"🟡 PENDÊNCIA ABERTA",IF(AND(N(J1837)&gt;0,N(K1837)&lt;J1837),"🟡 FALTA EXECUTAR",IF(OR(M1837="PENDENTE",M1837="PARCIAL"),"🟡 FATURAMENTO PENDENTE","🟡 EMBARQUE PENDENTE")))))))))))</f>
        <v/>
      </c>
      <c r="D1837" s="4" t="n"/>
      <c r="E1837" s="5" t="n"/>
      <c r="F1837" s="5" t="n"/>
      <c r="G1837" s="5" t="n"/>
      <c r="H1837" s="5" t="n"/>
      <c r="I1837" s="5" t="n"/>
      <c r="J1837" s="6" t="n"/>
      <c r="K1837" s="6" t="n"/>
      <c r="L1837" s="7">
        <f>IF(OR(D1837="",N(J1837)=0),"",MIN(1,N(K1837)/J1837))</f>
        <v/>
      </c>
      <c r="M1837" s="5" t="n"/>
      <c r="N1837" s="5" t="n"/>
      <c r="O1837" s="5" t="n"/>
      <c r="P1837" s="5" t="n"/>
      <c r="Q1837" s="5" t="n"/>
      <c r="R1837" s="4" t="n"/>
      <c r="S1837" s="4" t="n"/>
      <c r="T1837" s="5" t="n"/>
      <c r="U1837" s="8">
        <f>IF(AND(V1837=1,D1837&lt;&gt;""),IF(D1837&gt;=corte,TODAY()-D1837,""),"")</f>
        <v/>
      </c>
      <c r="V1837" s="8">
        <f>IF(D1837="",0,IF(OR(AND(P1837&lt;&gt;"",S1837=""),AND(N(J1837)&gt;0,N(K1837)&lt;J1837),OR(M1837="PENDENTE",M1837="PARCIAL"),OR(N1837="PENDENTE",N1837="PARCIAL")),1,0))</f>
        <v/>
      </c>
      <c r="W1837" s="8">
        <f>IF(AND(V1837=1,D1837&lt;&gt;""),IF(D1837&gt;=corte,(B1837="CRÍTICO")*1E9+(100000-D1837)*10000+10000-ROW(),""),"")</f>
        <v/>
      </c>
      <c r="X1837" s="8">
        <f>IF(AND(V1837=1,D1837=pas_data,E1837=pas_turno),10000-ROW(),"")</f>
        <v/>
      </c>
    </row>
    <row r="1838">
      <c r="A1838" s="3">
        <f>IF(D1838="","","TT-"&amp;TEXT(ROW()-1,"00000"))</f>
        <v/>
      </c>
      <c r="B1838" s="3">
        <f>IF(D1838="","",IF(V1838=0,"CONCLUÍDO",IF(D1838&lt;corte,"HISTÓRICO",IF(OR(AND(ISNUMBER(R1838),R1838&lt;TODAY()),AND(OR(N1838="PENDENTE",N1838="PARCIAL"),D1838&lt;TODAY()-1)),"CRÍTICO",IF(OR(AND(P1838&lt;&gt;"",S1838=""),AND(N1838="REALIZADO",M1838="PENDENTE"),AND(ISNUMBER(R1838),R1838=TODAY())),"ATENÇÃO",IF(N(K1838)=0,"PENDENTE","EM ANDAMENTO"))))))</f>
        <v/>
      </c>
      <c r="C1838" s="3">
        <f>IF(D1838="","",IF(V1838=0,"🟢 OK",IF(D1838&lt;corte,"⚪ HISTÓRICO (sem baixa)",IF(AND(ISNUMBER(R1838),R1838&lt;TODAY()),"🔴 PRAZO VENCIDO",IF(AND(OR(N1838="PENDENTE",N1838="PARCIAL"),D1838&lt;TODAY()-1),"🔴 EMBARQUE ATRASADO",IF(AND(N1838="REALIZADO",M1838="PENDENTE"),"🟡 EMBARCADO SEM FATURAR",IF(AND(P1838&lt;&gt;"",S1838="",OR(Q1838="",R1838="")),"🟡 PENDÊNCIA SEM RESPONSÁVEL/PRAZO",IF(AND(ISNUMBER(R1838),R1838=TODAY()),"🟡 VENCE HOJE",IF(AND(P1838&lt;&gt;"",S1838=""),"🟡 PENDÊNCIA ABERTA",IF(AND(N(J1838)&gt;0,N(K1838)&lt;J1838),"🟡 FALTA EXECUTAR",IF(OR(M1838="PENDENTE",M1838="PARCIAL"),"🟡 FATURAMENTO PENDENTE","🟡 EMBARQUE PENDENTE")))))))))))</f>
        <v/>
      </c>
      <c r="D1838" s="4" t="n"/>
      <c r="E1838" s="5" t="n"/>
      <c r="F1838" s="5" t="n"/>
      <c r="G1838" s="5" t="n"/>
      <c r="H1838" s="5" t="n"/>
      <c r="I1838" s="5" t="n"/>
      <c r="J1838" s="6" t="n"/>
      <c r="K1838" s="6" t="n"/>
      <c r="L1838" s="7">
        <f>IF(OR(D1838="",N(J1838)=0),"",MIN(1,N(K1838)/J1838))</f>
        <v/>
      </c>
      <c r="M1838" s="5" t="n"/>
      <c r="N1838" s="5" t="n"/>
      <c r="O1838" s="5" t="n"/>
      <c r="P1838" s="5" t="n"/>
      <c r="Q1838" s="5" t="n"/>
      <c r="R1838" s="4" t="n"/>
      <c r="S1838" s="4" t="n"/>
      <c r="T1838" s="5" t="n"/>
      <c r="U1838" s="8">
        <f>IF(AND(V1838=1,D1838&lt;&gt;""),IF(D1838&gt;=corte,TODAY()-D1838,""),"")</f>
        <v/>
      </c>
      <c r="V1838" s="8">
        <f>IF(D1838="",0,IF(OR(AND(P1838&lt;&gt;"",S1838=""),AND(N(J1838)&gt;0,N(K1838)&lt;J1838),OR(M1838="PENDENTE",M1838="PARCIAL"),OR(N1838="PENDENTE",N1838="PARCIAL")),1,0))</f>
        <v/>
      </c>
      <c r="W1838" s="8">
        <f>IF(AND(V1838=1,D1838&lt;&gt;""),IF(D1838&gt;=corte,(B1838="CRÍTICO")*1E9+(100000-D1838)*10000+10000-ROW(),""),"")</f>
        <v/>
      </c>
      <c r="X1838" s="8">
        <f>IF(AND(V1838=1,D1838=pas_data,E1838=pas_turno),10000-ROW(),"")</f>
        <v/>
      </c>
    </row>
    <row r="1839">
      <c r="A1839" s="3">
        <f>IF(D1839="","","TT-"&amp;TEXT(ROW()-1,"00000"))</f>
        <v/>
      </c>
      <c r="B1839" s="3">
        <f>IF(D1839="","",IF(V1839=0,"CONCLUÍDO",IF(D1839&lt;corte,"HISTÓRICO",IF(OR(AND(ISNUMBER(R1839),R1839&lt;TODAY()),AND(OR(N1839="PENDENTE",N1839="PARCIAL"),D1839&lt;TODAY()-1)),"CRÍTICO",IF(OR(AND(P1839&lt;&gt;"",S1839=""),AND(N1839="REALIZADO",M1839="PENDENTE"),AND(ISNUMBER(R1839),R1839=TODAY())),"ATENÇÃO",IF(N(K1839)=0,"PENDENTE","EM ANDAMENTO"))))))</f>
        <v/>
      </c>
      <c r="C1839" s="3">
        <f>IF(D1839="","",IF(V1839=0,"🟢 OK",IF(D1839&lt;corte,"⚪ HISTÓRICO (sem baixa)",IF(AND(ISNUMBER(R1839),R1839&lt;TODAY()),"🔴 PRAZO VENCIDO",IF(AND(OR(N1839="PENDENTE",N1839="PARCIAL"),D1839&lt;TODAY()-1),"🔴 EMBARQUE ATRASADO",IF(AND(N1839="REALIZADO",M1839="PENDENTE"),"🟡 EMBARCADO SEM FATURAR",IF(AND(P1839&lt;&gt;"",S1839="",OR(Q1839="",R1839="")),"🟡 PENDÊNCIA SEM RESPONSÁVEL/PRAZO",IF(AND(ISNUMBER(R1839),R1839=TODAY()),"🟡 VENCE HOJE",IF(AND(P1839&lt;&gt;"",S1839=""),"🟡 PENDÊNCIA ABERTA",IF(AND(N(J1839)&gt;0,N(K1839)&lt;J1839),"🟡 FALTA EXECUTAR",IF(OR(M1839="PENDENTE",M1839="PARCIAL"),"🟡 FATURAMENTO PENDENTE","🟡 EMBARQUE PENDENTE")))))))))))</f>
        <v/>
      </c>
      <c r="D1839" s="4" t="n"/>
      <c r="E1839" s="5" t="n"/>
      <c r="F1839" s="5" t="n"/>
      <c r="G1839" s="5" t="n"/>
      <c r="H1839" s="5" t="n"/>
      <c r="I1839" s="5" t="n"/>
      <c r="J1839" s="6" t="n"/>
      <c r="K1839" s="6" t="n"/>
      <c r="L1839" s="7">
        <f>IF(OR(D1839="",N(J1839)=0),"",MIN(1,N(K1839)/J1839))</f>
        <v/>
      </c>
      <c r="M1839" s="5" t="n"/>
      <c r="N1839" s="5" t="n"/>
      <c r="O1839" s="5" t="n"/>
      <c r="P1839" s="5" t="n"/>
      <c r="Q1839" s="5" t="n"/>
      <c r="R1839" s="4" t="n"/>
      <c r="S1839" s="4" t="n"/>
      <c r="T1839" s="5" t="n"/>
      <c r="U1839" s="8">
        <f>IF(AND(V1839=1,D1839&lt;&gt;""),IF(D1839&gt;=corte,TODAY()-D1839,""),"")</f>
        <v/>
      </c>
      <c r="V1839" s="8">
        <f>IF(D1839="",0,IF(OR(AND(P1839&lt;&gt;"",S1839=""),AND(N(J1839)&gt;0,N(K1839)&lt;J1839),OR(M1839="PENDENTE",M1839="PARCIAL"),OR(N1839="PENDENTE",N1839="PARCIAL")),1,0))</f>
        <v/>
      </c>
      <c r="W1839" s="8">
        <f>IF(AND(V1839=1,D1839&lt;&gt;""),IF(D1839&gt;=corte,(B1839="CRÍTICO")*1E9+(100000-D1839)*10000+10000-ROW(),""),"")</f>
        <v/>
      </c>
      <c r="X1839" s="8">
        <f>IF(AND(V1839=1,D1839=pas_data,E1839=pas_turno),10000-ROW(),"")</f>
        <v/>
      </c>
    </row>
    <row r="1840">
      <c r="A1840" s="3">
        <f>IF(D1840="","","TT-"&amp;TEXT(ROW()-1,"00000"))</f>
        <v/>
      </c>
      <c r="B1840" s="3">
        <f>IF(D1840="","",IF(V1840=0,"CONCLUÍDO",IF(D1840&lt;corte,"HISTÓRICO",IF(OR(AND(ISNUMBER(R1840),R1840&lt;TODAY()),AND(OR(N1840="PENDENTE",N1840="PARCIAL"),D1840&lt;TODAY()-1)),"CRÍTICO",IF(OR(AND(P1840&lt;&gt;"",S1840=""),AND(N1840="REALIZADO",M1840="PENDENTE"),AND(ISNUMBER(R1840),R1840=TODAY())),"ATENÇÃO",IF(N(K1840)=0,"PENDENTE","EM ANDAMENTO"))))))</f>
        <v/>
      </c>
      <c r="C1840" s="3">
        <f>IF(D1840="","",IF(V1840=0,"🟢 OK",IF(D1840&lt;corte,"⚪ HISTÓRICO (sem baixa)",IF(AND(ISNUMBER(R1840),R1840&lt;TODAY()),"🔴 PRAZO VENCIDO",IF(AND(OR(N1840="PENDENTE",N1840="PARCIAL"),D1840&lt;TODAY()-1),"🔴 EMBARQUE ATRASADO",IF(AND(N1840="REALIZADO",M1840="PENDENTE"),"🟡 EMBARCADO SEM FATURAR",IF(AND(P1840&lt;&gt;"",S1840="",OR(Q1840="",R1840="")),"🟡 PENDÊNCIA SEM RESPONSÁVEL/PRAZO",IF(AND(ISNUMBER(R1840),R1840=TODAY()),"🟡 VENCE HOJE",IF(AND(P1840&lt;&gt;"",S1840=""),"🟡 PENDÊNCIA ABERTA",IF(AND(N(J1840)&gt;0,N(K1840)&lt;J1840),"🟡 FALTA EXECUTAR",IF(OR(M1840="PENDENTE",M1840="PARCIAL"),"🟡 FATURAMENTO PENDENTE","🟡 EMBARQUE PENDENTE")))))))))))</f>
        <v/>
      </c>
      <c r="D1840" s="4" t="n"/>
      <c r="E1840" s="5" t="n"/>
      <c r="F1840" s="5" t="n"/>
      <c r="G1840" s="5" t="n"/>
      <c r="H1840" s="5" t="n"/>
      <c r="I1840" s="5" t="n"/>
      <c r="J1840" s="6" t="n"/>
      <c r="K1840" s="6" t="n"/>
      <c r="L1840" s="7">
        <f>IF(OR(D1840="",N(J1840)=0),"",MIN(1,N(K1840)/J1840))</f>
        <v/>
      </c>
      <c r="M1840" s="5" t="n"/>
      <c r="N1840" s="5" t="n"/>
      <c r="O1840" s="5" t="n"/>
      <c r="P1840" s="5" t="n"/>
      <c r="Q1840" s="5" t="n"/>
      <c r="R1840" s="4" t="n"/>
      <c r="S1840" s="4" t="n"/>
      <c r="T1840" s="5" t="n"/>
      <c r="U1840" s="8">
        <f>IF(AND(V1840=1,D1840&lt;&gt;""),IF(D1840&gt;=corte,TODAY()-D1840,""),"")</f>
        <v/>
      </c>
      <c r="V1840" s="8">
        <f>IF(D1840="",0,IF(OR(AND(P1840&lt;&gt;"",S1840=""),AND(N(J1840)&gt;0,N(K1840)&lt;J1840),OR(M1840="PENDENTE",M1840="PARCIAL"),OR(N1840="PENDENTE",N1840="PARCIAL")),1,0))</f>
        <v/>
      </c>
      <c r="W1840" s="8">
        <f>IF(AND(V1840=1,D1840&lt;&gt;""),IF(D1840&gt;=corte,(B1840="CRÍTICO")*1E9+(100000-D1840)*10000+10000-ROW(),""),"")</f>
        <v/>
      </c>
      <c r="X1840" s="8">
        <f>IF(AND(V1840=1,D1840=pas_data,E1840=pas_turno),10000-ROW(),"")</f>
        <v/>
      </c>
    </row>
    <row r="1841">
      <c r="A1841" s="3">
        <f>IF(D1841="","","TT-"&amp;TEXT(ROW()-1,"00000"))</f>
        <v/>
      </c>
      <c r="B1841" s="3">
        <f>IF(D1841="","",IF(V1841=0,"CONCLUÍDO",IF(D1841&lt;corte,"HISTÓRICO",IF(OR(AND(ISNUMBER(R1841),R1841&lt;TODAY()),AND(OR(N1841="PENDENTE",N1841="PARCIAL"),D1841&lt;TODAY()-1)),"CRÍTICO",IF(OR(AND(P1841&lt;&gt;"",S1841=""),AND(N1841="REALIZADO",M1841="PENDENTE"),AND(ISNUMBER(R1841),R1841=TODAY())),"ATENÇÃO",IF(N(K1841)=0,"PENDENTE","EM ANDAMENTO"))))))</f>
        <v/>
      </c>
      <c r="C1841" s="3">
        <f>IF(D1841="","",IF(V1841=0,"🟢 OK",IF(D1841&lt;corte,"⚪ HISTÓRICO (sem baixa)",IF(AND(ISNUMBER(R1841),R1841&lt;TODAY()),"🔴 PRAZO VENCIDO",IF(AND(OR(N1841="PENDENTE",N1841="PARCIAL"),D1841&lt;TODAY()-1),"🔴 EMBARQUE ATRASADO",IF(AND(N1841="REALIZADO",M1841="PENDENTE"),"🟡 EMBARCADO SEM FATURAR",IF(AND(P1841&lt;&gt;"",S1841="",OR(Q1841="",R1841="")),"🟡 PENDÊNCIA SEM RESPONSÁVEL/PRAZO",IF(AND(ISNUMBER(R1841),R1841=TODAY()),"🟡 VENCE HOJE",IF(AND(P1841&lt;&gt;"",S1841=""),"🟡 PENDÊNCIA ABERTA",IF(AND(N(J1841)&gt;0,N(K1841)&lt;J1841),"🟡 FALTA EXECUTAR",IF(OR(M1841="PENDENTE",M1841="PARCIAL"),"🟡 FATURAMENTO PENDENTE","🟡 EMBARQUE PENDENTE")))))))))))</f>
        <v/>
      </c>
      <c r="D1841" s="4" t="n"/>
      <c r="E1841" s="5" t="n"/>
      <c r="F1841" s="5" t="n"/>
      <c r="G1841" s="5" t="n"/>
      <c r="H1841" s="5" t="n"/>
      <c r="I1841" s="5" t="n"/>
      <c r="J1841" s="6" t="n"/>
      <c r="K1841" s="6" t="n"/>
      <c r="L1841" s="7">
        <f>IF(OR(D1841="",N(J1841)=0),"",MIN(1,N(K1841)/J1841))</f>
        <v/>
      </c>
      <c r="M1841" s="5" t="n"/>
      <c r="N1841" s="5" t="n"/>
      <c r="O1841" s="5" t="n"/>
      <c r="P1841" s="5" t="n"/>
      <c r="Q1841" s="5" t="n"/>
      <c r="R1841" s="4" t="n"/>
      <c r="S1841" s="4" t="n"/>
      <c r="T1841" s="5" t="n"/>
      <c r="U1841" s="8">
        <f>IF(AND(V1841=1,D1841&lt;&gt;""),IF(D1841&gt;=corte,TODAY()-D1841,""),"")</f>
        <v/>
      </c>
      <c r="V1841" s="8">
        <f>IF(D1841="",0,IF(OR(AND(P1841&lt;&gt;"",S1841=""),AND(N(J1841)&gt;0,N(K1841)&lt;J1841),OR(M1841="PENDENTE",M1841="PARCIAL"),OR(N1841="PENDENTE",N1841="PARCIAL")),1,0))</f>
        <v/>
      </c>
      <c r="W1841" s="8">
        <f>IF(AND(V1841=1,D1841&lt;&gt;""),IF(D1841&gt;=corte,(B1841="CRÍTICO")*1E9+(100000-D1841)*10000+10000-ROW(),""),"")</f>
        <v/>
      </c>
      <c r="X1841" s="8">
        <f>IF(AND(V1841=1,D1841=pas_data,E1841=pas_turno),10000-ROW(),"")</f>
        <v/>
      </c>
    </row>
    <row r="1842">
      <c r="A1842" s="3">
        <f>IF(D1842="","","TT-"&amp;TEXT(ROW()-1,"00000"))</f>
        <v/>
      </c>
      <c r="B1842" s="3">
        <f>IF(D1842="","",IF(V1842=0,"CONCLUÍDO",IF(D1842&lt;corte,"HISTÓRICO",IF(OR(AND(ISNUMBER(R1842),R1842&lt;TODAY()),AND(OR(N1842="PENDENTE",N1842="PARCIAL"),D1842&lt;TODAY()-1)),"CRÍTICO",IF(OR(AND(P1842&lt;&gt;"",S1842=""),AND(N1842="REALIZADO",M1842="PENDENTE"),AND(ISNUMBER(R1842),R1842=TODAY())),"ATENÇÃO",IF(N(K1842)=0,"PENDENTE","EM ANDAMENTO"))))))</f>
        <v/>
      </c>
      <c r="C1842" s="3">
        <f>IF(D1842="","",IF(V1842=0,"🟢 OK",IF(D1842&lt;corte,"⚪ HISTÓRICO (sem baixa)",IF(AND(ISNUMBER(R1842),R1842&lt;TODAY()),"🔴 PRAZO VENCIDO",IF(AND(OR(N1842="PENDENTE",N1842="PARCIAL"),D1842&lt;TODAY()-1),"🔴 EMBARQUE ATRASADO",IF(AND(N1842="REALIZADO",M1842="PENDENTE"),"🟡 EMBARCADO SEM FATURAR",IF(AND(P1842&lt;&gt;"",S1842="",OR(Q1842="",R1842="")),"🟡 PENDÊNCIA SEM RESPONSÁVEL/PRAZO",IF(AND(ISNUMBER(R1842),R1842=TODAY()),"🟡 VENCE HOJE",IF(AND(P1842&lt;&gt;"",S1842=""),"🟡 PENDÊNCIA ABERTA",IF(AND(N(J1842)&gt;0,N(K1842)&lt;J1842),"🟡 FALTA EXECUTAR",IF(OR(M1842="PENDENTE",M1842="PARCIAL"),"🟡 FATURAMENTO PENDENTE","🟡 EMBARQUE PENDENTE")))))))))))</f>
        <v/>
      </c>
      <c r="D1842" s="4" t="n"/>
      <c r="E1842" s="5" t="n"/>
      <c r="F1842" s="5" t="n"/>
      <c r="G1842" s="5" t="n"/>
      <c r="H1842" s="5" t="n"/>
      <c r="I1842" s="5" t="n"/>
      <c r="J1842" s="6" t="n"/>
      <c r="K1842" s="6" t="n"/>
      <c r="L1842" s="7">
        <f>IF(OR(D1842="",N(J1842)=0),"",MIN(1,N(K1842)/J1842))</f>
        <v/>
      </c>
      <c r="M1842" s="5" t="n"/>
      <c r="N1842" s="5" t="n"/>
      <c r="O1842" s="5" t="n"/>
      <c r="P1842" s="5" t="n"/>
      <c r="Q1842" s="5" t="n"/>
      <c r="R1842" s="4" t="n"/>
      <c r="S1842" s="4" t="n"/>
      <c r="T1842" s="5" t="n"/>
      <c r="U1842" s="8">
        <f>IF(AND(V1842=1,D1842&lt;&gt;""),IF(D1842&gt;=corte,TODAY()-D1842,""),"")</f>
        <v/>
      </c>
      <c r="V1842" s="8">
        <f>IF(D1842="",0,IF(OR(AND(P1842&lt;&gt;"",S1842=""),AND(N(J1842)&gt;0,N(K1842)&lt;J1842),OR(M1842="PENDENTE",M1842="PARCIAL"),OR(N1842="PENDENTE",N1842="PARCIAL")),1,0))</f>
        <v/>
      </c>
      <c r="W1842" s="8">
        <f>IF(AND(V1842=1,D1842&lt;&gt;""),IF(D1842&gt;=corte,(B1842="CRÍTICO")*1E9+(100000-D1842)*10000+10000-ROW(),""),"")</f>
        <v/>
      </c>
      <c r="X1842" s="8">
        <f>IF(AND(V1842=1,D1842=pas_data,E1842=pas_turno),10000-ROW(),"")</f>
        <v/>
      </c>
    </row>
    <row r="1843">
      <c r="A1843" s="3">
        <f>IF(D1843="","","TT-"&amp;TEXT(ROW()-1,"00000"))</f>
        <v/>
      </c>
      <c r="B1843" s="3">
        <f>IF(D1843="","",IF(V1843=0,"CONCLUÍDO",IF(D1843&lt;corte,"HISTÓRICO",IF(OR(AND(ISNUMBER(R1843),R1843&lt;TODAY()),AND(OR(N1843="PENDENTE",N1843="PARCIAL"),D1843&lt;TODAY()-1)),"CRÍTICO",IF(OR(AND(P1843&lt;&gt;"",S1843=""),AND(N1843="REALIZADO",M1843="PENDENTE"),AND(ISNUMBER(R1843),R1843=TODAY())),"ATENÇÃO",IF(N(K1843)=0,"PENDENTE","EM ANDAMENTO"))))))</f>
        <v/>
      </c>
      <c r="C1843" s="3">
        <f>IF(D1843="","",IF(V1843=0,"🟢 OK",IF(D1843&lt;corte,"⚪ HISTÓRICO (sem baixa)",IF(AND(ISNUMBER(R1843),R1843&lt;TODAY()),"🔴 PRAZO VENCIDO",IF(AND(OR(N1843="PENDENTE",N1843="PARCIAL"),D1843&lt;TODAY()-1),"🔴 EMBARQUE ATRASADO",IF(AND(N1843="REALIZADO",M1843="PENDENTE"),"🟡 EMBARCADO SEM FATURAR",IF(AND(P1843&lt;&gt;"",S1843="",OR(Q1843="",R1843="")),"🟡 PENDÊNCIA SEM RESPONSÁVEL/PRAZO",IF(AND(ISNUMBER(R1843),R1843=TODAY()),"🟡 VENCE HOJE",IF(AND(P1843&lt;&gt;"",S1843=""),"🟡 PENDÊNCIA ABERTA",IF(AND(N(J1843)&gt;0,N(K1843)&lt;J1843),"🟡 FALTA EXECUTAR",IF(OR(M1843="PENDENTE",M1843="PARCIAL"),"🟡 FATURAMENTO PENDENTE","🟡 EMBARQUE PENDENTE")))))))))))</f>
        <v/>
      </c>
      <c r="D1843" s="4" t="n"/>
      <c r="E1843" s="5" t="n"/>
      <c r="F1843" s="5" t="n"/>
      <c r="G1843" s="5" t="n"/>
      <c r="H1843" s="5" t="n"/>
      <c r="I1843" s="5" t="n"/>
      <c r="J1843" s="6" t="n"/>
      <c r="K1843" s="6" t="n"/>
      <c r="L1843" s="7">
        <f>IF(OR(D1843="",N(J1843)=0),"",MIN(1,N(K1843)/J1843))</f>
        <v/>
      </c>
      <c r="M1843" s="5" t="n"/>
      <c r="N1843" s="5" t="n"/>
      <c r="O1843" s="5" t="n"/>
      <c r="P1843" s="5" t="n"/>
      <c r="Q1843" s="5" t="n"/>
      <c r="R1843" s="4" t="n"/>
      <c r="S1843" s="4" t="n"/>
      <c r="T1843" s="5" t="n"/>
      <c r="U1843" s="8">
        <f>IF(AND(V1843=1,D1843&lt;&gt;""),IF(D1843&gt;=corte,TODAY()-D1843,""),"")</f>
        <v/>
      </c>
      <c r="V1843" s="8">
        <f>IF(D1843="",0,IF(OR(AND(P1843&lt;&gt;"",S1843=""),AND(N(J1843)&gt;0,N(K1843)&lt;J1843),OR(M1843="PENDENTE",M1843="PARCIAL"),OR(N1843="PENDENTE",N1843="PARCIAL")),1,0))</f>
        <v/>
      </c>
      <c r="W1843" s="8">
        <f>IF(AND(V1843=1,D1843&lt;&gt;""),IF(D1843&gt;=corte,(B1843="CRÍTICO")*1E9+(100000-D1843)*10000+10000-ROW(),""),"")</f>
        <v/>
      </c>
      <c r="X1843" s="8">
        <f>IF(AND(V1843=1,D1843=pas_data,E1843=pas_turno),10000-ROW(),"")</f>
        <v/>
      </c>
    </row>
    <row r="1844">
      <c r="A1844" s="3">
        <f>IF(D1844="","","TT-"&amp;TEXT(ROW()-1,"00000"))</f>
        <v/>
      </c>
      <c r="B1844" s="3">
        <f>IF(D1844="","",IF(V1844=0,"CONCLUÍDO",IF(D1844&lt;corte,"HISTÓRICO",IF(OR(AND(ISNUMBER(R1844),R1844&lt;TODAY()),AND(OR(N1844="PENDENTE",N1844="PARCIAL"),D1844&lt;TODAY()-1)),"CRÍTICO",IF(OR(AND(P1844&lt;&gt;"",S1844=""),AND(N1844="REALIZADO",M1844="PENDENTE"),AND(ISNUMBER(R1844),R1844=TODAY())),"ATENÇÃO",IF(N(K1844)=0,"PENDENTE","EM ANDAMENTO"))))))</f>
        <v/>
      </c>
      <c r="C1844" s="3">
        <f>IF(D1844="","",IF(V1844=0,"🟢 OK",IF(D1844&lt;corte,"⚪ HISTÓRICO (sem baixa)",IF(AND(ISNUMBER(R1844),R1844&lt;TODAY()),"🔴 PRAZO VENCIDO",IF(AND(OR(N1844="PENDENTE",N1844="PARCIAL"),D1844&lt;TODAY()-1),"🔴 EMBARQUE ATRASADO",IF(AND(N1844="REALIZADO",M1844="PENDENTE"),"🟡 EMBARCADO SEM FATURAR",IF(AND(P1844&lt;&gt;"",S1844="",OR(Q1844="",R1844="")),"🟡 PENDÊNCIA SEM RESPONSÁVEL/PRAZO",IF(AND(ISNUMBER(R1844),R1844=TODAY()),"🟡 VENCE HOJE",IF(AND(P1844&lt;&gt;"",S1844=""),"🟡 PENDÊNCIA ABERTA",IF(AND(N(J1844)&gt;0,N(K1844)&lt;J1844),"🟡 FALTA EXECUTAR",IF(OR(M1844="PENDENTE",M1844="PARCIAL"),"🟡 FATURAMENTO PENDENTE","🟡 EMBARQUE PENDENTE")))))))))))</f>
        <v/>
      </c>
      <c r="D1844" s="4" t="n"/>
      <c r="E1844" s="5" t="n"/>
      <c r="F1844" s="5" t="n"/>
      <c r="G1844" s="5" t="n"/>
      <c r="H1844" s="5" t="n"/>
      <c r="I1844" s="5" t="n"/>
      <c r="J1844" s="6" t="n"/>
      <c r="K1844" s="6" t="n"/>
      <c r="L1844" s="7">
        <f>IF(OR(D1844="",N(J1844)=0),"",MIN(1,N(K1844)/J1844))</f>
        <v/>
      </c>
      <c r="M1844" s="5" t="n"/>
      <c r="N1844" s="5" t="n"/>
      <c r="O1844" s="5" t="n"/>
      <c r="P1844" s="5" t="n"/>
      <c r="Q1844" s="5" t="n"/>
      <c r="R1844" s="4" t="n"/>
      <c r="S1844" s="4" t="n"/>
      <c r="T1844" s="5" t="n"/>
      <c r="U1844" s="8">
        <f>IF(AND(V1844=1,D1844&lt;&gt;""),IF(D1844&gt;=corte,TODAY()-D1844,""),"")</f>
        <v/>
      </c>
      <c r="V1844" s="8">
        <f>IF(D1844="",0,IF(OR(AND(P1844&lt;&gt;"",S1844=""),AND(N(J1844)&gt;0,N(K1844)&lt;J1844),OR(M1844="PENDENTE",M1844="PARCIAL"),OR(N1844="PENDENTE",N1844="PARCIAL")),1,0))</f>
        <v/>
      </c>
      <c r="W1844" s="8">
        <f>IF(AND(V1844=1,D1844&lt;&gt;""),IF(D1844&gt;=corte,(B1844="CRÍTICO")*1E9+(100000-D1844)*10000+10000-ROW(),""),"")</f>
        <v/>
      </c>
      <c r="X1844" s="8">
        <f>IF(AND(V1844=1,D1844=pas_data,E1844=pas_turno),10000-ROW(),"")</f>
        <v/>
      </c>
    </row>
    <row r="1845">
      <c r="A1845" s="3">
        <f>IF(D1845="","","TT-"&amp;TEXT(ROW()-1,"00000"))</f>
        <v/>
      </c>
      <c r="B1845" s="3">
        <f>IF(D1845="","",IF(V1845=0,"CONCLUÍDO",IF(D1845&lt;corte,"HISTÓRICO",IF(OR(AND(ISNUMBER(R1845),R1845&lt;TODAY()),AND(OR(N1845="PENDENTE",N1845="PARCIAL"),D1845&lt;TODAY()-1)),"CRÍTICO",IF(OR(AND(P1845&lt;&gt;"",S1845=""),AND(N1845="REALIZADO",M1845="PENDENTE"),AND(ISNUMBER(R1845),R1845=TODAY())),"ATENÇÃO",IF(N(K1845)=0,"PENDENTE","EM ANDAMENTO"))))))</f>
        <v/>
      </c>
      <c r="C1845" s="3">
        <f>IF(D1845="","",IF(V1845=0,"🟢 OK",IF(D1845&lt;corte,"⚪ HISTÓRICO (sem baixa)",IF(AND(ISNUMBER(R1845),R1845&lt;TODAY()),"🔴 PRAZO VENCIDO",IF(AND(OR(N1845="PENDENTE",N1845="PARCIAL"),D1845&lt;TODAY()-1),"🔴 EMBARQUE ATRASADO",IF(AND(N1845="REALIZADO",M1845="PENDENTE"),"🟡 EMBARCADO SEM FATURAR",IF(AND(P1845&lt;&gt;"",S1845="",OR(Q1845="",R1845="")),"🟡 PENDÊNCIA SEM RESPONSÁVEL/PRAZO",IF(AND(ISNUMBER(R1845),R1845=TODAY()),"🟡 VENCE HOJE",IF(AND(P1845&lt;&gt;"",S1845=""),"🟡 PENDÊNCIA ABERTA",IF(AND(N(J1845)&gt;0,N(K1845)&lt;J1845),"🟡 FALTA EXECUTAR",IF(OR(M1845="PENDENTE",M1845="PARCIAL"),"🟡 FATURAMENTO PENDENTE","🟡 EMBARQUE PENDENTE")))))))))))</f>
        <v/>
      </c>
      <c r="D1845" s="4" t="n"/>
      <c r="E1845" s="5" t="n"/>
      <c r="F1845" s="5" t="n"/>
      <c r="G1845" s="5" t="n"/>
      <c r="H1845" s="5" t="n"/>
      <c r="I1845" s="5" t="n"/>
      <c r="J1845" s="6" t="n"/>
      <c r="K1845" s="6" t="n"/>
      <c r="L1845" s="7">
        <f>IF(OR(D1845="",N(J1845)=0),"",MIN(1,N(K1845)/J1845))</f>
        <v/>
      </c>
      <c r="M1845" s="5" t="n"/>
      <c r="N1845" s="5" t="n"/>
      <c r="O1845" s="5" t="n"/>
      <c r="P1845" s="5" t="n"/>
      <c r="Q1845" s="5" t="n"/>
      <c r="R1845" s="4" t="n"/>
      <c r="S1845" s="4" t="n"/>
      <c r="T1845" s="5" t="n"/>
      <c r="U1845" s="8">
        <f>IF(AND(V1845=1,D1845&lt;&gt;""),IF(D1845&gt;=corte,TODAY()-D1845,""),"")</f>
        <v/>
      </c>
      <c r="V1845" s="8">
        <f>IF(D1845="",0,IF(OR(AND(P1845&lt;&gt;"",S1845=""),AND(N(J1845)&gt;0,N(K1845)&lt;J1845),OR(M1845="PENDENTE",M1845="PARCIAL"),OR(N1845="PENDENTE",N1845="PARCIAL")),1,0))</f>
        <v/>
      </c>
      <c r="W1845" s="8">
        <f>IF(AND(V1845=1,D1845&lt;&gt;""),IF(D1845&gt;=corte,(B1845="CRÍTICO")*1E9+(100000-D1845)*10000+10000-ROW(),""),"")</f>
        <v/>
      </c>
      <c r="X1845" s="8">
        <f>IF(AND(V1845=1,D1845=pas_data,E1845=pas_turno),10000-ROW(),"")</f>
        <v/>
      </c>
    </row>
    <row r="1846">
      <c r="A1846" s="3">
        <f>IF(D1846="","","TT-"&amp;TEXT(ROW()-1,"00000"))</f>
        <v/>
      </c>
      <c r="B1846" s="3">
        <f>IF(D1846="","",IF(V1846=0,"CONCLUÍDO",IF(D1846&lt;corte,"HISTÓRICO",IF(OR(AND(ISNUMBER(R1846),R1846&lt;TODAY()),AND(OR(N1846="PENDENTE",N1846="PARCIAL"),D1846&lt;TODAY()-1)),"CRÍTICO",IF(OR(AND(P1846&lt;&gt;"",S1846=""),AND(N1846="REALIZADO",M1846="PENDENTE"),AND(ISNUMBER(R1846),R1846=TODAY())),"ATENÇÃO",IF(N(K1846)=0,"PENDENTE","EM ANDAMENTO"))))))</f>
        <v/>
      </c>
      <c r="C1846" s="3">
        <f>IF(D1846="","",IF(V1846=0,"🟢 OK",IF(D1846&lt;corte,"⚪ HISTÓRICO (sem baixa)",IF(AND(ISNUMBER(R1846),R1846&lt;TODAY()),"🔴 PRAZO VENCIDO",IF(AND(OR(N1846="PENDENTE",N1846="PARCIAL"),D1846&lt;TODAY()-1),"🔴 EMBARQUE ATRASADO",IF(AND(N1846="REALIZADO",M1846="PENDENTE"),"🟡 EMBARCADO SEM FATURAR",IF(AND(P1846&lt;&gt;"",S1846="",OR(Q1846="",R1846="")),"🟡 PENDÊNCIA SEM RESPONSÁVEL/PRAZO",IF(AND(ISNUMBER(R1846),R1846=TODAY()),"🟡 VENCE HOJE",IF(AND(P1846&lt;&gt;"",S1846=""),"🟡 PENDÊNCIA ABERTA",IF(AND(N(J1846)&gt;0,N(K1846)&lt;J1846),"🟡 FALTA EXECUTAR",IF(OR(M1846="PENDENTE",M1846="PARCIAL"),"🟡 FATURAMENTO PENDENTE","🟡 EMBARQUE PENDENTE")))))))))))</f>
        <v/>
      </c>
      <c r="D1846" s="4" t="n"/>
      <c r="E1846" s="5" t="n"/>
      <c r="F1846" s="5" t="n"/>
      <c r="G1846" s="5" t="n"/>
      <c r="H1846" s="5" t="n"/>
      <c r="I1846" s="5" t="n"/>
      <c r="J1846" s="6" t="n"/>
      <c r="K1846" s="6" t="n"/>
      <c r="L1846" s="7">
        <f>IF(OR(D1846="",N(J1846)=0),"",MIN(1,N(K1846)/J1846))</f>
        <v/>
      </c>
      <c r="M1846" s="5" t="n"/>
      <c r="N1846" s="5" t="n"/>
      <c r="O1846" s="5" t="n"/>
      <c r="P1846" s="5" t="n"/>
      <c r="Q1846" s="5" t="n"/>
      <c r="R1846" s="4" t="n"/>
      <c r="S1846" s="4" t="n"/>
      <c r="T1846" s="5" t="n"/>
      <c r="U1846" s="8">
        <f>IF(AND(V1846=1,D1846&lt;&gt;""),IF(D1846&gt;=corte,TODAY()-D1846,""),"")</f>
        <v/>
      </c>
      <c r="V1846" s="8">
        <f>IF(D1846="",0,IF(OR(AND(P1846&lt;&gt;"",S1846=""),AND(N(J1846)&gt;0,N(K1846)&lt;J1846),OR(M1846="PENDENTE",M1846="PARCIAL"),OR(N1846="PENDENTE",N1846="PARCIAL")),1,0))</f>
        <v/>
      </c>
      <c r="W1846" s="8">
        <f>IF(AND(V1846=1,D1846&lt;&gt;""),IF(D1846&gt;=corte,(B1846="CRÍTICO")*1E9+(100000-D1846)*10000+10000-ROW(),""),"")</f>
        <v/>
      </c>
      <c r="X1846" s="8">
        <f>IF(AND(V1846=1,D1846=pas_data,E1846=pas_turno),10000-ROW(),"")</f>
        <v/>
      </c>
    </row>
    <row r="1847">
      <c r="A1847" s="3">
        <f>IF(D1847="","","TT-"&amp;TEXT(ROW()-1,"00000"))</f>
        <v/>
      </c>
      <c r="B1847" s="3">
        <f>IF(D1847="","",IF(V1847=0,"CONCLUÍDO",IF(D1847&lt;corte,"HISTÓRICO",IF(OR(AND(ISNUMBER(R1847),R1847&lt;TODAY()),AND(OR(N1847="PENDENTE",N1847="PARCIAL"),D1847&lt;TODAY()-1)),"CRÍTICO",IF(OR(AND(P1847&lt;&gt;"",S1847=""),AND(N1847="REALIZADO",M1847="PENDENTE"),AND(ISNUMBER(R1847),R1847=TODAY())),"ATENÇÃO",IF(N(K1847)=0,"PENDENTE","EM ANDAMENTO"))))))</f>
        <v/>
      </c>
      <c r="C1847" s="3">
        <f>IF(D1847="","",IF(V1847=0,"🟢 OK",IF(D1847&lt;corte,"⚪ HISTÓRICO (sem baixa)",IF(AND(ISNUMBER(R1847),R1847&lt;TODAY()),"🔴 PRAZO VENCIDO",IF(AND(OR(N1847="PENDENTE",N1847="PARCIAL"),D1847&lt;TODAY()-1),"🔴 EMBARQUE ATRASADO",IF(AND(N1847="REALIZADO",M1847="PENDENTE"),"🟡 EMBARCADO SEM FATURAR",IF(AND(P1847&lt;&gt;"",S1847="",OR(Q1847="",R1847="")),"🟡 PENDÊNCIA SEM RESPONSÁVEL/PRAZO",IF(AND(ISNUMBER(R1847),R1847=TODAY()),"🟡 VENCE HOJE",IF(AND(P1847&lt;&gt;"",S1847=""),"🟡 PENDÊNCIA ABERTA",IF(AND(N(J1847)&gt;0,N(K1847)&lt;J1847),"🟡 FALTA EXECUTAR",IF(OR(M1847="PENDENTE",M1847="PARCIAL"),"🟡 FATURAMENTO PENDENTE","🟡 EMBARQUE PENDENTE")))))))))))</f>
        <v/>
      </c>
      <c r="D1847" s="4" t="n"/>
      <c r="E1847" s="5" t="n"/>
      <c r="F1847" s="5" t="n"/>
      <c r="G1847" s="5" t="n"/>
      <c r="H1847" s="5" t="n"/>
      <c r="I1847" s="5" t="n"/>
      <c r="J1847" s="6" t="n"/>
      <c r="K1847" s="6" t="n"/>
      <c r="L1847" s="7">
        <f>IF(OR(D1847="",N(J1847)=0),"",MIN(1,N(K1847)/J1847))</f>
        <v/>
      </c>
      <c r="M1847" s="5" t="n"/>
      <c r="N1847" s="5" t="n"/>
      <c r="O1847" s="5" t="n"/>
      <c r="P1847" s="5" t="n"/>
      <c r="Q1847" s="5" t="n"/>
      <c r="R1847" s="4" t="n"/>
      <c r="S1847" s="4" t="n"/>
      <c r="T1847" s="5" t="n"/>
      <c r="U1847" s="8">
        <f>IF(AND(V1847=1,D1847&lt;&gt;""),IF(D1847&gt;=corte,TODAY()-D1847,""),"")</f>
        <v/>
      </c>
      <c r="V1847" s="8">
        <f>IF(D1847="",0,IF(OR(AND(P1847&lt;&gt;"",S1847=""),AND(N(J1847)&gt;0,N(K1847)&lt;J1847),OR(M1847="PENDENTE",M1847="PARCIAL"),OR(N1847="PENDENTE",N1847="PARCIAL")),1,0))</f>
        <v/>
      </c>
      <c r="W1847" s="8">
        <f>IF(AND(V1847=1,D1847&lt;&gt;""),IF(D1847&gt;=corte,(B1847="CRÍTICO")*1E9+(100000-D1847)*10000+10000-ROW(),""),"")</f>
        <v/>
      </c>
      <c r="X1847" s="8">
        <f>IF(AND(V1847=1,D1847=pas_data,E1847=pas_turno),10000-ROW(),"")</f>
        <v/>
      </c>
    </row>
    <row r="1848">
      <c r="A1848" s="3">
        <f>IF(D1848="","","TT-"&amp;TEXT(ROW()-1,"00000"))</f>
        <v/>
      </c>
      <c r="B1848" s="3">
        <f>IF(D1848="","",IF(V1848=0,"CONCLUÍDO",IF(D1848&lt;corte,"HISTÓRICO",IF(OR(AND(ISNUMBER(R1848),R1848&lt;TODAY()),AND(OR(N1848="PENDENTE",N1848="PARCIAL"),D1848&lt;TODAY()-1)),"CRÍTICO",IF(OR(AND(P1848&lt;&gt;"",S1848=""),AND(N1848="REALIZADO",M1848="PENDENTE"),AND(ISNUMBER(R1848),R1848=TODAY())),"ATENÇÃO",IF(N(K1848)=0,"PENDENTE","EM ANDAMENTO"))))))</f>
        <v/>
      </c>
      <c r="C1848" s="3">
        <f>IF(D1848="","",IF(V1848=0,"🟢 OK",IF(D1848&lt;corte,"⚪ HISTÓRICO (sem baixa)",IF(AND(ISNUMBER(R1848),R1848&lt;TODAY()),"🔴 PRAZO VENCIDO",IF(AND(OR(N1848="PENDENTE",N1848="PARCIAL"),D1848&lt;TODAY()-1),"🔴 EMBARQUE ATRASADO",IF(AND(N1848="REALIZADO",M1848="PENDENTE"),"🟡 EMBARCADO SEM FATURAR",IF(AND(P1848&lt;&gt;"",S1848="",OR(Q1848="",R1848="")),"🟡 PENDÊNCIA SEM RESPONSÁVEL/PRAZO",IF(AND(ISNUMBER(R1848),R1848=TODAY()),"🟡 VENCE HOJE",IF(AND(P1848&lt;&gt;"",S1848=""),"🟡 PENDÊNCIA ABERTA",IF(AND(N(J1848)&gt;0,N(K1848)&lt;J1848),"🟡 FALTA EXECUTAR",IF(OR(M1848="PENDENTE",M1848="PARCIAL"),"🟡 FATURAMENTO PENDENTE","🟡 EMBARQUE PENDENTE")))))))))))</f>
        <v/>
      </c>
      <c r="D1848" s="4" t="n"/>
      <c r="E1848" s="5" t="n"/>
      <c r="F1848" s="5" t="n"/>
      <c r="G1848" s="5" t="n"/>
      <c r="H1848" s="5" t="n"/>
      <c r="I1848" s="5" t="n"/>
      <c r="J1848" s="6" t="n"/>
      <c r="K1848" s="6" t="n"/>
      <c r="L1848" s="7">
        <f>IF(OR(D1848="",N(J1848)=0),"",MIN(1,N(K1848)/J1848))</f>
        <v/>
      </c>
      <c r="M1848" s="5" t="n"/>
      <c r="N1848" s="5" t="n"/>
      <c r="O1848" s="5" t="n"/>
      <c r="P1848" s="5" t="n"/>
      <c r="Q1848" s="5" t="n"/>
      <c r="R1848" s="4" t="n"/>
      <c r="S1848" s="4" t="n"/>
      <c r="T1848" s="5" t="n"/>
      <c r="U1848" s="8">
        <f>IF(AND(V1848=1,D1848&lt;&gt;""),IF(D1848&gt;=corte,TODAY()-D1848,""),"")</f>
        <v/>
      </c>
      <c r="V1848" s="8">
        <f>IF(D1848="",0,IF(OR(AND(P1848&lt;&gt;"",S1848=""),AND(N(J1848)&gt;0,N(K1848)&lt;J1848),OR(M1848="PENDENTE",M1848="PARCIAL"),OR(N1848="PENDENTE",N1848="PARCIAL")),1,0))</f>
        <v/>
      </c>
      <c r="W1848" s="8">
        <f>IF(AND(V1848=1,D1848&lt;&gt;""),IF(D1848&gt;=corte,(B1848="CRÍTICO")*1E9+(100000-D1848)*10000+10000-ROW(),""),"")</f>
        <v/>
      </c>
      <c r="X1848" s="8">
        <f>IF(AND(V1848=1,D1848=pas_data,E1848=pas_turno),10000-ROW(),"")</f>
        <v/>
      </c>
    </row>
    <row r="1849">
      <c r="A1849" s="3">
        <f>IF(D1849="","","TT-"&amp;TEXT(ROW()-1,"00000"))</f>
        <v/>
      </c>
      <c r="B1849" s="3">
        <f>IF(D1849="","",IF(V1849=0,"CONCLUÍDO",IF(D1849&lt;corte,"HISTÓRICO",IF(OR(AND(ISNUMBER(R1849),R1849&lt;TODAY()),AND(OR(N1849="PENDENTE",N1849="PARCIAL"),D1849&lt;TODAY()-1)),"CRÍTICO",IF(OR(AND(P1849&lt;&gt;"",S1849=""),AND(N1849="REALIZADO",M1849="PENDENTE"),AND(ISNUMBER(R1849),R1849=TODAY())),"ATENÇÃO",IF(N(K1849)=0,"PENDENTE","EM ANDAMENTO"))))))</f>
        <v/>
      </c>
      <c r="C1849" s="3">
        <f>IF(D1849="","",IF(V1849=0,"🟢 OK",IF(D1849&lt;corte,"⚪ HISTÓRICO (sem baixa)",IF(AND(ISNUMBER(R1849),R1849&lt;TODAY()),"🔴 PRAZO VENCIDO",IF(AND(OR(N1849="PENDENTE",N1849="PARCIAL"),D1849&lt;TODAY()-1),"🔴 EMBARQUE ATRASADO",IF(AND(N1849="REALIZADO",M1849="PENDENTE"),"🟡 EMBARCADO SEM FATURAR",IF(AND(P1849&lt;&gt;"",S1849="",OR(Q1849="",R1849="")),"🟡 PENDÊNCIA SEM RESPONSÁVEL/PRAZO",IF(AND(ISNUMBER(R1849),R1849=TODAY()),"🟡 VENCE HOJE",IF(AND(P1849&lt;&gt;"",S1849=""),"🟡 PENDÊNCIA ABERTA",IF(AND(N(J1849)&gt;0,N(K1849)&lt;J1849),"🟡 FALTA EXECUTAR",IF(OR(M1849="PENDENTE",M1849="PARCIAL"),"🟡 FATURAMENTO PENDENTE","🟡 EMBARQUE PENDENTE")))))))))))</f>
        <v/>
      </c>
      <c r="D1849" s="4" t="n"/>
      <c r="E1849" s="5" t="n"/>
      <c r="F1849" s="5" t="n"/>
      <c r="G1849" s="5" t="n"/>
      <c r="H1849" s="5" t="n"/>
      <c r="I1849" s="5" t="n"/>
      <c r="J1849" s="6" t="n"/>
      <c r="K1849" s="6" t="n"/>
      <c r="L1849" s="7">
        <f>IF(OR(D1849="",N(J1849)=0),"",MIN(1,N(K1849)/J1849))</f>
        <v/>
      </c>
      <c r="M1849" s="5" t="n"/>
      <c r="N1849" s="5" t="n"/>
      <c r="O1849" s="5" t="n"/>
      <c r="P1849" s="5" t="n"/>
      <c r="Q1849" s="5" t="n"/>
      <c r="R1849" s="4" t="n"/>
      <c r="S1849" s="4" t="n"/>
      <c r="T1849" s="5" t="n"/>
      <c r="U1849" s="8">
        <f>IF(AND(V1849=1,D1849&lt;&gt;""),IF(D1849&gt;=corte,TODAY()-D1849,""),"")</f>
        <v/>
      </c>
      <c r="V1849" s="8">
        <f>IF(D1849="",0,IF(OR(AND(P1849&lt;&gt;"",S1849=""),AND(N(J1849)&gt;0,N(K1849)&lt;J1849),OR(M1849="PENDENTE",M1849="PARCIAL"),OR(N1849="PENDENTE",N1849="PARCIAL")),1,0))</f>
        <v/>
      </c>
      <c r="W1849" s="8">
        <f>IF(AND(V1849=1,D1849&lt;&gt;""),IF(D1849&gt;=corte,(B1849="CRÍTICO")*1E9+(100000-D1849)*10000+10000-ROW(),""),"")</f>
        <v/>
      </c>
      <c r="X1849" s="8">
        <f>IF(AND(V1849=1,D1849=pas_data,E1849=pas_turno),10000-ROW(),"")</f>
        <v/>
      </c>
    </row>
    <row r="1850">
      <c r="A1850" s="3">
        <f>IF(D1850="","","TT-"&amp;TEXT(ROW()-1,"00000"))</f>
        <v/>
      </c>
      <c r="B1850" s="3">
        <f>IF(D1850="","",IF(V1850=0,"CONCLUÍDO",IF(D1850&lt;corte,"HISTÓRICO",IF(OR(AND(ISNUMBER(R1850),R1850&lt;TODAY()),AND(OR(N1850="PENDENTE",N1850="PARCIAL"),D1850&lt;TODAY()-1)),"CRÍTICO",IF(OR(AND(P1850&lt;&gt;"",S1850=""),AND(N1850="REALIZADO",M1850="PENDENTE"),AND(ISNUMBER(R1850),R1850=TODAY())),"ATENÇÃO",IF(N(K1850)=0,"PENDENTE","EM ANDAMENTO"))))))</f>
        <v/>
      </c>
      <c r="C1850" s="3">
        <f>IF(D1850="","",IF(V1850=0,"🟢 OK",IF(D1850&lt;corte,"⚪ HISTÓRICO (sem baixa)",IF(AND(ISNUMBER(R1850),R1850&lt;TODAY()),"🔴 PRAZO VENCIDO",IF(AND(OR(N1850="PENDENTE",N1850="PARCIAL"),D1850&lt;TODAY()-1),"🔴 EMBARQUE ATRASADO",IF(AND(N1850="REALIZADO",M1850="PENDENTE"),"🟡 EMBARCADO SEM FATURAR",IF(AND(P1850&lt;&gt;"",S1850="",OR(Q1850="",R1850="")),"🟡 PENDÊNCIA SEM RESPONSÁVEL/PRAZO",IF(AND(ISNUMBER(R1850),R1850=TODAY()),"🟡 VENCE HOJE",IF(AND(P1850&lt;&gt;"",S1850=""),"🟡 PENDÊNCIA ABERTA",IF(AND(N(J1850)&gt;0,N(K1850)&lt;J1850),"🟡 FALTA EXECUTAR",IF(OR(M1850="PENDENTE",M1850="PARCIAL"),"🟡 FATURAMENTO PENDENTE","🟡 EMBARQUE PENDENTE")))))))))))</f>
        <v/>
      </c>
      <c r="D1850" s="4" t="n"/>
      <c r="E1850" s="5" t="n"/>
      <c r="F1850" s="5" t="n"/>
      <c r="G1850" s="5" t="n"/>
      <c r="H1850" s="5" t="n"/>
      <c r="I1850" s="5" t="n"/>
      <c r="J1850" s="6" t="n"/>
      <c r="K1850" s="6" t="n"/>
      <c r="L1850" s="7">
        <f>IF(OR(D1850="",N(J1850)=0),"",MIN(1,N(K1850)/J1850))</f>
        <v/>
      </c>
      <c r="M1850" s="5" t="n"/>
      <c r="N1850" s="5" t="n"/>
      <c r="O1850" s="5" t="n"/>
      <c r="P1850" s="5" t="n"/>
      <c r="Q1850" s="5" t="n"/>
      <c r="R1850" s="4" t="n"/>
      <c r="S1850" s="4" t="n"/>
      <c r="T1850" s="5" t="n"/>
      <c r="U1850" s="8">
        <f>IF(AND(V1850=1,D1850&lt;&gt;""),IF(D1850&gt;=corte,TODAY()-D1850,""),"")</f>
        <v/>
      </c>
      <c r="V1850" s="8">
        <f>IF(D1850="",0,IF(OR(AND(P1850&lt;&gt;"",S1850=""),AND(N(J1850)&gt;0,N(K1850)&lt;J1850),OR(M1850="PENDENTE",M1850="PARCIAL"),OR(N1850="PENDENTE",N1850="PARCIAL")),1,0))</f>
        <v/>
      </c>
      <c r="W1850" s="8">
        <f>IF(AND(V1850=1,D1850&lt;&gt;""),IF(D1850&gt;=corte,(B1850="CRÍTICO")*1E9+(100000-D1850)*10000+10000-ROW(),""),"")</f>
        <v/>
      </c>
      <c r="X1850" s="8">
        <f>IF(AND(V1850=1,D1850=pas_data,E1850=pas_turno),10000-ROW(),"")</f>
        <v/>
      </c>
    </row>
    <row r="1851">
      <c r="A1851" s="3">
        <f>IF(D1851="","","TT-"&amp;TEXT(ROW()-1,"00000"))</f>
        <v/>
      </c>
      <c r="B1851" s="3">
        <f>IF(D1851="","",IF(V1851=0,"CONCLUÍDO",IF(D1851&lt;corte,"HISTÓRICO",IF(OR(AND(ISNUMBER(R1851),R1851&lt;TODAY()),AND(OR(N1851="PENDENTE",N1851="PARCIAL"),D1851&lt;TODAY()-1)),"CRÍTICO",IF(OR(AND(P1851&lt;&gt;"",S1851=""),AND(N1851="REALIZADO",M1851="PENDENTE"),AND(ISNUMBER(R1851),R1851=TODAY())),"ATENÇÃO",IF(N(K1851)=0,"PENDENTE","EM ANDAMENTO"))))))</f>
        <v/>
      </c>
      <c r="C1851" s="3">
        <f>IF(D1851="","",IF(V1851=0,"🟢 OK",IF(D1851&lt;corte,"⚪ HISTÓRICO (sem baixa)",IF(AND(ISNUMBER(R1851),R1851&lt;TODAY()),"🔴 PRAZO VENCIDO",IF(AND(OR(N1851="PENDENTE",N1851="PARCIAL"),D1851&lt;TODAY()-1),"🔴 EMBARQUE ATRASADO",IF(AND(N1851="REALIZADO",M1851="PENDENTE"),"🟡 EMBARCADO SEM FATURAR",IF(AND(P1851&lt;&gt;"",S1851="",OR(Q1851="",R1851="")),"🟡 PENDÊNCIA SEM RESPONSÁVEL/PRAZO",IF(AND(ISNUMBER(R1851),R1851=TODAY()),"🟡 VENCE HOJE",IF(AND(P1851&lt;&gt;"",S1851=""),"🟡 PENDÊNCIA ABERTA",IF(AND(N(J1851)&gt;0,N(K1851)&lt;J1851),"🟡 FALTA EXECUTAR",IF(OR(M1851="PENDENTE",M1851="PARCIAL"),"🟡 FATURAMENTO PENDENTE","🟡 EMBARQUE PENDENTE")))))))))))</f>
        <v/>
      </c>
      <c r="D1851" s="4" t="n"/>
      <c r="E1851" s="5" t="n"/>
      <c r="F1851" s="5" t="n"/>
      <c r="G1851" s="5" t="n"/>
      <c r="H1851" s="5" t="n"/>
      <c r="I1851" s="5" t="n"/>
      <c r="J1851" s="6" t="n"/>
      <c r="K1851" s="6" t="n"/>
      <c r="L1851" s="7">
        <f>IF(OR(D1851="",N(J1851)=0),"",MIN(1,N(K1851)/J1851))</f>
        <v/>
      </c>
      <c r="M1851" s="5" t="n"/>
      <c r="N1851" s="5" t="n"/>
      <c r="O1851" s="5" t="n"/>
      <c r="P1851" s="5" t="n"/>
      <c r="Q1851" s="5" t="n"/>
      <c r="R1851" s="4" t="n"/>
      <c r="S1851" s="4" t="n"/>
      <c r="T1851" s="5" t="n"/>
      <c r="U1851" s="8">
        <f>IF(AND(V1851=1,D1851&lt;&gt;""),IF(D1851&gt;=corte,TODAY()-D1851,""),"")</f>
        <v/>
      </c>
      <c r="V1851" s="8">
        <f>IF(D1851="",0,IF(OR(AND(P1851&lt;&gt;"",S1851=""),AND(N(J1851)&gt;0,N(K1851)&lt;J1851),OR(M1851="PENDENTE",M1851="PARCIAL"),OR(N1851="PENDENTE",N1851="PARCIAL")),1,0))</f>
        <v/>
      </c>
      <c r="W1851" s="8">
        <f>IF(AND(V1851=1,D1851&lt;&gt;""),IF(D1851&gt;=corte,(B1851="CRÍTICO")*1E9+(100000-D1851)*10000+10000-ROW(),""),"")</f>
        <v/>
      </c>
      <c r="X1851" s="8">
        <f>IF(AND(V1851=1,D1851=pas_data,E1851=pas_turno),10000-ROW(),"")</f>
        <v/>
      </c>
    </row>
    <row r="1852">
      <c r="A1852" s="3">
        <f>IF(D1852="","","TT-"&amp;TEXT(ROW()-1,"00000"))</f>
        <v/>
      </c>
      <c r="B1852" s="3">
        <f>IF(D1852="","",IF(V1852=0,"CONCLUÍDO",IF(D1852&lt;corte,"HISTÓRICO",IF(OR(AND(ISNUMBER(R1852),R1852&lt;TODAY()),AND(OR(N1852="PENDENTE",N1852="PARCIAL"),D1852&lt;TODAY()-1)),"CRÍTICO",IF(OR(AND(P1852&lt;&gt;"",S1852=""),AND(N1852="REALIZADO",M1852="PENDENTE"),AND(ISNUMBER(R1852),R1852=TODAY())),"ATENÇÃO",IF(N(K1852)=0,"PENDENTE","EM ANDAMENTO"))))))</f>
        <v/>
      </c>
      <c r="C1852" s="3">
        <f>IF(D1852="","",IF(V1852=0,"🟢 OK",IF(D1852&lt;corte,"⚪ HISTÓRICO (sem baixa)",IF(AND(ISNUMBER(R1852),R1852&lt;TODAY()),"🔴 PRAZO VENCIDO",IF(AND(OR(N1852="PENDENTE",N1852="PARCIAL"),D1852&lt;TODAY()-1),"🔴 EMBARQUE ATRASADO",IF(AND(N1852="REALIZADO",M1852="PENDENTE"),"🟡 EMBARCADO SEM FATURAR",IF(AND(P1852&lt;&gt;"",S1852="",OR(Q1852="",R1852="")),"🟡 PENDÊNCIA SEM RESPONSÁVEL/PRAZO",IF(AND(ISNUMBER(R1852),R1852=TODAY()),"🟡 VENCE HOJE",IF(AND(P1852&lt;&gt;"",S1852=""),"🟡 PENDÊNCIA ABERTA",IF(AND(N(J1852)&gt;0,N(K1852)&lt;J1852),"🟡 FALTA EXECUTAR",IF(OR(M1852="PENDENTE",M1852="PARCIAL"),"🟡 FATURAMENTO PENDENTE","🟡 EMBARQUE PENDENTE")))))))))))</f>
        <v/>
      </c>
      <c r="D1852" s="4" t="n"/>
      <c r="E1852" s="5" t="n"/>
      <c r="F1852" s="5" t="n"/>
      <c r="G1852" s="5" t="n"/>
      <c r="H1852" s="5" t="n"/>
      <c r="I1852" s="5" t="n"/>
      <c r="J1852" s="6" t="n"/>
      <c r="K1852" s="6" t="n"/>
      <c r="L1852" s="7">
        <f>IF(OR(D1852="",N(J1852)=0),"",MIN(1,N(K1852)/J1852))</f>
        <v/>
      </c>
      <c r="M1852" s="5" t="n"/>
      <c r="N1852" s="5" t="n"/>
      <c r="O1852" s="5" t="n"/>
      <c r="P1852" s="5" t="n"/>
      <c r="Q1852" s="5" t="n"/>
      <c r="R1852" s="4" t="n"/>
      <c r="S1852" s="4" t="n"/>
      <c r="T1852" s="5" t="n"/>
      <c r="U1852" s="8">
        <f>IF(AND(V1852=1,D1852&lt;&gt;""),IF(D1852&gt;=corte,TODAY()-D1852,""),"")</f>
        <v/>
      </c>
      <c r="V1852" s="8">
        <f>IF(D1852="",0,IF(OR(AND(P1852&lt;&gt;"",S1852=""),AND(N(J1852)&gt;0,N(K1852)&lt;J1852),OR(M1852="PENDENTE",M1852="PARCIAL"),OR(N1852="PENDENTE",N1852="PARCIAL")),1,0))</f>
        <v/>
      </c>
      <c r="W1852" s="8">
        <f>IF(AND(V1852=1,D1852&lt;&gt;""),IF(D1852&gt;=corte,(B1852="CRÍTICO")*1E9+(100000-D1852)*10000+10000-ROW(),""),"")</f>
        <v/>
      </c>
      <c r="X1852" s="8">
        <f>IF(AND(V1852=1,D1852=pas_data,E1852=pas_turno),10000-ROW(),"")</f>
        <v/>
      </c>
    </row>
    <row r="1853">
      <c r="A1853" s="3">
        <f>IF(D1853="","","TT-"&amp;TEXT(ROW()-1,"00000"))</f>
        <v/>
      </c>
      <c r="B1853" s="3">
        <f>IF(D1853="","",IF(V1853=0,"CONCLUÍDO",IF(D1853&lt;corte,"HISTÓRICO",IF(OR(AND(ISNUMBER(R1853),R1853&lt;TODAY()),AND(OR(N1853="PENDENTE",N1853="PARCIAL"),D1853&lt;TODAY()-1)),"CRÍTICO",IF(OR(AND(P1853&lt;&gt;"",S1853=""),AND(N1853="REALIZADO",M1853="PENDENTE"),AND(ISNUMBER(R1853),R1853=TODAY())),"ATENÇÃO",IF(N(K1853)=0,"PENDENTE","EM ANDAMENTO"))))))</f>
        <v/>
      </c>
      <c r="C1853" s="3">
        <f>IF(D1853="","",IF(V1853=0,"🟢 OK",IF(D1853&lt;corte,"⚪ HISTÓRICO (sem baixa)",IF(AND(ISNUMBER(R1853),R1853&lt;TODAY()),"🔴 PRAZO VENCIDO",IF(AND(OR(N1853="PENDENTE",N1853="PARCIAL"),D1853&lt;TODAY()-1),"🔴 EMBARQUE ATRASADO",IF(AND(N1853="REALIZADO",M1853="PENDENTE"),"🟡 EMBARCADO SEM FATURAR",IF(AND(P1853&lt;&gt;"",S1853="",OR(Q1853="",R1853="")),"🟡 PENDÊNCIA SEM RESPONSÁVEL/PRAZO",IF(AND(ISNUMBER(R1853),R1853=TODAY()),"🟡 VENCE HOJE",IF(AND(P1853&lt;&gt;"",S1853=""),"🟡 PENDÊNCIA ABERTA",IF(AND(N(J1853)&gt;0,N(K1853)&lt;J1853),"🟡 FALTA EXECUTAR",IF(OR(M1853="PENDENTE",M1853="PARCIAL"),"🟡 FATURAMENTO PENDENTE","🟡 EMBARQUE PENDENTE")))))))))))</f>
        <v/>
      </c>
      <c r="D1853" s="4" t="n"/>
      <c r="E1853" s="5" t="n"/>
      <c r="F1853" s="5" t="n"/>
      <c r="G1853" s="5" t="n"/>
      <c r="H1853" s="5" t="n"/>
      <c r="I1853" s="5" t="n"/>
      <c r="J1853" s="6" t="n"/>
      <c r="K1853" s="6" t="n"/>
      <c r="L1853" s="7">
        <f>IF(OR(D1853="",N(J1853)=0),"",MIN(1,N(K1853)/J1853))</f>
        <v/>
      </c>
      <c r="M1853" s="5" t="n"/>
      <c r="N1853" s="5" t="n"/>
      <c r="O1853" s="5" t="n"/>
      <c r="P1853" s="5" t="n"/>
      <c r="Q1853" s="5" t="n"/>
      <c r="R1853" s="4" t="n"/>
      <c r="S1853" s="4" t="n"/>
      <c r="T1853" s="5" t="n"/>
      <c r="U1853" s="8">
        <f>IF(AND(V1853=1,D1853&lt;&gt;""),IF(D1853&gt;=corte,TODAY()-D1853,""),"")</f>
        <v/>
      </c>
      <c r="V1853" s="8">
        <f>IF(D1853="",0,IF(OR(AND(P1853&lt;&gt;"",S1853=""),AND(N(J1853)&gt;0,N(K1853)&lt;J1853),OR(M1853="PENDENTE",M1853="PARCIAL"),OR(N1853="PENDENTE",N1853="PARCIAL")),1,0))</f>
        <v/>
      </c>
      <c r="W1853" s="8">
        <f>IF(AND(V1853=1,D1853&lt;&gt;""),IF(D1853&gt;=corte,(B1853="CRÍTICO")*1E9+(100000-D1853)*10000+10000-ROW(),""),"")</f>
        <v/>
      </c>
      <c r="X1853" s="8">
        <f>IF(AND(V1853=1,D1853=pas_data,E1853=pas_turno),10000-ROW(),"")</f>
        <v/>
      </c>
    </row>
    <row r="1854">
      <c r="A1854" s="3">
        <f>IF(D1854="","","TT-"&amp;TEXT(ROW()-1,"00000"))</f>
        <v/>
      </c>
      <c r="B1854" s="3">
        <f>IF(D1854="","",IF(V1854=0,"CONCLUÍDO",IF(D1854&lt;corte,"HISTÓRICO",IF(OR(AND(ISNUMBER(R1854),R1854&lt;TODAY()),AND(OR(N1854="PENDENTE",N1854="PARCIAL"),D1854&lt;TODAY()-1)),"CRÍTICO",IF(OR(AND(P1854&lt;&gt;"",S1854=""),AND(N1854="REALIZADO",M1854="PENDENTE"),AND(ISNUMBER(R1854),R1854=TODAY())),"ATENÇÃO",IF(N(K1854)=0,"PENDENTE","EM ANDAMENTO"))))))</f>
        <v/>
      </c>
      <c r="C1854" s="3">
        <f>IF(D1854="","",IF(V1854=0,"🟢 OK",IF(D1854&lt;corte,"⚪ HISTÓRICO (sem baixa)",IF(AND(ISNUMBER(R1854),R1854&lt;TODAY()),"🔴 PRAZO VENCIDO",IF(AND(OR(N1854="PENDENTE",N1854="PARCIAL"),D1854&lt;TODAY()-1),"🔴 EMBARQUE ATRASADO",IF(AND(N1854="REALIZADO",M1854="PENDENTE"),"🟡 EMBARCADO SEM FATURAR",IF(AND(P1854&lt;&gt;"",S1854="",OR(Q1854="",R1854="")),"🟡 PENDÊNCIA SEM RESPONSÁVEL/PRAZO",IF(AND(ISNUMBER(R1854),R1854=TODAY()),"🟡 VENCE HOJE",IF(AND(P1854&lt;&gt;"",S1854=""),"🟡 PENDÊNCIA ABERTA",IF(AND(N(J1854)&gt;0,N(K1854)&lt;J1854),"🟡 FALTA EXECUTAR",IF(OR(M1854="PENDENTE",M1854="PARCIAL"),"🟡 FATURAMENTO PENDENTE","🟡 EMBARQUE PENDENTE")))))))))))</f>
        <v/>
      </c>
      <c r="D1854" s="4" t="n"/>
      <c r="E1854" s="5" t="n"/>
      <c r="F1854" s="5" t="n"/>
      <c r="G1854" s="5" t="n"/>
      <c r="H1854" s="5" t="n"/>
      <c r="I1854" s="5" t="n"/>
      <c r="J1854" s="6" t="n"/>
      <c r="K1854" s="6" t="n"/>
      <c r="L1854" s="7">
        <f>IF(OR(D1854="",N(J1854)=0),"",MIN(1,N(K1854)/J1854))</f>
        <v/>
      </c>
      <c r="M1854" s="5" t="n"/>
      <c r="N1854" s="5" t="n"/>
      <c r="O1854" s="5" t="n"/>
      <c r="P1854" s="5" t="n"/>
      <c r="Q1854" s="5" t="n"/>
      <c r="R1854" s="4" t="n"/>
      <c r="S1854" s="4" t="n"/>
      <c r="T1854" s="5" t="n"/>
      <c r="U1854" s="8">
        <f>IF(AND(V1854=1,D1854&lt;&gt;""),IF(D1854&gt;=corte,TODAY()-D1854,""),"")</f>
        <v/>
      </c>
      <c r="V1854" s="8">
        <f>IF(D1854="",0,IF(OR(AND(P1854&lt;&gt;"",S1854=""),AND(N(J1854)&gt;0,N(K1854)&lt;J1854),OR(M1854="PENDENTE",M1854="PARCIAL"),OR(N1854="PENDENTE",N1854="PARCIAL")),1,0))</f>
        <v/>
      </c>
      <c r="W1854" s="8">
        <f>IF(AND(V1854=1,D1854&lt;&gt;""),IF(D1854&gt;=corte,(B1854="CRÍTICO")*1E9+(100000-D1854)*10000+10000-ROW(),""),"")</f>
        <v/>
      </c>
      <c r="X1854" s="8">
        <f>IF(AND(V1854=1,D1854=pas_data,E1854=pas_turno),10000-ROW(),"")</f>
        <v/>
      </c>
    </row>
    <row r="1855">
      <c r="A1855" s="3">
        <f>IF(D1855="","","TT-"&amp;TEXT(ROW()-1,"00000"))</f>
        <v/>
      </c>
      <c r="B1855" s="3">
        <f>IF(D1855="","",IF(V1855=0,"CONCLUÍDO",IF(D1855&lt;corte,"HISTÓRICO",IF(OR(AND(ISNUMBER(R1855),R1855&lt;TODAY()),AND(OR(N1855="PENDENTE",N1855="PARCIAL"),D1855&lt;TODAY()-1)),"CRÍTICO",IF(OR(AND(P1855&lt;&gt;"",S1855=""),AND(N1855="REALIZADO",M1855="PENDENTE"),AND(ISNUMBER(R1855),R1855=TODAY())),"ATENÇÃO",IF(N(K1855)=0,"PENDENTE","EM ANDAMENTO"))))))</f>
        <v/>
      </c>
      <c r="C1855" s="3">
        <f>IF(D1855="","",IF(V1855=0,"🟢 OK",IF(D1855&lt;corte,"⚪ HISTÓRICO (sem baixa)",IF(AND(ISNUMBER(R1855),R1855&lt;TODAY()),"🔴 PRAZO VENCIDO",IF(AND(OR(N1855="PENDENTE",N1855="PARCIAL"),D1855&lt;TODAY()-1),"🔴 EMBARQUE ATRASADO",IF(AND(N1855="REALIZADO",M1855="PENDENTE"),"🟡 EMBARCADO SEM FATURAR",IF(AND(P1855&lt;&gt;"",S1855="",OR(Q1855="",R1855="")),"🟡 PENDÊNCIA SEM RESPONSÁVEL/PRAZO",IF(AND(ISNUMBER(R1855),R1855=TODAY()),"🟡 VENCE HOJE",IF(AND(P1855&lt;&gt;"",S1855=""),"🟡 PENDÊNCIA ABERTA",IF(AND(N(J1855)&gt;0,N(K1855)&lt;J1855),"🟡 FALTA EXECUTAR",IF(OR(M1855="PENDENTE",M1855="PARCIAL"),"🟡 FATURAMENTO PENDENTE","🟡 EMBARQUE PENDENTE")))))))))))</f>
        <v/>
      </c>
      <c r="D1855" s="4" t="n"/>
      <c r="E1855" s="5" t="n"/>
      <c r="F1855" s="5" t="n"/>
      <c r="G1855" s="5" t="n"/>
      <c r="H1855" s="5" t="n"/>
      <c r="I1855" s="5" t="n"/>
      <c r="J1855" s="6" t="n"/>
      <c r="K1855" s="6" t="n"/>
      <c r="L1855" s="7">
        <f>IF(OR(D1855="",N(J1855)=0),"",MIN(1,N(K1855)/J1855))</f>
        <v/>
      </c>
      <c r="M1855" s="5" t="n"/>
      <c r="N1855" s="5" t="n"/>
      <c r="O1855" s="5" t="n"/>
      <c r="P1855" s="5" t="n"/>
      <c r="Q1855" s="5" t="n"/>
      <c r="R1855" s="4" t="n"/>
      <c r="S1855" s="4" t="n"/>
      <c r="T1855" s="5" t="n"/>
      <c r="U1855" s="8">
        <f>IF(AND(V1855=1,D1855&lt;&gt;""),IF(D1855&gt;=corte,TODAY()-D1855,""),"")</f>
        <v/>
      </c>
      <c r="V1855" s="8">
        <f>IF(D1855="",0,IF(OR(AND(P1855&lt;&gt;"",S1855=""),AND(N(J1855)&gt;0,N(K1855)&lt;J1855),OR(M1855="PENDENTE",M1855="PARCIAL"),OR(N1855="PENDENTE",N1855="PARCIAL")),1,0))</f>
        <v/>
      </c>
      <c r="W1855" s="8">
        <f>IF(AND(V1855=1,D1855&lt;&gt;""),IF(D1855&gt;=corte,(B1855="CRÍTICO")*1E9+(100000-D1855)*10000+10000-ROW(),""),"")</f>
        <v/>
      </c>
      <c r="X1855" s="8">
        <f>IF(AND(V1855=1,D1855=pas_data,E1855=pas_turno),10000-ROW(),"")</f>
        <v/>
      </c>
    </row>
    <row r="1856">
      <c r="A1856" s="3">
        <f>IF(D1856="","","TT-"&amp;TEXT(ROW()-1,"00000"))</f>
        <v/>
      </c>
      <c r="B1856" s="3">
        <f>IF(D1856="","",IF(V1856=0,"CONCLUÍDO",IF(D1856&lt;corte,"HISTÓRICO",IF(OR(AND(ISNUMBER(R1856),R1856&lt;TODAY()),AND(OR(N1856="PENDENTE",N1856="PARCIAL"),D1856&lt;TODAY()-1)),"CRÍTICO",IF(OR(AND(P1856&lt;&gt;"",S1856=""),AND(N1856="REALIZADO",M1856="PENDENTE"),AND(ISNUMBER(R1856),R1856=TODAY())),"ATENÇÃO",IF(N(K1856)=0,"PENDENTE","EM ANDAMENTO"))))))</f>
        <v/>
      </c>
      <c r="C1856" s="3">
        <f>IF(D1856="","",IF(V1856=0,"🟢 OK",IF(D1856&lt;corte,"⚪ HISTÓRICO (sem baixa)",IF(AND(ISNUMBER(R1856),R1856&lt;TODAY()),"🔴 PRAZO VENCIDO",IF(AND(OR(N1856="PENDENTE",N1856="PARCIAL"),D1856&lt;TODAY()-1),"🔴 EMBARQUE ATRASADO",IF(AND(N1856="REALIZADO",M1856="PENDENTE"),"🟡 EMBARCADO SEM FATURAR",IF(AND(P1856&lt;&gt;"",S1856="",OR(Q1856="",R1856="")),"🟡 PENDÊNCIA SEM RESPONSÁVEL/PRAZO",IF(AND(ISNUMBER(R1856),R1856=TODAY()),"🟡 VENCE HOJE",IF(AND(P1856&lt;&gt;"",S1856=""),"🟡 PENDÊNCIA ABERTA",IF(AND(N(J1856)&gt;0,N(K1856)&lt;J1856),"🟡 FALTA EXECUTAR",IF(OR(M1856="PENDENTE",M1856="PARCIAL"),"🟡 FATURAMENTO PENDENTE","🟡 EMBARQUE PENDENTE")))))))))))</f>
        <v/>
      </c>
      <c r="D1856" s="4" t="n"/>
      <c r="E1856" s="5" t="n"/>
      <c r="F1856" s="5" t="n"/>
      <c r="G1856" s="5" t="n"/>
      <c r="H1856" s="5" t="n"/>
      <c r="I1856" s="5" t="n"/>
      <c r="J1856" s="6" t="n"/>
      <c r="K1856" s="6" t="n"/>
      <c r="L1856" s="7">
        <f>IF(OR(D1856="",N(J1856)=0),"",MIN(1,N(K1856)/J1856))</f>
        <v/>
      </c>
      <c r="M1856" s="5" t="n"/>
      <c r="N1856" s="5" t="n"/>
      <c r="O1856" s="5" t="n"/>
      <c r="P1856" s="5" t="n"/>
      <c r="Q1856" s="5" t="n"/>
      <c r="R1856" s="4" t="n"/>
      <c r="S1856" s="4" t="n"/>
      <c r="T1856" s="5" t="n"/>
      <c r="U1856" s="8">
        <f>IF(AND(V1856=1,D1856&lt;&gt;""),IF(D1856&gt;=corte,TODAY()-D1856,""),"")</f>
        <v/>
      </c>
      <c r="V1856" s="8">
        <f>IF(D1856="",0,IF(OR(AND(P1856&lt;&gt;"",S1856=""),AND(N(J1856)&gt;0,N(K1856)&lt;J1856),OR(M1856="PENDENTE",M1856="PARCIAL"),OR(N1856="PENDENTE",N1856="PARCIAL")),1,0))</f>
        <v/>
      </c>
      <c r="W1856" s="8">
        <f>IF(AND(V1856=1,D1856&lt;&gt;""),IF(D1856&gt;=corte,(B1856="CRÍTICO")*1E9+(100000-D1856)*10000+10000-ROW(),""),"")</f>
        <v/>
      </c>
      <c r="X1856" s="8">
        <f>IF(AND(V1856=1,D1856=pas_data,E1856=pas_turno),10000-ROW(),"")</f>
        <v/>
      </c>
    </row>
    <row r="1857">
      <c r="A1857" s="3">
        <f>IF(D1857="","","TT-"&amp;TEXT(ROW()-1,"00000"))</f>
        <v/>
      </c>
      <c r="B1857" s="3">
        <f>IF(D1857="","",IF(V1857=0,"CONCLUÍDO",IF(D1857&lt;corte,"HISTÓRICO",IF(OR(AND(ISNUMBER(R1857),R1857&lt;TODAY()),AND(OR(N1857="PENDENTE",N1857="PARCIAL"),D1857&lt;TODAY()-1)),"CRÍTICO",IF(OR(AND(P1857&lt;&gt;"",S1857=""),AND(N1857="REALIZADO",M1857="PENDENTE"),AND(ISNUMBER(R1857),R1857=TODAY())),"ATENÇÃO",IF(N(K1857)=0,"PENDENTE","EM ANDAMENTO"))))))</f>
        <v/>
      </c>
      <c r="C1857" s="3">
        <f>IF(D1857="","",IF(V1857=0,"🟢 OK",IF(D1857&lt;corte,"⚪ HISTÓRICO (sem baixa)",IF(AND(ISNUMBER(R1857),R1857&lt;TODAY()),"🔴 PRAZO VENCIDO",IF(AND(OR(N1857="PENDENTE",N1857="PARCIAL"),D1857&lt;TODAY()-1),"🔴 EMBARQUE ATRASADO",IF(AND(N1857="REALIZADO",M1857="PENDENTE"),"🟡 EMBARCADO SEM FATURAR",IF(AND(P1857&lt;&gt;"",S1857="",OR(Q1857="",R1857="")),"🟡 PENDÊNCIA SEM RESPONSÁVEL/PRAZO",IF(AND(ISNUMBER(R1857),R1857=TODAY()),"🟡 VENCE HOJE",IF(AND(P1857&lt;&gt;"",S1857=""),"🟡 PENDÊNCIA ABERTA",IF(AND(N(J1857)&gt;0,N(K1857)&lt;J1857),"🟡 FALTA EXECUTAR",IF(OR(M1857="PENDENTE",M1857="PARCIAL"),"🟡 FATURAMENTO PENDENTE","🟡 EMBARQUE PENDENTE")))))))))))</f>
        <v/>
      </c>
      <c r="D1857" s="4" t="n"/>
      <c r="E1857" s="5" t="n"/>
      <c r="F1857" s="5" t="n"/>
      <c r="G1857" s="5" t="n"/>
      <c r="H1857" s="5" t="n"/>
      <c r="I1857" s="5" t="n"/>
      <c r="J1857" s="6" t="n"/>
      <c r="K1857" s="6" t="n"/>
      <c r="L1857" s="7">
        <f>IF(OR(D1857="",N(J1857)=0),"",MIN(1,N(K1857)/J1857))</f>
        <v/>
      </c>
      <c r="M1857" s="5" t="n"/>
      <c r="N1857" s="5" t="n"/>
      <c r="O1857" s="5" t="n"/>
      <c r="P1857" s="5" t="n"/>
      <c r="Q1857" s="5" t="n"/>
      <c r="R1857" s="4" t="n"/>
      <c r="S1857" s="4" t="n"/>
      <c r="T1857" s="5" t="n"/>
      <c r="U1857" s="8">
        <f>IF(AND(V1857=1,D1857&lt;&gt;""),IF(D1857&gt;=corte,TODAY()-D1857,""),"")</f>
        <v/>
      </c>
      <c r="V1857" s="8">
        <f>IF(D1857="",0,IF(OR(AND(P1857&lt;&gt;"",S1857=""),AND(N(J1857)&gt;0,N(K1857)&lt;J1857),OR(M1857="PENDENTE",M1857="PARCIAL"),OR(N1857="PENDENTE",N1857="PARCIAL")),1,0))</f>
        <v/>
      </c>
      <c r="W1857" s="8">
        <f>IF(AND(V1857=1,D1857&lt;&gt;""),IF(D1857&gt;=corte,(B1857="CRÍTICO")*1E9+(100000-D1857)*10000+10000-ROW(),""),"")</f>
        <v/>
      </c>
      <c r="X1857" s="8">
        <f>IF(AND(V1857=1,D1857=pas_data,E1857=pas_turno),10000-ROW(),"")</f>
        <v/>
      </c>
    </row>
    <row r="1858">
      <c r="A1858" s="3">
        <f>IF(D1858="","","TT-"&amp;TEXT(ROW()-1,"00000"))</f>
        <v/>
      </c>
      <c r="B1858" s="3">
        <f>IF(D1858="","",IF(V1858=0,"CONCLUÍDO",IF(D1858&lt;corte,"HISTÓRICO",IF(OR(AND(ISNUMBER(R1858),R1858&lt;TODAY()),AND(OR(N1858="PENDENTE",N1858="PARCIAL"),D1858&lt;TODAY()-1)),"CRÍTICO",IF(OR(AND(P1858&lt;&gt;"",S1858=""),AND(N1858="REALIZADO",M1858="PENDENTE"),AND(ISNUMBER(R1858),R1858=TODAY())),"ATENÇÃO",IF(N(K1858)=0,"PENDENTE","EM ANDAMENTO"))))))</f>
        <v/>
      </c>
      <c r="C1858" s="3">
        <f>IF(D1858="","",IF(V1858=0,"🟢 OK",IF(D1858&lt;corte,"⚪ HISTÓRICO (sem baixa)",IF(AND(ISNUMBER(R1858),R1858&lt;TODAY()),"🔴 PRAZO VENCIDO",IF(AND(OR(N1858="PENDENTE",N1858="PARCIAL"),D1858&lt;TODAY()-1),"🔴 EMBARQUE ATRASADO",IF(AND(N1858="REALIZADO",M1858="PENDENTE"),"🟡 EMBARCADO SEM FATURAR",IF(AND(P1858&lt;&gt;"",S1858="",OR(Q1858="",R1858="")),"🟡 PENDÊNCIA SEM RESPONSÁVEL/PRAZO",IF(AND(ISNUMBER(R1858),R1858=TODAY()),"🟡 VENCE HOJE",IF(AND(P1858&lt;&gt;"",S1858=""),"🟡 PENDÊNCIA ABERTA",IF(AND(N(J1858)&gt;0,N(K1858)&lt;J1858),"🟡 FALTA EXECUTAR",IF(OR(M1858="PENDENTE",M1858="PARCIAL"),"🟡 FATURAMENTO PENDENTE","🟡 EMBARQUE PENDENTE")))))))))))</f>
        <v/>
      </c>
      <c r="D1858" s="4" t="n"/>
      <c r="E1858" s="5" t="n"/>
      <c r="F1858" s="5" t="n"/>
      <c r="G1858" s="5" t="n"/>
      <c r="H1858" s="5" t="n"/>
      <c r="I1858" s="5" t="n"/>
      <c r="J1858" s="6" t="n"/>
      <c r="K1858" s="6" t="n"/>
      <c r="L1858" s="7">
        <f>IF(OR(D1858="",N(J1858)=0),"",MIN(1,N(K1858)/J1858))</f>
        <v/>
      </c>
      <c r="M1858" s="5" t="n"/>
      <c r="N1858" s="5" t="n"/>
      <c r="O1858" s="5" t="n"/>
      <c r="P1858" s="5" t="n"/>
      <c r="Q1858" s="5" t="n"/>
      <c r="R1858" s="4" t="n"/>
      <c r="S1858" s="4" t="n"/>
      <c r="T1858" s="5" t="n"/>
      <c r="U1858" s="8">
        <f>IF(AND(V1858=1,D1858&lt;&gt;""),IF(D1858&gt;=corte,TODAY()-D1858,""),"")</f>
        <v/>
      </c>
      <c r="V1858" s="8">
        <f>IF(D1858="",0,IF(OR(AND(P1858&lt;&gt;"",S1858=""),AND(N(J1858)&gt;0,N(K1858)&lt;J1858),OR(M1858="PENDENTE",M1858="PARCIAL"),OR(N1858="PENDENTE",N1858="PARCIAL")),1,0))</f>
        <v/>
      </c>
      <c r="W1858" s="8">
        <f>IF(AND(V1858=1,D1858&lt;&gt;""),IF(D1858&gt;=corte,(B1858="CRÍTICO")*1E9+(100000-D1858)*10000+10000-ROW(),""),"")</f>
        <v/>
      </c>
      <c r="X1858" s="8">
        <f>IF(AND(V1858=1,D1858=pas_data,E1858=pas_turno),10000-ROW(),"")</f>
        <v/>
      </c>
    </row>
    <row r="1859">
      <c r="A1859" s="3">
        <f>IF(D1859="","","TT-"&amp;TEXT(ROW()-1,"00000"))</f>
        <v/>
      </c>
      <c r="B1859" s="3">
        <f>IF(D1859="","",IF(V1859=0,"CONCLUÍDO",IF(D1859&lt;corte,"HISTÓRICO",IF(OR(AND(ISNUMBER(R1859),R1859&lt;TODAY()),AND(OR(N1859="PENDENTE",N1859="PARCIAL"),D1859&lt;TODAY()-1)),"CRÍTICO",IF(OR(AND(P1859&lt;&gt;"",S1859=""),AND(N1859="REALIZADO",M1859="PENDENTE"),AND(ISNUMBER(R1859),R1859=TODAY())),"ATENÇÃO",IF(N(K1859)=0,"PENDENTE","EM ANDAMENTO"))))))</f>
        <v/>
      </c>
      <c r="C1859" s="3">
        <f>IF(D1859="","",IF(V1859=0,"🟢 OK",IF(D1859&lt;corte,"⚪ HISTÓRICO (sem baixa)",IF(AND(ISNUMBER(R1859),R1859&lt;TODAY()),"🔴 PRAZO VENCIDO",IF(AND(OR(N1859="PENDENTE",N1859="PARCIAL"),D1859&lt;TODAY()-1),"🔴 EMBARQUE ATRASADO",IF(AND(N1859="REALIZADO",M1859="PENDENTE"),"🟡 EMBARCADO SEM FATURAR",IF(AND(P1859&lt;&gt;"",S1859="",OR(Q1859="",R1859="")),"🟡 PENDÊNCIA SEM RESPONSÁVEL/PRAZO",IF(AND(ISNUMBER(R1859),R1859=TODAY()),"🟡 VENCE HOJE",IF(AND(P1859&lt;&gt;"",S1859=""),"🟡 PENDÊNCIA ABERTA",IF(AND(N(J1859)&gt;0,N(K1859)&lt;J1859),"🟡 FALTA EXECUTAR",IF(OR(M1859="PENDENTE",M1859="PARCIAL"),"🟡 FATURAMENTO PENDENTE","🟡 EMBARQUE PENDENTE")))))))))))</f>
        <v/>
      </c>
      <c r="D1859" s="4" t="n"/>
      <c r="E1859" s="5" t="n"/>
      <c r="F1859" s="5" t="n"/>
      <c r="G1859" s="5" t="n"/>
      <c r="H1859" s="5" t="n"/>
      <c r="I1859" s="5" t="n"/>
      <c r="J1859" s="6" t="n"/>
      <c r="K1859" s="6" t="n"/>
      <c r="L1859" s="7">
        <f>IF(OR(D1859="",N(J1859)=0),"",MIN(1,N(K1859)/J1859))</f>
        <v/>
      </c>
      <c r="M1859" s="5" t="n"/>
      <c r="N1859" s="5" t="n"/>
      <c r="O1859" s="5" t="n"/>
      <c r="P1859" s="5" t="n"/>
      <c r="Q1859" s="5" t="n"/>
      <c r="R1859" s="4" t="n"/>
      <c r="S1859" s="4" t="n"/>
      <c r="T1859" s="5" t="n"/>
      <c r="U1859" s="8">
        <f>IF(AND(V1859=1,D1859&lt;&gt;""),IF(D1859&gt;=corte,TODAY()-D1859,""),"")</f>
        <v/>
      </c>
      <c r="V1859" s="8">
        <f>IF(D1859="",0,IF(OR(AND(P1859&lt;&gt;"",S1859=""),AND(N(J1859)&gt;0,N(K1859)&lt;J1859),OR(M1859="PENDENTE",M1859="PARCIAL"),OR(N1859="PENDENTE",N1859="PARCIAL")),1,0))</f>
        <v/>
      </c>
      <c r="W1859" s="8">
        <f>IF(AND(V1859=1,D1859&lt;&gt;""),IF(D1859&gt;=corte,(B1859="CRÍTICO")*1E9+(100000-D1859)*10000+10000-ROW(),""),"")</f>
        <v/>
      </c>
      <c r="X1859" s="8">
        <f>IF(AND(V1859=1,D1859=pas_data,E1859=pas_turno),10000-ROW(),"")</f>
        <v/>
      </c>
    </row>
    <row r="1860">
      <c r="A1860" s="3">
        <f>IF(D1860="","","TT-"&amp;TEXT(ROW()-1,"00000"))</f>
        <v/>
      </c>
      <c r="B1860" s="3">
        <f>IF(D1860="","",IF(V1860=0,"CONCLUÍDO",IF(D1860&lt;corte,"HISTÓRICO",IF(OR(AND(ISNUMBER(R1860),R1860&lt;TODAY()),AND(OR(N1860="PENDENTE",N1860="PARCIAL"),D1860&lt;TODAY()-1)),"CRÍTICO",IF(OR(AND(P1860&lt;&gt;"",S1860=""),AND(N1860="REALIZADO",M1860="PENDENTE"),AND(ISNUMBER(R1860),R1860=TODAY())),"ATENÇÃO",IF(N(K1860)=0,"PENDENTE","EM ANDAMENTO"))))))</f>
        <v/>
      </c>
      <c r="C1860" s="3">
        <f>IF(D1860="","",IF(V1860=0,"🟢 OK",IF(D1860&lt;corte,"⚪ HISTÓRICO (sem baixa)",IF(AND(ISNUMBER(R1860),R1860&lt;TODAY()),"🔴 PRAZO VENCIDO",IF(AND(OR(N1860="PENDENTE",N1860="PARCIAL"),D1860&lt;TODAY()-1),"🔴 EMBARQUE ATRASADO",IF(AND(N1860="REALIZADO",M1860="PENDENTE"),"🟡 EMBARCADO SEM FATURAR",IF(AND(P1860&lt;&gt;"",S1860="",OR(Q1860="",R1860="")),"🟡 PENDÊNCIA SEM RESPONSÁVEL/PRAZO",IF(AND(ISNUMBER(R1860),R1860=TODAY()),"🟡 VENCE HOJE",IF(AND(P1860&lt;&gt;"",S1860=""),"🟡 PENDÊNCIA ABERTA",IF(AND(N(J1860)&gt;0,N(K1860)&lt;J1860),"🟡 FALTA EXECUTAR",IF(OR(M1860="PENDENTE",M1860="PARCIAL"),"🟡 FATURAMENTO PENDENTE","🟡 EMBARQUE PENDENTE")))))))))))</f>
        <v/>
      </c>
      <c r="D1860" s="4" t="n"/>
      <c r="E1860" s="5" t="n"/>
      <c r="F1860" s="5" t="n"/>
      <c r="G1860" s="5" t="n"/>
      <c r="H1860" s="5" t="n"/>
      <c r="I1860" s="5" t="n"/>
      <c r="J1860" s="6" t="n"/>
      <c r="K1860" s="6" t="n"/>
      <c r="L1860" s="7">
        <f>IF(OR(D1860="",N(J1860)=0),"",MIN(1,N(K1860)/J1860))</f>
        <v/>
      </c>
      <c r="M1860" s="5" t="n"/>
      <c r="N1860" s="5" t="n"/>
      <c r="O1860" s="5" t="n"/>
      <c r="P1860" s="5" t="n"/>
      <c r="Q1860" s="5" t="n"/>
      <c r="R1860" s="4" t="n"/>
      <c r="S1860" s="4" t="n"/>
      <c r="T1860" s="5" t="n"/>
      <c r="U1860" s="8">
        <f>IF(AND(V1860=1,D1860&lt;&gt;""),IF(D1860&gt;=corte,TODAY()-D1860,""),"")</f>
        <v/>
      </c>
      <c r="V1860" s="8">
        <f>IF(D1860="",0,IF(OR(AND(P1860&lt;&gt;"",S1860=""),AND(N(J1860)&gt;0,N(K1860)&lt;J1860),OR(M1860="PENDENTE",M1860="PARCIAL"),OR(N1860="PENDENTE",N1860="PARCIAL")),1,0))</f>
        <v/>
      </c>
      <c r="W1860" s="8">
        <f>IF(AND(V1860=1,D1860&lt;&gt;""),IF(D1860&gt;=corte,(B1860="CRÍTICO")*1E9+(100000-D1860)*10000+10000-ROW(),""),"")</f>
        <v/>
      </c>
      <c r="X1860" s="8">
        <f>IF(AND(V1860=1,D1860=pas_data,E1860=pas_turno),10000-ROW(),"")</f>
        <v/>
      </c>
    </row>
    <row r="1861">
      <c r="A1861" s="3">
        <f>IF(D1861="","","TT-"&amp;TEXT(ROW()-1,"00000"))</f>
        <v/>
      </c>
      <c r="B1861" s="3">
        <f>IF(D1861="","",IF(V1861=0,"CONCLUÍDO",IF(D1861&lt;corte,"HISTÓRICO",IF(OR(AND(ISNUMBER(R1861),R1861&lt;TODAY()),AND(OR(N1861="PENDENTE",N1861="PARCIAL"),D1861&lt;TODAY()-1)),"CRÍTICO",IF(OR(AND(P1861&lt;&gt;"",S1861=""),AND(N1861="REALIZADO",M1861="PENDENTE"),AND(ISNUMBER(R1861),R1861=TODAY())),"ATENÇÃO",IF(N(K1861)=0,"PENDENTE","EM ANDAMENTO"))))))</f>
        <v/>
      </c>
      <c r="C1861" s="3">
        <f>IF(D1861="","",IF(V1861=0,"🟢 OK",IF(D1861&lt;corte,"⚪ HISTÓRICO (sem baixa)",IF(AND(ISNUMBER(R1861),R1861&lt;TODAY()),"🔴 PRAZO VENCIDO",IF(AND(OR(N1861="PENDENTE",N1861="PARCIAL"),D1861&lt;TODAY()-1),"🔴 EMBARQUE ATRASADO",IF(AND(N1861="REALIZADO",M1861="PENDENTE"),"🟡 EMBARCADO SEM FATURAR",IF(AND(P1861&lt;&gt;"",S1861="",OR(Q1861="",R1861="")),"🟡 PENDÊNCIA SEM RESPONSÁVEL/PRAZO",IF(AND(ISNUMBER(R1861),R1861=TODAY()),"🟡 VENCE HOJE",IF(AND(P1861&lt;&gt;"",S1861=""),"🟡 PENDÊNCIA ABERTA",IF(AND(N(J1861)&gt;0,N(K1861)&lt;J1861),"🟡 FALTA EXECUTAR",IF(OR(M1861="PENDENTE",M1861="PARCIAL"),"🟡 FATURAMENTO PENDENTE","🟡 EMBARQUE PENDENTE")))))))))))</f>
        <v/>
      </c>
      <c r="D1861" s="4" t="n"/>
      <c r="E1861" s="5" t="n"/>
      <c r="F1861" s="5" t="n"/>
      <c r="G1861" s="5" t="n"/>
      <c r="H1861" s="5" t="n"/>
      <c r="I1861" s="5" t="n"/>
      <c r="J1861" s="6" t="n"/>
      <c r="K1861" s="6" t="n"/>
      <c r="L1861" s="7">
        <f>IF(OR(D1861="",N(J1861)=0),"",MIN(1,N(K1861)/J1861))</f>
        <v/>
      </c>
      <c r="M1861" s="5" t="n"/>
      <c r="N1861" s="5" t="n"/>
      <c r="O1861" s="5" t="n"/>
      <c r="P1861" s="5" t="n"/>
      <c r="Q1861" s="5" t="n"/>
      <c r="R1861" s="4" t="n"/>
      <c r="S1861" s="4" t="n"/>
      <c r="T1861" s="5" t="n"/>
      <c r="U1861" s="8">
        <f>IF(AND(V1861=1,D1861&lt;&gt;""),IF(D1861&gt;=corte,TODAY()-D1861,""),"")</f>
        <v/>
      </c>
      <c r="V1861" s="8">
        <f>IF(D1861="",0,IF(OR(AND(P1861&lt;&gt;"",S1861=""),AND(N(J1861)&gt;0,N(K1861)&lt;J1861),OR(M1861="PENDENTE",M1861="PARCIAL"),OR(N1861="PENDENTE",N1861="PARCIAL")),1,0))</f>
        <v/>
      </c>
      <c r="W1861" s="8">
        <f>IF(AND(V1861=1,D1861&lt;&gt;""),IF(D1861&gt;=corte,(B1861="CRÍTICO")*1E9+(100000-D1861)*10000+10000-ROW(),""),"")</f>
        <v/>
      </c>
      <c r="X1861" s="8">
        <f>IF(AND(V1861=1,D1861=pas_data,E1861=pas_turno),10000-ROW(),"")</f>
        <v/>
      </c>
    </row>
    <row r="1862">
      <c r="A1862" s="3">
        <f>IF(D1862="","","TT-"&amp;TEXT(ROW()-1,"00000"))</f>
        <v/>
      </c>
      <c r="B1862" s="3">
        <f>IF(D1862="","",IF(V1862=0,"CONCLUÍDO",IF(D1862&lt;corte,"HISTÓRICO",IF(OR(AND(ISNUMBER(R1862),R1862&lt;TODAY()),AND(OR(N1862="PENDENTE",N1862="PARCIAL"),D1862&lt;TODAY()-1)),"CRÍTICO",IF(OR(AND(P1862&lt;&gt;"",S1862=""),AND(N1862="REALIZADO",M1862="PENDENTE"),AND(ISNUMBER(R1862),R1862=TODAY())),"ATENÇÃO",IF(N(K1862)=0,"PENDENTE","EM ANDAMENTO"))))))</f>
        <v/>
      </c>
      <c r="C1862" s="3">
        <f>IF(D1862="","",IF(V1862=0,"🟢 OK",IF(D1862&lt;corte,"⚪ HISTÓRICO (sem baixa)",IF(AND(ISNUMBER(R1862),R1862&lt;TODAY()),"🔴 PRAZO VENCIDO",IF(AND(OR(N1862="PENDENTE",N1862="PARCIAL"),D1862&lt;TODAY()-1),"🔴 EMBARQUE ATRASADO",IF(AND(N1862="REALIZADO",M1862="PENDENTE"),"🟡 EMBARCADO SEM FATURAR",IF(AND(P1862&lt;&gt;"",S1862="",OR(Q1862="",R1862="")),"🟡 PENDÊNCIA SEM RESPONSÁVEL/PRAZO",IF(AND(ISNUMBER(R1862),R1862=TODAY()),"🟡 VENCE HOJE",IF(AND(P1862&lt;&gt;"",S1862=""),"🟡 PENDÊNCIA ABERTA",IF(AND(N(J1862)&gt;0,N(K1862)&lt;J1862),"🟡 FALTA EXECUTAR",IF(OR(M1862="PENDENTE",M1862="PARCIAL"),"🟡 FATURAMENTO PENDENTE","🟡 EMBARQUE PENDENTE")))))))))))</f>
        <v/>
      </c>
      <c r="D1862" s="4" t="n"/>
      <c r="E1862" s="5" t="n"/>
      <c r="F1862" s="5" t="n"/>
      <c r="G1862" s="5" t="n"/>
      <c r="H1862" s="5" t="n"/>
      <c r="I1862" s="5" t="n"/>
      <c r="J1862" s="6" t="n"/>
      <c r="K1862" s="6" t="n"/>
      <c r="L1862" s="7">
        <f>IF(OR(D1862="",N(J1862)=0),"",MIN(1,N(K1862)/J1862))</f>
        <v/>
      </c>
      <c r="M1862" s="5" t="n"/>
      <c r="N1862" s="5" t="n"/>
      <c r="O1862" s="5" t="n"/>
      <c r="P1862" s="5" t="n"/>
      <c r="Q1862" s="5" t="n"/>
      <c r="R1862" s="4" t="n"/>
      <c r="S1862" s="4" t="n"/>
      <c r="T1862" s="5" t="n"/>
      <c r="U1862" s="8">
        <f>IF(AND(V1862=1,D1862&lt;&gt;""),IF(D1862&gt;=corte,TODAY()-D1862,""),"")</f>
        <v/>
      </c>
      <c r="V1862" s="8">
        <f>IF(D1862="",0,IF(OR(AND(P1862&lt;&gt;"",S1862=""),AND(N(J1862)&gt;0,N(K1862)&lt;J1862),OR(M1862="PENDENTE",M1862="PARCIAL"),OR(N1862="PENDENTE",N1862="PARCIAL")),1,0))</f>
        <v/>
      </c>
      <c r="W1862" s="8">
        <f>IF(AND(V1862=1,D1862&lt;&gt;""),IF(D1862&gt;=corte,(B1862="CRÍTICO")*1E9+(100000-D1862)*10000+10000-ROW(),""),"")</f>
        <v/>
      </c>
      <c r="X1862" s="8">
        <f>IF(AND(V1862=1,D1862=pas_data,E1862=pas_turno),10000-ROW(),"")</f>
        <v/>
      </c>
    </row>
    <row r="1863">
      <c r="A1863" s="3">
        <f>IF(D1863="","","TT-"&amp;TEXT(ROW()-1,"00000"))</f>
        <v/>
      </c>
      <c r="B1863" s="3">
        <f>IF(D1863="","",IF(V1863=0,"CONCLUÍDO",IF(D1863&lt;corte,"HISTÓRICO",IF(OR(AND(ISNUMBER(R1863),R1863&lt;TODAY()),AND(OR(N1863="PENDENTE",N1863="PARCIAL"),D1863&lt;TODAY()-1)),"CRÍTICO",IF(OR(AND(P1863&lt;&gt;"",S1863=""),AND(N1863="REALIZADO",M1863="PENDENTE"),AND(ISNUMBER(R1863),R1863=TODAY())),"ATENÇÃO",IF(N(K1863)=0,"PENDENTE","EM ANDAMENTO"))))))</f>
        <v/>
      </c>
      <c r="C1863" s="3">
        <f>IF(D1863="","",IF(V1863=0,"🟢 OK",IF(D1863&lt;corte,"⚪ HISTÓRICO (sem baixa)",IF(AND(ISNUMBER(R1863),R1863&lt;TODAY()),"🔴 PRAZO VENCIDO",IF(AND(OR(N1863="PENDENTE",N1863="PARCIAL"),D1863&lt;TODAY()-1),"🔴 EMBARQUE ATRASADO",IF(AND(N1863="REALIZADO",M1863="PENDENTE"),"🟡 EMBARCADO SEM FATURAR",IF(AND(P1863&lt;&gt;"",S1863="",OR(Q1863="",R1863="")),"🟡 PENDÊNCIA SEM RESPONSÁVEL/PRAZO",IF(AND(ISNUMBER(R1863),R1863=TODAY()),"🟡 VENCE HOJE",IF(AND(P1863&lt;&gt;"",S1863=""),"🟡 PENDÊNCIA ABERTA",IF(AND(N(J1863)&gt;0,N(K1863)&lt;J1863),"🟡 FALTA EXECUTAR",IF(OR(M1863="PENDENTE",M1863="PARCIAL"),"🟡 FATURAMENTO PENDENTE","🟡 EMBARQUE PENDENTE")))))))))))</f>
        <v/>
      </c>
      <c r="D1863" s="4" t="n"/>
      <c r="E1863" s="5" t="n"/>
      <c r="F1863" s="5" t="n"/>
      <c r="G1863" s="5" t="n"/>
      <c r="H1863" s="5" t="n"/>
      <c r="I1863" s="5" t="n"/>
      <c r="J1863" s="6" t="n"/>
      <c r="K1863" s="6" t="n"/>
      <c r="L1863" s="7">
        <f>IF(OR(D1863="",N(J1863)=0),"",MIN(1,N(K1863)/J1863))</f>
        <v/>
      </c>
      <c r="M1863" s="5" t="n"/>
      <c r="N1863" s="5" t="n"/>
      <c r="O1863" s="5" t="n"/>
      <c r="P1863" s="5" t="n"/>
      <c r="Q1863" s="5" t="n"/>
      <c r="R1863" s="4" t="n"/>
      <c r="S1863" s="4" t="n"/>
      <c r="T1863" s="5" t="n"/>
      <c r="U1863" s="8">
        <f>IF(AND(V1863=1,D1863&lt;&gt;""),IF(D1863&gt;=corte,TODAY()-D1863,""),"")</f>
        <v/>
      </c>
      <c r="V1863" s="8">
        <f>IF(D1863="",0,IF(OR(AND(P1863&lt;&gt;"",S1863=""),AND(N(J1863)&gt;0,N(K1863)&lt;J1863),OR(M1863="PENDENTE",M1863="PARCIAL"),OR(N1863="PENDENTE",N1863="PARCIAL")),1,0))</f>
        <v/>
      </c>
      <c r="W1863" s="8">
        <f>IF(AND(V1863=1,D1863&lt;&gt;""),IF(D1863&gt;=corte,(B1863="CRÍTICO")*1E9+(100000-D1863)*10000+10000-ROW(),""),"")</f>
        <v/>
      </c>
      <c r="X1863" s="8">
        <f>IF(AND(V1863=1,D1863=pas_data,E1863=pas_turno),10000-ROW(),"")</f>
        <v/>
      </c>
    </row>
    <row r="1864">
      <c r="A1864" s="3">
        <f>IF(D1864="","","TT-"&amp;TEXT(ROW()-1,"00000"))</f>
        <v/>
      </c>
      <c r="B1864" s="3">
        <f>IF(D1864="","",IF(V1864=0,"CONCLUÍDO",IF(D1864&lt;corte,"HISTÓRICO",IF(OR(AND(ISNUMBER(R1864),R1864&lt;TODAY()),AND(OR(N1864="PENDENTE",N1864="PARCIAL"),D1864&lt;TODAY()-1)),"CRÍTICO",IF(OR(AND(P1864&lt;&gt;"",S1864=""),AND(N1864="REALIZADO",M1864="PENDENTE"),AND(ISNUMBER(R1864),R1864=TODAY())),"ATENÇÃO",IF(N(K1864)=0,"PENDENTE","EM ANDAMENTO"))))))</f>
        <v/>
      </c>
      <c r="C1864" s="3">
        <f>IF(D1864="","",IF(V1864=0,"🟢 OK",IF(D1864&lt;corte,"⚪ HISTÓRICO (sem baixa)",IF(AND(ISNUMBER(R1864),R1864&lt;TODAY()),"🔴 PRAZO VENCIDO",IF(AND(OR(N1864="PENDENTE",N1864="PARCIAL"),D1864&lt;TODAY()-1),"🔴 EMBARQUE ATRASADO",IF(AND(N1864="REALIZADO",M1864="PENDENTE"),"🟡 EMBARCADO SEM FATURAR",IF(AND(P1864&lt;&gt;"",S1864="",OR(Q1864="",R1864="")),"🟡 PENDÊNCIA SEM RESPONSÁVEL/PRAZO",IF(AND(ISNUMBER(R1864),R1864=TODAY()),"🟡 VENCE HOJE",IF(AND(P1864&lt;&gt;"",S1864=""),"🟡 PENDÊNCIA ABERTA",IF(AND(N(J1864)&gt;0,N(K1864)&lt;J1864),"🟡 FALTA EXECUTAR",IF(OR(M1864="PENDENTE",M1864="PARCIAL"),"🟡 FATURAMENTO PENDENTE","🟡 EMBARQUE PENDENTE")))))))))))</f>
        <v/>
      </c>
      <c r="D1864" s="4" t="n"/>
      <c r="E1864" s="5" t="n"/>
      <c r="F1864" s="5" t="n"/>
      <c r="G1864" s="5" t="n"/>
      <c r="H1864" s="5" t="n"/>
      <c r="I1864" s="5" t="n"/>
      <c r="J1864" s="6" t="n"/>
      <c r="K1864" s="6" t="n"/>
      <c r="L1864" s="7">
        <f>IF(OR(D1864="",N(J1864)=0),"",MIN(1,N(K1864)/J1864))</f>
        <v/>
      </c>
      <c r="M1864" s="5" t="n"/>
      <c r="N1864" s="5" t="n"/>
      <c r="O1864" s="5" t="n"/>
      <c r="P1864" s="5" t="n"/>
      <c r="Q1864" s="5" t="n"/>
      <c r="R1864" s="4" t="n"/>
      <c r="S1864" s="4" t="n"/>
      <c r="T1864" s="5" t="n"/>
      <c r="U1864" s="8">
        <f>IF(AND(V1864=1,D1864&lt;&gt;""),IF(D1864&gt;=corte,TODAY()-D1864,""),"")</f>
        <v/>
      </c>
      <c r="V1864" s="8">
        <f>IF(D1864="",0,IF(OR(AND(P1864&lt;&gt;"",S1864=""),AND(N(J1864)&gt;0,N(K1864)&lt;J1864),OR(M1864="PENDENTE",M1864="PARCIAL"),OR(N1864="PENDENTE",N1864="PARCIAL")),1,0))</f>
        <v/>
      </c>
      <c r="W1864" s="8">
        <f>IF(AND(V1864=1,D1864&lt;&gt;""),IF(D1864&gt;=corte,(B1864="CRÍTICO")*1E9+(100000-D1864)*10000+10000-ROW(),""),"")</f>
        <v/>
      </c>
      <c r="X1864" s="8">
        <f>IF(AND(V1864=1,D1864=pas_data,E1864=pas_turno),10000-ROW(),"")</f>
        <v/>
      </c>
    </row>
    <row r="1865">
      <c r="A1865" s="3">
        <f>IF(D1865="","","TT-"&amp;TEXT(ROW()-1,"00000"))</f>
        <v/>
      </c>
      <c r="B1865" s="3">
        <f>IF(D1865="","",IF(V1865=0,"CONCLUÍDO",IF(D1865&lt;corte,"HISTÓRICO",IF(OR(AND(ISNUMBER(R1865),R1865&lt;TODAY()),AND(OR(N1865="PENDENTE",N1865="PARCIAL"),D1865&lt;TODAY()-1)),"CRÍTICO",IF(OR(AND(P1865&lt;&gt;"",S1865=""),AND(N1865="REALIZADO",M1865="PENDENTE"),AND(ISNUMBER(R1865),R1865=TODAY())),"ATENÇÃO",IF(N(K1865)=0,"PENDENTE","EM ANDAMENTO"))))))</f>
        <v/>
      </c>
      <c r="C1865" s="3">
        <f>IF(D1865="","",IF(V1865=0,"🟢 OK",IF(D1865&lt;corte,"⚪ HISTÓRICO (sem baixa)",IF(AND(ISNUMBER(R1865),R1865&lt;TODAY()),"🔴 PRAZO VENCIDO",IF(AND(OR(N1865="PENDENTE",N1865="PARCIAL"),D1865&lt;TODAY()-1),"🔴 EMBARQUE ATRASADO",IF(AND(N1865="REALIZADO",M1865="PENDENTE"),"🟡 EMBARCADO SEM FATURAR",IF(AND(P1865&lt;&gt;"",S1865="",OR(Q1865="",R1865="")),"🟡 PENDÊNCIA SEM RESPONSÁVEL/PRAZO",IF(AND(ISNUMBER(R1865),R1865=TODAY()),"🟡 VENCE HOJE",IF(AND(P1865&lt;&gt;"",S1865=""),"🟡 PENDÊNCIA ABERTA",IF(AND(N(J1865)&gt;0,N(K1865)&lt;J1865),"🟡 FALTA EXECUTAR",IF(OR(M1865="PENDENTE",M1865="PARCIAL"),"🟡 FATURAMENTO PENDENTE","🟡 EMBARQUE PENDENTE")))))))))))</f>
        <v/>
      </c>
      <c r="D1865" s="4" t="n"/>
      <c r="E1865" s="5" t="n"/>
      <c r="F1865" s="5" t="n"/>
      <c r="G1865" s="5" t="n"/>
      <c r="H1865" s="5" t="n"/>
      <c r="I1865" s="5" t="n"/>
      <c r="J1865" s="6" t="n"/>
      <c r="K1865" s="6" t="n"/>
      <c r="L1865" s="7">
        <f>IF(OR(D1865="",N(J1865)=0),"",MIN(1,N(K1865)/J1865))</f>
        <v/>
      </c>
      <c r="M1865" s="5" t="n"/>
      <c r="N1865" s="5" t="n"/>
      <c r="O1865" s="5" t="n"/>
      <c r="P1865" s="5" t="n"/>
      <c r="Q1865" s="5" t="n"/>
      <c r="R1865" s="4" t="n"/>
      <c r="S1865" s="4" t="n"/>
      <c r="T1865" s="5" t="n"/>
      <c r="U1865" s="8">
        <f>IF(AND(V1865=1,D1865&lt;&gt;""),IF(D1865&gt;=corte,TODAY()-D1865,""),"")</f>
        <v/>
      </c>
      <c r="V1865" s="8">
        <f>IF(D1865="",0,IF(OR(AND(P1865&lt;&gt;"",S1865=""),AND(N(J1865)&gt;0,N(K1865)&lt;J1865),OR(M1865="PENDENTE",M1865="PARCIAL"),OR(N1865="PENDENTE",N1865="PARCIAL")),1,0))</f>
        <v/>
      </c>
      <c r="W1865" s="8">
        <f>IF(AND(V1865=1,D1865&lt;&gt;""),IF(D1865&gt;=corte,(B1865="CRÍTICO")*1E9+(100000-D1865)*10000+10000-ROW(),""),"")</f>
        <v/>
      </c>
      <c r="X1865" s="8">
        <f>IF(AND(V1865=1,D1865=pas_data,E1865=pas_turno),10000-ROW(),"")</f>
        <v/>
      </c>
    </row>
    <row r="1866">
      <c r="A1866" s="3">
        <f>IF(D1866="","","TT-"&amp;TEXT(ROW()-1,"00000"))</f>
        <v/>
      </c>
      <c r="B1866" s="3">
        <f>IF(D1866="","",IF(V1866=0,"CONCLUÍDO",IF(D1866&lt;corte,"HISTÓRICO",IF(OR(AND(ISNUMBER(R1866),R1866&lt;TODAY()),AND(OR(N1866="PENDENTE",N1866="PARCIAL"),D1866&lt;TODAY()-1)),"CRÍTICO",IF(OR(AND(P1866&lt;&gt;"",S1866=""),AND(N1866="REALIZADO",M1866="PENDENTE"),AND(ISNUMBER(R1866),R1866=TODAY())),"ATENÇÃO",IF(N(K1866)=0,"PENDENTE","EM ANDAMENTO"))))))</f>
        <v/>
      </c>
      <c r="C1866" s="3">
        <f>IF(D1866="","",IF(V1866=0,"🟢 OK",IF(D1866&lt;corte,"⚪ HISTÓRICO (sem baixa)",IF(AND(ISNUMBER(R1866),R1866&lt;TODAY()),"🔴 PRAZO VENCIDO",IF(AND(OR(N1866="PENDENTE",N1866="PARCIAL"),D1866&lt;TODAY()-1),"🔴 EMBARQUE ATRASADO",IF(AND(N1866="REALIZADO",M1866="PENDENTE"),"🟡 EMBARCADO SEM FATURAR",IF(AND(P1866&lt;&gt;"",S1866="",OR(Q1866="",R1866="")),"🟡 PENDÊNCIA SEM RESPONSÁVEL/PRAZO",IF(AND(ISNUMBER(R1866),R1866=TODAY()),"🟡 VENCE HOJE",IF(AND(P1866&lt;&gt;"",S1866=""),"🟡 PENDÊNCIA ABERTA",IF(AND(N(J1866)&gt;0,N(K1866)&lt;J1866),"🟡 FALTA EXECUTAR",IF(OR(M1866="PENDENTE",M1866="PARCIAL"),"🟡 FATURAMENTO PENDENTE","🟡 EMBARQUE PENDENTE")))))))))))</f>
        <v/>
      </c>
      <c r="D1866" s="4" t="n"/>
      <c r="E1866" s="5" t="n"/>
      <c r="F1866" s="5" t="n"/>
      <c r="G1866" s="5" t="n"/>
      <c r="H1866" s="5" t="n"/>
      <c r="I1866" s="5" t="n"/>
      <c r="J1866" s="6" t="n"/>
      <c r="K1866" s="6" t="n"/>
      <c r="L1866" s="7">
        <f>IF(OR(D1866="",N(J1866)=0),"",MIN(1,N(K1866)/J1866))</f>
        <v/>
      </c>
      <c r="M1866" s="5" t="n"/>
      <c r="N1866" s="5" t="n"/>
      <c r="O1866" s="5" t="n"/>
      <c r="P1866" s="5" t="n"/>
      <c r="Q1866" s="5" t="n"/>
      <c r="R1866" s="4" t="n"/>
      <c r="S1866" s="4" t="n"/>
      <c r="T1866" s="5" t="n"/>
      <c r="U1866" s="8">
        <f>IF(AND(V1866=1,D1866&lt;&gt;""),IF(D1866&gt;=corte,TODAY()-D1866,""),"")</f>
        <v/>
      </c>
      <c r="V1866" s="8">
        <f>IF(D1866="",0,IF(OR(AND(P1866&lt;&gt;"",S1866=""),AND(N(J1866)&gt;0,N(K1866)&lt;J1866),OR(M1866="PENDENTE",M1866="PARCIAL"),OR(N1866="PENDENTE",N1866="PARCIAL")),1,0))</f>
        <v/>
      </c>
      <c r="W1866" s="8">
        <f>IF(AND(V1866=1,D1866&lt;&gt;""),IF(D1866&gt;=corte,(B1866="CRÍTICO")*1E9+(100000-D1866)*10000+10000-ROW(),""),"")</f>
        <v/>
      </c>
      <c r="X1866" s="8">
        <f>IF(AND(V1866=1,D1866=pas_data,E1866=pas_turno),10000-ROW(),"")</f>
        <v/>
      </c>
    </row>
    <row r="1867">
      <c r="A1867" s="3">
        <f>IF(D1867="","","TT-"&amp;TEXT(ROW()-1,"00000"))</f>
        <v/>
      </c>
      <c r="B1867" s="3">
        <f>IF(D1867="","",IF(V1867=0,"CONCLUÍDO",IF(D1867&lt;corte,"HISTÓRICO",IF(OR(AND(ISNUMBER(R1867),R1867&lt;TODAY()),AND(OR(N1867="PENDENTE",N1867="PARCIAL"),D1867&lt;TODAY()-1)),"CRÍTICO",IF(OR(AND(P1867&lt;&gt;"",S1867=""),AND(N1867="REALIZADO",M1867="PENDENTE"),AND(ISNUMBER(R1867),R1867=TODAY())),"ATENÇÃO",IF(N(K1867)=0,"PENDENTE","EM ANDAMENTO"))))))</f>
        <v/>
      </c>
      <c r="C1867" s="3">
        <f>IF(D1867="","",IF(V1867=0,"🟢 OK",IF(D1867&lt;corte,"⚪ HISTÓRICO (sem baixa)",IF(AND(ISNUMBER(R1867),R1867&lt;TODAY()),"🔴 PRAZO VENCIDO",IF(AND(OR(N1867="PENDENTE",N1867="PARCIAL"),D1867&lt;TODAY()-1),"🔴 EMBARQUE ATRASADO",IF(AND(N1867="REALIZADO",M1867="PENDENTE"),"🟡 EMBARCADO SEM FATURAR",IF(AND(P1867&lt;&gt;"",S1867="",OR(Q1867="",R1867="")),"🟡 PENDÊNCIA SEM RESPONSÁVEL/PRAZO",IF(AND(ISNUMBER(R1867),R1867=TODAY()),"🟡 VENCE HOJE",IF(AND(P1867&lt;&gt;"",S1867=""),"🟡 PENDÊNCIA ABERTA",IF(AND(N(J1867)&gt;0,N(K1867)&lt;J1867),"🟡 FALTA EXECUTAR",IF(OR(M1867="PENDENTE",M1867="PARCIAL"),"🟡 FATURAMENTO PENDENTE","🟡 EMBARQUE PENDENTE")))))))))))</f>
        <v/>
      </c>
      <c r="D1867" s="4" t="n"/>
      <c r="E1867" s="5" t="n"/>
      <c r="F1867" s="5" t="n"/>
      <c r="G1867" s="5" t="n"/>
      <c r="H1867" s="5" t="n"/>
      <c r="I1867" s="5" t="n"/>
      <c r="J1867" s="6" t="n"/>
      <c r="K1867" s="6" t="n"/>
      <c r="L1867" s="7">
        <f>IF(OR(D1867="",N(J1867)=0),"",MIN(1,N(K1867)/J1867))</f>
        <v/>
      </c>
      <c r="M1867" s="5" t="n"/>
      <c r="N1867" s="5" t="n"/>
      <c r="O1867" s="5" t="n"/>
      <c r="P1867" s="5" t="n"/>
      <c r="Q1867" s="5" t="n"/>
      <c r="R1867" s="4" t="n"/>
      <c r="S1867" s="4" t="n"/>
      <c r="T1867" s="5" t="n"/>
      <c r="U1867" s="8">
        <f>IF(AND(V1867=1,D1867&lt;&gt;""),IF(D1867&gt;=corte,TODAY()-D1867,""),"")</f>
        <v/>
      </c>
      <c r="V1867" s="8">
        <f>IF(D1867="",0,IF(OR(AND(P1867&lt;&gt;"",S1867=""),AND(N(J1867)&gt;0,N(K1867)&lt;J1867),OR(M1867="PENDENTE",M1867="PARCIAL"),OR(N1867="PENDENTE",N1867="PARCIAL")),1,0))</f>
        <v/>
      </c>
      <c r="W1867" s="8">
        <f>IF(AND(V1867=1,D1867&lt;&gt;""),IF(D1867&gt;=corte,(B1867="CRÍTICO")*1E9+(100000-D1867)*10000+10000-ROW(),""),"")</f>
        <v/>
      </c>
      <c r="X1867" s="8">
        <f>IF(AND(V1867=1,D1867=pas_data,E1867=pas_turno),10000-ROW(),"")</f>
        <v/>
      </c>
    </row>
    <row r="1868">
      <c r="A1868" s="3">
        <f>IF(D1868="","","TT-"&amp;TEXT(ROW()-1,"00000"))</f>
        <v/>
      </c>
      <c r="B1868" s="3">
        <f>IF(D1868="","",IF(V1868=0,"CONCLUÍDO",IF(D1868&lt;corte,"HISTÓRICO",IF(OR(AND(ISNUMBER(R1868),R1868&lt;TODAY()),AND(OR(N1868="PENDENTE",N1868="PARCIAL"),D1868&lt;TODAY()-1)),"CRÍTICO",IF(OR(AND(P1868&lt;&gt;"",S1868=""),AND(N1868="REALIZADO",M1868="PENDENTE"),AND(ISNUMBER(R1868),R1868=TODAY())),"ATENÇÃO",IF(N(K1868)=0,"PENDENTE","EM ANDAMENTO"))))))</f>
        <v/>
      </c>
      <c r="C1868" s="3">
        <f>IF(D1868="","",IF(V1868=0,"🟢 OK",IF(D1868&lt;corte,"⚪ HISTÓRICO (sem baixa)",IF(AND(ISNUMBER(R1868),R1868&lt;TODAY()),"🔴 PRAZO VENCIDO",IF(AND(OR(N1868="PENDENTE",N1868="PARCIAL"),D1868&lt;TODAY()-1),"🔴 EMBARQUE ATRASADO",IF(AND(N1868="REALIZADO",M1868="PENDENTE"),"🟡 EMBARCADO SEM FATURAR",IF(AND(P1868&lt;&gt;"",S1868="",OR(Q1868="",R1868="")),"🟡 PENDÊNCIA SEM RESPONSÁVEL/PRAZO",IF(AND(ISNUMBER(R1868),R1868=TODAY()),"🟡 VENCE HOJE",IF(AND(P1868&lt;&gt;"",S1868=""),"🟡 PENDÊNCIA ABERTA",IF(AND(N(J1868)&gt;0,N(K1868)&lt;J1868),"🟡 FALTA EXECUTAR",IF(OR(M1868="PENDENTE",M1868="PARCIAL"),"🟡 FATURAMENTO PENDENTE","🟡 EMBARQUE PENDENTE")))))))))))</f>
        <v/>
      </c>
      <c r="D1868" s="4" t="n"/>
      <c r="E1868" s="5" t="n"/>
      <c r="F1868" s="5" t="n"/>
      <c r="G1868" s="5" t="n"/>
      <c r="H1868" s="5" t="n"/>
      <c r="I1868" s="5" t="n"/>
      <c r="J1868" s="6" t="n"/>
      <c r="K1868" s="6" t="n"/>
      <c r="L1868" s="7">
        <f>IF(OR(D1868="",N(J1868)=0),"",MIN(1,N(K1868)/J1868))</f>
        <v/>
      </c>
      <c r="M1868" s="5" t="n"/>
      <c r="N1868" s="5" t="n"/>
      <c r="O1868" s="5" t="n"/>
      <c r="P1868" s="5" t="n"/>
      <c r="Q1868" s="5" t="n"/>
      <c r="R1868" s="4" t="n"/>
      <c r="S1868" s="4" t="n"/>
      <c r="T1868" s="5" t="n"/>
      <c r="U1868" s="8">
        <f>IF(AND(V1868=1,D1868&lt;&gt;""),IF(D1868&gt;=corte,TODAY()-D1868,""),"")</f>
        <v/>
      </c>
      <c r="V1868" s="8">
        <f>IF(D1868="",0,IF(OR(AND(P1868&lt;&gt;"",S1868=""),AND(N(J1868)&gt;0,N(K1868)&lt;J1868),OR(M1868="PENDENTE",M1868="PARCIAL"),OR(N1868="PENDENTE",N1868="PARCIAL")),1,0))</f>
        <v/>
      </c>
      <c r="W1868" s="8">
        <f>IF(AND(V1868=1,D1868&lt;&gt;""),IF(D1868&gt;=corte,(B1868="CRÍTICO")*1E9+(100000-D1868)*10000+10000-ROW(),""),"")</f>
        <v/>
      </c>
      <c r="X1868" s="8">
        <f>IF(AND(V1868=1,D1868=pas_data,E1868=pas_turno),10000-ROW(),"")</f>
        <v/>
      </c>
    </row>
    <row r="1869">
      <c r="A1869" s="3">
        <f>IF(D1869="","","TT-"&amp;TEXT(ROW()-1,"00000"))</f>
        <v/>
      </c>
      <c r="B1869" s="3">
        <f>IF(D1869="","",IF(V1869=0,"CONCLUÍDO",IF(D1869&lt;corte,"HISTÓRICO",IF(OR(AND(ISNUMBER(R1869),R1869&lt;TODAY()),AND(OR(N1869="PENDENTE",N1869="PARCIAL"),D1869&lt;TODAY()-1)),"CRÍTICO",IF(OR(AND(P1869&lt;&gt;"",S1869=""),AND(N1869="REALIZADO",M1869="PENDENTE"),AND(ISNUMBER(R1869),R1869=TODAY())),"ATENÇÃO",IF(N(K1869)=0,"PENDENTE","EM ANDAMENTO"))))))</f>
        <v/>
      </c>
      <c r="C1869" s="3">
        <f>IF(D1869="","",IF(V1869=0,"🟢 OK",IF(D1869&lt;corte,"⚪ HISTÓRICO (sem baixa)",IF(AND(ISNUMBER(R1869),R1869&lt;TODAY()),"🔴 PRAZO VENCIDO",IF(AND(OR(N1869="PENDENTE",N1869="PARCIAL"),D1869&lt;TODAY()-1),"🔴 EMBARQUE ATRASADO",IF(AND(N1869="REALIZADO",M1869="PENDENTE"),"🟡 EMBARCADO SEM FATURAR",IF(AND(P1869&lt;&gt;"",S1869="",OR(Q1869="",R1869="")),"🟡 PENDÊNCIA SEM RESPONSÁVEL/PRAZO",IF(AND(ISNUMBER(R1869),R1869=TODAY()),"🟡 VENCE HOJE",IF(AND(P1869&lt;&gt;"",S1869=""),"🟡 PENDÊNCIA ABERTA",IF(AND(N(J1869)&gt;0,N(K1869)&lt;J1869),"🟡 FALTA EXECUTAR",IF(OR(M1869="PENDENTE",M1869="PARCIAL"),"🟡 FATURAMENTO PENDENTE","🟡 EMBARQUE PENDENTE")))))))))))</f>
        <v/>
      </c>
      <c r="D1869" s="4" t="n"/>
      <c r="E1869" s="5" t="n"/>
      <c r="F1869" s="5" t="n"/>
      <c r="G1869" s="5" t="n"/>
      <c r="H1869" s="5" t="n"/>
      <c r="I1869" s="5" t="n"/>
      <c r="J1869" s="6" t="n"/>
      <c r="K1869" s="6" t="n"/>
      <c r="L1869" s="7">
        <f>IF(OR(D1869="",N(J1869)=0),"",MIN(1,N(K1869)/J1869))</f>
        <v/>
      </c>
      <c r="M1869" s="5" t="n"/>
      <c r="N1869" s="5" t="n"/>
      <c r="O1869" s="5" t="n"/>
      <c r="P1869" s="5" t="n"/>
      <c r="Q1869" s="5" t="n"/>
      <c r="R1869" s="4" t="n"/>
      <c r="S1869" s="4" t="n"/>
      <c r="T1869" s="5" t="n"/>
      <c r="U1869" s="8">
        <f>IF(AND(V1869=1,D1869&lt;&gt;""),IF(D1869&gt;=corte,TODAY()-D1869,""),"")</f>
        <v/>
      </c>
      <c r="V1869" s="8">
        <f>IF(D1869="",0,IF(OR(AND(P1869&lt;&gt;"",S1869=""),AND(N(J1869)&gt;0,N(K1869)&lt;J1869),OR(M1869="PENDENTE",M1869="PARCIAL"),OR(N1869="PENDENTE",N1869="PARCIAL")),1,0))</f>
        <v/>
      </c>
      <c r="W1869" s="8">
        <f>IF(AND(V1869=1,D1869&lt;&gt;""),IF(D1869&gt;=corte,(B1869="CRÍTICO")*1E9+(100000-D1869)*10000+10000-ROW(),""),"")</f>
        <v/>
      </c>
      <c r="X1869" s="8">
        <f>IF(AND(V1869=1,D1869=pas_data,E1869=pas_turno),10000-ROW(),"")</f>
        <v/>
      </c>
    </row>
    <row r="1870">
      <c r="A1870" s="3">
        <f>IF(D1870="","","TT-"&amp;TEXT(ROW()-1,"00000"))</f>
        <v/>
      </c>
      <c r="B1870" s="3">
        <f>IF(D1870="","",IF(V1870=0,"CONCLUÍDO",IF(D1870&lt;corte,"HISTÓRICO",IF(OR(AND(ISNUMBER(R1870),R1870&lt;TODAY()),AND(OR(N1870="PENDENTE",N1870="PARCIAL"),D1870&lt;TODAY()-1)),"CRÍTICO",IF(OR(AND(P1870&lt;&gt;"",S1870=""),AND(N1870="REALIZADO",M1870="PENDENTE"),AND(ISNUMBER(R1870),R1870=TODAY())),"ATENÇÃO",IF(N(K1870)=0,"PENDENTE","EM ANDAMENTO"))))))</f>
        <v/>
      </c>
      <c r="C1870" s="3">
        <f>IF(D1870="","",IF(V1870=0,"🟢 OK",IF(D1870&lt;corte,"⚪ HISTÓRICO (sem baixa)",IF(AND(ISNUMBER(R1870),R1870&lt;TODAY()),"🔴 PRAZO VENCIDO",IF(AND(OR(N1870="PENDENTE",N1870="PARCIAL"),D1870&lt;TODAY()-1),"🔴 EMBARQUE ATRASADO",IF(AND(N1870="REALIZADO",M1870="PENDENTE"),"🟡 EMBARCADO SEM FATURAR",IF(AND(P1870&lt;&gt;"",S1870="",OR(Q1870="",R1870="")),"🟡 PENDÊNCIA SEM RESPONSÁVEL/PRAZO",IF(AND(ISNUMBER(R1870),R1870=TODAY()),"🟡 VENCE HOJE",IF(AND(P1870&lt;&gt;"",S1870=""),"🟡 PENDÊNCIA ABERTA",IF(AND(N(J1870)&gt;0,N(K1870)&lt;J1870),"🟡 FALTA EXECUTAR",IF(OR(M1870="PENDENTE",M1870="PARCIAL"),"🟡 FATURAMENTO PENDENTE","🟡 EMBARQUE PENDENTE")))))))))))</f>
        <v/>
      </c>
      <c r="D1870" s="4" t="n"/>
      <c r="E1870" s="5" t="n"/>
      <c r="F1870" s="5" t="n"/>
      <c r="G1870" s="5" t="n"/>
      <c r="H1870" s="5" t="n"/>
      <c r="I1870" s="5" t="n"/>
      <c r="J1870" s="6" t="n"/>
      <c r="K1870" s="6" t="n"/>
      <c r="L1870" s="7">
        <f>IF(OR(D1870="",N(J1870)=0),"",MIN(1,N(K1870)/J1870))</f>
        <v/>
      </c>
      <c r="M1870" s="5" t="n"/>
      <c r="N1870" s="5" t="n"/>
      <c r="O1870" s="5" t="n"/>
      <c r="P1870" s="5" t="n"/>
      <c r="Q1870" s="5" t="n"/>
      <c r="R1870" s="4" t="n"/>
      <c r="S1870" s="4" t="n"/>
      <c r="T1870" s="5" t="n"/>
      <c r="U1870" s="8">
        <f>IF(AND(V1870=1,D1870&lt;&gt;""),IF(D1870&gt;=corte,TODAY()-D1870,""),"")</f>
        <v/>
      </c>
      <c r="V1870" s="8">
        <f>IF(D1870="",0,IF(OR(AND(P1870&lt;&gt;"",S1870=""),AND(N(J1870)&gt;0,N(K1870)&lt;J1870),OR(M1870="PENDENTE",M1870="PARCIAL"),OR(N1870="PENDENTE",N1870="PARCIAL")),1,0))</f>
        <v/>
      </c>
      <c r="W1870" s="8">
        <f>IF(AND(V1870=1,D1870&lt;&gt;""),IF(D1870&gt;=corte,(B1870="CRÍTICO")*1E9+(100000-D1870)*10000+10000-ROW(),""),"")</f>
        <v/>
      </c>
      <c r="X1870" s="8">
        <f>IF(AND(V1870=1,D1870=pas_data,E1870=pas_turno),10000-ROW(),"")</f>
        <v/>
      </c>
    </row>
    <row r="1871">
      <c r="A1871" s="3">
        <f>IF(D1871="","","TT-"&amp;TEXT(ROW()-1,"00000"))</f>
        <v/>
      </c>
      <c r="B1871" s="3">
        <f>IF(D1871="","",IF(V1871=0,"CONCLUÍDO",IF(D1871&lt;corte,"HISTÓRICO",IF(OR(AND(ISNUMBER(R1871),R1871&lt;TODAY()),AND(OR(N1871="PENDENTE",N1871="PARCIAL"),D1871&lt;TODAY()-1)),"CRÍTICO",IF(OR(AND(P1871&lt;&gt;"",S1871=""),AND(N1871="REALIZADO",M1871="PENDENTE"),AND(ISNUMBER(R1871),R1871=TODAY())),"ATENÇÃO",IF(N(K1871)=0,"PENDENTE","EM ANDAMENTO"))))))</f>
        <v/>
      </c>
      <c r="C1871" s="3">
        <f>IF(D1871="","",IF(V1871=0,"🟢 OK",IF(D1871&lt;corte,"⚪ HISTÓRICO (sem baixa)",IF(AND(ISNUMBER(R1871),R1871&lt;TODAY()),"🔴 PRAZO VENCIDO",IF(AND(OR(N1871="PENDENTE",N1871="PARCIAL"),D1871&lt;TODAY()-1),"🔴 EMBARQUE ATRASADO",IF(AND(N1871="REALIZADO",M1871="PENDENTE"),"🟡 EMBARCADO SEM FATURAR",IF(AND(P1871&lt;&gt;"",S1871="",OR(Q1871="",R1871="")),"🟡 PENDÊNCIA SEM RESPONSÁVEL/PRAZO",IF(AND(ISNUMBER(R1871),R1871=TODAY()),"🟡 VENCE HOJE",IF(AND(P1871&lt;&gt;"",S1871=""),"🟡 PENDÊNCIA ABERTA",IF(AND(N(J1871)&gt;0,N(K1871)&lt;J1871),"🟡 FALTA EXECUTAR",IF(OR(M1871="PENDENTE",M1871="PARCIAL"),"🟡 FATURAMENTO PENDENTE","🟡 EMBARQUE PENDENTE")))))))))))</f>
        <v/>
      </c>
      <c r="D1871" s="4" t="n"/>
      <c r="E1871" s="5" t="n"/>
      <c r="F1871" s="5" t="n"/>
      <c r="G1871" s="5" t="n"/>
      <c r="H1871" s="5" t="n"/>
      <c r="I1871" s="5" t="n"/>
      <c r="J1871" s="6" t="n"/>
      <c r="K1871" s="6" t="n"/>
      <c r="L1871" s="7">
        <f>IF(OR(D1871="",N(J1871)=0),"",MIN(1,N(K1871)/J1871))</f>
        <v/>
      </c>
      <c r="M1871" s="5" t="n"/>
      <c r="N1871" s="5" t="n"/>
      <c r="O1871" s="5" t="n"/>
      <c r="P1871" s="5" t="n"/>
      <c r="Q1871" s="5" t="n"/>
      <c r="R1871" s="4" t="n"/>
      <c r="S1871" s="4" t="n"/>
      <c r="T1871" s="5" t="n"/>
      <c r="U1871" s="8">
        <f>IF(AND(V1871=1,D1871&lt;&gt;""),IF(D1871&gt;=corte,TODAY()-D1871,""),"")</f>
        <v/>
      </c>
      <c r="V1871" s="8">
        <f>IF(D1871="",0,IF(OR(AND(P1871&lt;&gt;"",S1871=""),AND(N(J1871)&gt;0,N(K1871)&lt;J1871),OR(M1871="PENDENTE",M1871="PARCIAL"),OR(N1871="PENDENTE",N1871="PARCIAL")),1,0))</f>
        <v/>
      </c>
      <c r="W1871" s="8">
        <f>IF(AND(V1871=1,D1871&lt;&gt;""),IF(D1871&gt;=corte,(B1871="CRÍTICO")*1E9+(100000-D1871)*10000+10000-ROW(),""),"")</f>
        <v/>
      </c>
      <c r="X1871" s="8">
        <f>IF(AND(V1871=1,D1871=pas_data,E1871=pas_turno),10000-ROW(),"")</f>
        <v/>
      </c>
    </row>
    <row r="1872">
      <c r="A1872" s="3">
        <f>IF(D1872="","","TT-"&amp;TEXT(ROW()-1,"00000"))</f>
        <v/>
      </c>
      <c r="B1872" s="3">
        <f>IF(D1872="","",IF(V1872=0,"CONCLUÍDO",IF(D1872&lt;corte,"HISTÓRICO",IF(OR(AND(ISNUMBER(R1872),R1872&lt;TODAY()),AND(OR(N1872="PENDENTE",N1872="PARCIAL"),D1872&lt;TODAY()-1)),"CRÍTICO",IF(OR(AND(P1872&lt;&gt;"",S1872=""),AND(N1872="REALIZADO",M1872="PENDENTE"),AND(ISNUMBER(R1872),R1872=TODAY())),"ATENÇÃO",IF(N(K1872)=0,"PENDENTE","EM ANDAMENTO"))))))</f>
        <v/>
      </c>
      <c r="C1872" s="3">
        <f>IF(D1872="","",IF(V1872=0,"🟢 OK",IF(D1872&lt;corte,"⚪ HISTÓRICO (sem baixa)",IF(AND(ISNUMBER(R1872),R1872&lt;TODAY()),"🔴 PRAZO VENCIDO",IF(AND(OR(N1872="PENDENTE",N1872="PARCIAL"),D1872&lt;TODAY()-1),"🔴 EMBARQUE ATRASADO",IF(AND(N1872="REALIZADO",M1872="PENDENTE"),"🟡 EMBARCADO SEM FATURAR",IF(AND(P1872&lt;&gt;"",S1872="",OR(Q1872="",R1872="")),"🟡 PENDÊNCIA SEM RESPONSÁVEL/PRAZO",IF(AND(ISNUMBER(R1872),R1872=TODAY()),"🟡 VENCE HOJE",IF(AND(P1872&lt;&gt;"",S1872=""),"🟡 PENDÊNCIA ABERTA",IF(AND(N(J1872)&gt;0,N(K1872)&lt;J1872),"🟡 FALTA EXECUTAR",IF(OR(M1872="PENDENTE",M1872="PARCIAL"),"🟡 FATURAMENTO PENDENTE","🟡 EMBARQUE PENDENTE")))))))))))</f>
        <v/>
      </c>
      <c r="D1872" s="4" t="n"/>
      <c r="E1872" s="5" t="n"/>
      <c r="F1872" s="5" t="n"/>
      <c r="G1872" s="5" t="n"/>
      <c r="H1872" s="5" t="n"/>
      <c r="I1872" s="5" t="n"/>
      <c r="J1872" s="6" t="n"/>
      <c r="K1872" s="6" t="n"/>
      <c r="L1872" s="7">
        <f>IF(OR(D1872="",N(J1872)=0),"",MIN(1,N(K1872)/J1872))</f>
        <v/>
      </c>
      <c r="M1872" s="5" t="n"/>
      <c r="N1872" s="5" t="n"/>
      <c r="O1872" s="5" t="n"/>
      <c r="P1872" s="5" t="n"/>
      <c r="Q1872" s="5" t="n"/>
      <c r="R1872" s="4" t="n"/>
      <c r="S1872" s="4" t="n"/>
      <c r="T1872" s="5" t="n"/>
      <c r="U1872" s="8">
        <f>IF(AND(V1872=1,D1872&lt;&gt;""),IF(D1872&gt;=corte,TODAY()-D1872,""),"")</f>
        <v/>
      </c>
      <c r="V1872" s="8">
        <f>IF(D1872="",0,IF(OR(AND(P1872&lt;&gt;"",S1872=""),AND(N(J1872)&gt;0,N(K1872)&lt;J1872),OR(M1872="PENDENTE",M1872="PARCIAL"),OR(N1872="PENDENTE",N1872="PARCIAL")),1,0))</f>
        <v/>
      </c>
      <c r="W1872" s="8">
        <f>IF(AND(V1872=1,D1872&lt;&gt;""),IF(D1872&gt;=corte,(B1872="CRÍTICO")*1E9+(100000-D1872)*10000+10000-ROW(),""),"")</f>
        <v/>
      </c>
      <c r="X1872" s="8">
        <f>IF(AND(V1872=1,D1872=pas_data,E1872=pas_turno),10000-ROW(),"")</f>
        <v/>
      </c>
    </row>
    <row r="1873">
      <c r="A1873" s="3">
        <f>IF(D1873="","","TT-"&amp;TEXT(ROW()-1,"00000"))</f>
        <v/>
      </c>
      <c r="B1873" s="3">
        <f>IF(D1873="","",IF(V1873=0,"CONCLUÍDO",IF(D1873&lt;corte,"HISTÓRICO",IF(OR(AND(ISNUMBER(R1873),R1873&lt;TODAY()),AND(OR(N1873="PENDENTE",N1873="PARCIAL"),D1873&lt;TODAY()-1)),"CRÍTICO",IF(OR(AND(P1873&lt;&gt;"",S1873=""),AND(N1873="REALIZADO",M1873="PENDENTE"),AND(ISNUMBER(R1873),R1873=TODAY())),"ATENÇÃO",IF(N(K1873)=0,"PENDENTE","EM ANDAMENTO"))))))</f>
        <v/>
      </c>
      <c r="C1873" s="3">
        <f>IF(D1873="","",IF(V1873=0,"🟢 OK",IF(D1873&lt;corte,"⚪ HISTÓRICO (sem baixa)",IF(AND(ISNUMBER(R1873),R1873&lt;TODAY()),"🔴 PRAZO VENCIDO",IF(AND(OR(N1873="PENDENTE",N1873="PARCIAL"),D1873&lt;TODAY()-1),"🔴 EMBARQUE ATRASADO",IF(AND(N1873="REALIZADO",M1873="PENDENTE"),"🟡 EMBARCADO SEM FATURAR",IF(AND(P1873&lt;&gt;"",S1873="",OR(Q1873="",R1873="")),"🟡 PENDÊNCIA SEM RESPONSÁVEL/PRAZO",IF(AND(ISNUMBER(R1873),R1873=TODAY()),"🟡 VENCE HOJE",IF(AND(P1873&lt;&gt;"",S1873=""),"🟡 PENDÊNCIA ABERTA",IF(AND(N(J1873)&gt;0,N(K1873)&lt;J1873),"🟡 FALTA EXECUTAR",IF(OR(M1873="PENDENTE",M1873="PARCIAL"),"🟡 FATURAMENTO PENDENTE","🟡 EMBARQUE PENDENTE")))))))))))</f>
        <v/>
      </c>
      <c r="D1873" s="4" t="n"/>
      <c r="E1873" s="5" t="n"/>
      <c r="F1873" s="5" t="n"/>
      <c r="G1873" s="5" t="n"/>
      <c r="H1873" s="5" t="n"/>
      <c r="I1873" s="5" t="n"/>
      <c r="J1873" s="6" t="n"/>
      <c r="K1873" s="6" t="n"/>
      <c r="L1873" s="7">
        <f>IF(OR(D1873="",N(J1873)=0),"",MIN(1,N(K1873)/J1873))</f>
        <v/>
      </c>
      <c r="M1873" s="5" t="n"/>
      <c r="N1873" s="5" t="n"/>
      <c r="O1873" s="5" t="n"/>
      <c r="P1873" s="5" t="n"/>
      <c r="Q1873" s="5" t="n"/>
      <c r="R1873" s="4" t="n"/>
      <c r="S1873" s="4" t="n"/>
      <c r="T1873" s="5" t="n"/>
      <c r="U1873" s="8">
        <f>IF(AND(V1873=1,D1873&lt;&gt;""),IF(D1873&gt;=corte,TODAY()-D1873,""),"")</f>
        <v/>
      </c>
      <c r="V1873" s="8">
        <f>IF(D1873="",0,IF(OR(AND(P1873&lt;&gt;"",S1873=""),AND(N(J1873)&gt;0,N(K1873)&lt;J1873),OR(M1873="PENDENTE",M1873="PARCIAL"),OR(N1873="PENDENTE",N1873="PARCIAL")),1,0))</f>
        <v/>
      </c>
      <c r="W1873" s="8">
        <f>IF(AND(V1873=1,D1873&lt;&gt;""),IF(D1873&gt;=corte,(B1873="CRÍTICO")*1E9+(100000-D1873)*10000+10000-ROW(),""),"")</f>
        <v/>
      </c>
      <c r="X1873" s="8">
        <f>IF(AND(V1873=1,D1873=pas_data,E1873=pas_turno),10000-ROW(),"")</f>
        <v/>
      </c>
    </row>
    <row r="1874">
      <c r="A1874" s="3">
        <f>IF(D1874="","","TT-"&amp;TEXT(ROW()-1,"00000"))</f>
        <v/>
      </c>
      <c r="B1874" s="3">
        <f>IF(D1874="","",IF(V1874=0,"CONCLUÍDO",IF(D1874&lt;corte,"HISTÓRICO",IF(OR(AND(ISNUMBER(R1874),R1874&lt;TODAY()),AND(OR(N1874="PENDENTE",N1874="PARCIAL"),D1874&lt;TODAY()-1)),"CRÍTICO",IF(OR(AND(P1874&lt;&gt;"",S1874=""),AND(N1874="REALIZADO",M1874="PENDENTE"),AND(ISNUMBER(R1874),R1874=TODAY())),"ATENÇÃO",IF(N(K1874)=0,"PENDENTE","EM ANDAMENTO"))))))</f>
        <v/>
      </c>
      <c r="C1874" s="3">
        <f>IF(D1874="","",IF(V1874=0,"🟢 OK",IF(D1874&lt;corte,"⚪ HISTÓRICO (sem baixa)",IF(AND(ISNUMBER(R1874),R1874&lt;TODAY()),"🔴 PRAZO VENCIDO",IF(AND(OR(N1874="PENDENTE",N1874="PARCIAL"),D1874&lt;TODAY()-1),"🔴 EMBARQUE ATRASADO",IF(AND(N1874="REALIZADO",M1874="PENDENTE"),"🟡 EMBARCADO SEM FATURAR",IF(AND(P1874&lt;&gt;"",S1874="",OR(Q1874="",R1874="")),"🟡 PENDÊNCIA SEM RESPONSÁVEL/PRAZO",IF(AND(ISNUMBER(R1874),R1874=TODAY()),"🟡 VENCE HOJE",IF(AND(P1874&lt;&gt;"",S1874=""),"🟡 PENDÊNCIA ABERTA",IF(AND(N(J1874)&gt;0,N(K1874)&lt;J1874),"🟡 FALTA EXECUTAR",IF(OR(M1874="PENDENTE",M1874="PARCIAL"),"🟡 FATURAMENTO PENDENTE","🟡 EMBARQUE PENDENTE")))))))))))</f>
        <v/>
      </c>
      <c r="D1874" s="4" t="n"/>
      <c r="E1874" s="5" t="n"/>
      <c r="F1874" s="5" t="n"/>
      <c r="G1874" s="5" t="n"/>
      <c r="H1874" s="5" t="n"/>
      <c r="I1874" s="5" t="n"/>
      <c r="J1874" s="6" t="n"/>
      <c r="K1874" s="6" t="n"/>
      <c r="L1874" s="7">
        <f>IF(OR(D1874="",N(J1874)=0),"",MIN(1,N(K1874)/J1874))</f>
        <v/>
      </c>
      <c r="M1874" s="5" t="n"/>
      <c r="N1874" s="5" t="n"/>
      <c r="O1874" s="5" t="n"/>
      <c r="P1874" s="5" t="n"/>
      <c r="Q1874" s="5" t="n"/>
      <c r="R1874" s="4" t="n"/>
      <c r="S1874" s="4" t="n"/>
      <c r="T1874" s="5" t="n"/>
      <c r="U1874" s="8">
        <f>IF(AND(V1874=1,D1874&lt;&gt;""),IF(D1874&gt;=corte,TODAY()-D1874,""),"")</f>
        <v/>
      </c>
      <c r="V1874" s="8">
        <f>IF(D1874="",0,IF(OR(AND(P1874&lt;&gt;"",S1874=""),AND(N(J1874)&gt;0,N(K1874)&lt;J1874),OR(M1874="PENDENTE",M1874="PARCIAL"),OR(N1874="PENDENTE",N1874="PARCIAL")),1,0))</f>
        <v/>
      </c>
      <c r="W1874" s="8">
        <f>IF(AND(V1874=1,D1874&lt;&gt;""),IF(D1874&gt;=corte,(B1874="CRÍTICO")*1E9+(100000-D1874)*10000+10000-ROW(),""),"")</f>
        <v/>
      </c>
      <c r="X1874" s="8">
        <f>IF(AND(V1874=1,D1874=pas_data,E1874=pas_turno),10000-ROW(),"")</f>
        <v/>
      </c>
    </row>
    <row r="1875">
      <c r="A1875" s="3">
        <f>IF(D1875="","","TT-"&amp;TEXT(ROW()-1,"00000"))</f>
        <v/>
      </c>
      <c r="B1875" s="3">
        <f>IF(D1875="","",IF(V1875=0,"CONCLUÍDO",IF(D1875&lt;corte,"HISTÓRICO",IF(OR(AND(ISNUMBER(R1875),R1875&lt;TODAY()),AND(OR(N1875="PENDENTE",N1875="PARCIAL"),D1875&lt;TODAY()-1)),"CRÍTICO",IF(OR(AND(P1875&lt;&gt;"",S1875=""),AND(N1875="REALIZADO",M1875="PENDENTE"),AND(ISNUMBER(R1875),R1875=TODAY())),"ATENÇÃO",IF(N(K1875)=0,"PENDENTE","EM ANDAMENTO"))))))</f>
        <v/>
      </c>
      <c r="C1875" s="3">
        <f>IF(D1875="","",IF(V1875=0,"🟢 OK",IF(D1875&lt;corte,"⚪ HISTÓRICO (sem baixa)",IF(AND(ISNUMBER(R1875),R1875&lt;TODAY()),"🔴 PRAZO VENCIDO",IF(AND(OR(N1875="PENDENTE",N1875="PARCIAL"),D1875&lt;TODAY()-1),"🔴 EMBARQUE ATRASADO",IF(AND(N1875="REALIZADO",M1875="PENDENTE"),"🟡 EMBARCADO SEM FATURAR",IF(AND(P1875&lt;&gt;"",S1875="",OR(Q1875="",R1875="")),"🟡 PENDÊNCIA SEM RESPONSÁVEL/PRAZO",IF(AND(ISNUMBER(R1875),R1875=TODAY()),"🟡 VENCE HOJE",IF(AND(P1875&lt;&gt;"",S1875=""),"🟡 PENDÊNCIA ABERTA",IF(AND(N(J1875)&gt;0,N(K1875)&lt;J1875),"🟡 FALTA EXECUTAR",IF(OR(M1875="PENDENTE",M1875="PARCIAL"),"🟡 FATURAMENTO PENDENTE","🟡 EMBARQUE PENDENTE")))))))))))</f>
        <v/>
      </c>
      <c r="D1875" s="4" t="n"/>
      <c r="E1875" s="5" t="n"/>
      <c r="F1875" s="5" t="n"/>
      <c r="G1875" s="5" t="n"/>
      <c r="H1875" s="5" t="n"/>
      <c r="I1875" s="5" t="n"/>
      <c r="J1875" s="6" t="n"/>
      <c r="K1875" s="6" t="n"/>
      <c r="L1875" s="7">
        <f>IF(OR(D1875="",N(J1875)=0),"",MIN(1,N(K1875)/J1875))</f>
        <v/>
      </c>
      <c r="M1875" s="5" t="n"/>
      <c r="N1875" s="5" t="n"/>
      <c r="O1875" s="5" t="n"/>
      <c r="P1875" s="5" t="n"/>
      <c r="Q1875" s="5" t="n"/>
      <c r="R1875" s="4" t="n"/>
      <c r="S1875" s="4" t="n"/>
      <c r="T1875" s="5" t="n"/>
      <c r="U1875" s="8">
        <f>IF(AND(V1875=1,D1875&lt;&gt;""),IF(D1875&gt;=corte,TODAY()-D1875,""),"")</f>
        <v/>
      </c>
      <c r="V1875" s="8">
        <f>IF(D1875="",0,IF(OR(AND(P1875&lt;&gt;"",S1875=""),AND(N(J1875)&gt;0,N(K1875)&lt;J1875),OR(M1875="PENDENTE",M1875="PARCIAL"),OR(N1875="PENDENTE",N1875="PARCIAL")),1,0))</f>
        <v/>
      </c>
      <c r="W1875" s="8">
        <f>IF(AND(V1875=1,D1875&lt;&gt;""),IF(D1875&gt;=corte,(B1875="CRÍTICO")*1E9+(100000-D1875)*10000+10000-ROW(),""),"")</f>
        <v/>
      </c>
      <c r="X1875" s="8">
        <f>IF(AND(V1875=1,D1875=pas_data,E1875=pas_turno),10000-ROW(),"")</f>
        <v/>
      </c>
    </row>
    <row r="1876">
      <c r="A1876" s="3">
        <f>IF(D1876="","","TT-"&amp;TEXT(ROW()-1,"00000"))</f>
        <v/>
      </c>
      <c r="B1876" s="3">
        <f>IF(D1876="","",IF(V1876=0,"CONCLUÍDO",IF(D1876&lt;corte,"HISTÓRICO",IF(OR(AND(ISNUMBER(R1876),R1876&lt;TODAY()),AND(OR(N1876="PENDENTE",N1876="PARCIAL"),D1876&lt;TODAY()-1)),"CRÍTICO",IF(OR(AND(P1876&lt;&gt;"",S1876=""),AND(N1876="REALIZADO",M1876="PENDENTE"),AND(ISNUMBER(R1876),R1876=TODAY())),"ATENÇÃO",IF(N(K1876)=0,"PENDENTE","EM ANDAMENTO"))))))</f>
        <v/>
      </c>
      <c r="C1876" s="3">
        <f>IF(D1876="","",IF(V1876=0,"🟢 OK",IF(D1876&lt;corte,"⚪ HISTÓRICO (sem baixa)",IF(AND(ISNUMBER(R1876),R1876&lt;TODAY()),"🔴 PRAZO VENCIDO",IF(AND(OR(N1876="PENDENTE",N1876="PARCIAL"),D1876&lt;TODAY()-1),"🔴 EMBARQUE ATRASADO",IF(AND(N1876="REALIZADO",M1876="PENDENTE"),"🟡 EMBARCADO SEM FATURAR",IF(AND(P1876&lt;&gt;"",S1876="",OR(Q1876="",R1876="")),"🟡 PENDÊNCIA SEM RESPONSÁVEL/PRAZO",IF(AND(ISNUMBER(R1876),R1876=TODAY()),"🟡 VENCE HOJE",IF(AND(P1876&lt;&gt;"",S1876=""),"🟡 PENDÊNCIA ABERTA",IF(AND(N(J1876)&gt;0,N(K1876)&lt;J1876),"🟡 FALTA EXECUTAR",IF(OR(M1876="PENDENTE",M1876="PARCIAL"),"🟡 FATURAMENTO PENDENTE","🟡 EMBARQUE PENDENTE")))))))))))</f>
        <v/>
      </c>
      <c r="D1876" s="4" t="n"/>
      <c r="E1876" s="5" t="n"/>
      <c r="F1876" s="5" t="n"/>
      <c r="G1876" s="5" t="n"/>
      <c r="H1876" s="5" t="n"/>
      <c r="I1876" s="5" t="n"/>
      <c r="J1876" s="6" t="n"/>
      <c r="K1876" s="6" t="n"/>
      <c r="L1876" s="7">
        <f>IF(OR(D1876="",N(J1876)=0),"",MIN(1,N(K1876)/J1876))</f>
        <v/>
      </c>
      <c r="M1876" s="5" t="n"/>
      <c r="N1876" s="5" t="n"/>
      <c r="O1876" s="5" t="n"/>
      <c r="P1876" s="5" t="n"/>
      <c r="Q1876" s="5" t="n"/>
      <c r="R1876" s="4" t="n"/>
      <c r="S1876" s="4" t="n"/>
      <c r="T1876" s="5" t="n"/>
      <c r="U1876" s="8">
        <f>IF(AND(V1876=1,D1876&lt;&gt;""),IF(D1876&gt;=corte,TODAY()-D1876,""),"")</f>
        <v/>
      </c>
      <c r="V1876" s="8">
        <f>IF(D1876="",0,IF(OR(AND(P1876&lt;&gt;"",S1876=""),AND(N(J1876)&gt;0,N(K1876)&lt;J1876),OR(M1876="PENDENTE",M1876="PARCIAL"),OR(N1876="PENDENTE",N1876="PARCIAL")),1,0))</f>
        <v/>
      </c>
      <c r="W1876" s="8">
        <f>IF(AND(V1876=1,D1876&lt;&gt;""),IF(D1876&gt;=corte,(B1876="CRÍTICO")*1E9+(100000-D1876)*10000+10000-ROW(),""),"")</f>
        <v/>
      </c>
      <c r="X1876" s="8">
        <f>IF(AND(V1876=1,D1876=pas_data,E1876=pas_turno),10000-ROW(),"")</f>
        <v/>
      </c>
    </row>
    <row r="1877">
      <c r="A1877" s="3">
        <f>IF(D1877="","","TT-"&amp;TEXT(ROW()-1,"00000"))</f>
        <v/>
      </c>
      <c r="B1877" s="3">
        <f>IF(D1877="","",IF(V1877=0,"CONCLUÍDO",IF(D1877&lt;corte,"HISTÓRICO",IF(OR(AND(ISNUMBER(R1877),R1877&lt;TODAY()),AND(OR(N1877="PENDENTE",N1877="PARCIAL"),D1877&lt;TODAY()-1)),"CRÍTICO",IF(OR(AND(P1877&lt;&gt;"",S1877=""),AND(N1877="REALIZADO",M1877="PENDENTE"),AND(ISNUMBER(R1877),R1877=TODAY())),"ATENÇÃO",IF(N(K1877)=0,"PENDENTE","EM ANDAMENTO"))))))</f>
        <v/>
      </c>
      <c r="C1877" s="3">
        <f>IF(D1877="","",IF(V1877=0,"🟢 OK",IF(D1877&lt;corte,"⚪ HISTÓRICO (sem baixa)",IF(AND(ISNUMBER(R1877),R1877&lt;TODAY()),"🔴 PRAZO VENCIDO",IF(AND(OR(N1877="PENDENTE",N1877="PARCIAL"),D1877&lt;TODAY()-1),"🔴 EMBARQUE ATRASADO",IF(AND(N1877="REALIZADO",M1877="PENDENTE"),"🟡 EMBARCADO SEM FATURAR",IF(AND(P1877&lt;&gt;"",S1877="",OR(Q1877="",R1877="")),"🟡 PENDÊNCIA SEM RESPONSÁVEL/PRAZO",IF(AND(ISNUMBER(R1877),R1877=TODAY()),"🟡 VENCE HOJE",IF(AND(P1877&lt;&gt;"",S1877=""),"🟡 PENDÊNCIA ABERTA",IF(AND(N(J1877)&gt;0,N(K1877)&lt;J1877),"🟡 FALTA EXECUTAR",IF(OR(M1877="PENDENTE",M1877="PARCIAL"),"🟡 FATURAMENTO PENDENTE","🟡 EMBARQUE PENDENTE")))))))))))</f>
        <v/>
      </c>
      <c r="D1877" s="4" t="n"/>
      <c r="E1877" s="5" t="n"/>
      <c r="F1877" s="5" t="n"/>
      <c r="G1877" s="5" t="n"/>
      <c r="H1877" s="5" t="n"/>
      <c r="I1877" s="5" t="n"/>
      <c r="J1877" s="6" t="n"/>
      <c r="K1877" s="6" t="n"/>
      <c r="L1877" s="7">
        <f>IF(OR(D1877="",N(J1877)=0),"",MIN(1,N(K1877)/J1877))</f>
        <v/>
      </c>
      <c r="M1877" s="5" t="n"/>
      <c r="N1877" s="5" t="n"/>
      <c r="O1877" s="5" t="n"/>
      <c r="P1877" s="5" t="n"/>
      <c r="Q1877" s="5" t="n"/>
      <c r="R1877" s="4" t="n"/>
      <c r="S1877" s="4" t="n"/>
      <c r="T1877" s="5" t="n"/>
      <c r="U1877" s="8">
        <f>IF(AND(V1877=1,D1877&lt;&gt;""),IF(D1877&gt;=corte,TODAY()-D1877,""),"")</f>
        <v/>
      </c>
      <c r="V1877" s="8">
        <f>IF(D1877="",0,IF(OR(AND(P1877&lt;&gt;"",S1877=""),AND(N(J1877)&gt;0,N(K1877)&lt;J1877),OR(M1877="PENDENTE",M1877="PARCIAL"),OR(N1877="PENDENTE",N1877="PARCIAL")),1,0))</f>
        <v/>
      </c>
      <c r="W1877" s="8">
        <f>IF(AND(V1877=1,D1877&lt;&gt;""),IF(D1877&gt;=corte,(B1877="CRÍTICO")*1E9+(100000-D1877)*10000+10000-ROW(),""),"")</f>
        <v/>
      </c>
      <c r="X1877" s="8">
        <f>IF(AND(V1877=1,D1877=pas_data,E1877=pas_turno),10000-ROW(),"")</f>
        <v/>
      </c>
    </row>
    <row r="1878">
      <c r="A1878" s="3">
        <f>IF(D1878="","","TT-"&amp;TEXT(ROW()-1,"00000"))</f>
        <v/>
      </c>
      <c r="B1878" s="3">
        <f>IF(D1878="","",IF(V1878=0,"CONCLUÍDO",IF(D1878&lt;corte,"HISTÓRICO",IF(OR(AND(ISNUMBER(R1878),R1878&lt;TODAY()),AND(OR(N1878="PENDENTE",N1878="PARCIAL"),D1878&lt;TODAY()-1)),"CRÍTICO",IF(OR(AND(P1878&lt;&gt;"",S1878=""),AND(N1878="REALIZADO",M1878="PENDENTE"),AND(ISNUMBER(R1878),R1878=TODAY())),"ATENÇÃO",IF(N(K1878)=0,"PENDENTE","EM ANDAMENTO"))))))</f>
        <v/>
      </c>
      <c r="C1878" s="3">
        <f>IF(D1878="","",IF(V1878=0,"🟢 OK",IF(D1878&lt;corte,"⚪ HISTÓRICO (sem baixa)",IF(AND(ISNUMBER(R1878),R1878&lt;TODAY()),"🔴 PRAZO VENCIDO",IF(AND(OR(N1878="PENDENTE",N1878="PARCIAL"),D1878&lt;TODAY()-1),"🔴 EMBARQUE ATRASADO",IF(AND(N1878="REALIZADO",M1878="PENDENTE"),"🟡 EMBARCADO SEM FATURAR",IF(AND(P1878&lt;&gt;"",S1878="",OR(Q1878="",R1878="")),"🟡 PENDÊNCIA SEM RESPONSÁVEL/PRAZO",IF(AND(ISNUMBER(R1878),R1878=TODAY()),"🟡 VENCE HOJE",IF(AND(P1878&lt;&gt;"",S1878=""),"🟡 PENDÊNCIA ABERTA",IF(AND(N(J1878)&gt;0,N(K1878)&lt;J1878),"🟡 FALTA EXECUTAR",IF(OR(M1878="PENDENTE",M1878="PARCIAL"),"🟡 FATURAMENTO PENDENTE","🟡 EMBARQUE PENDENTE")))))))))))</f>
        <v/>
      </c>
      <c r="D1878" s="4" t="n"/>
      <c r="E1878" s="5" t="n"/>
      <c r="F1878" s="5" t="n"/>
      <c r="G1878" s="5" t="n"/>
      <c r="H1878" s="5" t="n"/>
      <c r="I1878" s="5" t="n"/>
      <c r="J1878" s="6" t="n"/>
      <c r="K1878" s="6" t="n"/>
      <c r="L1878" s="7">
        <f>IF(OR(D1878="",N(J1878)=0),"",MIN(1,N(K1878)/J1878))</f>
        <v/>
      </c>
      <c r="M1878" s="5" t="n"/>
      <c r="N1878" s="5" t="n"/>
      <c r="O1878" s="5" t="n"/>
      <c r="P1878" s="5" t="n"/>
      <c r="Q1878" s="5" t="n"/>
      <c r="R1878" s="4" t="n"/>
      <c r="S1878" s="4" t="n"/>
      <c r="T1878" s="5" t="n"/>
      <c r="U1878" s="8">
        <f>IF(AND(V1878=1,D1878&lt;&gt;""),IF(D1878&gt;=corte,TODAY()-D1878,""),"")</f>
        <v/>
      </c>
      <c r="V1878" s="8">
        <f>IF(D1878="",0,IF(OR(AND(P1878&lt;&gt;"",S1878=""),AND(N(J1878)&gt;0,N(K1878)&lt;J1878),OR(M1878="PENDENTE",M1878="PARCIAL"),OR(N1878="PENDENTE",N1878="PARCIAL")),1,0))</f>
        <v/>
      </c>
      <c r="W1878" s="8">
        <f>IF(AND(V1878=1,D1878&lt;&gt;""),IF(D1878&gt;=corte,(B1878="CRÍTICO")*1E9+(100000-D1878)*10000+10000-ROW(),""),"")</f>
        <v/>
      </c>
      <c r="X1878" s="8">
        <f>IF(AND(V1878=1,D1878=pas_data,E1878=pas_turno),10000-ROW(),"")</f>
        <v/>
      </c>
    </row>
    <row r="1879">
      <c r="A1879" s="3">
        <f>IF(D1879="","","TT-"&amp;TEXT(ROW()-1,"00000"))</f>
        <v/>
      </c>
      <c r="B1879" s="3">
        <f>IF(D1879="","",IF(V1879=0,"CONCLUÍDO",IF(D1879&lt;corte,"HISTÓRICO",IF(OR(AND(ISNUMBER(R1879),R1879&lt;TODAY()),AND(OR(N1879="PENDENTE",N1879="PARCIAL"),D1879&lt;TODAY()-1)),"CRÍTICO",IF(OR(AND(P1879&lt;&gt;"",S1879=""),AND(N1879="REALIZADO",M1879="PENDENTE"),AND(ISNUMBER(R1879),R1879=TODAY())),"ATENÇÃO",IF(N(K1879)=0,"PENDENTE","EM ANDAMENTO"))))))</f>
        <v/>
      </c>
      <c r="C1879" s="3">
        <f>IF(D1879="","",IF(V1879=0,"🟢 OK",IF(D1879&lt;corte,"⚪ HISTÓRICO (sem baixa)",IF(AND(ISNUMBER(R1879),R1879&lt;TODAY()),"🔴 PRAZO VENCIDO",IF(AND(OR(N1879="PENDENTE",N1879="PARCIAL"),D1879&lt;TODAY()-1),"🔴 EMBARQUE ATRASADO",IF(AND(N1879="REALIZADO",M1879="PENDENTE"),"🟡 EMBARCADO SEM FATURAR",IF(AND(P1879&lt;&gt;"",S1879="",OR(Q1879="",R1879="")),"🟡 PENDÊNCIA SEM RESPONSÁVEL/PRAZO",IF(AND(ISNUMBER(R1879),R1879=TODAY()),"🟡 VENCE HOJE",IF(AND(P1879&lt;&gt;"",S1879=""),"🟡 PENDÊNCIA ABERTA",IF(AND(N(J1879)&gt;0,N(K1879)&lt;J1879),"🟡 FALTA EXECUTAR",IF(OR(M1879="PENDENTE",M1879="PARCIAL"),"🟡 FATURAMENTO PENDENTE","🟡 EMBARQUE PENDENTE")))))))))))</f>
        <v/>
      </c>
      <c r="D1879" s="4" t="n"/>
      <c r="E1879" s="5" t="n"/>
      <c r="F1879" s="5" t="n"/>
      <c r="G1879" s="5" t="n"/>
      <c r="H1879" s="5" t="n"/>
      <c r="I1879" s="5" t="n"/>
      <c r="J1879" s="6" t="n"/>
      <c r="K1879" s="6" t="n"/>
      <c r="L1879" s="7">
        <f>IF(OR(D1879="",N(J1879)=0),"",MIN(1,N(K1879)/J1879))</f>
        <v/>
      </c>
      <c r="M1879" s="5" t="n"/>
      <c r="N1879" s="5" t="n"/>
      <c r="O1879" s="5" t="n"/>
      <c r="P1879" s="5" t="n"/>
      <c r="Q1879" s="5" t="n"/>
      <c r="R1879" s="4" t="n"/>
      <c r="S1879" s="4" t="n"/>
      <c r="T1879" s="5" t="n"/>
      <c r="U1879" s="8">
        <f>IF(AND(V1879=1,D1879&lt;&gt;""),IF(D1879&gt;=corte,TODAY()-D1879,""),"")</f>
        <v/>
      </c>
      <c r="V1879" s="8">
        <f>IF(D1879="",0,IF(OR(AND(P1879&lt;&gt;"",S1879=""),AND(N(J1879)&gt;0,N(K1879)&lt;J1879),OR(M1879="PENDENTE",M1879="PARCIAL"),OR(N1879="PENDENTE",N1879="PARCIAL")),1,0))</f>
        <v/>
      </c>
      <c r="W1879" s="8">
        <f>IF(AND(V1879=1,D1879&lt;&gt;""),IF(D1879&gt;=corte,(B1879="CRÍTICO")*1E9+(100000-D1879)*10000+10000-ROW(),""),"")</f>
        <v/>
      </c>
      <c r="X1879" s="8">
        <f>IF(AND(V1879=1,D1879=pas_data,E1879=pas_turno),10000-ROW(),"")</f>
        <v/>
      </c>
    </row>
    <row r="1880">
      <c r="A1880" s="3">
        <f>IF(D1880="","","TT-"&amp;TEXT(ROW()-1,"00000"))</f>
        <v/>
      </c>
      <c r="B1880" s="3">
        <f>IF(D1880="","",IF(V1880=0,"CONCLUÍDO",IF(D1880&lt;corte,"HISTÓRICO",IF(OR(AND(ISNUMBER(R1880),R1880&lt;TODAY()),AND(OR(N1880="PENDENTE",N1880="PARCIAL"),D1880&lt;TODAY()-1)),"CRÍTICO",IF(OR(AND(P1880&lt;&gt;"",S1880=""),AND(N1880="REALIZADO",M1880="PENDENTE"),AND(ISNUMBER(R1880),R1880=TODAY())),"ATENÇÃO",IF(N(K1880)=0,"PENDENTE","EM ANDAMENTO"))))))</f>
        <v/>
      </c>
      <c r="C1880" s="3">
        <f>IF(D1880="","",IF(V1880=0,"🟢 OK",IF(D1880&lt;corte,"⚪ HISTÓRICO (sem baixa)",IF(AND(ISNUMBER(R1880),R1880&lt;TODAY()),"🔴 PRAZO VENCIDO",IF(AND(OR(N1880="PENDENTE",N1880="PARCIAL"),D1880&lt;TODAY()-1),"🔴 EMBARQUE ATRASADO",IF(AND(N1880="REALIZADO",M1880="PENDENTE"),"🟡 EMBARCADO SEM FATURAR",IF(AND(P1880&lt;&gt;"",S1880="",OR(Q1880="",R1880="")),"🟡 PENDÊNCIA SEM RESPONSÁVEL/PRAZO",IF(AND(ISNUMBER(R1880),R1880=TODAY()),"🟡 VENCE HOJE",IF(AND(P1880&lt;&gt;"",S1880=""),"🟡 PENDÊNCIA ABERTA",IF(AND(N(J1880)&gt;0,N(K1880)&lt;J1880),"🟡 FALTA EXECUTAR",IF(OR(M1880="PENDENTE",M1880="PARCIAL"),"🟡 FATURAMENTO PENDENTE","🟡 EMBARQUE PENDENTE")))))))))))</f>
        <v/>
      </c>
      <c r="D1880" s="4" t="n"/>
      <c r="E1880" s="5" t="n"/>
      <c r="F1880" s="5" t="n"/>
      <c r="G1880" s="5" t="n"/>
      <c r="H1880" s="5" t="n"/>
      <c r="I1880" s="5" t="n"/>
      <c r="J1880" s="6" t="n"/>
      <c r="K1880" s="6" t="n"/>
      <c r="L1880" s="7">
        <f>IF(OR(D1880="",N(J1880)=0),"",MIN(1,N(K1880)/J1880))</f>
        <v/>
      </c>
      <c r="M1880" s="5" t="n"/>
      <c r="N1880" s="5" t="n"/>
      <c r="O1880" s="5" t="n"/>
      <c r="P1880" s="5" t="n"/>
      <c r="Q1880" s="5" t="n"/>
      <c r="R1880" s="4" t="n"/>
      <c r="S1880" s="4" t="n"/>
      <c r="T1880" s="5" t="n"/>
      <c r="U1880" s="8">
        <f>IF(AND(V1880=1,D1880&lt;&gt;""),IF(D1880&gt;=corte,TODAY()-D1880,""),"")</f>
        <v/>
      </c>
      <c r="V1880" s="8">
        <f>IF(D1880="",0,IF(OR(AND(P1880&lt;&gt;"",S1880=""),AND(N(J1880)&gt;0,N(K1880)&lt;J1880),OR(M1880="PENDENTE",M1880="PARCIAL"),OR(N1880="PENDENTE",N1880="PARCIAL")),1,0))</f>
        <v/>
      </c>
      <c r="W1880" s="8">
        <f>IF(AND(V1880=1,D1880&lt;&gt;""),IF(D1880&gt;=corte,(B1880="CRÍTICO")*1E9+(100000-D1880)*10000+10000-ROW(),""),"")</f>
        <v/>
      </c>
      <c r="X1880" s="8">
        <f>IF(AND(V1880=1,D1880=pas_data,E1880=pas_turno),10000-ROW(),"")</f>
        <v/>
      </c>
    </row>
    <row r="1881">
      <c r="A1881" s="3">
        <f>IF(D1881="","","TT-"&amp;TEXT(ROW()-1,"00000"))</f>
        <v/>
      </c>
      <c r="B1881" s="3">
        <f>IF(D1881="","",IF(V1881=0,"CONCLUÍDO",IF(D1881&lt;corte,"HISTÓRICO",IF(OR(AND(ISNUMBER(R1881),R1881&lt;TODAY()),AND(OR(N1881="PENDENTE",N1881="PARCIAL"),D1881&lt;TODAY()-1)),"CRÍTICO",IF(OR(AND(P1881&lt;&gt;"",S1881=""),AND(N1881="REALIZADO",M1881="PENDENTE"),AND(ISNUMBER(R1881),R1881=TODAY())),"ATENÇÃO",IF(N(K1881)=0,"PENDENTE","EM ANDAMENTO"))))))</f>
        <v/>
      </c>
      <c r="C1881" s="3">
        <f>IF(D1881="","",IF(V1881=0,"🟢 OK",IF(D1881&lt;corte,"⚪ HISTÓRICO (sem baixa)",IF(AND(ISNUMBER(R1881),R1881&lt;TODAY()),"🔴 PRAZO VENCIDO",IF(AND(OR(N1881="PENDENTE",N1881="PARCIAL"),D1881&lt;TODAY()-1),"🔴 EMBARQUE ATRASADO",IF(AND(N1881="REALIZADO",M1881="PENDENTE"),"🟡 EMBARCADO SEM FATURAR",IF(AND(P1881&lt;&gt;"",S1881="",OR(Q1881="",R1881="")),"🟡 PENDÊNCIA SEM RESPONSÁVEL/PRAZO",IF(AND(ISNUMBER(R1881),R1881=TODAY()),"🟡 VENCE HOJE",IF(AND(P1881&lt;&gt;"",S1881=""),"🟡 PENDÊNCIA ABERTA",IF(AND(N(J1881)&gt;0,N(K1881)&lt;J1881),"🟡 FALTA EXECUTAR",IF(OR(M1881="PENDENTE",M1881="PARCIAL"),"🟡 FATURAMENTO PENDENTE","🟡 EMBARQUE PENDENTE")))))))))))</f>
        <v/>
      </c>
      <c r="D1881" s="4" t="n"/>
      <c r="E1881" s="5" t="n"/>
      <c r="F1881" s="5" t="n"/>
      <c r="G1881" s="5" t="n"/>
      <c r="H1881" s="5" t="n"/>
      <c r="I1881" s="5" t="n"/>
      <c r="J1881" s="6" t="n"/>
      <c r="K1881" s="6" t="n"/>
      <c r="L1881" s="7">
        <f>IF(OR(D1881="",N(J1881)=0),"",MIN(1,N(K1881)/J1881))</f>
        <v/>
      </c>
      <c r="M1881" s="5" t="n"/>
      <c r="N1881" s="5" t="n"/>
      <c r="O1881" s="5" t="n"/>
      <c r="P1881" s="5" t="n"/>
      <c r="Q1881" s="5" t="n"/>
      <c r="R1881" s="4" t="n"/>
      <c r="S1881" s="4" t="n"/>
      <c r="T1881" s="5" t="n"/>
      <c r="U1881" s="8">
        <f>IF(AND(V1881=1,D1881&lt;&gt;""),IF(D1881&gt;=corte,TODAY()-D1881,""),"")</f>
        <v/>
      </c>
      <c r="V1881" s="8">
        <f>IF(D1881="",0,IF(OR(AND(P1881&lt;&gt;"",S1881=""),AND(N(J1881)&gt;0,N(K1881)&lt;J1881),OR(M1881="PENDENTE",M1881="PARCIAL"),OR(N1881="PENDENTE",N1881="PARCIAL")),1,0))</f>
        <v/>
      </c>
      <c r="W1881" s="8">
        <f>IF(AND(V1881=1,D1881&lt;&gt;""),IF(D1881&gt;=corte,(B1881="CRÍTICO")*1E9+(100000-D1881)*10000+10000-ROW(),""),"")</f>
        <v/>
      </c>
      <c r="X1881" s="8">
        <f>IF(AND(V1881=1,D1881=pas_data,E1881=pas_turno),10000-ROW(),"")</f>
        <v/>
      </c>
    </row>
    <row r="1882">
      <c r="A1882" s="3">
        <f>IF(D1882="","","TT-"&amp;TEXT(ROW()-1,"00000"))</f>
        <v/>
      </c>
      <c r="B1882" s="3">
        <f>IF(D1882="","",IF(V1882=0,"CONCLUÍDO",IF(D1882&lt;corte,"HISTÓRICO",IF(OR(AND(ISNUMBER(R1882),R1882&lt;TODAY()),AND(OR(N1882="PENDENTE",N1882="PARCIAL"),D1882&lt;TODAY()-1)),"CRÍTICO",IF(OR(AND(P1882&lt;&gt;"",S1882=""),AND(N1882="REALIZADO",M1882="PENDENTE"),AND(ISNUMBER(R1882),R1882=TODAY())),"ATENÇÃO",IF(N(K1882)=0,"PENDENTE","EM ANDAMENTO"))))))</f>
        <v/>
      </c>
      <c r="C1882" s="3">
        <f>IF(D1882="","",IF(V1882=0,"🟢 OK",IF(D1882&lt;corte,"⚪ HISTÓRICO (sem baixa)",IF(AND(ISNUMBER(R1882),R1882&lt;TODAY()),"🔴 PRAZO VENCIDO",IF(AND(OR(N1882="PENDENTE",N1882="PARCIAL"),D1882&lt;TODAY()-1),"🔴 EMBARQUE ATRASADO",IF(AND(N1882="REALIZADO",M1882="PENDENTE"),"🟡 EMBARCADO SEM FATURAR",IF(AND(P1882&lt;&gt;"",S1882="",OR(Q1882="",R1882="")),"🟡 PENDÊNCIA SEM RESPONSÁVEL/PRAZO",IF(AND(ISNUMBER(R1882),R1882=TODAY()),"🟡 VENCE HOJE",IF(AND(P1882&lt;&gt;"",S1882=""),"🟡 PENDÊNCIA ABERTA",IF(AND(N(J1882)&gt;0,N(K1882)&lt;J1882),"🟡 FALTA EXECUTAR",IF(OR(M1882="PENDENTE",M1882="PARCIAL"),"🟡 FATURAMENTO PENDENTE","🟡 EMBARQUE PENDENTE")))))))))))</f>
        <v/>
      </c>
      <c r="D1882" s="4" t="n"/>
      <c r="E1882" s="5" t="n"/>
      <c r="F1882" s="5" t="n"/>
      <c r="G1882" s="5" t="n"/>
      <c r="H1882" s="5" t="n"/>
      <c r="I1882" s="5" t="n"/>
      <c r="J1882" s="6" t="n"/>
      <c r="K1882" s="6" t="n"/>
      <c r="L1882" s="7">
        <f>IF(OR(D1882="",N(J1882)=0),"",MIN(1,N(K1882)/J1882))</f>
        <v/>
      </c>
      <c r="M1882" s="5" t="n"/>
      <c r="N1882" s="5" t="n"/>
      <c r="O1882" s="5" t="n"/>
      <c r="P1882" s="5" t="n"/>
      <c r="Q1882" s="5" t="n"/>
      <c r="R1882" s="4" t="n"/>
      <c r="S1882" s="4" t="n"/>
      <c r="T1882" s="5" t="n"/>
      <c r="U1882" s="8">
        <f>IF(AND(V1882=1,D1882&lt;&gt;""),IF(D1882&gt;=corte,TODAY()-D1882,""),"")</f>
        <v/>
      </c>
      <c r="V1882" s="8">
        <f>IF(D1882="",0,IF(OR(AND(P1882&lt;&gt;"",S1882=""),AND(N(J1882)&gt;0,N(K1882)&lt;J1882),OR(M1882="PENDENTE",M1882="PARCIAL"),OR(N1882="PENDENTE",N1882="PARCIAL")),1,0))</f>
        <v/>
      </c>
      <c r="W1882" s="8">
        <f>IF(AND(V1882=1,D1882&lt;&gt;""),IF(D1882&gt;=corte,(B1882="CRÍTICO")*1E9+(100000-D1882)*10000+10000-ROW(),""),"")</f>
        <v/>
      </c>
      <c r="X1882" s="8">
        <f>IF(AND(V1882=1,D1882=pas_data,E1882=pas_turno),10000-ROW(),"")</f>
        <v/>
      </c>
    </row>
    <row r="1883">
      <c r="A1883" s="3">
        <f>IF(D1883="","","TT-"&amp;TEXT(ROW()-1,"00000"))</f>
        <v/>
      </c>
      <c r="B1883" s="3">
        <f>IF(D1883="","",IF(V1883=0,"CONCLUÍDO",IF(D1883&lt;corte,"HISTÓRICO",IF(OR(AND(ISNUMBER(R1883),R1883&lt;TODAY()),AND(OR(N1883="PENDENTE",N1883="PARCIAL"),D1883&lt;TODAY()-1)),"CRÍTICO",IF(OR(AND(P1883&lt;&gt;"",S1883=""),AND(N1883="REALIZADO",M1883="PENDENTE"),AND(ISNUMBER(R1883),R1883=TODAY())),"ATENÇÃO",IF(N(K1883)=0,"PENDENTE","EM ANDAMENTO"))))))</f>
        <v/>
      </c>
      <c r="C1883" s="3">
        <f>IF(D1883="","",IF(V1883=0,"🟢 OK",IF(D1883&lt;corte,"⚪ HISTÓRICO (sem baixa)",IF(AND(ISNUMBER(R1883),R1883&lt;TODAY()),"🔴 PRAZO VENCIDO",IF(AND(OR(N1883="PENDENTE",N1883="PARCIAL"),D1883&lt;TODAY()-1),"🔴 EMBARQUE ATRASADO",IF(AND(N1883="REALIZADO",M1883="PENDENTE"),"🟡 EMBARCADO SEM FATURAR",IF(AND(P1883&lt;&gt;"",S1883="",OR(Q1883="",R1883="")),"🟡 PENDÊNCIA SEM RESPONSÁVEL/PRAZO",IF(AND(ISNUMBER(R1883),R1883=TODAY()),"🟡 VENCE HOJE",IF(AND(P1883&lt;&gt;"",S1883=""),"🟡 PENDÊNCIA ABERTA",IF(AND(N(J1883)&gt;0,N(K1883)&lt;J1883),"🟡 FALTA EXECUTAR",IF(OR(M1883="PENDENTE",M1883="PARCIAL"),"🟡 FATURAMENTO PENDENTE","🟡 EMBARQUE PENDENTE")))))))))))</f>
        <v/>
      </c>
      <c r="D1883" s="4" t="n"/>
      <c r="E1883" s="5" t="n"/>
      <c r="F1883" s="5" t="n"/>
      <c r="G1883" s="5" t="n"/>
      <c r="H1883" s="5" t="n"/>
      <c r="I1883" s="5" t="n"/>
      <c r="J1883" s="6" t="n"/>
      <c r="K1883" s="6" t="n"/>
      <c r="L1883" s="7">
        <f>IF(OR(D1883="",N(J1883)=0),"",MIN(1,N(K1883)/J1883))</f>
        <v/>
      </c>
      <c r="M1883" s="5" t="n"/>
      <c r="N1883" s="5" t="n"/>
      <c r="O1883" s="5" t="n"/>
      <c r="P1883" s="5" t="n"/>
      <c r="Q1883" s="5" t="n"/>
      <c r="R1883" s="4" t="n"/>
      <c r="S1883" s="4" t="n"/>
      <c r="T1883" s="5" t="n"/>
      <c r="U1883" s="8">
        <f>IF(AND(V1883=1,D1883&lt;&gt;""),IF(D1883&gt;=corte,TODAY()-D1883,""),"")</f>
        <v/>
      </c>
      <c r="V1883" s="8">
        <f>IF(D1883="",0,IF(OR(AND(P1883&lt;&gt;"",S1883=""),AND(N(J1883)&gt;0,N(K1883)&lt;J1883),OR(M1883="PENDENTE",M1883="PARCIAL"),OR(N1883="PENDENTE",N1883="PARCIAL")),1,0))</f>
        <v/>
      </c>
      <c r="W1883" s="8">
        <f>IF(AND(V1883=1,D1883&lt;&gt;""),IF(D1883&gt;=corte,(B1883="CRÍTICO")*1E9+(100000-D1883)*10000+10000-ROW(),""),"")</f>
        <v/>
      </c>
      <c r="X1883" s="8">
        <f>IF(AND(V1883=1,D1883=pas_data,E1883=pas_turno),10000-ROW(),"")</f>
        <v/>
      </c>
    </row>
    <row r="1884">
      <c r="A1884" s="3">
        <f>IF(D1884="","","TT-"&amp;TEXT(ROW()-1,"00000"))</f>
        <v/>
      </c>
      <c r="B1884" s="3">
        <f>IF(D1884="","",IF(V1884=0,"CONCLUÍDO",IF(D1884&lt;corte,"HISTÓRICO",IF(OR(AND(ISNUMBER(R1884),R1884&lt;TODAY()),AND(OR(N1884="PENDENTE",N1884="PARCIAL"),D1884&lt;TODAY()-1)),"CRÍTICO",IF(OR(AND(P1884&lt;&gt;"",S1884=""),AND(N1884="REALIZADO",M1884="PENDENTE"),AND(ISNUMBER(R1884),R1884=TODAY())),"ATENÇÃO",IF(N(K1884)=0,"PENDENTE","EM ANDAMENTO"))))))</f>
        <v/>
      </c>
      <c r="C1884" s="3">
        <f>IF(D1884="","",IF(V1884=0,"🟢 OK",IF(D1884&lt;corte,"⚪ HISTÓRICO (sem baixa)",IF(AND(ISNUMBER(R1884),R1884&lt;TODAY()),"🔴 PRAZO VENCIDO",IF(AND(OR(N1884="PENDENTE",N1884="PARCIAL"),D1884&lt;TODAY()-1),"🔴 EMBARQUE ATRASADO",IF(AND(N1884="REALIZADO",M1884="PENDENTE"),"🟡 EMBARCADO SEM FATURAR",IF(AND(P1884&lt;&gt;"",S1884="",OR(Q1884="",R1884="")),"🟡 PENDÊNCIA SEM RESPONSÁVEL/PRAZO",IF(AND(ISNUMBER(R1884),R1884=TODAY()),"🟡 VENCE HOJE",IF(AND(P1884&lt;&gt;"",S1884=""),"🟡 PENDÊNCIA ABERTA",IF(AND(N(J1884)&gt;0,N(K1884)&lt;J1884),"🟡 FALTA EXECUTAR",IF(OR(M1884="PENDENTE",M1884="PARCIAL"),"🟡 FATURAMENTO PENDENTE","🟡 EMBARQUE PENDENTE")))))))))))</f>
        <v/>
      </c>
      <c r="D1884" s="4" t="n"/>
      <c r="E1884" s="5" t="n"/>
      <c r="F1884" s="5" t="n"/>
      <c r="G1884" s="5" t="n"/>
      <c r="H1884" s="5" t="n"/>
      <c r="I1884" s="5" t="n"/>
      <c r="J1884" s="6" t="n"/>
      <c r="K1884" s="6" t="n"/>
      <c r="L1884" s="7">
        <f>IF(OR(D1884="",N(J1884)=0),"",MIN(1,N(K1884)/J1884))</f>
        <v/>
      </c>
      <c r="M1884" s="5" t="n"/>
      <c r="N1884" s="5" t="n"/>
      <c r="O1884" s="5" t="n"/>
      <c r="P1884" s="5" t="n"/>
      <c r="Q1884" s="5" t="n"/>
      <c r="R1884" s="4" t="n"/>
      <c r="S1884" s="4" t="n"/>
      <c r="T1884" s="5" t="n"/>
      <c r="U1884" s="8">
        <f>IF(AND(V1884=1,D1884&lt;&gt;""),IF(D1884&gt;=corte,TODAY()-D1884,""),"")</f>
        <v/>
      </c>
      <c r="V1884" s="8">
        <f>IF(D1884="",0,IF(OR(AND(P1884&lt;&gt;"",S1884=""),AND(N(J1884)&gt;0,N(K1884)&lt;J1884),OR(M1884="PENDENTE",M1884="PARCIAL"),OR(N1884="PENDENTE",N1884="PARCIAL")),1,0))</f>
        <v/>
      </c>
      <c r="W1884" s="8">
        <f>IF(AND(V1884=1,D1884&lt;&gt;""),IF(D1884&gt;=corte,(B1884="CRÍTICO")*1E9+(100000-D1884)*10000+10000-ROW(),""),"")</f>
        <v/>
      </c>
      <c r="X1884" s="8">
        <f>IF(AND(V1884=1,D1884=pas_data,E1884=pas_turno),10000-ROW(),"")</f>
        <v/>
      </c>
    </row>
    <row r="1885">
      <c r="A1885" s="3">
        <f>IF(D1885="","","TT-"&amp;TEXT(ROW()-1,"00000"))</f>
        <v/>
      </c>
      <c r="B1885" s="3">
        <f>IF(D1885="","",IF(V1885=0,"CONCLUÍDO",IF(D1885&lt;corte,"HISTÓRICO",IF(OR(AND(ISNUMBER(R1885),R1885&lt;TODAY()),AND(OR(N1885="PENDENTE",N1885="PARCIAL"),D1885&lt;TODAY()-1)),"CRÍTICO",IF(OR(AND(P1885&lt;&gt;"",S1885=""),AND(N1885="REALIZADO",M1885="PENDENTE"),AND(ISNUMBER(R1885),R1885=TODAY())),"ATENÇÃO",IF(N(K1885)=0,"PENDENTE","EM ANDAMENTO"))))))</f>
        <v/>
      </c>
      <c r="C1885" s="3">
        <f>IF(D1885="","",IF(V1885=0,"🟢 OK",IF(D1885&lt;corte,"⚪ HISTÓRICO (sem baixa)",IF(AND(ISNUMBER(R1885),R1885&lt;TODAY()),"🔴 PRAZO VENCIDO",IF(AND(OR(N1885="PENDENTE",N1885="PARCIAL"),D1885&lt;TODAY()-1),"🔴 EMBARQUE ATRASADO",IF(AND(N1885="REALIZADO",M1885="PENDENTE"),"🟡 EMBARCADO SEM FATURAR",IF(AND(P1885&lt;&gt;"",S1885="",OR(Q1885="",R1885="")),"🟡 PENDÊNCIA SEM RESPONSÁVEL/PRAZO",IF(AND(ISNUMBER(R1885),R1885=TODAY()),"🟡 VENCE HOJE",IF(AND(P1885&lt;&gt;"",S1885=""),"🟡 PENDÊNCIA ABERTA",IF(AND(N(J1885)&gt;0,N(K1885)&lt;J1885),"🟡 FALTA EXECUTAR",IF(OR(M1885="PENDENTE",M1885="PARCIAL"),"🟡 FATURAMENTO PENDENTE","🟡 EMBARQUE PENDENTE")))))))))))</f>
        <v/>
      </c>
      <c r="D1885" s="4" t="n"/>
      <c r="E1885" s="5" t="n"/>
      <c r="F1885" s="5" t="n"/>
      <c r="G1885" s="5" t="n"/>
      <c r="H1885" s="5" t="n"/>
      <c r="I1885" s="5" t="n"/>
      <c r="J1885" s="6" t="n"/>
      <c r="K1885" s="6" t="n"/>
      <c r="L1885" s="7">
        <f>IF(OR(D1885="",N(J1885)=0),"",MIN(1,N(K1885)/J1885))</f>
        <v/>
      </c>
      <c r="M1885" s="5" t="n"/>
      <c r="N1885" s="5" t="n"/>
      <c r="O1885" s="5" t="n"/>
      <c r="P1885" s="5" t="n"/>
      <c r="Q1885" s="5" t="n"/>
      <c r="R1885" s="4" t="n"/>
      <c r="S1885" s="4" t="n"/>
      <c r="T1885" s="5" t="n"/>
      <c r="U1885" s="8">
        <f>IF(AND(V1885=1,D1885&lt;&gt;""),IF(D1885&gt;=corte,TODAY()-D1885,""),"")</f>
        <v/>
      </c>
      <c r="V1885" s="8">
        <f>IF(D1885="",0,IF(OR(AND(P1885&lt;&gt;"",S1885=""),AND(N(J1885)&gt;0,N(K1885)&lt;J1885),OR(M1885="PENDENTE",M1885="PARCIAL"),OR(N1885="PENDENTE",N1885="PARCIAL")),1,0))</f>
        <v/>
      </c>
      <c r="W1885" s="8">
        <f>IF(AND(V1885=1,D1885&lt;&gt;""),IF(D1885&gt;=corte,(B1885="CRÍTICO")*1E9+(100000-D1885)*10000+10000-ROW(),""),"")</f>
        <v/>
      </c>
      <c r="X1885" s="8">
        <f>IF(AND(V1885=1,D1885=pas_data,E1885=pas_turno),10000-ROW(),"")</f>
        <v/>
      </c>
    </row>
    <row r="1886">
      <c r="A1886" s="3">
        <f>IF(D1886="","","TT-"&amp;TEXT(ROW()-1,"00000"))</f>
        <v/>
      </c>
      <c r="B1886" s="3">
        <f>IF(D1886="","",IF(V1886=0,"CONCLUÍDO",IF(D1886&lt;corte,"HISTÓRICO",IF(OR(AND(ISNUMBER(R1886),R1886&lt;TODAY()),AND(OR(N1886="PENDENTE",N1886="PARCIAL"),D1886&lt;TODAY()-1)),"CRÍTICO",IF(OR(AND(P1886&lt;&gt;"",S1886=""),AND(N1886="REALIZADO",M1886="PENDENTE"),AND(ISNUMBER(R1886),R1886=TODAY())),"ATENÇÃO",IF(N(K1886)=0,"PENDENTE","EM ANDAMENTO"))))))</f>
        <v/>
      </c>
      <c r="C1886" s="3">
        <f>IF(D1886="","",IF(V1886=0,"🟢 OK",IF(D1886&lt;corte,"⚪ HISTÓRICO (sem baixa)",IF(AND(ISNUMBER(R1886),R1886&lt;TODAY()),"🔴 PRAZO VENCIDO",IF(AND(OR(N1886="PENDENTE",N1886="PARCIAL"),D1886&lt;TODAY()-1),"🔴 EMBARQUE ATRASADO",IF(AND(N1886="REALIZADO",M1886="PENDENTE"),"🟡 EMBARCADO SEM FATURAR",IF(AND(P1886&lt;&gt;"",S1886="",OR(Q1886="",R1886="")),"🟡 PENDÊNCIA SEM RESPONSÁVEL/PRAZO",IF(AND(ISNUMBER(R1886),R1886=TODAY()),"🟡 VENCE HOJE",IF(AND(P1886&lt;&gt;"",S1886=""),"🟡 PENDÊNCIA ABERTA",IF(AND(N(J1886)&gt;0,N(K1886)&lt;J1886),"🟡 FALTA EXECUTAR",IF(OR(M1886="PENDENTE",M1886="PARCIAL"),"🟡 FATURAMENTO PENDENTE","🟡 EMBARQUE PENDENTE")))))))))))</f>
        <v/>
      </c>
      <c r="D1886" s="4" t="n"/>
      <c r="E1886" s="5" t="n"/>
      <c r="F1886" s="5" t="n"/>
      <c r="G1886" s="5" t="n"/>
      <c r="H1886" s="5" t="n"/>
      <c r="I1886" s="5" t="n"/>
      <c r="J1886" s="6" t="n"/>
      <c r="K1886" s="6" t="n"/>
      <c r="L1886" s="7">
        <f>IF(OR(D1886="",N(J1886)=0),"",MIN(1,N(K1886)/J1886))</f>
        <v/>
      </c>
      <c r="M1886" s="5" t="n"/>
      <c r="N1886" s="5" t="n"/>
      <c r="O1886" s="5" t="n"/>
      <c r="P1886" s="5" t="n"/>
      <c r="Q1886" s="5" t="n"/>
      <c r="R1886" s="4" t="n"/>
      <c r="S1886" s="4" t="n"/>
      <c r="T1886" s="5" t="n"/>
      <c r="U1886" s="8">
        <f>IF(AND(V1886=1,D1886&lt;&gt;""),IF(D1886&gt;=corte,TODAY()-D1886,""),"")</f>
        <v/>
      </c>
      <c r="V1886" s="8">
        <f>IF(D1886="",0,IF(OR(AND(P1886&lt;&gt;"",S1886=""),AND(N(J1886)&gt;0,N(K1886)&lt;J1886),OR(M1886="PENDENTE",M1886="PARCIAL"),OR(N1886="PENDENTE",N1886="PARCIAL")),1,0))</f>
        <v/>
      </c>
      <c r="W1886" s="8">
        <f>IF(AND(V1886=1,D1886&lt;&gt;""),IF(D1886&gt;=corte,(B1886="CRÍTICO")*1E9+(100000-D1886)*10000+10000-ROW(),""),"")</f>
        <v/>
      </c>
      <c r="X1886" s="8">
        <f>IF(AND(V1886=1,D1886=pas_data,E1886=pas_turno),10000-ROW(),"")</f>
        <v/>
      </c>
    </row>
    <row r="1887">
      <c r="A1887" s="3">
        <f>IF(D1887="","","TT-"&amp;TEXT(ROW()-1,"00000"))</f>
        <v/>
      </c>
      <c r="B1887" s="3">
        <f>IF(D1887="","",IF(V1887=0,"CONCLUÍDO",IF(D1887&lt;corte,"HISTÓRICO",IF(OR(AND(ISNUMBER(R1887),R1887&lt;TODAY()),AND(OR(N1887="PENDENTE",N1887="PARCIAL"),D1887&lt;TODAY()-1)),"CRÍTICO",IF(OR(AND(P1887&lt;&gt;"",S1887=""),AND(N1887="REALIZADO",M1887="PENDENTE"),AND(ISNUMBER(R1887),R1887=TODAY())),"ATENÇÃO",IF(N(K1887)=0,"PENDENTE","EM ANDAMENTO"))))))</f>
        <v/>
      </c>
      <c r="C1887" s="3">
        <f>IF(D1887="","",IF(V1887=0,"🟢 OK",IF(D1887&lt;corte,"⚪ HISTÓRICO (sem baixa)",IF(AND(ISNUMBER(R1887),R1887&lt;TODAY()),"🔴 PRAZO VENCIDO",IF(AND(OR(N1887="PENDENTE",N1887="PARCIAL"),D1887&lt;TODAY()-1),"🔴 EMBARQUE ATRASADO",IF(AND(N1887="REALIZADO",M1887="PENDENTE"),"🟡 EMBARCADO SEM FATURAR",IF(AND(P1887&lt;&gt;"",S1887="",OR(Q1887="",R1887="")),"🟡 PENDÊNCIA SEM RESPONSÁVEL/PRAZO",IF(AND(ISNUMBER(R1887),R1887=TODAY()),"🟡 VENCE HOJE",IF(AND(P1887&lt;&gt;"",S1887=""),"🟡 PENDÊNCIA ABERTA",IF(AND(N(J1887)&gt;0,N(K1887)&lt;J1887),"🟡 FALTA EXECUTAR",IF(OR(M1887="PENDENTE",M1887="PARCIAL"),"🟡 FATURAMENTO PENDENTE","🟡 EMBARQUE PENDENTE")))))))))))</f>
        <v/>
      </c>
      <c r="D1887" s="4" t="n"/>
      <c r="E1887" s="5" t="n"/>
      <c r="F1887" s="5" t="n"/>
      <c r="G1887" s="5" t="n"/>
      <c r="H1887" s="5" t="n"/>
      <c r="I1887" s="5" t="n"/>
      <c r="J1887" s="6" t="n"/>
      <c r="K1887" s="6" t="n"/>
      <c r="L1887" s="7">
        <f>IF(OR(D1887="",N(J1887)=0),"",MIN(1,N(K1887)/J1887))</f>
        <v/>
      </c>
      <c r="M1887" s="5" t="n"/>
      <c r="N1887" s="5" t="n"/>
      <c r="O1887" s="5" t="n"/>
      <c r="P1887" s="5" t="n"/>
      <c r="Q1887" s="5" t="n"/>
      <c r="R1887" s="4" t="n"/>
      <c r="S1887" s="4" t="n"/>
      <c r="T1887" s="5" t="n"/>
      <c r="U1887" s="8">
        <f>IF(AND(V1887=1,D1887&lt;&gt;""),IF(D1887&gt;=corte,TODAY()-D1887,""),"")</f>
        <v/>
      </c>
      <c r="V1887" s="8">
        <f>IF(D1887="",0,IF(OR(AND(P1887&lt;&gt;"",S1887=""),AND(N(J1887)&gt;0,N(K1887)&lt;J1887),OR(M1887="PENDENTE",M1887="PARCIAL"),OR(N1887="PENDENTE",N1887="PARCIAL")),1,0))</f>
        <v/>
      </c>
      <c r="W1887" s="8">
        <f>IF(AND(V1887=1,D1887&lt;&gt;""),IF(D1887&gt;=corte,(B1887="CRÍTICO")*1E9+(100000-D1887)*10000+10000-ROW(),""),"")</f>
        <v/>
      </c>
      <c r="X1887" s="8">
        <f>IF(AND(V1887=1,D1887=pas_data,E1887=pas_turno),10000-ROW(),"")</f>
        <v/>
      </c>
    </row>
    <row r="1888">
      <c r="A1888" s="3">
        <f>IF(D1888="","","TT-"&amp;TEXT(ROW()-1,"00000"))</f>
        <v/>
      </c>
      <c r="B1888" s="3">
        <f>IF(D1888="","",IF(V1888=0,"CONCLUÍDO",IF(D1888&lt;corte,"HISTÓRICO",IF(OR(AND(ISNUMBER(R1888),R1888&lt;TODAY()),AND(OR(N1888="PENDENTE",N1888="PARCIAL"),D1888&lt;TODAY()-1)),"CRÍTICO",IF(OR(AND(P1888&lt;&gt;"",S1888=""),AND(N1888="REALIZADO",M1888="PENDENTE"),AND(ISNUMBER(R1888),R1888=TODAY())),"ATENÇÃO",IF(N(K1888)=0,"PENDENTE","EM ANDAMENTO"))))))</f>
        <v/>
      </c>
      <c r="C1888" s="3">
        <f>IF(D1888="","",IF(V1888=0,"🟢 OK",IF(D1888&lt;corte,"⚪ HISTÓRICO (sem baixa)",IF(AND(ISNUMBER(R1888),R1888&lt;TODAY()),"🔴 PRAZO VENCIDO",IF(AND(OR(N1888="PENDENTE",N1888="PARCIAL"),D1888&lt;TODAY()-1),"🔴 EMBARQUE ATRASADO",IF(AND(N1888="REALIZADO",M1888="PENDENTE"),"🟡 EMBARCADO SEM FATURAR",IF(AND(P1888&lt;&gt;"",S1888="",OR(Q1888="",R1888="")),"🟡 PENDÊNCIA SEM RESPONSÁVEL/PRAZO",IF(AND(ISNUMBER(R1888),R1888=TODAY()),"🟡 VENCE HOJE",IF(AND(P1888&lt;&gt;"",S1888=""),"🟡 PENDÊNCIA ABERTA",IF(AND(N(J1888)&gt;0,N(K1888)&lt;J1888),"🟡 FALTA EXECUTAR",IF(OR(M1888="PENDENTE",M1888="PARCIAL"),"🟡 FATURAMENTO PENDENTE","🟡 EMBARQUE PENDENTE")))))))))))</f>
        <v/>
      </c>
      <c r="D1888" s="4" t="n"/>
      <c r="E1888" s="5" t="n"/>
      <c r="F1888" s="5" t="n"/>
      <c r="G1888" s="5" t="n"/>
      <c r="H1888" s="5" t="n"/>
      <c r="I1888" s="5" t="n"/>
      <c r="J1888" s="6" t="n"/>
      <c r="K1888" s="6" t="n"/>
      <c r="L1888" s="7">
        <f>IF(OR(D1888="",N(J1888)=0),"",MIN(1,N(K1888)/J1888))</f>
        <v/>
      </c>
      <c r="M1888" s="5" t="n"/>
      <c r="N1888" s="5" t="n"/>
      <c r="O1888" s="5" t="n"/>
      <c r="P1888" s="5" t="n"/>
      <c r="Q1888" s="5" t="n"/>
      <c r="R1888" s="4" t="n"/>
      <c r="S1888" s="4" t="n"/>
      <c r="T1888" s="5" t="n"/>
      <c r="U1888" s="8">
        <f>IF(AND(V1888=1,D1888&lt;&gt;""),IF(D1888&gt;=corte,TODAY()-D1888,""),"")</f>
        <v/>
      </c>
      <c r="V1888" s="8">
        <f>IF(D1888="",0,IF(OR(AND(P1888&lt;&gt;"",S1888=""),AND(N(J1888)&gt;0,N(K1888)&lt;J1888),OR(M1888="PENDENTE",M1888="PARCIAL"),OR(N1888="PENDENTE",N1888="PARCIAL")),1,0))</f>
        <v/>
      </c>
      <c r="W1888" s="8">
        <f>IF(AND(V1888=1,D1888&lt;&gt;""),IF(D1888&gt;=corte,(B1888="CRÍTICO")*1E9+(100000-D1888)*10000+10000-ROW(),""),"")</f>
        <v/>
      </c>
      <c r="X1888" s="8">
        <f>IF(AND(V1888=1,D1888=pas_data,E1888=pas_turno),10000-ROW(),"")</f>
        <v/>
      </c>
    </row>
    <row r="1889">
      <c r="A1889" s="3">
        <f>IF(D1889="","","TT-"&amp;TEXT(ROW()-1,"00000"))</f>
        <v/>
      </c>
      <c r="B1889" s="3">
        <f>IF(D1889="","",IF(V1889=0,"CONCLUÍDO",IF(D1889&lt;corte,"HISTÓRICO",IF(OR(AND(ISNUMBER(R1889),R1889&lt;TODAY()),AND(OR(N1889="PENDENTE",N1889="PARCIAL"),D1889&lt;TODAY()-1)),"CRÍTICO",IF(OR(AND(P1889&lt;&gt;"",S1889=""),AND(N1889="REALIZADO",M1889="PENDENTE"),AND(ISNUMBER(R1889),R1889=TODAY())),"ATENÇÃO",IF(N(K1889)=0,"PENDENTE","EM ANDAMENTO"))))))</f>
        <v/>
      </c>
      <c r="C1889" s="3">
        <f>IF(D1889="","",IF(V1889=0,"🟢 OK",IF(D1889&lt;corte,"⚪ HISTÓRICO (sem baixa)",IF(AND(ISNUMBER(R1889),R1889&lt;TODAY()),"🔴 PRAZO VENCIDO",IF(AND(OR(N1889="PENDENTE",N1889="PARCIAL"),D1889&lt;TODAY()-1),"🔴 EMBARQUE ATRASADO",IF(AND(N1889="REALIZADO",M1889="PENDENTE"),"🟡 EMBARCADO SEM FATURAR",IF(AND(P1889&lt;&gt;"",S1889="",OR(Q1889="",R1889="")),"🟡 PENDÊNCIA SEM RESPONSÁVEL/PRAZO",IF(AND(ISNUMBER(R1889),R1889=TODAY()),"🟡 VENCE HOJE",IF(AND(P1889&lt;&gt;"",S1889=""),"🟡 PENDÊNCIA ABERTA",IF(AND(N(J1889)&gt;0,N(K1889)&lt;J1889),"🟡 FALTA EXECUTAR",IF(OR(M1889="PENDENTE",M1889="PARCIAL"),"🟡 FATURAMENTO PENDENTE","🟡 EMBARQUE PENDENTE")))))))))))</f>
        <v/>
      </c>
      <c r="D1889" s="4" t="n"/>
      <c r="E1889" s="5" t="n"/>
      <c r="F1889" s="5" t="n"/>
      <c r="G1889" s="5" t="n"/>
      <c r="H1889" s="5" t="n"/>
      <c r="I1889" s="5" t="n"/>
      <c r="J1889" s="6" t="n"/>
      <c r="K1889" s="6" t="n"/>
      <c r="L1889" s="7">
        <f>IF(OR(D1889="",N(J1889)=0),"",MIN(1,N(K1889)/J1889))</f>
        <v/>
      </c>
      <c r="M1889" s="5" t="n"/>
      <c r="N1889" s="5" t="n"/>
      <c r="O1889" s="5" t="n"/>
      <c r="P1889" s="5" t="n"/>
      <c r="Q1889" s="5" t="n"/>
      <c r="R1889" s="4" t="n"/>
      <c r="S1889" s="4" t="n"/>
      <c r="T1889" s="5" t="n"/>
      <c r="U1889" s="8">
        <f>IF(AND(V1889=1,D1889&lt;&gt;""),IF(D1889&gt;=corte,TODAY()-D1889,""),"")</f>
        <v/>
      </c>
      <c r="V1889" s="8">
        <f>IF(D1889="",0,IF(OR(AND(P1889&lt;&gt;"",S1889=""),AND(N(J1889)&gt;0,N(K1889)&lt;J1889),OR(M1889="PENDENTE",M1889="PARCIAL"),OR(N1889="PENDENTE",N1889="PARCIAL")),1,0))</f>
        <v/>
      </c>
      <c r="W1889" s="8">
        <f>IF(AND(V1889=1,D1889&lt;&gt;""),IF(D1889&gt;=corte,(B1889="CRÍTICO")*1E9+(100000-D1889)*10000+10000-ROW(),""),"")</f>
        <v/>
      </c>
      <c r="X1889" s="8">
        <f>IF(AND(V1889=1,D1889=pas_data,E1889=pas_turno),10000-ROW(),"")</f>
        <v/>
      </c>
    </row>
    <row r="1890">
      <c r="A1890" s="3">
        <f>IF(D1890="","","TT-"&amp;TEXT(ROW()-1,"00000"))</f>
        <v/>
      </c>
      <c r="B1890" s="3">
        <f>IF(D1890="","",IF(V1890=0,"CONCLUÍDO",IF(D1890&lt;corte,"HISTÓRICO",IF(OR(AND(ISNUMBER(R1890),R1890&lt;TODAY()),AND(OR(N1890="PENDENTE",N1890="PARCIAL"),D1890&lt;TODAY()-1)),"CRÍTICO",IF(OR(AND(P1890&lt;&gt;"",S1890=""),AND(N1890="REALIZADO",M1890="PENDENTE"),AND(ISNUMBER(R1890),R1890=TODAY())),"ATENÇÃO",IF(N(K1890)=0,"PENDENTE","EM ANDAMENTO"))))))</f>
        <v/>
      </c>
      <c r="C1890" s="3">
        <f>IF(D1890="","",IF(V1890=0,"🟢 OK",IF(D1890&lt;corte,"⚪ HISTÓRICO (sem baixa)",IF(AND(ISNUMBER(R1890),R1890&lt;TODAY()),"🔴 PRAZO VENCIDO",IF(AND(OR(N1890="PENDENTE",N1890="PARCIAL"),D1890&lt;TODAY()-1),"🔴 EMBARQUE ATRASADO",IF(AND(N1890="REALIZADO",M1890="PENDENTE"),"🟡 EMBARCADO SEM FATURAR",IF(AND(P1890&lt;&gt;"",S1890="",OR(Q1890="",R1890="")),"🟡 PENDÊNCIA SEM RESPONSÁVEL/PRAZO",IF(AND(ISNUMBER(R1890),R1890=TODAY()),"🟡 VENCE HOJE",IF(AND(P1890&lt;&gt;"",S1890=""),"🟡 PENDÊNCIA ABERTA",IF(AND(N(J1890)&gt;0,N(K1890)&lt;J1890),"🟡 FALTA EXECUTAR",IF(OR(M1890="PENDENTE",M1890="PARCIAL"),"🟡 FATURAMENTO PENDENTE","🟡 EMBARQUE PENDENTE")))))))))))</f>
        <v/>
      </c>
      <c r="D1890" s="4" t="n"/>
      <c r="E1890" s="5" t="n"/>
      <c r="F1890" s="5" t="n"/>
      <c r="G1890" s="5" t="n"/>
      <c r="H1890" s="5" t="n"/>
      <c r="I1890" s="5" t="n"/>
      <c r="J1890" s="6" t="n"/>
      <c r="K1890" s="6" t="n"/>
      <c r="L1890" s="7">
        <f>IF(OR(D1890="",N(J1890)=0),"",MIN(1,N(K1890)/J1890))</f>
        <v/>
      </c>
      <c r="M1890" s="5" t="n"/>
      <c r="N1890" s="5" t="n"/>
      <c r="O1890" s="5" t="n"/>
      <c r="P1890" s="5" t="n"/>
      <c r="Q1890" s="5" t="n"/>
      <c r="R1890" s="4" t="n"/>
      <c r="S1890" s="4" t="n"/>
      <c r="T1890" s="5" t="n"/>
      <c r="U1890" s="8">
        <f>IF(AND(V1890=1,D1890&lt;&gt;""),IF(D1890&gt;=corte,TODAY()-D1890,""),"")</f>
        <v/>
      </c>
      <c r="V1890" s="8">
        <f>IF(D1890="",0,IF(OR(AND(P1890&lt;&gt;"",S1890=""),AND(N(J1890)&gt;0,N(K1890)&lt;J1890),OR(M1890="PENDENTE",M1890="PARCIAL"),OR(N1890="PENDENTE",N1890="PARCIAL")),1,0))</f>
        <v/>
      </c>
      <c r="W1890" s="8">
        <f>IF(AND(V1890=1,D1890&lt;&gt;""),IF(D1890&gt;=corte,(B1890="CRÍTICO")*1E9+(100000-D1890)*10000+10000-ROW(),""),"")</f>
        <v/>
      </c>
      <c r="X1890" s="8">
        <f>IF(AND(V1890=1,D1890=pas_data,E1890=pas_turno),10000-ROW(),"")</f>
        <v/>
      </c>
    </row>
    <row r="1891">
      <c r="A1891" s="3">
        <f>IF(D1891="","","TT-"&amp;TEXT(ROW()-1,"00000"))</f>
        <v/>
      </c>
      <c r="B1891" s="3">
        <f>IF(D1891="","",IF(V1891=0,"CONCLUÍDO",IF(D1891&lt;corte,"HISTÓRICO",IF(OR(AND(ISNUMBER(R1891),R1891&lt;TODAY()),AND(OR(N1891="PENDENTE",N1891="PARCIAL"),D1891&lt;TODAY()-1)),"CRÍTICO",IF(OR(AND(P1891&lt;&gt;"",S1891=""),AND(N1891="REALIZADO",M1891="PENDENTE"),AND(ISNUMBER(R1891),R1891=TODAY())),"ATENÇÃO",IF(N(K1891)=0,"PENDENTE","EM ANDAMENTO"))))))</f>
        <v/>
      </c>
      <c r="C1891" s="3">
        <f>IF(D1891="","",IF(V1891=0,"🟢 OK",IF(D1891&lt;corte,"⚪ HISTÓRICO (sem baixa)",IF(AND(ISNUMBER(R1891),R1891&lt;TODAY()),"🔴 PRAZO VENCIDO",IF(AND(OR(N1891="PENDENTE",N1891="PARCIAL"),D1891&lt;TODAY()-1),"🔴 EMBARQUE ATRASADO",IF(AND(N1891="REALIZADO",M1891="PENDENTE"),"🟡 EMBARCADO SEM FATURAR",IF(AND(P1891&lt;&gt;"",S1891="",OR(Q1891="",R1891="")),"🟡 PENDÊNCIA SEM RESPONSÁVEL/PRAZO",IF(AND(ISNUMBER(R1891),R1891=TODAY()),"🟡 VENCE HOJE",IF(AND(P1891&lt;&gt;"",S1891=""),"🟡 PENDÊNCIA ABERTA",IF(AND(N(J1891)&gt;0,N(K1891)&lt;J1891),"🟡 FALTA EXECUTAR",IF(OR(M1891="PENDENTE",M1891="PARCIAL"),"🟡 FATURAMENTO PENDENTE","🟡 EMBARQUE PENDENTE")))))))))))</f>
        <v/>
      </c>
      <c r="D1891" s="4" t="n"/>
      <c r="E1891" s="5" t="n"/>
      <c r="F1891" s="5" t="n"/>
      <c r="G1891" s="5" t="n"/>
      <c r="H1891" s="5" t="n"/>
      <c r="I1891" s="5" t="n"/>
      <c r="J1891" s="6" t="n"/>
      <c r="K1891" s="6" t="n"/>
      <c r="L1891" s="7">
        <f>IF(OR(D1891="",N(J1891)=0),"",MIN(1,N(K1891)/J1891))</f>
        <v/>
      </c>
      <c r="M1891" s="5" t="n"/>
      <c r="N1891" s="5" t="n"/>
      <c r="O1891" s="5" t="n"/>
      <c r="P1891" s="5" t="n"/>
      <c r="Q1891" s="5" t="n"/>
      <c r="R1891" s="4" t="n"/>
      <c r="S1891" s="4" t="n"/>
      <c r="T1891" s="5" t="n"/>
      <c r="U1891" s="8">
        <f>IF(AND(V1891=1,D1891&lt;&gt;""),IF(D1891&gt;=corte,TODAY()-D1891,""),"")</f>
        <v/>
      </c>
      <c r="V1891" s="8">
        <f>IF(D1891="",0,IF(OR(AND(P1891&lt;&gt;"",S1891=""),AND(N(J1891)&gt;0,N(K1891)&lt;J1891),OR(M1891="PENDENTE",M1891="PARCIAL"),OR(N1891="PENDENTE",N1891="PARCIAL")),1,0))</f>
        <v/>
      </c>
      <c r="W1891" s="8">
        <f>IF(AND(V1891=1,D1891&lt;&gt;""),IF(D1891&gt;=corte,(B1891="CRÍTICO")*1E9+(100000-D1891)*10000+10000-ROW(),""),"")</f>
        <v/>
      </c>
      <c r="X1891" s="8">
        <f>IF(AND(V1891=1,D1891=pas_data,E1891=pas_turno),10000-ROW(),"")</f>
        <v/>
      </c>
    </row>
    <row r="1892">
      <c r="A1892" s="3">
        <f>IF(D1892="","","TT-"&amp;TEXT(ROW()-1,"00000"))</f>
        <v/>
      </c>
      <c r="B1892" s="3">
        <f>IF(D1892="","",IF(V1892=0,"CONCLUÍDO",IF(D1892&lt;corte,"HISTÓRICO",IF(OR(AND(ISNUMBER(R1892),R1892&lt;TODAY()),AND(OR(N1892="PENDENTE",N1892="PARCIAL"),D1892&lt;TODAY()-1)),"CRÍTICO",IF(OR(AND(P1892&lt;&gt;"",S1892=""),AND(N1892="REALIZADO",M1892="PENDENTE"),AND(ISNUMBER(R1892),R1892=TODAY())),"ATENÇÃO",IF(N(K1892)=0,"PENDENTE","EM ANDAMENTO"))))))</f>
        <v/>
      </c>
      <c r="C1892" s="3">
        <f>IF(D1892="","",IF(V1892=0,"🟢 OK",IF(D1892&lt;corte,"⚪ HISTÓRICO (sem baixa)",IF(AND(ISNUMBER(R1892),R1892&lt;TODAY()),"🔴 PRAZO VENCIDO",IF(AND(OR(N1892="PENDENTE",N1892="PARCIAL"),D1892&lt;TODAY()-1),"🔴 EMBARQUE ATRASADO",IF(AND(N1892="REALIZADO",M1892="PENDENTE"),"🟡 EMBARCADO SEM FATURAR",IF(AND(P1892&lt;&gt;"",S1892="",OR(Q1892="",R1892="")),"🟡 PENDÊNCIA SEM RESPONSÁVEL/PRAZO",IF(AND(ISNUMBER(R1892),R1892=TODAY()),"🟡 VENCE HOJE",IF(AND(P1892&lt;&gt;"",S1892=""),"🟡 PENDÊNCIA ABERTA",IF(AND(N(J1892)&gt;0,N(K1892)&lt;J1892),"🟡 FALTA EXECUTAR",IF(OR(M1892="PENDENTE",M1892="PARCIAL"),"🟡 FATURAMENTO PENDENTE","🟡 EMBARQUE PENDENTE")))))))))))</f>
        <v/>
      </c>
      <c r="D1892" s="4" t="n"/>
      <c r="E1892" s="5" t="n"/>
      <c r="F1892" s="5" t="n"/>
      <c r="G1892" s="5" t="n"/>
      <c r="H1892" s="5" t="n"/>
      <c r="I1892" s="5" t="n"/>
      <c r="J1892" s="6" t="n"/>
      <c r="K1892" s="6" t="n"/>
      <c r="L1892" s="7">
        <f>IF(OR(D1892="",N(J1892)=0),"",MIN(1,N(K1892)/J1892))</f>
        <v/>
      </c>
      <c r="M1892" s="5" t="n"/>
      <c r="N1892" s="5" t="n"/>
      <c r="O1892" s="5" t="n"/>
      <c r="P1892" s="5" t="n"/>
      <c r="Q1892" s="5" t="n"/>
      <c r="R1892" s="4" t="n"/>
      <c r="S1892" s="4" t="n"/>
      <c r="T1892" s="5" t="n"/>
      <c r="U1892" s="8">
        <f>IF(AND(V1892=1,D1892&lt;&gt;""),IF(D1892&gt;=corte,TODAY()-D1892,""),"")</f>
        <v/>
      </c>
      <c r="V1892" s="8">
        <f>IF(D1892="",0,IF(OR(AND(P1892&lt;&gt;"",S1892=""),AND(N(J1892)&gt;0,N(K1892)&lt;J1892),OR(M1892="PENDENTE",M1892="PARCIAL"),OR(N1892="PENDENTE",N1892="PARCIAL")),1,0))</f>
        <v/>
      </c>
      <c r="W1892" s="8">
        <f>IF(AND(V1892=1,D1892&lt;&gt;""),IF(D1892&gt;=corte,(B1892="CRÍTICO")*1E9+(100000-D1892)*10000+10000-ROW(),""),"")</f>
        <v/>
      </c>
      <c r="X1892" s="8">
        <f>IF(AND(V1892=1,D1892=pas_data,E1892=pas_turno),10000-ROW(),"")</f>
        <v/>
      </c>
    </row>
    <row r="1893">
      <c r="A1893" s="3">
        <f>IF(D1893="","","TT-"&amp;TEXT(ROW()-1,"00000"))</f>
        <v/>
      </c>
      <c r="B1893" s="3">
        <f>IF(D1893="","",IF(V1893=0,"CONCLUÍDO",IF(D1893&lt;corte,"HISTÓRICO",IF(OR(AND(ISNUMBER(R1893),R1893&lt;TODAY()),AND(OR(N1893="PENDENTE",N1893="PARCIAL"),D1893&lt;TODAY()-1)),"CRÍTICO",IF(OR(AND(P1893&lt;&gt;"",S1893=""),AND(N1893="REALIZADO",M1893="PENDENTE"),AND(ISNUMBER(R1893),R1893=TODAY())),"ATENÇÃO",IF(N(K1893)=0,"PENDENTE","EM ANDAMENTO"))))))</f>
        <v/>
      </c>
      <c r="C1893" s="3">
        <f>IF(D1893="","",IF(V1893=0,"🟢 OK",IF(D1893&lt;corte,"⚪ HISTÓRICO (sem baixa)",IF(AND(ISNUMBER(R1893),R1893&lt;TODAY()),"🔴 PRAZO VENCIDO",IF(AND(OR(N1893="PENDENTE",N1893="PARCIAL"),D1893&lt;TODAY()-1),"🔴 EMBARQUE ATRASADO",IF(AND(N1893="REALIZADO",M1893="PENDENTE"),"🟡 EMBARCADO SEM FATURAR",IF(AND(P1893&lt;&gt;"",S1893="",OR(Q1893="",R1893="")),"🟡 PENDÊNCIA SEM RESPONSÁVEL/PRAZO",IF(AND(ISNUMBER(R1893),R1893=TODAY()),"🟡 VENCE HOJE",IF(AND(P1893&lt;&gt;"",S1893=""),"🟡 PENDÊNCIA ABERTA",IF(AND(N(J1893)&gt;0,N(K1893)&lt;J1893),"🟡 FALTA EXECUTAR",IF(OR(M1893="PENDENTE",M1893="PARCIAL"),"🟡 FATURAMENTO PENDENTE","🟡 EMBARQUE PENDENTE")))))))))))</f>
        <v/>
      </c>
      <c r="D1893" s="4" t="n"/>
      <c r="E1893" s="5" t="n"/>
      <c r="F1893" s="5" t="n"/>
      <c r="G1893" s="5" t="n"/>
      <c r="H1893" s="5" t="n"/>
      <c r="I1893" s="5" t="n"/>
      <c r="J1893" s="6" t="n"/>
      <c r="K1893" s="6" t="n"/>
      <c r="L1893" s="7">
        <f>IF(OR(D1893="",N(J1893)=0),"",MIN(1,N(K1893)/J1893))</f>
        <v/>
      </c>
      <c r="M1893" s="5" t="n"/>
      <c r="N1893" s="5" t="n"/>
      <c r="O1893" s="5" t="n"/>
      <c r="P1893" s="5" t="n"/>
      <c r="Q1893" s="5" t="n"/>
      <c r="R1893" s="4" t="n"/>
      <c r="S1893" s="4" t="n"/>
      <c r="T1893" s="5" t="n"/>
      <c r="U1893" s="8">
        <f>IF(AND(V1893=1,D1893&lt;&gt;""),IF(D1893&gt;=corte,TODAY()-D1893,""),"")</f>
        <v/>
      </c>
      <c r="V1893" s="8">
        <f>IF(D1893="",0,IF(OR(AND(P1893&lt;&gt;"",S1893=""),AND(N(J1893)&gt;0,N(K1893)&lt;J1893),OR(M1893="PENDENTE",M1893="PARCIAL"),OR(N1893="PENDENTE",N1893="PARCIAL")),1,0))</f>
        <v/>
      </c>
      <c r="W1893" s="8">
        <f>IF(AND(V1893=1,D1893&lt;&gt;""),IF(D1893&gt;=corte,(B1893="CRÍTICO")*1E9+(100000-D1893)*10000+10000-ROW(),""),"")</f>
        <v/>
      </c>
      <c r="X1893" s="8">
        <f>IF(AND(V1893=1,D1893=pas_data,E1893=pas_turno),10000-ROW(),"")</f>
        <v/>
      </c>
    </row>
    <row r="1894">
      <c r="A1894" s="3">
        <f>IF(D1894="","","TT-"&amp;TEXT(ROW()-1,"00000"))</f>
        <v/>
      </c>
      <c r="B1894" s="3">
        <f>IF(D1894="","",IF(V1894=0,"CONCLUÍDO",IF(D1894&lt;corte,"HISTÓRICO",IF(OR(AND(ISNUMBER(R1894),R1894&lt;TODAY()),AND(OR(N1894="PENDENTE",N1894="PARCIAL"),D1894&lt;TODAY()-1)),"CRÍTICO",IF(OR(AND(P1894&lt;&gt;"",S1894=""),AND(N1894="REALIZADO",M1894="PENDENTE"),AND(ISNUMBER(R1894),R1894=TODAY())),"ATENÇÃO",IF(N(K1894)=0,"PENDENTE","EM ANDAMENTO"))))))</f>
        <v/>
      </c>
      <c r="C1894" s="3">
        <f>IF(D1894="","",IF(V1894=0,"🟢 OK",IF(D1894&lt;corte,"⚪ HISTÓRICO (sem baixa)",IF(AND(ISNUMBER(R1894),R1894&lt;TODAY()),"🔴 PRAZO VENCIDO",IF(AND(OR(N1894="PENDENTE",N1894="PARCIAL"),D1894&lt;TODAY()-1),"🔴 EMBARQUE ATRASADO",IF(AND(N1894="REALIZADO",M1894="PENDENTE"),"🟡 EMBARCADO SEM FATURAR",IF(AND(P1894&lt;&gt;"",S1894="",OR(Q1894="",R1894="")),"🟡 PENDÊNCIA SEM RESPONSÁVEL/PRAZO",IF(AND(ISNUMBER(R1894),R1894=TODAY()),"🟡 VENCE HOJE",IF(AND(P1894&lt;&gt;"",S1894=""),"🟡 PENDÊNCIA ABERTA",IF(AND(N(J1894)&gt;0,N(K1894)&lt;J1894),"🟡 FALTA EXECUTAR",IF(OR(M1894="PENDENTE",M1894="PARCIAL"),"🟡 FATURAMENTO PENDENTE","🟡 EMBARQUE PENDENTE")))))))))))</f>
        <v/>
      </c>
      <c r="D1894" s="4" t="n"/>
      <c r="E1894" s="5" t="n"/>
      <c r="F1894" s="5" t="n"/>
      <c r="G1894" s="5" t="n"/>
      <c r="H1894" s="5" t="n"/>
      <c r="I1894" s="5" t="n"/>
      <c r="J1894" s="6" t="n"/>
      <c r="K1894" s="6" t="n"/>
      <c r="L1894" s="7">
        <f>IF(OR(D1894="",N(J1894)=0),"",MIN(1,N(K1894)/J1894))</f>
        <v/>
      </c>
      <c r="M1894" s="5" t="n"/>
      <c r="N1894" s="5" t="n"/>
      <c r="O1894" s="5" t="n"/>
      <c r="P1894" s="5" t="n"/>
      <c r="Q1894" s="5" t="n"/>
      <c r="R1894" s="4" t="n"/>
      <c r="S1894" s="4" t="n"/>
      <c r="T1894" s="5" t="n"/>
      <c r="U1894" s="8">
        <f>IF(AND(V1894=1,D1894&lt;&gt;""),IF(D1894&gt;=corte,TODAY()-D1894,""),"")</f>
        <v/>
      </c>
      <c r="V1894" s="8">
        <f>IF(D1894="",0,IF(OR(AND(P1894&lt;&gt;"",S1894=""),AND(N(J1894)&gt;0,N(K1894)&lt;J1894),OR(M1894="PENDENTE",M1894="PARCIAL"),OR(N1894="PENDENTE",N1894="PARCIAL")),1,0))</f>
        <v/>
      </c>
      <c r="W1894" s="8">
        <f>IF(AND(V1894=1,D1894&lt;&gt;""),IF(D1894&gt;=corte,(B1894="CRÍTICO")*1E9+(100000-D1894)*10000+10000-ROW(),""),"")</f>
        <v/>
      </c>
      <c r="X1894" s="8">
        <f>IF(AND(V1894=1,D1894=pas_data,E1894=pas_turno),10000-ROW(),"")</f>
        <v/>
      </c>
    </row>
    <row r="1895">
      <c r="A1895" s="3">
        <f>IF(D1895="","","TT-"&amp;TEXT(ROW()-1,"00000"))</f>
        <v/>
      </c>
      <c r="B1895" s="3">
        <f>IF(D1895="","",IF(V1895=0,"CONCLUÍDO",IF(D1895&lt;corte,"HISTÓRICO",IF(OR(AND(ISNUMBER(R1895),R1895&lt;TODAY()),AND(OR(N1895="PENDENTE",N1895="PARCIAL"),D1895&lt;TODAY()-1)),"CRÍTICO",IF(OR(AND(P1895&lt;&gt;"",S1895=""),AND(N1895="REALIZADO",M1895="PENDENTE"),AND(ISNUMBER(R1895),R1895=TODAY())),"ATENÇÃO",IF(N(K1895)=0,"PENDENTE","EM ANDAMENTO"))))))</f>
        <v/>
      </c>
      <c r="C1895" s="3">
        <f>IF(D1895="","",IF(V1895=0,"🟢 OK",IF(D1895&lt;corte,"⚪ HISTÓRICO (sem baixa)",IF(AND(ISNUMBER(R1895),R1895&lt;TODAY()),"🔴 PRAZO VENCIDO",IF(AND(OR(N1895="PENDENTE",N1895="PARCIAL"),D1895&lt;TODAY()-1),"🔴 EMBARQUE ATRASADO",IF(AND(N1895="REALIZADO",M1895="PENDENTE"),"🟡 EMBARCADO SEM FATURAR",IF(AND(P1895&lt;&gt;"",S1895="",OR(Q1895="",R1895="")),"🟡 PENDÊNCIA SEM RESPONSÁVEL/PRAZO",IF(AND(ISNUMBER(R1895),R1895=TODAY()),"🟡 VENCE HOJE",IF(AND(P1895&lt;&gt;"",S1895=""),"🟡 PENDÊNCIA ABERTA",IF(AND(N(J1895)&gt;0,N(K1895)&lt;J1895),"🟡 FALTA EXECUTAR",IF(OR(M1895="PENDENTE",M1895="PARCIAL"),"🟡 FATURAMENTO PENDENTE","🟡 EMBARQUE PENDENTE")))))))))))</f>
        <v/>
      </c>
      <c r="D1895" s="4" t="n"/>
      <c r="E1895" s="5" t="n"/>
      <c r="F1895" s="5" t="n"/>
      <c r="G1895" s="5" t="n"/>
      <c r="H1895" s="5" t="n"/>
      <c r="I1895" s="5" t="n"/>
      <c r="J1895" s="6" t="n"/>
      <c r="K1895" s="6" t="n"/>
      <c r="L1895" s="7">
        <f>IF(OR(D1895="",N(J1895)=0),"",MIN(1,N(K1895)/J1895))</f>
        <v/>
      </c>
      <c r="M1895" s="5" t="n"/>
      <c r="N1895" s="5" t="n"/>
      <c r="O1895" s="5" t="n"/>
      <c r="P1895" s="5" t="n"/>
      <c r="Q1895" s="5" t="n"/>
      <c r="R1895" s="4" t="n"/>
      <c r="S1895" s="4" t="n"/>
      <c r="T1895" s="5" t="n"/>
      <c r="U1895" s="8">
        <f>IF(AND(V1895=1,D1895&lt;&gt;""),IF(D1895&gt;=corte,TODAY()-D1895,""),"")</f>
        <v/>
      </c>
      <c r="V1895" s="8">
        <f>IF(D1895="",0,IF(OR(AND(P1895&lt;&gt;"",S1895=""),AND(N(J1895)&gt;0,N(K1895)&lt;J1895),OR(M1895="PENDENTE",M1895="PARCIAL"),OR(N1895="PENDENTE",N1895="PARCIAL")),1,0))</f>
        <v/>
      </c>
      <c r="W1895" s="8">
        <f>IF(AND(V1895=1,D1895&lt;&gt;""),IF(D1895&gt;=corte,(B1895="CRÍTICO")*1E9+(100000-D1895)*10000+10000-ROW(),""),"")</f>
        <v/>
      </c>
      <c r="X1895" s="8">
        <f>IF(AND(V1895=1,D1895=pas_data,E1895=pas_turno),10000-ROW(),"")</f>
        <v/>
      </c>
    </row>
    <row r="1896">
      <c r="A1896" s="3">
        <f>IF(D1896="","","TT-"&amp;TEXT(ROW()-1,"00000"))</f>
        <v/>
      </c>
      <c r="B1896" s="3">
        <f>IF(D1896="","",IF(V1896=0,"CONCLUÍDO",IF(D1896&lt;corte,"HISTÓRICO",IF(OR(AND(ISNUMBER(R1896),R1896&lt;TODAY()),AND(OR(N1896="PENDENTE",N1896="PARCIAL"),D1896&lt;TODAY()-1)),"CRÍTICO",IF(OR(AND(P1896&lt;&gt;"",S1896=""),AND(N1896="REALIZADO",M1896="PENDENTE"),AND(ISNUMBER(R1896),R1896=TODAY())),"ATENÇÃO",IF(N(K1896)=0,"PENDENTE","EM ANDAMENTO"))))))</f>
        <v/>
      </c>
      <c r="C1896" s="3">
        <f>IF(D1896="","",IF(V1896=0,"🟢 OK",IF(D1896&lt;corte,"⚪ HISTÓRICO (sem baixa)",IF(AND(ISNUMBER(R1896),R1896&lt;TODAY()),"🔴 PRAZO VENCIDO",IF(AND(OR(N1896="PENDENTE",N1896="PARCIAL"),D1896&lt;TODAY()-1),"🔴 EMBARQUE ATRASADO",IF(AND(N1896="REALIZADO",M1896="PENDENTE"),"🟡 EMBARCADO SEM FATURAR",IF(AND(P1896&lt;&gt;"",S1896="",OR(Q1896="",R1896="")),"🟡 PENDÊNCIA SEM RESPONSÁVEL/PRAZO",IF(AND(ISNUMBER(R1896),R1896=TODAY()),"🟡 VENCE HOJE",IF(AND(P1896&lt;&gt;"",S1896=""),"🟡 PENDÊNCIA ABERTA",IF(AND(N(J1896)&gt;0,N(K1896)&lt;J1896),"🟡 FALTA EXECUTAR",IF(OR(M1896="PENDENTE",M1896="PARCIAL"),"🟡 FATURAMENTO PENDENTE","🟡 EMBARQUE PENDENTE")))))))))))</f>
        <v/>
      </c>
      <c r="D1896" s="4" t="n"/>
      <c r="E1896" s="5" t="n"/>
      <c r="F1896" s="5" t="n"/>
      <c r="G1896" s="5" t="n"/>
      <c r="H1896" s="5" t="n"/>
      <c r="I1896" s="5" t="n"/>
      <c r="J1896" s="6" t="n"/>
      <c r="K1896" s="6" t="n"/>
      <c r="L1896" s="7">
        <f>IF(OR(D1896="",N(J1896)=0),"",MIN(1,N(K1896)/J1896))</f>
        <v/>
      </c>
      <c r="M1896" s="5" t="n"/>
      <c r="N1896" s="5" t="n"/>
      <c r="O1896" s="5" t="n"/>
      <c r="P1896" s="5" t="n"/>
      <c r="Q1896" s="5" t="n"/>
      <c r="R1896" s="4" t="n"/>
      <c r="S1896" s="4" t="n"/>
      <c r="T1896" s="5" t="n"/>
      <c r="U1896" s="8">
        <f>IF(AND(V1896=1,D1896&lt;&gt;""),IF(D1896&gt;=corte,TODAY()-D1896,""),"")</f>
        <v/>
      </c>
      <c r="V1896" s="8">
        <f>IF(D1896="",0,IF(OR(AND(P1896&lt;&gt;"",S1896=""),AND(N(J1896)&gt;0,N(K1896)&lt;J1896),OR(M1896="PENDENTE",M1896="PARCIAL"),OR(N1896="PENDENTE",N1896="PARCIAL")),1,0))</f>
        <v/>
      </c>
      <c r="W1896" s="8">
        <f>IF(AND(V1896=1,D1896&lt;&gt;""),IF(D1896&gt;=corte,(B1896="CRÍTICO")*1E9+(100000-D1896)*10000+10000-ROW(),""),"")</f>
        <v/>
      </c>
      <c r="X1896" s="8">
        <f>IF(AND(V1896=1,D1896=pas_data,E1896=pas_turno),10000-ROW(),"")</f>
        <v/>
      </c>
    </row>
    <row r="1897">
      <c r="A1897" s="3">
        <f>IF(D1897="","","TT-"&amp;TEXT(ROW()-1,"00000"))</f>
        <v/>
      </c>
      <c r="B1897" s="3">
        <f>IF(D1897="","",IF(V1897=0,"CONCLUÍDO",IF(D1897&lt;corte,"HISTÓRICO",IF(OR(AND(ISNUMBER(R1897),R1897&lt;TODAY()),AND(OR(N1897="PENDENTE",N1897="PARCIAL"),D1897&lt;TODAY()-1)),"CRÍTICO",IF(OR(AND(P1897&lt;&gt;"",S1897=""),AND(N1897="REALIZADO",M1897="PENDENTE"),AND(ISNUMBER(R1897),R1897=TODAY())),"ATENÇÃO",IF(N(K1897)=0,"PENDENTE","EM ANDAMENTO"))))))</f>
        <v/>
      </c>
      <c r="C1897" s="3">
        <f>IF(D1897="","",IF(V1897=0,"🟢 OK",IF(D1897&lt;corte,"⚪ HISTÓRICO (sem baixa)",IF(AND(ISNUMBER(R1897),R1897&lt;TODAY()),"🔴 PRAZO VENCIDO",IF(AND(OR(N1897="PENDENTE",N1897="PARCIAL"),D1897&lt;TODAY()-1),"🔴 EMBARQUE ATRASADO",IF(AND(N1897="REALIZADO",M1897="PENDENTE"),"🟡 EMBARCADO SEM FATURAR",IF(AND(P1897&lt;&gt;"",S1897="",OR(Q1897="",R1897="")),"🟡 PENDÊNCIA SEM RESPONSÁVEL/PRAZO",IF(AND(ISNUMBER(R1897),R1897=TODAY()),"🟡 VENCE HOJE",IF(AND(P1897&lt;&gt;"",S1897=""),"🟡 PENDÊNCIA ABERTA",IF(AND(N(J1897)&gt;0,N(K1897)&lt;J1897),"🟡 FALTA EXECUTAR",IF(OR(M1897="PENDENTE",M1897="PARCIAL"),"🟡 FATURAMENTO PENDENTE","🟡 EMBARQUE PENDENTE")))))))))))</f>
        <v/>
      </c>
      <c r="D1897" s="4" t="n"/>
      <c r="E1897" s="5" t="n"/>
      <c r="F1897" s="5" t="n"/>
      <c r="G1897" s="5" t="n"/>
      <c r="H1897" s="5" t="n"/>
      <c r="I1897" s="5" t="n"/>
      <c r="J1897" s="6" t="n"/>
      <c r="K1897" s="6" t="n"/>
      <c r="L1897" s="7">
        <f>IF(OR(D1897="",N(J1897)=0),"",MIN(1,N(K1897)/J1897))</f>
        <v/>
      </c>
      <c r="M1897" s="5" t="n"/>
      <c r="N1897" s="5" t="n"/>
      <c r="O1897" s="5" t="n"/>
      <c r="P1897" s="5" t="n"/>
      <c r="Q1897" s="5" t="n"/>
      <c r="R1897" s="4" t="n"/>
      <c r="S1897" s="4" t="n"/>
      <c r="T1897" s="5" t="n"/>
      <c r="U1897" s="8">
        <f>IF(AND(V1897=1,D1897&lt;&gt;""),IF(D1897&gt;=corte,TODAY()-D1897,""),"")</f>
        <v/>
      </c>
      <c r="V1897" s="8">
        <f>IF(D1897="",0,IF(OR(AND(P1897&lt;&gt;"",S1897=""),AND(N(J1897)&gt;0,N(K1897)&lt;J1897),OR(M1897="PENDENTE",M1897="PARCIAL"),OR(N1897="PENDENTE",N1897="PARCIAL")),1,0))</f>
        <v/>
      </c>
      <c r="W1897" s="8">
        <f>IF(AND(V1897=1,D1897&lt;&gt;""),IF(D1897&gt;=corte,(B1897="CRÍTICO")*1E9+(100000-D1897)*10000+10000-ROW(),""),"")</f>
        <v/>
      </c>
      <c r="X1897" s="8">
        <f>IF(AND(V1897=1,D1897=pas_data,E1897=pas_turno),10000-ROW(),"")</f>
        <v/>
      </c>
    </row>
    <row r="1898">
      <c r="A1898" s="3">
        <f>IF(D1898="","","TT-"&amp;TEXT(ROW()-1,"00000"))</f>
        <v/>
      </c>
      <c r="B1898" s="3">
        <f>IF(D1898="","",IF(V1898=0,"CONCLUÍDO",IF(D1898&lt;corte,"HISTÓRICO",IF(OR(AND(ISNUMBER(R1898),R1898&lt;TODAY()),AND(OR(N1898="PENDENTE",N1898="PARCIAL"),D1898&lt;TODAY()-1)),"CRÍTICO",IF(OR(AND(P1898&lt;&gt;"",S1898=""),AND(N1898="REALIZADO",M1898="PENDENTE"),AND(ISNUMBER(R1898),R1898=TODAY())),"ATENÇÃO",IF(N(K1898)=0,"PENDENTE","EM ANDAMENTO"))))))</f>
        <v/>
      </c>
      <c r="C1898" s="3">
        <f>IF(D1898="","",IF(V1898=0,"🟢 OK",IF(D1898&lt;corte,"⚪ HISTÓRICO (sem baixa)",IF(AND(ISNUMBER(R1898),R1898&lt;TODAY()),"🔴 PRAZO VENCIDO",IF(AND(OR(N1898="PENDENTE",N1898="PARCIAL"),D1898&lt;TODAY()-1),"🔴 EMBARQUE ATRASADO",IF(AND(N1898="REALIZADO",M1898="PENDENTE"),"🟡 EMBARCADO SEM FATURAR",IF(AND(P1898&lt;&gt;"",S1898="",OR(Q1898="",R1898="")),"🟡 PENDÊNCIA SEM RESPONSÁVEL/PRAZO",IF(AND(ISNUMBER(R1898),R1898=TODAY()),"🟡 VENCE HOJE",IF(AND(P1898&lt;&gt;"",S1898=""),"🟡 PENDÊNCIA ABERTA",IF(AND(N(J1898)&gt;0,N(K1898)&lt;J1898),"🟡 FALTA EXECUTAR",IF(OR(M1898="PENDENTE",M1898="PARCIAL"),"🟡 FATURAMENTO PENDENTE","🟡 EMBARQUE PENDENTE")))))))))))</f>
        <v/>
      </c>
      <c r="D1898" s="4" t="n"/>
      <c r="E1898" s="5" t="n"/>
      <c r="F1898" s="5" t="n"/>
      <c r="G1898" s="5" t="n"/>
      <c r="H1898" s="5" t="n"/>
      <c r="I1898" s="5" t="n"/>
      <c r="J1898" s="6" t="n"/>
      <c r="K1898" s="6" t="n"/>
      <c r="L1898" s="7">
        <f>IF(OR(D1898="",N(J1898)=0),"",MIN(1,N(K1898)/J1898))</f>
        <v/>
      </c>
      <c r="M1898" s="5" t="n"/>
      <c r="N1898" s="5" t="n"/>
      <c r="O1898" s="5" t="n"/>
      <c r="P1898" s="5" t="n"/>
      <c r="Q1898" s="5" t="n"/>
      <c r="R1898" s="4" t="n"/>
      <c r="S1898" s="4" t="n"/>
      <c r="T1898" s="5" t="n"/>
      <c r="U1898" s="8">
        <f>IF(AND(V1898=1,D1898&lt;&gt;""),IF(D1898&gt;=corte,TODAY()-D1898,""),"")</f>
        <v/>
      </c>
      <c r="V1898" s="8">
        <f>IF(D1898="",0,IF(OR(AND(P1898&lt;&gt;"",S1898=""),AND(N(J1898)&gt;0,N(K1898)&lt;J1898),OR(M1898="PENDENTE",M1898="PARCIAL"),OR(N1898="PENDENTE",N1898="PARCIAL")),1,0))</f>
        <v/>
      </c>
      <c r="W1898" s="8">
        <f>IF(AND(V1898=1,D1898&lt;&gt;""),IF(D1898&gt;=corte,(B1898="CRÍTICO")*1E9+(100000-D1898)*10000+10000-ROW(),""),"")</f>
        <v/>
      </c>
      <c r="X1898" s="8">
        <f>IF(AND(V1898=1,D1898=pas_data,E1898=pas_turno),10000-ROW(),"")</f>
        <v/>
      </c>
    </row>
    <row r="1899">
      <c r="A1899" s="3">
        <f>IF(D1899="","","TT-"&amp;TEXT(ROW()-1,"00000"))</f>
        <v/>
      </c>
      <c r="B1899" s="3">
        <f>IF(D1899="","",IF(V1899=0,"CONCLUÍDO",IF(D1899&lt;corte,"HISTÓRICO",IF(OR(AND(ISNUMBER(R1899),R1899&lt;TODAY()),AND(OR(N1899="PENDENTE",N1899="PARCIAL"),D1899&lt;TODAY()-1)),"CRÍTICO",IF(OR(AND(P1899&lt;&gt;"",S1899=""),AND(N1899="REALIZADO",M1899="PENDENTE"),AND(ISNUMBER(R1899),R1899=TODAY())),"ATENÇÃO",IF(N(K1899)=0,"PENDENTE","EM ANDAMENTO"))))))</f>
        <v/>
      </c>
      <c r="C1899" s="3">
        <f>IF(D1899="","",IF(V1899=0,"🟢 OK",IF(D1899&lt;corte,"⚪ HISTÓRICO (sem baixa)",IF(AND(ISNUMBER(R1899),R1899&lt;TODAY()),"🔴 PRAZO VENCIDO",IF(AND(OR(N1899="PENDENTE",N1899="PARCIAL"),D1899&lt;TODAY()-1),"🔴 EMBARQUE ATRASADO",IF(AND(N1899="REALIZADO",M1899="PENDENTE"),"🟡 EMBARCADO SEM FATURAR",IF(AND(P1899&lt;&gt;"",S1899="",OR(Q1899="",R1899="")),"🟡 PENDÊNCIA SEM RESPONSÁVEL/PRAZO",IF(AND(ISNUMBER(R1899),R1899=TODAY()),"🟡 VENCE HOJE",IF(AND(P1899&lt;&gt;"",S1899=""),"🟡 PENDÊNCIA ABERTA",IF(AND(N(J1899)&gt;0,N(K1899)&lt;J1899),"🟡 FALTA EXECUTAR",IF(OR(M1899="PENDENTE",M1899="PARCIAL"),"🟡 FATURAMENTO PENDENTE","🟡 EMBARQUE PENDENTE")))))))))))</f>
        <v/>
      </c>
      <c r="D1899" s="4" t="n"/>
      <c r="E1899" s="5" t="n"/>
      <c r="F1899" s="5" t="n"/>
      <c r="G1899" s="5" t="n"/>
      <c r="H1899" s="5" t="n"/>
      <c r="I1899" s="5" t="n"/>
      <c r="J1899" s="6" t="n"/>
      <c r="K1899" s="6" t="n"/>
      <c r="L1899" s="7">
        <f>IF(OR(D1899="",N(J1899)=0),"",MIN(1,N(K1899)/J1899))</f>
        <v/>
      </c>
      <c r="M1899" s="5" t="n"/>
      <c r="N1899" s="5" t="n"/>
      <c r="O1899" s="5" t="n"/>
      <c r="P1899" s="5" t="n"/>
      <c r="Q1899" s="5" t="n"/>
      <c r="R1899" s="4" t="n"/>
      <c r="S1899" s="4" t="n"/>
      <c r="T1899" s="5" t="n"/>
      <c r="U1899" s="8">
        <f>IF(AND(V1899=1,D1899&lt;&gt;""),IF(D1899&gt;=corte,TODAY()-D1899,""),"")</f>
        <v/>
      </c>
      <c r="V1899" s="8">
        <f>IF(D1899="",0,IF(OR(AND(P1899&lt;&gt;"",S1899=""),AND(N(J1899)&gt;0,N(K1899)&lt;J1899),OR(M1899="PENDENTE",M1899="PARCIAL"),OR(N1899="PENDENTE",N1899="PARCIAL")),1,0))</f>
        <v/>
      </c>
      <c r="W1899" s="8">
        <f>IF(AND(V1899=1,D1899&lt;&gt;""),IF(D1899&gt;=corte,(B1899="CRÍTICO")*1E9+(100000-D1899)*10000+10000-ROW(),""),"")</f>
        <v/>
      </c>
      <c r="X1899" s="8">
        <f>IF(AND(V1899=1,D1899=pas_data,E1899=pas_turno),10000-ROW(),"")</f>
        <v/>
      </c>
    </row>
    <row r="1900">
      <c r="A1900" s="3">
        <f>IF(D1900="","","TT-"&amp;TEXT(ROW()-1,"00000"))</f>
        <v/>
      </c>
      <c r="B1900" s="3">
        <f>IF(D1900="","",IF(V1900=0,"CONCLUÍDO",IF(D1900&lt;corte,"HISTÓRICO",IF(OR(AND(ISNUMBER(R1900),R1900&lt;TODAY()),AND(OR(N1900="PENDENTE",N1900="PARCIAL"),D1900&lt;TODAY()-1)),"CRÍTICO",IF(OR(AND(P1900&lt;&gt;"",S1900=""),AND(N1900="REALIZADO",M1900="PENDENTE"),AND(ISNUMBER(R1900),R1900=TODAY())),"ATENÇÃO",IF(N(K1900)=0,"PENDENTE","EM ANDAMENTO"))))))</f>
        <v/>
      </c>
      <c r="C1900" s="3">
        <f>IF(D1900="","",IF(V1900=0,"🟢 OK",IF(D1900&lt;corte,"⚪ HISTÓRICO (sem baixa)",IF(AND(ISNUMBER(R1900),R1900&lt;TODAY()),"🔴 PRAZO VENCIDO",IF(AND(OR(N1900="PENDENTE",N1900="PARCIAL"),D1900&lt;TODAY()-1),"🔴 EMBARQUE ATRASADO",IF(AND(N1900="REALIZADO",M1900="PENDENTE"),"🟡 EMBARCADO SEM FATURAR",IF(AND(P1900&lt;&gt;"",S1900="",OR(Q1900="",R1900="")),"🟡 PENDÊNCIA SEM RESPONSÁVEL/PRAZO",IF(AND(ISNUMBER(R1900),R1900=TODAY()),"🟡 VENCE HOJE",IF(AND(P1900&lt;&gt;"",S1900=""),"🟡 PENDÊNCIA ABERTA",IF(AND(N(J1900)&gt;0,N(K1900)&lt;J1900),"🟡 FALTA EXECUTAR",IF(OR(M1900="PENDENTE",M1900="PARCIAL"),"🟡 FATURAMENTO PENDENTE","🟡 EMBARQUE PENDENTE")))))))))))</f>
        <v/>
      </c>
      <c r="D1900" s="4" t="n"/>
      <c r="E1900" s="5" t="n"/>
      <c r="F1900" s="5" t="n"/>
      <c r="G1900" s="5" t="n"/>
      <c r="H1900" s="5" t="n"/>
      <c r="I1900" s="5" t="n"/>
      <c r="J1900" s="6" t="n"/>
      <c r="K1900" s="6" t="n"/>
      <c r="L1900" s="7">
        <f>IF(OR(D1900="",N(J1900)=0),"",MIN(1,N(K1900)/J1900))</f>
        <v/>
      </c>
      <c r="M1900" s="5" t="n"/>
      <c r="N1900" s="5" t="n"/>
      <c r="O1900" s="5" t="n"/>
      <c r="P1900" s="5" t="n"/>
      <c r="Q1900" s="5" t="n"/>
      <c r="R1900" s="4" t="n"/>
      <c r="S1900" s="4" t="n"/>
      <c r="T1900" s="5" t="n"/>
      <c r="U1900" s="8">
        <f>IF(AND(V1900=1,D1900&lt;&gt;""),IF(D1900&gt;=corte,TODAY()-D1900,""),"")</f>
        <v/>
      </c>
      <c r="V1900" s="8">
        <f>IF(D1900="",0,IF(OR(AND(P1900&lt;&gt;"",S1900=""),AND(N(J1900)&gt;0,N(K1900)&lt;J1900),OR(M1900="PENDENTE",M1900="PARCIAL"),OR(N1900="PENDENTE",N1900="PARCIAL")),1,0))</f>
        <v/>
      </c>
      <c r="W1900" s="8">
        <f>IF(AND(V1900=1,D1900&lt;&gt;""),IF(D1900&gt;=corte,(B1900="CRÍTICO")*1E9+(100000-D1900)*10000+10000-ROW(),""),"")</f>
        <v/>
      </c>
      <c r="X1900" s="8">
        <f>IF(AND(V1900=1,D1900=pas_data,E1900=pas_turno),10000-ROW(),"")</f>
        <v/>
      </c>
    </row>
    <row r="1901">
      <c r="A1901" s="3">
        <f>IF(D1901="","","TT-"&amp;TEXT(ROW()-1,"00000"))</f>
        <v/>
      </c>
      <c r="B1901" s="3">
        <f>IF(D1901="","",IF(V1901=0,"CONCLUÍDO",IF(D1901&lt;corte,"HISTÓRICO",IF(OR(AND(ISNUMBER(R1901),R1901&lt;TODAY()),AND(OR(N1901="PENDENTE",N1901="PARCIAL"),D1901&lt;TODAY()-1)),"CRÍTICO",IF(OR(AND(P1901&lt;&gt;"",S1901=""),AND(N1901="REALIZADO",M1901="PENDENTE"),AND(ISNUMBER(R1901),R1901=TODAY())),"ATENÇÃO",IF(N(K1901)=0,"PENDENTE","EM ANDAMENTO"))))))</f>
        <v/>
      </c>
      <c r="C1901" s="3">
        <f>IF(D1901="","",IF(V1901=0,"🟢 OK",IF(D1901&lt;corte,"⚪ HISTÓRICO (sem baixa)",IF(AND(ISNUMBER(R1901),R1901&lt;TODAY()),"🔴 PRAZO VENCIDO",IF(AND(OR(N1901="PENDENTE",N1901="PARCIAL"),D1901&lt;TODAY()-1),"🔴 EMBARQUE ATRASADO",IF(AND(N1901="REALIZADO",M1901="PENDENTE"),"🟡 EMBARCADO SEM FATURAR",IF(AND(P1901&lt;&gt;"",S1901="",OR(Q1901="",R1901="")),"🟡 PENDÊNCIA SEM RESPONSÁVEL/PRAZO",IF(AND(ISNUMBER(R1901),R1901=TODAY()),"🟡 VENCE HOJE",IF(AND(P1901&lt;&gt;"",S1901=""),"🟡 PENDÊNCIA ABERTA",IF(AND(N(J1901)&gt;0,N(K1901)&lt;J1901),"🟡 FALTA EXECUTAR",IF(OR(M1901="PENDENTE",M1901="PARCIAL"),"🟡 FATURAMENTO PENDENTE","🟡 EMBARQUE PENDENTE")))))))))))</f>
        <v/>
      </c>
      <c r="D1901" s="4" t="n"/>
      <c r="E1901" s="5" t="n"/>
      <c r="F1901" s="5" t="n"/>
      <c r="G1901" s="5" t="n"/>
      <c r="H1901" s="5" t="n"/>
      <c r="I1901" s="5" t="n"/>
      <c r="J1901" s="6" t="n"/>
      <c r="K1901" s="6" t="n"/>
      <c r="L1901" s="7">
        <f>IF(OR(D1901="",N(J1901)=0),"",MIN(1,N(K1901)/J1901))</f>
        <v/>
      </c>
      <c r="M1901" s="5" t="n"/>
      <c r="N1901" s="5" t="n"/>
      <c r="O1901" s="5" t="n"/>
      <c r="P1901" s="5" t="n"/>
      <c r="Q1901" s="5" t="n"/>
      <c r="R1901" s="4" t="n"/>
      <c r="S1901" s="4" t="n"/>
      <c r="T1901" s="5" t="n"/>
      <c r="U1901" s="8">
        <f>IF(AND(V1901=1,D1901&lt;&gt;""),IF(D1901&gt;=corte,TODAY()-D1901,""),"")</f>
        <v/>
      </c>
      <c r="V1901" s="8">
        <f>IF(D1901="",0,IF(OR(AND(P1901&lt;&gt;"",S1901=""),AND(N(J1901)&gt;0,N(K1901)&lt;J1901),OR(M1901="PENDENTE",M1901="PARCIAL"),OR(N1901="PENDENTE",N1901="PARCIAL")),1,0))</f>
        <v/>
      </c>
      <c r="W1901" s="8">
        <f>IF(AND(V1901=1,D1901&lt;&gt;""),IF(D1901&gt;=corte,(B1901="CRÍTICO")*1E9+(100000-D1901)*10000+10000-ROW(),""),"")</f>
        <v/>
      </c>
      <c r="X1901" s="8">
        <f>IF(AND(V1901=1,D1901=pas_data,E1901=pas_turno),10000-ROW(),"")</f>
        <v/>
      </c>
    </row>
    <row r="1902">
      <c r="A1902" s="3">
        <f>IF(D1902="","","TT-"&amp;TEXT(ROW()-1,"00000"))</f>
        <v/>
      </c>
      <c r="B1902" s="3">
        <f>IF(D1902="","",IF(V1902=0,"CONCLUÍDO",IF(D1902&lt;corte,"HISTÓRICO",IF(OR(AND(ISNUMBER(R1902),R1902&lt;TODAY()),AND(OR(N1902="PENDENTE",N1902="PARCIAL"),D1902&lt;TODAY()-1)),"CRÍTICO",IF(OR(AND(P1902&lt;&gt;"",S1902=""),AND(N1902="REALIZADO",M1902="PENDENTE"),AND(ISNUMBER(R1902),R1902=TODAY())),"ATENÇÃO",IF(N(K1902)=0,"PENDENTE","EM ANDAMENTO"))))))</f>
        <v/>
      </c>
      <c r="C1902" s="3">
        <f>IF(D1902="","",IF(V1902=0,"🟢 OK",IF(D1902&lt;corte,"⚪ HISTÓRICO (sem baixa)",IF(AND(ISNUMBER(R1902),R1902&lt;TODAY()),"🔴 PRAZO VENCIDO",IF(AND(OR(N1902="PENDENTE",N1902="PARCIAL"),D1902&lt;TODAY()-1),"🔴 EMBARQUE ATRASADO",IF(AND(N1902="REALIZADO",M1902="PENDENTE"),"🟡 EMBARCADO SEM FATURAR",IF(AND(P1902&lt;&gt;"",S1902="",OR(Q1902="",R1902="")),"🟡 PENDÊNCIA SEM RESPONSÁVEL/PRAZO",IF(AND(ISNUMBER(R1902),R1902=TODAY()),"🟡 VENCE HOJE",IF(AND(P1902&lt;&gt;"",S1902=""),"🟡 PENDÊNCIA ABERTA",IF(AND(N(J1902)&gt;0,N(K1902)&lt;J1902),"🟡 FALTA EXECUTAR",IF(OR(M1902="PENDENTE",M1902="PARCIAL"),"🟡 FATURAMENTO PENDENTE","🟡 EMBARQUE PENDENTE")))))))))))</f>
        <v/>
      </c>
      <c r="D1902" s="4" t="n"/>
      <c r="E1902" s="5" t="n"/>
      <c r="F1902" s="5" t="n"/>
      <c r="G1902" s="5" t="n"/>
      <c r="H1902" s="5" t="n"/>
      <c r="I1902" s="5" t="n"/>
      <c r="J1902" s="6" t="n"/>
      <c r="K1902" s="6" t="n"/>
      <c r="L1902" s="7">
        <f>IF(OR(D1902="",N(J1902)=0),"",MIN(1,N(K1902)/J1902))</f>
        <v/>
      </c>
      <c r="M1902" s="5" t="n"/>
      <c r="N1902" s="5" t="n"/>
      <c r="O1902" s="5" t="n"/>
      <c r="P1902" s="5" t="n"/>
      <c r="Q1902" s="5" t="n"/>
      <c r="R1902" s="4" t="n"/>
      <c r="S1902" s="4" t="n"/>
      <c r="T1902" s="5" t="n"/>
      <c r="U1902" s="8">
        <f>IF(AND(V1902=1,D1902&lt;&gt;""),IF(D1902&gt;=corte,TODAY()-D1902,""),"")</f>
        <v/>
      </c>
      <c r="V1902" s="8">
        <f>IF(D1902="",0,IF(OR(AND(P1902&lt;&gt;"",S1902=""),AND(N(J1902)&gt;0,N(K1902)&lt;J1902),OR(M1902="PENDENTE",M1902="PARCIAL"),OR(N1902="PENDENTE",N1902="PARCIAL")),1,0))</f>
        <v/>
      </c>
      <c r="W1902" s="8">
        <f>IF(AND(V1902=1,D1902&lt;&gt;""),IF(D1902&gt;=corte,(B1902="CRÍTICO")*1E9+(100000-D1902)*10000+10000-ROW(),""),"")</f>
        <v/>
      </c>
      <c r="X1902" s="8">
        <f>IF(AND(V1902=1,D1902=pas_data,E1902=pas_turno),10000-ROW(),"")</f>
        <v/>
      </c>
    </row>
    <row r="1903">
      <c r="A1903" s="3">
        <f>IF(D1903="","","TT-"&amp;TEXT(ROW()-1,"00000"))</f>
        <v/>
      </c>
      <c r="B1903" s="3">
        <f>IF(D1903="","",IF(V1903=0,"CONCLUÍDO",IF(D1903&lt;corte,"HISTÓRICO",IF(OR(AND(ISNUMBER(R1903),R1903&lt;TODAY()),AND(OR(N1903="PENDENTE",N1903="PARCIAL"),D1903&lt;TODAY()-1)),"CRÍTICO",IF(OR(AND(P1903&lt;&gt;"",S1903=""),AND(N1903="REALIZADO",M1903="PENDENTE"),AND(ISNUMBER(R1903),R1903=TODAY())),"ATENÇÃO",IF(N(K1903)=0,"PENDENTE","EM ANDAMENTO"))))))</f>
        <v/>
      </c>
      <c r="C1903" s="3">
        <f>IF(D1903="","",IF(V1903=0,"🟢 OK",IF(D1903&lt;corte,"⚪ HISTÓRICO (sem baixa)",IF(AND(ISNUMBER(R1903),R1903&lt;TODAY()),"🔴 PRAZO VENCIDO",IF(AND(OR(N1903="PENDENTE",N1903="PARCIAL"),D1903&lt;TODAY()-1),"🔴 EMBARQUE ATRASADO",IF(AND(N1903="REALIZADO",M1903="PENDENTE"),"🟡 EMBARCADO SEM FATURAR",IF(AND(P1903&lt;&gt;"",S1903="",OR(Q1903="",R1903="")),"🟡 PENDÊNCIA SEM RESPONSÁVEL/PRAZO",IF(AND(ISNUMBER(R1903),R1903=TODAY()),"🟡 VENCE HOJE",IF(AND(P1903&lt;&gt;"",S1903=""),"🟡 PENDÊNCIA ABERTA",IF(AND(N(J1903)&gt;0,N(K1903)&lt;J1903),"🟡 FALTA EXECUTAR",IF(OR(M1903="PENDENTE",M1903="PARCIAL"),"🟡 FATURAMENTO PENDENTE","🟡 EMBARQUE PENDENTE")))))))))))</f>
        <v/>
      </c>
      <c r="D1903" s="4" t="n"/>
      <c r="E1903" s="5" t="n"/>
      <c r="F1903" s="5" t="n"/>
      <c r="G1903" s="5" t="n"/>
      <c r="H1903" s="5" t="n"/>
      <c r="I1903" s="5" t="n"/>
      <c r="J1903" s="6" t="n"/>
      <c r="K1903" s="6" t="n"/>
      <c r="L1903" s="7">
        <f>IF(OR(D1903="",N(J1903)=0),"",MIN(1,N(K1903)/J1903))</f>
        <v/>
      </c>
      <c r="M1903" s="5" t="n"/>
      <c r="N1903" s="5" t="n"/>
      <c r="O1903" s="5" t="n"/>
      <c r="P1903" s="5" t="n"/>
      <c r="Q1903" s="5" t="n"/>
      <c r="R1903" s="4" t="n"/>
      <c r="S1903" s="4" t="n"/>
      <c r="T1903" s="5" t="n"/>
      <c r="U1903" s="8">
        <f>IF(AND(V1903=1,D1903&lt;&gt;""),IF(D1903&gt;=corte,TODAY()-D1903,""),"")</f>
        <v/>
      </c>
      <c r="V1903" s="8">
        <f>IF(D1903="",0,IF(OR(AND(P1903&lt;&gt;"",S1903=""),AND(N(J1903)&gt;0,N(K1903)&lt;J1903),OR(M1903="PENDENTE",M1903="PARCIAL"),OR(N1903="PENDENTE",N1903="PARCIAL")),1,0))</f>
        <v/>
      </c>
      <c r="W1903" s="8">
        <f>IF(AND(V1903=1,D1903&lt;&gt;""),IF(D1903&gt;=corte,(B1903="CRÍTICO")*1E9+(100000-D1903)*10000+10000-ROW(),""),"")</f>
        <v/>
      </c>
      <c r="X1903" s="8">
        <f>IF(AND(V1903=1,D1903=pas_data,E1903=pas_turno),10000-ROW(),"")</f>
        <v/>
      </c>
    </row>
    <row r="1904">
      <c r="A1904" s="3">
        <f>IF(D1904="","","TT-"&amp;TEXT(ROW()-1,"00000"))</f>
        <v/>
      </c>
      <c r="B1904" s="3">
        <f>IF(D1904="","",IF(V1904=0,"CONCLUÍDO",IF(D1904&lt;corte,"HISTÓRICO",IF(OR(AND(ISNUMBER(R1904),R1904&lt;TODAY()),AND(OR(N1904="PENDENTE",N1904="PARCIAL"),D1904&lt;TODAY()-1)),"CRÍTICO",IF(OR(AND(P1904&lt;&gt;"",S1904=""),AND(N1904="REALIZADO",M1904="PENDENTE"),AND(ISNUMBER(R1904),R1904=TODAY())),"ATENÇÃO",IF(N(K1904)=0,"PENDENTE","EM ANDAMENTO"))))))</f>
        <v/>
      </c>
      <c r="C1904" s="3">
        <f>IF(D1904="","",IF(V1904=0,"🟢 OK",IF(D1904&lt;corte,"⚪ HISTÓRICO (sem baixa)",IF(AND(ISNUMBER(R1904),R1904&lt;TODAY()),"🔴 PRAZO VENCIDO",IF(AND(OR(N1904="PENDENTE",N1904="PARCIAL"),D1904&lt;TODAY()-1),"🔴 EMBARQUE ATRASADO",IF(AND(N1904="REALIZADO",M1904="PENDENTE"),"🟡 EMBARCADO SEM FATURAR",IF(AND(P1904&lt;&gt;"",S1904="",OR(Q1904="",R1904="")),"🟡 PENDÊNCIA SEM RESPONSÁVEL/PRAZO",IF(AND(ISNUMBER(R1904),R1904=TODAY()),"🟡 VENCE HOJE",IF(AND(P1904&lt;&gt;"",S1904=""),"🟡 PENDÊNCIA ABERTA",IF(AND(N(J1904)&gt;0,N(K1904)&lt;J1904),"🟡 FALTA EXECUTAR",IF(OR(M1904="PENDENTE",M1904="PARCIAL"),"🟡 FATURAMENTO PENDENTE","🟡 EMBARQUE PENDENTE")))))))))))</f>
        <v/>
      </c>
      <c r="D1904" s="4" t="n"/>
      <c r="E1904" s="5" t="n"/>
      <c r="F1904" s="5" t="n"/>
      <c r="G1904" s="5" t="n"/>
      <c r="H1904" s="5" t="n"/>
      <c r="I1904" s="5" t="n"/>
      <c r="J1904" s="6" t="n"/>
      <c r="K1904" s="6" t="n"/>
      <c r="L1904" s="7">
        <f>IF(OR(D1904="",N(J1904)=0),"",MIN(1,N(K1904)/J1904))</f>
        <v/>
      </c>
      <c r="M1904" s="5" t="n"/>
      <c r="N1904" s="5" t="n"/>
      <c r="O1904" s="5" t="n"/>
      <c r="P1904" s="5" t="n"/>
      <c r="Q1904" s="5" t="n"/>
      <c r="R1904" s="4" t="n"/>
      <c r="S1904" s="4" t="n"/>
      <c r="T1904" s="5" t="n"/>
      <c r="U1904" s="8">
        <f>IF(AND(V1904=1,D1904&lt;&gt;""),IF(D1904&gt;=corte,TODAY()-D1904,""),"")</f>
        <v/>
      </c>
      <c r="V1904" s="8">
        <f>IF(D1904="",0,IF(OR(AND(P1904&lt;&gt;"",S1904=""),AND(N(J1904)&gt;0,N(K1904)&lt;J1904),OR(M1904="PENDENTE",M1904="PARCIAL"),OR(N1904="PENDENTE",N1904="PARCIAL")),1,0))</f>
        <v/>
      </c>
      <c r="W1904" s="8">
        <f>IF(AND(V1904=1,D1904&lt;&gt;""),IF(D1904&gt;=corte,(B1904="CRÍTICO")*1E9+(100000-D1904)*10000+10000-ROW(),""),"")</f>
        <v/>
      </c>
      <c r="X1904" s="8">
        <f>IF(AND(V1904=1,D1904=pas_data,E1904=pas_turno),10000-ROW(),"")</f>
        <v/>
      </c>
    </row>
    <row r="1905">
      <c r="A1905" s="3">
        <f>IF(D1905="","","TT-"&amp;TEXT(ROW()-1,"00000"))</f>
        <v/>
      </c>
      <c r="B1905" s="3">
        <f>IF(D1905="","",IF(V1905=0,"CONCLUÍDO",IF(D1905&lt;corte,"HISTÓRICO",IF(OR(AND(ISNUMBER(R1905),R1905&lt;TODAY()),AND(OR(N1905="PENDENTE",N1905="PARCIAL"),D1905&lt;TODAY()-1)),"CRÍTICO",IF(OR(AND(P1905&lt;&gt;"",S1905=""),AND(N1905="REALIZADO",M1905="PENDENTE"),AND(ISNUMBER(R1905),R1905=TODAY())),"ATENÇÃO",IF(N(K1905)=0,"PENDENTE","EM ANDAMENTO"))))))</f>
        <v/>
      </c>
      <c r="C1905" s="3">
        <f>IF(D1905="","",IF(V1905=0,"🟢 OK",IF(D1905&lt;corte,"⚪ HISTÓRICO (sem baixa)",IF(AND(ISNUMBER(R1905),R1905&lt;TODAY()),"🔴 PRAZO VENCIDO",IF(AND(OR(N1905="PENDENTE",N1905="PARCIAL"),D1905&lt;TODAY()-1),"🔴 EMBARQUE ATRASADO",IF(AND(N1905="REALIZADO",M1905="PENDENTE"),"🟡 EMBARCADO SEM FATURAR",IF(AND(P1905&lt;&gt;"",S1905="",OR(Q1905="",R1905="")),"🟡 PENDÊNCIA SEM RESPONSÁVEL/PRAZO",IF(AND(ISNUMBER(R1905),R1905=TODAY()),"🟡 VENCE HOJE",IF(AND(P1905&lt;&gt;"",S1905=""),"🟡 PENDÊNCIA ABERTA",IF(AND(N(J1905)&gt;0,N(K1905)&lt;J1905),"🟡 FALTA EXECUTAR",IF(OR(M1905="PENDENTE",M1905="PARCIAL"),"🟡 FATURAMENTO PENDENTE","🟡 EMBARQUE PENDENTE")))))))))))</f>
        <v/>
      </c>
      <c r="D1905" s="4" t="n"/>
      <c r="E1905" s="5" t="n"/>
      <c r="F1905" s="5" t="n"/>
      <c r="G1905" s="5" t="n"/>
      <c r="H1905" s="5" t="n"/>
      <c r="I1905" s="5" t="n"/>
      <c r="J1905" s="6" t="n"/>
      <c r="K1905" s="6" t="n"/>
      <c r="L1905" s="7">
        <f>IF(OR(D1905="",N(J1905)=0),"",MIN(1,N(K1905)/J1905))</f>
        <v/>
      </c>
      <c r="M1905" s="5" t="n"/>
      <c r="N1905" s="5" t="n"/>
      <c r="O1905" s="5" t="n"/>
      <c r="P1905" s="5" t="n"/>
      <c r="Q1905" s="5" t="n"/>
      <c r="R1905" s="4" t="n"/>
      <c r="S1905" s="4" t="n"/>
      <c r="T1905" s="5" t="n"/>
      <c r="U1905" s="8">
        <f>IF(AND(V1905=1,D1905&lt;&gt;""),IF(D1905&gt;=corte,TODAY()-D1905,""),"")</f>
        <v/>
      </c>
      <c r="V1905" s="8">
        <f>IF(D1905="",0,IF(OR(AND(P1905&lt;&gt;"",S1905=""),AND(N(J1905)&gt;0,N(K1905)&lt;J1905),OR(M1905="PENDENTE",M1905="PARCIAL"),OR(N1905="PENDENTE",N1905="PARCIAL")),1,0))</f>
        <v/>
      </c>
      <c r="W1905" s="8">
        <f>IF(AND(V1905=1,D1905&lt;&gt;""),IF(D1905&gt;=corte,(B1905="CRÍTICO")*1E9+(100000-D1905)*10000+10000-ROW(),""),"")</f>
        <v/>
      </c>
      <c r="X1905" s="8">
        <f>IF(AND(V1905=1,D1905=pas_data,E1905=pas_turno),10000-ROW(),"")</f>
        <v/>
      </c>
    </row>
    <row r="1906">
      <c r="A1906" s="3">
        <f>IF(D1906="","","TT-"&amp;TEXT(ROW()-1,"00000"))</f>
        <v/>
      </c>
      <c r="B1906" s="3">
        <f>IF(D1906="","",IF(V1906=0,"CONCLUÍDO",IF(D1906&lt;corte,"HISTÓRICO",IF(OR(AND(ISNUMBER(R1906),R1906&lt;TODAY()),AND(OR(N1906="PENDENTE",N1906="PARCIAL"),D1906&lt;TODAY()-1)),"CRÍTICO",IF(OR(AND(P1906&lt;&gt;"",S1906=""),AND(N1906="REALIZADO",M1906="PENDENTE"),AND(ISNUMBER(R1906),R1906=TODAY())),"ATENÇÃO",IF(N(K1906)=0,"PENDENTE","EM ANDAMENTO"))))))</f>
        <v/>
      </c>
      <c r="C1906" s="3">
        <f>IF(D1906="","",IF(V1906=0,"🟢 OK",IF(D1906&lt;corte,"⚪ HISTÓRICO (sem baixa)",IF(AND(ISNUMBER(R1906),R1906&lt;TODAY()),"🔴 PRAZO VENCIDO",IF(AND(OR(N1906="PENDENTE",N1906="PARCIAL"),D1906&lt;TODAY()-1),"🔴 EMBARQUE ATRASADO",IF(AND(N1906="REALIZADO",M1906="PENDENTE"),"🟡 EMBARCADO SEM FATURAR",IF(AND(P1906&lt;&gt;"",S1906="",OR(Q1906="",R1906="")),"🟡 PENDÊNCIA SEM RESPONSÁVEL/PRAZO",IF(AND(ISNUMBER(R1906),R1906=TODAY()),"🟡 VENCE HOJE",IF(AND(P1906&lt;&gt;"",S1906=""),"🟡 PENDÊNCIA ABERTA",IF(AND(N(J1906)&gt;0,N(K1906)&lt;J1906),"🟡 FALTA EXECUTAR",IF(OR(M1906="PENDENTE",M1906="PARCIAL"),"🟡 FATURAMENTO PENDENTE","🟡 EMBARQUE PENDENTE")))))))))))</f>
        <v/>
      </c>
      <c r="D1906" s="4" t="n"/>
      <c r="E1906" s="5" t="n"/>
      <c r="F1906" s="5" t="n"/>
      <c r="G1906" s="5" t="n"/>
      <c r="H1906" s="5" t="n"/>
      <c r="I1906" s="5" t="n"/>
      <c r="J1906" s="6" t="n"/>
      <c r="K1906" s="6" t="n"/>
      <c r="L1906" s="7">
        <f>IF(OR(D1906="",N(J1906)=0),"",MIN(1,N(K1906)/J1906))</f>
        <v/>
      </c>
      <c r="M1906" s="5" t="n"/>
      <c r="N1906" s="5" t="n"/>
      <c r="O1906" s="5" t="n"/>
      <c r="P1906" s="5" t="n"/>
      <c r="Q1906" s="5" t="n"/>
      <c r="R1906" s="4" t="n"/>
      <c r="S1906" s="4" t="n"/>
      <c r="T1906" s="5" t="n"/>
      <c r="U1906" s="8">
        <f>IF(AND(V1906=1,D1906&lt;&gt;""),IF(D1906&gt;=corte,TODAY()-D1906,""),"")</f>
        <v/>
      </c>
      <c r="V1906" s="8">
        <f>IF(D1906="",0,IF(OR(AND(P1906&lt;&gt;"",S1906=""),AND(N(J1906)&gt;0,N(K1906)&lt;J1906),OR(M1906="PENDENTE",M1906="PARCIAL"),OR(N1906="PENDENTE",N1906="PARCIAL")),1,0))</f>
        <v/>
      </c>
      <c r="W1906" s="8">
        <f>IF(AND(V1906=1,D1906&lt;&gt;""),IF(D1906&gt;=corte,(B1906="CRÍTICO")*1E9+(100000-D1906)*10000+10000-ROW(),""),"")</f>
        <v/>
      </c>
      <c r="X1906" s="8">
        <f>IF(AND(V1906=1,D1906=pas_data,E1906=pas_turno),10000-ROW(),"")</f>
        <v/>
      </c>
    </row>
    <row r="1907">
      <c r="A1907" s="3">
        <f>IF(D1907="","","TT-"&amp;TEXT(ROW()-1,"00000"))</f>
        <v/>
      </c>
      <c r="B1907" s="3">
        <f>IF(D1907="","",IF(V1907=0,"CONCLUÍDO",IF(D1907&lt;corte,"HISTÓRICO",IF(OR(AND(ISNUMBER(R1907),R1907&lt;TODAY()),AND(OR(N1907="PENDENTE",N1907="PARCIAL"),D1907&lt;TODAY()-1)),"CRÍTICO",IF(OR(AND(P1907&lt;&gt;"",S1907=""),AND(N1907="REALIZADO",M1907="PENDENTE"),AND(ISNUMBER(R1907),R1907=TODAY())),"ATENÇÃO",IF(N(K1907)=0,"PENDENTE","EM ANDAMENTO"))))))</f>
        <v/>
      </c>
      <c r="C1907" s="3">
        <f>IF(D1907="","",IF(V1907=0,"🟢 OK",IF(D1907&lt;corte,"⚪ HISTÓRICO (sem baixa)",IF(AND(ISNUMBER(R1907),R1907&lt;TODAY()),"🔴 PRAZO VENCIDO",IF(AND(OR(N1907="PENDENTE",N1907="PARCIAL"),D1907&lt;TODAY()-1),"🔴 EMBARQUE ATRASADO",IF(AND(N1907="REALIZADO",M1907="PENDENTE"),"🟡 EMBARCADO SEM FATURAR",IF(AND(P1907&lt;&gt;"",S1907="",OR(Q1907="",R1907="")),"🟡 PENDÊNCIA SEM RESPONSÁVEL/PRAZO",IF(AND(ISNUMBER(R1907),R1907=TODAY()),"🟡 VENCE HOJE",IF(AND(P1907&lt;&gt;"",S1907=""),"🟡 PENDÊNCIA ABERTA",IF(AND(N(J1907)&gt;0,N(K1907)&lt;J1907),"🟡 FALTA EXECUTAR",IF(OR(M1907="PENDENTE",M1907="PARCIAL"),"🟡 FATURAMENTO PENDENTE","🟡 EMBARQUE PENDENTE")))))))))))</f>
        <v/>
      </c>
      <c r="D1907" s="4" t="n"/>
      <c r="E1907" s="5" t="n"/>
      <c r="F1907" s="5" t="n"/>
      <c r="G1907" s="5" t="n"/>
      <c r="H1907" s="5" t="n"/>
      <c r="I1907" s="5" t="n"/>
      <c r="J1907" s="6" t="n"/>
      <c r="K1907" s="6" t="n"/>
      <c r="L1907" s="7">
        <f>IF(OR(D1907="",N(J1907)=0),"",MIN(1,N(K1907)/J1907))</f>
        <v/>
      </c>
      <c r="M1907" s="5" t="n"/>
      <c r="N1907" s="5" t="n"/>
      <c r="O1907" s="5" t="n"/>
      <c r="P1907" s="5" t="n"/>
      <c r="Q1907" s="5" t="n"/>
      <c r="R1907" s="4" t="n"/>
      <c r="S1907" s="4" t="n"/>
      <c r="T1907" s="5" t="n"/>
      <c r="U1907" s="8">
        <f>IF(AND(V1907=1,D1907&lt;&gt;""),IF(D1907&gt;=corte,TODAY()-D1907,""),"")</f>
        <v/>
      </c>
      <c r="V1907" s="8">
        <f>IF(D1907="",0,IF(OR(AND(P1907&lt;&gt;"",S1907=""),AND(N(J1907)&gt;0,N(K1907)&lt;J1907),OR(M1907="PENDENTE",M1907="PARCIAL"),OR(N1907="PENDENTE",N1907="PARCIAL")),1,0))</f>
        <v/>
      </c>
      <c r="W1907" s="8">
        <f>IF(AND(V1907=1,D1907&lt;&gt;""),IF(D1907&gt;=corte,(B1907="CRÍTICO")*1E9+(100000-D1907)*10000+10000-ROW(),""),"")</f>
        <v/>
      </c>
      <c r="X1907" s="8">
        <f>IF(AND(V1907=1,D1907=pas_data,E1907=pas_turno),10000-ROW(),"")</f>
        <v/>
      </c>
    </row>
    <row r="1908">
      <c r="A1908" s="3">
        <f>IF(D1908="","","TT-"&amp;TEXT(ROW()-1,"00000"))</f>
        <v/>
      </c>
      <c r="B1908" s="3">
        <f>IF(D1908="","",IF(V1908=0,"CONCLUÍDO",IF(D1908&lt;corte,"HISTÓRICO",IF(OR(AND(ISNUMBER(R1908),R1908&lt;TODAY()),AND(OR(N1908="PENDENTE",N1908="PARCIAL"),D1908&lt;TODAY()-1)),"CRÍTICO",IF(OR(AND(P1908&lt;&gt;"",S1908=""),AND(N1908="REALIZADO",M1908="PENDENTE"),AND(ISNUMBER(R1908),R1908=TODAY())),"ATENÇÃO",IF(N(K1908)=0,"PENDENTE","EM ANDAMENTO"))))))</f>
        <v/>
      </c>
      <c r="C1908" s="3">
        <f>IF(D1908="","",IF(V1908=0,"🟢 OK",IF(D1908&lt;corte,"⚪ HISTÓRICO (sem baixa)",IF(AND(ISNUMBER(R1908),R1908&lt;TODAY()),"🔴 PRAZO VENCIDO",IF(AND(OR(N1908="PENDENTE",N1908="PARCIAL"),D1908&lt;TODAY()-1),"🔴 EMBARQUE ATRASADO",IF(AND(N1908="REALIZADO",M1908="PENDENTE"),"🟡 EMBARCADO SEM FATURAR",IF(AND(P1908&lt;&gt;"",S1908="",OR(Q1908="",R1908="")),"🟡 PENDÊNCIA SEM RESPONSÁVEL/PRAZO",IF(AND(ISNUMBER(R1908),R1908=TODAY()),"🟡 VENCE HOJE",IF(AND(P1908&lt;&gt;"",S1908=""),"🟡 PENDÊNCIA ABERTA",IF(AND(N(J1908)&gt;0,N(K1908)&lt;J1908),"🟡 FALTA EXECUTAR",IF(OR(M1908="PENDENTE",M1908="PARCIAL"),"🟡 FATURAMENTO PENDENTE","🟡 EMBARQUE PENDENTE")))))))))))</f>
        <v/>
      </c>
      <c r="D1908" s="4" t="n"/>
      <c r="E1908" s="5" t="n"/>
      <c r="F1908" s="5" t="n"/>
      <c r="G1908" s="5" t="n"/>
      <c r="H1908" s="5" t="n"/>
      <c r="I1908" s="5" t="n"/>
      <c r="J1908" s="6" t="n"/>
      <c r="K1908" s="6" t="n"/>
      <c r="L1908" s="7">
        <f>IF(OR(D1908="",N(J1908)=0),"",MIN(1,N(K1908)/J1908))</f>
        <v/>
      </c>
      <c r="M1908" s="5" t="n"/>
      <c r="N1908" s="5" t="n"/>
      <c r="O1908" s="5" t="n"/>
      <c r="P1908" s="5" t="n"/>
      <c r="Q1908" s="5" t="n"/>
      <c r="R1908" s="4" t="n"/>
      <c r="S1908" s="4" t="n"/>
      <c r="T1908" s="5" t="n"/>
      <c r="U1908" s="8">
        <f>IF(AND(V1908=1,D1908&lt;&gt;""),IF(D1908&gt;=corte,TODAY()-D1908,""),"")</f>
        <v/>
      </c>
      <c r="V1908" s="8">
        <f>IF(D1908="",0,IF(OR(AND(P1908&lt;&gt;"",S1908=""),AND(N(J1908)&gt;0,N(K1908)&lt;J1908),OR(M1908="PENDENTE",M1908="PARCIAL"),OR(N1908="PENDENTE",N1908="PARCIAL")),1,0))</f>
        <v/>
      </c>
      <c r="W1908" s="8">
        <f>IF(AND(V1908=1,D1908&lt;&gt;""),IF(D1908&gt;=corte,(B1908="CRÍTICO")*1E9+(100000-D1908)*10000+10000-ROW(),""),"")</f>
        <v/>
      </c>
      <c r="X1908" s="8">
        <f>IF(AND(V1908=1,D1908=pas_data,E1908=pas_turno),10000-ROW(),"")</f>
        <v/>
      </c>
    </row>
    <row r="1909">
      <c r="A1909" s="3">
        <f>IF(D1909="","","TT-"&amp;TEXT(ROW()-1,"00000"))</f>
        <v/>
      </c>
      <c r="B1909" s="3">
        <f>IF(D1909="","",IF(V1909=0,"CONCLUÍDO",IF(D1909&lt;corte,"HISTÓRICO",IF(OR(AND(ISNUMBER(R1909),R1909&lt;TODAY()),AND(OR(N1909="PENDENTE",N1909="PARCIAL"),D1909&lt;TODAY()-1)),"CRÍTICO",IF(OR(AND(P1909&lt;&gt;"",S1909=""),AND(N1909="REALIZADO",M1909="PENDENTE"),AND(ISNUMBER(R1909),R1909=TODAY())),"ATENÇÃO",IF(N(K1909)=0,"PENDENTE","EM ANDAMENTO"))))))</f>
        <v/>
      </c>
      <c r="C1909" s="3">
        <f>IF(D1909="","",IF(V1909=0,"🟢 OK",IF(D1909&lt;corte,"⚪ HISTÓRICO (sem baixa)",IF(AND(ISNUMBER(R1909),R1909&lt;TODAY()),"🔴 PRAZO VENCIDO",IF(AND(OR(N1909="PENDENTE",N1909="PARCIAL"),D1909&lt;TODAY()-1),"🔴 EMBARQUE ATRASADO",IF(AND(N1909="REALIZADO",M1909="PENDENTE"),"🟡 EMBARCADO SEM FATURAR",IF(AND(P1909&lt;&gt;"",S1909="",OR(Q1909="",R1909="")),"🟡 PENDÊNCIA SEM RESPONSÁVEL/PRAZO",IF(AND(ISNUMBER(R1909),R1909=TODAY()),"🟡 VENCE HOJE",IF(AND(P1909&lt;&gt;"",S1909=""),"🟡 PENDÊNCIA ABERTA",IF(AND(N(J1909)&gt;0,N(K1909)&lt;J1909),"🟡 FALTA EXECUTAR",IF(OR(M1909="PENDENTE",M1909="PARCIAL"),"🟡 FATURAMENTO PENDENTE","🟡 EMBARQUE PENDENTE")))))))))))</f>
        <v/>
      </c>
      <c r="D1909" s="4" t="n"/>
      <c r="E1909" s="5" t="n"/>
      <c r="F1909" s="5" t="n"/>
      <c r="G1909" s="5" t="n"/>
      <c r="H1909" s="5" t="n"/>
      <c r="I1909" s="5" t="n"/>
      <c r="J1909" s="6" t="n"/>
      <c r="K1909" s="6" t="n"/>
      <c r="L1909" s="7">
        <f>IF(OR(D1909="",N(J1909)=0),"",MIN(1,N(K1909)/J1909))</f>
        <v/>
      </c>
      <c r="M1909" s="5" t="n"/>
      <c r="N1909" s="5" t="n"/>
      <c r="O1909" s="5" t="n"/>
      <c r="P1909" s="5" t="n"/>
      <c r="Q1909" s="5" t="n"/>
      <c r="R1909" s="4" t="n"/>
      <c r="S1909" s="4" t="n"/>
      <c r="T1909" s="5" t="n"/>
      <c r="U1909" s="8">
        <f>IF(AND(V1909=1,D1909&lt;&gt;""),IF(D1909&gt;=corte,TODAY()-D1909,""),"")</f>
        <v/>
      </c>
      <c r="V1909" s="8">
        <f>IF(D1909="",0,IF(OR(AND(P1909&lt;&gt;"",S1909=""),AND(N(J1909)&gt;0,N(K1909)&lt;J1909),OR(M1909="PENDENTE",M1909="PARCIAL"),OR(N1909="PENDENTE",N1909="PARCIAL")),1,0))</f>
        <v/>
      </c>
      <c r="W1909" s="8">
        <f>IF(AND(V1909=1,D1909&lt;&gt;""),IF(D1909&gt;=corte,(B1909="CRÍTICO")*1E9+(100000-D1909)*10000+10000-ROW(),""),"")</f>
        <v/>
      </c>
      <c r="X1909" s="8">
        <f>IF(AND(V1909=1,D1909=pas_data,E1909=pas_turno),10000-ROW(),"")</f>
        <v/>
      </c>
    </row>
    <row r="1910">
      <c r="A1910" s="3">
        <f>IF(D1910="","","TT-"&amp;TEXT(ROW()-1,"00000"))</f>
        <v/>
      </c>
      <c r="B1910" s="3">
        <f>IF(D1910="","",IF(V1910=0,"CONCLUÍDO",IF(D1910&lt;corte,"HISTÓRICO",IF(OR(AND(ISNUMBER(R1910),R1910&lt;TODAY()),AND(OR(N1910="PENDENTE",N1910="PARCIAL"),D1910&lt;TODAY()-1)),"CRÍTICO",IF(OR(AND(P1910&lt;&gt;"",S1910=""),AND(N1910="REALIZADO",M1910="PENDENTE"),AND(ISNUMBER(R1910),R1910=TODAY())),"ATENÇÃO",IF(N(K1910)=0,"PENDENTE","EM ANDAMENTO"))))))</f>
        <v/>
      </c>
      <c r="C1910" s="3">
        <f>IF(D1910="","",IF(V1910=0,"🟢 OK",IF(D1910&lt;corte,"⚪ HISTÓRICO (sem baixa)",IF(AND(ISNUMBER(R1910),R1910&lt;TODAY()),"🔴 PRAZO VENCIDO",IF(AND(OR(N1910="PENDENTE",N1910="PARCIAL"),D1910&lt;TODAY()-1),"🔴 EMBARQUE ATRASADO",IF(AND(N1910="REALIZADO",M1910="PENDENTE"),"🟡 EMBARCADO SEM FATURAR",IF(AND(P1910&lt;&gt;"",S1910="",OR(Q1910="",R1910="")),"🟡 PENDÊNCIA SEM RESPONSÁVEL/PRAZO",IF(AND(ISNUMBER(R1910),R1910=TODAY()),"🟡 VENCE HOJE",IF(AND(P1910&lt;&gt;"",S1910=""),"🟡 PENDÊNCIA ABERTA",IF(AND(N(J1910)&gt;0,N(K1910)&lt;J1910),"🟡 FALTA EXECUTAR",IF(OR(M1910="PENDENTE",M1910="PARCIAL"),"🟡 FATURAMENTO PENDENTE","🟡 EMBARQUE PENDENTE")))))))))))</f>
        <v/>
      </c>
      <c r="D1910" s="4" t="n"/>
      <c r="E1910" s="5" t="n"/>
      <c r="F1910" s="5" t="n"/>
      <c r="G1910" s="5" t="n"/>
      <c r="H1910" s="5" t="n"/>
      <c r="I1910" s="5" t="n"/>
      <c r="J1910" s="6" t="n"/>
      <c r="K1910" s="6" t="n"/>
      <c r="L1910" s="7">
        <f>IF(OR(D1910="",N(J1910)=0),"",MIN(1,N(K1910)/J1910))</f>
        <v/>
      </c>
      <c r="M1910" s="5" t="n"/>
      <c r="N1910" s="5" t="n"/>
      <c r="O1910" s="5" t="n"/>
      <c r="P1910" s="5" t="n"/>
      <c r="Q1910" s="5" t="n"/>
      <c r="R1910" s="4" t="n"/>
      <c r="S1910" s="4" t="n"/>
      <c r="T1910" s="5" t="n"/>
      <c r="U1910" s="8">
        <f>IF(AND(V1910=1,D1910&lt;&gt;""),IF(D1910&gt;=corte,TODAY()-D1910,""),"")</f>
        <v/>
      </c>
      <c r="V1910" s="8">
        <f>IF(D1910="",0,IF(OR(AND(P1910&lt;&gt;"",S1910=""),AND(N(J1910)&gt;0,N(K1910)&lt;J1910),OR(M1910="PENDENTE",M1910="PARCIAL"),OR(N1910="PENDENTE",N1910="PARCIAL")),1,0))</f>
        <v/>
      </c>
      <c r="W1910" s="8">
        <f>IF(AND(V1910=1,D1910&lt;&gt;""),IF(D1910&gt;=corte,(B1910="CRÍTICO")*1E9+(100000-D1910)*10000+10000-ROW(),""),"")</f>
        <v/>
      </c>
      <c r="X1910" s="8">
        <f>IF(AND(V1910=1,D1910=pas_data,E1910=pas_turno),10000-ROW(),"")</f>
        <v/>
      </c>
    </row>
    <row r="1911">
      <c r="A1911" s="3">
        <f>IF(D1911="","","TT-"&amp;TEXT(ROW()-1,"00000"))</f>
        <v/>
      </c>
      <c r="B1911" s="3">
        <f>IF(D1911="","",IF(V1911=0,"CONCLUÍDO",IF(D1911&lt;corte,"HISTÓRICO",IF(OR(AND(ISNUMBER(R1911),R1911&lt;TODAY()),AND(OR(N1911="PENDENTE",N1911="PARCIAL"),D1911&lt;TODAY()-1)),"CRÍTICO",IF(OR(AND(P1911&lt;&gt;"",S1911=""),AND(N1911="REALIZADO",M1911="PENDENTE"),AND(ISNUMBER(R1911),R1911=TODAY())),"ATENÇÃO",IF(N(K1911)=0,"PENDENTE","EM ANDAMENTO"))))))</f>
        <v/>
      </c>
      <c r="C1911" s="3">
        <f>IF(D1911="","",IF(V1911=0,"🟢 OK",IF(D1911&lt;corte,"⚪ HISTÓRICO (sem baixa)",IF(AND(ISNUMBER(R1911),R1911&lt;TODAY()),"🔴 PRAZO VENCIDO",IF(AND(OR(N1911="PENDENTE",N1911="PARCIAL"),D1911&lt;TODAY()-1),"🔴 EMBARQUE ATRASADO",IF(AND(N1911="REALIZADO",M1911="PENDENTE"),"🟡 EMBARCADO SEM FATURAR",IF(AND(P1911&lt;&gt;"",S1911="",OR(Q1911="",R1911="")),"🟡 PENDÊNCIA SEM RESPONSÁVEL/PRAZO",IF(AND(ISNUMBER(R1911),R1911=TODAY()),"🟡 VENCE HOJE",IF(AND(P1911&lt;&gt;"",S1911=""),"🟡 PENDÊNCIA ABERTA",IF(AND(N(J1911)&gt;0,N(K1911)&lt;J1911),"🟡 FALTA EXECUTAR",IF(OR(M1911="PENDENTE",M1911="PARCIAL"),"🟡 FATURAMENTO PENDENTE","🟡 EMBARQUE PENDENTE")))))))))))</f>
        <v/>
      </c>
      <c r="D1911" s="4" t="n"/>
      <c r="E1911" s="5" t="n"/>
      <c r="F1911" s="5" t="n"/>
      <c r="G1911" s="5" t="n"/>
      <c r="H1911" s="5" t="n"/>
      <c r="I1911" s="5" t="n"/>
      <c r="J1911" s="6" t="n"/>
      <c r="K1911" s="6" t="n"/>
      <c r="L1911" s="7">
        <f>IF(OR(D1911="",N(J1911)=0),"",MIN(1,N(K1911)/J1911))</f>
        <v/>
      </c>
      <c r="M1911" s="5" t="n"/>
      <c r="N1911" s="5" t="n"/>
      <c r="O1911" s="5" t="n"/>
      <c r="P1911" s="5" t="n"/>
      <c r="Q1911" s="5" t="n"/>
      <c r="R1911" s="4" t="n"/>
      <c r="S1911" s="4" t="n"/>
      <c r="T1911" s="5" t="n"/>
      <c r="U1911" s="8">
        <f>IF(AND(V1911=1,D1911&lt;&gt;""),IF(D1911&gt;=corte,TODAY()-D1911,""),"")</f>
        <v/>
      </c>
      <c r="V1911" s="8">
        <f>IF(D1911="",0,IF(OR(AND(P1911&lt;&gt;"",S1911=""),AND(N(J1911)&gt;0,N(K1911)&lt;J1911),OR(M1911="PENDENTE",M1911="PARCIAL"),OR(N1911="PENDENTE",N1911="PARCIAL")),1,0))</f>
        <v/>
      </c>
      <c r="W1911" s="8">
        <f>IF(AND(V1911=1,D1911&lt;&gt;""),IF(D1911&gt;=corte,(B1911="CRÍTICO")*1E9+(100000-D1911)*10000+10000-ROW(),""),"")</f>
        <v/>
      </c>
      <c r="X1911" s="8">
        <f>IF(AND(V1911=1,D1911=pas_data,E1911=pas_turno),10000-ROW(),"")</f>
        <v/>
      </c>
    </row>
    <row r="1912">
      <c r="A1912" s="3">
        <f>IF(D1912="","","TT-"&amp;TEXT(ROW()-1,"00000"))</f>
        <v/>
      </c>
      <c r="B1912" s="3">
        <f>IF(D1912="","",IF(V1912=0,"CONCLUÍDO",IF(D1912&lt;corte,"HISTÓRICO",IF(OR(AND(ISNUMBER(R1912),R1912&lt;TODAY()),AND(OR(N1912="PENDENTE",N1912="PARCIAL"),D1912&lt;TODAY()-1)),"CRÍTICO",IF(OR(AND(P1912&lt;&gt;"",S1912=""),AND(N1912="REALIZADO",M1912="PENDENTE"),AND(ISNUMBER(R1912),R1912=TODAY())),"ATENÇÃO",IF(N(K1912)=0,"PENDENTE","EM ANDAMENTO"))))))</f>
        <v/>
      </c>
      <c r="C1912" s="3">
        <f>IF(D1912="","",IF(V1912=0,"🟢 OK",IF(D1912&lt;corte,"⚪ HISTÓRICO (sem baixa)",IF(AND(ISNUMBER(R1912),R1912&lt;TODAY()),"🔴 PRAZO VENCIDO",IF(AND(OR(N1912="PENDENTE",N1912="PARCIAL"),D1912&lt;TODAY()-1),"🔴 EMBARQUE ATRASADO",IF(AND(N1912="REALIZADO",M1912="PENDENTE"),"🟡 EMBARCADO SEM FATURAR",IF(AND(P1912&lt;&gt;"",S1912="",OR(Q1912="",R1912="")),"🟡 PENDÊNCIA SEM RESPONSÁVEL/PRAZO",IF(AND(ISNUMBER(R1912),R1912=TODAY()),"🟡 VENCE HOJE",IF(AND(P1912&lt;&gt;"",S1912=""),"🟡 PENDÊNCIA ABERTA",IF(AND(N(J1912)&gt;0,N(K1912)&lt;J1912),"🟡 FALTA EXECUTAR",IF(OR(M1912="PENDENTE",M1912="PARCIAL"),"🟡 FATURAMENTO PENDENTE","🟡 EMBARQUE PENDENTE")))))))))))</f>
        <v/>
      </c>
      <c r="D1912" s="4" t="n"/>
      <c r="E1912" s="5" t="n"/>
      <c r="F1912" s="5" t="n"/>
      <c r="G1912" s="5" t="n"/>
      <c r="H1912" s="5" t="n"/>
      <c r="I1912" s="5" t="n"/>
      <c r="J1912" s="6" t="n"/>
      <c r="K1912" s="6" t="n"/>
      <c r="L1912" s="7">
        <f>IF(OR(D1912="",N(J1912)=0),"",MIN(1,N(K1912)/J1912))</f>
        <v/>
      </c>
      <c r="M1912" s="5" t="n"/>
      <c r="N1912" s="5" t="n"/>
      <c r="O1912" s="5" t="n"/>
      <c r="P1912" s="5" t="n"/>
      <c r="Q1912" s="5" t="n"/>
      <c r="R1912" s="4" t="n"/>
      <c r="S1912" s="4" t="n"/>
      <c r="T1912" s="5" t="n"/>
      <c r="U1912" s="8">
        <f>IF(AND(V1912=1,D1912&lt;&gt;""),IF(D1912&gt;=corte,TODAY()-D1912,""),"")</f>
        <v/>
      </c>
      <c r="V1912" s="8">
        <f>IF(D1912="",0,IF(OR(AND(P1912&lt;&gt;"",S1912=""),AND(N(J1912)&gt;0,N(K1912)&lt;J1912),OR(M1912="PENDENTE",M1912="PARCIAL"),OR(N1912="PENDENTE",N1912="PARCIAL")),1,0))</f>
        <v/>
      </c>
      <c r="W1912" s="8">
        <f>IF(AND(V1912=1,D1912&lt;&gt;""),IF(D1912&gt;=corte,(B1912="CRÍTICO")*1E9+(100000-D1912)*10000+10000-ROW(),""),"")</f>
        <v/>
      </c>
      <c r="X1912" s="8">
        <f>IF(AND(V1912=1,D1912=pas_data,E1912=pas_turno),10000-ROW(),"")</f>
        <v/>
      </c>
    </row>
    <row r="1913">
      <c r="A1913" s="3">
        <f>IF(D1913="","","TT-"&amp;TEXT(ROW()-1,"00000"))</f>
        <v/>
      </c>
      <c r="B1913" s="3">
        <f>IF(D1913="","",IF(V1913=0,"CONCLUÍDO",IF(D1913&lt;corte,"HISTÓRICO",IF(OR(AND(ISNUMBER(R1913),R1913&lt;TODAY()),AND(OR(N1913="PENDENTE",N1913="PARCIAL"),D1913&lt;TODAY()-1)),"CRÍTICO",IF(OR(AND(P1913&lt;&gt;"",S1913=""),AND(N1913="REALIZADO",M1913="PENDENTE"),AND(ISNUMBER(R1913),R1913=TODAY())),"ATENÇÃO",IF(N(K1913)=0,"PENDENTE","EM ANDAMENTO"))))))</f>
        <v/>
      </c>
      <c r="C1913" s="3">
        <f>IF(D1913="","",IF(V1913=0,"🟢 OK",IF(D1913&lt;corte,"⚪ HISTÓRICO (sem baixa)",IF(AND(ISNUMBER(R1913),R1913&lt;TODAY()),"🔴 PRAZO VENCIDO",IF(AND(OR(N1913="PENDENTE",N1913="PARCIAL"),D1913&lt;TODAY()-1),"🔴 EMBARQUE ATRASADO",IF(AND(N1913="REALIZADO",M1913="PENDENTE"),"🟡 EMBARCADO SEM FATURAR",IF(AND(P1913&lt;&gt;"",S1913="",OR(Q1913="",R1913="")),"🟡 PENDÊNCIA SEM RESPONSÁVEL/PRAZO",IF(AND(ISNUMBER(R1913),R1913=TODAY()),"🟡 VENCE HOJE",IF(AND(P1913&lt;&gt;"",S1913=""),"🟡 PENDÊNCIA ABERTA",IF(AND(N(J1913)&gt;0,N(K1913)&lt;J1913),"🟡 FALTA EXECUTAR",IF(OR(M1913="PENDENTE",M1913="PARCIAL"),"🟡 FATURAMENTO PENDENTE","🟡 EMBARQUE PENDENTE")))))))))))</f>
        <v/>
      </c>
      <c r="D1913" s="4" t="n"/>
      <c r="E1913" s="5" t="n"/>
      <c r="F1913" s="5" t="n"/>
      <c r="G1913" s="5" t="n"/>
      <c r="H1913" s="5" t="n"/>
      <c r="I1913" s="5" t="n"/>
      <c r="J1913" s="6" t="n"/>
      <c r="K1913" s="6" t="n"/>
      <c r="L1913" s="7">
        <f>IF(OR(D1913="",N(J1913)=0),"",MIN(1,N(K1913)/J1913))</f>
        <v/>
      </c>
      <c r="M1913" s="5" t="n"/>
      <c r="N1913" s="5" t="n"/>
      <c r="O1913" s="5" t="n"/>
      <c r="P1913" s="5" t="n"/>
      <c r="Q1913" s="5" t="n"/>
      <c r="R1913" s="4" t="n"/>
      <c r="S1913" s="4" t="n"/>
      <c r="T1913" s="5" t="n"/>
      <c r="U1913" s="8">
        <f>IF(AND(V1913=1,D1913&lt;&gt;""),IF(D1913&gt;=corte,TODAY()-D1913,""),"")</f>
        <v/>
      </c>
      <c r="V1913" s="8">
        <f>IF(D1913="",0,IF(OR(AND(P1913&lt;&gt;"",S1913=""),AND(N(J1913)&gt;0,N(K1913)&lt;J1913),OR(M1913="PENDENTE",M1913="PARCIAL"),OR(N1913="PENDENTE",N1913="PARCIAL")),1,0))</f>
        <v/>
      </c>
      <c r="W1913" s="8">
        <f>IF(AND(V1913=1,D1913&lt;&gt;""),IF(D1913&gt;=corte,(B1913="CRÍTICO")*1E9+(100000-D1913)*10000+10000-ROW(),""),"")</f>
        <v/>
      </c>
      <c r="X1913" s="8">
        <f>IF(AND(V1913=1,D1913=pas_data,E1913=pas_turno),10000-ROW(),"")</f>
        <v/>
      </c>
    </row>
    <row r="1914">
      <c r="A1914" s="3">
        <f>IF(D1914="","","TT-"&amp;TEXT(ROW()-1,"00000"))</f>
        <v/>
      </c>
      <c r="B1914" s="3">
        <f>IF(D1914="","",IF(V1914=0,"CONCLUÍDO",IF(D1914&lt;corte,"HISTÓRICO",IF(OR(AND(ISNUMBER(R1914),R1914&lt;TODAY()),AND(OR(N1914="PENDENTE",N1914="PARCIAL"),D1914&lt;TODAY()-1)),"CRÍTICO",IF(OR(AND(P1914&lt;&gt;"",S1914=""),AND(N1914="REALIZADO",M1914="PENDENTE"),AND(ISNUMBER(R1914),R1914=TODAY())),"ATENÇÃO",IF(N(K1914)=0,"PENDENTE","EM ANDAMENTO"))))))</f>
        <v/>
      </c>
      <c r="C1914" s="3">
        <f>IF(D1914="","",IF(V1914=0,"🟢 OK",IF(D1914&lt;corte,"⚪ HISTÓRICO (sem baixa)",IF(AND(ISNUMBER(R1914),R1914&lt;TODAY()),"🔴 PRAZO VENCIDO",IF(AND(OR(N1914="PENDENTE",N1914="PARCIAL"),D1914&lt;TODAY()-1),"🔴 EMBARQUE ATRASADO",IF(AND(N1914="REALIZADO",M1914="PENDENTE"),"🟡 EMBARCADO SEM FATURAR",IF(AND(P1914&lt;&gt;"",S1914="",OR(Q1914="",R1914="")),"🟡 PENDÊNCIA SEM RESPONSÁVEL/PRAZO",IF(AND(ISNUMBER(R1914),R1914=TODAY()),"🟡 VENCE HOJE",IF(AND(P1914&lt;&gt;"",S1914=""),"🟡 PENDÊNCIA ABERTA",IF(AND(N(J1914)&gt;0,N(K1914)&lt;J1914),"🟡 FALTA EXECUTAR",IF(OR(M1914="PENDENTE",M1914="PARCIAL"),"🟡 FATURAMENTO PENDENTE","🟡 EMBARQUE PENDENTE")))))))))))</f>
        <v/>
      </c>
      <c r="D1914" s="4" t="n"/>
      <c r="E1914" s="5" t="n"/>
      <c r="F1914" s="5" t="n"/>
      <c r="G1914" s="5" t="n"/>
      <c r="H1914" s="5" t="n"/>
      <c r="I1914" s="5" t="n"/>
      <c r="J1914" s="6" t="n"/>
      <c r="K1914" s="6" t="n"/>
      <c r="L1914" s="7">
        <f>IF(OR(D1914="",N(J1914)=0),"",MIN(1,N(K1914)/J1914))</f>
        <v/>
      </c>
      <c r="M1914" s="5" t="n"/>
      <c r="N1914" s="5" t="n"/>
      <c r="O1914" s="5" t="n"/>
      <c r="P1914" s="5" t="n"/>
      <c r="Q1914" s="5" t="n"/>
      <c r="R1914" s="4" t="n"/>
      <c r="S1914" s="4" t="n"/>
      <c r="T1914" s="5" t="n"/>
      <c r="U1914" s="8">
        <f>IF(AND(V1914=1,D1914&lt;&gt;""),IF(D1914&gt;=corte,TODAY()-D1914,""),"")</f>
        <v/>
      </c>
      <c r="V1914" s="8">
        <f>IF(D1914="",0,IF(OR(AND(P1914&lt;&gt;"",S1914=""),AND(N(J1914)&gt;0,N(K1914)&lt;J1914),OR(M1914="PENDENTE",M1914="PARCIAL"),OR(N1914="PENDENTE",N1914="PARCIAL")),1,0))</f>
        <v/>
      </c>
      <c r="W1914" s="8">
        <f>IF(AND(V1914=1,D1914&lt;&gt;""),IF(D1914&gt;=corte,(B1914="CRÍTICO")*1E9+(100000-D1914)*10000+10000-ROW(),""),"")</f>
        <v/>
      </c>
      <c r="X1914" s="8">
        <f>IF(AND(V1914=1,D1914=pas_data,E1914=pas_turno),10000-ROW(),"")</f>
        <v/>
      </c>
    </row>
    <row r="1915">
      <c r="A1915" s="3">
        <f>IF(D1915="","","TT-"&amp;TEXT(ROW()-1,"00000"))</f>
        <v/>
      </c>
      <c r="B1915" s="3">
        <f>IF(D1915="","",IF(V1915=0,"CONCLUÍDO",IF(D1915&lt;corte,"HISTÓRICO",IF(OR(AND(ISNUMBER(R1915),R1915&lt;TODAY()),AND(OR(N1915="PENDENTE",N1915="PARCIAL"),D1915&lt;TODAY()-1)),"CRÍTICO",IF(OR(AND(P1915&lt;&gt;"",S1915=""),AND(N1915="REALIZADO",M1915="PENDENTE"),AND(ISNUMBER(R1915),R1915=TODAY())),"ATENÇÃO",IF(N(K1915)=0,"PENDENTE","EM ANDAMENTO"))))))</f>
        <v/>
      </c>
      <c r="C1915" s="3">
        <f>IF(D1915="","",IF(V1915=0,"🟢 OK",IF(D1915&lt;corte,"⚪ HISTÓRICO (sem baixa)",IF(AND(ISNUMBER(R1915),R1915&lt;TODAY()),"🔴 PRAZO VENCIDO",IF(AND(OR(N1915="PENDENTE",N1915="PARCIAL"),D1915&lt;TODAY()-1),"🔴 EMBARQUE ATRASADO",IF(AND(N1915="REALIZADO",M1915="PENDENTE"),"🟡 EMBARCADO SEM FATURAR",IF(AND(P1915&lt;&gt;"",S1915="",OR(Q1915="",R1915="")),"🟡 PENDÊNCIA SEM RESPONSÁVEL/PRAZO",IF(AND(ISNUMBER(R1915),R1915=TODAY()),"🟡 VENCE HOJE",IF(AND(P1915&lt;&gt;"",S1915=""),"🟡 PENDÊNCIA ABERTA",IF(AND(N(J1915)&gt;0,N(K1915)&lt;J1915),"🟡 FALTA EXECUTAR",IF(OR(M1915="PENDENTE",M1915="PARCIAL"),"🟡 FATURAMENTO PENDENTE","🟡 EMBARQUE PENDENTE")))))))))))</f>
        <v/>
      </c>
      <c r="D1915" s="4" t="n"/>
      <c r="E1915" s="5" t="n"/>
      <c r="F1915" s="5" t="n"/>
      <c r="G1915" s="5" t="n"/>
      <c r="H1915" s="5" t="n"/>
      <c r="I1915" s="5" t="n"/>
      <c r="J1915" s="6" t="n"/>
      <c r="K1915" s="6" t="n"/>
      <c r="L1915" s="7">
        <f>IF(OR(D1915="",N(J1915)=0),"",MIN(1,N(K1915)/J1915))</f>
        <v/>
      </c>
      <c r="M1915" s="5" t="n"/>
      <c r="N1915" s="5" t="n"/>
      <c r="O1915" s="5" t="n"/>
      <c r="P1915" s="5" t="n"/>
      <c r="Q1915" s="5" t="n"/>
      <c r="R1915" s="4" t="n"/>
      <c r="S1915" s="4" t="n"/>
      <c r="T1915" s="5" t="n"/>
      <c r="U1915" s="8">
        <f>IF(AND(V1915=1,D1915&lt;&gt;""),IF(D1915&gt;=corte,TODAY()-D1915,""),"")</f>
        <v/>
      </c>
      <c r="V1915" s="8">
        <f>IF(D1915="",0,IF(OR(AND(P1915&lt;&gt;"",S1915=""),AND(N(J1915)&gt;0,N(K1915)&lt;J1915),OR(M1915="PENDENTE",M1915="PARCIAL"),OR(N1915="PENDENTE",N1915="PARCIAL")),1,0))</f>
        <v/>
      </c>
      <c r="W1915" s="8">
        <f>IF(AND(V1915=1,D1915&lt;&gt;""),IF(D1915&gt;=corte,(B1915="CRÍTICO")*1E9+(100000-D1915)*10000+10000-ROW(),""),"")</f>
        <v/>
      </c>
      <c r="X1915" s="8">
        <f>IF(AND(V1915=1,D1915=pas_data,E1915=pas_turno),10000-ROW(),"")</f>
        <v/>
      </c>
    </row>
    <row r="1916">
      <c r="A1916" s="3">
        <f>IF(D1916="","","TT-"&amp;TEXT(ROW()-1,"00000"))</f>
        <v/>
      </c>
      <c r="B1916" s="3">
        <f>IF(D1916="","",IF(V1916=0,"CONCLUÍDO",IF(D1916&lt;corte,"HISTÓRICO",IF(OR(AND(ISNUMBER(R1916),R1916&lt;TODAY()),AND(OR(N1916="PENDENTE",N1916="PARCIAL"),D1916&lt;TODAY()-1)),"CRÍTICO",IF(OR(AND(P1916&lt;&gt;"",S1916=""),AND(N1916="REALIZADO",M1916="PENDENTE"),AND(ISNUMBER(R1916),R1916=TODAY())),"ATENÇÃO",IF(N(K1916)=0,"PENDENTE","EM ANDAMENTO"))))))</f>
        <v/>
      </c>
      <c r="C1916" s="3">
        <f>IF(D1916="","",IF(V1916=0,"🟢 OK",IF(D1916&lt;corte,"⚪ HISTÓRICO (sem baixa)",IF(AND(ISNUMBER(R1916),R1916&lt;TODAY()),"🔴 PRAZO VENCIDO",IF(AND(OR(N1916="PENDENTE",N1916="PARCIAL"),D1916&lt;TODAY()-1),"🔴 EMBARQUE ATRASADO",IF(AND(N1916="REALIZADO",M1916="PENDENTE"),"🟡 EMBARCADO SEM FATURAR",IF(AND(P1916&lt;&gt;"",S1916="",OR(Q1916="",R1916="")),"🟡 PENDÊNCIA SEM RESPONSÁVEL/PRAZO",IF(AND(ISNUMBER(R1916),R1916=TODAY()),"🟡 VENCE HOJE",IF(AND(P1916&lt;&gt;"",S1916=""),"🟡 PENDÊNCIA ABERTA",IF(AND(N(J1916)&gt;0,N(K1916)&lt;J1916),"🟡 FALTA EXECUTAR",IF(OR(M1916="PENDENTE",M1916="PARCIAL"),"🟡 FATURAMENTO PENDENTE","🟡 EMBARQUE PENDENTE")))))))))))</f>
        <v/>
      </c>
      <c r="D1916" s="4" t="n"/>
      <c r="E1916" s="5" t="n"/>
      <c r="F1916" s="5" t="n"/>
      <c r="G1916" s="5" t="n"/>
      <c r="H1916" s="5" t="n"/>
      <c r="I1916" s="5" t="n"/>
      <c r="J1916" s="6" t="n"/>
      <c r="K1916" s="6" t="n"/>
      <c r="L1916" s="7">
        <f>IF(OR(D1916="",N(J1916)=0),"",MIN(1,N(K1916)/J1916))</f>
        <v/>
      </c>
      <c r="M1916" s="5" t="n"/>
      <c r="N1916" s="5" t="n"/>
      <c r="O1916" s="5" t="n"/>
      <c r="P1916" s="5" t="n"/>
      <c r="Q1916" s="5" t="n"/>
      <c r="R1916" s="4" t="n"/>
      <c r="S1916" s="4" t="n"/>
      <c r="T1916" s="5" t="n"/>
      <c r="U1916" s="8">
        <f>IF(AND(V1916=1,D1916&lt;&gt;""),IF(D1916&gt;=corte,TODAY()-D1916,""),"")</f>
        <v/>
      </c>
      <c r="V1916" s="8">
        <f>IF(D1916="",0,IF(OR(AND(P1916&lt;&gt;"",S1916=""),AND(N(J1916)&gt;0,N(K1916)&lt;J1916),OR(M1916="PENDENTE",M1916="PARCIAL"),OR(N1916="PENDENTE",N1916="PARCIAL")),1,0))</f>
        <v/>
      </c>
      <c r="W1916" s="8">
        <f>IF(AND(V1916=1,D1916&lt;&gt;""),IF(D1916&gt;=corte,(B1916="CRÍTICO")*1E9+(100000-D1916)*10000+10000-ROW(),""),"")</f>
        <v/>
      </c>
      <c r="X1916" s="8">
        <f>IF(AND(V1916=1,D1916=pas_data,E1916=pas_turno),10000-ROW(),"")</f>
        <v/>
      </c>
    </row>
    <row r="1917">
      <c r="A1917" s="3">
        <f>IF(D1917="","","TT-"&amp;TEXT(ROW()-1,"00000"))</f>
        <v/>
      </c>
      <c r="B1917" s="3">
        <f>IF(D1917="","",IF(V1917=0,"CONCLUÍDO",IF(D1917&lt;corte,"HISTÓRICO",IF(OR(AND(ISNUMBER(R1917),R1917&lt;TODAY()),AND(OR(N1917="PENDENTE",N1917="PARCIAL"),D1917&lt;TODAY()-1)),"CRÍTICO",IF(OR(AND(P1917&lt;&gt;"",S1917=""),AND(N1917="REALIZADO",M1917="PENDENTE"),AND(ISNUMBER(R1917),R1917=TODAY())),"ATENÇÃO",IF(N(K1917)=0,"PENDENTE","EM ANDAMENTO"))))))</f>
        <v/>
      </c>
      <c r="C1917" s="3">
        <f>IF(D1917="","",IF(V1917=0,"🟢 OK",IF(D1917&lt;corte,"⚪ HISTÓRICO (sem baixa)",IF(AND(ISNUMBER(R1917),R1917&lt;TODAY()),"🔴 PRAZO VENCIDO",IF(AND(OR(N1917="PENDENTE",N1917="PARCIAL"),D1917&lt;TODAY()-1),"🔴 EMBARQUE ATRASADO",IF(AND(N1917="REALIZADO",M1917="PENDENTE"),"🟡 EMBARCADO SEM FATURAR",IF(AND(P1917&lt;&gt;"",S1917="",OR(Q1917="",R1917="")),"🟡 PENDÊNCIA SEM RESPONSÁVEL/PRAZO",IF(AND(ISNUMBER(R1917),R1917=TODAY()),"🟡 VENCE HOJE",IF(AND(P1917&lt;&gt;"",S1917=""),"🟡 PENDÊNCIA ABERTA",IF(AND(N(J1917)&gt;0,N(K1917)&lt;J1917),"🟡 FALTA EXECUTAR",IF(OR(M1917="PENDENTE",M1917="PARCIAL"),"🟡 FATURAMENTO PENDENTE","🟡 EMBARQUE PENDENTE")))))))))))</f>
        <v/>
      </c>
      <c r="D1917" s="4" t="n"/>
      <c r="E1917" s="5" t="n"/>
      <c r="F1917" s="5" t="n"/>
      <c r="G1917" s="5" t="n"/>
      <c r="H1917" s="5" t="n"/>
      <c r="I1917" s="5" t="n"/>
      <c r="J1917" s="6" t="n"/>
      <c r="K1917" s="6" t="n"/>
      <c r="L1917" s="7">
        <f>IF(OR(D1917="",N(J1917)=0),"",MIN(1,N(K1917)/J1917))</f>
        <v/>
      </c>
      <c r="M1917" s="5" t="n"/>
      <c r="N1917" s="5" t="n"/>
      <c r="O1917" s="5" t="n"/>
      <c r="P1917" s="5" t="n"/>
      <c r="Q1917" s="5" t="n"/>
      <c r="R1917" s="4" t="n"/>
      <c r="S1917" s="4" t="n"/>
      <c r="T1917" s="5" t="n"/>
      <c r="U1917" s="8">
        <f>IF(AND(V1917=1,D1917&lt;&gt;""),IF(D1917&gt;=corte,TODAY()-D1917,""),"")</f>
        <v/>
      </c>
      <c r="V1917" s="8">
        <f>IF(D1917="",0,IF(OR(AND(P1917&lt;&gt;"",S1917=""),AND(N(J1917)&gt;0,N(K1917)&lt;J1917),OR(M1917="PENDENTE",M1917="PARCIAL"),OR(N1917="PENDENTE",N1917="PARCIAL")),1,0))</f>
        <v/>
      </c>
      <c r="W1917" s="8">
        <f>IF(AND(V1917=1,D1917&lt;&gt;""),IF(D1917&gt;=corte,(B1917="CRÍTICO")*1E9+(100000-D1917)*10000+10000-ROW(),""),"")</f>
        <v/>
      </c>
      <c r="X1917" s="8">
        <f>IF(AND(V1917=1,D1917=pas_data,E1917=pas_turno),10000-ROW(),"")</f>
        <v/>
      </c>
    </row>
    <row r="1918">
      <c r="A1918" s="3">
        <f>IF(D1918="","","TT-"&amp;TEXT(ROW()-1,"00000"))</f>
        <v/>
      </c>
      <c r="B1918" s="3">
        <f>IF(D1918="","",IF(V1918=0,"CONCLUÍDO",IF(D1918&lt;corte,"HISTÓRICO",IF(OR(AND(ISNUMBER(R1918),R1918&lt;TODAY()),AND(OR(N1918="PENDENTE",N1918="PARCIAL"),D1918&lt;TODAY()-1)),"CRÍTICO",IF(OR(AND(P1918&lt;&gt;"",S1918=""),AND(N1918="REALIZADO",M1918="PENDENTE"),AND(ISNUMBER(R1918),R1918=TODAY())),"ATENÇÃO",IF(N(K1918)=0,"PENDENTE","EM ANDAMENTO"))))))</f>
        <v/>
      </c>
      <c r="C1918" s="3">
        <f>IF(D1918="","",IF(V1918=0,"🟢 OK",IF(D1918&lt;corte,"⚪ HISTÓRICO (sem baixa)",IF(AND(ISNUMBER(R1918),R1918&lt;TODAY()),"🔴 PRAZO VENCIDO",IF(AND(OR(N1918="PENDENTE",N1918="PARCIAL"),D1918&lt;TODAY()-1),"🔴 EMBARQUE ATRASADO",IF(AND(N1918="REALIZADO",M1918="PENDENTE"),"🟡 EMBARCADO SEM FATURAR",IF(AND(P1918&lt;&gt;"",S1918="",OR(Q1918="",R1918="")),"🟡 PENDÊNCIA SEM RESPONSÁVEL/PRAZO",IF(AND(ISNUMBER(R1918),R1918=TODAY()),"🟡 VENCE HOJE",IF(AND(P1918&lt;&gt;"",S1918=""),"🟡 PENDÊNCIA ABERTA",IF(AND(N(J1918)&gt;0,N(K1918)&lt;J1918),"🟡 FALTA EXECUTAR",IF(OR(M1918="PENDENTE",M1918="PARCIAL"),"🟡 FATURAMENTO PENDENTE","🟡 EMBARQUE PENDENTE")))))))))))</f>
        <v/>
      </c>
      <c r="D1918" s="4" t="n"/>
      <c r="E1918" s="5" t="n"/>
      <c r="F1918" s="5" t="n"/>
      <c r="G1918" s="5" t="n"/>
      <c r="H1918" s="5" t="n"/>
      <c r="I1918" s="5" t="n"/>
      <c r="J1918" s="6" t="n"/>
      <c r="K1918" s="6" t="n"/>
      <c r="L1918" s="7">
        <f>IF(OR(D1918="",N(J1918)=0),"",MIN(1,N(K1918)/J1918))</f>
        <v/>
      </c>
      <c r="M1918" s="5" t="n"/>
      <c r="N1918" s="5" t="n"/>
      <c r="O1918" s="5" t="n"/>
      <c r="P1918" s="5" t="n"/>
      <c r="Q1918" s="5" t="n"/>
      <c r="R1918" s="4" t="n"/>
      <c r="S1918" s="4" t="n"/>
      <c r="T1918" s="5" t="n"/>
      <c r="U1918" s="8">
        <f>IF(AND(V1918=1,D1918&lt;&gt;""),IF(D1918&gt;=corte,TODAY()-D1918,""),"")</f>
        <v/>
      </c>
      <c r="V1918" s="8">
        <f>IF(D1918="",0,IF(OR(AND(P1918&lt;&gt;"",S1918=""),AND(N(J1918)&gt;0,N(K1918)&lt;J1918),OR(M1918="PENDENTE",M1918="PARCIAL"),OR(N1918="PENDENTE",N1918="PARCIAL")),1,0))</f>
        <v/>
      </c>
      <c r="W1918" s="8">
        <f>IF(AND(V1918=1,D1918&lt;&gt;""),IF(D1918&gt;=corte,(B1918="CRÍTICO")*1E9+(100000-D1918)*10000+10000-ROW(),""),"")</f>
        <v/>
      </c>
      <c r="X1918" s="8">
        <f>IF(AND(V1918=1,D1918=pas_data,E1918=pas_turno),10000-ROW(),"")</f>
        <v/>
      </c>
    </row>
    <row r="1919">
      <c r="A1919" s="3">
        <f>IF(D1919="","","TT-"&amp;TEXT(ROW()-1,"00000"))</f>
        <v/>
      </c>
      <c r="B1919" s="3">
        <f>IF(D1919="","",IF(V1919=0,"CONCLUÍDO",IF(D1919&lt;corte,"HISTÓRICO",IF(OR(AND(ISNUMBER(R1919),R1919&lt;TODAY()),AND(OR(N1919="PENDENTE",N1919="PARCIAL"),D1919&lt;TODAY()-1)),"CRÍTICO",IF(OR(AND(P1919&lt;&gt;"",S1919=""),AND(N1919="REALIZADO",M1919="PENDENTE"),AND(ISNUMBER(R1919),R1919=TODAY())),"ATENÇÃO",IF(N(K1919)=0,"PENDENTE","EM ANDAMENTO"))))))</f>
        <v/>
      </c>
      <c r="C1919" s="3">
        <f>IF(D1919="","",IF(V1919=0,"🟢 OK",IF(D1919&lt;corte,"⚪ HISTÓRICO (sem baixa)",IF(AND(ISNUMBER(R1919),R1919&lt;TODAY()),"🔴 PRAZO VENCIDO",IF(AND(OR(N1919="PENDENTE",N1919="PARCIAL"),D1919&lt;TODAY()-1),"🔴 EMBARQUE ATRASADO",IF(AND(N1919="REALIZADO",M1919="PENDENTE"),"🟡 EMBARCADO SEM FATURAR",IF(AND(P1919&lt;&gt;"",S1919="",OR(Q1919="",R1919="")),"🟡 PENDÊNCIA SEM RESPONSÁVEL/PRAZO",IF(AND(ISNUMBER(R1919),R1919=TODAY()),"🟡 VENCE HOJE",IF(AND(P1919&lt;&gt;"",S1919=""),"🟡 PENDÊNCIA ABERTA",IF(AND(N(J1919)&gt;0,N(K1919)&lt;J1919),"🟡 FALTA EXECUTAR",IF(OR(M1919="PENDENTE",M1919="PARCIAL"),"🟡 FATURAMENTO PENDENTE","🟡 EMBARQUE PENDENTE")))))))))))</f>
        <v/>
      </c>
      <c r="D1919" s="4" t="n"/>
      <c r="E1919" s="5" t="n"/>
      <c r="F1919" s="5" t="n"/>
      <c r="G1919" s="5" t="n"/>
      <c r="H1919" s="5" t="n"/>
      <c r="I1919" s="5" t="n"/>
      <c r="J1919" s="6" t="n"/>
      <c r="K1919" s="6" t="n"/>
      <c r="L1919" s="7">
        <f>IF(OR(D1919="",N(J1919)=0),"",MIN(1,N(K1919)/J1919))</f>
        <v/>
      </c>
      <c r="M1919" s="5" t="n"/>
      <c r="N1919" s="5" t="n"/>
      <c r="O1919" s="5" t="n"/>
      <c r="P1919" s="5" t="n"/>
      <c r="Q1919" s="5" t="n"/>
      <c r="R1919" s="4" t="n"/>
      <c r="S1919" s="4" t="n"/>
      <c r="T1919" s="5" t="n"/>
      <c r="U1919" s="8">
        <f>IF(AND(V1919=1,D1919&lt;&gt;""),IF(D1919&gt;=corte,TODAY()-D1919,""),"")</f>
        <v/>
      </c>
      <c r="V1919" s="8">
        <f>IF(D1919="",0,IF(OR(AND(P1919&lt;&gt;"",S1919=""),AND(N(J1919)&gt;0,N(K1919)&lt;J1919),OR(M1919="PENDENTE",M1919="PARCIAL"),OR(N1919="PENDENTE",N1919="PARCIAL")),1,0))</f>
        <v/>
      </c>
      <c r="W1919" s="8">
        <f>IF(AND(V1919=1,D1919&lt;&gt;""),IF(D1919&gt;=corte,(B1919="CRÍTICO")*1E9+(100000-D1919)*10000+10000-ROW(),""),"")</f>
        <v/>
      </c>
      <c r="X1919" s="8">
        <f>IF(AND(V1919=1,D1919=pas_data,E1919=pas_turno),10000-ROW(),"")</f>
        <v/>
      </c>
    </row>
    <row r="1920">
      <c r="A1920" s="3">
        <f>IF(D1920="","","TT-"&amp;TEXT(ROW()-1,"00000"))</f>
        <v/>
      </c>
      <c r="B1920" s="3">
        <f>IF(D1920="","",IF(V1920=0,"CONCLUÍDO",IF(D1920&lt;corte,"HISTÓRICO",IF(OR(AND(ISNUMBER(R1920),R1920&lt;TODAY()),AND(OR(N1920="PENDENTE",N1920="PARCIAL"),D1920&lt;TODAY()-1)),"CRÍTICO",IF(OR(AND(P1920&lt;&gt;"",S1920=""),AND(N1920="REALIZADO",M1920="PENDENTE"),AND(ISNUMBER(R1920),R1920=TODAY())),"ATENÇÃO",IF(N(K1920)=0,"PENDENTE","EM ANDAMENTO"))))))</f>
        <v/>
      </c>
      <c r="C1920" s="3">
        <f>IF(D1920="","",IF(V1920=0,"🟢 OK",IF(D1920&lt;corte,"⚪ HISTÓRICO (sem baixa)",IF(AND(ISNUMBER(R1920),R1920&lt;TODAY()),"🔴 PRAZO VENCIDO",IF(AND(OR(N1920="PENDENTE",N1920="PARCIAL"),D1920&lt;TODAY()-1),"🔴 EMBARQUE ATRASADO",IF(AND(N1920="REALIZADO",M1920="PENDENTE"),"🟡 EMBARCADO SEM FATURAR",IF(AND(P1920&lt;&gt;"",S1920="",OR(Q1920="",R1920="")),"🟡 PENDÊNCIA SEM RESPONSÁVEL/PRAZO",IF(AND(ISNUMBER(R1920),R1920=TODAY()),"🟡 VENCE HOJE",IF(AND(P1920&lt;&gt;"",S1920=""),"🟡 PENDÊNCIA ABERTA",IF(AND(N(J1920)&gt;0,N(K1920)&lt;J1920),"🟡 FALTA EXECUTAR",IF(OR(M1920="PENDENTE",M1920="PARCIAL"),"🟡 FATURAMENTO PENDENTE","🟡 EMBARQUE PENDENTE")))))))))))</f>
        <v/>
      </c>
      <c r="D1920" s="4" t="n"/>
      <c r="E1920" s="5" t="n"/>
      <c r="F1920" s="5" t="n"/>
      <c r="G1920" s="5" t="n"/>
      <c r="H1920" s="5" t="n"/>
      <c r="I1920" s="5" t="n"/>
      <c r="J1920" s="6" t="n"/>
      <c r="K1920" s="6" t="n"/>
      <c r="L1920" s="7">
        <f>IF(OR(D1920="",N(J1920)=0),"",MIN(1,N(K1920)/J1920))</f>
        <v/>
      </c>
      <c r="M1920" s="5" t="n"/>
      <c r="N1920" s="5" t="n"/>
      <c r="O1920" s="5" t="n"/>
      <c r="P1920" s="5" t="n"/>
      <c r="Q1920" s="5" t="n"/>
      <c r="R1920" s="4" t="n"/>
      <c r="S1920" s="4" t="n"/>
      <c r="T1920" s="5" t="n"/>
      <c r="U1920" s="8">
        <f>IF(AND(V1920=1,D1920&lt;&gt;""),IF(D1920&gt;=corte,TODAY()-D1920,""),"")</f>
        <v/>
      </c>
      <c r="V1920" s="8">
        <f>IF(D1920="",0,IF(OR(AND(P1920&lt;&gt;"",S1920=""),AND(N(J1920)&gt;0,N(K1920)&lt;J1920),OR(M1920="PENDENTE",M1920="PARCIAL"),OR(N1920="PENDENTE",N1920="PARCIAL")),1,0))</f>
        <v/>
      </c>
      <c r="W1920" s="8">
        <f>IF(AND(V1920=1,D1920&lt;&gt;""),IF(D1920&gt;=corte,(B1920="CRÍTICO")*1E9+(100000-D1920)*10000+10000-ROW(),""),"")</f>
        <v/>
      </c>
      <c r="X1920" s="8">
        <f>IF(AND(V1920=1,D1920=pas_data,E1920=pas_turno),10000-ROW(),"")</f>
        <v/>
      </c>
    </row>
    <row r="1921">
      <c r="A1921" s="3">
        <f>IF(D1921="","","TT-"&amp;TEXT(ROW()-1,"00000"))</f>
        <v/>
      </c>
      <c r="B1921" s="3">
        <f>IF(D1921="","",IF(V1921=0,"CONCLUÍDO",IF(D1921&lt;corte,"HISTÓRICO",IF(OR(AND(ISNUMBER(R1921),R1921&lt;TODAY()),AND(OR(N1921="PENDENTE",N1921="PARCIAL"),D1921&lt;TODAY()-1)),"CRÍTICO",IF(OR(AND(P1921&lt;&gt;"",S1921=""),AND(N1921="REALIZADO",M1921="PENDENTE"),AND(ISNUMBER(R1921),R1921=TODAY())),"ATENÇÃO",IF(N(K1921)=0,"PENDENTE","EM ANDAMENTO"))))))</f>
        <v/>
      </c>
      <c r="C1921" s="3">
        <f>IF(D1921="","",IF(V1921=0,"🟢 OK",IF(D1921&lt;corte,"⚪ HISTÓRICO (sem baixa)",IF(AND(ISNUMBER(R1921),R1921&lt;TODAY()),"🔴 PRAZO VENCIDO",IF(AND(OR(N1921="PENDENTE",N1921="PARCIAL"),D1921&lt;TODAY()-1),"🔴 EMBARQUE ATRASADO",IF(AND(N1921="REALIZADO",M1921="PENDENTE"),"🟡 EMBARCADO SEM FATURAR",IF(AND(P1921&lt;&gt;"",S1921="",OR(Q1921="",R1921="")),"🟡 PENDÊNCIA SEM RESPONSÁVEL/PRAZO",IF(AND(ISNUMBER(R1921),R1921=TODAY()),"🟡 VENCE HOJE",IF(AND(P1921&lt;&gt;"",S1921=""),"🟡 PENDÊNCIA ABERTA",IF(AND(N(J1921)&gt;0,N(K1921)&lt;J1921),"🟡 FALTA EXECUTAR",IF(OR(M1921="PENDENTE",M1921="PARCIAL"),"🟡 FATURAMENTO PENDENTE","🟡 EMBARQUE PENDENTE")))))))))))</f>
        <v/>
      </c>
      <c r="D1921" s="4" t="n"/>
      <c r="E1921" s="5" t="n"/>
      <c r="F1921" s="5" t="n"/>
      <c r="G1921" s="5" t="n"/>
      <c r="H1921" s="5" t="n"/>
      <c r="I1921" s="5" t="n"/>
      <c r="J1921" s="6" t="n"/>
      <c r="K1921" s="6" t="n"/>
      <c r="L1921" s="7">
        <f>IF(OR(D1921="",N(J1921)=0),"",MIN(1,N(K1921)/J1921))</f>
        <v/>
      </c>
      <c r="M1921" s="5" t="n"/>
      <c r="N1921" s="5" t="n"/>
      <c r="O1921" s="5" t="n"/>
      <c r="P1921" s="5" t="n"/>
      <c r="Q1921" s="5" t="n"/>
      <c r="R1921" s="4" t="n"/>
      <c r="S1921" s="4" t="n"/>
      <c r="T1921" s="5" t="n"/>
      <c r="U1921" s="8">
        <f>IF(AND(V1921=1,D1921&lt;&gt;""),IF(D1921&gt;=corte,TODAY()-D1921,""),"")</f>
        <v/>
      </c>
      <c r="V1921" s="8">
        <f>IF(D1921="",0,IF(OR(AND(P1921&lt;&gt;"",S1921=""),AND(N(J1921)&gt;0,N(K1921)&lt;J1921),OR(M1921="PENDENTE",M1921="PARCIAL"),OR(N1921="PENDENTE",N1921="PARCIAL")),1,0))</f>
        <v/>
      </c>
      <c r="W1921" s="8">
        <f>IF(AND(V1921=1,D1921&lt;&gt;""),IF(D1921&gt;=corte,(B1921="CRÍTICO")*1E9+(100000-D1921)*10000+10000-ROW(),""),"")</f>
        <v/>
      </c>
      <c r="X1921" s="8">
        <f>IF(AND(V1921=1,D1921=pas_data,E1921=pas_turno),10000-ROW(),"")</f>
        <v/>
      </c>
    </row>
    <row r="1922">
      <c r="A1922" s="3">
        <f>IF(D1922="","","TT-"&amp;TEXT(ROW()-1,"00000"))</f>
        <v/>
      </c>
      <c r="B1922" s="3">
        <f>IF(D1922="","",IF(V1922=0,"CONCLUÍDO",IF(D1922&lt;corte,"HISTÓRICO",IF(OR(AND(ISNUMBER(R1922),R1922&lt;TODAY()),AND(OR(N1922="PENDENTE",N1922="PARCIAL"),D1922&lt;TODAY()-1)),"CRÍTICO",IF(OR(AND(P1922&lt;&gt;"",S1922=""),AND(N1922="REALIZADO",M1922="PENDENTE"),AND(ISNUMBER(R1922),R1922=TODAY())),"ATENÇÃO",IF(N(K1922)=0,"PENDENTE","EM ANDAMENTO"))))))</f>
        <v/>
      </c>
      <c r="C1922" s="3">
        <f>IF(D1922="","",IF(V1922=0,"🟢 OK",IF(D1922&lt;corte,"⚪ HISTÓRICO (sem baixa)",IF(AND(ISNUMBER(R1922),R1922&lt;TODAY()),"🔴 PRAZO VENCIDO",IF(AND(OR(N1922="PENDENTE",N1922="PARCIAL"),D1922&lt;TODAY()-1),"🔴 EMBARQUE ATRASADO",IF(AND(N1922="REALIZADO",M1922="PENDENTE"),"🟡 EMBARCADO SEM FATURAR",IF(AND(P1922&lt;&gt;"",S1922="",OR(Q1922="",R1922="")),"🟡 PENDÊNCIA SEM RESPONSÁVEL/PRAZO",IF(AND(ISNUMBER(R1922),R1922=TODAY()),"🟡 VENCE HOJE",IF(AND(P1922&lt;&gt;"",S1922=""),"🟡 PENDÊNCIA ABERTA",IF(AND(N(J1922)&gt;0,N(K1922)&lt;J1922),"🟡 FALTA EXECUTAR",IF(OR(M1922="PENDENTE",M1922="PARCIAL"),"🟡 FATURAMENTO PENDENTE","🟡 EMBARQUE PENDENTE")))))))))))</f>
        <v/>
      </c>
      <c r="D1922" s="4" t="n"/>
      <c r="E1922" s="5" t="n"/>
      <c r="F1922" s="5" t="n"/>
      <c r="G1922" s="5" t="n"/>
      <c r="H1922" s="5" t="n"/>
      <c r="I1922" s="5" t="n"/>
      <c r="J1922" s="6" t="n"/>
      <c r="K1922" s="6" t="n"/>
      <c r="L1922" s="7">
        <f>IF(OR(D1922="",N(J1922)=0),"",MIN(1,N(K1922)/J1922))</f>
        <v/>
      </c>
      <c r="M1922" s="5" t="n"/>
      <c r="N1922" s="5" t="n"/>
      <c r="O1922" s="5" t="n"/>
      <c r="P1922" s="5" t="n"/>
      <c r="Q1922" s="5" t="n"/>
      <c r="R1922" s="4" t="n"/>
      <c r="S1922" s="4" t="n"/>
      <c r="T1922" s="5" t="n"/>
      <c r="U1922" s="8">
        <f>IF(AND(V1922=1,D1922&lt;&gt;""),IF(D1922&gt;=corte,TODAY()-D1922,""),"")</f>
        <v/>
      </c>
      <c r="V1922" s="8">
        <f>IF(D1922="",0,IF(OR(AND(P1922&lt;&gt;"",S1922=""),AND(N(J1922)&gt;0,N(K1922)&lt;J1922),OR(M1922="PENDENTE",M1922="PARCIAL"),OR(N1922="PENDENTE",N1922="PARCIAL")),1,0))</f>
        <v/>
      </c>
      <c r="W1922" s="8">
        <f>IF(AND(V1922=1,D1922&lt;&gt;""),IF(D1922&gt;=corte,(B1922="CRÍTICO")*1E9+(100000-D1922)*10000+10000-ROW(),""),"")</f>
        <v/>
      </c>
      <c r="X1922" s="8">
        <f>IF(AND(V1922=1,D1922=pas_data,E1922=pas_turno),10000-ROW(),"")</f>
        <v/>
      </c>
    </row>
    <row r="1923">
      <c r="A1923" s="3">
        <f>IF(D1923="","","TT-"&amp;TEXT(ROW()-1,"00000"))</f>
        <v/>
      </c>
      <c r="B1923" s="3">
        <f>IF(D1923="","",IF(V1923=0,"CONCLUÍDO",IF(D1923&lt;corte,"HISTÓRICO",IF(OR(AND(ISNUMBER(R1923),R1923&lt;TODAY()),AND(OR(N1923="PENDENTE",N1923="PARCIAL"),D1923&lt;TODAY()-1)),"CRÍTICO",IF(OR(AND(P1923&lt;&gt;"",S1923=""),AND(N1923="REALIZADO",M1923="PENDENTE"),AND(ISNUMBER(R1923),R1923=TODAY())),"ATENÇÃO",IF(N(K1923)=0,"PENDENTE","EM ANDAMENTO"))))))</f>
        <v/>
      </c>
      <c r="C1923" s="3">
        <f>IF(D1923="","",IF(V1923=0,"🟢 OK",IF(D1923&lt;corte,"⚪ HISTÓRICO (sem baixa)",IF(AND(ISNUMBER(R1923),R1923&lt;TODAY()),"🔴 PRAZO VENCIDO",IF(AND(OR(N1923="PENDENTE",N1923="PARCIAL"),D1923&lt;TODAY()-1),"🔴 EMBARQUE ATRASADO",IF(AND(N1923="REALIZADO",M1923="PENDENTE"),"🟡 EMBARCADO SEM FATURAR",IF(AND(P1923&lt;&gt;"",S1923="",OR(Q1923="",R1923="")),"🟡 PENDÊNCIA SEM RESPONSÁVEL/PRAZO",IF(AND(ISNUMBER(R1923),R1923=TODAY()),"🟡 VENCE HOJE",IF(AND(P1923&lt;&gt;"",S1923=""),"🟡 PENDÊNCIA ABERTA",IF(AND(N(J1923)&gt;0,N(K1923)&lt;J1923),"🟡 FALTA EXECUTAR",IF(OR(M1923="PENDENTE",M1923="PARCIAL"),"🟡 FATURAMENTO PENDENTE","🟡 EMBARQUE PENDENTE")))))))))))</f>
        <v/>
      </c>
      <c r="D1923" s="4" t="n"/>
      <c r="E1923" s="5" t="n"/>
      <c r="F1923" s="5" t="n"/>
      <c r="G1923" s="5" t="n"/>
      <c r="H1923" s="5" t="n"/>
      <c r="I1923" s="5" t="n"/>
      <c r="J1923" s="6" t="n"/>
      <c r="K1923" s="6" t="n"/>
      <c r="L1923" s="7">
        <f>IF(OR(D1923="",N(J1923)=0),"",MIN(1,N(K1923)/J1923))</f>
        <v/>
      </c>
      <c r="M1923" s="5" t="n"/>
      <c r="N1923" s="5" t="n"/>
      <c r="O1923" s="5" t="n"/>
      <c r="P1923" s="5" t="n"/>
      <c r="Q1923" s="5" t="n"/>
      <c r="R1923" s="4" t="n"/>
      <c r="S1923" s="4" t="n"/>
      <c r="T1923" s="5" t="n"/>
      <c r="U1923" s="8">
        <f>IF(AND(V1923=1,D1923&lt;&gt;""),IF(D1923&gt;=corte,TODAY()-D1923,""),"")</f>
        <v/>
      </c>
      <c r="V1923" s="8">
        <f>IF(D1923="",0,IF(OR(AND(P1923&lt;&gt;"",S1923=""),AND(N(J1923)&gt;0,N(K1923)&lt;J1923),OR(M1923="PENDENTE",M1923="PARCIAL"),OR(N1923="PENDENTE",N1923="PARCIAL")),1,0))</f>
        <v/>
      </c>
      <c r="W1923" s="8">
        <f>IF(AND(V1923=1,D1923&lt;&gt;""),IF(D1923&gt;=corte,(B1923="CRÍTICO")*1E9+(100000-D1923)*10000+10000-ROW(),""),"")</f>
        <v/>
      </c>
      <c r="X1923" s="8">
        <f>IF(AND(V1923=1,D1923=pas_data,E1923=pas_turno),10000-ROW(),"")</f>
        <v/>
      </c>
    </row>
    <row r="1924">
      <c r="A1924" s="3">
        <f>IF(D1924="","","TT-"&amp;TEXT(ROW()-1,"00000"))</f>
        <v/>
      </c>
      <c r="B1924" s="3">
        <f>IF(D1924="","",IF(V1924=0,"CONCLUÍDO",IF(D1924&lt;corte,"HISTÓRICO",IF(OR(AND(ISNUMBER(R1924),R1924&lt;TODAY()),AND(OR(N1924="PENDENTE",N1924="PARCIAL"),D1924&lt;TODAY()-1)),"CRÍTICO",IF(OR(AND(P1924&lt;&gt;"",S1924=""),AND(N1924="REALIZADO",M1924="PENDENTE"),AND(ISNUMBER(R1924),R1924=TODAY())),"ATENÇÃO",IF(N(K1924)=0,"PENDENTE","EM ANDAMENTO"))))))</f>
        <v/>
      </c>
      <c r="C1924" s="3">
        <f>IF(D1924="","",IF(V1924=0,"🟢 OK",IF(D1924&lt;corte,"⚪ HISTÓRICO (sem baixa)",IF(AND(ISNUMBER(R1924),R1924&lt;TODAY()),"🔴 PRAZO VENCIDO",IF(AND(OR(N1924="PENDENTE",N1924="PARCIAL"),D1924&lt;TODAY()-1),"🔴 EMBARQUE ATRASADO",IF(AND(N1924="REALIZADO",M1924="PENDENTE"),"🟡 EMBARCADO SEM FATURAR",IF(AND(P1924&lt;&gt;"",S1924="",OR(Q1924="",R1924="")),"🟡 PENDÊNCIA SEM RESPONSÁVEL/PRAZO",IF(AND(ISNUMBER(R1924),R1924=TODAY()),"🟡 VENCE HOJE",IF(AND(P1924&lt;&gt;"",S1924=""),"🟡 PENDÊNCIA ABERTA",IF(AND(N(J1924)&gt;0,N(K1924)&lt;J1924),"🟡 FALTA EXECUTAR",IF(OR(M1924="PENDENTE",M1924="PARCIAL"),"🟡 FATURAMENTO PENDENTE","🟡 EMBARQUE PENDENTE")))))))))))</f>
        <v/>
      </c>
      <c r="D1924" s="4" t="n"/>
      <c r="E1924" s="5" t="n"/>
      <c r="F1924" s="5" t="n"/>
      <c r="G1924" s="5" t="n"/>
      <c r="H1924" s="5" t="n"/>
      <c r="I1924" s="5" t="n"/>
      <c r="J1924" s="6" t="n"/>
      <c r="K1924" s="6" t="n"/>
      <c r="L1924" s="7">
        <f>IF(OR(D1924="",N(J1924)=0),"",MIN(1,N(K1924)/J1924))</f>
        <v/>
      </c>
      <c r="M1924" s="5" t="n"/>
      <c r="N1924" s="5" t="n"/>
      <c r="O1924" s="5" t="n"/>
      <c r="P1924" s="5" t="n"/>
      <c r="Q1924" s="5" t="n"/>
      <c r="R1924" s="4" t="n"/>
      <c r="S1924" s="4" t="n"/>
      <c r="T1924" s="5" t="n"/>
      <c r="U1924" s="8">
        <f>IF(AND(V1924=1,D1924&lt;&gt;""),IF(D1924&gt;=corte,TODAY()-D1924,""),"")</f>
        <v/>
      </c>
      <c r="V1924" s="8">
        <f>IF(D1924="",0,IF(OR(AND(P1924&lt;&gt;"",S1924=""),AND(N(J1924)&gt;0,N(K1924)&lt;J1924),OR(M1924="PENDENTE",M1924="PARCIAL"),OR(N1924="PENDENTE",N1924="PARCIAL")),1,0))</f>
        <v/>
      </c>
      <c r="W1924" s="8">
        <f>IF(AND(V1924=1,D1924&lt;&gt;""),IF(D1924&gt;=corte,(B1924="CRÍTICO")*1E9+(100000-D1924)*10000+10000-ROW(),""),"")</f>
        <v/>
      </c>
      <c r="X1924" s="8">
        <f>IF(AND(V1924=1,D1924=pas_data,E1924=pas_turno),10000-ROW(),"")</f>
        <v/>
      </c>
    </row>
    <row r="1925">
      <c r="A1925" s="3">
        <f>IF(D1925="","","TT-"&amp;TEXT(ROW()-1,"00000"))</f>
        <v/>
      </c>
      <c r="B1925" s="3">
        <f>IF(D1925="","",IF(V1925=0,"CONCLUÍDO",IF(D1925&lt;corte,"HISTÓRICO",IF(OR(AND(ISNUMBER(R1925),R1925&lt;TODAY()),AND(OR(N1925="PENDENTE",N1925="PARCIAL"),D1925&lt;TODAY()-1)),"CRÍTICO",IF(OR(AND(P1925&lt;&gt;"",S1925=""),AND(N1925="REALIZADO",M1925="PENDENTE"),AND(ISNUMBER(R1925),R1925=TODAY())),"ATENÇÃO",IF(N(K1925)=0,"PENDENTE","EM ANDAMENTO"))))))</f>
        <v/>
      </c>
      <c r="C1925" s="3">
        <f>IF(D1925="","",IF(V1925=0,"🟢 OK",IF(D1925&lt;corte,"⚪ HISTÓRICO (sem baixa)",IF(AND(ISNUMBER(R1925),R1925&lt;TODAY()),"🔴 PRAZO VENCIDO",IF(AND(OR(N1925="PENDENTE",N1925="PARCIAL"),D1925&lt;TODAY()-1),"🔴 EMBARQUE ATRASADO",IF(AND(N1925="REALIZADO",M1925="PENDENTE"),"🟡 EMBARCADO SEM FATURAR",IF(AND(P1925&lt;&gt;"",S1925="",OR(Q1925="",R1925="")),"🟡 PENDÊNCIA SEM RESPONSÁVEL/PRAZO",IF(AND(ISNUMBER(R1925),R1925=TODAY()),"🟡 VENCE HOJE",IF(AND(P1925&lt;&gt;"",S1925=""),"🟡 PENDÊNCIA ABERTA",IF(AND(N(J1925)&gt;0,N(K1925)&lt;J1925),"🟡 FALTA EXECUTAR",IF(OR(M1925="PENDENTE",M1925="PARCIAL"),"🟡 FATURAMENTO PENDENTE","🟡 EMBARQUE PENDENTE")))))))))))</f>
        <v/>
      </c>
      <c r="D1925" s="4" t="n"/>
      <c r="E1925" s="5" t="n"/>
      <c r="F1925" s="5" t="n"/>
      <c r="G1925" s="5" t="n"/>
      <c r="H1925" s="5" t="n"/>
      <c r="I1925" s="5" t="n"/>
      <c r="J1925" s="6" t="n"/>
      <c r="K1925" s="6" t="n"/>
      <c r="L1925" s="7">
        <f>IF(OR(D1925="",N(J1925)=0),"",MIN(1,N(K1925)/J1925))</f>
        <v/>
      </c>
      <c r="M1925" s="5" t="n"/>
      <c r="N1925" s="5" t="n"/>
      <c r="O1925" s="5" t="n"/>
      <c r="P1925" s="5" t="n"/>
      <c r="Q1925" s="5" t="n"/>
      <c r="R1925" s="4" t="n"/>
      <c r="S1925" s="4" t="n"/>
      <c r="T1925" s="5" t="n"/>
      <c r="U1925" s="8">
        <f>IF(AND(V1925=1,D1925&lt;&gt;""),IF(D1925&gt;=corte,TODAY()-D1925,""),"")</f>
        <v/>
      </c>
      <c r="V1925" s="8">
        <f>IF(D1925="",0,IF(OR(AND(P1925&lt;&gt;"",S1925=""),AND(N(J1925)&gt;0,N(K1925)&lt;J1925),OR(M1925="PENDENTE",M1925="PARCIAL"),OR(N1925="PENDENTE",N1925="PARCIAL")),1,0))</f>
        <v/>
      </c>
      <c r="W1925" s="8">
        <f>IF(AND(V1925=1,D1925&lt;&gt;""),IF(D1925&gt;=corte,(B1925="CRÍTICO")*1E9+(100000-D1925)*10000+10000-ROW(),""),"")</f>
        <v/>
      </c>
      <c r="X1925" s="8">
        <f>IF(AND(V1925=1,D1925=pas_data,E1925=pas_turno),10000-ROW(),"")</f>
        <v/>
      </c>
    </row>
    <row r="1926">
      <c r="A1926" s="3">
        <f>IF(D1926="","","TT-"&amp;TEXT(ROW()-1,"00000"))</f>
        <v/>
      </c>
      <c r="B1926" s="3">
        <f>IF(D1926="","",IF(V1926=0,"CONCLUÍDO",IF(D1926&lt;corte,"HISTÓRICO",IF(OR(AND(ISNUMBER(R1926),R1926&lt;TODAY()),AND(OR(N1926="PENDENTE",N1926="PARCIAL"),D1926&lt;TODAY()-1)),"CRÍTICO",IF(OR(AND(P1926&lt;&gt;"",S1926=""),AND(N1926="REALIZADO",M1926="PENDENTE"),AND(ISNUMBER(R1926),R1926=TODAY())),"ATENÇÃO",IF(N(K1926)=0,"PENDENTE","EM ANDAMENTO"))))))</f>
        <v/>
      </c>
      <c r="C1926" s="3">
        <f>IF(D1926="","",IF(V1926=0,"🟢 OK",IF(D1926&lt;corte,"⚪ HISTÓRICO (sem baixa)",IF(AND(ISNUMBER(R1926),R1926&lt;TODAY()),"🔴 PRAZO VENCIDO",IF(AND(OR(N1926="PENDENTE",N1926="PARCIAL"),D1926&lt;TODAY()-1),"🔴 EMBARQUE ATRASADO",IF(AND(N1926="REALIZADO",M1926="PENDENTE"),"🟡 EMBARCADO SEM FATURAR",IF(AND(P1926&lt;&gt;"",S1926="",OR(Q1926="",R1926="")),"🟡 PENDÊNCIA SEM RESPONSÁVEL/PRAZO",IF(AND(ISNUMBER(R1926),R1926=TODAY()),"🟡 VENCE HOJE",IF(AND(P1926&lt;&gt;"",S1926=""),"🟡 PENDÊNCIA ABERTA",IF(AND(N(J1926)&gt;0,N(K1926)&lt;J1926),"🟡 FALTA EXECUTAR",IF(OR(M1926="PENDENTE",M1926="PARCIAL"),"🟡 FATURAMENTO PENDENTE","🟡 EMBARQUE PENDENTE")))))))))))</f>
        <v/>
      </c>
      <c r="D1926" s="4" t="n"/>
      <c r="E1926" s="5" t="n"/>
      <c r="F1926" s="5" t="n"/>
      <c r="G1926" s="5" t="n"/>
      <c r="H1926" s="5" t="n"/>
      <c r="I1926" s="5" t="n"/>
      <c r="J1926" s="6" t="n"/>
      <c r="K1926" s="6" t="n"/>
      <c r="L1926" s="7">
        <f>IF(OR(D1926="",N(J1926)=0),"",MIN(1,N(K1926)/J1926))</f>
        <v/>
      </c>
      <c r="M1926" s="5" t="n"/>
      <c r="N1926" s="5" t="n"/>
      <c r="O1926" s="5" t="n"/>
      <c r="P1926" s="5" t="n"/>
      <c r="Q1926" s="5" t="n"/>
      <c r="R1926" s="4" t="n"/>
      <c r="S1926" s="4" t="n"/>
      <c r="T1926" s="5" t="n"/>
      <c r="U1926" s="8">
        <f>IF(AND(V1926=1,D1926&lt;&gt;""),IF(D1926&gt;=corte,TODAY()-D1926,""),"")</f>
        <v/>
      </c>
      <c r="V1926" s="8">
        <f>IF(D1926="",0,IF(OR(AND(P1926&lt;&gt;"",S1926=""),AND(N(J1926)&gt;0,N(K1926)&lt;J1926),OR(M1926="PENDENTE",M1926="PARCIAL"),OR(N1926="PENDENTE",N1926="PARCIAL")),1,0))</f>
        <v/>
      </c>
      <c r="W1926" s="8">
        <f>IF(AND(V1926=1,D1926&lt;&gt;""),IF(D1926&gt;=corte,(B1926="CRÍTICO")*1E9+(100000-D1926)*10000+10000-ROW(),""),"")</f>
        <v/>
      </c>
      <c r="X1926" s="8">
        <f>IF(AND(V1926=1,D1926=pas_data,E1926=pas_turno),10000-ROW(),"")</f>
        <v/>
      </c>
    </row>
    <row r="1927">
      <c r="A1927" s="3">
        <f>IF(D1927="","","TT-"&amp;TEXT(ROW()-1,"00000"))</f>
        <v/>
      </c>
      <c r="B1927" s="3">
        <f>IF(D1927="","",IF(V1927=0,"CONCLUÍDO",IF(D1927&lt;corte,"HISTÓRICO",IF(OR(AND(ISNUMBER(R1927),R1927&lt;TODAY()),AND(OR(N1927="PENDENTE",N1927="PARCIAL"),D1927&lt;TODAY()-1)),"CRÍTICO",IF(OR(AND(P1927&lt;&gt;"",S1927=""),AND(N1927="REALIZADO",M1927="PENDENTE"),AND(ISNUMBER(R1927),R1927=TODAY())),"ATENÇÃO",IF(N(K1927)=0,"PENDENTE","EM ANDAMENTO"))))))</f>
        <v/>
      </c>
      <c r="C1927" s="3">
        <f>IF(D1927="","",IF(V1927=0,"🟢 OK",IF(D1927&lt;corte,"⚪ HISTÓRICO (sem baixa)",IF(AND(ISNUMBER(R1927),R1927&lt;TODAY()),"🔴 PRAZO VENCIDO",IF(AND(OR(N1927="PENDENTE",N1927="PARCIAL"),D1927&lt;TODAY()-1),"🔴 EMBARQUE ATRASADO",IF(AND(N1927="REALIZADO",M1927="PENDENTE"),"🟡 EMBARCADO SEM FATURAR",IF(AND(P1927&lt;&gt;"",S1927="",OR(Q1927="",R1927="")),"🟡 PENDÊNCIA SEM RESPONSÁVEL/PRAZO",IF(AND(ISNUMBER(R1927),R1927=TODAY()),"🟡 VENCE HOJE",IF(AND(P1927&lt;&gt;"",S1927=""),"🟡 PENDÊNCIA ABERTA",IF(AND(N(J1927)&gt;0,N(K1927)&lt;J1927),"🟡 FALTA EXECUTAR",IF(OR(M1927="PENDENTE",M1927="PARCIAL"),"🟡 FATURAMENTO PENDENTE","🟡 EMBARQUE PENDENTE")))))))))))</f>
        <v/>
      </c>
      <c r="D1927" s="4" t="n"/>
      <c r="E1927" s="5" t="n"/>
      <c r="F1927" s="5" t="n"/>
      <c r="G1927" s="5" t="n"/>
      <c r="H1927" s="5" t="n"/>
      <c r="I1927" s="5" t="n"/>
      <c r="J1927" s="6" t="n"/>
      <c r="K1927" s="6" t="n"/>
      <c r="L1927" s="7">
        <f>IF(OR(D1927="",N(J1927)=0),"",MIN(1,N(K1927)/J1927))</f>
        <v/>
      </c>
      <c r="M1927" s="5" t="n"/>
      <c r="N1927" s="5" t="n"/>
      <c r="O1927" s="5" t="n"/>
      <c r="P1927" s="5" t="n"/>
      <c r="Q1927" s="5" t="n"/>
      <c r="R1927" s="4" t="n"/>
      <c r="S1927" s="4" t="n"/>
      <c r="T1927" s="5" t="n"/>
      <c r="U1927" s="8">
        <f>IF(AND(V1927=1,D1927&lt;&gt;""),IF(D1927&gt;=corte,TODAY()-D1927,""),"")</f>
        <v/>
      </c>
      <c r="V1927" s="8">
        <f>IF(D1927="",0,IF(OR(AND(P1927&lt;&gt;"",S1927=""),AND(N(J1927)&gt;0,N(K1927)&lt;J1927),OR(M1927="PENDENTE",M1927="PARCIAL"),OR(N1927="PENDENTE",N1927="PARCIAL")),1,0))</f>
        <v/>
      </c>
      <c r="W1927" s="8">
        <f>IF(AND(V1927=1,D1927&lt;&gt;""),IF(D1927&gt;=corte,(B1927="CRÍTICO")*1E9+(100000-D1927)*10000+10000-ROW(),""),"")</f>
        <v/>
      </c>
      <c r="X1927" s="8">
        <f>IF(AND(V1927=1,D1927=pas_data,E1927=pas_turno),10000-ROW(),"")</f>
        <v/>
      </c>
    </row>
    <row r="1928">
      <c r="A1928" s="3">
        <f>IF(D1928="","","TT-"&amp;TEXT(ROW()-1,"00000"))</f>
        <v/>
      </c>
      <c r="B1928" s="3">
        <f>IF(D1928="","",IF(V1928=0,"CONCLUÍDO",IF(D1928&lt;corte,"HISTÓRICO",IF(OR(AND(ISNUMBER(R1928),R1928&lt;TODAY()),AND(OR(N1928="PENDENTE",N1928="PARCIAL"),D1928&lt;TODAY()-1)),"CRÍTICO",IF(OR(AND(P1928&lt;&gt;"",S1928=""),AND(N1928="REALIZADO",M1928="PENDENTE"),AND(ISNUMBER(R1928),R1928=TODAY())),"ATENÇÃO",IF(N(K1928)=0,"PENDENTE","EM ANDAMENTO"))))))</f>
        <v/>
      </c>
      <c r="C1928" s="3">
        <f>IF(D1928="","",IF(V1928=0,"🟢 OK",IF(D1928&lt;corte,"⚪ HISTÓRICO (sem baixa)",IF(AND(ISNUMBER(R1928),R1928&lt;TODAY()),"🔴 PRAZO VENCIDO",IF(AND(OR(N1928="PENDENTE",N1928="PARCIAL"),D1928&lt;TODAY()-1),"🔴 EMBARQUE ATRASADO",IF(AND(N1928="REALIZADO",M1928="PENDENTE"),"🟡 EMBARCADO SEM FATURAR",IF(AND(P1928&lt;&gt;"",S1928="",OR(Q1928="",R1928="")),"🟡 PENDÊNCIA SEM RESPONSÁVEL/PRAZO",IF(AND(ISNUMBER(R1928),R1928=TODAY()),"🟡 VENCE HOJE",IF(AND(P1928&lt;&gt;"",S1928=""),"🟡 PENDÊNCIA ABERTA",IF(AND(N(J1928)&gt;0,N(K1928)&lt;J1928),"🟡 FALTA EXECUTAR",IF(OR(M1928="PENDENTE",M1928="PARCIAL"),"🟡 FATURAMENTO PENDENTE","🟡 EMBARQUE PENDENTE")))))))))))</f>
        <v/>
      </c>
      <c r="D1928" s="4" t="n"/>
      <c r="E1928" s="5" t="n"/>
      <c r="F1928" s="5" t="n"/>
      <c r="G1928" s="5" t="n"/>
      <c r="H1928" s="5" t="n"/>
      <c r="I1928" s="5" t="n"/>
      <c r="J1928" s="6" t="n"/>
      <c r="K1928" s="6" t="n"/>
      <c r="L1928" s="7">
        <f>IF(OR(D1928="",N(J1928)=0),"",MIN(1,N(K1928)/J1928))</f>
        <v/>
      </c>
      <c r="M1928" s="5" t="n"/>
      <c r="N1928" s="5" t="n"/>
      <c r="O1928" s="5" t="n"/>
      <c r="P1928" s="5" t="n"/>
      <c r="Q1928" s="5" t="n"/>
      <c r="R1928" s="4" t="n"/>
      <c r="S1928" s="4" t="n"/>
      <c r="T1928" s="5" t="n"/>
      <c r="U1928" s="8">
        <f>IF(AND(V1928=1,D1928&lt;&gt;""),IF(D1928&gt;=corte,TODAY()-D1928,""),"")</f>
        <v/>
      </c>
      <c r="V1928" s="8">
        <f>IF(D1928="",0,IF(OR(AND(P1928&lt;&gt;"",S1928=""),AND(N(J1928)&gt;0,N(K1928)&lt;J1928),OR(M1928="PENDENTE",M1928="PARCIAL"),OR(N1928="PENDENTE",N1928="PARCIAL")),1,0))</f>
        <v/>
      </c>
      <c r="W1928" s="8">
        <f>IF(AND(V1928=1,D1928&lt;&gt;""),IF(D1928&gt;=corte,(B1928="CRÍTICO")*1E9+(100000-D1928)*10000+10000-ROW(),""),"")</f>
        <v/>
      </c>
      <c r="X1928" s="8">
        <f>IF(AND(V1928=1,D1928=pas_data,E1928=pas_turno),10000-ROW(),"")</f>
        <v/>
      </c>
    </row>
    <row r="1929">
      <c r="A1929" s="3">
        <f>IF(D1929="","","TT-"&amp;TEXT(ROW()-1,"00000"))</f>
        <v/>
      </c>
      <c r="B1929" s="3">
        <f>IF(D1929="","",IF(V1929=0,"CONCLUÍDO",IF(D1929&lt;corte,"HISTÓRICO",IF(OR(AND(ISNUMBER(R1929),R1929&lt;TODAY()),AND(OR(N1929="PENDENTE",N1929="PARCIAL"),D1929&lt;TODAY()-1)),"CRÍTICO",IF(OR(AND(P1929&lt;&gt;"",S1929=""),AND(N1929="REALIZADO",M1929="PENDENTE"),AND(ISNUMBER(R1929),R1929=TODAY())),"ATENÇÃO",IF(N(K1929)=0,"PENDENTE","EM ANDAMENTO"))))))</f>
        <v/>
      </c>
      <c r="C1929" s="3">
        <f>IF(D1929="","",IF(V1929=0,"🟢 OK",IF(D1929&lt;corte,"⚪ HISTÓRICO (sem baixa)",IF(AND(ISNUMBER(R1929),R1929&lt;TODAY()),"🔴 PRAZO VENCIDO",IF(AND(OR(N1929="PENDENTE",N1929="PARCIAL"),D1929&lt;TODAY()-1),"🔴 EMBARQUE ATRASADO",IF(AND(N1929="REALIZADO",M1929="PENDENTE"),"🟡 EMBARCADO SEM FATURAR",IF(AND(P1929&lt;&gt;"",S1929="",OR(Q1929="",R1929="")),"🟡 PENDÊNCIA SEM RESPONSÁVEL/PRAZO",IF(AND(ISNUMBER(R1929),R1929=TODAY()),"🟡 VENCE HOJE",IF(AND(P1929&lt;&gt;"",S1929=""),"🟡 PENDÊNCIA ABERTA",IF(AND(N(J1929)&gt;0,N(K1929)&lt;J1929),"🟡 FALTA EXECUTAR",IF(OR(M1929="PENDENTE",M1929="PARCIAL"),"🟡 FATURAMENTO PENDENTE","🟡 EMBARQUE PENDENTE")))))))))))</f>
        <v/>
      </c>
      <c r="D1929" s="4" t="n"/>
      <c r="E1929" s="5" t="n"/>
      <c r="F1929" s="5" t="n"/>
      <c r="G1929" s="5" t="n"/>
      <c r="H1929" s="5" t="n"/>
      <c r="I1929" s="5" t="n"/>
      <c r="J1929" s="6" t="n"/>
      <c r="K1929" s="6" t="n"/>
      <c r="L1929" s="7">
        <f>IF(OR(D1929="",N(J1929)=0),"",MIN(1,N(K1929)/J1929))</f>
        <v/>
      </c>
      <c r="M1929" s="5" t="n"/>
      <c r="N1929" s="5" t="n"/>
      <c r="O1929" s="5" t="n"/>
      <c r="P1929" s="5" t="n"/>
      <c r="Q1929" s="5" t="n"/>
      <c r="R1929" s="4" t="n"/>
      <c r="S1929" s="4" t="n"/>
      <c r="T1929" s="5" t="n"/>
      <c r="U1929" s="8">
        <f>IF(AND(V1929=1,D1929&lt;&gt;""),IF(D1929&gt;=corte,TODAY()-D1929,""),"")</f>
        <v/>
      </c>
      <c r="V1929" s="8">
        <f>IF(D1929="",0,IF(OR(AND(P1929&lt;&gt;"",S1929=""),AND(N(J1929)&gt;0,N(K1929)&lt;J1929),OR(M1929="PENDENTE",M1929="PARCIAL"),OR(N1929="PENDENTE",N1929="PARCIAL")),1,0))</f>
        <v/>
      </c>
      <c r="W1929" s="8">
        <f>IF(AND(V1929=1,D1929&lt;&gt;""),IF(D1929&gt;=corte,(B1929="CRÍTICO")*1E9+(100000-D1929)*10000+10000-ROW(),""),"")</f>
        <v/>
      </c>
      <c r="X1929" s="8">
        <f>IF(AND(V1929=1,D1929=pas_data,E1929=pas_turno),10000-ROW(),"")</f>
        <v/>
      </c>
    </row>
    <row r="1930">
      <c r="A1930" s="3">
        <f>IF(D1930="","","TT-"&amp;TEXT(ROW()-1,"00000"))</f>
        <v/>
      </c>
      <c r="B1930" s="3">
        <f>IF(D1930="","",IF(V1930=0,"CONCLUÍDO",IF(D1930&lt;corte,"HISTÓRICO",IF(OR(AND(ISNUMBER(R1930),R1930&lt;TODAY()),AND(OR(N1930="PENDENTE",N1930="PARCIAL"),D1930&lt;TODAY()-1)),"CRÍTICO",IF(OR(AND(P1930&lt;&gt;"",S1930=""),AND(N1930="REALIZADO",M1930="PENDENTE"),AND(ISNUMBER(R1930),R1930=TODAY())),"ATENÇÃO",IF(N(K1930)=0,"PENDENTE","EM ANDAMENTO"))))))</f>
        <v/>
      </c>
      <c r="C1930" s="3">
        <f>IF(D1930="","",IF(V1930=0,"🟢 OK",IF(D1930&lt;corte,"⚪ HISTÓRICO (sem baixa)",IF(AND(ISNUMBER(R1930),R1930&lt;TODAY()),"🔴 PRAZO VENCIDO",IF(AND(OR(N1930="PENDENTE",N1930="PARCIAL"),D1930&lt;TODAY()-1),"🔴 EMBARQUE ATRASADO",IF(AND(N1930="REALIZADO",M1930="PENDENTE"),"🟡 EMBARCADO SEM FATURAR",IF(AND(P1930&lt;&gt;"",S1930="",OR(Q1930="",R1930="")),"🟡 PENDÊNCIA SEM RESPONSÁVEL/PRAZO",IF(AND(ISNUMBER(R1930),R1930=TODAY()),"🟡 VENCE HOJE",IF(AND(P1930&lt;&gt;"",S1930=""),"🟡 PENDÊNCIA ABERTA",IF(AND(N(J1930)&gt;0,N(K1930)&lt;J1930),"🟡 FALTA EXECUTAR",IF(OR(M1930="PENDENTE",M1930="PARCIAL"),"🟡 FATURAMENTO PENDENTE","🟡 EMBARQUE PENDENTE")))))))))))</f>
        <v/>
      </c>
      <c r="D1930" s="4" t="n"/>
      <c r="E1930" s="5" t="n"/>
      <c r="F1930" s="5" t="n"/>
      <c r="G1930" s="5" t="n"/>
      <c r="H1930" s="5" t="n"/>
      <c r="I1930" s="5" t="n"/>
      <c r="J1930" s="6" t="n"/>
      <c r="K1930" s="6" t="n"/>
      <c r="L1930" s="7">
        <f>IF(OR(D1930="",N(J1930)=0),"",MIN(1,N(K1930)/J1930))</f>
        <v/>
      </c>
      <c r="M1930" s="5" t="n"/>
      <c r="N1930" s="5" t="n"/>
      <c r="O1930" s="5" t="n"/>
      <c r="P1930" s="5" t="n"/>
      <c r="Q1930" s="5" t="n"/>
      <c r="R1930" s="4" t="n"/>
      <c r="S1930" s="4" t="n"/>
      <c r="T1930" s="5" t="n"/>
      <c r="U1930" s="8">
        <f>IF(AND(V1930=1,D1930&lt;&gt;""),IF(D1930&gt;=corte,TODAY()-D1930,""),"")</f>
        <v/>
      </c>
      <c r="V1930" s="8">
        <f>IF(D1930="",0,IF(OR(AND(P1930&lt;&gt;"",S1930=""),AND(N(J1930)&gt;0,N(K1930)&lt;J1930),OR(M1930="PENDENTE",M1930="PARCIAL"),OR(N1930="PENDENTE",N1930="PARCIAL")),1,0))</f>
        <v/>
      </c>
      <c r="W1930" s="8">
        <f>IF(AND(V1930=1,D1930&lt;&gt;""),IF(D1930&gt;=corte,(B1930="CRÍTICO")*1E9+(100000-D1930)*10000+10000-ROW(),""),"")</f>
        <v/>
      </c>
      <c r="X1930" s="8">
        <f>IF(AND(V1930=1,D1930=pas_data,E1930=pas_turno),10000-ROW(),"")</f>
        <v/>
      </c>
    </row>
    <row r="1931">
      <c r="A1931" s="3">
        <f>IF(D1931="","","TT-"&amp;TEXT(ROW()-1,"00000"))</f>
        <v/>
      </c>
      <c r="B1931" s="3">
        <f>IF(D1931="","",IF(V1931=0,"CONCLUÍDO",IF(D1931&lt;corte,"HISTÓRICO",IF(OR(AND(ISNUMBER(R1931),R1931&lt;TODAY()),AND(OR(N1931="PENDENTE",N1931="PARCIAL"),D1931&lt;TODAY()-1)),"CRÍTICO",IF(OR(AND(P1931&lt;&gt;"",S1931=""),AND(N1931="REALIZADO",M1931="PENDENTE"),AND(ISNUMBER(R1931),R1931=TODAY())),"ATENÇÃO",IF(N(K1931)=0,"PENDENTE","EM ANDAMENTO"))))))</f>
        <v/>
      </c>
      <c r="C1931" s="3">
        <f>IF(D1931="","",IF(V1931=0,"🟢 OK",IF(D1931&lt;corte,"⚪ HISTÓRICO (sem baixa)",IF(AND(ISNUMBER(R1931),R1931&lt;TODAY()),"🔴 PRAZO VENCIDO",IF(AND(OR(N1931="PENDENTE",N1931="PARCIAL"),D1931&lt;TODAY()-1),"🔴 EMBARQUE ATRASADO",IF(AND(N1931="REALIZADO",M1931="PENDENTE"),"🟡 EMBARCADO SEM FATURAR",IF(AND(P1931&lt;&gt;"",S1931="",OR(Q1931="",R1931="")),"🟡 PENDÊNCIA SEM RESPONSÁVEL/PRAZO",IF(AND(ISNUMBER(R1931),R1931=TODAY()),"🟡 VENCE HOJE",IF(AND(P1931&lt;&gt;"",S1931=""),"🟡 PENDÊNCIA ABERTA",IF(AND(N(J1931)&gt;0,N(K1931)&lt;J1931),"🟡 FALTA EXECUTAR",IF(OR(M1931="PENDENTE",M1931="PARCIAL"),"🟡 FATURAMENTO PENDENTE","🟡 EMBARQUE PENDENTE")))))))))))</f>
        <v/>
      </c>
      <c r="D1931" s="4" t="n"/>
      <c r="E1931" s="5" t="n"/>
      <c r="F1931" s="5" t="n"/>
      <c r="G1931" s="5" t="n"/>
      <c r="H1931" s="5" t="n"/>
      <c r="I1931" s="5" t="n"/>
      <c r="J1931" s="6" t="n"/>
      <c r="K1931" s="6" t="n"/>
      <c r="L1931" s="7">
        <f>IF(OR(D1931="",N(J1931)=0),"",MIN(1,N(K1931)/J1931))</f>
        <v/>
      </c>
      <c r="M1931" s="5" t="n"/>
      <c r="N1931" s="5" t="n"/>
      <c r="O1931" s="5" t="n"/>
      <c r="P1931" s="5" t="n"/>
      <c r="Q1931" s="5" t="n"/>
      <c r="R1931" s="4" t="n"/>
      <c r="S1931" s="4" t="n"/>
      <c r="T1931" s="5" t="n"/>
      <c r="U1931" s="8">
        <f>IF(AND(V1931=1,D1931&lt;&gt;""),IF(D1931&gt;=corte,TODAY()-D1931,""),"")</f>
        <v/>
      </c>
      <c r="V1931" s="8">
        <f>IF(D1931="",0,IF(OR(AND(P1931&lt;&gt;"",S1931=""),AND(N(J1931)&gt;0,N(K1931)&lt;J1931),OR(M1931="PENDENTE",M1931="PARCIAL"),OR(N1931="PENDENTE",N1931="PARCIAL")),1,0))</f>
        <v/>
      </c>
      <c r="W1931" s="8">
        <f>IF(AND(V1931=1,D1931&lt;&gt;""),IF(D1931&gt;=corte,(B1931="CRÍTICO")*1E9+(100000-D1931)*10000+10000-ROW(),""),"")</f>
        <v/>
      </c>
      <c r="X1931" s="8">
        <f>IF(AND(V1931=1,D1931=pas_data,E1931=pas_turno),10000-ROW(),"")</f>
        <v/>
      </c>
    </row>
    <row r="1932">
      <c r="A1932" s="3">
        <f>IF(D1932="","","TT-"&amp;TEXT(ROW()-1,"00000"))</f>
        <v/>
      </c>
      <c r="B1932" s="3">
        <f>IF(D1932="","",IF(V1932=0,"CONCLUÍDO",IF(D1932&lt;corte,"HISTÓRICO",IF(OR(AND(ISNUMBER(R1932),R1932&lt;TODAY()),AND(OR(N1932="PENDENTE",N1932="PARCIAL"),D1932&lt;TODAY()-1)),"CRÍTICO",IF(OR(AND(P1932&lt;&gt;"",S1932=""),AND(N1932="REALIZADO",M1932="PENDENTE"),AND(ISNUMBER(R1932),R1932=TODAY())),"ATENÇÃO",IF(N(K1932)=0,"PENDENTE","EM ANDAMENTO"))))))</f>
        <v/>
      </c>
      <c r="C1932" s="3">
        <f>IF(D1932="","",IF(V1932=0,"🟢 OK",IF(D1932&lt;corte,"⚪ HISTÓRICO (sem baixa)",IF(AND(ISNUMBER(R1932),R1932&lt;TODAY()),"🔴 PRAZO VENCIDO",IF(AND(OR(N1932="PENDENTE",N1932="PARCIAL"),D1932&lt;TODAY()-1),"🔴 EMBARQUE ATRASADO",IF(AND(N1932="REALIZADO",M1932="PENDENTE"),"🟡 EMBARCADO SEM FATURAR",IF(AND(P1932&lt;&gt;"",S1932="",OR(Q1932="",R1932="")),"🟡 PENDÊNCIA SEM RESPONSÁVEL/PRAZO",IF(AND(ISNUMBER(R1932),R1932=TODAY()),"🟡 VENCE HOJE",IF(AND(P1932&lt;&gt;"",S1932=""),"🟡 PENDÊNCIA ABERTA",IF(AND(N(J1932)&gt;0,N(K1932)&lt;J1932),"🟡 FALTA EXECUTAR",IF(OR(M1932="PENDENTE",M1932="PARCIAL"),"🟡 FATURAMENTO PENDENTE","🟡 EMBARQUE PENDENTE")))))))))))</f>
        <v/>
      </c>
      <c r="D1932" s="4" t="n"/>
      <c r="E1932" s="5" t="n"/>
      <c r="F1932" s="5" t="n"/>
      <c r="G1932" s="5" t="n"/>
      <c r="H1932" s="5" t="n"/>
      <c r="I1932" s="5" t="n"/>
      <c r="J1932" s="6" t="n"/>
      <c r="K1932" s="6" t="n"/>
      <c r="L1932" s="7">
        <f>IF(OR(D1932="",N(J1932)=0),"",MIN(1,N(K1932)/J1932))</f>
        <v/>
      </c>
      <c r="M1932" s="5" t="n"/>
      <c r="N1932" s="5" t="n"/>
      <c r="O1932" s="5" t="n"/>
      <c r="P1932" s="5" t="n"/>
      <c r="Q1932" s="5" t="n"/>
      <c r="R1932" s="4" t="n"/>
      <c r="S1932" s="4" t="n"/>
      <c r="T1932" s="5" t="n"/>
      <c r="U1932" s="8">
        <f>IF(AND(V1932=1,D1932&lt;&gt;""),IF(D1932&gt;=corte,TODAY()-D1932,""),"")</f>
        <v/>
      </c>
      <c r="V1932" s="8">
        <f>IF(D1932="",0,IF(OR(AND(P1932&lt;&gt;"",S1932=""),AND(N(J1932)&gt;0,N(K1932)&lt;J1932),OR(M1932="PENDENTE",M1932="PARCIAL"),OR(N1932="PENDENTE",N1932="PARCIAL")),1,0))</f>
        <v/>
      </c>
      <c r="W1932" s="8">
        <f>IF(AND(V1932=1,D1932&lt;&gt;""),IF(D1932&gt;=corte,(B1932="CRÍTICO")*1E9+(100000-D1932)*10000+10000-ROW(),""),"")</f>
        <v/>
      </c>
      <c r="X1932" s="8">
        <f>IF(AND(V1932=1,D1932=pas_data,E1932=pas_turno),10000-ROW(),"")</f>
        <v/>
      </c>
    </row>
    <row r="1933">
      <c r="A1933" s="3">
        <f>IF(D1933="","","TT-"&amp;TEXT(ROW()-1,"00000"))</f>
        <v/>
      </c>
      <c r="B1933" s="3">
        <f>IF(D1933="","",IF(V1933=0,"CONCLUÍDO",IF(D1933&lt;corte,"HISTÓRICO",IF(OR(AND(ISNUMBER(R1933),R1933&lt;TODAY()),AND(OR(N1933="PENDENTE",N1933="PARCIAL"),D1933&lt;TODAY()-1)),"CRÍTICO",IF(OR(AND(P1933&lt;&gt;"",S1933=""),AND(N1933="REALIZADO",M1933="PENDENTE"),AND(ISNUMBER(R1933),R1933=TODAY())),"ATENÇÃO",IF(N(K1933)=0,"PENDENTE","EM ANDAMENTO"))))))</f>
        <v/>
      </c>
      <c r="C1933" s="3">
        <f>IF(D1933="","",IF(V1933=0,"🟢 OK",IF(D1933&lt;corte,"⚪ HISTÓRICO (sem baixa)",IF(AND(ISNUMBER(R1933),R1933&lt;TODAY()),"🔴 PRAZO VENCIDO",IF(AND(OR(N1933="PENDENTE",N1933="PARCIAL"),D1933&lt;TODAY()-1),"🔴 EMBARQUE ATRASADO",IF(AND(N1933="REALIZADO",M1933="PENDENTE"),"🟡 EMBARCADO SEM FATURAR",IF(AND(P1933&lt;&gt;"",S1933="",OR(Q1933="",R1933="")),"🟡 PENDÊNCIA SEM RESPONSÁVEL/PRAZO",IF(AND(ISNUMBER(R1933),R1933=TODAY()),"🟡 VENCE HOJE",IF(AND(P1933&lt;&gt;"",S1933=""),"🟡 PENDÊNCIA ABERTA",IF(AND(N(J1933)&gt;0,N(K1933)&lt;J1933),"🟡 FALTA EXECUTAR",IF(OR(M1933="PENDENTE",M1933="PARCIAL"),"🟡 FATURAMENTO PENDENTE","🟡 EMBARQUE PENDENTE")))))))))))</f>
        <v/>
      </c>
      <c r="D1933" s="4" t="n"/>
      <c r="E1933" s="5" t="n"/>
      <c r="F1933" s="5" t="n"/>
      <c r="G1933" s="5" t="n"/>
      <c r="H1933" s="5" t="n"/>
      <c r="I1933" s="5" t="n"/>
      <c r="J1933" s="6" t="n"/>
      <c r="K1933" s="6" t="n"/>
      <c r="L1933" s="7">
        <f>IF(OR(D1933="",N(J1933)=0),"",MIN(1,N(K1933)/J1933))</f>
        <v/>
      </c>
      <c r="M1933" s="5" t="n"/>
      <c r="N1933" s="5" t="n"/>
      <c r="O1933" s="5" t="n"/>
      <c r="P1933" s="5" t="n"/>
      <c r="Q1933" s="5" t="n"/>
      <c r="R1933" s="4" t="n"/>
      <c r="S1933" s="4" t="n"/>
      <c r="T1933" s="5" t="n"/>
      <c r="U1933" s="8">
        <f>IF(AND(V1933=1,D1933&lt;&gt;""),IF(D1933&gt;=corte,TODAY()-D1933,""),"")</f>
        <v/>
      </c>
      <c r="V1933" s="8">
        <f>IF(D1933="",0,IF(OR(AND(P1933&lt;&gt;"",S1933=""),AND(N(J1933)&gt;0,N(K1933)&lt;J1933),OR(M1933="PENDENTE",M1933="PARCIAL"),OR(N1933="PENDENTE",N1933="PARCIAL")),1,0))</f>
        <v/>
      </c>
      <c r="W1933" s="8">
        <f>IF(AND(V1933=1,D1933&lt;&gt;""),IF(D1933&gt;=corte,(B1933="CRÍTICO")*1E9+(100000-D1933)*10000+10000-ROW(),""),"")</f>
        <v/>
      </c>
      <c r="X1933" s="8">
        <f>IF(AND(V1933=1,D1933=pas_data,E1933=pas_turno),10000-ROW(),"")</f>
        <v/>
      </c>
    </row>
    <row r="1934">
      <c r="A1934" s="3">
        <f>IF(D1934="","","TT-"&amp;TEXT(ROW()-1,"00000"))</f>
        <v/>
      </c>
      <c r="B1934" s="3">
        <f>IF(D1934="","",IF(V1934=0,"CONCLUÍDO",IF(D1934&lt;corte,"HISTÓRICO",IF(OR(AND(ISNUMBER(R1934),R1934&lt;TODAY()),AND(OR(N1934="PENDENTE",N1934="PARCIAL"),D1934&lt;TODAY()-1)),"CRÍTICO",IF(OR(AND(P1934&lt;&gt;"",S1934=""),AND(N1934="REALIZADO",M1934="PENDENTE"),AND(ISNUMBER(R1934),R1934=TODAY())),"ATENÇÃO",IF(N(K1934)=0,"PENDENTE","EM ANDAMENTO"))))))</f>
        <v/>
      </c>
      <c r="C1934" s="3">
        <f>IF(D1934="","",IF(V1934=0,"🟢 OK",IF(D1934&lt;corte,"⚪ HISTÓRICO (sem baixa)",IF(AND(ISNUMBER(R1934),R1934&lt;TODAY()),"🔴 PRAZO VENCIDO",IF(AND(OR(N1934="PENDENTE",N1934="PARCIAL"),D1934&lt;TODAY()-1),"🔴 EMBARQUE ATRASADO",IF(AND(N1934="REALIZADO",M1934="PENDENTE"),"🟡 EMBARCADO SEM FATURAR",IF(AND(P1934&lt;&gt;"",S1934="",OR(Q1934="",R1934="")),"🟡 PENDÊNCIA SEM RESPONSÁVEL/PRAZO",IF(AND(ISNUMBER(R1934),R1934=TODAY()),"🟡 VENCE HOJE",IF(AND(P1934&lt;&gt;"",S1934=""),"🟡 PENDÊNCIA ABERTA",IF(AND(N(J1934)&gt;0,N(K1934)&lt;J1934),"🟡 FALTA EXECUTAR",IF(OR(M1934="PENDENTE",M1934="PARCIAL"),"🟡 FATURAMENTO PENDENTE","🟡 EMBARQUE PENDENTE")))))))))))</f>
        <v/>
      </c>
      <c r="D1934" s="4" t="n"/>
      <c r="E1934" s="5" t="n"/>
      <c r="F1934" s="5" t="n"/>
      <c r="G1934" s="5" t="n"/>
      <c r="H1934" s="5" t="n"/>
      <c r="I1934" s="5" t="n"/>
      <c r="J1934" s="6" t="n"/>
      <c r="K1934" s="6" t="n"/>
      <c r="L1934" s="7">
        <f>IF(OR(D1934="",N(J1934)=0),"",MIN(1,N(K1934)/J1934))</f>
        <v/>
      </c>
      <c r="M1934" s="5" t="n"/>
      <c r="N1934" s="5" t="n"/>
      <c r="O1934" s="5" t="n"/>
      <c r="P1934" s="5" t="n"/>
      <c r="Q1934" s="5" t="n"/>
      <c r="R1934" s="4" t="n"/>
      <c r="S1934" s="4" t="n"/>
      <c r="T1934" s="5" t="n"/>
      <c r="U1934" s="8">
        <f>IF(AND(V1934=1,D1934&lt;&gt;""),IF(D1934&gt;=corte,TODAY()-D1934,""),"")</f>
        <v/>
      </c>
      <c r="V1934" s="8">
        <f>IF(D1934="",0,IF(OR(AND(P1934&lt;&gt;"",S1934=""),AND(N(J1934)&gt;0,N(K1934)&lt;J1934),OR(M1934="PENDENTE",M1934="PARCIAL"),OR(N1934="PENDENTE",N1934="PARCIAL")),1,0))</f>
        <v/>
      </c>
      <c r="W1934" s="8">
        <f>IF(AND(V1934=1,D1934&lt;&gt;""),IF(D1934&gt;=corte,(B1934="CRÍTICO")*1E9+(100000-D1934)*10000+10000-ROW(),""),"")</f>
        <v/>
      </c>
      <c r="X1934" s="8">
        <f>IF(AND(V1934=1,D1934=pas_data,E1934=pas_turno),10000-ROW(),"")</f>
        <v/>
      </c>
    </row>
    <row r="1935">
      <c r="A1935" s="3">
        <f>IF(D1935="","","TT-"&amp;TEXT(ROW()-1,"00000"))</f>
        <v/>
      </c>
      <c r="B1935" s="3">
        <f>IF(D1935="","",IF(V1935=0,"CONCLUÍDO",IF(D1935&lt;corte,"HISTÓRICO",IF(OR(AND(ISNUMBER(R1935),R1935&lt;TODAY()),AND(OR(N1935="PENDENTE",N1935="PARCIAL"),D1935&lt;TODAY()-1)),"CRÍTICO",IF(OR(AND(P1935&lt;&gt;"",S1935=""),AND(N1935="REALIZADO",M1935="PENDENTE"),AND(ISNUMBER(R1935),R1935=TODAY())),"ATENÇÃO",IF(N(K1935)=0,"PENDENTE","EM ANDAMENTO"))))))</f>
        <v/>
      </c>
      <c r="C1935" s="3">
        <f>IF(D1935="","",IF(V1935=0,"🟢 OK",IF(D1935&lt;corte,"⚪ HISTÓRICO (sem baixa)",IF(AND(ISNUMBER(R1935),R1935&lt;TODAY()),"🔴 PRAZO VENCIDO",IF(AND(OR(N1935="PENDENTE",N1935="PARCIAL"),D1935&lt;TODAY()-1),"🔴 EMBARQUE ATRASADO",IF(AND(N1935="REALIZADO",M1935="PENDENTE"),"🟡 EMBARCADO SEM FATURAR",IF(AND(P1935&lt;&gt;"",S1935="",OR(Q1935="",R1935="")),"🟡 PENDÊNCIA SEM RESPONSÁVEL/PRAZO",IF(AND(ISNUMBER(R1935),R1935=TODAY()),"🟡 VENCE HOJE",IF(AND(P1935&lt;&gt;"",S1935=""),"🟡 PENDÊNCIA ABERTA",IF(AND(N(J1935)&gt;0,N(K1935)&lt;J1935),"🟡 FALTA EXECUTAR",IF(OR(M1935="PENDENTE",M1935="PARCIAL"),"🟡 FATURAMENTO PENDENTE","🟡 EMBARQUE PENDENTE")))))))))))</f>
        <v/>
      </c>
      <c r="D1935" s="4" t="n"/>
      <c r="E1935" s="5" t="n"/>
      <c r="F1935" s="5" t="n"/>
      <c r="G1935" s="5" t="n"/>
      <c r="H1935" s="5" t="n"/>
      <c r="I1935" s="5" t="n"/>
      <c r="J1935" s="6" t="n"/>
      <c r="K1935" s="6" t="n"/>
      <c r="L1935" s="7">
        <f>IF(OR(D1935="",N(J1935)=0),"",MIN(1,N(K1935)/J1935))</f>
        <v/>
      </c>
      <c r="M1935" s="5" t="n"/>
      <c r="N1935" s="5" t="n"/>
      <c r="O1935" s="5" t="n"/>
      <c r="P1935" s="5" t="n"/>
      <c r="Q1935" s="5" t="n"/>
      <c r="R1935" s="4" t="n"/>
      <c r="S1935" s="4" t="n"/>
      <c r="T1935" s="5" t="n"/>
      <c r="U1935" s="8">
        <f>IF(AND(V1935=1,D1935&lt;&gt;""),IF(D1935&gt;=corte,TODAY()-D1935,""),"")</f>
        <v/>
      </c>
      <c r="V1935" s="8">
        <f>IF(D1935="",0,IF(OR(AND(P1935&lt;&gt;"",S1935=""),AND(N(J1935)&gt;0,N(K1935)&lt;J1935),OR(M1935="PENDENTE",M1935="PARCIAL"),OR(N1935="PENDENTE",N1935="PARCIAL")),1,0))</f>
        <v/>
      </c>
      <c r="W1935" s="8">
        <f>IF(AND(V1935=1,D1935&lt;&gt;""),IF(D1935&gt;=corte,(B1935="CRÍTICO")*1E9+(100000-D1935)*10000+10000-ROW(),""),"")</f>
        <v/>
      </c>
      <c r="X1935" s="8">
        <f>IF(AND(V1935=1,D1935=pas_data,E1935=pas_turno),10000-ROW(),"")</f>
        <v/>
      </c>
    </row>
    <row r="1936">
      <c r="A1936" s="3">
        <f>IF(D1936="","","TT-"&amp;TEXT(ROW()-1,"00000"))</f>
        <v/>
      </c>
      <c r="B1936" s="3">
        <f>IF(D1936="","",IF(V1936=0,"CONCLUÍDO",IF(D1936&lt;corte,"HISTÓRICO",IF(OR(AND(ISNUMBER(R1936),R1936&lt;TODAY()),AND(OR(N1936="PENDENTE",N1936="PARCIAL"),D1936&lt;TODAY()-1)),"CRÍTICO",IF(OR(AND(P1936&lt;&gt;"",S1936=""),AND(N1936="REALIZADO",M1936="PENDENTE"),AND(ISNUMBER(R1936),R1936=TODAY())),"ATENÇÃO",IF(N(K1936)=0,"PENDENTE","EM ANDAMENTO"))))))</f>
        <v/>
      </c>
      <c r="C1936" s="3">
        <f>IF(D1936="","",IF(V1936=0,"🟢 OK",IF(D1936&lt;corte,"⚪ HISTÓRICO (sem baixa)",IF(AND(ISNUMBER(R1936),R1936&lt;TODAY()),"🔴 PRAZO VENCIDO",IF(AND(OR(N1936="PENDENTE",N1936="PARCIAL"),D1936&lt;TODAY()-1),"🔴 EMBARQUE ATRASADO",IF(AND(N1936="REALIZADO",M1936="PENDENTE"),"🟡 EMBARCADO SEM FATURAR",IF(AND(P1936&lt;&gt;"",S1936="",OR(Q1936="",R1936="")),"🟡 PENDÊNCIA SEM RESPONSÁVEL/PRAZO",IF(AND(ISNUMBER(R1936),R1936=TODAY()),"🟡 VENCE HOJE",IF(AND(P1936&lt;&gt;"",S1936=""),"🟡 PENDÊNCIA ABERTA",IF(AND(N(J1936)&gt;0,N(K1936)&lt;J1936),"🟡 FALTA EXECUTAR",IF(OR(M1936="PENDENTE",M1936="PARCIAL"),"🟡 FATURAMENTO PENDENTE","🟡 EMBARQUE PENDENTE")))))))))))</f>
        <v/>
      </c>
      <c r="D1936" s="4" t="n"/>
      <c r="E1936" s="5" t="n"/>
      <c r="F1936" s="5" t="n"/>
      <c r="G1936" s="5" t="n"/>
      <c r="H1936" s="5" t="n"/>
      <c r="I1936" s="5" t="n"/>
      <c r="J1936" s="6" t="n"/>
      <c r="K1936" s="6" t="n"/>
      <c r="L1936" s="7">
        <f>IF(OR(D1936="",N(J1936)=0),"",MIN(1,N(K1936)/J1936))</f>
        <v/>
      </c>
      <c r="M1936" s="5" t="n"/>
      <c r="N1936" s="5" t="n"/>
      <c r="O1936" s="5" t="n"/>
      <c r="P1936" s="5" t="n"/>
      <c r="Q1936" s="5" t="n"/>
      <c r="R1936" s="4" t="n"/>
      <c r="S1936" s="4" t="n"/>
      <c r="T1936" s="5" t="n"/>
      <c r="U1936" s="8">
        <f>IF(AND(V1936=1,D1936&lt;&gt;""),IF(D1936&gt;=corte,TODAY()-D1936,""),"")</f>
        <v/>
      </c>
      <c r="V1936" s="8">
        <f>IF(D1936="",0,IF(OR(AND(P1936&lt;&gt;"",S1936=""),AND(N(J1936)&gt;0,N(K1936)&lt;J1936),OR(M1936="PENDENTE",M1936="PARCIAL"),OR(N1936="PENDENTE",N1936="PARCIAL")),1,0))</f>
        <v/>
      </c>
      <c r="W1936" s="8">
        <f>IF(AND(V1936=1,D1936&lt;&gt;""),IF(D1936&gt;=corte,(B1936="CRÍTICO")*1E9+(100000-D1936)*10000+10000-ROW(),""),"")</f>
        <v/>
      </c>
      <c r="X1936" s="8">
        <f>IF(AND(V1936=1,D1936=pas_data,E1936=pas_turno),10000-ROW(),"")</f>
        <v/>
      </c>
    </row>
    <row r="1937">
      <c r="A1937" s="3">
        <f>IF(D1937="","","TT-"&amp;TEXT(ROW()-1,"00000"))</f>
        <v/>
      </c>
      <c r="B1937" s="3">
        <f>IF(D1937="","",IF(V1937=0,"CONCLUÍDO",IF(D1937&lt;corte,"HISTÓRICO",IF(OR(AND(ISNUMBER(R1937),R1937&lt;TODAY()),AND(OR(N1937="PENDENTE",N1937="PARCIAL"),D1937&lt;TODAY()-1)),"CRÍTICO",IF(OR(AND(P1937&lt;&gt;"",S1937=""),AND(N1937="REALIZADO",M1937="PENDENTE"),AND(ISNUMBER(R1937),R1937=TODAY())),"ATENÇÃO",IF(N(K1937)=0,"PENDENTE","EM ANDAMENTO"))))))</f>
        <v/>
      </c>
      <c r="C1937" s="3">
        <f>IF(D1937="","",IF(V1937=0,"🟢 OK",IF(D1937&lt;corte,"⚪ HISTÓRICO (sem baixa)",IF(AND(ISNUMBER(R1937),R1937&lt;TODAY()),"🔴 PRAZO VENCIDO",IF(AND(OR(N1937="PENDENTE",N1937="PARCIAL"),D1937&lt;TODAY()-1),"🔴 EMBARQUE ATRASADO",IF(AND(N1937="REALIZADO",M1937="PENDENTE"),"🟡 EMBARCADO SEM FATURAR",IF(AND(P1937&lt;&gt;"",S1937="",OR(Q1937="",R1937="")),"🟡 PENDÊNCIA SEM RESPONSÁVEL/PRAZO",IF(AND(ISNUMBER(R1937),R1937=TODAY()),"🟡 VENCE HOJE",IF(AND(P1937&lt;&gt;"",S1937=""),"🟡 PENDÊNCIA ABERTA",IF(AND(N(J1937)&gt;0,N(K1937)&lt;J1937),"🟡 FALTA EXECUTAR",IF(OR(M1937="PENDENTE",M1937="PARCIAL"),"🟡 FATURAMENTO PENDENTE","🟡 EMBARQUE PENDENTE")))))))))))</f>
        <v/>
      </c>
      <c r="D1937" s="4" t="n"/>
      <c r="E1937" s="5" t="n"/>
      <c r="F1937" s="5" t="n"/>
      <c r="G1937" s="5" t="n"/>
      <c r="H1937" s="5" t="n"/>
      <c r="I1937" s="5" t="n"/>
      <c r="J1937" s="6" t="n"/>
      <c r="K1937" s="6" t="n"/>
      <c r="L1937" s="7">
        <f>IF(OR(D1937="",N(J1937)=0),"",MIN(1,N(K1937)/J1937))</f>
        <v/>
      </c>
      <c r="M1937" s="5" t="n"/>
      <c r="N1937" s="5" t="n"/>
      <c r="O1937" s="5" t="n"/>
      <c r="P1937" s="5" t="n"/>
      <c r="Q1937" s="5" t="n"/>
      <c r="R1937" s="4" t="n"/>
      <c r="S1937" s="4" t="n"/>
      <c r="T1937" s="5" t="n"/>
      <c r="U1937" s="8">
        <f>IF(AND(V1937=1,D1937&lt;&gt;""),IF(D1937&gt;=corte,TODAY()-D1937,""),"")</f>
        <v/>
      </c>
      <c r="V1937" s="8">
        <f>IF(D1937="",0,IF(OR(AND(P1937&lt;&gt;"",S1937=""),AND(N(J1937)&gt;0,N(K1937)&lt;J1937),OR(M1937="PENDENTE",M1937="PARCIAL"),OR(N1937="PENDENTE",N1937="PARCIAL")),1,0))</f>
        <v/>
      </c>
      <c r="W1937" s="8">
        <f>IF(AND(V1937=1,D1937&lt;&gt;""),IF(D1937&gt;=corte,(B1937="CRÍTICO")*1E9+(100000-D1937)*10000+10000-ROW(),""),"")</f>
        <v/>
      </c>
      <c r="X1937" s="8">
        <f>IF(AND(V1937=1,D1937=pas_data,E1937=pas_turno),10000-ROW(),"")</f>
        <v/>
      </c>
    </row>
    <row r="1938">
      <c r="A1938" s="3">
        <f>IF(D1938="","","TT-"&amp;TEXT(ROW()-1,"00000"))</f>
        <v/>
      </c>
      <c r="B1938" s="3">
        <f>IF(D1938="","",IF(V1938=0,"CONCLUÍDO",IF(D1938&lt;corte,"HISTÓRICO",IF(OR(AND(ISNUMBER(R1938),R1938&lt;TODAY()),AND(OR(N1938="PENDENTE",N1938="PARCIAL"),D1938&lt;TODAY()-1)),"CRÍTICO",IF(OR(AND(P1938&lt;&gt;"",S1938=""),AND(N1938="REALIZADO",M1938="PENDENTE"),AND(ISNUMBER(R1938),R1938=TODAY())),"ATENÇÃO",IF(N(K1938)=0,"PENDENTE","EM ANDAMENTO"))))))</f>
        <v/>
      </c>
      <c r="C1938" s="3">
        <f>IF(D1938="","",IF(V1938=0,"🟢 OK",IF(D1938&lt;corte,"⚪ HISTÓRICO (sem baixa)",IF(AND(ISNUMBER(R1938),R1938&lt;TODAY()),"🔴 PRAZO VENCIDO",IF(AND(OR(N1938="PENDENTE",N1938="PARCIAL"),D1938&lt;TODAY()-1),"🔴 EMBARQUE ATRASADO",IF(AND(N1938="REALIZADO",M1938="PENDENTE"),"🟡 EMBARCADO SEM FATURAR",IF(AND(P1938&lt;&gt;"",S1938="",OR(Q1938="",R1938="")),"🟡 PENDÊNCIA SEM RESPONSÁVEL/PRAZO",IF(AND(ISNUMBER(R1938),R1938=TODAY()),"🟡 VENCE HOJE",IF(AND(P1938&lt;&gt;"",S1938=""),"🟡 PENDÊNCIA ABERTA",IF(AND(N(J1938)&gt;0,N(K1938)&lt;J1938),"🟡 FALTA EXECUTAR",IF(OR(M1938="PENDENTE",M1938="PARCIAL"),"🟡 FATURAMENTO PENDENTE","🟡 EMBARQUE PENDENTE")))))))))))</f>
        <v/>
      </c>
      <c r="D1938" s="4" t="n"/>
      <c r="E1938" s="5" t="n"/>
      <c r="F1938" s="5" t="n"/>
      <c r="G1938" s="5" t="n"/>
      <c r="H1938" s="5" t="n"/>
      <c r="I1938" s="5" t="n"/>
      <c r="J1938" s="6" t="n"/>
      <c r="K1938" s="6" t="n"/>
      <c r="L1938" s="7">
        <f>IF(OR(D1938="",N(J1938)=0),"",MIN(1,N(K1938)/J1938))</f>
        <v/>
      </c>
      <c r="M1938" s="5" t="n"/>
      <c r="N1938" s="5" t="n"/>
      <c r="O1938" s="5" t="n"/>
      <c r="P1938" s="5" t="n"/>
      <c r="Q1938" s="5" t="n"/>
      <c r="R1938" s="4" t="n"/>
      <c r="S1938" s="4" t="n"/>
      <c r="T1938" s="5" t="n"/>
      <c r="U1938" s="8">
        <f>IF(AND(V1938=1,D1938&lt;&gt;""),IF(D1938&gt;=corte,TODAY()-D1938,""),"")</f>
        <v/>
      </c>
      <c r="V1938" s="8">
        <f>IF(D1938="",0,IF(OR(AND(P1938&lt;&gt;"",S1938=""),AND(N(J1938)&gt;0,N(K1938)&lt;J1938),OR(M1938="PENDENTE",M1938="PARCIAL"),OR(N1938="PENDENTE",N1938="PARCIAL")),1,0))</f>
        <v/>
      </c>
      <c r="W1938" s="8">
        <f>IF(AND(V1938=1,D1938&lt;&gt;""),IF(D1938&gt;=corte,(B1938="CRÍTICO")*1E9+(100000-D1938)*10000+10000-ROW(),""),"")</f>
        <v/>
      </c>
      <c r="X1938" s="8">
        <f>IF(AND(V1938=1,D1938=pas_data,E1938=pas_turno),10000-ROW(),"")</f>
        <v/>
      </c>
    </row>
    <row r="1939">
      <c r="A1939" s="3">
        <f>IF(D1939="","","TT-"&amp;TEXT(ROW()-1,"00000"))</f>
        <v/>
      </c>
      <c r="B1939" s="3">
        <f>IF(D1939="","",IF(V1939=0,"CONCLUÍDO",IF(D1939&lt;corte,"HISTÓRICO",IF(OR(AND(ISNUMBER(R1939),R1939&lt;TODAY()),AND(OR(N1939="PENDENTE",N1939="PARCIAL"),D1939&lt;TODAY()-1)),"CRÍTICO",IF(OR(AND(P1939&lt;&gt;"",S1939=""),AND(N1939="REALIZADO",M1939="PENDENTE"),AND(ISNUMBER(R1939),R1939=TODAY())),"ATENÇÃO",IF(N(K1939)=0,"PENDENTE","EM ANDAMENTO"))))))</f>
        <v/>
      </c>
      <c r="C1939" s="3">
        <f>IF(D1939="","",IF(V1939=0,"🟢 OK",IF(D1939&lt;corte,"⚪ HISTÓRICO (sem baixa)",IF(AND(ISNUMBER(R1939),R1939&lt;TODAY()),"🔴 PRAZO VENCIDO",IF(AND(OR(N1939="PENDENTE",N1939="PARCIAL"),D1939&lt;TODAY()-1),"🔴 EMBARQUE ATRASADO",IF(AND(N1939="REALIZADO",M1939="PENDENTE"),"🟡 EMBARCADO SEM FATURAR",IF(AND(P1939&lt;&gt;"",S1939="",OR(Q1939="",R1939="")),"🟡 PENDÊNCIA SEM RESPONSÁVEL/PRAZO",IF(AND(ISNUMBER(R1939),R1939=TODAY()),"🟡 VENCE HOJE",IF(AND(P1939&lt;&gt;"",S1939=""),"🟡 PENDÊNCIA ABERTA",IF(AND(N(J1939)&gt;0,N(K1939)&lt;J1939),"🟡 FALTA EXECUTAR",IF(OR(M1939="PENDENTE",M1939="PARCIAL"),"🟡 FATURAMENTO PENDENTE","🟡 EMBARQUE PENDENTE")))))))))))</f>
        <v/>
      </c>
      <c r="D1939" s="4" t="n"/>
      <c r="E1939" s="5" t="n"/>
      <c r="F1939" s="5" t="n"/>
      <c r="G1939" s="5" t="n"/>
      <c r="H1939" s="5" t="n"/>
      <c r="I1939" s="5" t="n"/>
      <c r="J1939" s="6" t="n"/>
      <c r="K1939" s="6" t="n"/>
      <c r="L1939" s="7">
        <f>IF(OR(D1939="",N(J1939)=0),"",MIN(1,N(K1939)/J1939))</f>
        <v/>
      </c>
      <c r="M1939" s="5" t="n"/>
      <c r="N1939" s="5" t="n"/>
      <c r="O1939" s="5" t="n"/>
      <c r="P1939" s="5" t="n"/>
      <c r="Q1939" s="5" t="n"/>
      <c r="R1939" s="4" t="n"/>
      <c r="S1939" s="4" t="n"/>
      <c r="T1939" s="5" t="n"/>
      <c r="U1939" s="8">
        <f>IF(AND(V1939=1,D1939&lt;&gt;""),IF(D1939&gt;=corte,TODAY()-D1939,""),"")</f>
        <v/>
      </c>
      <c r="V1939" s="8">
        <f>IF(D1939="",0,IF(OR(AND(P1939&lt;&gt;"",S1939=""),AND(N(J1939)&gt;0,N(K1939)&lt;J1939),OR(M1939="PENDENTE",M1939="PARCIAL"),OR(N1939="PENDENTE",N1939="PARCIAL")),1,0))</f>
        <v/>
      </c>
      <c r="W1939" s="8">
        <f>IF(AND(V1939=1,D1939&lt;&gt;""),IF(D1939&gt;=corte,(B1939="CRÍTICO")*1E9+(100000-D1939)*10000+10000-ROW(),""),"")</f>
        <v/>
      </c>
      <c r="X1939" s="8">
        <f>IF(AND(V1939=1,D1939=pas_data,E1939=pas_turno),10000-ROW(),"")</f>
        <v/>
      </c>
    </row>
    <row r="1940">
      <c r="A1940" s="3">
        <f>IF(D1940="","","TT-"&amp;TEXT(ROW()-1,"00000"))</f>
        <v/>
      </c>
      <c r="B1940" s="3">
        <f>IF(D1940="","",IF(V1940=0,"CONCLUÍDO",IF(D1940&lt;corte,"HISTÓRICO",IF(OR(AND(ISNUMBER(R1940),R1940&lt;TODAY()),AND(OR(N1940="PENDENTE",N1940="PARCIAL"),D1940&lt;TODAY()-1)),"CRÍTICO",IF(OR(AND(P1940&lt;&gt;"",S1940=""),AND(N1940="REALIZADO",M1940="PENDENTE"),AND(ISNUMBER(R1940),R1940=TODAY())),"ATENÇÃO",IF(N(K1940)=0,"PENDENTE","EM ANDAMENTO"))))))</f>
        <v/>
      </c>
      <c r="C1940" s="3">
        <f>IF(D1940="","",IF(V1940=0,"🟢 OK",IF(D1940&lt;corte,"⚪ HISTÓRICO (sem baixa)",IF(AND(ISNUMBER(R1940),R1940&lt;TODAY()),"🔴 PRAZO VENCIDO",IF(AND(OR(N1940="PENDENTE",N1940="PARCIAL"),D1940&lt;TODAY()-1),"🔴 EMBARQUE ATRASADO",IF(AND(N1940="REALIZADO",M1940="PENDENTE"),"🟡 EMBARCADO SEM FATURAR",IF(AND(P1940&lt;&gt;"",S1940="",OR(Q1940="",R1940="")),"🟡 PENDÊNCIA SEM RESPONSÁVEL/PRAZO",IF(AND(ISNUMBER(R1940),R1940=TODAY()),"🟡 VENCE HOJE",IF(AND(P1940&lt;&gt;"",S1940=""),"🟡 PENDÊNCIA ABERTA",IF(AND(N(J1940)&gt;0,N(K1940)&lt;J1940),"🟡 FALTA EXECUTAR",IF(OR(M1940="PENDENTE",M1940="PARCIAL"),"🟡 FATURAMENTO PENDENTE","🟡 EMBARQUE PENDENTE")))))))))))</f>
        <v/>
      </c>
      <c r="D1940" s="4" t="n"/>
      <c r="E1940" s="5" t="n"/>
      <c r="F1940" s="5" t="n"/>
      <c r="G1940" s="5" t="n"/>
      <c r="H1940" s="5" t="n"/>
      <c r="I1940" s="5" t="n"/>
      <c r="J1940" s="6" t="n"/>
      <c r="K1940" s="6" t="n"/>
      <c r="L1940" s="7">
        <f>IF(OR(D1940="",N(J1940)=0),"",MIN(1,N(K1940)/J1940))</f>
        <v/>
      </c>
      <c r="M1940" s="5" t="n"/>
      <c r="N1940" s="5" t="n"/>
      <c r="O1940" s="5" t="n"/>
      <c r="P1940" s="5" t="n"/>
      <c r="Q1940" s="5" t="n"/>
      <c r="R1940" s="4" t="n"/>
      <c r="S1940" s="4" t="n"/>
      <c r="T1940" s="5" t="n"/>
      <c r="U1940" s="8">
        <f>IF(AND(V1940=1,D1940&lt;&gt;""),IF(D1940&gt;=corte,TODAY()-D1940,""),"")</f>
        <v/>
      </c>
      <c r="V1940" s="8">
        <f>IF(D1940="",0,IF(OR(AND(P1940&lt;&gt;"",S1940=""),AND(N(J1940)&gt;0,N(K1940)&lt;J1940),OR(M1940="PENDENTE",M1940="PARCIAL"),OR(N1940="PENDENTE",N1940="PARCIAL")),1,0))</f>
        <v/>
      </c>
      <c r="W1940" s="8">
        <f>IF(AND(V1940=1,D1940&lt;&gt;""),IF(D1940&gt;=corte,(B1940="CRÍTICO")*1E9+(100000-D1940)*10000+10000-ROW(),""),"")</f>
        <v/>
      </c>
      <c r="X1940" s="8">
        <f>IF(AND(V1940=1,D1940=pas_data,E1940=pas_turno),10000-ROW(),"")</f>
        <v/>
      </c>
    </row>
    <row r="1941">
      <c r="A1941" s="3">
        <f>IF(D1941="","","TT-"&amp;TEXT(ROW()-1,"00000"))</f>
        <v/>
      </c>
      <c r="B1941" s="3">
        <f>IF(D1941="","",IF(V1941=0,"CONCLUÍDO",IF(D1941&lt;corte,"HISTÓRICO",IF(OR(AND(ISNUMBER(R1941),R1941&lt;TODAY()),AND(OR(N1941="PENDENTE",N1941="PARCIAL"),D1941&lt;TODAY()-1)),"CRÍTICO",IF(OR(AND(P1941&lt;&gt;"",S1941=""),AND(N1941="REALIZADO",M1941="PENDENTE"),AND(ISNUMBER(R1941),R1941=TODAY())),"ATENÇÃO",IF(N(K1941)=0,"PENDENTE","EM ANDAMENTO"))))))</f>
        <v/>
      </c>
      <c r="C1941" s="3">
        <f>IF(D1941="","",IF(V1941=0,"🟢 OK",IF(D1941&lt;corte,"⚪ HISTÓRICO (sem baixa)",IF(AND(ISNUMBER(R1941),R1941&lt;TODAY()),"🔴 PRAZO VENCIDO",IF(AND(OR(N1941="PENDENTE",N1941="PARCIAL"),D1941&lt;TODAY()-1),"🔴 EMBARQUE ATRASADO",IF(AND(N1941="REALIZADO",M1941="PENDENTE"),"🟡 EMBARCADO SEM FATURAR",IF(AND(P1941&lt;&gt;"",S1941="",OR(Q1941="",R1941="")),"🟡 PENDÊNCIA SEM RESPONSÁVEL/PRAZO",IF(AND(ISNUMBER(R1941),R1941=TODAY()),"🟡 VENCE HOJE",IF(AND(P1941&lt;&gt;"",S1941=""),"🟡 PENDÊNCIA ABERTA",IF(AND(N(J1941)&gt;0,N(K1941)&lt;J1941),"🟡 FALTA EXECUTAR",IF(OR(M1941="PENDENTE",M1941="PARCIAL"),"🟡 FATURAMENTO PENDENTE","🟡 EMBARQUE PENDENTE")))))))))))</f>
        <v/>
      </c>
      <c r="D1941" s="4" t="n"/>
      <c r="E1941" s="5" t="n"/>
      <c r="F1941" s="5" t="n"/>
      <c r="G1941" s="5" t="n"/>
      <c r="H1941" s="5" t="n"/>
      <c r="I1941" s="5" t="n"/>
      <c r="J1941" s="6" t="n"/>
      <c r="K1941" s="6" t="n"/>
      <c r="L1941" s="7">
        <f>IF(OR(D1941="",N(J1941)=0),"",MIN(1,N(K1941)/J1941))</f>
        <v/>
      </c>
      <c r="M1941" s="5" t="n"/>
      <c r="N1941" s="5" t="n"/>
      <c r="O1941" s="5" t="n"/>
      <c r="P1941" s="5" t="n"/>
      <c r="Q1941" s="5" t="n"/>
      <c r="R1941" s="4" t="n"/>
      <c r="S1941" s="4" t="n"/>
      <c r="T1941" s="5" t="n"/>
      <c r="U1941" s="8">
        <f>IF(AND(V1941=1,D1941&lt;&gt;""),IF(D1941&gt;=corte,TODAY()-D1941,""),"")</f>
        <v/>
      </c>
      <c r="V1941" s="8">
        <f>IF(D1941="",0,IF(OR(AND(P1941&lt;&gt;"",S1941=""),AND(N(J1941)&gt;0,N(K1941)&lt;J1941),OR(M1941="PENDENTE",M1941="PARCIAL"),OR(N1941="PENDENTE",N1941="PARCIAL")),1,0))</f>
        <v/>
      </c>
      <c r="W1941" s="8">
        <f>IF(AND(V1941=1,D1941&lt;&gt;""),IF(D1941&gt;=corte,(B1941="CRÍTICO")*1E9+(100000-D1941)*10000+10000-ROW(),""),"")</f>
        <v/>
      </c>
      <c r="X1941" s="8">
        <f>IF(AND(V1941=1,D1941=pas_data,E1941=pas_turno),10000-ROW(),"")</f>
        <v/>
      </c>
    </row>
    <row r="1942">
      <c r="A1942" s="3">
        <f>IF(D1942="","","TT-"&amp;TEXT(ROW()-1,"00000"))</f>
        <v/>
      </c>
      <c r="B1942" s="3">
        <f>IF(D1942="","",IF(V1942=0,"CONCLUÍDO",IF(D1942&lt;corte,"HISTÓRICO",IF(OR(AND(ISNUMBER(R1942),R1942&lt;TODAY()),AND(OR(N1942="PENDENTE",N1942="PARCIAL"),D1942&lt;TODAY()-1)),"CRÍTICO",IF(OR(AND(P1942&lt;&gt;"",S1942=""),AND(N1942="REALIZADO",M1942="PENDENTE"),AND(ISNUMBER(R1942),R1942=TODAY())),"ATENÇÃO",IF(N(K1942)=0,"PENDENTE","EM ANDAMENTO"))))))</f>
        <v/>
      </c>
      <c r="C1942" s="3">
        <f>IF(D1942="","",IF(V1942=0,"🟢 OK",IF(D1942&lt;corte,"⚪ HISTÓRICO (sem baixa)",IF(AND(ISNUMBER(R1942),R1942&lt;TODAY()),"🔴 PRAZO VENCIDO",IF(AND(OR(N1942="PENDENTE",N1942="PARCIAL"),D1942&lt;TODAY()-1),"🔴 EMBARQUE ATRASADO",IF(AND(N1942="REALIZADO",M1942="PENDENTE"),"🟡 EMBARCADO SEM FATURAR",IF(AND(P1942&lt;&gt;"",S1942="",OR(Q1942="",R1942="")),"🟡 PENDÊNCIA SEM RESPONSÁVEL/PRAZO",IF(AND(ISNUMBER(R1942),R1942=TODAY()),"🟡 VENCE HOJE",IF(AND(P1942&lt;&gt;"",S1942=""),"🟡 PENDÊNCIA ABERTA",IF(AND(N(J1942)&gt;0,N(K1942)&lt;J1942),"🟡 FALTA EXECUTAR",IF(OR(M1942="PENDENTE",M1942="PARCIAL"),"🟡 FATURAMENTO PENDENTE","🟡 EMBARQUE PENDENTE")))))))))))</f>
        <v/>
      </c>
      <c r="D1942" s="4" t="n"/>
      <c r="E1942" s="5" t="n"/>
      <c r="F1942" s="5" t="n"/>
      <c r="G1942" s="5" t="n"/>
      <c r="H1942" s="5" t="n"/>
      <c r="I1942" s="5" t="n"/>
      <c r="J1942" s="6" t="n"/>
      <c r="K1942" s="6" t="n"/>
      <c r="L1942" s="7">
        <f>IF(OR(D1942="",N(J1942)=0),"",MIN(1,N(K1942)/J1942))</f>
        <v/>
      </c>
      <c r="M1942" s="5" t="n"/>
      <c r="N1942" s="5" t="n"/>
      <c r="O1942" s="5" t="n"/>
      <c r="P1942" s="5" t="n"/>
      <c r="Q1942" s="5" t="n"/>
      <c r="R1942" s="4" t="n"/>
      <c r="S1942" s="4" t="n"/>
      <c r="T1942" s="5" t="n"/>
      <c r="U1942" s="8">
        <f>IF(AND(V1942=1,D1942&lt;&gt;""),IF(D1942&gt;=corte,TODAY()-D1942,""),"")</f>
        <v/>
      </c>
      <c r="V1942" s="8">
        <f>IF(D1942="",0,IF(OR(AND(P1942&lt;&gt;"",S1942=""),AND(N(J1942)&gt;0,N(K1942)&lt;J1942),OR(M1942="PENDENTE",M1942="PARCIAL"),OR(N1942="PENDENTE",N1942="PARCIAL")),1,0))</f>
        <v/>
      </c>
      <c r="W1942" s="8">
        <f>IF(AND(V1942=1,D1942&lt;&gt;""),IF(D1942&gt;=corte,(B1942="CRÍTICO")*1E9+(100000-D1942)*10000+10000-ROW(),""),"")</f>
        <v/>
      </c>
      <c r="X1942" s="8">
        <f>IF(AND(V1942=1,D1942=pas_data,E1942=pas_turno),10000-ROW(),"")</f>
        <v/>
      </c>
    </row>
    <row r="1943">
      <c r="A1943" s="3">
        <f>IF(D1943="","","TT-"&amp;TEXT(ROW()-1,"00000"))</f>
        <v/>
      </c>
      <c r="B1943" s="3">
        <f>IF(D1943="","",IF(V1943=0,"CONCLUÍDO",IF(D1943&lt;corte,"HISTÓRICO",IF(OR(AND(ISNUMBER(R1943),R1943&lt;TODAY()),AND(OR(N1943="PENDENTE",N1943="PARCIAL"),D1943&lt;TODAY()-1)),"CRÍTICO",IF(OR(AND(P1943&lt;&gt;"",S1943=""),AND(N1943="REALIZADO",M1943="PENDENTE"),AND(ISNUMBER(R1943),R1943=TODAY())),"ATENÇÃO",IF(N(K1943)=0,"PENDENTE","EM ANDAMENTO"))))))</f>
        <v/>
      </c>
      <c r="C1943" s="3">
        <f>IF(D1943="","",IF(V1943=0,"🟢 OK",IF(D1943&lt;corte,"⚪ HISTÓRICO (sem baixa)",IF(AND(ISNUMBER(R1943),R1943&lt;TODAY()),"🔴 PRAZO VENCIDO",IF(AND(OR(N1943="PENDENTE",N1943="PARCIAL"),D1943&lt;TODAY()-1),"🔴 EMBARQUE ATRASADO",IF(AND(N1943="REALIZADO",M1943="PENDENTE"),"🟡 EMBARCADO SEM FATURAR",IF(AND(P1943&lt;&gt;"",S1943="",OR(Q1943="",R1943="")),"🟡 PENDÊNCIA SEM RESPONSÁVEL/PRAZO",IF(AND(ISNUMBER(R1943),R1943=TODAY()),"🟡 VENCE HOJE",IF(AND(P1943&lt;&gt;"",S1943=""),"🟡 PENDÊNCIA ABERTA",IF(AND(N(J1943)&gt;0,N(K1943)&lt;J1943),"🟡 FALTA EXECUTAR",IF(OR(M1943="PENDENTE",M1943="PARCIAL"),"🟡 FATURAMENTO PENDENTE","🟡 EMBARQUE PENDENTE")))))))))))</f>
        <v/>
      </c>
      <c r="D1943" s="4" t="n"/>
      <c r="E1943" s="5" t="n"/>
      <c r="F1943" s="5" t="n"/>
      <c r="G1943" s="5" t="n"/>
      <c r="H1943" s="5" t="n"/>
      <c r="I1943" s="5" t="n"/>
      <c r="J1943" s="6" t="n"/>
      <c r="K1943" s="6" t="n"/>
      <c r="L1943" s="7">
        <f>IF(OR(D1943="",N(J1943)=0),"",MIN(1,N(K1943)/J1943))</f>
        <v/>
      </c>
      <c r="M1943" s="5" t="n"/>
      <c r="N1943" s="5" t="n"/>
      <c r="O1943" s="5" t="n"/>
      <c r="P1943" s="5" t="n"/>
      <c r="Q1943" s="5" t="n"/>
      <c r="R1943" s="4" t="n"/>
      <c r="S1943" s="4" t="n"/>
      <c r="T1943" s="5" t="n"/>
      <c r="U1943" s="8">
        <f>IF(AND(V1943=1,D1943&lt;&gt;""),IF(D1943&gt;=corte,TODAY()-D1943,""),"")</f>
        <v/>
      </c>
      <c r="V1943" s="8">
        <f>IF(D1943="",0,IF(OR(AND(P1943&lt;&gt;"",S1943=""),AND(N(J1943)&gt;0,N(K1943)&lt;J1943),OR(M1943="PENDENTE",M1943="PARCIAL"),OR(N1943="PENDENTE",N1943="PARCIAL")),1,0))</f>
        <v/>
      </c>
      <c r="W1943" s="8">
        <f>IF(AND(V1943=1,D1943&lt;&gt;""),IF(D1943&gt;=corte,(B1943="CRÍTICO")*1E9+(100000-D1943)*10000+10000-ROW(),""),"")</f>
        <v/>
      </c>
      <c r="X1943" s="8">
        <f>IF(AND(V1943=1,D1943=pas_data,E1943=pas_turno),10000-ROW(),"")</f>
        <v/>
      </c>
    </row>
    <row r="1944">
      <c r="A1944" s="3">
        <f>IF(D1944="","","TT-"&amp;TEXT(ROW()-1,"00000"))</f>
        <v/>
      </c>
      <c r="B1944" s="3">
        <f>IF(D1944="","",IF(V1944=0,"CONCLUÍDO",IF(D1944&lt;corte,"HISTÓRICO",IF(OR(AND(ISNUMBER(R1944),R1944&lt;TODAY()),AND(OR(N1944="PENDENTE",N1944="PARCIAL"),D1944&lt;TODAY()-1)),"CRÍTICO",IF(OR(AND(P1944&lt;&gt;"",S1944=""),AND(N1944="REALIZADO",M1944="PENDENTE"),AND(ISNUMBER(R1944),R1944=TODAY())),"ATENÇÃO",IF(N(K1944)=0,"PENDENTE","EM ANDAMENTO"))))))</f>
        <v/>
      </c>
      <c r="C1944" s="3">
        <f>IF(D1944="","",IF(V1944=0,"🟢 OK",IF(D1944&lt;corte,"⚪ HISTÓRICO (sem baixa)",IF(AND(ISNUMBER(R1944),R1944&lt;TODAY()),"🔴 PRAZO VENCIDO",IF(AND(OR(N1944="PENDENTE",N1944="PARCIAL"),D1944&lt;TODAY()-1),"🔴 EMBARQUE ATRASADO",IF(AND(N1944="REALIZADO",M1944="PENDENTE"),"🟡 EMBARCADO SEM FATURAR",IF(AND(P1944&lt;&gt;"",S1944="",OR(Q1944="",R1944="")),"🟡 PENDÊNCIA SEM RESPONSÁVEL/PRAZO",IF(AND(ISNUMBER(R1944),R1944=TODAY()),"🟡 VENCE HOJE",IF(AND(P1944&lt;&gt;"",S1944=""),"🟡 PENDÊNCIA ABERTA",IF(AND(N(J1944)&gt;0,N(K1944)&lt;J1944),"🟡 FALTA EXECUTAR",IF(OR(M1944="PENDENTE",M1944="PARCIAL"),"🟡 FATURAMENTO PENDENTE","🟡 EMBARQUE PENDENTE")))))))))))</f>
        <v/>
      </c>
      <c r="D1944" s="4" t="n"/>
      <c r="E1944" s="5" t="n"/>
      <c r="F1944" s="5" t="n"/>
      <c r="G1944" s="5" t="n"/>
      <c r="H1944" s="5" t="n"/>
      <c r="I1944" s="5" t="n"/>
      <c r="J1944" s="6" t="n"/>
      <c r="K1944" s="6" t="n"/>
      <c r="L1944" s="7">
        <f>IF(OR(D1944="",N(J1944)=0),"",MIN(1,N(K1944)/J1944))</f>
        <v/>
      </c>
      <c r="M1944" s="5" t="n"/>
      <c r="N1944" s="5" t="n"/>
      <c r="O1944" s="5" t="n"/>
      <c r="P1944" s="5" t="n"/>
      <c r="Q1944" s="5" t="n"/>
      <c r="R1944" s="4" t="n"/>
      <c r="S1944" s="4" t="n"/>
      <c r="T1944" s="5" t="n"/>
      <c r="U1944" s="8">
        <f>IF(AND(V1944=1,D1944&lt;&gt;""),IF(D1944&gt;=corte,TODAY()-D1944,""),"")</f>
        <v/>
      </c>
      <c r="V1944" s="8">
        <f>IF(D1944="",0,IF(OR(AND(P1944&lt;&gt;"",S1944=""),AND(N(J1944)&gt;0,N(K1944)&lt;J1944),OR(M1944="PENDENTE",M1944="PARCIAL"),OR(N1944="PENDENTE",N1944="PARCIAL")),1,0))</f>
        <v/>
      </c>
      <c r="W1944" s="8">
        <f>IF(AND(V1944=1,D1944&lt;&gt;""),IF(D1944&gt;=corte,(B1944="CRÍTICO")*1E9+(100000-D1944)*10000+10000-ROW(),""),"")</f>
        <v/>
      </c>
      <c r="X1944" s="8">
        <f>IF(AND(V1944=1,D1944=pas_data,E1944=pas_turno),10000-ROW(),"")</f>
        <v/>
      </c>
    </row>
    <row r="1945">
      <c r="A1945" s="3">
        <f>IF(D1945="","","TT-"&amp;TEXT(ROW()-1,"00000"))</f>
        <v/>
      </c>
      <c r="B1945" s="3">
        <f>IF(D1945="","",IF(V1945=0,"CONCLUÍDO",IF(D1945&lt;corte,"HISTÓRICO",IF(OR(AND(ISNUMBER(R1945),R1945&lt;TODAY()),AND(OR(N1945="PENDENTE",N1945="PARCIAL"),D1945&lt;TODAY()-1)),"CRÍTICO",IF(OR(AND(P1945&lt;&gt;"",S1945=""),AND(N1945="REALIZADO",M1945="PENDENTE"),AND(ISNUMBER(R1945),R1945=TODAY())),"ATENÇÃO",IF(N(K1945)=0,"PENDENTE","EM ANDAMENTO"))))))</f>
        <v/>
      </c>
      <c r="C1945" s="3">
        <f>IF(D1945="","",IF(V1945=0,"🟢 OK",IF(D1945&lt;corte,"⚪ HISTÓRICO (sem baixa)",IF(AND(ISNUMBER(R1945),R1945&lt;TODAY()),"🔴 PRAZO VENCIDO",IF(AND(OR(N1945="PENDENTE",N1945="PARCIAL"),D1945&lt;TODAY()-1),"🔴 EMBARQUE ATRASADO",IF(AND(N1945="REALIZADO",M1945="PENDENTE"),"🟡 EMBARCADO SEM FATURAR",IF(AND(P1945&lt;&gt;"",S1945="",OR(Q1945="",R1945="")),"🟡 PENDÊNCIA SEM RESPONSÁVEL/PRAZO",IF(AND(ISNUMBER(R1945),R1945=TODAY()),"🟡 VENCE HOJE",IF(AND(P1945&lt;&gt;"",S1945=""),"🟡 PENDÊNCIA ABERTA",IF(AND(N(J1945)&gt;0,N(K1945)&lt;J1945),"🟡 FALTA EXECUTAR",IF(OR(M1945="PENDENTE",M1945="PARCIAL"),"🟡 FATURAMENTO PENDENTE","🟡 EMBARQUE PENDENTE")))))))))))</f>
        <v/>
      </c>
      <c r="D1945" s="4" t="n"/>
      <c r="E1945" s="5" t="n"/>
      <c r="F1945" s="5" t="n"/>
      <c r="G1945" s="5" t="n"/>
      <c r="H1945" s="5" t="n"/>
      <c r="I1945" s="5" t="n"/>
      <c r="J1945" s="6" t="n"/>
      <c r="K1945" s="6" t="n"/>
      <c r="L1945" s="7">
        <f>IF(OR(D1945="",N(J1945)=0),"",MIN(1,N(K1945)/J1945))</f>
        <v/>
      </c>
      <c r="M1945" s="5" t="n"/>
      <c r="N1945" s="5" t="n"/>
      <c r="O1945" s="5" t="n"/>
      <c r="P1945" s="5" t="n"/>
      <c r="Q1945" s="5" t="n"/>
      <c r="R1945" s="4" t="n"/>
      <c r="S1945" s="4" t="n"/>
      <c r="T1945" s="5" t="n"/>
      <c r="U1945" s="8">
        <f>IF(AND(V1945=1,D1945&lt;&gt;""),IF(D1945&gt;=corte,TODAY()-D1945,""),"")</f>
        <v/>
      </c>
      <c r="V1945" s="8">
        <f>IF(D1945="",0,IF(OR(AND(P1945&lt;&gt;"",S1945=""),AND(N(J1945)&gt;0,N(K1945)&lt;J1945),OR(M1945="PENDENTE",M1945="PARCIAL"),OR(N1945="PENDENTE",N1945="PARCIAL")),1,0))</f>
        <v/>
      </c>
      <c r="W1945" s="8">
        <f>IF(AND(V1945=1,D1945&lt;&gt;""),IF(D1945&gt;=corte,(B1945="CRÍTICO")*1E9+(100000-D1945)*10000+10000-ROW(),""),"")</f>
        <v/>
      </c>
      <c r="X1945" s="8">
        <f>IF(AND(V1945=1,D1945=pas_data,E1945=pas_turno),10000-ROW(),"")</f>
        <v/>
      </c>
    </row>
    <row r="1946">
      <c r="A1946" s="3">
        <f>IF(D1946="","","TT-"&amp;TEXT(ROW()-1,"00000"))</f>
        <v/>
      </c>
      <c r="B1946" s="3">
        <f>IF(D1946="","",IF(V1946=0,"CONCLUÍDO",IF(D1946&lt;corte,"HISTÓRICO",IF(OR(AND(ISNUMBER(R1946),R1946&lt;TODAY()),AND(OR(N1946="PENDENTE",N1946="PARCIAL"),D1946&lt;TODAY()-1)),"CRÍTICO",IF(OR(AND(P1946&lt;&gt;"",S1946=""),AND(N1946="REALIZADO",M1946="PENDENTE"),AND(ISNUMBER(R1946),R1946=TODAY())),"ATENÇÃO",IF(N(K1946)=0,"PENDENTE","EM ANDAMENTO"))))))</f>
        <v/>
      </c>
      <c r="C1946" s="3">
        <f>IF(D1946="","",IF(V1946=0,"🟢 OK",IF(D1946&lt;corte,"⚪ HISTÓRICO (sem baixa)",IF(AND(ISNUMBER(R1946),R1946&lt;TODAY()),"🔴 PRAZO VENCIDO",IF(AND(OR(N1946="PENDENTE",N1946="PARCIAL"),D1946&lt;TODAY()-1),"🔴 EMBARQUE ATRASADO",IF(AND(N1946="REALIZADO",M1946="PENDENTE"),"🟡 EMBARCADO SEM FATURAR",IF(AND(P1946&lt;&gt;"",S1946="",OR(Q1946="",R1946="")),"🟡 PENDÊNCIA SEM RESPONSÁVEL/PRAZO",IF(AND(ISNUMBER(R1946),R1946=TODAY()),"🟡 VENCE HOJE",IF(AND(P1946&lt;&gt;"",S1946=""),"🟡 PENDÊNCIA ABERTA",IF(AND(N(J1946)&gt;0,N(K1946)&lt;J1946),"🟡 FALTA EXECUTAR",IF(OR(M1946="PENDENTE",M1946="PARCIAL"),"🟡 FATURAMENTO PENDENTE","🟡 EMBARQUE PENDENTE")))))))))))</f>
        <v/>
      </c>
      <c r="D1946" s="4" t="n"/>
      <c r="E1946" s="5" t="n"/>
      <c r="F1946" s="5" t="n"/>
      <c r="G1946" s="5" t="n"/>
      <c r="H1946" s="5" t="n"/>
      <c r="I1946" s="5" t="n"/>
      <c r="J1946" s="6" t="n"/>
      <c r="K1946" s="6" t="n"/>
      <c r="L1946" s="7">
        <f>IF(OR(D1946="",N(J1946)=0),"",MIN(1,N(K1946)/J1946))</f>
        <v/>
      </c>
      <c r="M1946" s="5" t="n"/>
      <c r="N1946" s="5" t="n"/>
      <c r="O1946" s="5" t="n"/>
      <c r="P1946" s="5" t="n"/>
      <c r="Q1946" s="5" t="n"/>
      <c r="R1946" s="4" t="n"/>
      <c r="S1946" s="4" t="n"/>
      <c r="T1946" s="5" t="n"/>
      <c r="U1946" s="8">
        <f>IF(AND(V1946=1,D1946&lt;&gt;""),IF(D1946&gt;=corte,TODAY()-D1946,""),"")</f>
        <v/>
      </c>
      <c r="V1946" s="8">
        <f>IF(D1946="",0,IF(OR(AND(P1946&lt;&gt;"",S1946=""),AND(N(J1946)&gt;0,N(K1946)&lt;J1946),OR(M1946="PENDENTE",M1946="PARCIAL"),OR(N1946="PENDENTE",N1946="PARCIAL")),1,0))</f>
        <v/>
      </c>
      <c r="W1946" s="8">
        <f>IF(AND(V1946=1,D1946&lt;&gt;""),IF(D1946&gt;=corte,(B1946="CRÍTICO")*1E9+(100000-D1946)*10000+10000-ROW(),""),"")</f>
        <v/>
      </c>
      <c r="X1946" s="8">
        <f>IF(AND(V1946=1,D1946=pas_data,E1946=pas_turno),10000-ROW(),"")</f>
        <v/>
      </c>
    </row>
    <row r="1947">
      <c r="A1947" s="3">
        <f>IF(D1947="","","TT-"&amp;TEXT(ROW()-1,"00000"))</f>
        <v/>
      </c>
      <c r="B1947" s="3">
        <f>IF(D1947="","",IF(V1947=0,"CONCLUÍDO",IF(D1947&lt;corte,"HISTÓRICO",IF(OR(AND(ISNUMBER(R1947),R1947&lt;TODAY()),AND(OR(N1947="PENDENTE",N1947="PARCIAL"),D1947&lt;TODAY()-1)),"CRÍTICO",IF(OR(AND(P1947&lt;&gt;"",S1947=""),AND(N1947="REALIZADO",M1947="PENDENTE"),AND(ISNUMBER(R1947),R1947=TODAY())),"ATENÇÃO",IF(N(K1947)=0,"PENDENTE","EM ANDAMENTO"))))))</f>
        <v/>
      </c>
      <c r="C1947" s="3">
        <f>IF(D1947="","",IF(V1947=0,"🟢 OK",IF(D1947&lt;corte,"⚪ HISTÓRICO (sem baixa)",IF(AND(ISNUMBER(R1947),R1947&lt;TODAY()),"🔴 PRAZO VENCIDO",IF(AND(OR(N1947="PENDENTE",N1947="PARCIAL"),D1947&lt;TODAY()-1),"🔴 EMBARQUE ATRASADO",IF(AND(N1947="REALIZADO",M1947="PENDENTE"),"🟡 EMBARCADO SEM FATURAR",IF(AND(P1947&lt;&gt;"",S1947="",OR(Q1947="",R1947="")),"🟡 PENDÊNCIA SEM RESPONSÁVEL/PRAZO",IF(AND(ISNUMBER(R1947),R1947=TODAY()),"🟡 VENCE HOJE",IF(AND(P1947&lt;&gt;"",S1947=""),"🟡 PENDÊNCIA ABERTA",IF(AND(N(J1947)&gt;0,N(K1947)&lt;J1947),"🟡 FALTA EXECUTAR",IF(OR(M1947="PENDENTE",M1947="PARCIAL"),"🟡 FATURAMENTO PENDENTE","🟡 EMBARQUE PENDENTE")))))))))))</f>
        <v/>
      </c>
      <c r="D1947" s="4" t="n"/>
      <c r="E1947" s="5" t="n"/>
      <c r="F1947" s="5" t="n"/>
      <c r="G1947" s="5" t="n"/>
      <c r="H1947" s="5" t="n"/>
      <c r="I1947" s="5" t="n"/>
      <c r="J1947" s="6" t="n"/>
      <c r="K1947" s="6" t="n"/>
      <c r="L1947" s="7">
        <f>IF(OR(D1947="",N(J1947)=0),"",MIN(1,N(K1947)/J1947))</f>
        <v/>
      </c>
      <c r="M1947" s="5" t="n"/>
      <c r="N1947" s="5" t="n"/>
      <c r="O1947" s="5" t="n"/>
      <c r="P1947" s="5" t="n"/>
      <c r="Q1947" s="5" t="n"/>
      <c r="R1947" s="4" t="n"/>
      <c r="S1947" s="4" t="n"/>
      <c r="T1947" s="5" t="n"/>
      <c r="U1947" s="8">
        <f>IF(AND(V1947=1,D1947&lt;&gt;""),IF(D1947&gt;=corte,TODAY()-D1947,""),"")</f>
        <v/>
      </c>
      <c r="V1947" s="8">
        <f>IF(D1947="",0,IF(OR(AND(P1947&lt;&gt;"",S1947=""),AND(N(J1947)&gt;0,N(K1947)&lt;J1947),OR(M1947="PENDENTE",M1947="PARCIAL"),OR(N1947="PENDENTE",N1947="PARCIAL")),1,0))</f>
        <v/>
      </c>
      <c r="W1947" s="8">
        <f>IF(AND(V1947=1,D1947&lt;&gt;""),IF(D1947&gt;=corte,(B1947="CRÍTICO")*1E9+(100000-D1947)*10000+10000-ROW(),""),"")</f>
        <v/>
      </c>
      <c r="X1947" s="8">
        <f>IF(AND(V1947=1,D1947=pas_data,E1947=pas_turno),10000-ROW(),"")</f>
        <v/>
      </c>
    </row>
    <row r="1948">
      <c r="A1948" s="3">
        <f>IF(D1948="","","TT-"&amp;TEXT(ROW()-1,"00000"))</f>
        <v/>
      </c>
      <c r="B1948" s="3">
        <f>IF(D1948="","",IF(V1948=0,"CONCLUÍDO",IF(D1948&lt;corte,"HISTÓRICO",IF(OR(AND(ISNUMBER(R1948),R1948&lt;TODAY()),AND(OR(N1948="PENDENTE",N1948="PARCIAL"),D1948&lt;TODAY()-1)),"CRÍTICO",IF(OR(AND(P1948&lt;&gt;"",S1948=""),AND(N1948="REALIZADO",M1948="PENDENTE"),AND(ISNUMBER(R1948),R1948=TODAY())),"ATENÇÃO",IF(N(K1948)=0,"PENDENTE","EM ANDAMENTO"))))))</f>
        <v/>
      </c>
      <c r="C1948" s="3">
        <f>IF(D1948="","",IF(V1948=0,"🟢 OK",IF(D1948&lt;corte,"⚪ HISTÓRICO (sem baixa)",IF(AND(ISNUMBER(R1948),R1948&lt;TODAY()),"🔴 PRAZO VENCIDO",IF(AND(OR(N1948="PENDENTE",N1948="PARCIAL"),D1948&lt;TODAY()-1),"🔴 EMBARQUE ATRASADO",IF(AND(N1948="REALIZADO",M1948="PENDENTE"),"🟡 EMBARCADO SEM FATURAR",IF(AND(P1948&lt;&gt;"",S1948="",OR(Q1948="",R1948="")),"🟡 PENDÊNCIA SEM RESPONSÁVEL/PRAZO",IF(AND(ISNUMBER(R1948),R1948=TODAY()),"🟡 VENCE HOJE",IF(AND(P1948&lt;&gt;"",S1948=""),"🟡 PENDÊNCIA ABERTA",IF(AND(N(J1948)&gt;0,N(K1948)&lt;J1948),"🟡 FALTA EXECUTAR",IF(OR(M1948="PENDENTE",M1948="PARCIAL"),"🟡 FATURAMENTO PENDENTE","🟡 EMBARQUE PENDENTE")))))))))))</f>
        <v/>
      </c>
      <c r="D1948" s="4" t="n"/>
      <c r="E1948" s="5" t="n"/>
      <c r="F1948" s="5" t="n"/>
      <c r="G1948" s="5" t="n"/>
      <c r="H1948" s="5" t="n"/>
      <c r="I1948" s="5" t="n"/>
      <c r="J1948" s="6" t="n"/>
      <c r="K1948" s="6" t="n"/>
      <c r="L1948" s="7">
        <f>IF(OR(D1948="",N(J1948)=0),"",MIN(1,N(K1948)/J1948))</f>
        <v/>
      </c>
      <c r="M1948" s="5" t="n"/>
      <c r="N1948" s="5" t="n"/>
      <c r="O1948" s="5" t="n"/>
      <c r="P1948" s="5" t="n"/>
      <c r="Q1948" s="5" t="n"/>
      <c r="R1948" s="4" t="n"/>
      <c r="S1948" s="4" t="n"/>
      <c r="T1948" s="5" t="n"/>
      <c r="U1948" s="8">
        <f>IF(AND(V1948=1,D1948&lt;&gt;""),IF(D1948&gt;=corte,TODAY()-D1948,""),"")</f>
        <v/>
      </c>
      <c r="V1948" s="8">
        <f>IF(D1948="",0,IF(OR(AND(P1948&lt;&gt;"",S1948=""),AND(N(J1948)&gt;0,N(K1948)&lt;J1948),OR(M1948="PENDENTE",M1948="PARCIAL"),OR(N1948="PENDENTE",N1948="PARCIAL")),1,0))</f>
        <v/>
      </c>
      <c r="W1948" s="8">
        <f>IF(AND(V1948=1,D1948&lt;&gt;""),IF(D1948&gt;=corte,(B1948="CRÍTICO")*1E9+(100000-D1948)*10000+10000-ROW(),""),"")</f>
        <v/>
      </c>
      <c r="X1948" s="8">
        <f>IF(AND(V1948=1,D1948=pas_data,E1948=pas_turno),10000-ROW(),"")</f>
        <v/>
      </c>
    </row>
    <row r="1949">
      <c r="A1949" s="3">
        <f>IF(D1949="","","TT-"&amp;TEXT(ROW()-1,"00000"))</f>
        <v/>
      </c>
      <c r="B1949" s="3">
        <f>IF(D1949="","",IF(V1949=0,"CONCLUÍDO",IF(D1949&lt;corte,"HISTÓRICO",IF(OR(AND(ISNUMBER(R1949),R1949&lt;TODAY()),AND(OR(N1949="PENDENTE",N1949="PARCIAL"),D1949&lt;TODAY()-1)),"CRÍTICO",IF(OR(AND(P1949&lt;&gt;"",S1949=""),AND(N1949="REALIZADO",M1949="PENDENTE"),AND(ISNUMBER(R1949),R1949=TODAY())),"ATENÇÃO",IF(N(K1949)=0,"PENDENTE","EM ANDAMENTO"))))))</f>
        <v/>
      </c>
      <c r="C1949" s="3">
        <f>IF(D1949="","",IF(V1949=0,"🟢 OK",IF(D1949&lt;corte,"⚪ HISTÓRICO (sem baixa)",IF(AND(ISNUMBER(R1949),R1949&lt;TODAY()),"🔴 PRAZO VENCIDO",IF(AND(OR(N1949="PENDENTE",N1949="PARCIAL"),D1949&lt;TODAY()-1),"🔴 EMBARQUE ATRASADO",IF(AND(N1949="REALIZADO",M1949="PENDENTE"),"🟡 EMBARCADO SEM FATURAR",IF(AND(P1949&lt;&gt;"",S1949="",OR(Q1949="",R1949="")),"🟡 PENDÊNCIA SEM RESPONSÁVEL/PRAZO",IF(AND(ISNUMBER(R1949),R1949=TODAY()),"🟡 VENCE HOJE",IF(AND(P1949&lt;&gt;"",S1949=""),"🟡 PENDÊNCIA ABERTA",IF(AND(N(J1949)&gt;0,N(K1949)&lt;J1949),"🟡 FALTA EXECUTAR",IF(OR(M1949="PENDENTE",M1949="PARCIAL"),"🟡 FATURAMENTO PENDENTE","🟡 EMBARQUE PENDENTE")))))))))))</f>
        <v/>
      </c>
      <c r="D1949" s="4" t="n"/>
      <c r="E1949" s="5" t="n"/>
      <c r="F1949" s="5" t="n"/>
      <c r="G1949" s="5" t="n"/>
      <c r="H1949" s="5" t="n"/>
      <c r="I1949" s="5" t="n"/>
      <c r="J1949" s="6" t="n"/>
      <c r="K1949" s="6" t="n"/>
      <c r="L1949" s="7">
        <f>IF(OR(D1949="",N(J1949)=0),"",MIN(1,N(K1949)/J1949))</f>
        <v/>
      </c>
      <c r="M1949" s="5" t="n"/>
      <c r="N1949" s="5" t="n"/>
      <c r="O1949" s="5" t="n"/>
      <c r="P1949" s="5" t="n"/>
      <c r="Q1949" s="5" t="n"/>
      <c r="R1949" s="4" t="n"/>
      <c r="S1949" s="4" t="n"/>
      <c r="T1949" s="5" t="n"/>
      <c r="U1949" s="8">
        <f>IF(AND(V1949=1,D1949&lt;&gt;""),IF(D1949&gt;=corte,TODAY()-D1949,""),"")</f>
        <v/>
      </c>
      <c r="V1949" s="8">
        <f>IF(D1949="",0,IF(OR(AND(P1949&lt;&gt;"",S1949=""),AND(N(J1949)&gt;0,N(K1949)&lt;J1949),OR(M1949="PENDENTE",M1949="PARCIAL"),OR(N1949="PENDENTE",N1949="PARCIAL")),1,0))</f>
        <v/>
      </c>
      <c r="W1949" s="8">
        <f>IF(AND(V1949=1,D1949&lt;&gt;""),IF(D1949&gt;=corte,(B1949="CRÍTICO")*1E9+(100000-D1949)*10000+10000-ROW(),""),"")</f>
        <v/>
      </c>
      <c r="X1949" s="8">
        <f>IF(AND(V1949=1,D1949=pas_data,E1949=pas_turno),10000-ROW(),"")</f>
        <v/>
      </c>
    </row>
    <row r="1950">
      <c r="A1950" s="3">
        <f>IF(D1950="","","TT-"&amp;TEXT(ROW()-1,"00000"))</f>
        <v/>
      </c>
      <c r="B1950" s="3">
        <f>IF(D1950="","",IF(V1950=0,"CONCLUÍDO",IF(D1950&lt;corte,"HISTÓRICO",IF(OR(AND(ISNUMBER(R1950),R1950&lt;TODAY()),AND(OR(N1950="PENDENTE",N1950="PARCIAL"),D1950&lt;TODAY()-1)),"CRÍTICO",IF(OR(AND(P1950&lt;&gt;"",S1950=""),AND(N1950="REALIZADO",M1950="PENDENTE"),AND(ISNUMBER(R1950),R1950=TODAY())),"ATENÇÃO",IF(N(K1950)=0,"PENDENTE","EM ANDAMENTO"))))))</f>
        <v/>
      </c>
      <c r="C1950" s="3">
        <f>IF(D1950="","",IF(V1950=0,"🟢 OK",IF(D1950&lt;corte,"⚪ HISTÓRICO (sem baixa)",IF(AND(ISNUMBER(R1950),R1950&lt;TODAY()),"🔴 PRAZO VENCIDO",IF(AND(OR(N1950="PENDENTE",N1950="PARCIAL"),D1950&lt;TODAY()-1),"🔴 EMBARQUE ATRASADO",IF(AND(N1950="REALIZADO",M1950="PENDENTE"),"🟡 EMBARCADO SEM FATURAR",IF(AND(P1950&lt;&gt;"",S1950="",OR(Q1950="",R1950="")),"🟡 PENDÊNCIA SEM RESPONSÁVEL/PRAZO",IF(AND(ISNUMBER(R1950),R1950=TODAY()),"🟡 VENCE HOJE",IF(AND(P1950&lt;&gt;"",S1950=""),"🟡 PENDÊNCIA ABERTA",IF(AND(N(J1950)&gt;0,N(K1950)&lt;J1950),"🟡 FALTA EXECUTAR",IF(OR(M1950="PENDENTE",M1950="PARCIAL"),"🟡 FATURAMENTO PENDENTE","🟡 EMBARQUE PENDENTE")))))))))))</f>
        <v/>
      </c>
      <c r="D1950" s="4" t="n"/>
      <c r="E1950" s="5" t="n"/>
      <c r="F1950" s="5" t="n"/>
      <c r="G1950" s="5" t="n"/>
      <c r="H1950" s="5" t="n"/>
      <c r="I1950" s="5" t="n"/>
      <c r="J1950" s="6" t="n"/>
      <c r="K1950" s="6" t="n"/>
      <c r="L1950" s="7">
        <f>IF(OR(D1950="",N(J1950)=0),"",MIN(1,N(K1950)/J1950))</f>
        <v/>
      </c>
      <c r="M1950" s="5" t="n"/>
      <c r="N1950" s="5" t="n"/>
      <c r="O1950" s="5" t="n"/>
      <c r="P1950" s="5" t="n"/>
      <c r="Q1950" s="5" t="n"/>
      <c r="R1950" s="4" t="n"/>
      <c r="S1950" s="4" t="n"/>
      <c r="T1950" s="5" t="n"/>
      <c r="U1950" s="8">
        <f>IF(AND(V1950=1,D1950&lt;&gt;""),IF(D1950&gt;=corte,TODAY()-D1950,""),"")</f>
        <v/>
      </c>
      <c r="V1950" s="8">
        <f>IF(D1950="",0,IF(OR(AND(P1950&lt;&gt;"",S1950=""),AND(N(J1950)&gt;0,N(K1950)&lt;J1950),OR(M1950="PENDENTE",M1950="PARCIAL"),OR(N1950="PENDENTE",N1950="PARCIAL")),1,0))</f>
        <v/>
      </c>
      <c r="W1950" s="8">
        <f>IF(AND(V1950=1,D1950&lt;&gt;""),IF(D1950&gt;=corte,(B1950="CRÍTICO")*1E9+(100000-D1950)*10000+10000-ROW(),""),"")</f>
        <v/>
      </c>
      <c r="X1950" s="8">
        <f>IF(AND(V1950=1,D1950=pas_data,E1950=pas_turno),10000-ROW(),"")</f>
        <v/>
      </c>
    </row>
    <row r="1951">
      <c r="A1951" s="3">
        <f>IF(D1951="","","TT-"&amp;TEXT(ROW()-1,"00000"))</f>
        <v/>
      </c>
      <c r="B1951" s="3">
        <f>IF(D1951="","",IF(V1951=0,"CONCLUÍDO",IF(D1951&lt;corte,"HISTÓRICO",IF(OR(AND(ISNUMBER(R1951),R1951&lt;TODAY()),AND(OR(N1951="PENDENTE",N1951="PARCIAL"),D1951&lt;TODAY()-1)),"CRÍTICO",IF(OR(AND(P1951&lt;&gt;"",S1951=""),AND(N1951="REALIZADO",M1951="PENDENTE"),AND(ISNUMBER(R1951),R1951=TODAY())),"ATENÇÃO",IF(N(K1951)=0,"PENDENTE","EM ANDAMENTO"))))))</f>
        <v/>
      </c>
      <c r="C1951" s="3">
        <f>IF(D1951="","",IF(V1951=0,"🟢 OK",IF(D1951&lt;corte,"⚪ HISTÓRICO (sem baixa)",IF(AND(ISNUMBER(R1951),R1951&lt;TODAY()),"🔴 PRAZO VENCIDO",IF(AND(OR(N1951="PENDENTE",N1951="PARCIAL"),D1951&lt;TODAY()-1),"🔴 EMBARQUE ATRASADO",IF(AND(N1951="REALIZADO",M1951="PENDENTE"),"🟡 EMBARCADO SEM FATURAR",IF(AND(P1951&lt;&gt;"",S1951="",OR(Q1951="",R1951="")),"🟡 PENDÊNCIA SEM RESPONSÁVEL/PRAZO",IF(AND(ISNUMBER(R1951),R1951=TODAY()),"🟡 VENCE HOJE",IF(AND(P1951&lt;&gt;"",S1951=""),"🟡 PENDÊNCIA ABERTA",IF(AND(N(J1951)&gt;0,N(K1951)&lt;J1951),"🟡 FALTA EXECUTAR",IF(OR(M1951="PENDENTE",M1951="PARCIAL"),"🟡 FATURAMENTO PENDENTE","🟡 EMBARQUE PENDENTE")))))))))))</f>
        <v/>
      </c>
      <c r="D1951" s="4" t="n"/>
      <c r="E1951" s="5" t="n"/>
      <c r="F1951" s="5" t="n"/>
      <c r="G1951" s="5" t="n"/>
      <c r="H1951" s="5" t="n"/>
      <c r="I1951" s="5" t="n"/>
      <c r="J1951" s="6" t="n"/>
      <c r="K1951" s="6" t="n"/>
      <c r="L1951" s="7">
        <f>IF(OR(D1951="",N(J1951)=0),"",MIN(1,N(K1951)/J1951))</f>
        <v/>
      </c>
      <c r="M1951" s="5" t="n"/>
      <c r="N1951" s="5" t="n"/>
      <c r="O1951" s="5" t="n"/>
      <c r="P1951" s="5" t="n"/>
      <c r="Q1951" s="5" t="n"/>
      <c r="R1951" s="4" t="n"/>
      <c r="S1951" s="4" t="n"/>
      <c r="T1951" s="5" t="n"/>
      <c r="U1951" s="8">
        <f>IF(AND(V1951=1,D1951&lt;&gt;""),IF(D1951&gt;=corte,TODAY()-D1951,""),"")</f>
        <v/>
      </c>
      <c r="V1951" s="8">
        <f>IF(D1951="",0,IF(OR(AND(P1951&lt;&gt;"",S1951=""),AND(N(J1951)&gt;0,N(K1951)&lt;J1951),OR(M1951="PENDENTE",M1951="PARCIAL"),OR(N1951="PENDENTE",N1951="PARCIAL")),1,0))</f>
        <v/>
      </c>
      <c r="W1951" s="8">
        <f>IF(AND(V1951=1,D1951&lt;&gt;""),IF(D1951&gt;=corte,(B1951="CRÍTICO")*1E9+(100000-D1951)*10000+10000-ROW(),""),"")</f>
        <v/>
      </c>
      <c r="X1951" s="8">
        <f>IF(AND(V1951=1,D1951=pas_data,E1951=pas_turno),10000-ROW(),"")</f>
        <v/>
      </c>
    </row>
    <row r="1952">
      <c r="A1952" s="3">
        <f>IF(D1952="","","TT-"&amp;TEXT(ROW()-1,"00000"))</f>
        <v/>
      </c>
      <c r="B1952" s="3">
        <f>IF(D1952="","",IF(V1952=0,"CONCLUÍDO",IF(D1952&lt;corte,"HISTÓRICO",IF(OR(AND(ISNUMBER(R1952),R1952&lt;TODAY()),AND(OR(N1952="PENDENTE",N1952="PARCIAL"),D1952&lt;TODAY()-1)),"CRÍTICO",IF(OR(AND(P1952&lt;&gt;"",S1952=""),AND(N1952="REALIZADO",M1952="PENDENTE"),AND(ISNUMBER(R1952),R1952=TODAY())),"ATENÇÃO",IF(N(K1952)=0,"PENDENTE","EM ANDAMENTO"))))))</f>
        <v/>
      </c>
      <c r="C1952" s="3">
        <f>IF(D1952="","",IF(V1952=0,"🟢 OK",IF(D1952&lt;corte,"⚪ HISTÓRICO (sem baixa)",IF(AND(ISNUMBER(R1952),R1952&lt;TODAY()),"🔴 PRAZO VENCIDO",IF(AND(OR(N1952="PENDENTE",N1952="PARCIAL"),D1952&lt;TODAY()-1),"🔴 EMBARQUE ATRASADO",IF(AND(N1952="REALIZADO",M1952="PENDENTE"),"🟡 EMBARCADO SEM FATURAR",IF(AND(P1952&lt;&gt;"",S1952="",OR(Q1952="",R1952="")),"🟡 PENDÊNCIA SEM RESPONSÁVEL/PRAZO",IF(AND(ISNUMBER(R1952),R1952=TODAY()),"🟡 VENCE HOJE",IF(AND(P1952&lt;&gt;"",S1952=""),"🟡 PENDÊNCIA ABERTA",IF(AND(N(J1952)&gt;0,N(K1952)&lt;J1952),"🟡 FALTA EXECUTAR",IF(OR(M1952="PENDENTE",M1952="PARCIAL"),"🟡 FATURAMENTO PENDENTE","🟡 EMBARQUE PENDENTE")))))))))))</f>
        <v/>
      </c>
      <c r="D1952" s="4" t="n"/>
      <c r="E1952" s="5" t="n"/>
      <c r="F1952" s="5" t="n"/>
      <c r="G1952" s="5" t="n"/>
      <c r="H1952" s="5" t="n"/>
      <c r="I1952" s="5" t="n"/>
      <c r="J1952" s="6" t="n"/>
      <c r="K1952" s="6" t="n"/>
      <c r="L1952" s="7">
        <f>IF(OR(D1952="",N(J1952)=0),"",MIN(1,N(K1952)/J1952))</f>
        <v/>
      </c>
      <c r="M1952" s="5" t="n"/>
      <c r="N1952" s="5" t="n"/>
      <c r="O1952" s="5" t="n"/>
      <c r="P1952" s="5" t="n"/>
      <c r="Q1952" s="5" t="n"/>
      <c r="R1952" s="4" t="n"/>
      <c r="S1952" s="4" t="n"/>
      <c r="T1952" s="5" t="n"/>
      <c r="U1952" s="8">
        <f>IF(AND(V1952=1,D1952&lt;&gt;""),IF(D1952&gt;=corte,TODAY()-D1952,""),"")</f>
        <v/>
      </c>
      <c r="V1952" s="8">
        <f>IF(D1952="",0,IF(OR(AND(P1952&lt;&gt;"",S1952=""),AND(N(J1952)&gt;0,N(K1952)&lt;J1952),OR(M1952="PENDENTE",M1952="PARCIAL"),OR(N1952="PENDENTE",N1952="PARCIAL")),1,0))</f>
        <v/>
      </c>
      <c r="W1952" s="8">
        <f>IF(AND(V1952=1,D1952&lt;&gt;""),IF(D1952&gt;=corte,(B1952="CRÍTICO")*1E9+(100000-D1952)*10000+10000-ROW(),""),"")</f>
        <v/>
      </c>
      <c r="X1952" s="8">
        <f>IF(AND(V1952=1,D1952=pas_data,E1952=pas_turno),10000-ROW(),"")</f>
        <v/>
      </c>
    </row>
    <row r="1953">
      <c r="A1953" s="3">
        <f>IF(D1953="","","TT-"&amp;TEXT(ROW()-1,"00000"))</f>
        <v/>
      </c>
      <c r="B1953" s="3">
        <f>IF(D1953="","",IF(V1953=0,"CONCLUÍDO",IF(D1953&lt;corte,"HISTÓRICO",IF(OR(AND(ISNUMBER(R1953),R1953&lt;TODAY()),AND(OR(N1953="PENDENTE",N1953="PARCIAL"),D1953&lt;TODAY()-1)),"CRÍTICO",IF(OR(AND(P1953&lt;&gt;"",S1953=""),AND(N1953="REALIZADO",M1953="PENDENTE"),AND(ISNUMBER(R1953),R1953=TODAY())),"ATENÇÃO",IF(N(K1953)=0,"PENDENTE","EM ANDAMENTO"))))))</f>
        <v/>
      </c>
      <c r="C1953" s="3">
        <f>IF(D1953="","",IF(V1953=0,"🟢 OK",IF(D1953&lt;corte,"⚪ HISTÓRICO (sem baixa)",IF(AND(ISNUMBER(R1953),R1953&lt;TODAY()),"🔴 PRAZO VENCIDO",IF(AND(OR(N1953="PENDENTE",N1953="PARCIAL"),D1953&lt;TODAY()-1),"🔴 EMBARQUE ATRASADO",IF(AND(N1953="REALIZADO",M1953="PENDENTE"),"🟡 EMBARCADO SEM FATURAR",IF(AND(P1953&lt;&gt;"",S1953="",OR(Q1953="",R1953="")),"🟡 PENDÊNCIA SEM RESPONSÁVEL/PRAZO",IF(AND(ISNUMBER(R1953),R1953=TODAY()),"🟡 VENCE HOJE",IF(AND(P1953&lt;&gt;"",S1953=""),"🟡 PENDÊNCIA ABERTA",IF(AND(N(J1953)&gt;0,N(K1953)&lt;J1953),"🟡 FALTA EXECUTAR",IF(OR(M1953="PENDENTE",M1953="PARCIAL"),"🟡 FATURAMENTO PENDENTE","🟡 EMBARQUE PENDENTE")))))))))))</f>
        <v/>
      </c>
      <c r="D1953" s="4" t="n"/>
      <c r="E1953" s="5" t="n"/>
      <c r="F1953" s="5" t="n"/>
      <c r="G1953" s="5" t="n"/>
      <c r="H1953" s="5" t="n"/>
      <c r="I1953" s="5" t="n"/>
      <c r="J1953" s="6" t="n"/>
      <c r="K1953" s="6" t="n"/>
      <c r="L1953" s="7">
        <f>IF(OR(D1953="",N(J1953)=0),"",MIN(1,N(K1953)/J1953))</f>
        <v/>
      </c>
      <c r="M1953" s="5" t="n"/>
      <c r="N1953" s="5" t="n"/>
      <c r="O1953" s="5" t="n"/>
      <c r="P1953" s="5" t="n"/>
      <c r="Q1953" s="5" t="n"/>
      <c r="R1953" s="4" t="n"/>
      <c r="S1953" s="4" t="n"/>
      <c r="T1953" s="5" t="n"/>
      <c r="U1953" s="8">
        <f>IF(AND(V1953=1,D1953&lt;&gt;""),IF(D1953&gt;=corte,TODAY()-D1953,""),"")</f>
        <v/>
      </c>
      <c r="V1953" s="8">
        <f>IF(D1953="",0,IF(OR(AND(P1953&lt;&gt;"",S1953=""),AND(N(J1953)&gt;0,N(K1953)&lt;J1953),OR(M1953="PENDENTE",M1953="PARCIAL"),OR(N1953="PENDENTE",N1953="PARCIAL")),1,0))</f>
        <v/>
      </c>
      <c r="W1953" s="8">
        <f>IF(AND(V1953=1,D1953&lt;&gt;""),IF(D1953&gt;=corte,(B1953="CRÍTICO")*1E9+(100000-D1953)*10000+10000-ROW(),""),"")</f>
        <v/>
      </c>
      <c r="X1953" s="8">
        <f>IF(AND(V1953=1,D1953=pas_data,E1953=pas_turno),10000-ROW(),"")</f>
        <v/>
      </c>
    </row>
    <row r="1954">
      <c r="A1954" s="3">
        <f>IF(D1954="","","TT-"&amp;TEXT(ROW()-1,"00000"))</f>
        <v/>
      </c>
      <c r="B1954" s="3">
        <f>IF(D1954="","",IF(V1954=0,"CONCLUÍDO",IF(D1954&lt;corte,"HISTÓRICO",IF(OR(AND(ISNUMBER(R1954),R1954&lt;TODAY()),AND(OR(N1954="PENDENTE",N1954="PARCIAL"),D1954&lt;TODAY()-1)),"CRÍTICO",IF(OR(AND(P1954&lt;&gt;"",S1954=""),AND(N1954="REALIZADO",M1954="PENDENTE"),AND(ISNUMBER(R1954),R1954=TODAY())),"ATENÇÃO",IF(N(K1954)=0,"PENDENTE","EM ANDAMENTO"))))))</f>
        <v/>
      </c>
      <c r="C1954" s="3">
        <f>IF(D1954="","",IF(V1954=0,"🟢 OK",IF(D1954&lt;corte,"⚪ HISTÓRICO (sem baixa)",IF(AND(ISNUMBER(R1954),R1954&lt;TODAY()),"🔴 PRAZO VENCIDO",IF(AND(OR(N1954="PENDENTE",N1954="PARCIAL"),D1954&lt;TODAY()-1),"🔴 EMBARQUE ATRASADO",IF(AND(N1954="REALIZADO",M1954="PENDENTE"),"🟡 EMBARCADO SEM FATURAR",IF(AND(P1954&lt;&gt;"",S1954="",OR(Q1954="",R1954="")),"🟡 PENDÊNCIA SEM RESPONSÁVEL/PRAZO",IF(AND(ISNUMBER(R1954),R1954=TODAY()),"🟡 VENCE HOJE",IF(AND(P1954&lt;&gt;"",S1954=""),"🟡 PENDÊNCIA ABERTA",IF(AND(N(J1954)&gt;0,N(K1954)&lt;J1954),"🟡 FALTA EXECUTAR",IF(OR(M1954="PENDENTE",M1954="PARCIAL"),"🟡 FATURAMENTO PENDENTE","🟡 EMBARQUE PENDENTE")))))))))))</f>
        <v/>
      </c>
      <c r="D1954" s="4" t="n"/>
      <c r="E1954" s="5" t="n"/>
      <c r="F1954" s="5" t="n"/>
      <c r="G1954" s="5" t="n"/>
      <c r="H1954" s="5" t="n"/>
      <c r="I1954" s="5" t="n"/>
      <c r="J1954" s="6" t="n"/>
      <c r="K1954" s="6" t="n"/>
      <c r="L1954" s="7">
        <f>IF(OR(D1954="",N(J1954)=0),"",MIN(1,N(K1954)/J1954))</f>
        <v/>
      </c>
      <c r="M1954" s="5" t="n"/>
      <c r="N1954" s="5" t="n"/>
      <c r="O1954" s="5" t="n"/>
      <c r="P1954" s="5" t="n"/>
      <c r="Q1954" s="5" t="n"/>
      <c r="R1954" s="4" t="n"/>
      <c r="S1954" s="4" t="n"/>
      <c r="T1954" s="5" t="n"/>
      <c r="U1954" s="8">
        <f>IF(AND(V1954=1,D1954&lt;&gt;""),IF(D1954&gt;=corte,TODAY()-D1954,""),"")</f>
        <v/>
      </c>
      <c r="V1954" s="8">
        <f>IF(D1954="",0,IF(OR(AND(P1954&lt;&gt;"",S1954=""),AND(N(J1954)&gt;0,N(K1954)&lt;J1954),OR(M1954="PENDENTE",M1954="PARCIAL"),OR(N1954="PENDENTE",N1954="PARCIAL")),1,0))</f>
        <v/>
      </c>
      <c r="W1954" s="8">
        <f>IF(AND(V1954=1,D1954&lt;&gt;""),IF(D1954&gt;=corte,(B1954="CRÍTICO")*1E9+(100000-D1954)*10000+10000-ROW(),""),"")</f>
        <v/>
      </c>
      <c r="X1954" s="8">
        <f>IF(AND(V1954=1,D1954=pas_data,E1954=pas_turno),10000-ROW(),"")</f>
        <v/>
      </c>
    </row>
    <row r="1955">
      <c r="A1955" s="3">
        <f>IF(D1955="","","TT-"&amp;TEXT(ROW()-1,"00000"))</f>
        <v/>
      </c>
      <c r="B1955" s="3">
        <f>IF(D1955="","",IF(V1955=0,"CONCLUÍDO",IF(D1955&lt;corte,"HISTÓRICO",IF(OR(AND(ISNUMBER(R1955),R1955&lt;TODAY()),AND(OR(N1955="PENDENTE",N1955="PARCIAL"),D1955&lt;TODAY()-1)),"CRÍTICO",IF(OR(AND(P1955&lt;&gt;"",S1955=""),AND(N1955="REALIZADO",M1955="PENDENTE"),AND(ISNUMBER(R1955),R1955=TODAY())),"ATENÇÃO",IF(N(K1955)=0,"PENDENTE","EM ANDAMENTO"))))))</f>
        <v/>
      </c>
      <c r="C1955" s="3">
        <f>IF(D1955="","",IF(V1955=0,"🟢 OK",IF(D1955&lt;corte,"⚪ HISTÓRICO (sem baixa)",IF(AND(ISNUMBER(R1955),R1955&lt;TODAY()),"🔴 PRAZO VENCIDO",IF(AND(OR(N1955="PENDENTE",N1955="PARCIAL"),D1955&lt;TODAY()-1),"🔴 EMBARQUE ATRASADO",IF(AND(N1955="REALIZADO",M1955="PENDENTE"),"🟡 EMBARCADO SEM FATURAR",IF(AND(P1955&lt;&gt;"",S1955="",OR(Q1955="",R1955="")),"🟡 PENDÊNCIA SEM RESPONSÁVEL/PRAZO",IF(AND(ISNUMBER(R1955),R1955=TODAY()),"🟡 VENCE HOJE",IF(AND(P1955&lt;&gt;"",S1955=""),"🟡 PENDÊNCIA ABERTA",IF(AND(N(J1955)&gt;0,N(K1955)&lt;J1955),"🟡 FALTA EXECUTAR",IF(OR(M1955="PENDENTE",M1955="PARCIAL"),"🟡 FATURAMENTO PENDENTE","🟡 EMBARQUE PENDENTE")))))))))))</f>
        <v/>
      </c>
      <c r="D1955" s="4" t="n"/>
      <c r="E1955" s="5" t="n"/>
      <c r="F1955" s="5" t="n"/>
      <c r="G1955" s="5" t="n"/>
      <c r="H1955" s="5" t="n"/>
      <c r="I1955" s="5" t="n"/>
      <c r="J1955" s="6" t="n"/>
      <c r="K1955" s="6" t="n"/>
      <c r="L1955" s="7">
        <f>IF(OR(D1955="",N(J1955)=0),"",MIN(1,N(K1955)/J1955))</f>
        <v/>
      </c>
      <c r="M1955" s="5" t="n"/>
      <c r="N1955" s="5" t="n"/>
      <c r="O1955" s="5" t="n"/>
      <c r="P1955" s="5" t="n"/>
      <c r="Q1955" s="5" t="n"/>
      <c r="R1955" s="4" t="n"/>
      <c r="S1955" s="4" t="n"/>
      <c r="T1955" s="5" t="n"/>
      <c r="U1955" s="8">
        <f>IF(AND(V1955=1,D1955&lt;&gt;""),IF(D1955&gt;=corte,TODAY()-D1955,""),"")</f>
        <v/>
      </c>
      <c r="V1955" s="8">
        <f>IF(D1955="",0,IF(OR(AND(P1955&lt;&gt;"",S1955=""),AND(N(J1955)&gt;0,N(K1955)&lt;J1955),OR(M1955="PENDENTE",M1955="PARCIAL"),OR(N1955="PENDENTE",N1955="PARCIAL")),1,0))</f>
        <v/>
      </c>
      <c r="W1955" s="8">
        <f>IF(AND(V1955=1,D1955&lt;&gt;""),IF(D1955&gt;=corte,(B1955="CRÍTICO")*1E9+(100000-D1955)*10000+10000-ROW(),""),"")</f>
        <v/>
      </c>
      <c r="X1955" s="8">
        <f>IF(AND(V1955=1,D1955=pas_data,E1955=pas_turno),10000-ROW(),"")</f>
        <v/>
      </c>
    </row>
    <row r="1956">
      <c r="A1956" s="3">
        <f>IF(D1956="","","TT-"&amp;TEXT(ROW()-1,"00000"))</f>
        <v/>
      </c>
      <c r="B1956" s="3">
        <f>IF(D1956="","",IF(V1956=0,"CONCLUÍDO",IF(D1956&lt;corte,"HISTÓRICO",IF(OR(AND(ISNUMBER(R1956),R1956&lt;TODAY()),AND(OR(N1956="PENDENTE",N1956="PARCIAL"),D1956&lt;TODAY()-1)),"CRÍTICO",IF(OR(AND(P1956&lt;&gt;"",S1956=""),AND(N1956="REALIZADO",M1956="PENDENTE"),AND(ISNUMBER(R1956),R1956=TODAY())),"ATENÇÃO",IF(N(K1956)=0,"PENDENTE","EM ANDAMENTO"))))))</f>
        <v/>
      </c>
      <c r="C1956" s="3">
        <f>IF(D1956="","",IF(V1956=0,"🟢 OK",IF(D1956&lt;corte,"⚪ HISTÓRICO (sem baixa)",IF(AND(ISNUMBER(R1956),R1956&lt;TODAY()),"🔴 PRAZO VENCIDO",IF(AND(OR(N1956="PENDENTE",N1956="PARCIAL"),D1956&lt;TODAY()-1),"🔴 EMBARQUE ATRASADO",IF(AND(N1956="REALIZADO",M1956="PENDENTE"),"🟡 EMBARCADO SEM FATURAR",IF(AND(P1956&lt;&gt;"",S1956="",OR(Q1956="",R1956="")),"🟡 PENDÊNCIA SEM RESPONSÁVEL/PRAZO",IF(AND(ISNUMBER(R1956),R1956=TODAY()),"🟡 VENCE HOJE",IF(AND(P1956&lt;&gt;"",S1956=""),"🟡 PENDÊNCIA ABERTA",IF(AND(N(J1956)&gt;0,N(K1956)&lt;J1956),"🟡 FALTA EXECUTAR",IF(OR(M1956="PENDENTE",M1956="PARCIAL"),"🟡 FATURAMENTO PENDENTE","🟡 EMBARQUE PENDENTE")))))))))))</f>
        <v/>
      </c>
      <c r="D1956" s="4" t="n"/>
      <c r="E1956" s="5" t="n"/>
      <c r="F1956" s="5" t="n"/>
      <c r="G1956" s="5" t="n"/>
      <c r="H1956" s="5" t="n"/>
      <c r="I1956" s="5" t="n"/>
      <c r="J1956" s="6" t="n"/>
      <c r="K1956" s="6" t="n"/>
      <c r="L1956" s="7">
        <f>IF(OR(D1956="",N(J1956)=0),"",MIN(1,N(K1956)/J1956))</f>
        <v/>
      </c>
      <c r="M1956" s="5" t="n"/>
      <c r="N1956" s="5" t="n"/>
      <c r="O1956" s="5" t="n"/>
      <c r="P1956" s="5" t="n"/>
      <c r="Q1956" s="5" t="n"/>
      <c r="R1956" s="4" t="n"/>
      <c r="S1956" s="4" t="n"/>
      <c r="T1956" s="5" t="n"/>
      <c r="U1956" s="8">
        <f>IF(AND(V1956=1,D1956&lt;&gt;""),IF(D1956&gt;=corte,TODAY()-D1956,""),"")</f>
        <v/>
      </c>
      <c r="V1956" s="8">
        <f>IF(D1956="",0,IF(OR(AND(P1956&lt;&gt;"",S1956=""),AND(N(J1956)&gt;0,N(K1956)&lt;J1956),OR(M1956="PENDENTE",M1956="PARCIAL"),OR(N1956="PENDENTE",N1956="PARCIAL")),1,0))</f>
        <v/>
      </c>
      <c r="W1956" s="8">
        <f>IF(AND(V1956=1,D1956&lt;&gt;""),IF(D1956&gt;=corte,(B1956="CRÍTICO")*1E9+(100000-D1956)*10000+10000-ROW(),""),"")</f>
        <v/>
      </c>
      <c r="X1956" s="8">
        <f>IF(AND(V1956=1,D1956=pas_data,E1956=pas_turno),10000-ROW(),"")</f>
        <v/>
      </c>
    </row>
    <row r="1957">
      <c r="A1957" s="3">
        <f>IF(D1957="","","TT-"&amp;TEXT(ROW()-1,"00000"))</f>
        <v/>
      </c>
      <c r="B1957" s="3">
        <f>IF(D1957="","",IF(V1957=0,"CONCLUÍDO",IF(D1957&lt;corte,"HISTÓRICO",IF(OR(AND(ISNUMBER(R1957),R1957&lt;TODAY()),AND(OR(N1957="PENDENTE",N1957="PARCIAL"),D1957&lt;TODAY()-1)),"CRÍTICO",IF(OR(AND(P1957&lt;&gt;"",S1957=""),AND(N1957="REALIZADO",M1957="PENDENTE"),AND(ISNUMBER(R1957),R1957=TODAY())),"ATENÇÃO",IF(N(K1957)=0,"PENDENTE","EM ANDAMENTO"))))))</f>
        <v/>
      </c>
      <c r="C1957" s="3">
        <f>IF(D1957="","",IF(V1957=0,"🟢 OK",IF(D1957&lt;corte,"⚪ HISTÓRICO (sem baixa)",IF(AND(ISNUMBER(R1957),R1957&lt;TODAY()),"🔴 PRAZO VENCIDO",IF(AND(OR(N1957="PENDENTE",N1957="PARCIAL"),D1957&lt;TODAY()-1),"🔴 EMBARQUE ATRASADO",IF(AND(N1957="REALIZADO",M1957="PENDENTE"),"🟡 EMBARCADO SEM FATURAR",IF(AND(P1957&lt;&gt;"",S1957="",OR(Q1957="",R1957="")),"🟡 PENDÊNCIA SEM RESPONSÁVEL/PRAZO",IF(AND(ISNUMBER(R1957),R1957=TODAY()),"🟡 VENCE HOJE",IF(AND(P1957&lt;&gt;"",S1957=""),"🟡 PENDÊNCIA ABERTA",IF(AND(N(J1957)&gt;0,N(K1957)&lt;J1957),"🟡 FALTA EXECUTAR",IF(OR(M1957="PENDENTE",M1957="PARCIAL"),"🟡 FATURAMENTO PENDENTE","🟡 EMBARQUE PENDENTE")))))))))))</f>
        <v/>
      </c>
      <c r="D1957" s="4" t="n"/>
      <c r="E1957" s="5" t="n"/>
      <c r="F1957" s="5" t="n"/>
      <c r="G1957" s="5" t="n"/>
      <c r="H1957" s="5" t="n"/>
      <c r="I1957" s="5" t="n"/>
      <c r="J1957" s="6" t="n"/>
      <c r="K1957" s="6" t="n"/>
      <c r="L1957" s="7">
        <f>IF(OR(D1957="",N(J1957)=0),"",MIN(1,N(K1957)/J1957))</f>
        <v/>
      </c>
      <c r="M1957" s="5" t="n"/>
      <c r="N1957" s="5" t="n"/>
      <c r="O1957" s="5" t="n"/>
      <c r="P1957" s="5" t="n"/>
      <c r="Q1957" s="5" t="n"/>
      <c r="R1957" s="4" t="n"/>
      <c r="S1957" s="4" t="n"/>
      <c r="T1957" s="5" t="n"/>
      <c r="U1957" s="8">
        <f>IF(AND(V1957=1,D1957&lt;&gt;""),IF(D1957&gt;=corte,TODAY()-D1957,""),"")</f>
        <v/>
      </c>
      <c r="V1957" s="8">
        <f>IF(D1957="",0,IF(OR(AND(P1957&lt;&gt;"",S1957=""),AND(N(J1957)&gt;0,N(K1957)&lt;J1957),OR(M1957="PENDENTE",M1957="PARCIAL"),OR(N1957="PENDENTE",N1957="PARCIAL")),1,0))</f>
        <v/>
      </c>
      <c r="W1957" s="8">
        <f>IF(AND(V1957=1,D1957&lt;&gt;""),IF(D1957&gt;=corte,(B1957="CRÍTICO")*1E9+(100000-D1957)*10000+10000-ROW(),""),"")</f>
        <v/>
      </c>
      <c r="X1957" s="8">
        <f>IF(AND(V1957=1,D1957=pas_data,E1957=pas_turno),10000-ROW(),"")</f>
        <v/>
      </c>
    </row>
    <row r="1958">
      <c r="A1958" s="3">
        <f>IF(D1958="","","TT-"&amp;TEXT(ROW()-1,"00000"))</f>
        <v/>
      </c>
      <c r="B1958" s="3">
        <f>IF(D1958="","",IF(V1958=0,"CONCLUÍDO",IF(D1958&lt;corte,"HISTÓRICO",IF(OR(AND(ISNUMBER(R1958),R1958&lt;TODAY()),AND(OR(N1958="PENDENTE",N1958="PARCIAL"),D1958&lt;TODAY()-1)),"CRÍTICO",IF(OR(AND(P1958&lt;&gt;"",S1958=""),AND(N1958="REALIZADO",M1958="PENDENTE"),AND(ISNUMBER(R1958),R1958=TODAY())),"ATENÇÃO",IF(N(K1958)=0,"PENDENTE","EM ANDAMENTO"))))))</f>
        <v/>
      </c>
      <c r="C1958" s="3">
        <f>IF(D1958="","",IF(V1958=0,"🟢 OK",IF(D1958&lt;corte,"⚪ HISTÓRICO (sem baixa)",IF(AND(ISNUMBER(R1958),R1958&lt;TODAY()),"🔴 PRAZO VENCIDO",IF(AND(OR(N1958="PENDENTE",N1958="PARCIAL"),D1958&lt;TODAY()-1),"🔴 EMBARQUE ATRASADO",IF(AND(N1958="REALIZADO",M1958="PENDENTE"),"🟡 EMBARCADO SEM FATURAR",IF(AND(P1958&lt;&gt;"",S1958="",OR(Q1958="",R1958="")),"🟡 PENDÊNCIA SEM RESPONSÁVEL/PRAZO",IF(AND(ISNUMBER(R1958),R1958=TODAY()),"🟡 VENCE HOJE",IF(AND(P1958&lt;&gt;"",S1958=""),"🟡 PENDÊNCIA ABERTA",IF(AND(N(J1958)&gt;0,N(K1958)&lt;J1958),"🟡 FALTA EXECUTAR",IF(OR(M1958="PENDENTE",M1958="PARCIAL"),"🟡 FATURAMENTO PENDENTE","🟡 EMBARQUE PENDENTE")))))))))))</f>
        <v/>
      </c>
      <c r="D1958" s="4" t="n"/>
      <c r="E1958" s="5" t="n"/>
      <c r="F1958" s="5" t="n"/>
      <c r="G1958" s="5" t="n"/>
      <c r="H1958" s="5" t="n"/>
      <c r="I1958" s="5" t="n"/>
      <c r="J1958" s="6" t="n"/>
      <c r="K1958" s="6" t="n"/>
      <c r="L1958" s="7">
        <f>IF(OR(D1958="",N(J1958)=0),"",MIN(1,N(K1958)/J1958))</f>
        <v/>
      </c>
      <c r="M1958" s="5" t="n"/>
      <c r="N1958" s="5" t="n"/>
      <c r="O1958" s="5" t="n"/>
      <c r="P1958" s="5" t="n"/>
      <c r="Q1958" s="5" t="n"/>
      <c r="R1958" s="4" t="n"/>
      <c r="S1958" s="4" t="n"/>
      <c r="T1958" s="5" t="n"/>
      <c r="U1958" s="8">
        <f>IF(AND(V1958=1,D1958&lt;&gt;""),IF(D1958&gt;=corte,TODAY()-D1958,""),"")</f>
        <v/>
      </c>
      <c r="V1958" s="8">
        <f>IF(D1958="",0,IF(OR(AND(P1958&lt;&gt;"",S1958=""),AND(N(J1958)&gt;0,N(K1958)&lt;J1958),OR(M1958="PENDENTE",M1958="PARCIAL"),OR(N1958="PENDENTE",N1958="PARCIAL")),1,0))</f>
        <v/>
      </c>
      <c r="W1958" s="8">
        <f>IF(AND(V1958=1,D1958&lt;&gt;""),IF(D1958&gt;=corte,(B1958="CRÍTICO")*1E9+(100000-D1958)*10000+10000-ROW(),""),"")</f>
        <v/>
      </c>
      <c r="X1958" s="8">
        <f>IF(AND(V1958=1,D1958=pas_data,E1958=pas_turno),10000-ROW(),"")</f>
        <v/>
      </c>
    </row>
    <row r="1959">
      <c r="A1959" s="3">
        <f>IF(D1959="","","TT-"&amp;TEXT(ROW()-1,"00000"))</f>
        <v/>
      </c>
      <c r="B1959" s="3">
        <f>IF(D1959="","",IF(V1959=0,"CONCLUÍDO",IF(D1959&lt;corte,"HISTÓRICO",IF(OR(AND(ISNUMBER(R1959),R1959&lt;TODAY()),AND(OR(N1959="PENDENTE",N1959="PARCIAL"),D1959&lt;TODAY()-1)),"CRÍTICO",IF(OR(AND(P1959&lt;&gt;"",S1959=""),AND(N1959="REALIZADO",M1959="PENDENTE"),AND(ISNUMBER(R1959),R1959=TODAY())),"ATENÇÃO",IF(N(K1959)=0,"PENDENTE","EM ANDAMENTO"))))))</f>
        <v/>
      </c>
      <c r="C1959" s="3">
        <f>IF(D1959="","",IF(V1959=0,"🟢 OK",IF(D1959&lt;corte,"⚪ HISTÓRICO (sem baixa)",IF(AND(ISNUMBER(R1959),R1959&lt;TODAY()),"🔴 PRAZO VENCIDO",IF(AND(OR(N1959="PENDENTE",N1959="PARCIAL"),D1959&lt;TODAY()-1),"🔴 EMBARQUE ATRASADO",IF(AND(N1959="REALIZADO",M1959="PENDENTE"),"🟡 EMBARCADO SEM FATURAR",IF(AND(P1959&lt;&gt;"",S1959="",OR(Q1959="",R1959="")),"🟡 PENDÊNCIA SEM RESPONSÁVEL/PRAZO",IF(AND(ISNUMBER(R1959),R1959=TODAY()),"🟡 VENCE HOJE",IF(AND(P1959&lt;&gt;"",S1959=""),"🟡 PENDÊNCIA ABERTA",IF(AND(N(J1959)&gt;0,N(K1959)&lt;J1959),"🟡 FALTA EXECUTAR",IF(OR(M1959="PENDENTE",M1959="PARCIAL"),"🟡 FATURAMENTO PENDENTE","🟡 EMBARQUE PENDENTE")))))))))))</f>
        <v/>
      </c>
      <c r="D1959" s="4" t="n"/>
      <c r="E1959" s="5" t="n"/>
      <c r="F1959" s="5" t="n"/>
      <c r="G1959" s="5" t="n"/>
      <c r="H1959" s="5" t="n"/>
      <c r="I1959" s="5" t="n"/>
      <c r="J1959" s="6" t="n"/>
      <c r="K1959" s="6" t="n"/>
      <c r="L1959" s="7">
        <f>IF(OR(D1959="",N(J1959)=0),"",MIN(1,N(K1959)/J1959))</f>
        <v/>
      </c>
      <c r="M1959" s="5" t="n"/>
      <c r="N1959" s="5" t="n"/>
      <c r="O1959" s="5" t="n"/>
      <c r="P1959" s="5" t="n"/>
      <c r="Q1959" s="5" t="n"/>
      <c r="R1959" s="4" t="n"/>
      <c r="S1959" s="4" t="n"/>
      <c r="T1959" s="5" t="n"/>
      <c r="U1959" s="8">
        <f>IF(AND(V1959=1,D1959&lt;&gt;""),IF(D1959&gt;=corte,TODAY()-D1959,""),"")</f>
        <v/>
      </c>
      <c r="V1959" s="8">
        <f>IF(D1959="",0,IF(OR(AND(P1959&lt;&gt;"",S1959=""),AND(N(J1959)&gt;0,N(K1959)&lt;J1959),OR(M1959="PENDENTE",M1959="PARCIAL"),OR(N1959="PENDENTE",N1959="PARCIAL")),1,0))</f>
        <v/>
      </c>
      <c r="W1959" s="8">
        <f>IF(AND(V1959=1,D1959&lt;&gt;""),IF(D1959&gt;=corte,(B1959="CRÍTICO")*1E9+(100000-D1959)*10000+10000-ROW(),""),"")</f>
        <v/>
      </c>
      <c r="X1959" s="8">
        <f>IF(AND(V1959=1,D1959=pas_data,E1959=pas_turno),10000-ROW(),"")</f>
        <v/>
      </c>
    </row>
    <row r="1960">
      <c r="A1960" s="3">
        <f>IF(D1960="","","TT-"&amp;TEXT(ROW()-1,"00000"))</f>
        <v/>
      </c>
      <c r="B1960" s="3">
        <f>IF(D1960="","",IF(V1960=0,"CONCLUÍDO",IF(D1960&lt;corte,"HISTÓRICO",IF(OR(AND(ISNUMBER(R1960),R1960&lt;TODAY()),AND(OR(N1960="PENDENTE",N1960="PARCIAL"),D1960&lt;TODAY()-1)),"CRÍTICO",IF(OR(AND(P1960&lt;&gt;"",S1960=""),AND(N1960="REALIZADO",M1960="PENDENTE"),AND(ISNUMBER(R1960),R1960=TODAY())),"ATENÇÃO",IF(N(K1960)=0,"PENDENTE","EM ANDAMENTO"))))))</f>
        <v/>
      </c>
      <c r="C1960" s="3">
        <f>IF(D1960="","",IF(V1960=0,"🟢 OK",IF(D1960&lt;corte,"⚪ HISTÓRICO (sem baixa)",IF(AND(ISNUMBER(R1960),R1960&lt;TODAY()),"🔴 PRAZO VENCIDO",IF(AND(OR(N1960="PENDENTE",N1960="PARCIAL"),D1960&lt;TODAY()-1),"🔴 EMBARQUE ATRASADO",IF(AND(N1960="REALIZADO",M1960="PENDENTE"),"🟡 EMBARCADO SEM FATURAR",IF(AND(P1960&lt;&gt;"",S1960="",OR(Q1960="",R1960="")),"🟡 PENDÊNCIA SEM RESPONSÁVEL/PRAZO",IF(AND(ISNUMBER(R1960),R1960=TODAY()),"🟡 VENCE HOJE",IF(AND(P1960&lt;&gt;"",S1960=""),"🟡 PENDÊNCIA ABERTA",IF(AND(N(J1960)&gt;0,N(K1960)&lt;J1960),"🟡 FALTA EXECUTAR",IF(OR(M1960="PENDENTE",M1960="PARCIAL"),"🟡 FATURAMENTO PENDENTE","🟡 EMBARQUE PENDENTE")))))))))))</f>
        <v/>
      </c>
      <c r="D1960" s="4" t="n"/>
      <c r="E1960" s="5" t="n"/>
      <c r="F1960" s="5" t="n"/>
      <c r="G1960" s="5" t="n"/>
      <c r="H1960" s="5" t="n"/>
      <c r="I1960" s="5" t="n"/>
      <c r="J1960" s="6" t="n"/>
      <c r="K1960" s="6" t="n"/>
      <c r="L1960" s="7">
        <f>IF(OR(D1960="",N(J1960)=0),"",MIN(1,N(K1960)/J1960))</f>
        <v/>
      </c>
      <c r="M1960" s="5" t="n"/>
      <c r="N1960" s="5" t="n"/>
      <c r="O1960" s="5" t="n"/>
      <c r="P1960" s="5" t="n"/>
      <c r="Q1960" s="5" t="n"/>
      <c r="R1960" s="4" t="n"/>
      <c r="S1960" s="4" t="n"/>
      <c r="T1960" s="5" t="n"/>
      <c r="U1960" s="8">
        <f>IF(AND(V1960=1,D1960&lt;&gt;""),IF(D1960&gt;=corte,TODAY()-D1960,""),"")</f>
        <v/>
      </c>
      <c r="V1960" s="8">
        <f>IF(D1960="",0,IF(OR(AND(P1960&lt;&gt;"",S1960=""),AND(N(J1960)&gt;0,N(K1960)&lt;J1960),OR(M1960="PENDENTE",M1960="PARCIAL"),OR(N1960="PENDENTE",N1960="PARCIAL")),1,0))</f>
        <v/>
      </c>
      <c r="W1960" s="8">
        <f>IF(AND(V1960=1,D1960&lt;&gt;""),IF(D1960&gt;=corte,(B1960="CRÍTICO")*1E9+(100000-D1960)*10000+10000-ROW(),""),"")</f>
        <v/>
      </c>
      <c r="X1960" s="8">
        <f>IF(AND(V1960=1,D1960=pas_data,E1960=pas_turno),10000-ROW(),"")</f>
        <v/>
      </c>
    </row>
    <row r="1961">
      <c r="A1961" s="3">
        <f>IF(D1961="","","TT-"&amp;TEXT(ROW()-1,"00000"))</f>
        <v/>
      </c>
      <c r="B1961" s="3">
        <f>IF(D1961="","",IF(V1961=0,"CONCLUÍDO",IF(D1961&lt;corte,"HISTÓRICO",IF(OR(AND(ISNUMBER(R1961),R1961&lt;TODAY()),AND(OR(N1961="PENDENTE",N1961="PARCIAL"),D1961&lt;TODAY()-1)),"CRÍTICO",IF(OR(AND(P1961&lt;&gt;"",S1961=""),AND(N1961="REALIZADO",M1961="PENDENTE"),AND(ISNUMBER(R1961),R1961=TODAY())),"ATENÇÃO",IF(N(K1961)=0,"PENDENTE","EM ANDAMENTO"))))))</f>
        <v/>
      </c>
      <c r="C1961" s="3">
        <f>IF(D1961="","",IF(V1961=0,"🟢 OK",IF(D1961&lt;corte,"⚪ HISTÓRICO (sem baixa)",IF(AND(ISNUMBER(R1961),R1961&lt;TODAY()),"🔴 PRAZO VENCIDO",IF(AND(OR(N1961="PENDENTE",N1961="PARCIAL"),D1961&lt;TODAY()-1),"🔴 EMBARQUE ATRASADO",IF(AND(N1961="REALIZADO",M1961="PENDENTE"),"🟡 EMBARCADO SEM FATURAR",IF(AND(P1961&lt;&gt;"",S1961="",OR(Q1961="",R1961="")),"🟡 PENDÊNCIA SEM RESPONSÁVEL/PRAZO",IF(AND(ISNUMBER(R1961),R1961=TODAY()),"🟡 VENCE HOJE",IF(AND(P1961&lt;&gt;"",S1961=""),"🟡 PENDÊNCIA ABERTA",IF(AND(N(J1961)&gt;0,N(K1961)&lt;J1961),"🟡 FALTA EXECUTAR",IF(OR(M1961="PENDENTE",M1961="PARCIAL"),"🟡 FATURAMENTO PENDENTE","🟡 EMBARQUE PENDENTE")))))))))))</f>
        <v/>
      </c>
      <c r="D1961" s="4" t="n"/>
      <c r="E1961" s="5" t="n"/>
      <c r="F1961" s="5" t="n"/>
      <c r="G1961" s="5" t="n"/>
      <c r="H1961" s="5" t="n"/>
      <c r="I1961" s="5" t="n"/>
      <c r="J1961" s="6" t="n"/>
      <c r="K1961" s="6" t="n"/>
      <c r="L1961" s="7">
        <f>IF(OR(D1961="",N(J1961)=0),"",MIN(1,N(K1961)/J1961))</f>
        <v/>
      </c>
      <c r="M1961" s="5" t="n"/>
      <c r="N1961" s="5" t="n"/>
      <c r="O1961" s="5" t="n"/>
      <c r="P1961" s="5" t="n"/>
      <c r="Q1961" s="5" t="n"/>
      <c r="R1961" s="4" t="n"/>
      <c r="S1961" s="4" t="n"/>
      <c r="T1961" s="5" t="n"/>
      <c r="U1961" s="8">
        <f>IF(AND(V1961=1,D1961&lt;&gt;""),IF(D1961&gt;=corte,TODAY()-D1961,""),"")</f>
        <v/>
      </c>
      <c r="V1961" s="8">
        <f>IF(D1961="",0,IF(OR(AND(P1961&lt;&gt;"",S1961=""),AND(N(J1961)&gt;0,N(K1961)&lt;J1961),OR(M1961="PENDENTE",M1961="PARCIAL"),OR(N1961="PENDENTE",N1961="PARCIAL")),1,0))</f>
        <v/>
      </c>
      <c r="W1961" s="8">
        <f>IF(AND(V1961=1,D1961&lt;&gt;""),IF(D1961&gt;=corte,(B1961="CRÍTICO")*1E9+(100000-D1961)*10000+10000-ROW(),""),"")</f>
        <v/>
      </c>
      <c r="X1961" s="8">
        <f>IF(AND(V1961=1,D1961=pas_data,E1961=pas_turno),10000-ROW(),"")</f>
        <v/>
      </c>
    </row>
    <row r="1962">
      <c r="A1962" s="3">
        <f>IF(D1962="","","TT-"&amp;TEXT(ROW()-1,"00000"))</f>
        <v/>
      </c>
      <c r="B1962" s="3">
        <f>IF(D1962="","",IF(V1962=0,"CONCLUÍDO",IF(D1962&lt;corte,"HISTÓRICO",IF(OR(AND(ISNUMBER(R1962),R1962&lt;TODAY()),AND(OR(N1962="PENDENTE",N1962="PARCIAL"),D1962&lt;TODAY()-1)),"CRÍTICO",IF(OR(AND(P1962&lt;&gt;"",S1962=""),AND(N1962="REALIZADO",M1962="PENDENTE"),AND(ISNUMBER(R1962),R1962=TODAY())),"ATENÇÃO",IF(N(K1962)=0,"PENDENTE","EM ANDAMENTO"))))))</f>
        <v/>
      </c>
      <c r="C1962" s="3">
        <f>IF(D1962="","",IF(V1962=0,"🟢 OK",IF(D1962&lt;corte,"⚪ HISTÓRICO (sem baixa)",IF(AND(ISNUMBER(R1962),R1962&lt;TODAY()),"🔴 PRAZO VENCIDO",IF(AND(OR(N1962="PENDENTE",N1962="PARCIAL"),D1962&lt;TODAY()-1),"🔴 EMBARQUE ATRASADO",IF(AND(N1962="REALIZADO",M1962="PENDENTE"),"🟡 EMBARCADO SEM FATURAR",IF(AND(P1962&lt;&gt;"",S1962="",OR(Q1962="",R1962="")),"🟡 PENDÊNCIA SEM RESPONSÁVEL/PRAZO",IF(AND(ISNUMBER(R1962),R1962=TODAY()),"🟡 VENCE HOJE",IF(AND(P1962&lt;&gt;"",S1962=""),"🟡 PENDÊNCIA ABERTA",IF(AND(N(J1962)&gt;0,N(K1962)&lt;J1962),"🟡 FALTA EXECUTAR",IF(OR(M1962="PENDENTE",M1962="PARCIAL"),"🟡 FATURAMENTO PENDENTE","🟡 EMBARQUE PENDENTE")))))))))))</f>
        <v/>
      </c>
      <c r="D1962" s="4" t="n"/>
      <c r="E1962" s="5" t="n"/>
      <c r="F1962" s="5" t="n"/>
      <c r="G1962" s="5" t="n"/>
      <c r="H1962" s="5" t="n"/>
      <c r="I1962" s="5" t="n"/>
      <c r="J1962" s="6" t="n"/>
      <c r="K1962" s="6" t="n"/>
      <c r="L1962" s="7">
        <f>IF(OR(D1962="",N(J1962)=0),"",MIN(1,N(K1962)/J1962))</f>
        <v/>
      </c>
      <c r="M1962" s="5" t="n"/>
      <c r="N1962" s="5" t="n"/>
      <c r="O1962" s="5" t="n"/>
      <c r="P1962" s="5" t="n"/>
      <c r="Q1962" s="5" t="n"/>
      <c r="R1962" s="4" t="n"/>
      <c r="S1962" s="4" t="n"/>
      <c r="T1962" s="5" t="n"/>
      <c r="U1962" s="8">
        <f>IF(AND(V1962=1,D1962&lt;&gt;""),IF(D1962&gt;=corte,TODAY()-D1962,""),"")</f>
        <v/>
      </c>
      <c r="V1962" s="8">
        <f>IF(D1962="",0,IF(OR(AND(P1962&lt;&gt;"",S1962=""),AND(N(J1962)&gt;0,N(K1962)&lt;J1962),OR(M1962="PENDENTE",M1962="PARCIAL"),OR(N1962="PENDENTE",N1962="PARCIAL")),1,0))</f>
        <v/>
      </c>
      <c r="W1962" s="8">
        <f>IF(AND(V1962=1,D1962&lt;&gt;""),IF(D1962&gt;=corte,(B1962="CRÍTICO")*1E9+(100000-D1962)*10000+10000-ROW(),""),"")</f>
        <v/>
      </c>
      <c r="X1962" s="8">
        <f>IF(AND(V1962=1,D1962=pas_data,E1962=pas_turno),10000-ROW(),"")</f>
        <v/>
      </c>
    </row>
    <row r="1963">
      <c r="A1963" s="3">
        <f>IF(D1963="","","TT-"&amp;TEXT(ROW()-1,"00000"))</f>
        <v/>
      </c>
      <c r="B1963" s="3">
        <f>IF(D1963="","",IF(V1963=0,"CONCLUÍDO",IF(D1963&lt;corte,"HISTÓRICO",IF(OR(AND(ISNUMBER(R1963),R1963&lt;TODAY()),AND(OR(N1963="PENDENTE",N1963="PARCIAL"),D1963&lt;TODAY()-1)),"CRÍTICO",IF(OR(AND(P1963&lt;&gt;"",S1963=""),AND(N1963="REALIZADO",M1963="PENDENTE"),AND(ISNUMBER(R1963),R1963=TODAY())),"ATENÇÃO",IF(N(K1963)=0,"PENDENTE","EM ANDAMENTO"))))))</f>
        <v/>
      </c>
      <c r="C1963" s="3">
        <f>IF(D1963="","",IF(V1963=0,"🟢 OK",IF(D1963&lt;corte,"⚪ HISTÓRICO (sem baixa)",IF(AND(ISNUMBER(R1963),R1963&lt;TODAY()),"🔴 PRAZO VENCIDO",IF(AND(OR(N1963="PENDENTE",N1963="PARCIAL"),D1963&lt;TODAY()-1),"🔴 EMBARQUE ATRASADO",IF(AND(N1963="REALIZADO",M1963="PENDENTE"),"🟡 EMBARCADO SEM FATURAR",IF(AND(P1963&lt;&gt;"",S1963="",OR(Q1963="",R1963="")),"🟡 PENDÊNCIA SEM RESPONSÁVEL/PRAZO",IF(AND(ISNUMBER(R1963),R1963=TODAY()),"🟡 VENCE HOJE",IF(AND(P1963&lt;&gt;"",S1963=""),"🟡 PENDÊNCIA ABERTA",IF(AND(N(J1963)&gt;0,N(K1963)&lt;J1963),"🟡 FALTA EXECUTAR",IF(OR(M1963="PENDENTE",M1963="PARCIAL"),"🟡 FATURAMENTO PENDENTE","🟡 EMBARQUE PENDENTE")))))))))))</f>
        <v/>
      </c>
      <c r="D1963" s="4" t="n"/>
      <c r="E1963" s="5" t="n"/>
      <c r="F1963" s="5" t="n"/>
      <c r="G1963" s="5" t="n"/>
      <c r="H1963" s="5" t="n"/>
      <c r="I1963" s="5" t="n"/>
      <c r="J1963" s="6" t="n"/>
      <c r="K1963" s="6" t="n"/>
      <c r="L1963" s="7">
        <f>IF(OR(D1963="",N(J1963)=0),"",MIN(1,N(K1963)/J1963))</f>
        <v/>
      </c>
      <c r="M1963" s="5" t="n"/>
      <c r="N1963" s="5" t="n"/>
      <c r="O1963" s="5" t="n"/>
      <c r="P1963" s="5" t="n"/>
      <c r="Q1963" s="5" t="n"/>
      <c r="R1963" s="4" t="n"/>
      <c r="S1963" s="4" t="n"/>
      <c r="T1963" s="5" t="n"/>
      <c r="U1963" s="8">
        <f>IF(AND(V1963=1,D1963&lt;&gt;""),IF(D1963&gt;=corte,TODAY()-D1963,""),"")</f>
        <v/>
      </c>
      <c r="V1963" s="8">
        <f>IF(D1963="",0,IF(OR(AND(P1963&lt;&gt;"",S1963=""),AND(N(J1963)&gt;0,N(K1963)&lt;J1963),OR(M1963="PENDENTE",M1963="PARCIAL"),OR(N1963="PENDENTE",N1963="PARCIAL")),1,0))</f>
        <v/>
      </c>
      <c r="W1963" s="8">
        <f>IF(AND(V1963=1,D1963&lt;&gt;""),IF(D1963&gt;=corte,(B1963="CRÍTICO")*1E9+(100000-D1963)*10000+10000-ROW(),""),"")</f>
        <v/>
      </c>
      <c r="X1963" s="8">
        <f>IF(AND(V1963=1,D1963=pas_data,E1963=pas_turno),10000-ROW(),"")</f>
        <v/>
      </c>
    </row>
    <row r="1964">
      <c r="A1964" s="3">
        <f>IF(D1964="","","TT-"&amp;TEXT(ROW()-1,"00000"))</f>
        <v/>
      </c>
      <c r="B1964" s="3">
        <f>IF(D1964="","",IF(V1964=0,"CONCLUÍDO",IF(D1964&lt;corte,"HISTÓRICO",IF(OR(AND(ISNUMBER(R1964),R1964&lt;TODAY()),AND(OR(N1964="PENDENTE",N1964="PARCIAL"),D1964&lt;TODAY()-1)),"CRÍTICO",IF(OR(AND(P1964&lt;&gt;"",S1964=""),AND(N1964="REALIZADO",M1964="PENDENTE"),AND(ISNUMBER(R1964),R1964=TODAY())),"ATENÇÃO",IF(N(K1964)=0,"PENDENTE","EM ANDAMENTO"))))))</f>
        <v/>
      </c>
      <c r="C1964" s="3">
        <f>IF(D1964="","",IF(V1964=0,"🟢 OK",IF(D1964&lt;corte,"⚪ HISTÓRICO (sem baixa)",IF(AND(ISNUMBER(R1964),R1964&lt;TODAY()),"🔴 PRAZO VENCIDO",IF(AND(OR(N1964="PENDENTE",N1964="PARCIAL"),D1964&lt;TODAY()-1),"🔴 EMBARQUE ATRASADO",IF(AND(N1964="REALIZADO",M1964="PENDENTE"),"🟡 EMBARCADO SEM FATURAR",IF(AND(P1964&lt;&gt;"",S1964="",OR(Q1964="",R1964="")),"🟡 PENDÊNCIA SEM RESPONSÁVEL/PRAZO",IF(AND(ISNUMBER(R1964),R1964=TODAY()),"🟡 VENCE HOJE",IF(AND(P1964&lt;&gt;"",S1964=""),"🟡 PENDÊNCIA ABERTA",IF(AND(N(J1964)&gt;0,N(K1964)&lt;J1964),"🟡 FALTA EXECUTAR",IF(OR(M1964="PENDENTE",M1964="PARCIAL"),"🟡 FATURAMENTO PENDENTE","🟡 EMBARQUE PENDENTE")))))))))))</f>
        <v/>
      </c>
      <c r="D1964" s="4" t="n"/>
      <c r="E1964" s="5" t="n"/>
      <c r="F1964" s="5" t="n"/>
      <c r="G1964" s="5" t="n"/>
      <c r="H1964" s="5" t="n"/>
      <c r="I1964" s="5" t="n"/>
      <c r="J1964" s="6" t="n"/>
      <c r="K1964" s="6" t="n"/>
      <c r="L1964" s="7">
        <f>IF(OR(D1964="",N(J1964)=0),"",MIN(1,N(K1964)/J1964))</f>
        <v/>
      </c>
      <c r="M1964" s="5" t="n"/>
      <c r="N1964" s="5" t="n"/>
      <c r="O1964" s="5" t="n"/>
      <c r="P1964" s="5" t="n"/>
      <c r="Q1964" s="5" t="n"/>
      <c r="R1964" s="4" t="n"/>
      <c r="S1964" s="4" t="n"/>
      <c r="T1964" s="5" t="n"/>
      <c r="U1964" s="8">
        <f>IF(AND(V1964=1,D1964&lt;&gt;""),IF(D1964&gt;=corte,TODAY()-D1964,""),"")</f>
        <v/>
      </c>
      <c r="V1964" s="8">
        <f>IF(D1964="",0,IF(OR(AND(P1964&lt;&gt;"",S1964=""),AND(N(J1964)&gt;0,N(K1964)&lt;J1964),OR(M1964="PENDENTE",M1964="PARCIAL"),OR(N1964="PENDENTE",N1964="PARCIAL")),1,0))</f>
        <v/>
      </c>
      <c r="W1964" s="8">
        <f>IF(AND(V1964=1,D1964&lt;&gt;""),IF(D1964&gt;=corte,(B1964="CRÍTICO")*1E9+(100000-D1964)*10000+10000-ROW(),""),"")</f>
        <v/>
      </c>
      <c r="X1964" s="8">
        <f>IF(AND(V1964=1,D1964=pas_data,E1964=pas_turno),10000-ROW(),"")</f>
        <v/>
      </c>
    </row>
    <row r="1965">
      <c r="A1965" s="3">
        <f>IF(D1965="","","TT-"&amp;TEXT(ROW()-1,"00000"))</f>
        <v/>
      </c>
      <c r="B1965" s="3">
        <f>IF(D1965="","",IF(V1965=0,"CONCLUÍDO",IF(D1965&lt;corte,"HISTÓRICO",IF(OR(AND(ISNUMBER(R1965),R1965&lt;TODAY()),AND(OR(N1965="PENDENTE",N1965="PARCIAL"),D1965&lt;TODAY()-1)),"CRÍTICO",IF(OR(AND(P1965&lt;&gt;"",S1965=""),AND(N1965="REALIZADO",M1965="PENDENTE"),AND(ISNUMBER(R1965),R1965=TODAY())),"ATENÇÃO",IF(N(K1965)=0,"PENDENTE","EM ANDAMENTO"))))))</f>
        <v/>
      </c>
      <c r="C1965" s="3">
        <f>IF(D1965="","",IF(V1965=0,"🟢 OK",IF(D1965&lt;corte,"⚪ HISTÓRICO (sem baixa)",IF(AND(ISNUMBER(R1965),R1965&lt;TODAY()),"🔴 PRAZO VENCIDO",IF(AND(OR(N1965="PENDENTE",N1965="PARCIAL"),D1965&lt;TODAY()-1),"🔴 EMBARQUE ATRASADO",IF(AND(N1965="REALIZADO",M1965="PENDENTE"),"🟡 EMBARCADO SEM FATURAR",IF(AND(P1965&lt;&gt;"",S1965="",OR(Q1965="",R1965="")),"🟡 PENDÊNCIA SEM RESPONSÁVEL/PRAZO",IF(AND(ISNUMBER(R1965),R1965=TODAY()),"🟡 VENCE HOJE",IF(AND(P1965&lt;&gt;"",S1965=""),"🟡 PENDÊNCIA ABERTA",IF(AND(N(J1965)&gt;0,N(K1965)&lt;J1965),"🟡 FALTA EXECUTAR",IF(OR(M1965="PENDENTE",M1965="PARCIAL"),"🟡 FATURAMENTO PENDENTE","🟡 EMBARQUE PENDENTE")))))))))))</f>
        <v/>
      </c>
      <c r="D1965" s="4" t="n"/>
      <c r="E1965" s="5" t="n"/>
      <c r="F1965" s="5" t="n"/>
      <c r="G1965" s="5" t="n"/>
      <c r="H1965" s="5" t="n"/>
      <c r="I1965" s="5" t="n"/>
      <c r="J1965" s="6" t="n"/>
      <c r="K1965" s="6" t="n"/>
      <c r="L1965" s="7">
        <f>IF(OR(D1965="",N(J1965)=0),"",MIN(1,N(K1965)/J1965))</f>
        <v/>
      </c>
      <c r="M1965" s="5" t="n"/>
      <c r="N1965" s="5" t="n"/>
      <c r="O1965" s="5" t="n"/>
      <c r="P1965" s="5" t="n"/>
      <c r="Q1965" s="5" t="n"/>
      <c r="R1965" s="4" t="n"/>
      <c r="S1965" s="4" t="n"/>
      <c r="T1965" s="5" t="n"/>
      <c r="U1965" s="8">
        <f>IF(AND(V1965=1,D1965&lt;&gt;""),IF(D1965&gt;=corte,TODAY()-D1965,""),"")</f>
        <v/>
      </c>
      <c r="V1965" s="8">
        <f>IF(D1965="",0,IF(OR(AND(P1965&lt;&gt;"",S1965=""),AND(N(J1965)&gt;0,N(K1965)&lt;J1965),OR(M1965="PENDENTE",M1965="PARCIAL"),OR(N1965="PENDENTE",N1965="PARCIAL")),1,0))</f>
        <v/>
      </c>
      <c r="W1965" s="8">
        <f>IF(AND(V1965=1,D1965&lt;&gt;""),IF(D1965&gt;=corte,(B1965="CRÍTICO")*1E9+(100000-D1965)*10000+10000-ROW(),""),"")</f>
        <v/>
      </c>
      <c r="X1965" s="8">
        <f>IF(AND(V1965=1,D1965=pas_data,E1965=pas_turno),10000-ROW(),"")</f>
        <v/>
      </c>
    </row>
    <row r="1966">
      <c r="A1966" s="3">
        <f>IF(D1966="","","TT-"&amp;TEXT(ROW()-1,"00000"))</f>
        <v/>
      </c>
      <c r="B1966" s="3">
        <f>IF(D1966="","",IF(V1966=0,"CONCLUÍDO",IF(D1966&lt;corte,"HISTÓRICO",IF(OR(AND(ISNUMBER(R1966),R1966&lt;TODAY()),AND(OR(N1966="PENDENTE",N1966="PARCIAL"),D1966&lt;TODAY()-1)),"CRÍTICO",IF(OR(AND(P1966&lt;&gt;"",S1966=""),AND(N1966="REALIZADO",M1966="PENDENTE"),AND(ISNUMBER(R1966),R1966=TODAY())),"ATENÇÃO",IF(N(K1966)=0,"PENDENTE","EM ANDAMENTO"))))))</f>
        <v/>
      </c>
      <c r="C1966" s="3">
        <f>IF(D1966="","",IF(V1966=0,"🟢 OK",IF(D1966&lt;corte,"⚪ HISTÓRICO (sem baixa)",IF(AND(ISNUMBER(R1966),R1966&lt;TODAY()),"🔴 PRAZO VENCIDO",IF(AND(OR(N1966="PENDENTE",N1966="PARCIAL"),D1966&lt;TODAY()-1),"🔴 EMBARQUE ATRASADO",IF(AND(N1966="REALIZADO",M1966="PENDENTE"),"🟡 EMBARCADO SEM FATURAR",IF(AND(P1966&lt;&gt;"",S1966="",OR(Q1966="",R1966="")),"🟡 PENDÊNCIA SEM RESPONSÁVEL/PRAZO",IF(AND(ISNUMBER(R1966),R1966=TODAY()),"🟡 VENCE HOJE",IF(AND(P1966&lt;&gt;"",S1966=""),"🟡 PENDÊNCIA ABERTA",IF(AND(N(J1966)&gt;0,N(K1966)&lt;J1966),"🟡 FALTA EXECUTAR",IF(OR(M1966="PENDENTE",M1966="PARCIAL"),"🟡 FATURAMENTO PENDENTE","🟡 EMBARQUE PENDENTE")))))))))))</f>
        <v/>
      </c>
      <c r="D1966" s="4" t="n"/>
      <c r="E1966" s="5" t="n"/>
      <c r="F1966" s="5" t="n"/>
      <c r="G1966" s="5" t="n"/>
      <c r="H1966" s="5" t="n"/>
      <c r="I1966" s="5" t="n"/>
      <c r="J1966" s="6" t="n"/>
      <c r="K1966" s="6" t="n"/>
      <c r="L1966" s="7">
        <f>IF(OR(D1966="",N(J1966)=0),"",MIN(1,N(K1966)/J1966))</f>
        <v/>
      </c>
      <c r="M1966" s="5" t="n"/>
      <c r="N1966" s="5" t="n"/>
      <c r="O1966" s="5" t="n"/>
      <c r="P1966" s="5" t="n"/>
      <c r="Q1966" s="5" t="n"/>
      <c r="R1966" s="4" t="n"/>
      <c r="S1966" s="4" t="n"/>
      <c r="T1966" s="5" t="n"/>
      <c r="U1966" s="8">
        <f>IF(AND(V1966=1,D1966&lt;&gt;""),IF(D1966&gt;=corte,TODAY()-D1966,""),"")</f>
        <v/>
      </c>
      <c r="V1966" s="8">
        <f>IF(D1966="",0,IF(OR(AND(P1966&lt;&gt;"",S1966=""),AND(N(J1966)&gt;0,N(K1966)&lt;J1966),OR(M1966="PENDENTE",M1966="PARCIAL"),OR(N1966="PENDENTE",N1966="PARCIAL")),1,0))</f>
        <v/>
      </c>
      <c r="W1966" s="8">
        <f>IF(AND(V1966=1,D1966&lt;&gt;""),IF(D1966&gt;=corte,(B1966="CRÍTICO")*1E9+(100000-D1966)*10000+10000-ROW(),""),"")</f>
        <v/>
      </c>
      <c r="X1966" s="8">
        <f>IF(AND(V1966=1,D1966=pas_data,E1966=pas_turno),10000-ROW(),"")</f>
        <v/>
      </c>
    </row>
    <row r="1967">
      <c r="A1967" s="3">
        <f>IF(D1967="","","TT-"&amp;TEXT(ROW()-1,"00000"))</f>
        <v/>
      </c>
      <c r="B1967" s="3">
        <f>IF(D1967="","",IF(V1967=0,"CONCLUÍDO",IF(D1967&lt;corte,"HISTÓRICO",IF(OR(AND(ISNUMBER(R1967),R1967&lt;TODAY()),AND(OR(N1967="PENDENTE",N1967="PARCIAL"),D1967&lt;TODAY()-1)),"CRÍTICO",IF(OR(AND(P1967&lt;&gt;"",S1967=""),AND(N1967="REALIZADO",M1967="PENDENTE"),AND(ISNUMBER(R1967),R1967=TODAY())),"ATENÇÃO",IF(N(K1967)=0,"PENDENTE","EM ANDAMENTO"))))))</f>
        <v/>
      </c>
      <c r="C1967" s="3">
        <f>IF(D1967="","",IF(V1967=0,"🟢 OK",IF(D1967&lt;corte,"⚪ HISTÓRICO (sem baixa)",IF(AND(ISNUMBER(R1967),R1967&lt;TODAY()),"🔴 PRAZO VENCIDO",IF(AND(OR(N1967="PENDENTE",N1967="PARCIAL"),D1967&lt;TODAY()-1),"🔴 EMBARQUE ATRASADO",IF(AND(N1967="REALIZADO",M1967="PENDENTE"),"🟡 EMBARCADO SEM FATURAR",IF(AND(P1967&lt;&gt;"",S1967="",OR(Q1967="",R1967="")),"🟡 PENDÊNCIA SEM RESPONSÁVEL/PRAZO",IF(AND(ISNUMBER(R1967),R1967=TODAY()),"🟡 VENCE HOJE",IF(AND(P1967&lt;&gt;"",S1967=""),"🟡 PENDÊNCIA ABERTA",IF(AND(N(J1967)&gt;0,N(K1967)&lt;J1967),"🟡 FALTA EXECUTAR",IF(OR(M1967="PENDENTE",M1967="PARCIAL"),"🟡 FATURAMENTO PENDENTE","🟡 EMBARQUE PENDENTE")))))))))))</f>
        <v/>
      </c>
      <c r="D1967" s="4" t="n"/>
      <c r="E1967" s="5" t="n"/>
      <c r="F1967" s="5" t="n"/>
      <c r="G1967" s="5" t="n"/>
      <c r="H1967" s="5" t="n"/>
      <c r="I1967" s="5" t="n"/>
      <c r="J1967" s="6" t="n"/>
      <c r="K1967" s="6" t="n"/>
      <c r="L1967" s="7">
        <f>IF(OR(D1967="",N(J1967)=0),"",MIN(1,N(K1967)/J1967))</f>
        <v/>
      </c>
      <c r="M1967" s="5" t="n"/>
      <c r="N1967" s="5" t="n"/>
      <c r="O1967" s="5" t="n"/>
      <c r="P1967" s="5" t="n"/>
      <c r="Q1967" s="5" t="n"/>
      <c r="R1967" s="4" t="n"/>
      <c r="S1967" s="4" t="n"/>
      <c r="T1967" s="5" t="n"/>
      <c r="U1967" s="8">
        <f>IF(AND(V1967=1,D1967&lt;&gt;""),IF(D1967&gt;=corte,TODAY()-D1967,""),"")</f>
        <v/>
      </c>
      <c r="V1967" s="8">
        <f>IF(D1967="",0,IF(OR(AND(P1967&lt;&gt;"",S1967=""),AND(N(J1967)&gt;0,N(K1967)&lt;J1967),OR(M1967="PENDENTE",M1967="PARCIAL"),OR(N1967="PENDENTE",N1967="PARCIAL")),1,0))</f>
        <v/>
      </c>
      <c r="W1967" s="8">
        <f>IF(AND(V1967=1,D1967&lt;&gt;""),IF(D1967&gt;=corte,(B1967="CRÍTICO")*1E9+(100000-D1967)*10000+10000-ROW(),""),"")</f>
        <v/>
      </c>
      <c r="X1967" s="8">
        <f>IF(AND(V1967=1,D1967=pas_data,E1967=pas_turno),10000-ROW(),"")</f>
        <v/>
      </c>
    </row>
    <row r="1968">
      <c r="A1968" s="3">
        <f>IF(D1968="","","TT-"&amp;TEXT(ROW()-1,"00000"))</f>
        <v/>
      </c>
      <c r="B1968" s="3">
        <f>IF(D1968="","",IF(V1968=0,"CONCLUÍDO",IF(D1968&lt;corte,"HISTÓRICO",IF(OR(AND(ISNUMBER(R1968),R1968&lt;TODAY()),AND(OR(N1968="PENDENTE",N1968="PARCIAL"),D1968&lt;TODAY()-1)),"CRÍTICO",IF(OR(AND(P1968&lt;&gt;"",S1968=""),AND(N1968="REALIZADO",M1968="PENDENTE"),AND(ISNUMBER(R1968),R1968=TODAY())),"ATENÇÃO",IF(N(K1968)=0,"PENDENTE","EM ANDAMENTO"))))))</f>
        <v/>
      </c>
      <c r="C1968" s="3">
        <f>IF(D1968="","",IF(V1968=0,"🟢 OK",IF(D1968&lt;corte,"⚪ HISTÓRICO (sem baixa)",IF(AND(ISNUMBER(R1968),R1968&lt;TODAY()),"🔴 PRAZO VENCIDO",IF(AND(OR(N1968="PENDENTE",N1968="PARCIAL"),D1968&lt;TODAY()-1),"🔴 EMBARQUE ATRASADO",IF(AND(N1968="REALIZADO",M1968="PENDENTE"),"🟡 EMBARCADO SEM FATURAR",IF(AND(P1968&lt;&gt;"",S1968="",OR(Q1968="",R1968="")),"🟡 PENDÊNCIA SEM RESPONSÁVEL/PRAZO",IF(AND(ISNUMBER(R1968),R1968=TODAY()),"🟡 VENCE HOJE",IF(AND(P1968&lt;&gt;"",S1968=""),"🟡 PENDÊNCIA ABERTA",IF(AND(N(J1968)&gt;0,N(K1968)&lt;J1968),"🟡 FALTA EXECUTAR",IF(OR(M1968="PENDENTE",M1968="PARCIAL"),"🟡 FATURAMENTO PENDENTE","🟡 EMBARQUE PENDENTE")))))))))))</f>
        <v/>
      </c>
      <c r="D1968" s="4" t="n"/>
      <c r="E1968" s="5" t="n"/>
      <c r="F1968" s="5" t="n"/>
      <c r="G1968" s="5" t="n"/>
      <c r="H1968" s="5" t="n"/>
      <c r="I1968" s="5" t="n"/>
      <c r="J1968" s="6" t="n"/>
      <c r="K1968" s="6" t="n"/>
      <c r="L1968" s="7">
        <f>IF(OR(D1968="",N(J1968)=0),"",MIN(1,N(K1968)/J1968))</f>
        <v/>
      </c>
      <c r="M1968" s="5" t="n"/>
      <c r="N1968" s="5" t="n"/>
      <c r="O1968" s="5" t="n"/>
      <c r="P1968" s="5" t="n"/>
      <c r="Q1968" s="5" t="n"/>
      <c r="R1968" s="4" t="n"/>
      <c r="S1968" s="4" t="n"/>
      <c r="T1968" s="5" t="n"/>
      <c r="U1968" s="8">
        <f>IF(AND(V1968=1,D1968&lt;&gt;""),IF(D1968&gt;=corte,TODAY()-D1968,""),"")</f>
        <v/>
      </c>
      <c r="V1968" s="8">
        <f>IF(D1968="",0,IF(OR(AND(P1968&lt;&gt;"",S1968=""),AND(N(J1968)&gt;0,N(K1968)&lt;J1968),OR(M1968="PENDENTE",M1968="PARCIAL"),OR(N1968="PENDENTE",N1968="PARCIAL")),1,0))</f>
        <v/>
      </c>
      <c r="W1968" s="8">
        <f>IF(AND(V1968=1,D1968&lt;&gt;""),IF(D1968&gt;=corte,(B1968="CRÍTICO")*1E9+(100000-D1968)*10000+10000-ROW(),""),"")</f>
        <v/>
      </c>
      <c r="X1968" s="8">
        <f>IF(AND(V1968=1,D1968=pas_data,E1968=pas_turno),10000-ROW(),"")</f>
        <v/>
      </c>
    </row>
    <row r="1969">
      <c r="A1969" s="3">
        <f>IF(D1969="","","TT-"&amp;TEXT(ROW()-1,"00000"))</f>
        <v/>
      </c>
      <c r="B1969" s="3">
        <f>IF(D1969="","",IF(V1969=0,"CONCLUÍDO",IF(D1969&lt;corte,"HISTÓRICO",IF(OR(AND(ISNUMBER(R1969),R1969&lt;TODAY()),AND(OR(N1969="PENDENTE",N1969="PARCIAL"),D1969&lt;TODAY()-1)),"CRÍTICO",IF(OR(AND(P1969&lt;&gt;"",S1969=""),AND(N1969="REALIZADO",M1969="PENDENTE"),AND(ISNUMBER(R1969),R1969=TODAY())),"ATENÇÃO",IF(N(K1969)=0,"PENDENTE","EM ANDAMENTO"))))))</f>
        <v/>
      </c>
      <c r="C1969" s="3">
        <f>IF(D1969="","",IF(V1969=0,"🟢 OK",IF(D1969&lt;corte,"⚪ HISTÓRICO (sem baixa)",IF(AND(ISNUMBER(R1969),R1969&lt;TODAY()),"🔴 PRAZO VENCIDO",IF(AND(OR(N1969="PENDENTE",N1969="PARCIAL"),D1969&lt;TODAY()-1),"🔴 EMBARQUE ATRASADO",IF(AND(N1969="REALIZADO",M1969="PENDENTE"),"🟡 EMBARCADO SEM FATURAR",IF(AND(P1969&lt;&gt;"",S1969="",OR(Q1969="",R1969="")),"🟡 PENDÊNCIA SEM RESPONSÁVEL/PRAZO",IF(AND(ISNUMBER(R1969),R1969=TODAY()),"🟡 VENCE HOJE",IF(AND(P1969&lt;&gt;"",S1969=""),"🟡 PENDÊNCIA ABERTA",IF(AND(N(J1969)&gt;0,N(K1969)&lt;J1969),"🟡 FALTA EXECUTAR",IF(OR(M1969="PENDENTE",M1969="PARCIAL"),"🟡 FATURAMENTO PENDENTE","🟡 EMBARQUE PENDENTE")))))))))))</f>
        <v/>
      </c>
      <c r="D1969" s="4" t="n"/>
      <c r="E1969" s="5" t="n"/>
      <c r="F1969" s="5" t="n"/>
      <c r="G1969" s="5" t="n"/>
      <c r="H1969" s="5" t="n"/>
      <c r="I1969" s="5" t="n"/>
      <c r="J1969" s="6" t="n"/>
      <c r="K1969" s="6" t="n"/>
      <c r="L1969" s="7">
        <f>IF(OR(D1969="",N(J1969)=0),"",MIN(1,N(K1969)/J1969))</f>
        <v/>
      </c>
      <c r="M1969" s="5" t="n"/>
      <c r="N1969" s="5" t="n"/>
      <c r="O1969" s="5" t="n"/>
      <c r="P1969" s="5" t="n"/>
      <c r="Q1969" s="5" t="n"/>
      <c r="R1969" s="4" t="n"/>
      <c r="S1969" s="4" t="n"/>
      <c r="T1969" s="5" t="n"/>
      <c r="U1969" s="8">
        <f>IF(AND(V1969=1,D1969&lt;&gt;""),IF(D1969&gt;=corte,TODAY()-D1969,""),"")</f>
        <v/>
      </c>
      <c r="V1969" s="8">
        <f>IF(D1969="",0,IF(OR(AND(P1969&lt;&gt;"",S1969=""),AND(N(J1969)&gt;0,N(K1969)&lt;J1969),OR(M1969="PENDENTE",M1969="PARCIAL"),OR(N1969="PENDENTE",N1969="PARCIAL")),1,0))</f>
        <v/>
      </c>
      <c r="W1969" s="8">
        <f>IF(AND(V1969=1,D1969&lt;&gt;""),IF(D1969&gt;=corte,(B1969="CRÍTICO")*1E9+(100000-D1969)*10000+10000-ROW(),""),"")</f>
        <v/>
      </c>
      <c r="X1969" s="8">
        <f>IF(AND(V1969=1,D1969=pas_data,E1969=pas_turno),10000-ROW(),"")</f>
        <v/>
      </c>
    </row>
    <row r="1970">
      <c r="A1970" s="3">
        <f>IF(D1970="","","TT-"&amp;TEXT(ROW()-1,"00000"))</f>
        <v/>
      </c>
      <c r="B1970" s="3">
        <f>IF(D1970="","",IF(V1970=0,"CONCLUÍDO",IF(D1970&lt;corte,"HISTÓRICO",IF(OR(AND(ISNUMBER(R1970),R1970&lt;TODAY()),AND(OR(N1970="PENDENTE",N1970="PARCIAL"),D1970&lt;TODAY()-1)),"CRÍTICO",IF(OR(AND(P1970&lt;&gt;"",S1970=""),AND(N1970="REALIZADO",M1970="PENDENTE"),AND(ISNUMBER(R1970),R1970=TODAY())),"ATENÇÃO",IF(N(K1970)=0,"PENDENTE","EM ANDAMENTO"))))))</f>
        <v/>
      </c>
      <c r="C1970" s="3">
        <f>IF(D1970="","",IF(V1970=0,"🟢 OK",IF(D1970&lt;corte,"⚪ HISTÓRICO (sem baixa)",IF(AND(ISNUMBER(R1970),R1970&lt;TODAY()),"🔴 PRAZO VENCIDO",IF(AND(OR(N1970="PENDENTE",N1970="PARCIAL"),D1970&lt;TODAY()-1),"🔴 EMBARQUE ATRASADO",IF(AND(N1970="REALIZADO",M1970="PENDENTE"),"🟡 EMBARCADO SEM FATURAR",IF(AND(P1970&lt;&gt;"",S1970="",OR(Q1970="",R1970="")),"🟡 PENDÊNCIA SEM RESPONSÁVEL/PRAZO",IF(AND(ISNUMBER(R1970),R1970=TODAY()),"🟡 VENCE HOJE",IF(AND(P1970&lt;&gt;"",S1970=""),"🟡 PENDÊNCIA ABERTA",IF(AND(N(J1970)&gt;0,N(K1970)&lt;J1970),"🟡 FALTA EXECUTAR",IF(OR(M1970="PENDENTE",M1970="PARCIAL"),"🟡 FATURAMENTO PENDENTE","🟡 EMBARQUE PENDENTE")))))))))))</f>
        <v/>
      </c>
      <c r="D1970" s="4" t="n"/>
      <c r="E1970" s="5" t="n"/>
      <c r="F1970" s="5" t="n"/>
      <c r="G1970" s="5" t="n"/>
      <c r="H1970" s="5" t="n"/>
      <c r="I1970" s="5" t="n"/>
      <c r="J1970" s="6" t="n"/>
      <c r="K1970" s="6" t="n"/>
      <c r="L1970" s="7">
        <f>IF(OR(D1970="",N(J1970)=0),"",MIN(1,N(K1970)/J1970))</f>
        <v/>
      </c>
      <c r="M1970" s="5" t="n"/>
      <c r="N1970" s="5" t="n"/>
      <c r="O1970" s="5" t="n"/>
      <c r="P1970" s="5" t="n"/>
      <c r="Q1970" s="5" t="n"/>
      <c r="R1970" s="4" t="n"/>
      <c r="S1970" s="4" t="n"/>
      <c r="T1970" s="5" t="n"/>
      <c r="U1970" s="8">
        <f>IF(AND(V1970=1,D1970&lt;&gt;""),IF(D1970&gt;=corte,TODAY()-D1970,""),"")</f>
        <v/>
      </c>
      <c r="V1970" s="8">
        <f>IF(D1970="",0,IF(OR(AND(P1970&lt;&gt;"",S1970=""),AND(N(J1970)&gt;0,N(K1970)&lt;J1970),OR(M1970="PENDENTE",M1970="PARCIAL"),OR(N1970="PENDENTE",N1970="PARCIAL")),1,0))</f>
        <v/>
      </c>
      <c r="W1970" s="8">
        <f>IF(AND(V1970=1,D1970&lt;&gt;""),IF(D1970&gt;=corte,(B1970="CRÍTICO")*1E9+(100000-D1970)*10000+10000-ROW(),""),"")</f>
        <v/>
      </c>
      <c r="X1970" s="8">
        <f>IF(AND(V1970=1,D1970=pas_data,E1970=pas_turno),10000-ROW(),"")</f>
        <v/>
      </c>
    </row>
    <row r="1971">
      <c r="A1971" s="3">
        <f>IF(D1971="","","TT-"&amp;TEXT(ROW()-1,"00000"))</f>
        <v/>
      </c>
      <c r="B1971" s="3">
        <f>IF(D1971="","",IF(V1971=0,"CONCLUÍDO",IF(D1971&lt;corte,"HISTÓRICO",IF(OR(AND(ISNUMBER(R1971),R1971&lt;TODAY()),AND(OR(N1971="PENDENTE",N1971="PARCIAL"),D1971&lt;TODAY()-1)),"CRÍTICO",IF(OR(AND(P1971&lt;&gt;"",S1971=""),AND(N1971="REALIZADO",M1971="PENDENTE"),AND(ISNUMBER(R1971),R1971=TODAY())),"ATENÇÃO",IF(N(K1971)=0,"PENDENTE","EM ANDAMENTO"))))))</f>
        <v/>
      </c>
      <c r="C1971" s="3">
        <f>IF(D1971="","",IF(V1971=0,"🟢 OK",IF(D1971&lt;corte,"⚪ HISTÓRICO (sem baixa)",IF(AND(ISNUMBER(R1971),R1971&lt;TODAY()),"🔴 PRAZO VENCIDO",IF(AND(OR(N1971="PENDENTE",N1971="PARCIAL"),D1971&lt;TODAY()-1),"🔴 EMBARQUE ATRASADO",IF(AND(N1971="REALIZADO",M1971="PENDENTE"),"🟡 EMBARCADO SEM FATURAR",IF(AND(P1971&lt;&gt;"",S1971="",OR(Q1971="",R1971="")),"🟡 PENDÊNCIA SEM RESPONSÁVEL/PRAZO",IF(AND(ISNUMBER(R1971),R1971=TODAY()),"🟡 VENCE HOJE",IF(AND(P1971&lt;&gt;"",S1971=""),"🟡 PENDÊNCIA ABERTA",IF(AND(N(J1971)&gt;0,N(K1971)&lt;J1971),"🟡 FALTA EXECUTAR",IF(OR(M1971="PENDENTE",M1971="PARCIAL"),"🟡 FATURAMENTO PENDENTE","🟡 EMBARQUE PENDENTE")))))))))))</f>
        <v/>
      </c>
      <c r="D1971" s="4" t="n"/>
      <c r="E1971" s="5" t="n"/>
      <c r="F1971" s="5" t="n"/>
      <c r="G1971" s="5" t="n"/>
      <c r="H1971" s="5" t="n"/>
      <c r="I1971" s="5" t="n"/>
      <c r="J1971" s="6" t="n"/>
      <c r="K1971" s="6" t="n"/>
      <c r="L1971" s="7">
        <f>IF(OR(D1971="",N(J1971)=0),"",MIN(1,N(K1971)/J1971))</f>
        <v/>
      </c>
      <c r="M1971" s="5" t="n"/>
      <c r="N1971" s="5" t="n"/>
      <c r="O1971" s="5" t="n"/>
      <c r="P1971" s="5" t="n"/>
      <c r="Q1971" s="5" t="n"/>
      <c r="R1971" s="4" t="n"/>
      <c r="S1971" s="4" t="n"/>
      <c r="T1971" s="5" t="n"/>
      <c r="U1971" s="8">
        <f>IF(AND(V1971=1,D1971&lt;&gt;""),IF(D1971&gt;=corte,TODAY()-D1971,""),"")</f>
        <v/>
      </c>
      <c r="V1971" s="8">
        <f>IF(D1971="",0,IF(OR(AND(P1971&lt;&gt;"",S1971=""),AND(N(J1971)&gt;0,N(K1971)&lt;J1971),OR(M1971="PENDENTE",M1971="PARCIAL"),OR(N1971="PENDENTE",N1971="PARCIAL")),1,0))</f>
        <v/>
      </c>
      <c r="W1971" s="8">
        <f>IF(AND(V1971=1,D1971&lt;&gt;""),IF(D1971&gt;=corte,(B1971="CRÍTICO")*1E9+(100000-D1971)*10000+10000-ROW(),""),"")</f>
        <v/>
      </c>
      <c r="X1971" s="8">
        <f>IF(AND(V1971=1,D1971=pas_data,E1971=pas_turno),10000-ROW(),"")</f>
        <v/>
      </c>
    </row>
    <row r="1972">
      <c r="A1972" s="3">
        <f>IF(D1972="","","TT-"&amp;TEXT(ROW()-1,"00000"))</f>
        <v/>
      </c>
      <c r="B1972" s="3">
        <f>IF(D1972="","",IF(V1972=0,"CONCLUÍDO",IF(D1972&lt;corte,"HISTÓRICO",IF(OR(AND(ISNUMBER(R1972),R1972&lt;TODAY()),AND(OR(N1972="PENDENTE",N1972="PARCIAL"),D1972&lt;TODAY()-1)),"CRÍTICO",IF(OR(AND(P1972&lt;&gt;"",S1972=""),AND(N1972="REALIZADO",M1972="PENDENTE"),AND(ISNUMBER(R1972),R1972=TODAY())),"ATENÇÃO",IF(N(K1972)=0,"PENDENTE","EM ANDAMENTO"))))))</f>
        <v/>
      </c>
      <c r="C1972" s="3">
        <f>IF(D1972="","",IF(V1972=0,"🟢 OK",IF(D1972&lt;corte,"⚪ HISTÓRICO (sem baixa)",IF(AND(ISNUMBER(R1972),R1972&lt;TODAY()),"🔴 PRAZO VENCIDO",IF(AND(OR(N1972="PENDENTE",N1972="PARCIAL"),D1972&lt;TODAY()-1),"🔴 EMBARQUE ATRASADO",IF(AND(N1972="REALIZADO",M1972="PENDENTE"),"🟡 EMBARCADO SEM FATURAR",IF(AND(P1972&lt;&gt;"",S1972="",OR(Q1972="",R1972="")),"🟡 PENDÊNCIA SEM RESPONSÁVEL/PRAZO",IF(AND(ISNUMBER(R1972),R1972=TODAY()),"🟡 VENCE HOJE",IF(AND(P1972&lt;&gt;"",S1972=""),"🟡 PENDÊNCIA ABERTA",IF(AND(N(J1972)&gt;0,N(K1972)&lt;J1972),"🟡 FALTA EXECUTAR",IF(OR(M1972="PENDENTE",M1972="PARCIAL"),"🟡 FATURAMENTO PENDENTE","🟡 EMBARQUE PENDENTE")))))))))))</f>
        <v/>
      </c>
      <c r="D1972" s="4" t="n"/>
      <c r="E1972" s="5" t="n"/>
      <c r="F1972" s="5" t="n"/>
      <c r="G1972" s="5" t="n"/>
      <c r="H1972" s="5" t="n"/>
      <c r="I1972" s="5" t="n"/>
      <c r="J1972" s="6" t="n"/>
      <c r="K1972" s="6" t="n"/>
      <c r="L1972" s="7">
        <f>IF(OR(D1972="",N(J1972)=0),"",MIN(1,N(K1972)/J1972))</f>
        <v/>
      </c>
      <c r="M1972" s="5" t="n"/>
      <c r="N1972" s="5" t="n"/>
      <c r="O1972" s="5" t="n"/>
      <c r="P1972" s="5" t="n"/>
      <c r="Q1972" s="5" t="n"/>
      <c r="R1972" s="4" t="n"/>
      <c r="S1972" s="4" t="n"/>
      <c r="T1972" s="5" t="n"/>
      <c r="U1972" s="8">
        <f>IF(AND(V1972=1,D1972&lt;&gt;""),IF(D1972&gt;=corte,TODAY()-D1972,""),"")</f>
        <v/>
      </c>
      <c r="V1972" s="8">
        <f>IF(D1972="",0,IF(OR(AND(P1972&lt;&gt;"",S1972=""),AND(N(J1972)&gt;0,N(K1972)&lt;J1972),OR(M1972="PENDENTE",M1972="PARCIAL"),OR(N1972="PENDENTE",N1972="PARCIAL")),1,0))</f>
        <v/>
      </c>
      <c r="W1972" s="8">
        <f>IF(AND(V1972=1,D1972&lt;&gt;""),IF(D1972&gt;=corte,(B1972="CRÍTICO")*1E9+(100000-D1972)*10000+10000-ROW(),""),"")</f>
        <v/>
      </c>
      <c r="X1972" s="8">
        <f>IF(AND(V1972=1,D1972=pas_data,E1972=pas_turno),10000-ROW(),"")</f>
        <v/>
      </c>
    </row>
    <row r="1973">
      <c r="A1973" s="3">
        <f>IF(D1973="","","TT-"&amp;TEXT(ROW()-1,"00000"))</f>
        <v/>
      </c>
      <c r="B1973" s="3">
        <f>IF(D1973="","",IF(V1973=0,"CONCLUÍDO",IF(D1973&lt;corte,"HISTÓRICO",IF(OR(AND(ISNUMBER(R1973),R1973&lt;TODAY()),AND(OR(N1973="PENDENTE",N1973="PARCIAL"),D1973&lt;TODAY()-1)),"CRÍTICO",IF(OR(AND(P1973&lt;&gt;"",S1973=""),AND(N1973="REALIZADO",M1973="PENDENTE"),AND(ISNUMBER(R1973),R1973=TODAY())),"ATENÇÃO",IF(N(K1973)=0,"PENDENTE","EM ANDAMENTO"))))))</f>
        <v/>
      </c>
      <c r="C1973" s="3">
        <f>IF(D1973="","",IF(V1973=0,"🟢 OK",IF(D1973&lt;corte,"⚪ HISTÓRICO (sem baixa)",IF(AND(ISNUMBER(R1973),R1973&lt;TODAY()),"🔴 PRAZO VENCIDO",IF(AND(OR(N1973="PENDENTE",N1973="PARCIAL"),D1973&lt;TODAY()-1),"🔴 EMBARQUE ATRASADO",IF(AND(N1973="REALIZADO",M1973="PENDENTE"),"🟡 EMBARCADO SEM FATURAR",IF(AND(P1973&lt;&gt;"",S1973="",OR(Q1973="",R1973="")),"🟡 PENDÊNCIA SEM RESPONSÁVEL/PRAZO",IF(AND(ISNUMBER(R1973),R1973=TODAY()),"🟡 VENCE HOJE",IF(AND(P1973&lt;&gt;"",S1973=""),"🟡 PENDÊNCIA ABERTA",IF(AND(N(J1973)&gt;0,N(K1973)&lt;J1973),"🟡 FALTA EXECUTAR",IF(OR(M1973="PENDENTE",M1973="PARCIAL"),"🟡 FATURAMENTO PENDENTE","🟡 EMBARQUE PENDENTE")))))))))))</f>
        <v/>
      </c>
      <c r="D1973" s="4" t="n"/>
      <c r="E1973" s="5" t="n"/>
      <c r="F1973" s="5" t="n"/>
      <c r="G1973" s="5" t="n"/>
      <c r="H1973" s="5" t="n"/>
      <c r="I1973" s="5" t="n"/>
      <c r="J1973" s="6" t="n"/>
      <c r="K1973" s="6" t="n"/>
      <c r="L1973" s="7">
        <f>IF(OR(D1973="",N(J1973)=0),"",MIN(1,N(K1973)/J1973))</f>
        <v/>
      </c>
      <c r="M1973" s="5" t="n"/>
      <c r="N1973" s="5" t="n"/>
      <c r="O1973" s="5" t="n"/>
      <c r="P1973" s="5" t="n"/>
      <c r="Q1973" s="5" t="n"/>
      <c r="R1973" s="4" t="n"/>
      <c r="S1973" s="4" t="n"/>
      <c r="T1973" s="5" t="n"/>
      <c r="U1973" s="8">
        <f>IF(AND(V1973=1,D1973&lt;&gt;""),IF(D1973&gt;=corte,TODAY()-D1973,""),"")</f>
        <v/>
      </c>
      <c r="V1973" s="8">
        <f>IF(D1973="",0,IF(OR(AND(P1973&lt;&gt;"",S1973=""),AND(N(J1973)&gt;0,N(K1973)&lt;J1973),OR(M1973="PENDENTE",M1973="PARCIAL"),OR(N1973="PENDENTE",N1973="PARCIAL")),1,0))</f>
        <v/>
      </c>
      <c r="W1973" s="8">
        <f>IF(AND(V1973=1,D1973&lt;&gt;""),IF(D1973&gt;=corte,(B1973="CRÍTICO")*1E9+(100000-D1973)*10000+10000-ROW(),""),"")</f>
        <v/>
      </c>
      <c r="X1973" s="8">
        <f>IF(AND(V1973=1,D1973=pas_data,E1973=pas_turno),10000-ROW(),"")</f>
        <v/>
      </c>
    </row>
    <row r="1974">
      <c r="A1974" s="3">
        <f>IF(D1974="","","TT-"&amp;TEXT(ROW()-1,"00000"))</f>
        <v/>
      </c>
      <c r="B1974" s="3">
        <f>IF(D1974="","",IF(V1974=0,"CONCLUÍDO",IF(D1974&lt;corte,"HISTÓRICO",IF(OR(AND(ISNUMBER(R1974),R1974&lt;TODAY()),AND(OR(N1974="PENDENTE",N1974="PARCIAL"),D1974&lt;TODAY()-1)),"CRÍTICO",IF(OR(AND(P1974&lt;&gt;"",S1974=""),AND(N1974="REALIZADO",M1974="PENDENTE"),AND(ISNUMBER(R1974),R1974=TODAY())),"ATENÇÃO",IF(N(K1974)=0,"PENDENTE","EM ANDAMENTO"))))))</f>
        <v/>
      </c>
      <c r="C1974" s="3">
        <f>IF(D1974="","",IF(V1974=0,"🟢 OK",IF(D1974&lt;corte,"⚪ HISTÓRICO (sem baixa)",IF(AND(ISNUMBER(R1974),R1974&lt;TODAY()),"🔴 PRAZO VENCIDO",IF(AND(OR(N1974="PENDENTE",N1974="PARCIAL"),D1974&lt;TODAY()-1),"🔴 EMBARQUE ATRASADO",IF(AND(N1974="REALIZADO",M1974="PENDENTE"),"🟡 EMBARCADO SEM FATURAR",IF(AND(P1974&lt;&gt;"",S1974="",OR(Q1974="",R1974="")),"🟡 PENDÊNCIA SEM RESPONSÁVEL/PRAZO",IF(AND(ISNUMBER(R1974),R1974=TODAY()),"🟡 VENCE HOJE",IF(AND(P1974&lt;&gt;"",S1974=""),"🟡 PENDÊNCIA ABERTA",IF(AND(N(J1974)&gt;0,N(K1974)&lt;J1974),"🟡 FALTA EXECUTAR",IF(OR(M1974="PENDENTE",M1974="PARCIAL"),"🟡 FATURAMENTO PENDENTE","🟡 EMBARQUE PENDENTE")))))))))))</f>
        <v/>
      </c>
      <c r="D1974" s="4" t="n"/>
      <c r="E1974" s="5" t="n"/>
      <c r="F1974" s="5" t="n"/>
      <c r="G1974" s="5" t="n"/>
      <c r="H1974" s="5" t="n"/>
      <c r="I1974" s="5" t="n"/>
      <c r="J1974" s="6" t="n"/>
      <c r="K1974" s="6" t="n"/>
      <c r="L1974" s="7">
        <f>IF(OR(D1974="",N(J1974)=0),"",MIN(1,N(K1974)/J1974))</f>
        <v/>
      </c>
      <c r="M1974" s="5" t="n"/>
      <c r="N1974" s="5" t="n"/>
      <c r="O1974" s="5" t="n"/>
      <c r="P1974" s="5" t="n"/>
      <c r="Q1974" s="5" t="n"/>
      <c r="R1974" s="4" t="n"/>
      <c r="S1974" s="4" t="n"/>
      <c r="T1974" s="5" t="n"/>
      <c r="U1974" s="8">
        <f>IF(AND(V1974=1,D1974&lt;&gt;""),IF(D1974&gt;=corte,TODAY()-D1974,""),"")</f>
        <v/>
      </c>
      <c r="V1974" s="8">
        <f>IF(D1974="",0,IF(OR(AND(P1974&lt;&gt;"",S1974=""),AND(N(J1974)&gt;0,N(K1974)&lt;J1974),OR(M1974="PENDENTE",M1974="PARCIAL"),OR(N1974="PENDENTE",N1974="PARCIAL")),1,0))</f>
        <v/>
      </c>
      <c r="W1974" s="8">
        <f>IF(AND(V1974=1,D1974&lt;&gt;""),IF(D1974&gt;=corte,(B1974="CRÍTICO")*1E9+(100000-D1974)*10000+10000-ROW(),""),"")</f>
        <v/>
      </c>
      <c r="X1974" s="8">
        <f>IF(AND(V1974=1,D1974=pas_data,E1974=pas_turno),10000-ROW(),"")</f>
        <v/>
      </c>
    </row>
    <row r="1975">
      <c r="A1975" s="3">
        <f>IF(D1975="","","TT-"&amp;TEXT(ROW()-1,"00000"))</f>
        <v/>
      </c>
      <c r="B1975" s="3">
        <f>IF(D1975="","",IF(V1975=0,"CONCLUÍDO",IF(D1975&lt;corte,"HISTÓRICO",IF(OR(AND(ISNUMBER(R1975),R1975&lt;TODAY()),AND(OR(N1975="PENDENTE",N1975="PARCIAL"),D1975&lt;TODAY()-1)),"CRÍTICO",IF(OR(AND(P1975&lt;&gt;"",S1975=""),AND(N1975="REALIZADO",M1975="PENDENTE"),AND(ISNUMBER(R1975),R1975=TODAY())),"ATENÇÃO",IF(N(K1975)=0,"PENDENTE","EM ANDAMENTO"))))))</f>
        <v/>
      </c>
      <c r="C1975" s="3">
        <f>IF(D1975="","",IF(V1975=0,"🟢 OK",IF(D1975&lt;corte,"⚪ HISTÓRICO (sem baixa)",IF(AND(ISNUMBER(R1975),R1975&lt;TODAY()),"🔴 PRAZO VENCIDO",IF(AND(OR(N1975="PENDENTE",N1975="PARCIAL"),D1975&lt;TODAY()-1),"🔴 EMBARQUE ATRASADO",IF(AND(N1975="REALIZADO",M1975="PENDENTE"),"🟡 EMBARCADO SEM FATURAR",IF(AND(P1975&lt;&gt;"",S1975="",OR(Q1975="",R1975="")),"🟡 PENDÊNCIA SEM RESPONSÁVEL/PRAZO",IF(AND(ISNUMBER(R1975),R1975=TODAY()),"🟡 VENCE HOJE",IF(AND(P1975&lt;&gt;"",S1975=""),"🟡 PENDÊNCIA ABERTA",IF(AND(N(J1975)&gt;0,N(K1975)&lt;J1975),"🟡 FALTA EXECUTAR",IF(OR(M1975="PENDENTE",M1975="PARCIAL"),"🟡 FATURAMENTO PENDENTE","🟡 EMBARQUE PENDENTE")))))))))))</f>
        <v/>
      </c>
      <c r="D1975" s="4" t="n"/>
      <c r="E1975" s="5" t="n"/>
      <c r="F1975" s="5" t="n"/>
      <c r="G1975" s="5" t="n"/>
      <c r="H1975" s="5" t="n"/>
      <c r="I1975" s="5" t="n"/>
      <c r="J1975" s="6" t="n"/>
      <c r="K1975" s="6" t="n"/>
      <c r="L1975" s="7">
        <f>IF(OR(D1975="",N(J1975)=0),"",MIN(1,N(K1975)/J1975))</f>
        <v/>
      </c>
      <c r="M1975" s="5" t="n"/>
      <c r="N1975" s="5" t="n"/>
      <c r="O1975" s="5" t="n"/>
      <c r="P1975" s="5" t="n"/>
      <c r="Q1975" s="5" t="n"/>
      <c r="R1975" s="4" t="n"/>
      <c r="S1975" s="4" t="n"/>
      <c r="T1975" s="5" t="n"/>
      <c r="U1975" s="8">
        <f>IF(AND(V1975=1,D1975&lt;&gt;""),IF(D1975&gt;=corte,TODAY()-D1975,""),"")</f>
        <v/>
      </c>
      <c r="V1975" s="8">
        <f>IF(D1975="",0,IF(OR(AND(P1975&lt;&gt;"",S1975=""),AND(N(J1975)&gt;0,N(K1975)&lt;J1975),OR(M1975="PENDENTE",M1975="PARCIAL"),OR(N1975="PENDENTE",N1975="PARCIAL")),1,0))</f>
        <v/>
      </c>
      <c r="W1975" s="8">
        <f>IF(AND(V1975=1,D1975&lt;&gt;""),IF(D1975&gt;=corte,(B1975="CRÍTICO")*1E9+(100000-D1975)*10000+10000-ROW(),""),"")</f>
        <v/>
      </c>
      <c r="X1975" s="8">
        <f>IF(AND(V1975=1,D1975=pas_data,E1975=pas_turno),10000-ROW(),"")</f>
        <v/>
      </c>
    </row>
    <row r="1976">
      <c r="A1976" s="3">
        <f>IF(D1976="","","TT-"&amp;TEXT(ROW()-1,"00000"))</f>
        <v/>
      </c>
      <c r="B1976" s="3">
        <f>IF(D1976="","",IF(V1976=0,"CONCLUÍDO",IF(D1976&lt;corte,"HISTÓRICO",IF(OR(AND(ISNUMBER(R1976),R1976&lt;TODAY()),AND(OR(N1976="PENDENTE",N1976="PARCIAL"),D1976&lt;TODAY()-1)),"CRÍTICO",IF(OR(AND(P1976&lt;&gt;"",S1976=""),AND(N1976="REALIZADO",M1976="PENDENTE"),AND(ISNUMBER(R1976),R1976=TODAY())),"ATENÇÃO",IF(N(K1976)=0,"PENDENTE","EM ANDAMENTO"))))))</f>
        <v/>
      </c>
      <c r="C1976" s="3">
        <f>IF(D1976="","",IF(V1976=0,"🟢 OK",IF(D1976&lt;corte,"⚪ HISTÓRICO (sem baixa)",IF(AND(ISNUMBER(R1976),R1976&lt;TODAY()),"🔴 PRAZO VENCIDO",IF(AND(OR(N1976="PENDENTE",N1976="PARCIAL"),D1976&lt;TODAY()-1),"🔴 EMBARQUE ATRASADO",IF(AND(N1976="REALIZADO",M1976="PENDENTE"),"🟡 EMBARCADO SEM FATURAR",IF(AND(P1976&lt;&gt;"",S1976="",OR(Q1976="",R1976="")),"🟡 PENDÊNCIA SEM RESPONSÁVEL/PRAZO",IF(AND(ISNUMBER(R1976),R1976=TODAY()),"🟡 VENCE HOJE",IF(AND(P1976&lt;&gt;"",S1976=""),"🟡 PENDÊNCIA ABERTA",IF(AND(N(J1976)&gt;0,N(K1976)&lt;J1976),"🟡 FALTA EXECUTAR",IF(OR(M1976="PENDENTE",M1976="PARCIAL"),"🟡 FATURAMENTO PENDENTE","🟡 EMBARQUE PENDENTE")))))))))))</f>
        <v/>
      </c>
      <c r="D1976" s="4" t="n"/>
      <c r="E1976" s="5" t="n"/>
      <c r="F1976" s="5" t="n"/>
      <c r="G1976" s="5" t="n"/>
      <c r="H1976" s="5" t="n"/>
      <c r="I1976" s="5" t="n"/>
      <c r="J1976" s="6" t="n"/>
      <c r="K1976" s="6" t="n"/>
      <c r="L1976" s="7">
        <f>IF(OR(D1976="",N(J1976)=0),"",MIN(1,N(K1976)/J1976))</f>
        <v/>
      </c>
      <c r="M1976" s="5" t="n"/>
      <c r="N1976" s="5" t="n"/>
      <c r="O1976" s="5" t="n"/>
      <c r="P1976" s="5" t="n"/>
      <c r="Q1976" s="5" t="n"/>
      <c r="R1976" s="4" t="n"/>
      <c r="S1976" s="4" t="n"/>
      <c r="T1976" s="5" t="n"/>
      <c r="U1976" s="8">
        <f>IF(AND(V1976=1,D1976&lt;&gt;""),IF(D1976&gt;=corte,TODAY()-D1976,""),"")</f>
        <v/>
      </c>
      <c r="V1976" s="8">
        <f>IF(D1976="",0,IF(OR(AND(P1976&lt;&gt;"",S1976=""),AND(N(J1976)&gt;0,N(K1976)&lt;J1976),OR(M1976="PENDENTE",M1976="PARCIAL"),OR(N1976="PENDENTE",N1976="PARCIAL")),1,0))</f>
        <v/>
      </c>
      <c r="W1976" s="8">
        <f>IF(AND(V1976=1,D1976&lt;&gt;""),IF(D1976&gt;=corte,(B1976="CRÍTICO")*1E9+(100000-D1976)*10000+10000-ROW(),""),"")</f>
        <v/>
      </c>
      <c r="X1976" s="8">
        <f>IF(AND(V1976=1,D1976=pas_data,E1976=pas_turno),10000-ROW(),"")</f>
        <v/>
      </c>
    </row>
    <row r="1977">
      <c r="A1977" s="3">
        <f>IF(D1977="","","TT-"&amp;TEXT(ROW()-1,"00000"))</f>
        <v/>
      </c>
      <c r="B1977" s="3">
        <f>IF(D1977="","",IF(V1977=0,"CONCLUÍDO",IF(D1977&lt;corte,"HISTÓRICO",IF(OR(AND(ISNUMBER(R1977),R1977&lt;TODAY()),AND(OR(N1977="PENDENTE",N1977="PARCIAL"),D1977&lt;TODAY()-1)),"CRÍTICO",IF(OR(AND(P1977&lt;&gt;"",S1977=""),AND(N1977="REALIZADO",M1977="PENDENTE"),AND(ISNUMBER(R1977),R1977=TODAY())),"ATENÇÃO",IF(N(K1977)=0,"PENDENTE","EM ANDAMENTO"))))))</f>
        <v/>
      </c>
      <c r="C1977" s="3">
        <f>IF(D1977="","",IF(V1977=0,"🟢 OK",IF(D1977&lt;corte,"⚪ HISTÓRICO (sem baixa)",IF(AND(ISNUMBER(R1977),R1977&lt;TODAY()),"🔴 PRAZO VENCIDO",IF(AND(OR(N1977="PENDENTE",N1977="PARCIAL"),D1977&lt;TODAY()-1),"🔴 EMBARQUE ATRASADO",IF(AND(N1977="REALIZADO",M1977="PENDENTE"),"🟡 EMBARCADO SEM FATURAR",IF(AND(P1977&lt;&gt;"",S1977="",OR(Q1977="",R1977="")),"🟡 PENDÊNCIA SEM RESPONSÁVEL/PRAZO",IF(AND(ISNUMBER(R1977),R1977=TODAY()),"🟡 VENCE HOJE",IF(AND(P1977&lt;&gt;"",S1977=""),"🟡 PENDÊNCIA ABERTA",IF(AND(N(J1977)&gt;0,N(K1977)&lt;J1977),"🟡 FALTA EXECUTAR",IF(OR(M1977="PENDENTE",M1977="PARCIAL"),"🟡 FATURAMENTO PENDENTE","🟡 EMBARQUE PENDENTE")))))))))))</f>
        <v/>
      </c>
      <c r="D1977" s="4" t="n"/>
      <c r="E1977" s="5" t="n"/>
      <c r="F1977" s="5" t="n"/>
      <c r="G1977" s="5" t="n"/>
      <c r="H1977" s="5" t="n"/>
      <c r="I1977" s="5" t="n"/>
      <c r="J1977" s="6" t="n"/>
      <c r="K1977" s="6" t="n"/>
      <c r="L1977" s="7">
        <f>IF(OR(D1977="",N(J1977)=0),"",MIN(1,N(K1977)/J1977))</f>
        <v/>
      </c>
      <c r="M1977" s="5" t="n"/>
      <c r="N1977" s="5" t="n"/>
      <c r="O1977" s="5" t="n"/>
      <c r="P1977" s="5" t="n"/>
      <c r="Q1977" s="5" t="n"/>
      <c r="R1977" s="4" t="n"/>
      <c r="S1977" s="4" t="n"/>
      <c r="T1977" s="5" t="n"/>
      <c r="U1977" s="8">
        <f>IF(AND(V1977=1,D1977&lt;&gt;""),IF(D1977&gt;=corte,TODAY()-D1977,""),"")</f>
        <v/>
      </c>
      <c r="V1977" s="8">
        <f>IF(D1977="",0,IF(OR(AND(P1977&lt;&gt;"",S1977=""),AND(N(J1977)&gt;0,N(K1977)&lt;J1977),OR(M1977="PENDENTE",M1977="PARCIAL"),OR(N1977="PENDENTE",N1977="PARCIAL")),1,0))</f>
        <v/>
      </c>
      <c r="W1977" s="8">
        <f>IF(AND(V1977=1,D1977&lt;&gt;""),IF(D1977&gt;=corte,(B1977="CRÍTICO")*1E9+(100000-D1977)*10000+10000-ROW(),""),"")</f>
        <v/>
      </c>
      <c r="X1977" s="8">
        <f>IF(AND(V1977=1,D1977=pas_data,E1977=pas_turno),10000-ROW(),"")</f>
        <v/>
      </c>
    </row>
    <row r="1978">
      <c r="A1978" s="3">
        <f>IF(D1978="","","TT-"&amp;TEXT(ROW()-1,"00000"))</f>
        <v/>
      </c>
      <c r="B1978" s="3">
        <f>IF(D1978="","",IF(V1978=0,"CONCLUÍDO",IF(D1978&lt;corte,"HISTÓRICO",IF(OR(AND(ISNUMBER(R1978),R1978&lt;TODAY()),AND(OR(N1978="PENDENTE",N1978="PARCIAL"),D1978&lt;TODAY()-1)),"CRÍTICO",IF(OR(AND(P1978&lt;&gt;"",S1978=""),AND(N1978="REALIZADO",M1978="PENDENTE"),AND(ISNUMBER(R1978),R1978=TODAY())),"ATENÇÃO",IF(N(K1978)=0,"PENDENTE","EM ANDAMENTO"))))))</f>
        <v/>
      </c>
      <c r="C1978" s="3">
        <f>IF(D1978="","",IF(V1978=0,"🟢 OK",IF(D1978&lt;corte,"⚪ HISTÓRICO (sem baixa)",IF(AND(ISNUMBER(R1978),R1978&lt;TODAY()),"🔴 PRAZO VENCIDO",IF(AND(OR(N1978="PENDENTE",N1978="PARCIAL"),D1978&lt;TODAY()-1),"🔴 EMBARQUE ATRASADO",IF(AND(N1978="REALIZADO",M1978="PENDENTE"),"🟡 EMBARCADO SEM FATURAR",IF(AND(P1978&lt;&gt;"",S1978="",OR(Q1978="",R1978="")),"🟡 PENDÊNCIA SEM RESPONSÁVEL/PRAZO",IF(AND(ISNUMBER(R1978),R1978=TODAY()),"🟡 VENCE HOJE",IF(AND(P1978&lt;&gt;"",S1978=""),"🟡 PENDÊNCIA ABERTA",IF(AND(N(J1978)&gt;0,N(K1978)&lt;J1978),"🟡 FALTA EXECUTAR",IF(OR(M1978="PENDENTE",M1978="PARCIAL"),"🟡 FATURAMENTO PENDENTE","🟡 EMBARQUE PENDENTE")))))))))))</f>
        <v/>
      </c>
      <c r="D1978" s="4" t="n"/>
      <c r="E1978" s="5" t="n"/>
      <c r="F1978" s="5" t="n"/>
      <c r="G1978" s="5" t="n"/>
      <c r="H1978" s="5" t="n"/>
      <c r="I1978" s="5" t="n"/>
      <c r="J1978" s="6" t="n"/>
      <c r="K1978" s="6" t="n"/>
      <c r="L1978" s="7">
        <f>IF(OR(D1978="",N(J1978)=0),"",MIN(1,N(K1978)/J1978))</f>
        <v/>
      </c>
      <c r="M1978" s="5" t="n"/>
      <c r="N1978" s="5" t="n"/>
      <c r="O1978" s="5" t="n"/>
      <c r="P1978" s="5" t="n"/>
      <c r="Q1978" s="5" t="n"/>
      <c r="R1978" s="4" t="n"/>
      <c r="S1978" s="4" t="n"/>
      <c r="T1978" s="5" t="n"/>
      <c r="U1978" s="8">
        <f>IF(AND(V1978=1,D1978&lt;&gt;""),IF(D1978&gt;=corte,TODAY()-D1978,""),"")</f>
        <v/>
      </c>
      <c r="V1978" s="8">
        <f>IF(D1978="",0,IF(OR(AND(P1978&lt;&gt;"",S1978=""),AND(N(J1978)&gt;0,N(K1978)&lt;J1978),OR(M1978="PENDENTE",M1978="PARCIAL"),OR(N1978="PENDENTE",N1978="PARCIAL")),1,0))</f>
        <v/>
      </c>
      <c r="W1978" s="8">
        <f>IF(AND(V1978=1,D1978&lt;&gt;""),IF(D1978&gt;=corte,(B1978="CRÍTICO")*1E9+(100000-D1978)*10000+10000-ROW(),""),"")</f>
        <v/>
      </c>
      <c r="X1978" s="8">
        <f>IF(AND(V1978=1,D1978=pas_data,E1978=pas_turno),10000-ROW(),"")</f>
        <v/>
      </c>
    </row>
    <row r="1979">
      <c r="A1979" s="3">
        <f>IF(D1979="","","TT-"&amp;TEXT(ROW()-1,"00000"))</f>
        <v/>
      </c>
      <c r="B1979" s="3">
        <f>IF(D1979="","",IF(V1979=0,"CONCLUÍDO",IF(D1979&lt;corte,"HISTÓRICO",IF(OR(AND(ISNUMBER(R1979),R1979&lt;TODAY()),AND(OR(N1979="PENDENTE",N1979="PARCIAL"),D1979&lt;TODAY()-1)),"CRÍTICO",IF(OR(AND(P1979&lt;&gt;"",S1979=""),AND(N1979="REALIZADO",M1979="PENDENTE"),AND(ISNUMBER(R1979),R1979=TODAY())),"ATENÇÃO",IF(N(K1979)=0,"PENDENTE","EM ANDAMENTO"))))))</f>
        <v/>
      </c>
      <c r="C1979" s="3">
        <f>IF(D1979="","",IF(V1979=0,"🟢 OK",IF(D1979&lt;corte,"⚪ HISTÓRICO (sem baixa)",IF(AND(ISNUMBER(R1979),R1979&lt;TODAY()),"🔴 PRAZO VENCIDO",IF(AND(OR(N1979="PENDENTE",N1979="PARCIAL"),D1979&lt;TODAY()-1),"🔴 EMBARQUE ATRASADO",IF(AND(N1979="REALIZADO",M1979="PENDENTE"),"🟡 EMBARCADO SEM FATURAR",IF(AND(P1979&lt;&gt;"",S1979="",OR(Q1979="",R1979="")),"🟡 PENDÊNCIA SEM RESPONSÁVEL/PRAZO",IF(AND(ISNUMBER(R1979),R1979=TODAY()),"🟡 VENCE HOJE",IF(AND(P1979&lt;&gt;"",S1979=""),"🟡 PENDÊNCIA ABERTA",IF(AND(N(J1979)&gt;0,N(K1979)&lt;J1979),"🟡 FALTA EXECUTAR",IF(OR(M1979="PENDENTE",M1979="PARCIAL"),"🟡 FATURAMENTO PENDENTE","🟡 EMBARQUE PENDENTE")))))))))))</f>
        <v/>
      </c>
      <c r="D1979" s="4" t="n"/>
      <c r="E1979" s="5" t="n"/>
      <c r="F1979" s="5" t="n"/>
      <c r="G1979" s="5" t="n"/>
      <c r="H1979" s="5" t="n"/>
      <c r="I1979" s="5" t="n"/>
      <c r="J1979" s="6" t="n"/>
      <c r="K1979" s="6" t="n"/>
      <c r="L1979" s="7">
        <f>IF(OR(D1979="",N(J1979)=0),"",MIN(1,N(K1979)/J1979))</f>
        <v/>
      </c>
      <c r="M1979" s="5" t="n"/>
      <c r="N1979" s="5" t="n"/>
      <c r="O1979" s="5" t="n"/>
      <c r="P1979" s="5" t="n"/>
      <c r="Q1979" s="5" t="n"/>
      <c r="R1979" s="4" t="n"/>
      <c r="S1979" s="4" t="n"/>
      <c r="T1979" s="5" t="n"/>
      <c r="U1979" s="8">
        <f>IF(AND(V1979=1,D1979&lt;&gt;""),IF(D1979&gt;=corte,TODAY()-D1979,""),"")</f>
        <v/>
      </c>
      <c r="V1979" s="8">
        <f>IF(D1979="",0,IF(OR(AND(P1979&lt;&gt;"",S1979=""),AND(N(J1979)&gt;0,N(K1979)&lt;J1979),OR(M1979="PENDENTE",M1979="PARCIAL"),OR(N1979="PENDENTE",N1979="PARCIAL")),1,0))</f>
        <v/>
      </c>
      <c r="W1979" s="8">
        <f>IF(AND(V1979=1,D1979&lt;&gt;""),IF(D1979&gt;=corte,(B1979="CRÍTICO")*1E9+(100000-D1979)*10000+10000-ROW(),""),"")</f>
        <v/>
      </c>
      <c r="X1979" s="8">
        <f>IF(AND(V1979=1,D1979=pas_data,E1979=pas_turno),10000-ROW(),"")</f>
        <v/>
      </c>
    </row>
    <row r="1980">
      <c r="A1980" s="3">
        <f>IF(D1980="","","TT-"&amp;TEXT(ROW()-1,"00000"))</f>
        <v/>
      </c>
      <c r="B1980" s="3">
        <f>IF(D1980="","",IF(V1980=0,"CONCLUÍDO",IF(D1980&lt;corte,"HISTÓRICO",IF(OR(AND(ISNUMBER(R1980),R1980&lt;TODAY()),AND(OR(N1980="PENDENTE",N1980="PARCIAL"),D1980&lt;TODAY()-1)),"CRÍTICO",IF(OR(AND(P1980&lt;&gt;"",S1980=""),AND(N1980="REALIZADO",M1980="PENDENTE"),AND(ISNUMBER(R1980),R1980=TODAY())),"ATENÇÃO",IF(N(K1980)=0,"PENDENTE","EM ANDAMENTO"))))))</f>
        <v/>
      </c>
      <c r="C1980" s="3">
        <f>IF(D1980="","",IF(V1980=0,"🟢 OK",IF(D1980&lt;corte,"⚪ HISTÓRICO (sem baixa)",IF(AND(ISNUMBER(R1980),R1980&lt;TODAY()),"🔴 PRAZO VENCIDO",IF(AND(OR(N1980="PENDENTE",N1980="PARCIAL"),D1980&lt;TODAY()-1),"🔴 EMBARQUE ATRASADO",IF(AND(N1980="REALIZADO",M1980="PENDENTE"),"🟡 EMBARCADO SEM FATURAR",IF(AND(P1980&lt;&gt;"",S1980="",OR(Q1980="",R1980="")),"🟡 PENDÊNCIA SEM RESPONSÁVEL/PRAZO",IF(AND(ISNUMBER(R1980),R1980=TODAY()),"🟡 VENCE HOJE",IF(AND(P1980&lt;&gt;"",S1980=""),"🟡 PENDÊNCIA ABERTA",IF(AND(N(J1980)&gt;0,N(K1980)&lt;J1980),"🟡 FALTA EXECUTAR",IF(OR(M1980="PENDENTE",M1980="PARCIAL"),"🟡 FATURAMENTO PENDENTE","🟡 EMBARQUE PENDENTE")))))))))))</f>
        <v/>
      </c>
      <c r="D1980" s="4" t="n"/>
      <c r="E1980" s="5" t="n"/>
      <c r="F1980" s="5" t="n"/>
      <c r="G1980" s="5" t="n"/>
      <c r="H1980" s="5" t="n"/>
      <c r="I1980" s="5" t="n"/>
      <c r="J1980" s="6" t="n"/>
      <c r="K1980" s="6" t="n"/>
      <c r="L1980" s="7">
        <f>IF(OR(D1980="",N(J1980)=0),"",MIN(1,N(K1980)/J1980))</f>
        <v/>
      </c>
      <c r="M1980" s="5" t="n"/>
      <c r="N1980" s="5" t="n"/>
      <c r="O1980" s="5" t="n"/>
      <c r="P1980" s="5" t="n"/>
      <c r="Q1980" s="5" t="n"/>
      <c r="R1980" s="4" t="n"/>
      <c r="S1980" s="4" t="n"/>
      <c r="T1980" s="5" t="n"/>
      <c r="U1980" s="8">
        <f>IF(AND(V1980=1,D1980&lt;&gt;""),IF(D1980&gt;=corte,TODAY()-D1980,""),"")</f>
        <v/>
      </c>
      <c r="V1980" s="8">
        <f>IF(D1980="",0,IF(OR(AND(P1980&lt;&gt;"",S1980=""),AND(N(J1980)&gt;0,N(K1980)&lt;J1980),OR(M1980="PENDENTE",M1980="PARCIAL"),OR(N1980="PENDENTE",N1980="PARCIAL")),1,0))</f>
        <v/>
      </c>
      <c r="W1980" s="8">
        <f>IF(AND(V1980=1,D1980&lt;&gt;""),IF(D1980&gt;=corte,(B1980="CRÍTICO")*1E9+(100000-D1980)*10000+10000-ROW(),""),"")</f>
        <v/>
      </c>
      <c r="X1980" s="8">
        <f>IF(AND(V1980=1,D1980=pas_data,E1980=pas_turno),10000-ROW(),"")</f>
        <v/>
      </c>
    </row>
    <row r="1981">
      <c r="A1981" s="3">
        <f>IF(D1981="","","TT-"&amp;TEXT(ROW()-1,"00000"))</f>
        <v/>
      </c>
      <c r="B1981" s="3">
        <f>IF(D1981="","",IF(V1981=0,"CONCLUÍDO",IF(D1981&lt;corte,"HISTÓRICO",IF(OR(AND(ISNUMBER(R1981),R1981&lt;TODAY()),AND(OR(N1981="PENDENTE",N1981="PARCIAL"),D1981&lt;TODAY()-1)),"CRÍTICO",IF(OR(AND(P1981&lt;&gt;"",S1981=""),AND(N1981="REALIZADO",M1981="PENDENTE"),AND(ISNUMBER(R1981),R1981=TODAY())),"ATENÇÃO",IF(N(K1981)=0,"PENDENTE","EM ANDAMENTO"))))))</f>
        <v/>
      </c>
      <c r="C1981" s="3">
        <f>IF(D1981="","",IF(V1981=0,"🟢 OK",IF(D1981&lt;corte,"⚪ HISTÓRICO (sem baixa)",IF(AND(ISNUMBER(R1981),R1981&lt;TODAY()),"🔴 PRAZO VENCIDO",IF(AND(OR(N1981="PENDENTE",N1981="PARCIAL"),D1981&lt;TODAY()-1),"🔴 EMBARQUE ATRASADO",IF(AND(N1981="REALIZADO",M1981="PENDENTE"),"🟡 EMBARCADO SEM FATURAR",IF(AND(P1981&lt;&gt;"",S1981="",OR(Q1981="",R1981="")),"🟡 PENDÊNCIA SEM RESPONSÁVEL/PRAZO",IF(AND(ISNUMBER(R1981),R1981=TODAY()),"🟡 VENCE HOJE",IF(AND(P1981&lt;&gt;"",S1981=""),"🟡 PENDÊNCIA ABERTA",IF(AND(N(J1981)&gt;0,N(K1981)&lt;J1981),"🟡 FALTA EXECUTAR",IF(OR(M1981="PENDENTE",M1981="PARCIAL"),"🟡 FATURAMENTO PENDENTE","🟡 EMBARQUE PENDENTE")))))))))))</f>
        <v/>
      </c>
      <c r="D1981" s="4" t="n"/>
      <c r="E1981" s="5" t="n"/>
      <c r="F1981" s="5" t="n"/>
      <c r="G1981" s="5" t="n"/>
      <c r="H1981" s="5" t="n"/>
      <c r="I1981" s="5" t="n"/>
      <c r="J1981" s="6" t="n"/>
      <c r="K1981" s="6" t="n"/>
      <c r="L1981" s="7">
        <f>IF(OR(D1981="",N(J1981)=0),"",MIN(1,N(K1981)/J1981))</f>
        <v/>
      </c>
      <c r="M1981" s="5" t="n"/>
      <c r="N1981" s="5" t="n"/>
      <c r="O1981" s="5" t="n"/>
      <c r="P1981" s="5" t="n"/>
      <c r="Q1981" s="5" t="n"/>
      <c r="R1981" s="4" t="n"/>
      <c r="S1981" s="4" t="n"/>
      <c r="T1981" s="5" t="n"/>
      <c r="U1981" s="8">
        <f>IF(AND(V1981=1,D1981&lt;&gt;""),IF(D1981&gt;=corte,TODAY()-D1981,""),"")</f>
        <v/>
      </c>
      <c r="V1981" s="8">
        <f>IF(D1981="",0,IF(OR(AND(P1981&lt;&gt;"",S1981=""),AND(N(J1981)&gt;0,N(K1981)&lt;J1981),OR(M1981="PENDENTE",M1981="PARCIAL"),OR(N1981="PENDENTE",N1981="PARCIAL")),1,0))</f>
        <v/>
      </c>
      <c r="W1981" s="8">
        <f>IF(AND(V1981=1,D1981&lt;&gt;""),IF(D1981&gt;=corte,(B1981="CRÍTICO")*1E9+(100000-D1981)*10000+10000-ROW(),""),"")</f>
        <v/>
      </c>
      <c r="X1981" s="8">
        <f>IF(AND(V1981=1,D1981=pas_data,E1981=pas_turno),10000-ROW(),"")</f>
        <v/>
      </c>
    </row>
    <row r="1982">
      <c r="A1982" s="3">
        <f>IF(D1982="","","TT-"&amp;TEXT(ROW()-1,"00000"))</f>
        <v/>
      </c>
      <c r="B1982" s="3">
        <f>IF(D1982="","",IF(V1982=0,"CONCLUÍDO",IF(D1982&lt;corte,"HISTÓRICO",IF(OR(AND(ISNUMBER(R1982),R1982&lt;TODAY()),AND(OR(N1982="PENDENTE",N1982="PARCIAL"),D1982&lt;TODAY()-1)),"CRÍTICO",IF(OR(AND(P1982&lt;&gt;"",S1982=""),AND(N1982="REALIZADO",M1982="PENDENTE"),AND(ISNUMBER(R1982),R1982=TODAY())),"ATENÇÃO",IF(N(K1982)=0,"PENDENTE","EM ANDAMENTO"))))))</f>
        <v/>
      </c>
      <c r="C1982" s="3">
        <f>IF(D1982="","",IF(V1982=0,"🟢 OK",IF(D1982&lt;corte,"⚪ HISTÓRICO (sem baixa)",IF(AND(ISNUMBER(R1982),R1982&lt;TODAY()),"🔴 PRAZO VENCIDO",IF(AND(OR(N1982="PENDENTE",N1982="PARCIAL"),D1982&lt;TODAY()-1),"🔴 EMBARQUE ATRASADO",IF(AND(N1982="REALIZADO",M1982="PENDENTE"),"🟡 EMBARCADO SEM FATURAR",IF(AND(P1982&lt;&gt;"",S1982="",OR(Q1982="",R1982="")),"🟡 PENDÊNCIA SEM RESPONSÁVEL/PRAZO",IF(AND(ISNUMBER(R1982),R1982=TODAY()),"🟡 VENCE HOJE",IF(AND(P1982&lt;&gt;"",S1982=""),"🟡 PENDÊNCIA ABERTA",IF(AND(N(J1982)&gt;0,N(K1982)&lt;J1982),"🟡 FALTA EXECUTAR",IF(OR(M1982="PENDENTE",M1982="PARCIAL"),"🟡 FATURAMENTO PENDENTE","🟡 EMBARQUE PENDENTE")))))))))))</f>
        <v/>
      </c>
      <c r="D1982" s="4" t="n"/>
      <c r="E1982" s="5" t="n"/>
      <c r="F1982" s="5" t="n"/>
      <c r="G1982" s="5" t="n"/>
      <c r="H1982" s="5" t="n"/>
      <c r="I1982" s="5" t="n"/>
      <c r="J1982" s="6" t="n"/>
      <c r="K1982" s="6" t="n"/>
      <c r="L1982" s="7">
        <f>IF(OR(D1982="",N(J1982)=0),"",MIN(1,N(K1982)/J1982))</f>
        <v/>
      </c>
      <c r="M1982" s="5" t="n"/>
      <c r="N1982" s="5" t="n"/>
      <c r="O1982" s="5" t="n"/>
      <c r="P1982" s="5" t="n"/>
      <c r="Q1982" s="5" t="n"/>
      <c r="R1982" s="4" t="n"/>
      <c r="S1982" s="4" t="n"/>
      <c r="T1982" s="5" t="n"/>
      <c r="U1982" s="8">
        <f>IF(AND(V1982=1,D1982&lt;&gt;""),IF(D1982&gt;=corte,TODAY()-D1982,""),"")</f>
        <v/>
      </c>
      <c r="V1982" s="8">
        <f>IF(D1982="",0,IF(OR(AND(P1982&lt;&gt;"",S1982=""),AND(N(J1982)&gt;0,N(K1982)&lt;J1982),OR(M1982="PENDENTE",M1982="PARCIAL"),OR(N1982="PENDENTE",N1982="PARCIAL")),1,0))</f>
        <v/>
      </c>
      <c r="W1982" s="8">
        <f>IF(AND(V1982=1,D1982&lt;&gt;""),IF(D1982&gt;=corte,(B1982="CRÍTICO")*1E9+(100000-D1982)*10000+10000-ROW(),""),"")</f>
        <v/>
      </c>
      <c r="X1982" s="8">
        <f>IF(AND(V1982=1,D1982=pas_data,E1982=pas_turno),10000-ROW(),"")</f>
        <v/>
      </c>
    </row>
    <row r="1983">
      <c r="A1983" s="3">
        <f>IF(D1983="","","TT-"&amp;TEXT(ROW()-1,"00000"))</f>
        <v/>
      </c>
      <c r="B1983" s="3">
        <f>IF(D1983="","",IF(V1983=0,"CONCLUÍDO",IF(D1983&lt;corte,"HISTÓRICO",IF(OR(AND(ISNUMBER(R1983),R1983&lt;TODAY()),AND(OR(N1983="PENDENTE",N1983="PARCIAL"),D1983&lt;TODAY()-1)),"CRÍTICO",IF(OR(AND(P1983&lt;&gt;"",S1983=""),AND(N1983="REALIZADO",M1983="PENDENTE"),AND(ISNUMBER(R1983),R1983=TODAY())),"ATENÇÃO",IF(N(K1983)=0,"PENDENTE","EM ANDAMENTO"))))))</f>
        <v/>
      </c>
      <c r="C1983" s="3">
        <f>IF(D1983="","",IF(V1983=0,"🟢 OK",IF(D1983&lt;corte,"⚪ HISTÓRICO (sem baixa)",IF(AND(ISNUMBER(R1983),R1983&lt;TODAY()),"🔴 PRAZO VENCIDO",IF(AND(OR(N1983="PENDENTE",N1983="PARCIAL"),D1983&lt;TODAY()-1),"🔴 EMBARQUE ATRASADO",IF(AND(N1983="REALIZADO",M1983="PENDENTE"),"🟡 EMBARCADO SEM FATURAR",IF(AND(P1983&lt;&gt;"",S1983="",OR(Q1983="",R1983="")),"🟡 PENDÊNCIA SEM RESPONSÁVEL/PRAZO",IF(AND(ISNUMBER(R1983),R1983=TODAY()),"🟡 VENCE HOJE",IF(AND(P1983&lt;&gt;"",S1983=""),"🟡 PENDÊNCIA ABERTA",IF(AND(N(J1983)&gt;0,N(K1983)&lt;J1983),"🟡 FALTA EXECUTAR",IF(OR(M1983="PENDENTE",M1983="PARCIAL"),"🟡 FATURAMENTO PENDENTE","🟡 EMBARQUE PENDENTE")))))))))))</f>
        <v/>
      </c>
      <c r="D1983" s="4" t="n"/>
      <c r="E1983" s="5" t="n"/>
      <c r="F1983" s="5" t="n"/>
      <c r="G1983" s="5" t="n"/>
      <c r="H1983" s="5" t="n"/>
      <c r="I1983" s="5" t="n"/>
      <c r="J1983" s="6" t="n"/>
      <c r="K1983" s="6" t="n"/>
      <c r="L1983" s="7">
        <f>IF(OR(D1983="",N(J1983)=0),"",MIN(1,N(K1983)/J1983))</f>
        <v/>
      </c>
      <c r="M1983" s="5" t="n"/>
      <c r="N1983" s="5" t="n"/>
      <c r="O1983" s="5" t="n"/>
      <c r="P1983" s="5" t="n"/>
      <c r="Q1983" s="5" t="n"/>
      <c r="R1983" s="4" t="n"/>
      <c r="S1983" s="4" t="n"/>
      <c r="T1983" s="5" t="n"/>
      <c r="U1983" s="8">
        <f>IF(AND(V1983=1,D1983&lt;&gt;""),IF(D1983&gt;=corte,TODAY()-D1983,""),"")</f>
        <v/>
      </c>
      <c r="V1983" s="8">
        <f>IF(D1983="",0,IF(OR(AND(P1983&lt;&gt;"",S1983=""),AND(N(J1983)&gt;0,N(K1983)&lt;J1983),OR(M1983="PENDENTE",M1983="PARCIAL"),OR(N1983="PENDENTE",N1983="PARCIAL")),1,0))</f>
        <v/>
      </c>
      <c r="W1983" s="8">
        <f>IF(AND(V1983=1,D1983&lt;&gt;""),IF(D1983&gt;=corte,(B1983="CRÍTICO")*1E9+(100000-D1983)*10000+10000-ROW(),""),"")</f>
        <v/>
      </c>
      <c r="X1983" s="8">
        <f>IF(AND(V1983=1,D1983=pas_data,E1983=pas_turno),10000-ROW(),"")</f>
        <v/>
      </c>
    </row>
    <row r="1984">
      <c r="A1984" s="3">
        <f>IF(D1984="","","TT-"&amp;TEXT(ROW()-1,"00000"))</f>
        <v/>
      </c>
      <c r="B1984" s="3">
        <f>IF(D1984="","",IF(V1984=0,"CONCLUÍDO",IF(D1984&lt;corte,"HISTÓRICO",IF(OR(AND(ISNUMBER(R1984),R1984&lt;TODAY()),AND(OR(N1984="PENDENTE",N1984="PARCIAL"),D1984&lt;TODAY()-1)),"CRÍTICO",IF(OR(AND(P1984&lt;&gt;"",S1984=""),AND(N1984="REALIZADO",M1984="PENDENTE"),AND(ISNUMBER(R1984),R1984=TODAY())),"ATENÇÃO",IF(N(K1984)=0,"PENDENTE","EM ANDAMENTO"))))))</f>
        <v/>
      </c>
      <c r="C1984" s="3">
        <f>IF(D1984="","",IF(V1984=0,"🟢 OK",IF(D1984&lt;corte,"⚪ HISTÓRICO (sem baixa)",IF(AND(ISNUMBER(R1984),R1984&lt;TODAY()),"🔴 PRAZO VENCIDO",IF(AND(OR(N1984="PENDENTE",N1984="PARCIAL"),D1984&lt;TODAY()-1),"🔴 EMBARQUE ATRASADO",IF(AND(N1984="REALIZADO",M1984="PENDENTE"),"🟡 EMBARCADO SEM FATURAR",IF(AND(P1984&lt;&gt;"",S1984="",OR(Q1984="",R1984="")),"🟡 PENDÊNCIA SEM RESPONSÁVEL/PRAZO",IF(AND(ISNUMBER(R1984),R1984=TODAY()),"🟡 VENCE HOJE",IF(AND(P1984&lt;&gt;"",S1984=""),"🟡 PENDÊNCIA ABERTA",IF(AND(N(J1984)&gt;0,N(K1984)&lt;J1984),"🟡 FALTA EXECUTAR",IF(OR(M1984="PENDENTE",M1984="PARCIAL"),"🟡 FATURAMENTO PENDENTE","🟡 EMBARQUE PENDENTE")))))))))))</f>
        <v/>
      </c>
      <c r="D1984" s="4" t="n"/>
      <c r="E1984" s="5" t="n"/>
      <c r="F1984" s="5" t="n"/>
      <c r="G1984" s="5" t="n"/>
      <c r="H1984" s="5" t="n"/>
      <c r="I1984" s="5" t="n"/>
      <c r="J1984" s="6" t="n"/>
      <c r="K1984" s="6" t="n"/>
      <c r="L1984" s="7">
        <f>IF(OR(D1984="",N(J1984)=0),"",MIN(1,N(K1984)/J1984))</f>
        <v/>
      </c>
      <c r="M1984" s="5" t="n"/>
      <c r="N1984" s="5" t="n"/>
      <c r="O1984" s="5" t="n"/>
      <c r="P1984" s="5" t="n"/>
      <c r="Q1984" s="5" t="n"/>
      <c r="R1984" s="4" t="n"/>
      <c r="S1984" s="4" t="n"/>
      <c r="T1984" s="5" t="n"/>
      <c r="U1984" s="8">
        <f>IF(AND(V1984=1,D1984&lt;&gt;""),IF(D1984&gt;=corte,TODAY()-D1984,""),"")</f>
        <v/>
      </c>
      <c r="V1984" s="8">
        <f>IF(D1984="",0,IF(OR(AND(P1984&lt;&gt;"",S1984=""),AND(N(J1984)&gt;0,N(K1984)&lt;J1984),OR(M1984="PENDENTE",M1984="PARCIAL"),OR(N1984="PENDENTE",N1984="PARCIAL")),1,0))</f>
        <v/>
      </c>
      <c r="W1984" s="8">
        <f>IF(AND(V1984=1,D1984&lt;&gt;""),IF(D1984&gt;=corte,(B1984="CRÍTICO")*1E9+(100000-D1984)*10000+10000-ROW(),""),"")</f>
        <v/>
      </c>
      <c r="X1984" s="8">
        <f>IF(AND(V1984=1,D1984=pas_data,E1984=pas_turno),10000-ROW(),"")</f>
        <v/>
      </c>
    </row>
    <row r="1985">
      <c r="A1985" s="3">
        <f>IF(D1985="","","TT-"&amp;TEXT(ROW()-1,"00000"))</f>
        <v/>
      </c>
      <c r="B1985" s="3">
        <f>IF(D1985="","",IF(V1985=0,"CONCLUÍDO",IF(D1985&lt;corte,"HISTÓRICO",IF(OR(AND(ISNUMBER(R1985),R1985&lt;TODAY()),AND(OR(N1985="PENDENTE",N1985="PARCIAL"),D1985&lt;TODAY()-1)),"CRÍTICO",IF(OR(AND(P1985&lt;&gt;"",S1985=""),AND(N1985="REALIZADO",M1985="PENDENTE"),AND(ISNUMBER(R1985),R1985=TODAY())),"ATENÇÃO",IF(N(K1985)=0,"PENDENTE","EM ANDAMENTO"))))))</f>
        <v/>
      </c>
      <c r="C1985" s="3">
        <f>IF(D1985="","",IF(V1985=0,"🟢 OK",IF(D1985&lt;corte,"⚪ HISTÓRICO (sem baixa)",IF(AND(ISNUMBER(R1985),R1985&lt;TODAY()),"🔴 PRAZO VENCIDO",IF(AND(OR(N1985="PENDENTE",N1985="PARCIAL"),D1985&lt;TODAY()-1),"🔴 EMBARQUE ATRASADO",IF(AND(N1985="REALIZADO",M1985="PENDENTE"),"🟡 EMBARCADO SEM FATURAR",IF(AND(P1985&lt;&gt;"",S1985="",OR(Q1985="",R1985="")),"🟡 PENDÊNCIA SEM RESPONSÁVEL/PRAZO",IF(AND(ISNUMBER(R1985),R1985=TODAY()),"🟡 VENCE HOJE",IF(AND(P1985&lt;&gt;"",S1985=""),"🟡 PENDÊNCIA ABERTA",IF(AND(N(J1985)&gt;0,N(K1985)&lt;J1985),"🟡 FALTA EXECUTAR",IF(OR(M1985="PENDENTE",M1985="PARCIAL"),"🟡 FATURAMENTO PENDENTE","🟡 EMBARQUE PENDENTE")))))))))))</f>
        <v/>
      </c>
      <c r="D1985" s="4" t="n"/>
      <c r="E1985" s="5" t="n"/>
      <c r="F1985" s="5" t="n"/>
      <c r="G1985" s="5" t="n"/>
      <c r="H1985" s="5" t="n"/>
      <c r="I1985" s="5" t="n"/>
      <c r="J1985" s="6" t="n"/>
      <c r="K1985" s="6" t="n"/>
      <c r="L1985" s="7">
        <f>IF(OR(D1985="",N(J1985)=0),"",MIN(1,N(K1985)/J1985))</f>
        <v/>
      </c>
      <c r="M1985" s="5" t="n"/>
      <c r="N1985" s="5" t="n"/>
      <c r="O1985" s="5" t="n"/>
      <c r="P1985" s="5" t="n"/>
      <c r="Q1985" s="5" t="n"/>
      <c r="R1985" s="4" t="n"/>
      <c r="S1985" s="4" t="n"/>
      <c r="T1985" s="5" t="n"/>
      <c r="U1985" s="8">
        <f>IF(AND(V1985=1,D1985&lt;&gt;""),IF(D1985&gt;=corte,TODAY()-D1985,""),"")</f>
        <v/>
      </c>
      <c r="V1985" s="8">
        <f>IF(D1985="",0,IF(OR(AND(P1985&lt;&gt;"",S1985=""),AND(N(J1985)&gt;0,N(K1985)&lt;J1985),OR(M1985="PENDENTE",M1985="PARCIAL"),OR(N1985="PENDENTE",N1985="PARCIAL")),1,0))</f>
        <v/>
      </c>
      <c r="W1985" s="8">
        <f>IF(AND(V1985=1,D1985&lt;&gt;""),IF(D1985&gt;=corte,(B1985="CRÍTICO")*1E9+(100000-D1985)*10000+10000-ROW(),""),"")</f>
        <v/>
      </c>
      <c r="X1985" s="8">
        <f>IF(AND(V1985=1,D1985=pas_data,E1985=pas_turno),10000-ROW(),"")</f>
        <v/>
      </c>
    </row>
    <row r="1986">
      <c r="A1986" s="3">
        <f>IF(D1986="","","TT-"&amp;TEXT(ROW()-1,"00000"))</f>
        <v/>
      </c>
      <c r="B1986" s="3">
        <f>IF(D1986="","",IF(V1986=0,"CONCLUÍDO",IF(D1986&lt;corte,"HISTÓRICO",IF(OR(AND(ISNUMBER(R1986),R1986&lt;TODAY()),AND(OR(N1986="PENDENTE",N1986="PARCIAL"),D1986&lt;TODAY()-1)),"CRÍTICO",IF(OR(AND(P1986&lt;&gt;"",S1986=""),AND(N1986="REALIZADO",M1986="PENDENTE"),AND(ISNUMBER(R1986),R1986=TODAY())),"ATENÇÃO",IF(N(K1986)=0,"PENDENTE","EM ANDAMENTO"))))))</f>
        <v/>
      </c>
      <c r="C1986" s="3">
        <f>IF(D1986="","",IF(V1986=0,"🟢 OK",IF(D1986&lt;corte,"⚪ HISTÓRICO (sem baixa)",IF(AND(ISNUMBER(R1986),R1986&lt;TODAY()),"🔴 PRAZO VENCIDO",IF(AND(OR(N1986="PENDENTE",N1986="PARCIAL"),D1986&lt;TODAY()-1),"🔴 EMBARQUE ATRASADO",IF(AND(N1986="REALIZADO",M1986="PENDENTE"),"🟡 EMBARCADO SEM FATURAR",IF(AND(P1986&lt;&gt;"",S1986="",OR(Q1986="",R1986="")),"🟡 PENDÊNCIA SEM RESPONSÁVEL/PRAZO",IF(AND(ISNUMBER(R1986),R1986=TODAY()),"🟡 VENCE HOJE",IF(AND(P1986&lt;&gt;"",S1986=""),"🟡 PENDÊNCIA ABERTA",IF(AND(N(J1986)&gt;0,N(K1986)&lt;J1986),"🟡 FALTA EXECUTAR",IF(OR(M1986="PENDENTE",M1986="PARCIAL"),"🟡 FATURAMENTO PENDENTE","🟡 EMBARQUE PENDENTE")))))))))))</f>
        <v/>
      </c>
      <c r="D1986" s="4" t="n"/>
      <c r="E1986" s="5" t="n"/>
      <c r="F1986" s="5" t="n"/>
      <c r="G1986" s="5" t="n"/>
      <c r="H1986" s="5" t="n"/>
      <c r="I1986" s="5" t="n"/>
      <c r="J1986" s="6" t="n"/>
      <c r="K1986" s="6" t="n"/>
      <c r="L1986" s="7">
        <f>IF(OR(D1986="",N(J1986)=0),"",MIN(1,N(K1986)/J1986))</f>
        <v/>
      </c>
      <c r="M1986" s="5" t="n"/>
      <c r="N1986" s="5" t="n"/>
      <c r="O1986" s="5" t="n"/>
      <c r="P1986" s="5" t="n"/>
      <c r="Q1986" s="5" t="n"/>
      <c r="R1986" s="4" t="n"/>
      <c r="S1986" s="4" t="n"/>
      <c r="T1986" s="5" t="n"/>
      <c r="U1986" s="8">
        <f>IF(AND(V1986=1,D1986&lt;&gt;""),IF(D1986&gt;=corte,TODAY()-D1986,""),"")</f>
        <v/>
      </c>
      <c r="V1986" s="8">
        <f>IF(D1986="",0,IF(OR(AND(P1986&lt;&gt;"",S1986=""),AND(N(J1986)&gt;0,N(K1986)&lt;J1986),OR(M1986="PENDENTE",M1986="PARCIAL"),OR(N1986="PENDENTE",N1986="PARCIAL")),1,0))</f>
        <v/>
      </c>
      <c r="W1986" s="8">
        <f>IF(AND(V1986=1,D1986&lt;&gt;""),IF(D1986&gt;=corte,(B1986="CRÍTICO")*1E9+(100000-D1986)*10000+10000-ROW(),""),"")</f>
        <v/>
      </c>
      <c r="X1986" s="8">
        <f>IF(AND(V1986=1,D1986=pas_data,E1986=pas_turno),10000-ROW(),"")</f>
        <v/>
      </c>
    </row>
    <row r="1987">
      <c r="A1987" s="3">
        <f>IF(D1987="","","TT-"&amp;TEXT(ROW()-1,"00000"))</f>
        <v/>
      </c>
      <c r="B1987" s="3">
        <f>IF(D1987="","",IF(V1987=0,"CONCLUÍDO",IF(D1987&lt;corte,"HISTÓRICO",IF(OR(AND(ISNUMBER(R1987),R1987&lt;TODAY()),AND(OR(N1987="PENDENTE",N1987="PARCIAL"),D1987&lt;TODAY()-1)),"CRÍTICO",IF(OR(AND(P1987&lt;&gt;"",S1987=""),AND(N1987="REALIZADO",M1987="PENDENTE"),AND(ISNUMBER(R1987),R1987=TODAY())),"ATENÇÃO",IF(N(K1987)=0,"PENDENTE","EM ANDAMENTO"))))))</f>
        <v/>
      </c>
      <c r="C1987" s="3">
        <f>IF(D1987="","",IF(V1987=0,"🟢 OK",IF(D1987&lt;corte,"⚪ HISTÓRICO (sem baixa)",IF(AND(ISNUMBER(R1987),R1987&lt;TODAY()),"🔴 PRAZO VENCIDO",IF(AND(OR(N1987="PENDENTE",N1987="PARCIAL"),D1987&lt;TODAY()-1),"🔴 EMBARQUE ATRASADO",IF(AND(N1987="REALIZADO",M1987="PENDENTE"),"🟡 EMBARCADO SEM FATURAR",IF(AND(P1987&lt;&gt;"",S1987="",OR(Q1987="",R1987="")),"🟡 PENDÊNCIA SEM RESPONSÁVEL/PRAZO",IF(AND(ISNUMBER(R1987),R1987=TODAY()),"🟡 VENCE HOJE",IF(AND(P1987&lt;&gt;"",S1987=""),"🟡 PENDÊNCIA ABERTA",IF(AND(N(J1987)&gt;0,N(K1987)&lt;J1987),"🟡 FALTA EXECUTAR",IF(OR(M1987="PENDENTE",M1987="PARCIAL"),"🟡 FATURAMENTO PENDENTE","🟡 EMBARQUE PENDENTE")))))))))))</f>
        <v/>
      </c>
      <c r="D1987" s="4" t="n"/>
      <c r="E1987" s="5" t="n"/>
      <c r="F1987" s="5" t="n"/>
      <c r="G1987" s="5" t="n"/>
      <c r="H1987" s="5" t="n"/>
      <c r="I1987" s="5" t="n"/>
      <c r="J1987" s="6" t="n"/>
      <c r="K1987" s="6" t="n"/>
      <c r="L1987" s="7">
        <f>IF(OR(D1987="",N(J1987)=0),"",MIN(1,N(K1987)/J1987))</f>
        <v/>
      </c>
      <c r="M1987" s="5" t="n"/>
      <c r="N1987" s="5" t="n"/>
      <c r="O1987" s="5" t="n"/>
      <c r="P1987" s="5" t="n"/>
      <c r="Q1987" s="5" t="n"/>
      <c r="R1987" s="4" t="n"/>
      <c r="S1987" s="4" t="n"/>
      <c r="T1987" s="5" t="n"/>
      <c r="U1987" s="8">
        <f>IF(AND(V1987=1,D1987&lt;&gt;""),IF(D1987&gt;=corte,TODAY()-D1987,""),"")</f>
        <v/>
      </c>
      <c r="V1987" s="8">
        <f>IF(D1987="",0,IF(OR(AND(P1987&lt;&gt;"",S1987=""),AND(N(J1987)&gt;0,N(K1987)&lt;J1987),OR(M1987="PENDENTE",M1987="PARCIAL"),OR(N1987="PENDENTE",N1987="PARCIAL")),1,0))</f>
        <v/>
      </c>
      <c r="W1987" s="8">
        <f>IF(AND(V1987=1,D1987&lt;&gt;""),IF(D1987&gt;=corte,(B1987="CRÍTICO")*1E9+(100000-D1987)*10000+10000-ROW(),""),"")</f>
        <v/>
      </c>
      <c r="X1987" s="8">
        <f>IF(AND(V1987=1,D1987=pas_data,E1987=pas_turno),10000-ROW(),"")</f>
        <v/>
      </c>
    </row>
    <row r="1988">
      <c r="A1988" s="3">
        <f>IF(D1988="","","TT-"&amp;TEXT(ROW()-1,"00000"))</f>
        <v/>
      </c>
      <c r="B1988" s="3">
        <f>IF(D1988="","",IF(V1988=0,"CONCLUÍDO",IF(D1988&lt;corte,"HISTÓRICO",IF(OR(AND(ISNUMBER(R1988),R1988&lt;TODAY()),AND(OR(N1988="PENDENTE",N1988="PARCIAL"),D1988&lt;TODAY()-1)),"CRÍTICO",IF(OR(AND(P1988&lt;&gt;"",S1988=""),AND(N1988="REALIZADO",M1988="PENDENTE"),AND(ISNUMBER(R1988),R1988=TODAY())),"ATENÇÃO",IF(N(K1988)=0,"PENDENTE","EM ANDAMENTO"))))))</f>
        <v/>
      </c>
      <c r="C1988" s="3">
        <f>IF(D1988="","",IF(V1988=0,"🟢 OK",IF(D1988&lt;corte,"⚪ HISTÓRICO (sem baixa)",IF(AND(ISNUMBER(R1988),R1988&lt;TODAY()),"🔴 PRAZO VENCIDO",IF(AND(OR(N1988="PENDENTE",N1988="PARCIAL"),D1988&lt;TODAY()-1),"🔴 EMBARQUE ATRASADO",IF(AND(N1988="REALIZADO",M1988="PENDENTE"),"🟡 EMBARCADO SEM FATURAR",IF(AND(P1988&lt;&gt;"",S1988="",OR(Q1988="",R1988="")),"🟡 PENDÊNCIA SEM RESPONSÁVEL/PRAZO",IF(AND(ISNUMBER(R1988),R1988=TODAY()),"🟡 VENCE HOJE",IF(AND(P1988&lt;&gt;"",S1988=""),"🟡 PENDÊNCIA ABERTA",IF(AND(N(J1988)&gt;0,N(K1988)&lt;J1988),"🟡 FALTA EXECUTAR",IF(OR(M1988="PENDENTE",M1988="PARCIAL"),"🟡 FATURAMENTO PENDENTE","🟡 EMBARQUE PENDENTE")))))))))))</f>
        <v/>
      </c>
      <c r="D1988" s="4" t="n"/>
      <c r="E1988" s="5" t="n"/>
      <c r="F1988" s="5" t="n"/>
      <c r="G1988" s="5" t="n"/>
      <c r="H1988" s="5" t="n"/>
      <c r="I1988" s="5" t="n"/>
      <c r="J1988" s="6" t="n"/>
      <c r="K1988" s="6" t="n"/>
      <c r="L1988" s="7">
        <f>IF(OR(D1988="",N(J1988)=0),"",MIN(1,N(K1988)/J1988))</f>
        <v/>
      </c>
      <c r="M1988" s="5" t="n"/>
      <c r="N1988" s="5" t="n"/>
      <c r="O1988" s="5" t="n"/>
      <c r="P1988" s="5" t="n"/>
      <c r="Q1988" s="5" t="n"/>
      <c r="R1988" s="4" t="n"/>
      <c r="S1988" s="4" t="n"/>
      <c r="T1988" s="5" t="n"/>
      <c r="U1988" s="8">
        <f>IF(AND(V1988=1,D1988&lt;&gt;""),IF(D1988&gt;=corte,TODAY()-D1988,""),"")</f>
        <v/>
      </c>
      <c r="V1988" s="8">
        <f>IF(D1988="",0,IF(OR(AND(P1988&lt;&gt;"",S1988=""),AND(N(J1988)&gt;0,N(K1988)&lt;J1988),OR(M1988="PENDENTE",M1988="PARCIAL"),OR(N1988="PENDENTE",N1988="PARCIAL")),1,0))</f>
        <v/>
      </c>
      <c r="W1988" s="8">
        <f>IF(AND(V1988=1,D1988&lt;&gt;""),IF(D1988&gt;=corte,(B1988="CRÍTICO")*1E9+(100000-D1988)*10000+10000-ROW(),""),"")</f>
        <v/>
      </c>
      <c r="X1988" s="8">
        <f>IF(AND(V1988=1,D1988=pas_data,E1988=pas_turno),10000-ROW(),"")</f>
        <v/>
      </c>
    </row>
    <row r="1989">
      <c r="A1989" s="3">
        <f>IF(D1989="","","TT-"&amp;TEXT(ROW()-1,"00000"))</f>
        <v/>
      </c>
      <c r="B1989" s="3">
        <f>IF(D1989="","",IF(V1989=0,"CONCLUÍDO",IF(D1989&lt;corte,"HISTÓRICO",IF(OR(AND(ISNUMBER(R1989),R1989&lt;TODAY()),AND(OR(N1989="PENDENTE",N1989="PARCIAL"),D1989&lt;TODAY()-1)),"CRÍTICO",IF(OR(AND(P1989&lt;&gt;"",S1989=""),AND(N1989="REALIZADO",M1989="PENDENTE"),AND(ISNUMBER(R1989),R1989=TODAY())),"ATENÇÃO",IF(N(K1989)=0,"PENDENTE","EM ANDAMENTO"))))))</f>
        <v/>
      </c>
      <c r="C1989" s="3">
        <f>IF(D1989="","",IF(V1989=0,"🟢 OK",IF(D1989&lt;corte,"⚪ HISTÓRICO (sem baixa)",IF(AND(ISNUMBER(R1989),R1989&lt;TODAY()),"🔴 PRAZO VENCIDO",IF(AND(OR(N1989="PENDENTE",N1989="PARCIAL"),D1989&lt;TODAY()-1),"🔴 EMBARQUE ATRASADO",IF(AND(N1989="REALIZADO",M1989="PENDENTE"),"🟡 EMBARCADO SEM FATURAR",IF(AND(P1989&lt;&gt;"",S1989="",OR(Q1989="",R1989="")),"🟡 PENDÊNCIA SEM RESPONSÁVEL/PRAZO",IF(AND(ISNUMBER(R1989),R1989=TODAY()),"🟡 VENCE HOJE",IF(AND(P1989&lt;&gt;"",S1989=""),"🟡 PENDÊNCIA ABERTA",IF(AND(N(J1989)&gt;0,N(K1989)&lt;J1989),"🟡 FALTA EXECUTAR",IF(OR(M1989="PENDENTE",M1989="PARCIAL"),"🟡 FATURAMENTO PENDENTE","🟡 EMBARQUE PENDENTE")))))))))))</f>
        <v/>
      </c>
      <c r="D1989" s="4" t="n"/>
      <c r="E1989" s="5" t="n"/>
      <c r="F1989" s="5" t="n"/>
      <c r="G1989" s="5" t="n"/>
      <c r="H1989" s="5" t="n"/>
      <c r="I1989" s="5" t="n"/>
      <c r="J1989" s="6" t="n"/>
      <c r="K1989" s="6" t="n"/>
      <c r="L1989" s="7">
        <f>IF(OR(D1989="",N(J1989)=0),"",MIN(1,N(K1989)/J1989))</f>
        <v/>
      </c>
      <c r="M1989" s="5" t="n"/>
      <c r="N1989" s="5" t="n"/>
      <c r="O1989" s="5" t="n"/>
      <c r="P1989" s="5" t="n"/>
      <c r="Q1989" s="5" t="n"/>
      <c r="R1989" s="4" t="n"/>
      <c r="S1989" s="4" t="n"/>
      <c r="T1989" s="5" t="n"/>
      <c r="U1989" s="8">
        <f>IF(AND(V1989=1,D1989&lt;&gt;""),IF(D1989&gt;=corte,TODAY()-D1989,""),"")</f>
        <v/>
      </c>
      <c r="V1989" s="8">
        <f>IF(D1989="",0,IF(OR(AND(P1989&lt;&gt;"",S1989=""),AND(N(J1989)&gt;0,N(K1989)&lt;J1989),OR(M1989="PENDENTE",M1989="PARCIAL"),OR(N1989="PENDENTE",N1989="PARCIAL")),1,0))</f>
        <v/>
      </c>
      <c r="W1989" s="8">
        <f>IF(AND(V1989=1,D1989&lt;&gt;""),IF(D1989&gt;=corte,(B1989="CRÍTICO")*1E9+(100000-D1989)*10000+10000-ROW(),""),"")</f>
        <v/>
      </c>
      <c r="X1989" s="8">
        <f>IF(AND(V1989=1,D1989=pas_data,E1989=pas_turno),10000-ROW(),"")</f>
        <v/>
      </c>
    </row>
    <row r="1990">
      <c r="A1990" s="3">
        <f>IF(D1990="","","TT-"&amp;TEXT(ROW()-1,"00000"))</f>
        <v/>
      </c>
      <c r="B1990" s="3">
        <f>IF(D1990="","",IF(V1990=0,"CONCLUÍDO",IF(D1990&lt;corte,"HISTÓRICO",IF(OR(AND(ISNUMBER(R1990),R1990&lt;TODAY()),AND(OR(N1990="PENDENTE",N1990="PARCIAL"),D1990&lt;TODAY()-1)),"CRÍTICO",IF(OR(AND(P1990&lt;&gt;"",S1990=""),AND(N1990="REALIZADO",M1990="PENDENTE"),AND(ISNUMBER(R1990),R1990=TODAY())),"ATENÇÃO",IF(N(K1990)=0,"PENDENTE","EM ANDAMENTO"))))))</f>
        <v/>
      </c>
      <c r="C1990" s="3">
        <f>IF(D1990="","",IF(V1990=0,"🟢 OK",IF(D1990&lt;corte,"⚪ HISTÓRICO (sem baixa)",IF(AND(ISNUMBER(R1990),R1990&lt;TODAY()),"🔴 PRAZO VENCIDO",IF(AND(OR(N1990="PENDENTE",N1990="PARCIAL"),D1990&lt;TODAY()-1),"🔴 EMBARQUE ATRASADO",IF(AND(N1990="REALIZADO",M1990="PENDENTE"),"🟡 EMBARCADO SEM FATURAR",IF(AND(P1990&lt;&gt;"",S1990="",OR(Q1990="",R1990="")),"🟡 PENDÊNCIA SEM RESPONSÁVEL/PRAZO",IF(AND(ISNUMBER(R1990),R1990=TODAY()),"🟡 VENCE HOJE",IF(AND(P1990&lt;&gt;"",S1990=""),"🟡 PENDÊNCIA ABERTA",IF(AND(N(J1990)&gt;0,N(K1990)&lt;J1990),"🟡 FALTA EXECUTAR",IF(OR(M1990="PENDENTE",M1990="PARCIAL"),"🟡 FATURAMENTO PENDENTE","🟡 EMBARQUE PENDENTE")))))))))))</f>
        <v/>
      </c>
      <c r="D1990" s="4" t="n"/>
      <c r="E1990" s="5" t="n"/>
      <c r="F1990" s="5" t="n"/>
      <c r="G1990" s="5" t="n"/>
      <c r="H1990" s="5" t="n"/>
      <c r="I1990" s="5" t="n"/>
      <c r="J1990" s="6" t="n"/>
      <c r="K1990" s="6" t="n"/>
      <c r="L1990" s="7">
        <f>IF(OR(D1990="",N(J1990)=0),"",MIN(1,N(K1990)/J1990))</f>
        <v/>
      </c>
      <c r="M1990" s="5" t="n"/>
      <c r="N1990" s="5" t="n"/>
      <c r="O1990" s="5" t="n"/>
      <c r="P1990" s="5" t="n"/>
      <c r="Q1990" s="5" t="n"/>
      <c r="R1990" s="4" t="n"/>
      <c r="S1990" s="4" t="n"/>
      <c r="T1990" s="5" t="n"/>
      <c r="U1990" s="8">
        <f>IF(AND(V1990=1,D1990&lt;&gt;""),IF(D1990&gt;=corte,TODAY()-D1990,""),"")</f>
        <v/>
      </c>
      <c r="V1990" s="8">
        <f>IF(D1990="",0,IF(OR(AND(P1990&lt;&gt;"",S1990=""),AND(N(J1990)&gt;0,N(K1990)&lt;J1990),OR(M1990="PENDENTE",M1990="PARCIAL"),OR(N1990="PENDENTE",N1990="PARCIAL")),1,0))</f>
        <v/>
      </c>
      <c r="W1990" s="8">
        <f>IF(AND(V1990=1,D1990&lt;&gt;""),IF(D1990&gt;=corte,(B1990="CRÍTICO")*1E9+(100000-D1990)*10000+10000-ROW(),""),"")</f>
        <v/>
      </c>
      <c r="X1990" s="8">
        <f>IF(AND(V1990=1,D1990=pas_data,E1990=pas_turno),10000-ROW(),"")</f>
        <v/>
      </c>
    </row>
    <row r="1991">
      <c r="A1991" s="3">
        <f>IF(D1991="","","TT-"&amp;TEXT(ROW()-1,"00000"))</f>
        <v/>
      </c>
      <c r="B1991" s="3">
        <f>IF(D1991="","",IF(V1991=0,"CONCLUÍDO",IF(D1991&lt;corte,"HISTÓRICO",IF(OR(AND(ISNUMBER(R1991),R1991&lt;TODAY()),AND(OR(N1991="PENDENTE",N1991="PARCIAL"),D1991&lt;TODAY()-1)),"CRÍTICO",IF(OR(AND(P1991&lt;&gt;"",S1991=""),AND(N1991="REALIZADO",M1991="PENDENTE"),AND(ISNUMBER(R1991),R1991=TODAY())),"ATENÇÃO",IF(N(K1991)=0,"PENDENTE","EM ANDAMENTO"))))))</f>
        <v/>
      </c>
      <c r="C1991" s="3">
        <f>IF(D1991="","",IF(V1991=0,"🟢 OK",IF(D1991&lt;corte,"⚪ HISTÓRICO (sem baixa)",IF(AND(ISNUMBER(R1991),R1991&lt;TODAY()),"🔴 PRAZO VENCIDO",IF(AND(OR(N1991="PENDENTE",N1991="PARCIAL"),D1991&lt;TODAY()-1),"🔴 EMBARQUE ATRASADO",IF(AND(N1991="REALIZADO",M1991="PENDENTE"),"🟡 EMBARCADO SEM FATURAR",IF(AND(P1991&lt;&gt;"",S1991="",OR(Q1991="",R1991="")),"🟡 PENDÊNCIA SEM RESPONSÁVEL/PRAZO",IF(AND(ISNUMBER(R1991),R1991=TODAY()),"🟡 VENCE HOJE",IF(AND(P1991&lt;&gt;"",S1991=""),"🟡 PENDÊNCIA ABERTA",IF(AND(N(J1991)&gt;0,N(K1991)&lt;J1991),"🟡 FALTA EXECUTAR",IF(OR(M1991="PENDENTE",M1991="PARCIAL"),"🟡 FATURAMENTO PENDENTE","🟡 EMBARQUE PENDENTE")))))))))))</f>
        <v/>
      </c>
      <c r="D1991" s="4" t="n"/>
      <c r="E1991" s="5" t="n"/>
      <c r="F1991" s="5" t="n"/>
      <c r="G1991" s="5" t="n"/>
      <c r="H1991" s="5" t="n"/>
      <c r="I1991" s="5" t="n"/>
      <c r="J1991" s="6" t="n"/>
      <c r="K1991" s="6" t="n"/>
      <c r="L1991" s="7">
        <f>IF(OR(D1991="",N(J1991)=0),"",MIN(1,N(K1991)/J1991))</f>
        <v/>
      </c>
      <c r="M1991" s="5" t="n"/>
      <c r="N1991" s="5" t="n"/>
      <c r="O1991" s="5" t="n"/>
      <c r="P1991" s="5" t="n"/>
      <c r="Q1991" s="5" t="n"/>
      <c r="R1991" s="4" t="n"/>
      <c r="S1991" s="4" t="n"/>
      <c r="T1991" s="5" t="n"/>
      <c r="U1991" s="8">
        <f>IF(AND(V1991=1,D1991&lt;&gt;""),IF(D1991&gt;=corte,TODAY()-D1991,""),"")</f>
        <v/>
      </c>
      <c r="V1991" s="8">
        <f>IF(D1991="",0,IF(OR(AND(P1991&lt;&gt;"",S1991=""),AND(N(J1991)&gt;0,N(K1991)&lt;J1991),OR(M1991="PENDENTE",M1991="PARCIAL"),OR(N1991="PENDENTE",N1991="PARCIAL")),1,0))</f>
        <v/>
      </c>
      <c r="W1991" s="8">
        <f>IF(AND(V1991=1,D1991&lt;&gt;""),IF(D1991&gt;=corte,(B1991="CRÍTICO")*1E9+(100000-D1991)*10000+10000-ROW(),""),"")</f>
        <v/>
      </c>
      <c r="X1991" s="8">
        <f>IF(AND(V1991=1,D1991=pas_data,E1991=pas_turno),10000-ROW(),"")</f>
        <v/>
      </c>
    </row>
    <row r="1992">
      <c r="A1992" s="3">
        <f>IF(D1992="","","TT-"&amp;TEXT(ROW()-1,"00000"))</f>
        <v/>
      </c>
      <c r="B1992" s="3">
        <f>IF(D1992="","",IF(V1992=0,"CONCLUÍDO",IF(D1992&lt;corte,"HISTÓRICO",IF(OR(AND(ISNUMBER(R1992),R1992&lt;TODAY()),AND(OR(N1992="PENDENTE",N1992="PARCIAL"),D1992&lt;TODAY()-1)),"CRÍTICO",IF(OR(AND(P1992&lt;&gt;"",S1992=""),AND(N1992="REALIZADO",M1992="PENDENTE"),AND(ISNUMBER(R1992),R1992=TODAY())),"ATENÇÃO",IF(N(K1992)=0,"PENDENTE","EM ANDAMENTO"))))))</f>
        <v/>
      </c>
      <c r="C1992" s="3">
        <f>IF(D1992="","",IF(V1992=0,"🟢 OK",IF(D1992&lt;corte,"⚪ HISTÓRICO (sem baixa)",IF(AND(ISNUMBER(R1992),R1992&lt;TODAY()),"🔴 PRAZO VENCIDO",IF(AND(OR(N1992="PENDENTE",N1992="PARCIAL"),D1992&lt;TODAY()-1),"🔴 EMBARQUE ATRASADO",IF(AND(N1992="REALIZADO",M1992="PENDENTE"),"🟡 EMBARCADO SEM FATURAR",IF(AND(P1992&lt;&gt;"",S1992="",OR(Q1992="",R1992="")),"🟡 PENDÊNCIA SEM RESPONSÁVEL/PRAZO",IF(AND(ISNUMBER(R1992),R1992=TODAY()),"🟡 VENCE HOJE",IF(AND(P1992&lt;&gt;"",S1992=""),"🟡 PENDÊNCIA ABERTA",IF(AND(N(J1992)&gt;0,N(K1992)&lt;J1992),"🟡 FALTA EXECUTAR",IF(OR(M1992="PENDENTE",M1992="PARCIAL"),"🟡 FATURAMENTO PENDENTE","🟡 EMBARQUE PENDENTE")))))))))))</f>
        <v/>
      </c>
      <c r="D1992" s="4" t="n"/>
      <c r="E1992" s="5" t="n"/>
      <c r="F1992" s="5" t="n"/>
      <c r="G1992" s="5" t="n"/>
      <c r="H1992" s="5" t="n"/>
      <c r="I1992" s="5" t="n"/>
      <c r="J1992" s="6" t="n"/>
      <c r="K1992" s="6" t="n"/>
      <c r="L1992" s="7">
        <f>IF(OR(D1992="",N(J1992)=0),"",MIN(1,N(K1992)/J1992))</f>
        <v/>
      </c>
      <c r="M1992" s="5" t="n"/>
      <c r="N1992" s="5" t="n"/>
      <c r="O1992" s="5" t="n"/>
      <c r="P1992" s="5" t="n"/>
      <c r="Q1992" s="5" t="n"/>
      <c r="R1992" s="4" t="n"/>
      <c r="S1992" s="4" t="n"/>
      <c r="T1992" s="5" t="n"/>
      <c r="U1992" s="8">
        <f>IF(AND(V1992=1,D1992&lt;&gt;""),IF(D1992&gt;=corte,TODAY()-D1992,""),"")</f>
        <v/>
      </c>
      <c r="V1992" s="8">
        <f>IF(D1992="",0,IF(OR(AND(P1992&lt;&gt;"",S1992=""),AND(N(J1992)&gt;0,N(K1992)&lt;J1992),OR(M1992="PENDENTE",M1992="PARCIAL"),OR(N1992="PENDENTE",N1992="PARCIAL")),1,0))</f>
        <v/>
      </c>
      <c r="W1992" s="8">
        <f>IF(AND(V1992=1,D1992&lt;&gt;""),IF(D1992&gt;=corte,(B1992="CRÍTICO")*1E9+(100000-D1992)*10000+10000-ROW(),""),"")</f>
        <v/>
      </c>
      <c r="X1992" s="8">
        <f>IF(AND(V1992=1,D1992=pas_data,E1992=pas_turno),10000-ROW(),"")</f>
        <v/>
      </c>
    </row>
    <row r="1993">
      <c r="A1993" s="3">
        <f>IF(D1993="","","TT-"&amp;TEXT(ROW()-1,"00000"))</f>
        <v/>
      </c>
      <c r="B1993" s="3">
        <f>IF(D1993="","",IF(V1993=0,"CONCLUÍDO",IF(D1993&lt;corte,"HISTÓRICO",IF(OR(AND(ISNUMBER(R1993),R1993&lt;TODAY()),AND(OR(N1993="PENDENTE",N1993="PARCIAL"),D1993&lt;TODAY()-1)),"CRÍTICO",IF(OR(AND(P1993&lt;&gt;"",S1993=""),AND(N1993="REALIZADO",M1993="PENDENTE"),AND(ISNUMBER(R1993),R1993=TODAY())),"ATENÇÃO",IF(N(K1993)=0,"PENDENTE","EM ANDAMENTO"))))))</f>
        <v/>
      </c>
      <c r="C1993" s="3">
        <f>IF(D1993="","",IF(V1993=0,"🟢 OK",IF(D1993&lt;corte,"⚪ HISTÓRICO (sem baixa)",IF(AND(ISNUMBER(R1993),R1993&lt;TODAY()),"🔴 PRAZO VENCIDO",IF(AND(OR(N1993="PENDENTE",N1993="PARCIAL"),D1993&lt;TODAY()-1),"🔴 EMBARQUE ATRASADO",IF(AND(N1993="REALIZADO",M1993="PENDENTE"),"🟡 EMBARCADO SEM FATURAR",IF(AND(P1993&lt;&gt;"",S1993="",OR(Q1993="",R1993="")),"🟡 PENDÊNCIA SEM RESPONSÁVEL/PRAZO",IF(AND(ISNUMBER(R1993),R1993=TODAY()),"🟡 VENCE HOJE",IF(AND(P1993&lt;&gt;"",S1993=""),"🟡 PENDÊNCIA ABERTA",IF(AND(N(J1993)&gt;0,N(K1993)&lt;J1993),"🟡 FALTA EXECUTAR",IF(OR(M1993="PENDENTE",M1993="PARCIAL"),"🟡 FATURAMENTO PENDENTE","🟡 EMBARQUE PENDENTE")))))))))))</f>
        <v/>
      </c>
      <c r="D1993" s="4" t="n"/>
      <c r="E1993" s="5" t="n"/>
      <c r="F1993" s="5" t="n"/>
      <c r="G1993" s="5" t="n"/>
      <c r="H1993" s="5" t="n"/>
      <c r="I1993" s="5" t="n"/>
      <c r="J1993" s="6" t="n"/>
      <c r="K1993" s="6" t="n"/>
      <c r="L1993" s="7">
        <f>IF(OR(D1993="",N(J1993)=0),"",MIN(1,N(K1993)/J1993))</f>
        <v/>
      </c>
      <c r="M1993" s="5" t="n"/>
      <c r="N1993" s="5" t="n"/>
      <c r="O1993" s="5" t="n"/>
      <c r="P1993" s="5" t="n"/>
      <c r="Q1993" s="5" t="n"/>
      <c r="R1993" s="4" t="n"/>
      <c r="S1993" s="4" t="n"/>
      <c r="T1993" s="5" t="n"/>
      <c r="U1993" s="8">
        <f>IF(AND(V1993=1,D1993&lt;&gt;""),IF(D1993&gt;=corte,TODAY()-D1993,""),"")</f>
        <v/>
      </c>
      <c r="V1993" s="8">
        <f>IF(D1993="",0,IF(OR(AND(P1993&lt;&gt;"",S1993=""),AND(N(J1993)&gt;0,N(K1993)&lt;J1993),OR(M1993="PENDENTE",M1993="PARCIAL"),OR(N1993="PENDENTE",N1993="PARCIAL")),1,0))</f>
        <v/>
      </c>
      <c r="W1993" s="8">
        <f>IF(AND(V1993=1,D1993&lt;&gt;""),IF(D1993&gt;=corte,(B1993="CRÍTICO")*1E9+(100000-D1993)*10000+10000-ROW(),""),"")</f>
        <v/>
      </c>
      <c r="X1993" s="8">
        <f>IF(AND(V1993=1,D1993=pas_data,E1993=pas_turno),10000-ROW(),"")</f>
        <v/>
      </c>
    </row>
    <row r="1994">
      <c r="A1994" s="3">
        <f>IF(D1994="","","TT-"&amp;TEXT(ROW()-1,"00000"))</f>
        <v/>
      </c>
      <c r="B1994" s="3">
        <f>IF(D1994="","",IF(V1994=0,"CONCLUÍDO",IF(D1994&lt;corte,"HISTÓRICO",IF(OR(AND(ISNUMBER(R1994),R1994&lt;TODAY()),AND(OR(N1994="PENDENTE",N1994="PARCIAL"),D1994&lt;TODAY()-1)),"CRÍTICO",IF(OR(AND(P1994&lt;&gt;"",S1994=""),AND(N1994="REALIZADO",M1994="PENDENTE"),AND(ISNUMBER(R1994),R1994=TODAY())),"ATENÇÃO",IF(N(K1994)=0,"PENDENTE","EM ANDAMENTO"))))))</f>
        <v/>
      </c>
      <c r="C1994" s="3">
        <f>IF(D1994="","",IF(V1994=0,"🟢 OK",IF(D1994&lt;corte,"⚪ HISTÓRICO (sem baixa)",IF(AND(ISNUMBER(R1994),R1994&lt;TODAY()),"🔴 PRAZO VENCIDO",IF(AND(OR(N1994="PENDENTE",N1994="PARCIAL"),D1994&lt;TODAY()-1),"🔴 EMBARQUE ATRASADO",IF(AND(N1994="REALIZADO",M1994="PENDENTE"),"🟡 EMBARCADO SEM FATURAR",IF(AND(P1994&lt;&gt;"",S1994="",OR(Q1994="",R1994="")),"🟡 PENDÊNCIA SEM RESPONSÁVEL/PRAZO",IF(AND(ISNUMBER(R1994),R1994=TODAY()),"🟡 VENCE HOJE",IF(AND(P1994&lt;&gt;"",S1994=""),"🟡 PENDÊNCIA ABERTA",IF(AND(N(J1994)&gt;0,N(K1994)&lt;J1994),"🟡 FALTA EXECUTAR",IF(OR(M1994="PENDENTE",M1994="PARCIAL"),"🟡 FATURAMENTO PENDENTE","🟡 EMBARQUE PENDENTE")))))))))))</f>
        <v/>
      </c>
      <c r="D1994" s="4" t="n"/>
      <c r="E1994" s="5" t="n"/>
      <c r="F1994" s="5" t="n"/>
      <c r="G1994" s="5" t="n"/>
      <c r="H1994" s="5" t="n"/>
      <c r="I1994" s="5" t="n"/>
      <c r="J1994" s="6" t="n"/>
      <c r="K1994" s="6" t="n"/>
      <c r="L1994" s="7">
        <f>IF(OR(D1994="",N(J1994)=0),"",MIN(1,N(K1994)/J1994))</f>
        <v/>
      </c>
      <c r="M1994" s="5" t="n"/>
      <c r="N1994" s="5" t="n"/>
      <c r="O1994" s="5" t="n"/>
      <c r="P1994" s="5" t="n"/>
      <c r="Q1994" s="5" t="n"/>
      <c r="R1994" s="4" t="n"/>
      <c r="S1994" s="4" t="n"/>
      <c r="T1994" s="5" t="n"/>
      <c r="U1994" s="8">
        <f>IF(AND(V1994=1,D1994&lt;&gt;""),IF(D1994&gt;=corte,TODAY()-D1994,""),"")</f>
        <v/>
      </c>
      <c r="V1994" s="8">
        <f>IF(D1994="",0,IF(OR(AND(P1994&lt;&gt;"",S1994=""),AND(N(J1994)&gt;0,N(K1994)&lt;J1994),OR(M1994="PENDENTE",M1994="PARCIAL"),OR(N1994="PENDENTE",N1994="PARCIAL")),1,0))</f>
        <v/>
      </c>
      <c r="W1994" s="8">
        <f>IF(AND(V1994=1,D1994&lt;&gt;""),IF(D1994&gt;=corte,(B1994="CRÍTICO")*1E9+(100000-D1994)*10000+10000-ROW(),""),"")</f>
        <v/>
      </c>
      <c r="X1994" s="8">
        <f>IF(AND(V1994=1,D1994=pas_data,E1994=pas_turno),10000-ROW(),"")</f>
        <v/>
      </c>
    </row>
    <row r="1995">
      <c r="A1995" s="3">
        <f>IF(D1995="","","TT-"&amp;TEXT(ROW()-1,"00000"))</f>
        <v/>
      </c>
      <c r="B1995" s="3">
        <f>IF(D1995="","",IF(V1995=0,"CONCLUÍDO",IF(D1995&lt;corte,"HISTÓRICO",IF(OR(AND(ISNUMBER(R1995),R1995&lt;TODAY()),AND(OR(N1995="PENDENTE",N1995="PARCIAL"),D1995&lt;TODAY()-1)),"CRÍTICO",IF(OR(AND(P1995&lt;&gt;"",S1995=""),AND(N1995="REALIZADO",M1995="PENDENTE"),AND(ISNUMBER(R1995),R1995=TODAY())),"ATENÇÃO",IF(N(K1995)=0,"PENDENTE","EM ANDAMENTO"))))))</f>
        <v/>
      </c>
      <c r="C1995" s="3">
        <f>IF(D1995="","",IF(V1995=0,"🟢 OK",IF(D1995&lt;corte,"⚪ HISTÓRICO (sem baixa)",IF(AND(ISNUMBER(R1995),R1995&lt;TODAY()),"🔴 PRAZO VENCIDO",IF(AND(OR(N1995="PENDENTE",N1995="PARCIAL"),D1995&lt;TODAY()-1),"🔴 EMBARQUE ATRASADO",IF(AND(N1995="REALIZADO",M1995="PENDENTE"),"🟡 EMBARCADO SEM FATURAR",IF(AND(P1995&lt;&gt;"",S1995="",OR(Q1995="",R1995="")),"🟡 PENDÊNCIA SEM RESPONSÁVEL/PRAZO",IF(AND(ISNUMBER(R1995),R1995=TODAY()),"🟡 VENCE HOJE",IF(AND(P1995&lt;&gt;"",S1995=""),"🟡 PENDÊNCIA ABERTA",IF(AND(N(J1995)&gt;0,N(K1995)&lt;J1995),"🟡 FALTA EXECUTAR",IF(OR(M1995="PENDENTE",M1995="PARCIAL"),"🟡 FATURAMENTO PENDENTE","🟡 EMBARQUE PENDENTE")))))))))))</f>
        <v/>
      </c>
      <c r="D1995" s="4" t="n"/>
      <c r="E1995" s="5" t="n"/>
      <c r="F1995" s="5" t="n"/>
      <c r="G1995" s="5" t="n"/>
      <c r="H1995" s="5" t="n"/>
      <c r="I1995" s="5" t="n"/>
      <c r="J1995" s="6" t="n"/>
      <c r="K1995" s="6" t="n"/>
      <c r="L1995" s="7">
        <f>IF(OR(D1995="",N(J1995)=0),"",MIN(1,N(K1995)/J1995))</f>
        <v/>
      </c>
      <c r="M1995" s="5" t="n"/>
      <c r="N1995" s="5" t="n"/>
      <c r="O1995" s="5" t="n"/>
      <c r="P1995" s="5" t="n"/>
      <c r="Q1995" s="5" t="n"/>
      <c r="R1995" s="4" t="n"/>
      <c r="S1995" s="4" t="n"/>
      <c r="T1995" s="5" t="n"/>
      <c r="U1995" s="8">
        <f>IF(AND(V1995=1,D1995&lt;&gt;""),IF(D1995&gt;=corte,TODAY()-D1995,""),"")</f>
        <v/>
      </c>
      <c r="V1995" s="8">
        <f>IF(D1995="",0,IF(OR(AND(P1995&lt;&gt;"",S1995=""),AND(N(J1995)&gt;0,N(K1995)&lt;J1995),OR(M1995="PENDENTE",M1995="PARCIAL"),OR(N1995="PENDENTE",N1995="PARCIAL")),1,0))</f>
        <v/>
      </c>
      <c r="W1995" s="8">
        <f>IF(AND(V1995=1,D1995&lt;&gt;""),IF(D1995&gt;=corte,(B1995="CRÍTICO")*1E9+(100000-D1995)*10000+10000-ROW(),""),"")</f>
        <v/>
      </c>
      <c r="X1995" s="8">
        <f>IF(AND(V1995=1,D1995=pas_data,E1995=pas_turno),10000-ROW(),"")</f>
        <v/>
      </c>
    </row>
    <row r="1996">
      <c r="A1996" s="3">
        <f>IF(D1996="","","TT-"&amp;TEXT(ROW()-1,"00000"))</f>
        <v/>
      </c>
      <c r="B1996" s="3">
        <f>IF(D1996="","",IF(V1996=0,"CONCLUÍDO",IF(D1996&lt;corte,"HISTÓRICO",IF(OR(AND(ISNUMBER(R1996),R1996&lt;TODAY()),AND(OR(N1996="PENDENTE",N1996="PARCIAL"),D1996&lt;TODAY()-1)),"CRÍTICO",IF(OR(AND(P1996&lt;&gt;"",S1996=""),AND(N1996="REALIZADO",M1996="PENDENTE"),AND(ISNUMBER(R1996),R1996=TODAY())),"ATENÇÃO",IF(N(K1996)=0,"PENDENTE","EM ANDAMENTO"))))))</f>
        <v/>
      </c>
      <c r="C1996" s="3">
        <f>IF(D1996="","",IF(V1996=0,"🟢 OK",IF(D1996&lt;corte,"⚪ HISTÓRICO (sem baixa)",IF(AND(ISNUMBER(R1996),R1996&lt;TODAY()),"🔴 PRAZO VENCIDO",IF(AND(OR(N1996="PENDENTE",N1996="PARCIAL"),D1996&lt;TODAY()-1),"🔴 EMBARQUE ATRASADO",IF(AND(N1996="REALIZADO",M1996="PENDENTE"),"🟡 EMBARCADO SEM FATURAR",IF(AND(P1996&lt;&gt;"",S1996="",OR(Q1996="",R1996="")),"🟡 PENDÊNCIA SEM RESPONSÁVEL/PRAZO",IF(AND(ISNUMBER(R1996),R1996=TODAY()),"🟡 VENCE HOJE",IF(AND(P1996&lt;&gt;"",S1996=""),"🟡 PENDÊNCIA ABERTA",IF(AND(N(J1996)&gt;0,N(K1996)&lt;J1996),"🟡 FALTA EXECUTAR",IF(OR(M1996="PENDENTE",M1996="PARCIAL"),"🟡 FATURAMENTO PENDENTE","🟡 EMBARQUE PENDENTE")))))))))))</f>
        <v/>
      </c>
      <c r="D1996" s="4" t="n"/>
      <c r="E1996" s="5" t="n"/>
      <c r="F1996" s="5" t="n"/>
      <c r="G1996" s="5" t="n"/>
      <c r="H1996" s="5" t="n"/>
      <c r="I1996" s="5" t="n"/>
      <c r="J1996" s="6" t="n"/>
      <c r="K1996" s="6" t="n"/>
      <c r="L1996" s="7">
        <f>IF(OR(D1996="",N(J1996)=0),"",MIN(1,N(K1996)/J1996))</f>
        <v/>
      </c>
      <c r="M1996" s="5" t="n"/>
      <c r="N1996" s="5" t="n"/>
      <c r="O1996" s="5" t="n"/>
      <c r="P1996" s="5" t="n"/>
      <c r="Q1996" s="5" t="n"/>
      <c r="R1996" s="4" t="n"/>
      <c r="S1996" s="4" t="n"/>
      <c r="T1996" s="5" t="n"/>
      <c r="U1996" s="8">
        <f>IF(AND(V1996=1,D1996&lt;&gt;""),IF(D1996&gt;=corte,TODAY()-D1996,""),"")</f>
        <v/>
      </c>
      <c r="V1996" s="8">
        <f>IF(D1996="",0,IF(OR(AND(P1996&lt;&gt;"",S1996=""),AND(N(J1996)&gt;0,N(K1996)&lt;J1996),OR(M1996="PENDENTE",M1996="PARCIAL"),OR(N1996="PENDENTE",N1996="PARCIAL")),1,0))</f>
        <v/>
      </c>
      <c r="W1996" s="8">
        <f>IF(AND(V1996=1,D1996&lt;&gt;""),IF(D1996&gt;=corte,(B1996="CRÍTICO")*1E9+(100000-D1996)*10000+10000-ROW(),""),"")</f>
        <v/>
      </c>
      <c r="X1996" s="8">
        <f>IF(AND(V1996=1,D1996=pas_data,E1996=pas_turno),10000-ROW(),"")</f>
        <v/>
      </c>
    </row>
    <row r="1997">
      <c r="A1997" s="3">
        <f>IF(D1997="","","TT-"&amp;TEXT(ROW()-1,"00000"))</f>
        <v/>
      </c>
      <c r="B1997" s="3">
        <f>IF(D1997="","",IF(V1997=0,"CONCLUÍDO",IF(D1997&lt;corte,"HISTÓRICO",IF(OR(AND(ISNUMBER(R1997),R1997&lt;TODAY()),AND(OR(N1997="PENDENTE",N1997="PARCIAL"),D1997&lt;TODAY()-1)),"CRÍTICO",IF(OR(AND(P1997&lt;&gt;"",S1997=""),AND(N1997="REALIZADO",M1997="PENDENTE"),AND(ISNUMBER(R1997),R1997=TODAY())),"ATENÇÃO",IF(N(K1997)=0,"PENDENTE","EM ANDAMENTO"))))))</f>
        <v/>
      </c>
      <c r="C1997" s="3">
        <f>IF(D1997="","",IF(V1997=0,"🟢 OK",IF(D1997&lt;corte,"⚪ HISTÓRICO (sem baixa)",IF(AND(ISNUMBER(R1997),R1997&lt;TODAY()),"🔴 PRAZO VENCIDO",IF(AND(OR(N1997="PENDENTE",N1997="PARCIAL"),D1997&lt;TODAY()-1),"🔴 EMBARQUE ATRASADO",IF(AND(N1997="REALIZADO",M1997="PENDENTE"),"🟡 EMBARCADO SEM FATURAR",IF(AND(P1997&lt;&gt;"",S1997="",OR(Q1997="",R1997="")),"🟡 PENDÊNCIA SEM RESPONSÁVEL/PRAZO",IF(AND(ISNUMBER(R1997),R1997=TODAY()),"🟡 VENCE HOJE",IF(AND(P1997&lt;&gt;"",S1997=""),"🟡 PENDÊNCIA ABERTA",IF(AND(N(J1997)&gt;0,N(K1997)&lt;J1997),"🟡 FALTA EXECUTAR",IF(OR(M1997="PENDENTE",M1997="PARCIAL"),"🟡 FATURAMENTO PENDENTE","🟡 EMBARQUE PENDENTE")))))))))))</f>
        <v/>
      </c>
      <c r="D1997" s="4" t="n"/>
      <c r="E1997" s="5" t="n"/>
      <c r="F1997" s="5" t="n"/>
      <c r="G1997" s="5" t="n"/>
      <c r="H1997" s="5" t="n"/>
      <c r="I1997" s="5" t="n"/>
      <c r="J1997" s="6" t="n"/>
      <c r="K1997" s="6" t="n"/>
      <c r="L1997" s="7">
        <f>IF(OR(D1997="",N(J1997)=0),"",MIN(1,N(K1997)/J1997))</f>
        <v/>
      </c>
      <c r="M1997" s="5" t="n"/>
      <c r="N1997" s="5" t="n"/>
      <c r="O1997" s="5" t="n"/>
      <c r="P1997" s="5" t="n"/>
      <c r="Q1997" s="5" t="n"/>
      <c r="R1997" s="4" t="n"/>
      <c r="S1997" s="4" t="n"/>
      <c r="T1997" s="5" t="n"/>
      <c r="U1997" s="8">
        <f>IF(AND(V1997=1,D1997&lt;&gt;""),IF(D1997&gt;=corte,TODAY()-D1997,""),"")</f>
        <v/>
      </c>
      <c r="V1997" s="8">
        <f>IF(D1997="",0,IF(OR(AND(P1997&lt;&gt;"",S1997=""),AND(N(J1997)&gt;0,N(K1997)&lt;J1997),OR(M1997="PENDENTE",M1997="PARCIAL"),OR(N1997="PENDENTE",N1997="PARCIAL")),1,0))</f>
        <v/>
      </c>
      <c r="W1997" s="8">
        <f>IF(AND(V1997=1,D1997&lt;&gt;""),IF(D1997&gt;=corte,(B1997="CRÍTICO")*1E9+(100000-D1997)*10000+10000-ROW(),""),"")</f>
        <v/>
      </c>
      <c r="X1997" s="8">
        <f>IF(AND(V1997=1,D1997=pas_data,E1997=pas_turno),10000-ROW(),"")</f>
        <v/>
      </c>
    </row>
    <row r="1998">
      <c r="A1998" s="3">
        <f>IF(D1998="","","TT-"&amp;TEXT(ROW()-1,"00000"))</f>
        <v/>
      </c>
      <c r="B1998" s="3">
        <f>IF(D1998="","",IF(V1998=0,"CONCLUÍDO",IF(D1998&lt;corte,"HISTÓRICO",IF(OR(AND(ISNUMBER(R1998),R1998&lt;TODAY()),AND(OR(N1998="PENDENTE",N1998="PARCIAL"),D1998&lt;TODAY()-1)),"CRÍTICO",IF(OR(AND(P1998&lt;&gt;"",S1998=""),AND(N1998="REALIZADO",M1998="PENDENTE"),AND(ISNUMBER(R1998),R1998=TODAY())),"ATENÇÃO",IF(N(K1998)=0,"PENDENTE","EM ANDAMENTO"))))))</f>
        <v/>
      </c>
      <c r="C1998" s="3">
        <f>IF(D1998="","",IF(V1998=0,"🟢 OK",IF(D1998&lt;corte,"⚪ HISTÓRICO (sem baixa)",IF(AND(ISNUMBER(R1998),R1998&lt;TODAY()),"🔴 PRAZO VENCIDO",IF(AND(OR(N1998="PENDENTE",N1998="PARCIAL"),D1998&lt;TODAY()-1),"🔴 EMBARQUE ATRASADO",IF(AND(N1998="REALIZADO",M1998="PENDENTE"),"🟡 EMBARCADO SEM FATURAR",IF(AND(P1998&lt;&gt;"",S1998="",OR(Q1998="",R1998="")),"🟡 PENDÊNCIA SEM RESPONSÁVEL/PRAZO",IF(AND(ISNUMBER(R1998),R1998=TODAY()),"🟡 VENCE HOJE",IF(AND(P1998&lt;&gt;"",S1998=""),"🟡 PENDÊNCIA ABERTA",IF(AND(N(J1998)&gt;0,N(K1998)&lt;J1998),"🟡 FALTA EXECUTAR",IF(OR(M1998="PENDENTE",M1998="PARCIAL"),"🟡 FATURAMENTO PENDENTE","🟡 EMBARQUE PENDENTE")))))))))))</f>
        <v/>
      </c>
      <c r="D1998" s="4" t="n"/>
      <c r="E1998" s="5" t="n"/>
      <c r="F1998" s="5" t="n"/>
      <c r="G1998" s="5" t="n"/>
      <c r="H1998" s="5" t="n"/>
      <c r="I1998" s="5" t="n"/>
      <c r="J1998" s="6" t="n"/>
      <c r="K1998" s="6" t="n"/>
      <c r="L1998" s="7">
        <f>IF(OR(D1998="",N(J1998)=0),"",MIN(1,N(K1998)/J1998))</f>
        <v/>
      </c>
      <c r="M1998" s="5" t="n"/>
      <c r="N1998" s="5" t="n"/>
      <c r="O1998" s="5" t="n"/>
      <c r="P1998" s="5" t="n"/>
      <c r="Q1998" s="5" t="n"/>
      <c r="R1998" s="4" t="n"/>
      <c r="S1998" s="4" t="n"/>
      <c r="T1998" s="5" t="n"/>
      <c r="U1998" s="8">
        <f>IF(AND(V1998=1,D1998&lt;&gt;""),IF(D1998&gt;=corte,TODAY()-D1998,""),"")</f>
        <v/>
      </c>
      <c r="V1998" s="8">
        <f>IF(D1998="",0,IF(OR(AND(P1998&lt;&gt;"",S1998=""),AND(N(J1998)&gt;0,N(K1998)&lt;J1998),OR(M1998="PENDENTE",M1998="PARCIAL"),OR(N1998="PENDENTE",N1998="PARCIAL")),1,0))</f>
        <v/>
      </c>
      <c r="W1998" s="8">
        <f>IF(AND(V1998=1,D1998&lt;&gt;""),IF(D1998&gt;=corte,(B1998="CRÍTICO")*1E9+(100000-D1998)*10000+10000-ROW(),""),"")</f>
        <v/>
      </c>
      <c r="X1998" s="8">
        <f>IF(AND(V1998=1,D1998=pas_data,E1998=pas_turno),10000-ROW(),"")</f>
        <v/>
      </c>
    </row>
    <row r="1999">
      <c r="A1999" s="3">
        <f>IF(D1999="","","TT-"&amp;TEXT(ROW()-1,"00000"))</f>
        <v/>
      </c>
      <c r="B1999" s="3">
        <f>IF(D1999="","",IF(V1999=0,"CONCLUÍDO",IF(D1999&lt;corte,"HISTÓRICO",IF(OR(AND(ISNUMBER(R1999),R1999&lt;TODAY()),AND(OR(N1999="PENDENTE",N1999="PARCIAL"),D1999&lt;TODAY()-1)),"CRÍTICO",IF(OR(AND(P1999&lt;&gt;"",S1999=""),AND(N1999="REALIZADO",M1999="PENDENTE"),AND(ISNUMBER(R1999),R1999=TODAY())),"ATENÇÃO",IF(N(K1999)=0,"PENDENTE","EM ANDAMENTO"))))))</f>
        <v/>
      </c>
      <c r="C1999" s="3">
        <f>IF(D1999="","",IF(V1999=0,"🟢 OK",IF(D1999&lt;corte,"⚪ HISTÓRICO (sem baixa)",IF(AND(ISNUMBER(R1999),R1999&lt;TODAY()),"🔴 PRAZO VENCIDO",IF(AND(OR(N1999="PENDENTE",N1999="PARCIAL"),D1999&lt;TODAY()-1),"🔴 EMBARQUE ATRASADO",IF(AND(N1999="REALIZADO",M1999="PENDENTE"),"🟡 EMBARCADO SEM FATURAR",IF(AND(P1999&lt;&gt;"",S1999="",OR(Q1999="",R1999="")),"🟡 PENDÊNCIA SEM RESPONSÁVEL/PRAZO",IF(AND(ISNUMBER(R1999),R1999=TODAY()),"🟡 VENCE HOJE",IF(AND(P1999&lt;&gt;"",S1999=""),"🟡 PENDÊNCIA ABERTA",IF(AND(N(J1999)&gt;0,N(K1999)&lt;J1999),"🟡 FALTA EXECUTAR",IF(OR(M1999="PENDENTE",M1999="PARCIAL"),"🟡 FATURAMENTO PENDENTE","🟡 EMBARQUE PENDENTE")))))))))))</f>
        <v/>
      </c>
      <c r="D1999" s="4" t="n"/>
      <c r="E1999" s="5" t="n"/>
      <c r="F1999" s="5" t="n"/>
      <c r="G1999" s="5" t="n"/>
      <c r="H1999" s="5" t="n"/>
      <c r="I1999" s="5" t="n"/>
      <c r="J1999" s="6" t="n"/>
      <c r="K1999" s="6" t="n"/>
      <c r="L1999" s="7">
        <f>IF(OR(D1999="",N(J1999)=0),"",MIN(1,N(K1999)/J1999))</f>
        <v/>
      </c>
      <c r="M1999" s="5" t="n"/>
      <c r="N1999" s="5" t="n"/>
      <c r="O1999" s="5" t="n"/>
      <c r="P1999" s="5" t="n"/>
      <c r="Q1999" s="5" t="n"/>
      <c r="R1999" s="4" t="n"/>
      <c r="S1999" s="4" t="n"/>
      <c r="T1999" s="5" t="n"/>
      <c r="U1999" s="8">
        <f>IF(AND(V1999=1,D1999&lt;&gt;""),IF(D1999&gt;=corte,TODAY()-D1999,""),"")</f>
        <v/>
      </c>
      <c r="V1999" s="8">
        <f>IF(D1999="",0,IF(OR(AND(P1999&lt;&gt;"",S1999=""),AND(N(J1999)&gt;0,N(K1999)&lt;J1999),OR(M1999="PENDENTE",M1999="PARCIAL"),OR(N1999="PENDENTE",N1999="PARCIAL")),1,0))</f>
        <v/>
      </c>
      <c r="W1999" s="8">
        <f>IF(AND(V1999=1,D1999&lt;&gt;""),IF(D1999&gt;=corte,(B1999="CRÍTICO")*1E9+(100000-D1999)*10000+10000-ROW(),""),"")</f>
        <v/>
      </c>
      <c r="X1999" s="8">
        <f>IF(AND(V1999=1,D1999=pas_data,E1999=pas_turno),10000-ROW(),"")</f>
        <v/>
      </c>
    </row>
    <row r="2000">
      <c r="A2000" s="3">
        <f>IF(D2000="","","TT-"&amp;TEXT(ROW()-1,"00000"))</f>
        <v/>
      </c>
      <c r="B2000" s="3">
        <f>IF(D2000="","",IF(V2000=0,"CONCLUÍDO",IF(D2000&lt;corte,"HISTÓRICO",IF(OR(AND(ISNUMBER(R2000),R2000&lt;TODAY()),AND(OR(N2000="PENDENTE",N2000="PARCIAL"),D2000&lt;TODAY()-1)),"CRÍTICO",IF(OR(AND(P2000&lt;&gt;"",S2000=""),AND(N2000="REALIZADO",M2000="PENDENTE"),AND(ISNUMBER(R2000),R2000=TODAY())),"ATENÇÃO",IF(N(K2000)=0,"PENDENTE","EM ANDAMENTO"))))))</f>
        <v/>
      </c>
      <c r="C2000" s="3">
        <f>IF(D2000="","",IF(V2000=0,"🟢 OK",IF(D2000&lt;corte,"⚪ HISTÓRICO (sem baixa)",IF(AND(ISNUMBER(R2000),R2000&lt;TODAY()),"🔴 PRAZO VENCIDO",IF(AND(OR(N2000="PENDENTE",N2000="PARCIAL"),D2000&lt;TODAY()-1),"🔴 EMBARQUE ATRASADO",IF(AND(N2000="REALIZADO",M2000="PENDENTE"),"🟡 EMBARCADO SEM FATURAR",IF(AND(P2000&lt;&gt;"",S2000="",OR(Q2000="",R2000="")),"🟡 PENDÊNCIA SEM RESPONSÁVEL/PRAZO",IF(AND(ISNUMBER(R2000),R2000=TODAY()),"🟡 VENCE HOJE",IF(AND(P2000&lt;&gt;"",S2000=""),"🟡 PENDÊNCIA ABERTA",IF(AND(N(J2000)&gt;0,N(K2000)&lt;J2000),"🟡 FALTA EXECUTAR",IF(OR(M2000="PENDENTE",M2000="PARCIAL"),"🟡 FATURAMENTO PENDENTE","🟡 EMBARQUE PENDENTE")))))))))))</f>
        <v/>
      </c>
      <c r="D2000" s="4" t="n"/>
      <c r="E2000" s="5" t="n"/>
      <c r="F2000" s="5" t="n"/>
      <c r="G2000" s="5" t="n"/>
      <c r="H2000" s="5" t="n"/>
      <c r="I2000" s="5" t="n"/>
      <c r="J2000" s="6" t="n"/>
      <c r="K2000" s="6" t="n"/>
      <c r="L2000" s="7">
        <f>IF(OR(D2000="",N(J2000)=0),"",MIN(1,N(K2000)/J2000))</f>
        <v/>
      </c>
      <c r="M2000" s="5" t="n"/>
      <c r="N2000" s="5" t="n"/>
      <c r="O2000" s="5" t="n"/>
      <c r="P2000" s="5" t="n"/>
      <c r="Q2000" s="5" t="n"/>
      <c r="R2000" s="4" t="n"/>
      <c r="S2000" s="4" t="n"/>
      <c r="T2000" s="5" t="n"/>
      <c r="U2000" s="8">
        <f>IF(AND(V2000=1,D2000&lt;&gt;""),IF(D2000&gt;=corte,TODAY()-D2000,""),"")</f>
        <v/>
      </c>
      <c r="V2000" s="8">
        <f>IF(D2000="",0,IF(OR(AND(P2000&lt;&gt;"",S2000=""),AND(N(J2000)&gt;0,N(K2000)&lt;J2000),OR(M2000="PENDENTE",M2000="PARCIAL"),OR(N2000="PENDENTE",N2000="PARCIAL")),1,0))</f>
        <v/>
      </c>
      <c r="W2000" s="8">
        <f>IF(AND(V2000=1,D2000&lt;&gt;""),IF(D2000&gt;=corte,(B2000="CRÍTICO")*1E9+(100000-D2000)*10000+10000-ROW(),""),"")</f>
        <v/>
      </c>
      <c r="X2000" s="8">
        <f>IF(AND(V2000=1,D2000=pas_data,E2000=pas_turno),10000-ROW(),"")</f>
        <v/>
      </c>
    </row>
    <row r="2001">
      <c r="A2001" s="3">
        <f>IF(D2001="","","TT-"&amp;TEXT(ROW()-1,"00000"))</f>
        <v/>
      </c>
      <c r="B2001" s="3">
        <f>IF(D2001="","",IF(V2001=0,"CONCLUÍDO",IF(D2001&lt;corte,"HISTÓRICO",IF(OR(AND(ISNUMBER(R2001),R2001&lt;TODAY()),AND(OR(N2001="PENDENTE",N2001="PARCIAL"),D2001&lt;TODAY()-1)),"CRÍTICO",IF(OR(AND(P2001&lt;&gt;"",S2001=""),AND(N2001="REALIZADO",M2001="PENDENTE"),AND(ISNUMBER(R2001),R2001=TODAY())),"ATENÇÃO",IF(N(K2001)=0,"PENDENTE","EM ANDAMENTO"))))))</f>
        <v/>
      </c>
      <c r="C2001" s="3">
        <f>IF(D2001="","",IF(V2001=0,"🟢 OK",IF(D2001&lt;corte,"⚪ HISTÓRICO (sem baixa)",IF(AND(ISNUMBER(R2001),R2001&lt;TODAY()),"🔴 PRAZO VENCIDO",IF(AND(OR(N2001="PENDENTE",N2001="PARCIAL"),D2001&lt;TODAY()-1),"🔴 EMBARQUE ATRASADO",IF(AND(N2001="REALIZADO",M2001="PENDENTE"),"🟡 EMBARCADO SEM FATURAR",IF(AND(P2001&lt;&gt;"",S2001="",OR(Q2001="",R2001="")),"🟡 PENDÊNCIA SEM RESPONSÁVEL/PRAZO",IF(AND(ISNUMBER(R2001),R2001=TODAY()),"🟡 VENCE HOJE",IF(AND(P2001&lt;&gt;"",S2001=""),"🟡 PENDÊNCIA ABERTA",IF(AND(N(J2001)&gt;0,N(K2001)&lt;J2001),"🟡 FALTA EXECUTAR",IF(OR(M2001="PENDENTE",M2001="PARCIAL"),"🟡 FATURAMENTO PENDENTE","🟡 EMBARQUE PENDENTE")))))))))))</f>
        <v/>
      </c>
      <c r="D2001" s="4" t="n"/>
      <c r="E2001" s="5" t="n"/>
      <c r="F2001" s="5" t="n"/>
      <c r="G2001" s="5" t="n"/>
      <c r="H2001" s="5" t="n"/>
      <c r="I2001" s="5" t="n"/>
      <c r="J2001" s="6" t="n"/>
      <c r="K2001" s="6" t="n"/>
      <c r="L2001" s="7">
        <f>IF(OR(D2001="",N(J2001)=0),"",MIN(1,N(K2001)/J2001))</f>
        <v/>
      </c>
      <c r="M2001" s="5" t="n"/>
      <c r="N2001" s="5" t="n"/>
      <c r="O2001" s="5" t="n"/>
      <c r="P2001" s="5" t="n"/>
      <c r="Q2001" s="5" t="n"/>
      <c r="R2001" s="4" t="n"/>
      <c r="S2001" s="4" t="n"/>
      <c r="T2001" s="5" t="n"/>
      <c r="U2001" s="8">
        <f>IF(AND(V2001=1,D2001&lt;&gt;""),IF(D2001&gt;=corte,TODAY()-D2001,""),"")</f>
        <v/>
      </c>
      <c r="V2001" s="8">
        <f>IF(D2001="",0,IF(OR(AND(P2001&lt;&gt;"",S2001=""),AND(N(J2001)&gt;0,N(K2001)&lt;J2001),OR(M2001="PENDENTE",M2001="PARCIAL"),OR(N2001="PENDENTE",N2001="PARCIAL")),1,0))</f>
        <v/>
      </c>
      <c r="W2001" s="8">
        <f>IF(AND(V2001=1,D2001&lt;&gt;""),IF(D2001&gt;=corte,(B2001="CRÍTICO")*1E9+(100000-D2001)*10000+10000-ROW(),""),"")</f>
        <v/>
      </c>
      <c r="X2001" s="8">
        <f>IF(AND(V2001=1,D2001=pas_data,E2001=pas_turno),10000-ROW(),"")</f>
        <v/>
      </c>
    </row>
    <row r="2002">
      <c r="A2002" s="3">
        <f>IF(D2002="","","TT-"&amp;TEXT(ROW()-1,"00000"))</f>
        <v/>
      </c>
      <c r="B2002" s="3">
        <f>IF(D2002="","",IF(V2002=0,"CONCLUÍDO",IF(D2002&lt;corte,"HISTÓRICO",IF(OR(AND(ISNUMBER(R2002),R2002&lt;TODAY()),AND(OR(N2002="PENDENTE",N2002="PARCIAL"),D2002&lt;TODAY()-1)),"CRÍTICO",IF(OR(AND(P2002&lt;&gt;"",S2002=""),AND(N2002="REALIZADO",M2002="PENDENTE"),AND(ISNUMBER(R2002),R2002=TODAY())),"ATENÇÃO",IF(N(K2002)=0,"PENDENTE","EM ANDAMENTO"))))))</f>
        <v/>
      </c>
      <c r="C2002" s="3">
        <f>IF(D2002="","",IF(V2002=0,"🟢 OK",IF(D2002&lt;corte,"⚪ HISTÓRICO (sem baixa)",IF(AND(ISNUMBER(R2002),R2002&lt;TODAY()),"🔴 PRAZO VENCIDO",IF(AND(OR(N2002="PENDENTE",N2002="PARCIAL"),D2002&lt;TODAY()-1),"🔴 EMBARQUE ATRASADO",IF(AND(N2002="REALIZADO",M2002="PENDENTE"),"🟡 EMBARCADO SEM FATURAR",IF(AND(P2002&lt;&gt;"",S2002="",OR(Q2002="",R2002="")),"🟡 PENDÊNCIA SEM RESPONSÁVEL/PRAZO",IF(AND(ISNUMBER(R2002),R2002=TODAY()),"🟡 VENCE HOJE",IF(AND(P2002&lt;&gt;"",S2002=""),"🟡 PENDÊNCIA ABERTA",IF(AND(N(J2002)&gt;0,N(K2002)&lt;J2002),"🟡 FALTA EXECUTAR",IF(OR(M2002="PENDENTE",M2002="PARCIAL"),"🟡 FATURAMENTO PENDENTE","🟡 EMBARQUE PENDENTE")))))))))))</f>
        <v/>
      </c>
      <c r="D2002" s="4" t="n"/>
      <c r="E2002" s="5" t="n"/>
      <c r="F2002" s="5" t="n"/>
      <c r="G2002" s="5" t="n"/>
      <c r="H2002" s="5" t="n"/>
      <c r="I2002" s="5" t="n"/>
      <c r="J2002" s="6" t="n"/>
      <c r="K2002" s="6" t="n"/>
      <c r="L2002" s="7">
        <f>IF(OR(D2002="",N(J2002)=0),"",MIN(1,N(K2002)/J2002))</f>
        <v/>
      </c>
      <c r="M2002" s="5" t="n"/>
      <c r="N2002" s="5" t="n"/>
      <c r="O2002" s="5" t="n"/>
      <c r="P2002" s="5" t="n"/>
      <c r="Q2002" s="5" t="n"/>
      <c r="R2002" s="4" t="n"/>
      <c r="S2002" s="4" t="n"/>
      <c r="T2002" s="5" t="n"/>
      <c r="U2002" s="8">
        <f>IF(AND(V2002=1,D2002&lt;&gt;""),IF(D2002&gt;=corte,TODAY()-D2002,""),"")</f>
        <v/>
      </c>
      <c r="V2002" s="8">
        <f>IF(D2002="",0,IF(OR(AND(P2002&lt;&gt;"",S2002=""),AND(N(J2002)&gt;0,N(K2002)&lt;J2002),OR(M2002="PENDENTE",M2002="PARCIAL"),OR(N2002="PENDENTE",N2002="PARCIAL")),1,0))</f>
        <v/>
      </c>
      <c r="W2002" s="8">
        <f>IF(AND(V2002=1,D2002&lt;&gt;""),IF(D2002&gt;=corte,(B2002="CRÍTICO")*1E9+(100000-D2002)*10000+10000-ROW(),""),"")</f>
        <v/>
      </c>
      <c r="X2002" s="8">
        <f>IF(AND(V2002=1,D2002=pas_data,E2002=pas_turno),10000-ROW(),"")</f>
        <v/>
      </c>
    </row>
    <row r="2003">
      <c r="A2003" s="3">
        <f>IF(D2003="","","TT-"&amp;TEXT(ROW()-1,"00000"))</f>
        <v/>
      </c>
      <c r="B2003" s="3">
        <f>IF(D2003="","",IF(V2003=0,"CONCLUÍDO",IF(D2003&lt;corte,"HISTÓRICO",IF(OR(AND(ISNUMBER(R2003),R2003&lt;TODAY()),AND(OR(N2003="PENDENTE",N2003="PARCIAL"),D2003&lt;TODAY()-1)),"CRÍTICO",IF(OR(AND(P2003&lt;&gt;"",S2003=""),AND(N2003="REALIZADO",M2003="PENDENTE"),AND(ISNUMBER(R2003),R2003=TODAY())),"ATENÇÃO",IF(N(K2003)=0,"PENDENTE","EM ANDAMENTO"))))))</f>
        <v/>
      </c>
      <c r="C2003" s="3">
        <f>IF(D2003="","",IF(V2003=0,"🟢 OK",IF(D2003&lt;corte,"⚪ HISTÓRICO (sem baixa)",IF(AND(ISNUMBER(R2003),R2003&lt;TODAY()),"🔴 PRAZO VENCIDO",IF(AND(OR(N2003="PENDENTE",N2003="PARCIAL"),D2003&lt;TODAY()-1),"🔴 EMBARQUE ATRASADO",IF(AND(N2003="REALIZADO",M2003="PENDENTE"),"🟡 EMBARCADO SEM FATURAR",IF(AND(P2003&lt;&gt;"",S2003="",OR(Q2003="",R2003="")),"🟡 PENDÊNCIA SEM RESPONSÁVEL/PRAZO",IF(AND(ISNUMBER(R2003),R2003=TODAY()),"🟡 VENCE HOJE",IF(AND(P2003&lt;&gt;"",S2003=""),"🟡 PENDÊNCIA ABERTA",IF(AND(N(J2003)&gt;0,N(K2003)&lt;J2003),"🟡 FALTA EXECUTAR",IF(OR(M2003="PENDENTE",M2003="PARCIAL"),"🟡 FATURAMENTO PENDENTE","🟡 EMBARQUE PENDENTE")))))))))))</f>
        <v/>
      </c>
      <c r="D2003" s="4" t="n"/>
      <c r="E2003" s="5" t="n"/>
      <c r="F2003" s="5" t="n"/>
      <c r="G2003" s="5" t="n"/>
      <c r="H2003" s="5" t="n"/>
      <c r="I2003" s="5" t="n"/>
      <c r="J2003" s="6" t="n"/>
      <c r="K2003" s="6" t="n"/>
      <c r="L2003" s="7">
        <f>IF(OR(D2003="",N(J2003)=0),"",MIN(1,N(K2003)/J2003))</f>
        <v/>
      </c>
      <c r="M2003" s="5" t="n"/>
      <c r="N2003" s="5" t="n"/>
      <c r="O2003" s="5" t="n"/>
      <c r="P2003" s="5" t="n"/>
      <c r="Q2003" s="5" t="n"/>
      <c r="R2003" s="4" t="n"/>
      <c r="S2003" s="4" t="n"/>
      <c r="T2003" s="5" t="n"/>
      <c r="U2003" s="8">
        <f>IF(AND(V2003=1,D2003&lt;&gt;""),IF(D2003&gt;=corte,TODAY()-D2003,""),"")</f>
        <v/>
      </c>
      <c r="V2003" s="8">
        <f>IF(D2003="",0,IF(OR(AND(P2003&lt;&gt;"",S2003=""),AND(N(J2003)&gt;0,N(K2003)&lt;J2003),OR(M2003="PENDENTE",M2003="PARCIAL"),OR(N2003="PENDENTE",N2003="PARCIAL")),1,0))</f>
        <v/>
      </c>
      <c r="W2003" s="8">
        <f>IF(AND(V2003=1,D2003&lt;&gt;""),IF(D2003&gt;=corte,(B2003="CRÍTICO")*1E9+(100000-D2003)*10000+10000-ROW(),""),"")</f>
        <v/>
      </c>
      <c r="X2003" s="8">
        <f>IF(AND(V2003=1,D2003=pas_data,E2003=pas_turno),10000-ROW(),"")</f>
        <v/>
      </c>
    </row>
    <row r="2004">
      <c r="A2004" s="3">
        <f>IF(D2004="","","TT-"&amp;TEXT(ROW()-1,"00000"))</f>
        <v/>
      </c>
      <c r="B2004" s="3">
        <f>IF(D2004="","",IF(V2004=0,"CONCLUÍDO",IF(D2004&lt;corte,"HISTÓRICO",IF(OR(AND(ISNUMBER(R2004),R2004&lt;TODAY()),AND(OR(N2004="PENDENTE",N2004="PARCIAL"),D2004&lt;TODAY()-1)),"CRÍTICO",IF(OR(AND(P2004&lt;&gt;"",S2004=""),AND(N2004="REALIZADO",M2004="PENDENTE"),AND(ISNUMBER(R2004),R2004=TODAY())),"ATENÇÃO",IF(N(K2004)=0,"PENDENTE","EM ANDAMENTO"))))))</f>
        <v/>
      </c>
      <c r="C2004" s="3">
        <f>IF(D2004="","",IF(V2004=0,"🟢 OK",IF(D2004&lt;corte,"⚪ HISTÓRICO (sem baixa)",IF(AND(ISNUMBER(R2004),R2004&lt;TODAY()),"🔴 PRAZO VENCIDO",IF(AND(OR(N2004="PENDENTE",N2004="PARCIAL"),D2004&lt;TODAY()-1),"🔴 EMBARQUE ATRASADO",IF(AND(N2004="REALIZADO",M2004="PENDENTE"),"🟡 EMBARCADO SEM FATURAR",IF(AND(P2004&lt;&gt;"",S2004="",OR(Q2004="",R2004="")),"🟡 PENDÊNCIA SEM RESPONSÁVEL/PRAZO",IF(AND(ISNUMBER(R2004),R2004=TODAY()),"🟡 VENCE HOJE",IF(AND(P2004&lt;&gt;"",S2004=""),"🟡 PENDÊNCIA ABERTA",IF(AND(N(J2004)&gt;0,N(K2004)&lt;J2004),"🟡 FALTA EXECUTAR",IF(OR(M2004="PENDENTE",M2004="PARCIAL"),"🟡 FATURAMENTO PENDENTE","🟡 EMBARQUE PENDENTE")))))))))))</f>
        <v/>
      </c>
      <c r="D2004" s="4" t="n"/>
      <c r="E2004" s="5" t="n"/>
      <c r="F2004" s="5" t="n"/>
      <c r="G2004" s="5" t="n"/>
      <c r="H2004" s="5" t="n"/>
      <c r="I2004" s="5" t="n"/>
      <c r="J2004" s="6" t="n"/>
      <c r="K2004" s="6" t="n"/>
      <c r="L2004" s="7">
        <f>IF(OR(D2004="",N(J2004)=0),"",MIN(1,N(K2004)/J2004))</f>
        <v/>
      </c>
      <c r="M2004" s="5" t="n"/>
      <c r="N2004" s="5" t="n"/>
      <c r="O2004" s="5" t="n"/>
      <c r="P2004" s="5" t="n"/>
      <c r="Q2004" s="5" t="n"/>
      <c r="R2004" s="4" t="n"/>
      <c r="S2004" s="4" t="n"/>
      <c r="T2004" s="5" t="n"/>
      <c r="U2004" s="8">
        <f>IF(AND(V2004=1,D2004&lt;&gt;""),IF(D2004&gt;=corte,TODAY()-D2004,""),"")</f>
        <v/>
      </c>
      <c r="V2004" s="8">
        <f>IF(D2004="",0,IF(OR(AND(P2004&lt;&gt;"",S2004=""),AND(N(J2004)&gt;0,N(K2004)&lt;J2004),OR(M2004="PENDENTE",M2004="PARCIAL"),OR(N2004="PENDENTE",N2004="PARCIAL")),1,0))</f>
        <v/>
      </c>
      <c r="W2004" s="8">
        <f>IF(AND(V2004=1,D2004&lt;&gt;""),IF(D2004&gt;=corte,(B2004="CRÍTICO")*1E9+(100000-D2004)*10000+10000-ROW(),""),"")</f>
        <v/>
      </c>
      <c r="X2004" s="8">
        <f>IF(AND(V2004=1,D2004=pas_data,E2004=pas_turno),10000-ROW(),"")</f>
        <v/>
      </c>
    </row>
    <row r="2005">
      <c r="A2005" s="3">
        <f>IF(D2005="","","TT-"&amp;TEXT(ROW()-1,"00000"))</f>
        <v/>
      </c>
      <c r="B2005" s="3">
        <f>IF(D2005="","",IF(V2005=0,"CONCLUÍDO",IF(D2005&lt;corte,"HISTÓRICO",IF(OR(AND(ISNUMBER(R2005),R2005&lt;TODAY()),AND(OR(N2005="PENDENTE",N2005="PARCIAL"),D2005&lt;TODAY()-1)),"CRÍTICO",IF(OR(AND(P2005&lt;&gt;"",S2005=""),AND(N2005="REALIZADO",M2005="PENDENTE"),AND(ISNUMBER(R2005),R2005=TODAY())),"ATENÇÃO",IF(N(K2005)=0,"PENDENTE","EM ANDAMENTO"))))))</f>
        <v/>
      </c>
      <c r="C2005" s="3">
        <f>IF(D2005="","",IF(V2005=0,"🟢 OK",IF(D2005&lt;corte,"⚪ HISTÓRICO (sem baixa)",IF(AND(ISNUMBER(R2005),R2005&lt;TODAY()),"🔴 PRAZO VENCIDO",IF(AND(OR(N2005="PENDENTE",N2005="PARCIAL"),D2005&lt;TODAY()-1),"🔴 EMBARQUE ATRASADO",IF(AND(N2005="REALIZADO",M2005="PENDENTE"),"🟡 EMBARCADO SEM FATURAR",IF(AND(P2005&lt;&gt;"",S2005="",OR(Q2005="",R2005="")),"🟡 PENDÊNCIA SEM RESPONSÁVEL/PRAZO",IF(AND(ISNUMBER(R2005),R2005=TODAY()),"🟡 VENCE HOJE",IF(AND(P2005&lt;&gt;"",S2005=""),"🟡 PENDÊNCIA ABERTA",IF(AND(N(J2005)&gt;0,N(K2005)&lt;J2005),"🟡 FALTA EXECUTAR",IF(OR(M2005="PENDENTE",M2005="PARCIAL"),"🟡 FATURAMENTO PENDENTE","🟡 EMBARQUE PENDENTE")))))))))))</f>
        <v/>
      </c>
      <c r="D2005" s="4" t="n"/>
      <c r="E2005" s="5" t="n"/>
      <c r="F2005" s="5" t="n"/>
      <c r="G2005" s="5" t="n"/>
      <c r="H2005" s="5" t="n"/>
      <c r="I2005" s="5" t="n"/>
      <c r="J2005" s="6" t="n"/>
      <c r="K2005" s="6" t="n"/>
      <c r="L2005" s="7">
        <f>IF(OR(D2005="",N(J2005)=0),"",MIN(1,N(K2005)/J2005))</f>
        <v/>
      </c>
      <c r="M2005" s="5" t="n"/>
      <c r="N2005" s="5" t="n"/>
      <c r="O2005" s="5" t="n"/>
      <c r="P2005" s="5" t="n"/>
      <c r="Q2005" s="5" t="n"/>
      <c r="R2005" s="4" t="n"/>
      <c r="S2005" s="4" t="n"/>
      <c r="T2005" s="5" t="n"/>
      <c r="U2005" s="8">
        <f>IF(AND(V2005=1,D2005&lt;&gt;""),IF(D2005&gt;=corte,TODAY()-D2005,""),"")</f>
        <v/>
      </c>
      <c r="V2005" s="8">
        <f>IF(D2005="",0,IF(OR(AND(P2005&lt;&gt;"",S2005=""),AND(N(J2005)&gt;0,N(K2005)&lt;J2005),OR(M2005="PENDENTE",M2005="PARCIAL"),OR(N2005="PENDENTE",N2005="PARCIAL")),1,0))</f>
        <v/>
      </c>
      <c r="W2005" s="8">
        <f>IF(AND(V2005=1,D2005&lt;&gt;""),IF(D2005&gt;=corte,(B2005="CRÍTICO")*1E9+(100000-D2005)*10000+10000-ROW(),""),"")</f>
        <v/>
      </c>
      <c r="X2005" s="8">
        <f>IF(AND(V2005=1,D2005=pas_data,E2005=pas_turno),10000-ROW(),"")</f>
        <v/>
      </c>
    </row>
    <row r="2006">
      <c r="A2006" s="3">
        <f>IF(D2006="","","TT-"&amp;TEXT(ROW()-1,"00000"))</f>
        <v/>
      </c>
      <c r="B2006" s="3">
        <f>IF(D2006="","",IF(V2006=0,"CONCLUÍDO",IF(D2006&lt;corte,"HISTÓRICO",IF(OR(AND(ISNUMBER(R2006),R2006&lt;TODAY()),AND(OR(N2006="PENDENTE",N2006="PARCIAL"),D2006&lt;TODAY()-1)),"CRÍTICO",IF(OR(AND(P2006&lt;&gt;"",S2006=""),AND(N2006="REALIZADO",M2006="PENDENTE"),AND(ISNUMBER(R2006),R2006=TODAY())),"ATENÇÃO",IF(N(K2006)=0,"PENDENTE","EM ANDAMENTO"))))))</f>
        <v/>
      </c>
      <c r="C2006" s="3">
        <f>IF(D2006="","",IF(V2006=0,"🟢 OK",IF(D2006&lt;corte,"⚪ HISTÓRICO (sem baixa)",IF(AND(ISNUMBER(R2006),R2006&lt;TODAY()),"🔴 PRAZO VENCIDO",IF(AND(OR(N2006="PENDENTE",N2006="PARCIAL"),D2006&lt;TODAY()-1),"🔴 EMBARQUE ATRASADO",IF(AND(N2006="REALIZADO",M2006="PENDENTE"),"🟡 EMBARCADO SEM FATURAR",IF(AND(P2006&lt;&gt;"",S2006="",OR(Q2006="",R2006="")),"🟡 PENDÊNCIA SEM RESPONSÁVEL/PRAZO",IF(AND(ISNUMBER(R2006),R2006=TODAY()),"🟡 VENCE HOJE",IF(AND(P2006&lt;&gt;"",S2006=""),"🟡 PENDÊNCIA ABERTA",IF(AND(N(J2006)&gt;0,N(K2006)&lt;J2006),"🟡 FALTA EXECUTAR",IF(OR(M2006="PENDENTE",M2006="PARCIAL"),"🟡 FATURAMENTO PENDENTE","🟡 EMBARQUE PENDENTE")))))))))))</f>
        <v/>
      </c>
      <c r="D2006" s="4" t="n"/>
      <c r="E2006" s="5" t="n"/>
      <c r="F2006" s="5" t="n"/>
      <c r="G2006" s="5" t="n"/>
      <c r="H2006" s="5" t="n"/>
      <c r="I2006" s="5" t="n"/>
      <c r="J2006" s="6" t="n"/>
      <c r="K2006" s="6" t="n"/>
      <c r="L2006" s="7">
        <f>IF(OR(D2006="",N(J2006)=0),"",MIN(1,N(K2006)/J2006))</f>
        <v/>
      </c>
      <c r="M2006" s="5" t="n"/>
      <c r="N2006" s="5" t="n"/>
      <c r="O2006" s="5" t="n"/>
      <c r="P2006" s="5" t="n"/>
      <c r="Q2006" s="5" t="n"/>
      <c r="R2006" s="4" t="n"/>
      <c r="S2006" s="4" t="n"/>
      <c r="T2006" s="5" t="n"/>
      <c r="U2006" s="8">
        <f>IF(AND(V2006=1,D2006&lt;&gt;""),IF(D2006&gt;=corte,TODAY()-D2006,""),"")</f>
        <v/>
      </c>
      <c r="V2006" s="8">
        <f>IF(D2006="",0,IF(OR(AND(P2006&lt;&gt;"",S2006=""),AND(N(J2006)&gt;0,N(K2006)&lt;J2006),OR(M2006="PENDENTE",M2006="PARCIAL"),OR(N2006="PENDENTE",N2006="PARCIAL")),1,0))</f>
        <v/>
      </c>
      <c r="W2006" s="8">
        <f>IF(AND(V2006=1,D2006&lt;&gt;""),IF(D2006&gt;=corte,(B2006="CRÍTICO")*1E9+(100000-D2006)*10000+10000-ROW(),""),"")</f>
        <v/>
      </c>
      <c r="X2006" s="8">
        <f>IF(AND(V2006=1,D2006=pas_data,E2006=pas_turno),10000-ROW(),"")</f>
        <v/>
      </c>
    </row>
    <row r="2007">
      <c r="A2007" s="3">
        <f>IF(D2007="","","TT-"&amp;TEXT(ROW()-1,"00000"))</f>
        <v/>
      </c>
      <c r="B2007" s="3">
        <f>IF(D2007="","",IF(V2007=0,"CONCLUÍDO",IF(D2007&lt;corte,"HISTÓRICO",IF(OR(AND(ISNUMBER(R2007),R2007&lt;TODAY()),AND(OR(N2007="PENDENTE",N2007="PARCIAL"),D2007&lt;TODAY()-1)),"CRÍTICO",IF(OR(AND(P2007&lt;&gt;"",S2007=""),AND(N2007="REALIZADO",M2007="PENDENTE"),AND(ISNUMBER(R2007),R2007=TODAY())),"ATENÇÃO",IF(N(K2007)=0,"PENDENTE","EM ANDAMENTO"))))))</f>
        <v/>
      </c>
      <c r="C2007" s="3">
        <f>IF(D2007="","",IF(V2007=0,"🟢 OK",IF(D2007&lt;corte,"⚪ HISTÓRICO (sem baixa)",IF(AND(ISNUMBER(R2007),R2007&lt;TODAY()),"🔴 PRAZO VENCIDO",IF(AND(OR(N2007="PENDENTE",N2007="PARCIAL"),D2007&lt;TODAY()-1),"🔴 EMBARQUE ATRASADO",IF(AND(N2007="REALIZADO",M2007="PENDENTE"),"🟡 EMBARCADO SEM FATURAR",IF(AND(P2007&lt;&gt;"",S2007="",OR(Q2007="",R2007="")),"🟡 PENDÊNCIA SEM RESPONSÁVEL/PRAZO",IF(AND(ISNUMBER(R2007),R2007=TODAY()),"🟡 VENCE HOJE",IF(AND(P2007&lt;&gt;"",S2007=""),"🟡 PENDÊNCIA ABERTA",IF(AND(N(J2007)&gt;0,N(K2007)&lt;J2007),"🟡 FALTA EXECUTAR",IF(OR(M2007="PENDENTE",M2007="PARCIAL"),"🟡 FATURAMENTO PENDENTE","🟡 EMBARQUE PENDENTE")))))))))))</f>
        <v/>
      </c>
      <c r="D2007" s="4" t="n"/>
      <c r="E2007" s="5" t="n"/>
      <c r="F2007" s="5" t="n"/>
      <c r="G2007" s="5" t="n"/>
      <c r="H2007" s="5" t="n"/>
      <c r="I2007" s="5" t="n"/>
      <c r="J2007" s="6" t="n"/>
      <c r="K2007" s="6" t="n"/>
      <c r="L2007" s="7">
        <f>IF(OR(D2007="",N(J2007)=0),"",MIN(1,N(K2007)/J2007))</f>
        <v/>
      </c>
      <c r="M2007" s="5" t="n"/>
      <c r="N2007" s="5" t="n"/>
      <c r="O2007" s="5" t="n"/>
      <c r="P2007" s="5" t="n"/>
      <c r="Q2007" s="5" t="n"/>
      <c r="R2007" s="4" t="n"/>
      <c r="S2007" s="4" t="n"/>
      <c r="T2007" s="5" t="n"/>
      <c r="U2007" s="8">
        <f>IF(AND(V2007=1,D2007&lt;&gt;""),IF(D2007&gt;=corte,TODAY()-D2007,""),"")</f>
        <v/>
      </c>
      <c r="V2007" s="8">
        <f>IF(D2007="",0,IF(OR(AND(P2007&lt;&gt;"",S2007=""),AND(N(J2007)&gt;0,N(K2007)&lt;J2007),OR(M2007="PENDENTE",M2007="PARCIAL"),OR(N2007="PENDENTE",N2007="PARCIAL")),1,0))</f>
        <v/>
      </c>
      <c r="W2007" s="8">
        <f>IF(AND(V2007=1,D2007&lt;&gt;""),IF(D2007&gt;=corte,(B2007="CRÍTICO")*1E9+(100000-D2007)*10000+10000-ROW(),""),"")</f>
        <v/>
      </c>
      <c r="X2007" s="8">
        <f>IF(AND(V2007=1,D2007=pas_data,E2007=pas_turno),10000-ROW(),"")</f>
        <v/>
      </c>
    </row>
    <row r="2008">
      <c r="A2008" s="3">
        <f>IF(D2008="","","TT-"&amp;TEXT(ROW()-1,"00000"))</f>
        <v/>
      </c>
      <c r="B2008" s="3">
        <f>IF(D2008="","",IF(V2008=0,"CONCLUÍDO",IF(D2008&lt;corte,"HISTÓRICO",IF(OR(AND(ISNUMBER(R2008),R2008&lt;TODAY()),AND(OR(N2008="PENDENTE",N2008="PARCIAL"),D2008&lt;TODAY()-1)),"CRÍTICO",IF(OR(AND(P2008&lt;&gt;"",S2008=""),AND(N2008="REALIZADO",M2008="PENDENTE"),AND(ISNUMBER(R2008),R2008=TODAY())),"ATENÇÃO",IF(N(K2008)=0,"PENDENTE","EM ANDAMENTO"))))))</f>
        <v/>
      </c>
      <c r="C2008" s="3">
        <f>IF(D2008="","",IF(V2008=0,"🟢 OK",IF(D2008&lt;corte,"⚪ HISTÓRICO (sem baixa)",IF(AND(ISNUMBER(R2008),R2008&lt;TODAY()),"🔴 PRAZO VENCIDO",IF(AND(OR(N2008="PENDENTE",N2008="PARCIAL"),D2008&lt;TODAY()-1),"🔴 EMBARQUE ATRASADO",IF(AND(N2008="REALIZADO",M2008="PENDENTE"),"🟡 EMBARCADO SEM FATURAR",IF(AND(P2008&lt;&gt;"",S2008="",OR(Q2008="",R2008="")),"🟡 PENDÊNCIA SEM RESPONSÁVEL/PRAZO",IF(AND(ISNUMBER(R2008),R2008=TODAY()),"🟡 VENCE HOJE",IF(AND(P2008&lt;&gt;"",S2008=""),"🟡 PENDÊNCIA ABERTA",IF(AND(N(J2008)&gt;0,N(K2008)&lt;J2008),"🟡 FALTA EXECUTAR",IF(OR(M2008="PENDENTE",M2008="PARCIAL"),"🟡 FATURAMENTO PENDENTE","🟡 EMBARQUE PENDENTE")))))))))))</f>
        <v/>
      </c>
      <c r="D2008" s="4" t="n"/>
      <c r="E2008" s="5" t="n"/>
      <c r="F2008" s="5" t="n"/>
      <c r="G2008" s="5" t="n"/>
      <c r="H2008" s="5" t="n"/>
      <c r="I2008" s="5" t="n"/>
      <c r="J2008" s="6" t="n"/>
      <c r="K2008" s="6" t="n"/>
      <c r="L2008" s="7">
        <f>IF(OR(D2008="",N(J2008)=0),"",MIN(1,N(K2008)/J2008))</f>
        <v/>
      </c>
      <c r="M2008" s="5" t="n"/>
      <c r="N2008" s="5" t="n"/>
      <c r="O2008" s="5" t="n"/>
      <c r="P2008" s="5" t="n"/>
      <c r="Q2008" s="5" t="n"/>
      <c r="R2008" s="4" t="n"/>
      <c r="S2008" s="4" t="n"/>
      <c r="T2008" s="5" t="n"/>
      <c r="U2008" s="8">
        <f>IF(AND(V2008=1,D2008&lt;&gt;""),IF(D2008&gt;=corte,TODAY()-D2008,""),"")</f>
        <v/>
      </c>
      <c r="V2008" s="8">
        <f>IF(D2008="",0,IF(OR(AND(P2008&lt;&gt;"",S2008=""),AND(N(J2008)&gt;0,N(K2008)&lt;J2008),OR(M2008="PENDENTE",M2008="PARCIAL"),OR(N2008="PENDENTE",N2008="PARCIAL")),1,0))</f>
        <v/>
      </c>
      <c r="W2008" s="8">
        <f>IF(AND(V2008=1,D2008&lt;&gt;""),IF(D2008&gt;=corte,(B2008="CRÍTICO")*1E9+(100000-D2008)*10000+10000-ROW(),""),"")</f>
        <v/>
      </c>
      <c r="X2008" s="8">
        <f>IF(AND(V2008=1,D2008=pas_data,E2008=pas_turno),10000-ROW(),"")</f>
        <v/>
      </c>
    </row>
    <row r="2009">
      <c r="A2009" s="3">
        <f>IF(D2009="","","TT-"&amp;TEXT(ROW()-1,"00000"))</f>
        <v/>
      </c>
      <c r="B2009" s="3">
        <f>IF(D2009="","",IF(V2009=0,"CONCLUÍDO",IF(D2009&lt;corte,"HISTÓRICO",IF(OR(AND(ISNUMBER(R2009),R2009&lt;TODAY()),AND(OR(N2009="PENDENTE",N2009="PARCIAL"),D2009&lt;TODAY()-1)),"CRÍTICO",IF(OR(AND(P2009&lt;&gt;"",S2009=""),AND(N2009="REALIZADO",M2009="PENDENTE"),AND(ISNUMBER(R2009),R2009=TODAY())),"ATENÇÃO",IF(N(K2009)=0,"PENDENTE","EM ANDAMENTO"))))))</f>
        <v/>
      </c>
      <c r="C2009" s="3">
        <f>IF(D2009="","",IF(V2009=0,"🟢 OK",IF(D2009&lt;corte,"⚪ HISTÓRICO (sem baixa)",IF(AND(ISNUMBER(R2009),R2009&lt;TODAY()),"🔴 PRAZO VENCIDO",IF(AND(OR(N2009="PENDENTE",N2009="PARCIAL"),D2009&lt;TODAY()-1),"🔴 EMBARQUE ATRASADO",IF(AND(N2009="REALIZADO",M2009="PENDENTE"),"🟡 EMBARCADO SEM FATURAR",IF(AND(P2009&lt;&gt;"",S2009="",OR(Q2009="",R2009="")),"🟡 PENDÊNCIA SEM RESPONSÁVEL/PRAZO",IF(AND(ISNUMBER(R2009),R2009=TODAY()),"🟡 VENCE HOJE",IF(AND(P2009&lt;&gt;"",S2009=""),"🟡 PENDÊNCIA ABERTA",IF(AND(N(J2009)&gt;0,N(K2009)&lt;J2009),"🟡 FALTA EXECUTAR",IF(OR(M2009="PENDENTE",M2009="PARCIAL"),"🟡 FATURAMENTO PENDENTE","🟡 EMBARQUE PENDENTE")))))))))))</f>
        <v/>
      </c>
      <c r="D2009" s="4" t="n"/>
      <c r="E2009" s="5" t="n"/>
      <c r="F2009" s="5" t="n"/>
      <c r="G2009" s="5" t="n"/>
      <c r="H2009" s="5" t="n"/>
      <c r="I2009" s="5" t="n"/>
      <c r="J2009" s="6" t="n"/>
      <c r="K2009" s="6" t="n"/>
      <c r="L2009" s="7">
        <f>IF(OR(D2009="",N(J2009)=0),"",MIN(1,N(K2009)/J2009))</f>
        <v/>
      </c>
      <c r="M2009" s="5" t="n"/>
      <c r="N2009" s="5" t="n"/>
      <c r="O2009" s="5" t="n"/>
      <c r="P2009" s="5" t="n"/>
      <c r="Q2009" s="5" t="n"/>
      <c r="R2009" s="4" t="n"/>
      <c r="S2009" s="4" t="n"/>
      <c r="T2009" s="5" t="n"/>
      <c r="U2009" s="8">
        <f>IF(AND(V2009=1,D2009&lt;&gt;""),IF(D2009&gt;=corte,TODAY()-D2009,""),"")</f>
        <v/>
      </c>
      <c r="V2009" s="8">
        <f>IF(D2009="",0,IF(OR(AND(P2009&lt;&gt;"",S2009=""),AND(N(J2009)&gt;0,N(K2009)&lt;J2009),OR(M2009="PENDENTE",M2009="PARCIAL"),OR(N2009="PENDENTE",N2009="PARCIAL")),1,0))</f>
        <v/>
      </c>
      <c r="W2009" s="8">
        <f>IF(AND(V2009=1,D2009&lt;&gt;""),IF(D2009&gt;=corte,(B2009="CRÍTICO")*1E9+(100000-D2009)*10000+10000-ROW(),""),"")</f>
        <v/>
      </c>
      <c r="X2009" s="8">
        <f>IF(AND(V2009=1,D2009=pas_data,E2009=pas_turno),10000-ROW(),"")</f>
        <v/>
      </c>
    </row>
    <row r="2010">
      <c r="A2010" s="3">
        <f>IF(D2010="","","TT-"&amp;TEXT(ROW()-1,"00000"))</f>
        <v/>
      </c>
      <c r="B2010" s="3">
        <f>IF(D2010="","",IF(V2010=0,"CONCLUÍDO",IF(D2010&lt;corte,"HISTÓRICO",IF(OR(AND(ISNUMBER(R2010),R2010&lt;TODAY()),AND(OR(N2010="PENDENTE",N2010="PARCIAL"),D2010&lt;TODAY()-1)),"CRÍTICO",IF(OR(AND(P2010&lt;&gt;"",S2010=""),AND(N2010="REALIZADO",M2010="PENDENTE"),AND(ISNUMBER(R2010),R2010=TODAY())),"ATENÇÃO",IF(N(K2010)=0,"PENDENTE","EM ANDAMENTO"))))))</f>
        <v/>
      </c>
      <c r="C2010" s="3">
        <f>IF(D2010="","",IF(V2010=0,"🟢 OK",IF(D2010&lt;corte,"⚪ HISTÓRICO (sem baixa)",IF(AND(ISNUMBER(R2010),R2010&lt;TODAY()),"🔴 PRAZO VENCIDO",IF(AND(OR(N2010="PENDENTE",N2010="PARCIAL"),D2010&lt;TODAY()-1),"🔴 EMBARQUE ATRASADO",IF(AND(N2010="REALIZADO",M2010="PENDENTE"),"🟡 EMBARCADO SEM FATURAR",IF(AND(P2010&lt;&gt;"",S2010="",OR(Q2010="",R2010="")),"🟡 PENDÊNCIA SEM RESPONSÁVEL/PRAZO",IF(AND(ISNUMBER(R2010),R2010=TODAY()),"🟡 VENCE HOJE",IF(AND(P2010&lt;&gt;"",S2010=""),"🟡 PENDÊNCIA ABERTA",IF(AND(N(J2010)&gt;0,N(K2010)&lt;J2010),"🟡 FALTA EXECUTAR",IF(OR(M2010="PENDENTE",M2010="PARCIAL"),"🟡 FATURAMENTO PENDENTE","🟡 EMBARQUE PENDENTE")))))))))))</f>
        <v/>
      </c>
      <c r="D2010" s="4" t="n"/>
      <c r="E2010" s="5" t="n"/>
      <c r="F2010" s="5" t="n"/>
      <c r="G2010" s="5" t="n"/>
      <c r="H2010" s="5" t="n"/>
      <c r="I2010" s="5" t="n"/>
      <c r="J2010" s="6" t="n"/>
      <c r="K2010" s="6" t="n"/>
      <c r="L2010" s="7">
        <f>IF(OR(D2010="",N(J2010)=0),"",MIN(1,N(K2010)/J2010))</f>
        <v/>
      </c>
      <c r="M2010" s="5" t="n"/>
      <c r="N2010" s="5" t="n"/>
      <c r="O2010" s="5" t="n"/>
      <c r="P2010" s="5" t="n"/>
      <c r="Q2010" s="5" t="n"/>
      <c r="R2010" s="4" t="n"/>
      <c r="S2010" s="4" t="n"/>
      <c r="T2010" s="5" t="n"/>
      <c r="U2010" s="8">
        <f>IF(AND(V2010=1,D2010&lt;&gt;""),IF(D2010&gt;=corte,TODAY()-D2010,""),"")</f>
        <v/>
      </c>
      <c r="V2010" s="8">
        <f>IF(D2010="",0,IF(OR(AND(P2010&lt;&gt;"",S2010=""),AND(N(J2010)&gt;0,N(K2010)&lt;J2010),OR(M2010="PENDENTE",M2010="PARCIAL"),OR(N2010="PENDENTE",N2010="PARCIAL")),1,0))</f>
        <v/>
      </c>
      <c r="W2010" s="8">
        <f>IF(AND(V2010=1,D2010&lt;&gt;""),IF(D2010&gt;=corte,(B2010="CRÍTICO")*1E9+(100000-D2010)*10000+10000-ROW(),""),"")</f>
        <v/>
      </c>
      <c r="X2010" s="8">
        <f>IF(AND(V2010=1,D2010=pas_data,E2010=pas_turno),10000-ROW(),"")</f>
        <v/>
      </c>
    </row>
    <row r="2011">
      <c r="A2011" s="3">
        <f>IF(D2011="","","TT-"&amp;TEXT(ROW()-1,"00000"))</f>
        <v/>
      </c>
      <c r="B2011" s="3">
        <f>IF(D2011="","",IF(V2011=0,"CONCLUÍDO",IF(D2011&lt;corte,"HISTÓRICO",IF(OR(AND(ISNUMBER(R2011),R2011&lt;TODAY()),AND(OR(N2011="PENDENTE",N2011="PARCIAL"),D2011&lt;TODAY()-1)),"CRÍTICO",IF(OR(AND(P2011&lt;&gt;"",S2011=""),AND(N2011="REALIZADO",M2011="PENDENTE"),AND(ISNUMBER(R2011),R2011=TODAY())),"ATENÇÃO",IF(N(K2011)=0,"PENDENTE","EM ANDAMENTO"))))))</f>
        <v/>
      </c>
      <c r="C2011" s="3">
        <f>IF(D2011="","",IF(V2011=0,"🟢 OK",IF(D2011&lt;corte,"⚪ HISTÓRICO (sem baixa)",IF(AND(ISNUMBER(R2011),R2011&lt;TODAY()),"🔴 PRAZO VENCIDO",IF(AND(OR(N2011="PENDENTE",N2011="PARCIAL"),D2011&lt;TODAY()-1),"🔴 EMBARQUE ATRASADO",IF(AND(N2011="REALIZADO",M2011="PENDENTE"),"🟡 EMBARCADO SEM FATURAR",IF(AND(P2011&lt;&gt;"",S2011="",OR(Q2011="",R2011="")),"🟡 PENDÊNCIA SEM RESPONSÁVEL/PRAZO",IF(AND(ISNUMBER(R2011),R2011=TODAY()),"🟡 VENCE HOJE",IF(AND(P2011&lt;&gt;"",S2011=""),"🟡 PENDÊNCIA ABERTA",IF(AND(N(J2011)&gt;0,N(K2011)&lt;J2011),"🟡 FALTA EXECUTAR",IF(OR(M2011="PENDENTE",M2011="PARCIAL"),"🟡 FATURAMENTO PENDENTE","🟡 EMBARQUE PENDENTE")))))))))))</f>
        <v/>
      </c>
      <c r="D2011" s="4" t="n"/>
      <c r="E2011" s="5" t="n"/>
      <c r="F2011" s="5" t="n"/>
      <c r="G2011" s="5" t="n"/>
      <c r="H2011" s="5" t="n"/>
      <c r="I2011" s="5" t="n"/>
      <c r="J2011" s="6" t="n"/>
      <c r="K2011" s="6" t="n"/>
      <c r="L2011" s="7">
        <f>IF(OR(D2011="",N(J2011)=0),"",MIN(1,N(K2011)/J2011))</f>
        <v/>
      </c>
      <c r="M2011" s="5" t="n"/>
      <c r="N2011" s="5" t="n"/>
      <c r="O2011" s="5" t="n"/>
      <c r="P2011" s="5" t="n"/>
      <c r="Q2011" s="5" t="n"/>
      <c r="R2011" s="4" t="n"/>
      <c r="S2011" s="4" t="n"/>
      <c r="T2011" s="5" t="n"/>
      <c r="U2011" s="8">
        <f>IF(AND(V2011=1,D2011&lt;&gt;""),IF(D2011&gt;=corte,TODAY()-D2011,""),"")</f>
        <v/>
      </c>
      <c r="V2011" s="8">
        <f>IF(D2011="",0,IF(OR(AND(P2011&lt;&gt;"",S2011=""),AND(N(J2011)&gt;0,N(K2011)&lt;J2011),OR(M2011="PENDENTE",M2011="PARCIAL"),OR(N2011="PENDENTE",N2011="PARCIAL")),1,0))</f>
        <v/>
      </c>
      <c r="W2011" s="8">
        <f>IF(AND(V2011=1,D2011&lt;&gt;""),IF(D2011&gt;=corte,(B2011="CRÍTICO")*1E9+(100000-D2011)*10000+10000-ROW(),""),"")</f>
        <v/>
      </c>
      <c r="X2011" s="8">
        <f>IF(AND(V2011=1,D2011=pas_data,E2011=pas_turno),10000-ROW(),"")</f>
        <v/>
      </c>
    </row>
    <row r="2012">
      <c r="A2012" s="3">
        <f>IF(D2012="","","TT-"&amp;TEXT(ROW()-1,"00000"))</f>
        <v/>
      </c>
      <c r="B2012" s="3">
        <f>IF(D2012="","",IF(V2012=0,"CONCLUÍDO",IF(D2012&lt;corte,"HISTÓRICO",IF(OR(AND(ISNUMBER(R2012),R2012&lt;TODAY()),AND(OR(N2012="PENDENTE",N2012="PARCIAL"),D2012&lt;TODAY()-1)),"CRÍTICO",IF(OR(AND(P2012&lt;&gt;"",S2012=""),AND(N2012="REALIZADO",M2012="PENDENTE"),AND(ISNUMBER(R2012),R2012=TODAY())),"ATENÇÃO",IF(N(K2012)=0,"PENDENTE","EM ANDAMENTO"))))))</f>
        <v/>
      </c>
      <c r="C2012" s="3">
        <f>IF(D2012="","",IF(V2012=0,"🟢 OK",IF(D2012&lt;corte,"⚪ HISTÓRICO (sem baixa)",IF(AND(ISNUMBER(R2012),R2012&lt;TODAY()),"🔴 PRAZO VENCIDO",IF(AND(OR(N2012="PENDENTE",N2012="PARCIAL"),D2012&lt;TODAY()-1),"🔴 EMBARQUE ATRASADO",IF(AND(N2012="REALIZADO",M2012="PENDENTE"),"🟡 EMBARCADO SEM FATURAR",IF(AND(P2012&lt;&gt;"",S2012="",OR(Q2012="",R2012="")),"🟡 PENDÊNCIA SEM RESPONSÁVEL/PRAZO",IF(AND(ISNUMBER(R2012),R2012=TODAY()),"🟡 VENCE HOJE",IF(AND(P2012&lt;&gt;"",S2012=""),"🟡 PENDÊNCIA ABERTA",IF(AND(N(J2012)&gt;0,N(K2012)&lt;J2012),"🟡 FALTA EXECUTAR",IF(OR(M2012="PENDENTE",M2012="PARCIAL"),"🟡 FATURAMENTO PENDENTE","🟡 EMBARQUE PENDENTE")))))))))))</f>
        <v/>
      </c>
      <c r="D2012" s="4" t="n"/>
      <c r="E2012" s="5" t="n"/>
      <c r="F2012" s="5" t="n"/>
      <c r="G2012" s="5" t="n"/>
      <c r="H2012" s="5" t="n"/>
      <c r="I2012" s="5" t="n"/>
      <c r="J2012" s="6" t="n"/>
      <c r="K2012" s="6" t="n"/>
      <c r="L2012" s="7">
        <f>IF(OR(D2012="",N(J2012)=0),"",MIN(1,N(K2012)/J2012))</f>
        <v/>
      </c>
      <c r="M2012" s="5" t="n"/>
      <c r="N2012" s="5" t="n"/>
      <c r="O2012" s="5" t="n"/>
      <c r="P2012" s="5" t="n"/>
      <c r="Q2012" s="5" t="n"/>
      <c r="R2012" s="4" t="n"/>
      <c r="S2012" s="4" t="n"/>
      <c r="T2012" s="5" t="n"/>
      <c r="U2012" s="8">
        <f>IF(AND(V2012=1,D2012&lt;&gt;""),IF(D2012&gt;=corte,TODAY()-D2012,""),"")</f>
        <v/>
      </c>
      <c r="V2012" s="8">
        <f>IF(D2012="",0,IF(OR(AND(P2012&lt;&gt;"",S2012=""),AND(N(J2012)&gt;0,N(K2012)&lt;J2012),OR(M2012="PENDENTE",M2012="PARCIAL"),OR(N2012="PENDENTE",N2012="PARCIAL")),1,0))</f>
        <v/>
      </c>
      <c r="W2012" s="8">
        <f>IF(AND(V2012=1,D2012&lt;&gt;""),IF(D2012&gt;=corte,(B2012="CRÍTICO")*1E9+(100000-D2012)*10000+10000-ROW(),""),"")</f>
        <v/>
      </c>
      <c r="X2012" s="8">
        <f>IF(AND(V2012=1,D2012=pas_data,E2012=pas_turno),10000-ROW(),"")</f>
        <v/>
      </c>
    </row>
    <row r="2013">
      <c r="A2013" s="3">
        <f>IF(D2013="","","TT-"&amp;TEXT(ROW()-1,"00000"))</f>
        <v/>
      </c>
      <c r="B2013" s="3">
        <f>IF(D2013="","",IF(V2013=0,"CONCLUÍDO",IF(D2013&lt;corte,"HISTÓRICO",IF(OR(AND(ISNUMBER(R2013),R2013&lt;TODAY()),AND(OR(N2013="PENDENTE",N2013="PARCIAL"),D2013&lt;TODAY()-1)),"CRÍTICO",IF(OR(AND(P2013&lt;&gt;"",S2013=""),AND(N2013="REALIZADO",M2013="PENDENTE"),AND(ISNUMBER(R2013),R2013=TODAY())),"ATENÇÃO",IF(N(K2013)=0,"PENDENTE","EM ANDAMENTO"))))))</f>
        <v/>
      </c>
      <c r="C2013" s="3">
        <f>IF(D2013="","",IF(V2013=0,"🟢 OK",IF(D2013&lt;corte,"⚪ HISTÓRICO (sem baixa)",IF(AND(ISNUMBER(R2013),R2013&lt;TODAY()),"🔴 PRAZO VENCIDO",IF(AND(OR(N2013="PENDENTE",N2013="PARCIAL"),D2013&lt;TODAY()-1),"🔴 EMBARQUE ATRASADO",IF(AND(N2013="REALIZADO",M2013="PENDENTE"),"🟡 EMBARCADO SEM FATURAR",IF(AND(P2013&lt;&gt;"",S2013="",OR(Q2013="",R2013="")),"🟡 PENDÊNCIA SEM RESPONSÁVEL/PRAZO",IF(AND(ISNUMBER(R2013),R2013=TODAY()),"🟡 VENCE HOJE",IF(AND(P2013&lt;&gt;"",S2013=""),"🟡 PENDÊNCIA ABERTA",IF(AND(N(J2013)&gt;0,N(K2013)&lt;J2013),"🟡 FALTA EXECUTAR",IF(OR(M2013="PENDENTE",M2013="PARCIAL"),"🟡 FATURAMENTO PENDENTE","🟡 EMBARQUE PENDENTE")))))))))))</f>
        <v/>
      </c>
      <c r="D2013" s="4" t="n"/>
      <c r="E2013" s="5" t="n"/>
      <c r="F2013" s="5" t="n"/>
      <c r="G2013" s="5" t="n"/>
      <c r="H2013" s="5" t="n"/>
      <c r="I2013" s="5" t="n"/>
      <c r="J2013" s="6" t="n"/>
      <c r="K2013" s="6" t="n"/>
      <c r="L2013" s="7">
        <f>IF(OR(D2013="",N(J2013)=0),"",MIN(1,N(K2013)/J2013))</f>
        <v/>
      </c>
      <c r="M2013" s="5" t="n"/>
      <c r="N2013" s="5" t="n"/>
      <c r="O2013" s="5" t="n"/>
      <c r="P2013" s="5" t="n"/>
      <c r="Q2013" s="5" t="n"/>
      <c r="R2013" s="4" t="n"/>
      <c r="S2013" s="4" t="n"/>
      <c r="T2013" s="5" t="n"/>
      <c r="U2013" s="8">
        <f>IF(AND(V2013=1,D2013&lt;&gt;""),IF(D2013&gt;=corte,TODAY()-D2013,""),"")</f>
        <v/>
      </c>
      <c r="V2013" s="8">
        <f>IF(D2013="",0,IF(OR(AND(P2013&lt;&gt;"",S2013=""),AND(N(J2013)&gt;0,N(K2013)&lt;J2013),OR(M2013="PENDENTE",M2013="PARCIAL"),OR(N2013="PENDENTE",N2013="PARCIAL")),1,0))</f>
        <v/>
      </c>
      <c r="W2013" s="8">
        <f>IF(AND(V2013=1,D2013&lt;&gt;""),IF(D2013&gt;=corte,(B2013="CRÍTICO")*1E9+(100000-D2013)*10000+10000-ROW(),""),"")</f>
        <v/>
      </c>
      <c r="X2013" s="8">
        <f>IF(AND(V2013=1,D2013=pas_data,E2013=pas_turno),10000-ROW(),"")</f>
        <v/>
      </c>
    </row>
    <row r="2014">
      <c r="A2014" s="3">
        <f>IF(D2014="","","TT-"&amp;TEXT(ROW()-1,"00000"))</f>
        <v/>
      </c>
      <c r="B2014" s="3">
        <f>IF(D2014="","",IF(V2014=0,"CONCLUÍDO",IF(D2014&lt;corte,"HISTÓRICO",IF(OR(AND(ISNUMBER(R2014),R2014&lt;TODAY()),AND(OR(N2014="PENDENTE",N2014="PARCIAL"),D2014&lt;TODAY()-1)),"CRÍTICO",IF(OR(AND(P2014&lt;&gt;"",S2014=""),AND(N2014="REALIZADO",M2014="PENDENTE"),AND(ISNUMBER(R2014),R2014=TODAY())),"ATENÇÃO",IF(N(K2014)=0,"PENDENTE","EM ANDAMENTO"))))))</f>
        <v/>
      </c>
      <c r="C2014" s="3">
        <f>IF(D2014="","",IF(V2014=0,"🟢 OK",IF(D2014&lt;corte,"⚪ HISTÓRICO (sem baixa)",IF(AND(ISNUMBER(R2014),R2014&lt;TODAY()),"🔴 PRAZO VENCIDO",IF(AND(OR(N2014="PENDENTE",N2014="PARCIAL"),D2014&lt;TODAY()-1),"🔴 EMBARQUE ATRASADO",IF(AND(N2014="REALIZADO",M2014="PENDENTE"),"🟡 EMBARCADO SEM FATURAR",IF(AND(P2014&lt;&gt;"",S2014="",OR(Q2014="",R2014="")),"🟡 PENDÊNCIA SEM RESPONSÁVEL/PRAZO",IF(AND(ISNUMBER(R2014),R2014=TODAY()),"🟡 VENCE HOJE",IF(AND(P2014&lt;&gt;"",S2014=""),"🟡 PENDÊNCIA ABERTA",IF(AND(N(J2014)&gt;0,N(K2014)&lt;J2014),"🟡 FALTA EXECUTAR",IF(OR(M2014="PENDENTE",M2014="PARCIAL"),"🟡 FATURAMENTO PENDENTE","🟡 EMBARQUE PENDENTE")))))))))))</f>
        <v/>
      </c>
      <c r="D2014" s="4" t="n"/>
      <c r="E2014" s="5" t="n"/>
      <c r="F2014" s="5" t="n"/>
      <c r="G2014" s="5" t="n"/>
      <c r="H2014" s="5" t="n"/>
      <c r="I2014" s="5" t="n"/>
      <c r="J2014" s="6" t="n"/>
      <c r="K2014" s="6" t="n"/>
      <c r="L2014" s="7">
        <f>IF(OR(D2014="",N(J2014)=0),"",MIN(1,N(K2014)/J2014))</f>
        <v/>
      </c>
      <c r="M2014" s="5" t="n"/>
      <c r="N2014" s="5" t="n"/>
      <c r="O2014" s="5" t="n"/>
      <c r="P2014" s="5" t="n"/>
      <c r="Q2014" s="5" t="n"/>
      <c r="R2014" s="4" t="n"/>
      <c r="S2014" s="4" t="n"/>
      <c r="T2014" s="5" t="n"/>
      <c r="U2014" s="8">
        <f>IF(AND(V2014=1,D2014&lt;&gt;""),IF(D2014&gt;=corte,TODAY()-D2014,""),"")</f>
        <v/>
      </c>
      <c r="V2014" s="8">
        <f>IF(D2014="",0,IF(OR(AND(P2014&lt;&gt;"",S2014=""),AND(N(J2014)&gt;0,N(K2014)&lt;J2014),OR(M2014="PENDENTE",M2014="PARCIAL"),OR(N2014="PENDENTE",N2014="PARCIAL")),1,0))</f>
        <v/>
      </c>
      <c r="W2014" s="8">
        <f>IF(AND(V2014=1,D2014&lt;&gt;""),IF(D2014&gt;=corte,(B2014="CRÍTICO")*1E9+(100000-D2014)*10000+10000-ROW(),""),"")</f>
        <v/>
      </c>
      <c r="X2014" s="8">
        <f>IF(AND(V2014=1,D2014=pas_data,E2014=pas_turno),10000-ROW(),"")</f>
        <v/>
      </c>
    </row>
    <row r="2015">
      <c r="A2015" s="3">
        <f>IF(D2015="","","TT-"&amp;TEXT(ROW()-1,"00000"))</f>
        <v/>
      </c>
      <c r="B2015" s="3">
        <f>IF(D2015="","",IF(V2015=0,"CONCLUÍDO",IF(D2015&lt;corte,"HISTÓRICO",IF(OR(AND(ISNUMBER(R2015),R2015&lt;TODAY()),AND(OR(N2015="PENDENTE",N2015="PARCIAL"),D2015&lt;TODAY()-1)),"CRÍTICO",IF(OR(AND(P2015&lt;&gt;"",S2015=""),AND(N2015="REALIZADO",M2015="PENDENTE"),AND(ISNUMBER(R2015),R2015=TODAY())),"ATENÇÃO",IF(N(K2015)=0,"PENDENTE","EM ANDAMENTO"))))))</f>
        <v/>
      </c>
      <c r="C2015" s="3">
        <f>IF(D2015="","",IF(V2015=0,"🟢 OK",IF(D2015&lt;corte,"⚪ HISTÓRICO (sem baixa)",IF(AND(ISNUMBER(R2015),R2015&lt;TODAY()),"🔴 PRAZO VENCIDO",IF(AND(OR(N2015="PENDENTE",N2015="PARCIAL"),D2015&lt;TODAY()-1),"🔴 EMBARQUE ATRASADO",IF(AND(N2015="REALIZADO",M2015="PENDENTE"),"🟡 EMBARCADO SEM FATURAR",IF(AND(P2015&lt;&gt;"",S2015="",OR(Q2015="",R2015="")),"🟡 PENDÊNCIA SEM RESPONSÁVEL/PRAZO",IF(AND(ISNUMBER(R2015),R2015=TODAY()),"🟡 VENCE HOJE",IF(AND(P2015&lt;&gt;"",S2015=""),"🟡 PENDÊNCIA ABERTA",IF(AND(N(J2015)&gt;0,N(K2015)&lt;J2015),"🟡 FALTA EXECUTAR",IF(OR(M2015="PENDENTE",M2015="PARCIAL"),"🟡 FATURAMENTO PENDENTE","🟡 EMBARQUE PENDENTE")))))))))))</f>
        <v/>
      </c>
      <c r="D2015" s="4" t="n"/>
      <c r="E2015" s="5" t="n"/>
      <c r="F2015" s="5" t="n"/>
      <c r="G2015" s="5" t="n"/>
      <c r="H2015" s="5" t="n"/>
      <c r="I2015" s="5" t="n"/>
      <c r="J2015" s="6" t="n"/>
      <c r="K2015" s="6" t="n"/>
      <c r="L2015" s="7">
        <f>IF(OR(D2015="",N(J2015)=0),"",MIN(1,N(K2015)/J2015))</f>
        <v/>
      </c>
      <c r="M2015" s="5" t="n"/>
      <c r="N2015" s="5" t="n"/>
      <c r="O2015" s="5" t="n"/>
      <c r="P2015" s="5" t="n"/>
      <c r="Q2015" s="5" t="n"/>
      <c r="R2015" s="4" t="n"/>
      <c r="S2015" s="4" t="n"/>
      <c r="T2015" s="5" t="n"/>
      <c r="U2015" s="8">
        <f>IF(AND(V2015=1,D2015&lt;&gt;""),IF(D2015&gt;=corte,TODAY()-D2015,""),"")</f>
        <v/>
      </c>
      <c r="V2015" s="8">
        <f>IF(D2015="",0,IF(OR(AND(P2015&lt;&gt;"",S2015=""),AND(N(J2015)&gt;0,N(K2015)&lt;J2015),OR(M2015="PENDENTE",M2015="PARCIAL"),OR(N2015="PENDENTE",N2015="PARCIAL")),1,0))</f>
        <v/>
      </c>
      <c r="W2015" s="8">
        <f>IF(AND(V2015=1,D2015&lt;&gt;""),IF(D2015&gt;=corte,(B2015="CRÍTICO")*1E9+(100000-D2015)*10000+10000-ROW(),""),"")</f>
        <v/>
      </c>
      <c r="X2015" s="8">
        <f>IF(AND(V2015=1,D2015=pas_data,E2015=pas_turno),10000-ROW(),"")</f>
        <v/>
      </c>
    </row>
    <row r="2016">
      <c r="A2016" s="3">
        <f>IF(D2016="","","TT-"&amp;TEXT(ROW()-1,"00000"))</f>
        <v/>
      </c>
      <c r="B2016" s="3">
        <f>IF(D2016="","",IF(V2016=0,"CONCLUÍDO",IF(D2016&lt;corte,"HISTÓRICO",IF(OR(AND(ISNUMBER(R2016),R2016&lt;TODAY()),AND(OR(N2016="PENDENTE",N2016="PARCIAL"),D2016&lt;TODAY()-1)),"CRÍTICO",IF(OR(AND(P2016&lt;&gt;"",S2016=""),AND(N2016="REALIZADO",M2016="PENDENTE"),AND(ISNUMBER(R2016),R2016=TODAY())),"ATENÇÃO",IF(N(K2016)=0,"PENDENTE","EM ANDAMENTO"))))))</f>
        <v/>
      </c>
      <c r="C2016" s="3">
        <f>IF(D2016="","",IF(V2016=0,"🟢 OK",IF(D2016&lt;corte,"⚪ HISTÓRICO (sem baixa)",IF(AND(ISNUMBER(R2016),R2016&lt;TODAY()),"🔴 PRAZO VENCIDO",IF(AND(OR(N2016="PENDENTE",N2016="PARCIAL"),D2016&lt;TODAY()-1),"🔴 EMBARQUE ATRASADO",IF(AND(N2016="REALIZADO",M2016="PENDENTE"),"🟡 EMBARCADO SEM FATURAR",IF(AND(P2016&lt;&gt;"",S2016="",OR(Q2016="",R2016="")),"🟡 PENDÊNCIA SEM RESPONSÁVEL/PRAZO",IF(AND(ISNUMBER(R2016),R2016=TODAY()),"🟡 VENCE HOJE",IF(AND(P2016&lt;&gt;"",S2016=""),"🟡 PENDÊNCIA ABERTA",IF(AND(N(J2016)&gt;0,N(K2016)&lt;J2016),"🟡 FALTA EXECUTAR",IF(OR(M2016="PENDENTE",M2016="PARCIAL"),"🟡 FATURAMENTO PENDENTE","🟡 EMBARQUE PENDENTE")))))))))))</f>
        <v/>
      </c>
      <c r="D2016" s="4" t="n"/>
      <c r="E2016" s="5" t="n"/>
      <c r="F2016" s="5" t="n"/>
      <c r="G2016" s="5" t="n"/>
      <c r="H2016" s="5" t="n"/>
      <c r="I2016" s="5" t="n"/>
      <c r="J2016" s="6" t="n"/>
      <c r="K2016" s="6" t="n"/>
      <c r="L2016" s="7">
        <f>IF(OR(D2016="",N(J2016)=0),"",MIN(1,N(K2016)/J2016))</f>
        <v/>
      </c>
      <c r="M2016" s="5" t="n"/>
      <c r="N2016" s="5" t="n"/>
      <c r="O2016" s="5" t="n"/>
      <c r="P2016" s="5" t="n"/>
      <c r="Q2016" s="5" t="n"/>
      <c r="R2016" s="4" t="n"/>
      <c r="S2016" s="4" t="n"/>
      <c r="T2016" s="5" t="n"/>
      <c r="U2016" s="8">
        <f>IF(AND(V2016=1,D2016&lt;&gt;""),IF(D2016&gt;=corte,TODAY()-D2016,""),"")</f>
        <v/>
      </c>
      <c r="V2016" s="8">
        <f>IF(D2016="",0,IF(OR(AND(P2016&lt;&gt;"",S2016=""),AND(N(J2016)&gt;0,N(K2016)&lt;J2016),OR(M2016="PENDENTE",M2016="PARCIAL"),OR(N2016="PENDENTE",N2016="PARCIAL")),1,0))</f>
        <v/>
      </c>
      <c r="W2016" s="8">
        <f>IF(AND(V2016=1,D2016&lt;&gt;""),IF(D2016&gt;=corte,(B2016="CRÍTICO")*1E9+(100000-D2016)*10000+10000-ROW(),""),"")</f>
        <v/>
      </c>
      <c r="X2016" s="8">
        <f>IF(AND(V2016=1,D2016=pas_data,E2016=pas_turno),10000-ROW(),"")</f>
        <v/>
      </c>
    </row>
    <row r="2017">
      <c r="A2017" s="3">
        <f>IF(D2017="","","TT-"&amp;TEXT(ROW()-1,"00000"))</f>
        <v/>
      </c>
      <c r="B2017" s="3">
        <f>IF(D2017="","",IF(V2017=0,"CONCLUÍDO",IF(D2017&lt;corte,"HISTÓRICO",IF(OR(AND(ISNUMBER(R2017),R2017&lt;TODAY()),AND(OR(N2017="PENDENTE",N2017="PARCIAL"),D2017&lt;TODAY()-1)),"CRÍTICO",IF(OR(AND(P2017&lt;&gt;"",S2017=""),AND(N2017="REALIZADO",M2017="PENDENTE"),AND(ISNUMBER(R2017),R2017=TODAY())),"ATENÇÃO",IF(N(K2017)=0,"PENDENTE","EM ANDAMENTO"))))))</f>
        <v/>
      </c>
      <c r="C2017" s="3">
        <f>IF(D2017="","",IF(V2017=0,"🟢 OK",IF(D2017&lt;corte,"⚪ HISTÓRICO (sem baixa)",IF(AND(ISNUMBER(R2017),R2017&lt;TODAY()),"🔴 PRAZO VENCIDO",IF(AND(OR(N2017="PENDENTE",N2017="PARCIAL"),D2017&lt;TODAY()-1),"🔴 EMBARQUE ATRASADO",IF(AND(N2017="REALIZADO",M2017="PENDENTE"),"🟡 EMBARCADO SEM FATURAR",IF(AND(P2017&lt;&gt;"",S2017="",OR(Q2017="",R2017="")),"🟡 PENDÊNCIA SEM RESPONSÁVEL/PRAZO",IF(AND(ISNUMBER(R2017),R2017=TODAY()),"🟡 VENCE HOJE",IF(AND(P2017&lt;&gt;"",S2017=""),"🟡 PENDÊNCIA ABERTA",IF(AND(N(J2017)&gt;0,N(K2017)&lt;J2017),"🟡 FALTA EXECUTAR",IF(OR(M2017="PENDENTE",M2017="PARCIAL"),"🟡 FATURAMENTO PENDENTE","🟡 EMBARQUE PENDENTE")))))))))))</f>
        <v/>
      </c>
      <c r="D2017" s="4" t="n"/>
      <c r="E2017" s="5" t="n"/>
      <c r="F2017" s="5" t="n"/>
      <c r="G2017" s="5" t="n"/>
      <c r="H2017" s="5" t="n"/>
      <c r="I2017" s="5" t="n"/>
      <c r="J2017" s="6" t="n"/>
      <c r="K2017" s="6" t="n"/>
      <c r="L2017" s="7">
        <f>IF(OR(D2017="",N(J2017)=0),"",MIN(1,N(K2017)/J2017))</f>
        <v/>
      </c>
      <c r="M2017" s="5" t="n"/>
      <c r="N2017" s="5" t="n"/>
      <c r="O2017" s="5" t="n"/>
      <c r="P2017" s="5" t="n"/>
      <c r="Q2017" s="5" t="n"/>
      <c r="R2017" s="4" t="n"/>
      <c r="S2017" s="4" t="n"/>
      <c r="T2017" s="5" t="n"/>
      <c r="U2017" s="8">
        <f>IF(AND(V2017=1,D2017&lt;&gt;""),IF(D2017&gt;=corte,TODAY()-D2017,""),"")</f>
        <v/>
      </c>
      <c r="V2017" s="8">
        <f>IF(D2017="",0,IF(OR(AND(P2017&lt;&gt;"",S2017=""),AND(N(J2017)&gt;0,N(K2017)&lt;J2017),OR(M2017="PENDENTE",M2017="PARCIAL"),OR(N2017="PENDENTE",N2017="PARCIAL")),1,0))</f>
        <v/>
      </c>
      <c r="W2017" s="8">
        <f>IF(AND(V2017=1,D2017&lt;&gt;""),IF(D2017&gt;=corte,(B2017="CRÍTICO")*1E9+(100000-D2017)*10000+10000-ROW(),""),"")</f>
        <v/>
      </c>
      <c r="X2017" s="8">
        <f>IF(AND(V2017=1,D2017=pas_data,E2017=pas_turno),10000-ROW(),"")</f>
        <v/>
      </c>
    </row>
    <row r="2018">
      <c r="A2018" s="3">
        <f>IF(D2018="","","TT-"&amp;TEXT(ROW()-1,"00000"))</f>
        <v/>
      </c>
      <c r="B2018" s="3">
        <f>IF(D2018="","",IF(V2018=0,"CONCLUÍDO",IF(D2018&lt;corte,"HISTÓRICO",IF(OR(AND(ISNUMBER(R2018),R2018&lt;TODAY()),AND(OR(N2018="PENDENTE",N2018="PARCIAL"),D2018&lt;TODAY()-1)),"CRÍTICO",IF(OR(AND(P2018&lt;&gt;"",S2018=""),AND(N2018="REALIZADO",M2018="PENDENTE"),AND(ISNUMBER(R2018),R2018=TODAY())),"ATENÇÃO",IF(N(K2018)=0,"PENDENTE","EM ANDAMENTO"))))))</f>
        <v/>
      </c>
      <c r="C2018" s="3">
        <f>IF(D2018="","",IF(V2018=0,"🟢 OK",IF(D2018&lt;corte,"⚪ HISTÓRICO (sem baixa)",IF(AND(ISNUMBER(R2018),R2018&lt;TODAY()),"🔴 PRAZO VENCIDO",IF(AND(OR(N2018="PENDENTE",N2018="PARCIAL"),D2018&lt;TODAY()-1),"🔴 EMBARQUE ATRASADO",IF(AND(N2018="REALIZADO",M2018="PENDENTE"),"🟡 EMBARCADO SEM FATURAR",IF(AND(P2018&lt;&gt;"",S2018="",OR(Q2018="",R2018="")),"🟡 PENDÊNCIA SEM RESPONSÁVEL/PRAZO",IF(AND(ISNUMBER(R2018),R2018=TODAY()),"🟡 VENCE HOJE",IF(AND(P2018&lt;&gt;"",S2018=""),"🟡 PENDÊNCIA ABERTA",IF(AND(N(J2018)&gt;0,N(K2018)&lt;J2018),"🟡 FALTA EXECUTAR",IF(OR(M2018="PENDENTE",M2018="PARCIAL"),"🟡 FATURAMENTO PENDENTE","🟡 EMBARQUE PENDENTE")))))))))))</f>
        <v/>
      </c>
      <c r="D2018" s="4" t="n"/>
      <c r="E2018" s="5" t="n"/>
      <c r="F2018" s="5" t="n"/>
      <c r="G2018" s="5" t="n"/>
      <c r="H2018" s="5" t="n"/>
      <c r="I2018" s="5" t="n"/>
      <c r="J2018" s="6" t="n"/>
      <c r="K2018" s="6" t="n"/>
      <c r="L2018" s="7">
        <f>IF(OR(D2018="",N(J2018)=0),"",MIN(1,N(K2018)/J2018))</f>
        <v/>
      </c>
      <c r="M2018" s="5" t="n"/>
      <c r="N2018" s="5" t="n"/>
      <c r="O2018" s="5" t="n"/>
      <c r="P2018" s="5" t="n"/>
      <c r="Q2018" s="5" t="n"/>
      <c r="R2018" s="4" t="n"/>
      <c r="S2018" s="4" t="n"/>
      <c r="T2018" s="5" t="n"/>
      <c r="U2018" s="8">
        <f>IF(AND(V2018=1,D2018&lt;&gt;""),IF(D2018&gt;=corte,TODAY()-D2018,""),"")</f>
        <v/>
      </c>
      <c r="V2018" s="8">
        <f>IF(D2018="",0,IF(OR(AND(P2018&lt;&gt;"",S2018=""),AND(N(J2018)&gt;0,N(K2018)&lt;J2018),OR(M2018="PENDENTE",M2018="PARCIAL"),OR(N2018="PENDENTE",N2018="PARCIAL")),1,0))</f>
        <v/>
      </c>
      <c r="W2018" s="8">
        <f>IF(AND(V2018=1,D2018&lt;&gt;""),IF(D2018&gt;=corte,(B2018="CRÍTICO")*1E9+(100000-D2018)*10000+10000-ROW(),""),"")</f>
        <v/>
      </c>
      <c r="X2018" s="8">
        <f>IF(AND(V2018=1,D2018=pas_data,E2018=pas_turno),10000-ROW(),"")</f>
        <v/>
      </c>
    </row>
    <row r="2019">
      <c r="A2019" s="3">
        <f>IF(D2019="","","TT-"&amp;TEXT(ROW()-1,"00000"))</f>
        <v/>
      </c>
      <c r="B2019" s="3">
        <f>IF(D2019="","",IF(V2019=0,"CONCLUÍDO",IF(D2019&lt;corte,"HISTÓRICO",IF(OR(AND(ISNUMBER(R2019),R2019&lt;TODAY()),AND(OR(N2019="PENDENTE",N2019="PARCIAL"),D2019&lt;TODAY()-1)),"CRÍTICO",IF(OR(AND(P2019&lt;&gt;"",S2019=""),AND(N2019="REALIZADO",M2019="PENDENTE"),AND(ISNUMBER(R2019),R2019=TODAY())),"ATENÇÃO",IF(N(K2019)=0,"PENDENTE","EM ANDAMENTO"))))))</f>
        <v/>
      </c>
      <c r="C2019" s="3">
        <f>IF(D2019="","",IF(V2019=0,"🟢 OK",IF(D2019&lt;corte,"⚪ HISTÓRICO (sem baixa)",IF(AND(ISNUMBER(R2019),R2019&lt;TODAY()),"🔴 PRAZO VENCIDO",IF(AND(OR(N2019="PENDENTE",N2019="PARCIAL"),D2019&lt;TODAY()-1),"🔴 EMBARQUE ATRASADO",IF(AND(N2019="REALIZADO",M2019="PENDENTE"),"🟡 EMBARCADO SEM FATURAR",IF(AND(P2019&lt;&gt;"",S2019="",OR(Q2019="",R2019="")),"🟡 PENDÊNCIA SEM RESPONSÁVEL/PRAZO",IF(AND(ISNUMBER(R2019),R2019=TODAY()),"🟡 VENCE HOJE",IF(AND(P2019&lt;&gt;"",S2019=""),"🟡 PENDÊNCIA ABERTA",IF(AND(N(J2019)&gt;0,N(K2019)&lt;J2019),"🟡 FALTA EXECUTAR",IF(OR(M2019="PENDENTE",M2019="PARCIAL"),"🟡 FATURAMENTO PENDENTE","🟡 EMBARQUE PENDENTE")))))))))))</f>
        <v/>
      </c>
      <c r="D2019" s="4" t="n"/>
      <c r="E2019" s="5" t="n"/>
      <c r="F2019" s="5" t="n"/>
      <c r="G2019" s="5" t="n"/>
      <c r="H2019" s="5" t="n"/>
      <c r="I2019" s="5" t="n"/>
      <c r="J2019" s="6" t="n"/>
      <c r="K2019" s="6" t="n"/>
      <c r="L2019" s="7">
        <f>IF(OR(D2019="",N(J2019)=0),"",MIN(1,N(K2019)/J2019))</f>
        <v/>
      </c>
      <c r="M2019" s="5" t="n"/>
      <c r="N2019" s="5" t="n"/>
      <c r="O2019" s="5" t="n"/>
      <c r="P2019" s="5" t="n"/>
      <c r="Q2019" s="5" t="n"/>
      <c r="R2019" s="4" t="n"/>
      <c r="S2019" s="4" t="n"/>
      <c r="T2019" s="5" t="n"/>
      <c r="U2019" s="8">
        <f>IF(AND(V2019=1,D2019&lt;&gt;""),IF(D2019&gt;=corte,TODAY()-D2019,""),"")</f>
        <v/>
      </c>
      <c r="V2019" s="8">
        <f>IF(D2019="",0,IF(OR(AND(P2019&lt;&gt;"",S2019=""),AND(N(J2019)&gt;0,N(K2019)&lt;J2019),OR(M2019="PENDENTE",M2019="PARCIAL"),OR(N2019="PENDENTE",N2019="PARCIAL")),1,0))</f>
        <v/>
      </c>
      <c r="W2019" s="8">
        <f>IF(AND(V2019=1,D2019&lt;&gt;""),IF(D2019&gt;=corte,(B2019="CRÍTICO")*1E9+(100000-D2019)*10000+10000-ROW(),""),"")</f>
        <v/>
      </c>
      <c r="X2019" s="8">
        <f>IF(AND(V2019=1,D2019=pas_data,E2019=pas_turno),10000-ROW(),"")</f>
        <v/>
      </c>
    </row>
    <row r="2020">
      <c r="A2020" s="3">
        <f>IF(D2020="","","TT-"&amp;TEXT(ROW()-1,"00000"))</f>
        <v/>
      </c>
      <c r="B2020" s="3">
        <f>IF(D2020="","",IF(V2020=0,"CONCLUÍDO",IF(D2020&lt;corte,"HISTÓRICO",IF(OR(AND(ISNUMBER(R2020),R2020&lt;TODAY()),AND(OR(N2020="PENDENTE",N2020="PARCIAL"),D2020&lt;TODAY()-1)),"CRÍTICO",IF(OR(AND(P2020&lt;&gt;"",S2020=""),AND(N2020="REALIZADO",M2020="PENDENTE"),AND(ISNUMBER(R2020),R2020=TODAY())),"ATENÇÃO",IF(N(K2020)=0,"PENDENTE","EM ANDAMENTO"))))))</f>
        <v/>
      </c>
      <c r="C2020" s="3">
        <f>IF(D2020="","",IF(V2020=0,"🟢 OK",IF(D2020&lt;corte,"⚪ HISTÓRICO (sem baixa)",IF(AND(ISNUMBER(R2020),R2020&lt;TODAY()),"🔴 PRAZO VENCIDO",IF(AND(OR(N2020="PENDENTE",N2020="PARCIAL"),D2020&lt;TODAY()-1),"🔴 EMBARQUE ATRASADO",IF(AND(N2020="REALIZADO",M2020="PENDENTE"),"🟡 EMBARCADO SEM FATURAR",IF(AND(P2020&lt;&gt;"",S2020="",OR(Q2020="",R2020="")),"🟡 PENDÊNCIA SEM RESPONSÁVEL/PRAZO",IF(AND(ISNUMBER(R2020),R2020=TODAY()),"🟡 VENCE HOJE",IF(AND(P2020&lt;&gt;"",S2020=""),"🟡 PENDÊNCIA ABERTA",IF(AND(N(J2020)&gt;0,N(K2020)&lt;J2020),"🟡 FALTA EXECUTAR",IF(OR(M2020="PENDENTE",M2020="PARCIAL"),"🟡 FATURAMENTO PENDENTE","🟡 EMBARQUE PENDENTE")))))))))))</f>
        <v/>
      </c>
      <c r="D2020" s="4" t="n"/>
      <c r="E2020" s="5" t="n"/>
      <c r="F2020" s="5" t="n"/>
      <c r="G2020" s="5" t="n"/>
      <c r="H2020" s="5" t="n"/>
      <c r="I2020" s="5" t="n"/>
      <c r="J2020" s="6" t="n"/>
      <c r="K2020" s="6" t="n"/>
      <c r="L2020" s="7">
        <f>IF(OR(D2020="",N(J2020)=0),"",MIN(1,N(K2020)/J2020))</f>
        <v/>
      </c>
      <c r="M2020" s="5" t="n"/>
      <c r="N2020" s="5" t="n"/>
      <c r="O2020" s="5" t="n"/>
      <c r="P2020" s="5" t="n"/>
      <c r="Q2020" s="5" t="n"/>
      <c r="R2020" s="4" t="n"/>
      <c r="S2020" s="4" t="n"/>
      <c r="T2020" s="5" t="n"/>
      <c r="U2020" s="8">
        <f>IF(AND(V2020=1,D2020&lt;&gt;""),IF(D2020&gt;=corte,TODAY()-D2020,""),"")</f>
        <v/>
      </c>
      <c r="V2020" s="8">
        <f>IF(D2020="",0,IF(OR(AND(P2020&lt;&gt;"",S2020=""),AND(N(J2020)&gt;0,N(K2020)&lt;J2020),OR(M2020="PENDENTE",M2020="PARCIAL"),OR(N2020="PENDENTE",N2020="PARCIAL")),1,0))</f>
        <v/>
      </c>
      <c r="W2020" s="8">
        <f>IF(AND(V2020=1,D2020&lt;&gt;""),IF(D2020&gt;=corte,(B2020="CRÍTICO")*1E9+(100000-D2020)*10000+10000-ROW(),""),"")</f>
        <v/>
      </c>
      <c r="X2020" s="8">
        <f>IF(AND(V2020=1,D2020=pas_data,E2020=pas_turno),10000-ROW(),"")</f>
        <v/>
      </c>
    </row>
    <row r="2021">
      <c r="A2021" s="3">
        <f>IF(D2021="","","TT-"&amp;TEXT(ROW()-1,"00000"))</f>
        <v/>
      </c>
      <c r="B2021" s="3">
        <f>IF(D2021="","",IF(V2021=0,"CONCLUÍDO",IF(D2021&lt;corte,"HISTÓRICO",IF(OR(AND(ISNUMBER(R2021),R2021&lt;TODAY()),AND(OR(N2021="PENDENTE",N2021="PARCIAL"),D2021&lt;TODAY()-1)),"CRÍTICO",IF(OR(AND(P2021&lt;&gt;"",S2021=""),AND(N2021="REALIZADO",M2021="PENDENTE"),AND(ISNUMBER(R2021),R2021=TODAY())),"ATENÇÃO",IF(N(K2021)=0,"PENDENTE","EM ANDAMENTO"))))))</f>
        <v/>
      </c>
      <c r="C2021" s="3">
        <f>IF(D2021="","",IF(V2021=0,"🟢 OK",IF(D2021&lt;corte,"⚪ HISTÓRICO (sem baixa)",IF(AND(ISNUMBER(R2021),R2021&lt;TODAY()),"🔴 PRAZO VENCIDO",IF(AND(OR(N2021="PENDENTE",N2021="PARCIAL"),D2021&lt;TODAY()-1),"🔴 EMBARQUE ATRASADO",IF(AND(N2021="REALIZADO",M2021="PENDENTE"),"🟡 EMBARCADO SEM FATURAR",IF(AND(P2021&lt;&gt;"",S2021="",OR(Q2021="",R2021="")),"🟡 PENDÊNCIA SEM RESPONSÁVEL/PRAZO",IF(AND(ISNUMBER(R2021),R2021=TODAY()),"🟡 VENCE HOJE",IF(AND(P2021&lt;&gt;"",S2021=""),"🟡 PENDÊNCIA ABERTA",IF(AND(N(J2021)&gt;0,N(K2021)&lt;J2021),"🟡 FALTA EXECUTAR",IF(OR(M2021="PENDENTE",M2021="PARCIAL"),"🟡 FATURAMENTO PENDENTE","🟡 EMBARQUE PENDENTE")))))))))))</f>
        <v/>
      </c>
      <c r="D2021" s="4" t="n"/>
      <c r="E2021" s="5" t="n"/>
      <c r="F2021" s="5" t="n"/>
      <c r="G2021" s="5" t="n"/>
      <c r="H2021" s="5" t="n"/>
      <c r="I2021" s="5" t="n"/>
      <c r="J2021" s="6" t="n"/>
      <c r="K2021" s="6" t="n"/>
      <c r="L2021" s="7">
        <f>IF(OR(D2021="",N(J2021)=0),"",MIN(1,N(K2021)/J2021))</f>
        <v/>
      </c>
      <c r="M2021" s="5" t="n"/>
      <c r="N2021" s="5" t="n"/>
      <c r="O2021" s="5" t="n"/>
      <c r="P2021" s="5" t="n"/>
      <c r="Q2021" s="5" t="n"/>
      <c r="R2021" s="4" t="n"/>
      <c r="S2021" s="4" t="n"/>
      <c r="T2021" s="5" t="n"/>
      <c r="U2021" s="8">
        <f>IF(AND(V2021=1,D2021&lt;&gt;""),IF(D2021&gt;=corte,TODAY()-D2021,""),"")</f>
        <v/>
      </c>
      <c r="V2021" s="8">
        <f>IF(D2021="",0,IF(OR(AND(P2021&lt;&gt;"",S2021=""),AND(N(J2021)&gt;0,N(K2021)&lt;J2021),OR(M2021="PENDENTE",M2021="PARCIAL"),OR(N2021="PENDENTE",N2021="PARCIAL")),1,0))</f>
        <v/>
      </c>
      <c r="W2021" s="8">
        <f>IF(AND(V2021=1,D2021&lt;&gt;""),IF(D2021&gt;=corte,(B2021="CRÍTICO")*1E9+(100000-D2021)*10000+10000-ROW(),""),"")</f>
        <v/>
      </c>
      <c r="X2021" s="8">
        <f>IF(AND(V2021=1,D2021=pas_data,E2021=pas_turno),10000-ROW(),"")</f>
        <v/>
      </c>
    </row>
    <row r="2022">
      <c r="A2022" s="3">
        <f>IF(D2022="","","TT-"&amp;TEXT(ROW()-1,"00000"))</f>
        <v/>
      </c>
      <c r="B2022" s="3">
        <f>IF(D2022="","",IF(V2022=0,"CONCLUÍDO",IF(D2022&lt;corte,"HISTÓRICO",IF(OR(AND(ISNUMBER(R2022),R2022&lt;TODAY()),AND(OR(N2022="PENDENTE",N2022="PARCIAL"),D2022&lt;TODAY()-1)),"CRÍTICO",IF(OR(AND(P2022&lt;&gt;"",S2022=""),AND(N2022="REALIZADO",M2022="PENDENTE"),AND(ISNUMBER(R2022),R2022=TODAY())),"ATENÇÃO",IF(N(K2022)=0,"PENDENTE","EM ANDAMENTO"))))))</f>
        <v/>
      </c>
      <c r="C2022" s="3">
        <f>IF(D2022="","",IF(V2022=0,"🟢 OK",IF(D2022&lt;corte,"⚪ HISTÓRICO (sem baixa)",IF(AND(ISNUMBER(R2022),R2022&lt;TODAY()),"🔴 PRAZO VENCIDO",IF(AND(OR(N2022="PENDENTE",N2022="PARCIAL"),D2022&lt;TODAY()-1),"🔴 EMBARQUE ATRASADO",IF(AND(N2022="REALIZADO",M2022="PENDENTE"),"🟡 EMBARCADO SEM FATURAR",IF(AND(P2022&lt;&gt;"",S2022="",OR(Q2022="",R2022="")),"🟡 PENDÊNCIA SEM RESPONSÁVEL/PRAZO",IF(AND(ISNUMBER(R2022),R2022=TODAY()),"🟡 VENCE HOJE",IF(AND(P2022&lt;&gt;"",S2022=""),"🟡 PENDÊNCIA ABERTA",IF(AND(N(J2022)&gt;0,N(K2022)&lt;J2022),"🟡 FALTA EXECUTAR",IF(OR(M2022="PENDENTE",M2022="PARCIAL"),"🟡 FATURAMENTO PENDENTE","🟡 EMBARQUE PENDENTE")))))))))))</f>
        <v/>
      </c>
      <c r="D2022" s="4" t="n"/>
      <c r="E2022" s="5" t="n"/>
      <c r="F2022" s="5" t="n"/>
      <c r="G2022" s="5" t="n"/>
      <c r="H2022" s="5" t="n"/>
      <c r="I2022" s="5" t="n"/>
      <c r="J2022" s="6" t="n"/>
      <c r="K2022" s="6" t="n"/>
      <c r="L2022" s="7">
        <f>IF(OR(D2022="",N(J2022)=0),"",MIN(1,N(K2022)/J2022))</f>
        <v/>
      </c>
      <c r="M2022" s="5" t="n"/>
      <c r="N2022" s="5" t="n"/>
      <c r="O2022" s="5" t="n"/>
      <c r="P2022" s="5" t="n"/>
      <c r="Q2022" s="5" t="n"/>
      <c r="R2022" s="4" t="n"/>
      <c r="S2022" s="4" t="n"/>
      <c r="T2022" s="5" t="n"/>
      <c r="U2022" s="8">
        <f>IF(AND(V2022=1,D2022&lt;&gt;""),IF(D2022&gt;=corte,TODAY()-D2022,""),"")</f>
        <v/>
      </c>
      <c r="V2022" s="8">
        <f>IF(D2022="",0,IF(OR(AND(P2022&lt;&gt;"",S2022=""),AND(N(J2022)&gt;0,N(K2022)&lt;J2022),OR(M2022="PENDENTE",M2022="PARCIAL"),OR(N2022="PENDENTE",N2022="PARCIAL")),1,0))</f>
        <v/>
      </c>
      <c r="W2022" s="8">
        <f>IF(AND(V2022=1,D2022&lt;&gt;""),IF(D2022&gt;=corte,(B2022="CRÍTICO")*1E9+(100000-D2022)*10000+10000-ROW(),""),"")</f>
        <v/>
      </c>
      <c r="X2022" s="8">
        <f>IF(AND(V2022=1,D2022=pas_data,E2022=pas_turno),10000-ROW(),"")</f>
        <v/>
      </c>
    </row>
    <row r="2023">
      <c r="A2023" s="3">
        <f>IF(D2023="","","TT-"&amp;TEXT(ROW()-1,"00000"))</f>
        <v/>
      </c>
      <c r="B2023" s="3">
        <f>IF(D2023="","",IF(V2023=0,"CONCLUÍDO",IF(D2023&lt;corte,"HISTÓRICO",IF(OR(AND(ISNUMBER(R2023),R2023&lt;TODAY()),AND(OR(N2023="PENDENTE",N2023="PARCIAL"),D2023&lt;TODAY()-1)),"CRÍTICO",IF(OR(AND(P2023&lt;&gt;"",S2023=""),AND(N2023="REALIZADO",M2023="PENDENTE"),AND(ISNUMBER(R2023),R2023=TODAY())),"ATENÇÃO",IF(N(K2023)=0,"PENDENTE","EM ANDAMENTO"))))))</f>
        <v/>
      </c>
      <c r="C2023" s="3">
        <f>IF(D2023="","",IF(V2023=0,"🟢 OK",IF(D2023&lt;corte,"⚪ HISTÓRICO (sem baixa)",IF(AND(ISNUMBER(R2023),R2023&lt;TODAY()),"🔴 PRAZO VENCIDO",IF(AND(OR(N2023="PENDENTE",N2023="PARCIAL"),D2023&lt;TODAY()-1),"🔴 EMBARQUE ATRASADO",IF(AND(N2023="REALIZADO",M2023="PENDENTE"),"🟡 EMBARCADO SEM FATURAR",IF(AND(P2023&lt;&gt;"",S2023="",OR(Q2023="",R2023="")),"🟡 PENDÊNCIA SEM RESPONSÁVEL/PRAZO",IF(AND(ISNUMBER(R2023),R2023=TODAY()),"🟡 VENCE HOJE",IF(AND(P2023&lt;&gt;"",S2023=""),"🟡 PENDÊNCIA ABERTA",IF(AND(N(J2023)&gt;0,N(K2023)&lt;J2023),"🟡 FALTA EXECUTAR",IF(OR(M2023="PENDENTE",M2023="PARCIAL"),"🟡 FATURAMENTO PENDENTE","🟡 EMBARQUE PENDENTE")))))))))))</f>
        <v/>
      </c>
      <c r="D2023" s="4" t="n"/>
      <c r="E2023" s="5" t="n"/>
      <c r="F2023" s="5" t="n"/>
      <c r="G2023" s="5" t="n"/>
      <c r="H2023" s="5" t="n"/>
      <c r="I2023" s="5" t="n"/>
      <c r="J2023" s="6" t="n"/>
      <c r="K2023" s="6" t="n"/>
      <c r="L2023" s="7">
        <f>IF(OR(D2023="",N(J2023)=0),"",MIN(1,N(K2023)/J2023))</f>
        <v/>
      </c>
      <c r="M2023" s="5" t="n"/>
      <c r="N2023" s="5" t="n"/>
      <c r="O2023" s="5" t="n"/>
      <c r="P2023" s="5" t="n"/>
      <c r="Q2023" s="5" t="n"/>
      <c r="R2023" s="4" t="n"/>
      <c r="S2023" s="4" t="n"/>
      <c r="T2023" s="5" t="n"/>
      <c r="U2023" s="8">
        <f>IF(AND(V2023=1,D2023&lt;&gt;""),IF(D2023&gt;=corte,TODAY()-D2023,""),"")</f>
        <v/>
      </c>
      <c r="V2023" s="8">
        <f>IF(D2023="",0,IF(OR(AND(P2023&lt;&gt;"",S2023=""),AND(N(J2023)&gt;0,N(K2023)&lt;J2023),OR(M2023="PENDENTE",M2023="PARCIAL"),OR(N2023="PENDENTE",N2023="PARCIAL")),1,0))</f>
        <v/>
      </c>
      <c r="W2023" s="8">
        <f>IF(AND(V2023=1,D2023&lt;&gt;""),IF(D2023&gt;=corte,(B2023="CRÍTICO")*1E9+(100000-D2023)*10000+10000-ROW(),""),"")</f>
        <v/>
      </c>
      <c r="X2023" s="8">
        <f>IF(AND(V2023=1,D2023=pas_data,E2023=pas_turno),10000-ROW(),"")</f>
        <v/>
      </c>
    </row>
    <row r="2024">
      <c r="A2024" s="3">
        <f>IF(D2024="","","TT-"&amp;TEXT(ROW()-1,"00000"))</f>
        <v/>
      </c>
      <c r="B2024" s="3">
        <f>IF(D2024="","",IF(V2024=0,"CONCLUÍDO",IF(D2024&lt;corte,"HISTÓRICO",IF(OR(AND(ISNUMBER(R2024),R2024&lt;TODAY()),AND(OR(N2024="PENDENTE",N2024="PARCIAL"),D2024&lt;TODAY()-1)),"CRÍTICO",IF(OR(AND(P2024&lt;&gt;"",S2024=""),AND(N2024="REALIZADO",M2024="PENDENTE"),AND(ISNUMBER(R2024),R2024=TODAY())),"ATENÇÃO",IF(N(K2024)=0,"PENDENTE","EM ANDAMENTO"))))))</f>
        <v/>
      </c>
      <c r="C2024" s="3">
        <f>IF(D2024="","",IF(V2024=0,"🟢 OK",IF(D2024&lt;corte,"⚪ HISTÓRICO (sem baixa)",IF(AND(ISNUMBER(R2024),R2024&lt;TODAY()),"🔴 PRAZO VENCIDO",IF(AND(OR(N2024="PENDENTE",N2024="PARCIAL"),D2024&lt;TODAY()-1),"🔴 EMBARQUE ATRASADO",IF(AND(N2024="REALIZADO",M2024="PENDENTE"),"🟡 EMBARCADO SEM FATURAR",IF(AND(P2024&lt;&gt;"",S2024="",OR(Q2024="",R2024="")),"🟡 PENDÊNCIA SEM RESPONSÁVEL/PRAZO",IF(AND(ISNUMBER(R2024),R2024=TODAY()),"🟡 VENCE HOJE",IF(AND(P2024&lt;&gt;"",S2024=""),"🟡 PENDÊNCIA ABERTA",IF(AND(N(J2024)&gt;0,N(K2024)&lt;J2024),"🟡 FALTA EXECUTAR",IF(OR(M2024="PENDENTE",M2024="PARCIAL"),"🟡 FATURAMENTO PENDENTE","🟡 EMBARQUE PENDENTE")))))))))))</f>
        <v/>
      </c>
      <c r="D2024" s="4" t="n"/>
      <c r="E2024" s="5" t="n"/>
      <c r="F2024" s="5" t="n"/>
      <c r="G2024" s="5" t="n"/>
      <c r="H2024" s="5" t="n"/>
      <c r="I2024" s="5" t="n"/>
      <c r="J2024" s="6" t="n"/>
      <c r="K2024" s="6" t="n"/>
      <c r="L2024" s="7">
        <f>IF(OR(D2024="",N(J2024)=0),"",MIN(1,N(K2024)/J2024))</f>
        <v/>
      </c>
      <c r="M2024" s="5" t="n"/>
      <c r="N2024" s="5" t="n"/>
      <c r="O2024" s="5" t="n"/>
      <c r="P2024" s="5" t="n"/>
      <c r="Q2024" s="5" t="n"/>
      <c r="R2024" s="4" t="n"/>
      <c r="S2024" s="4" t="n"/>
      <c r="T2024" s="5" t="n"/>
      <c r="U2024" s="8">
        <f>IF(AND(V2024=1,D2024&lt;&gt;""),IF(D2024&gt;=corte,TODAY()-D2024,""),"")</f>
        <v/>
      </c>
      <c r="V2024" s="8">
        <f>IF(D2024="",0,IF(OR(AND(P2024&lt;&gt;"",S2024=""),AND(N(J2024)&gt;0,N(K2024)&lt;J2024),OR(M2024="PENDENTE",M2024="PARCIAL"),OR(N2024="PENDENTE",N2024="PARCIAL")),1,0))</f>
        <v/>
      </c>
      <c r="W2024" s="8">
        <f>IF(AND(V2024=1,D2024&lt;&gt;""),IF(D2024&gt;=corte,(B2024="CRÍTICO")*1E9+(100000-D2024)*10000+10000-ROW(),""),"")</f>
        <v/>
      </c>
      <c r="X2024" s="8">
        <f>IF(AND(V2024=1,D2024=pas_data,E2024=pas_turno),10000-ROW(),"")</f>
        <v/>
      </c>
    </row>
    <row r="2025">
      <c r="A2025" s="3">
        <f>IF(D2025="","","TT-"&amp;TEXT(ROW()-1,"00000"))</f>
        <v/>
      </c>
      <c r="B2025" s="3">
        <f>IF(D2025="","",IF(V2025=0,"CONCLUÍDO",IF(D2025&lt;corte,"HISTÓRICO",IF(OR(AND(ISNUMBER(R2025),R2025&lt;TODAY()),AND(OR(N2025="PENDENTE",N2025="PARCIAL"),D2025&lt;TODAY()-1)),"CRÍTICO",IF(OR(AND(P2025&lt;&gt;"",S2025=""),AND(N2025="REALIZADO",M2025="PENDENTE"),AND(ISNUMBER(R2025),R2025=TODAY())),"ATENÇÃO",IF(N(K2025)=0,"PENDENTE","EM ANDAMENTO"))))))</f>
        <v/>
      </c>
      <c r="C2025" s="3">
        <f>IF(D2025="","",IF(V2025=0,"🟢 OK",IF(D2025&lt;corte,"⚪ HISTÓRICO (sem baixa)",IF(AND(ISNUMBER(R2025),R2025&lt;TODAY()),"🔴 PRAZO VENCIDO",IF(AND(OR(N2025="PENDENTE",N2025="PARCIAL"),D2025&lt;TODAY()-1),"🔴 EMBARQUE ATRASADO",IF(AND(N2025="REALIZADO",M2025="PENDENTE"),"🟡 EMBARCADO SEM FATURAR",IF(AND(P2025&lt;&gt;"",S2025="",OR(Q2025="",R2025="")),"🟡 PENDÊNCIA SEM RESPONSÁVEL/PRAZO",IF(AND(ISNUMBER(R2025),R2025=TODAY()),"🟡 VENCE HOJE",IF(AND(P2025&lt;&gt;"",S2025=""),"🟡 PENDÊNCIA ABERTA",IF(AND(N(J2025)&gt;0,N(K2025)&lt;J2025),"🟡 FALTA EXECUTAR",IF(OR(M2025="PENDENTE",M2025="PARCIAL"),"🟡 FATURAMENTO PENDENTE","🟡 EMBARQUE PENDENTE")))))))))))</f>
        <v/>
      </c>
      <c r="D2025" s="4" t="n"/>
      <c r="E2025" s="5" t="n"/>
      <c r="F2025" s="5" t="n"/>
      <c r="G2025" s="5" t="n"/>
      <c r="H2025" s="5" t="n"/>
      <c r="I2025" s="5" t="n"/>
      <c r="J2025" s="6" t="n"/>
      <c r="K2025" s="6" t="n"/>
      <c r="L2025" s="7">
        <f>IF(OR(D2025="",N(J2025)=0),"",MIN(1,N(K2025)/J2025))</f>
        <v/>
      </c>
      <c r="M2025" s="5" t="n"/>
      <c r="N2025" s="5" t="n"/>
      <c r="O2025" s="5" t="n"/>
      <c r="P2025" s="5" t="n"/>
      <c r="Q2025" s="5" t="n"/>
      <c r="R2025" s="4" t="n"/>
      <c r="S2025" s="4" t="n"/>
      <c r="T2025" s="5" t="n"/>
      <c r="U2025" s="8">
        <f>IF(AND(V2025=1,D2025&lt;&gt;""),IF(D2025&gt;=corte,TODAY()-D2025,""),"")</f>
        <v/>
      </c>
      <c r="V2025" s="8">
        <f>IF(D2025="",0,IF(OR(AND(P2025&lt;&gt;"",S2025=""),AND(N(J2025)&gt;0,N(K2025)&lt;J2025),OR(M2025="PENDENTE",M2025="PARCIAL"),OR(N2025="PENDENTE",N2025="PARCIAL")),1,0))</f>
        <v/>
      </c>
      <c r="W2025" s="8">
        <f>IF(AND(V2025=1,D2025&lt;&gt;""),IF(D2025&gt;=corte,(B2025="CRÍTICO")*1E9+(100000-D2025)*10000+10000-ROW(),""),"")</f>
        <v/>
      </c>
      <c r="X2025" s="8">
        <f>IF(AND(V2025=1,D2025=pas_data,E2025=pas_turno),10000-ROW(),"")</f>
        <v/>
      </c>
    </row>
    <row r="2026">
      <c r="A2026" s="3">
        <f>IF(D2026="","","TT-"&amp;TEXT(ROW()-1,"00000"))</f>
        <v/>
      </c>
      <c r="B2026" s="3">
        <f>IF(D2026="","",IF(V2026=0,"CONCLUÍDO",IF(D2026&lt;corte,"HISTÓRICO",IF(OR(AND(ISNUMBER(R2026),R2026&lt;TODAY()),AND(OR(N2026="PENDENTE",N2026="PARCIAL"),D2026&lt;TODAY()-1)),"CRÍTICO",IF(OR(AND(P2026&lt;&gt;"",S2026=""),AND(N2026="REALIZADO",M2026="PENDENTE"),AND(ISNUMBER(R2026),R2026=TODAY())),"ATENÇÃO",IF(N(K2026)=0,"PENDENTE","EM ANDAMENTO"))))))</f>
        <v/>
      </c>
      <c r="C2026" s="3">
        <f>IF(D2026="","",IF(V2026=0,"🟢 OK",IF(D2026&lt;corte,"⚪ HISTÓRICO (sem baixa)",IF(AND(ISNUMBER(R2026),R2026&lt;TODAY()),"🔴 PRAZO VENCIDO",IF(AND(OR(N2026="PENDENTE",N2026="PARCIAL"),D2026&lt;TODAY()-1),"🔴 EMBARQUE ATRASADO",IF(AND(N2026="REALIZADO",M2026="PENDENTE"),"🟡 EMBARCADO SEM FATURAR",IF(AND(P2026&lt;&gt;"",S2026="",OR(Q2026="",R2026="")),"🟡 PENDÊNCIA SEM RESPONSÁVEL/PRAZO",IF(AND(ISNUMBER(R2026),R2026=TODAY()),"🟡 VENCE HOJE",IF(AND(P2026&lt;&gt;"",S2026=""),"🟡 PENDÊNCIA ABERTA",IF(AND(N(J2026)&gt;0,N(K2026)&lt;J2026),"🟡 FALTA EXECUTAR",IF(OR(M2026="PENDENTE",M2026="PARCIAL"),"🟡 FATURAMENTO PENDENTE","🟡 EMBARQUE PENDENTE")))))))))))</f>
        <v/>
      </c>
      <c r="D2026" s="4" t="n"/>
      <c r="E2026" s="5" t="n"/>
      <c r="F2026" s="5" t="n"/>
      <c r="G2026" s="5" t="n"/>
      <c r="H2026" s="5" t="n"/>
      <c r="I2026" s="5" t="n"/>
      <c r="J2026" s="6" t="n"/>
      <c r="K2026" s="6" t="n"/>
      <c r="L2026" s="7">
        <f>IF(OR(D2026="",N(J2026)=0),"",MIN(1,N(K2026)/J2026))</f>
        <v/>
      </c>
      <c r="M2026" s="5" t="n"/>
      <c r="N2026" s="5" t="n"/>
      <c r="O2026" s="5" t="n"/>
      <c r="P2026" s="5" t="n"/>
      <c r="Q2026" s="5" t="n"/>
      <c r="R2026" s="4" t="n"/>
      <c r="S2026" s="4" t="n"/>
      <c r="T2026" s="5" t="n"/>
      <c r="U2026" s="8">
        <f>IF(AND(V2026=1,D2026&lt;&gt;""),IF(D2026&gt;=corte,TODAY()-D2026,""),"")</f>
        <v/>
      </c>
      <c r="V2026" s="8">
        <f>IF(D2026="",0,IF(OR(AND(P2026&lt;&gt;"",S2026=""),AND(N(J2026)&gt;0,N(K2026)&lt;J2026),OR(M2026="PENDENTE",M2026="PARCIAL"),OR(N2026="PENDENTE",N2026="PARCIAL")),1,0))</f>
        <v/>
      </c>
      <c r="W2026" s="8">
        <f>IF(AND(V2026=1,D2026&lt;&gt;""),IF(D2026&gt;=corte,(B2026="CRÍTICO")*1E9+(100000-D2026)*10000+10000-ROW(),""),"")</f>
        <v/>
      </c>
      <c r="X2026" s="8">
        <f>IF(AND(V2026=1,D2026=pas_data,E2026=pas_turno),10000-ROW(),"")</f>
        <v/>
      </c>
    </row>
    <row r="2027">
      <c r="A2027" s="3">
        <f>IF(D2027="","","TT-"&amp;TEXT(ROW()-1,"00000"))</f>
        <v/>
      </c>
      <c r="B2027" s="3">
        <f>IF(D2027="","",IF(V2027=0,"CONCLUÍDO",IF(D2027&lt;corte,"HISTÓRICO",IF(OR(AND(ISNUMBER(R2027),R2027&lt;TODAY()),AND(OR(N2027="PENDENTE",N2027="PARCIAL"),D2027&lt;TODAY()-1)),"CRÍTICO",IF(OR(AND(P2027&lt;&gt;"",S2027=""),AND(N2027="REALIZADO",M2027="PENDENTE"),AND(ISNUMBER(R2027),R2027=TODAY())),"ATENÇÃO",IF(N(K2027)=0,"PENDENTE","EM ANDAMENTO"))))))</f>
        <v/>
      </c>
      <c r="C2027" s="3">
        <f>IF(D2027="","",IF(V2027=0,"🟢 OK",IF(D2027&lt;corte,"⚪ HISTÓRICO (sem baixa)",IF(AND(ISNUMBER(R2027),R2027&lt;TODAY()),"🔴 PRAZO VENCIDO",IF(AND(OR(N2027="PENDENTE",N2027="PARCIAL"),D2027&lt;TODAY()-1),"🔴 EMBARQUE ATRASADO",IF(AND(N2027="REALIZADO",M2027="PENDENTE"),"🟡 EMBARCADO SEM FATURAR",IF(AND(P2027&lt;&gt;"",S2027="",OR(Q2027="",R2027="")),"🟡 PENDÊNCIA SEM RESPONSÁVEL/PRAZO",IF(AND(ISNUMBER(R2027),R2027=TODAY()),"🟡 VENCE HOJE",IF(AND(P2027&lt;&gt;"",S2027=""),"🟡 PENDÊNCIA ABERTA",IF(AND(N(J2027)&gt;0,N(K2027)&lt;J2027),"🟡 FALTA EXECUTAR",IF(OR(M2027="PENDENTE",M2027="PARCIAL"),"🟡 FATURAMENTO PENDENTE","🟡 EMBARQUE PENDENTE")))))))))))</f>
        <v/>
      </c>
      <c r="D2027" s="4" t="n"/>
      <c r="E2027" s="5" t="n"/>
      <c r="F2027" s="5" t="n"/>
      <c r="G2027" s="5" t="n"/>
      <c r="H2027" s="5" t="n"/>
      <c r="I2027" s="5" t="n"/>
      <c r="J2027" s="6" t="n"/>
      <c r="K2027" s="6" t="n"/>
      <c r="L2027" s="7">
        <f>IF(OR(D2027="",N(J2027)=0),"",MIN(1,N(K2027)/J2027))</f>
        <v/>
      </c>
      <c r="M2027" s="5" t="n"/>
      <c r="N2027" s="5" t="n"/>
      <c r="O2027" s="5" t="n"/>
      <c r="P2027" s="5" t="n"/>
      <c r="Q2027" s="5" t="n"/>
      <c r="R2027" s="4" t="n"/>
      <c r="S2027" s="4" t="n"/>
      <c r="T2027" s="5" t="n"/>
      <c r="U2027" s="8">
        <f>IF(AND(V2027=1,D2027&lt;&gt;""),IF(D2027&gt;=corte,TODAY()-D2027,""),"")</f>
        <v/>
      </c>
      <c r="V2027" s="8">
        <f>IF(D2027="",0,IF(OR(AND(P2027&lt;&gt;"",S2027=""),AND(N(J2027)&gt;0,N(K2027)&lt;J2027),OR(M2027="PENDENTE",M2027="PARCIAL"),OR(N2027="PENDENTE",N2027="PARCIAL")),1,0))</f>
        <v/>
      </c>
      <c r="W2027" s="8">
        <f>IF(AND(V2027=1,D2027&lt;&gt;""),IF(D2027&gt;=corte,(B2027="CRÍTICO")*1E9+(100000-D2027)*10000+10000-ROW(),""),"")</f>
        <v/>
      </c>
      <c r="X2027" s="8">
        <f>IF(AND(V2027=1,D2027=pas_data,E2027=pas_turno),10000-ROW(),"")</f>
        <v/>
      </c>
    </row>
    <row r="2028">
      <c r="A2028" s="3">
        <f>IF(D2028="","","TT-"&amp;TEXT(ROW()-1,"00000"))</f>
        <v/>
      </c>
      <c r="B2028" s="3">
        <f>IF(D2028="","",IF(V2028=0,"CONCLUÍDO",IF(D2028&lt;corte,"HISTÓRICO",IF(OR(AND(ISNUMBER(R2028),R2028&lt;TODAY()),AND(OR(N2028="PENDENTE",N2028="PARCIAL"),D2028&lt;TODAY()-1)),"CRÍTICO",IF(OR(AND(P2028&lt;&gt;"",S2028=""),AND(N2028="REALIZADO",M2028="PENDENTE"),AND(ISNUMBER(R2028),R2028=TODAY())),"ATENÇÃO",IF(N(K2028)=0,"PENDENTE","EM ANDAMENTO"))))))</f>
        <v/>
      </c>
      <c r="C2028" s="3">
        <f>IF(D2028="","",IF(V2028=0,"🟢 OK",IF(D2028&lt;corte,"⚪ HISTÓRICO (sem baixa)",IF(AND(ISNUMBER(R2028),R2028&lt;TODAY()),"🔴 PRAZO VENCIDO",IF(AND(OR(N2028="PENDENTE",N2028="PARCIAL"),D2028&lt;TODAY()-1),"🔴 EMBARQUE ATRASADO",IF(AND(N2028="REALIZADO",M2028="PENDENTE"),"🟡 EMBARCADO SEM FATURAR",IF(AND(P2028&lt;&gt;"",S2028="",OR(Q2028="",R2028="")),"🟡 PENDÊNCIA SEM RESPONSÁVEL/PRAZO",IF(AND(ISNUMBER(R2028),R2028=TODAY()),"🟡 VENCE HOJE",IF(AND(P2028&lt;&gt;"",S2028=""),"🟡 PENDÊNCIA ABERTA",IF(AND(N(J2028)&gt;0,N(K2028)&lt;J2028),"🟡 FALTA EXECUTAR",IF(OR(M2028="PENDENTE",M2028="PARCIAL"),"🟡 FATURAMENTO PENDENTE","🟡 EMBARQUE PENDENTE")))))))))))</f>
        <v/>
      </c>
      <c r="D2028" s="4" t="n"/>
      <c r="E2028" s="5" t="n"/>
      <c r="F2028" s="5" t="n"/>
      <c r="G2028" s="5" t="n"/>
      <c r="H2028" s="5" t="n"/>
      <c r="I2028" s="5" t="n"/>
      <c r="J2028" s="6" t="n"/>
      <c r="K2028" s="6" t="n"/>
      <c r="L2028" s="7">
        <f>IF(OR(D2028="",N(J2028)=0),"",MIN(1,N(K2028)/J2028))</f>
        <v/>
      </c>
      <c r="M2028" s="5" t="n"/>
      <c r="N2028" s="5" t="n"/>
      <c r="O2028" s="5" t="n"/>
      <c r="P2028" s="5" t="n"/>
      <c r="Q2028" s="5" t="n"/>
      <c r="R2028" s="4" t="n"/>
      <c r="S2028" s="4" t="n"/>
      <c r="T2028" s="5" t="n"/>
      <c r="U2028" s="8">
        <f>IF(AND(V2028=1,D2028&lt;&gt;""),IF(D2028&gt;=corte,TODAY()-D2028,""),"")</f>
        <v/>
      </c>
      <c r="V2028" s="8">
        <f>IF(D2028="",0,IF(OR(AND(P2028&lt;&gt;"",S2028=""),AND(N(J2028)&gt;0,N(K2028)&lt;J2028),OR(M2028="PENDENTE",M2028="PARCIAL"),OR(N2028="PENDENTE",N2028="PARCIAL")),1,0))</f>
        <v/>
      </c>
      <c r="W2028" s="8">
        <f>IF(AND(V2028=1,D2028&lt;&gt;""),IF(D2028&gt;=corte,(B2028="CRÍTICO")*1E9+(100000-D2028)*10000+10000-ROW(),""),"")</f>
        <v/>
      </c>
      <c r="X2028" s="8">
        <f>IF(AND(V2028=1,D2028=pas_data,E2028=pas_turno),10000-ROW(),"")</f>
        <v/>
      </c>
    </row>
    <row r="2029">
      <c r="A2029" s="3">
        <f>IF(D2029="","","TT-"&amp;TEXT(ROW()-1,"00000"))</f>
        <v/>
      </c>
      <c r="B2029" s="3">
        <f>IF(D2029="","",IF(V2029=0,"CONCLUÍDO",IF(D2029&lt;corte,"HISTÓRICO",IF(OR(AND(ISNUMBER(R2029),R2029&lt;TODAY()),AND(OR(N2029="PENDENTE",N2029="PARCIAL"),D2029&lt;TODAY()-1)),"CRÍTICO",IF(OR(AND(P2029&lt;&gt;"",S2029=""),AND(N2029="REALIZADO",M2029="PENDENTE"),AND(ISNUMBER(R2029),R2029=TODAY())),"ATENÇÃO",IF(N(K2029)=0,"PENDENTE","EM ANDAMENTO"))))))</f>
        <v/>
      </c>
      <c r="C2029" s="3">
        <f>IF(D2029="","",IF(V2029=0,"🟢 OK",IF(D2029&lt;corte,"⚪ HISTÓRICO (sem baixa)",IF(AND(ISNUMBER(R2029),R2029&lt;TODAY()),"🔴 PRAZO VENCIDO",IF(AND(OR(N2029="PENDENTE",N2029="PARCIAL"),D2029&lt;TODAY()-1),"🔴 EMBARQUE ATRASADO",IF(AND(N2029="REALIZADO",M2029="PENDENTE"),"🟡 EMBARCADO SEM FATURAR",IF(AND(P2029&lt;&gt;"",S2029="",OR(Q2029="",R2029="")),"🟡 PENDÊNCIA SEM RESPONSÁVEL/PRAZO",IF(AND(ISNUMBER(R2029),R2029=TODAY()),"🟡 VENCE HOJE",IF(AND(P2029&lt;&gt;"",S2029=""),"🟡 PENDÊNCIA ABERTA",IF(AND(N(J2029)&gt;0,N(K2029)&lt;J2029),"🟡 FALTA EXECUTAR",IF(OR(M2029="PENDENTE",M2029="PARCIAL"),"🟡 FATURAMENTO PENDENTE","🟡 EMBARQUE PENDENTE")))))))))))</f>
        <v/>
      </c>
      <c r="D2029" s="4" t="n"/>
      <c r="E2029" s="5" t="n"/>
      <c r="F2029" s="5" t="n"/>
      <c r="G2029" s="5" t="n"/>
      <c r="H2029" s="5" t="n"/>
      <c r="I2029" s="5" t="n"/>
      <c r="J2029" s="6" t="n"/>
      <c r="K2029" s="6" t="n"/>
      <c r="L2029" s="7">
        <f>IF(OR(D2029="",N(J2029)=0),"",MIN(1,N(K2029)/J2029))</f>
        <v/>
      </c>
      <c r="M2029" s="5" t="n"/>
      <c r="N2029" s="5" t="n"/>
      <c r="O2029" s="5" t="n"/>
      <c r="P2029" s="5" t="n"/>
      <c r="Q2029" s="5" t="n"/>
      <c r="R2029" s="4" t="n"/>
      <c r="S2029" s="4" t="n"/>
      <c r="T2029" s="5" t="n"/>
      <c r="U2029" s="8">
        <f>IF(AND(V2029=1,D2029&lt;&gt;""),IF(D2029&gt;=corte,TODAY()-D2029,""),"")</f>
        <v/>
      </c>
      <c r="V2029" s="8">
        <f>IF(D2029="",0,IF(OR(AND(P2029&lt;&gt;"",S2029=""),AND(N(J2029)&gt;0,N(K2029)&lt;J2029),OR(M2029="PENDENTE",M2029="PARCIAL"),OR(N2029="PENDENTE",N2029="PARCIAL")),1,0))</f>
        <v/>
      </c>
      <c r="W2029" s="8">
        <f>IF(AND(V2029=1,D2029&lt;&gt;""),IF(D2029&gt;=corte,(B2029="CRÍTICO")*1E9+(100000-D2029)*10000+10000-ROW(),""),"")</f>
        <v/>
      </c>
      <c r="X2029" s="8">
        <f>IF(AND(V2029=1,D2029=pas_data,E2029=pas_turno),10000-ROW(),"")</f>
        <v/>
      </c>
    </row>
    <row r="2030">
      <c r="A2030" s="3">
        <f>IF(D2030="","","TT-"&amp;TEXT(ROW()-1,"00000"))</f>
        <v/>
      </c>
      <c r="B2030" s="3">
        <f>IF(D2030="","",IF(V2030=0,"CONCLUÍDO",IF(D2030&lt;corte,"HISTÓRICO",IF(OR(AND(ISNUMBER(R2030),R2030&lt;TODAY()),AND(OR(N2030="PENDENTE",N2030="PARCIAL"),D2030&lt;TODAY()-1)),"CRÍTICO",IF(OR(AND(P2030&lt;&gt;"",S2030=""),AND(N2030="REALIZADO",M2030="PENDENTE"),AND(ISNUMBER(R2030),R2030=TODAY())),"ATENÇÃO",IF(N(K2030)=0,"PENDENTE","EM ANDAMENTO"))))))</f>
        <v/>
      </c>
      <c r="C2030" s="3">
        <f>IF(D2030="","",IF(V2030=0,"🟢 OK",IF(D2030&lt;corte,"⚪ HISTÓRICO (sem baixa)",IF(AND(ISNUMBER(R2030),R2030&lt;TODAY()),"🔴 PRAZO VENCIDO",IF(AND(OR(N2030="PENDENTE",N2030="PARCIAL"),D2030&lt;TODAY()-1),"🔴 EMBARQUE ATRASADO",IF(AND(N2030="REALIZADO",M2030="PENDENTE"),"🟡 EMBARCADO SEM FATURAR",IF(AND(P2030&lt;&gt;"",S2030="",OR(Q2030="",R2030="")),"🟡 PENDÊNCIA SEM RESPONSÁVEL/PRAZO",IF(AND(ISNUMBER(R2030),R2030=TODAY()),"🟡 VENCE HOJE",IF(AND(P2030&lt;&gt;"",S2030=""),"🟡 PENDÊNCIA ABERTA",IF(AND(N(J2030)&gt;0,N(K2030)&lt;J2030),"🟡 FALTA EXECUTAR",IF(OR(M2030="PENDENTE",M2030="PARCIAL"),"🟡 FATURAMENTO PENDENTE","🟡 EMBARQUE PENDENTE")))))))))))</f>
        <v/>
      </c>
      <c r="D2030" s="4" t="n"/>
      <c r="E2030" s="5" t="n"/>
      <c r="F2030" s="5" t="n"/>
      <c r="G2030" s="5" t="n"/>
      <c r="H2030" s="5" t="n"/>
      <c r="I2030" s="5" t="n"/>
      <c r="J2030" s="6" t="n"/>
      <c r="K2030" s="6" t="n"/>
      <c r="L2030" s="7">
        <f>IF(OR(D2030="",N(J2030)=0),"",MIN(1,N(K2030)/J2030))</f>
        <v/>
      </c>
      <c r="M2030" s="5" t="n"/>
      <c r="N2030" s="5" t="n"/>
      <c r="O2030" s="5" t="n"/>
      <c r="P2030" s="5" t="n"/>
      <c r="Q2030" s="5" t="n"/>
      <c r="R2030" s="4" t="n"/>
      <c r="S2030" s="4" t="n"/>
      <c r="T2030" s="5" t="n"/>
      <c r="U2030" s="8">
        <f>IF(AND(V2030=1,D2030&lt;&gt;""),IF(D2030&gt;=corte,TODAY()-D2030,""),"")</f>
        <v/>
      </c>
      <c r="V2030" s="8">
        <f>IF(D2030="",0,IF(OR(AND(P2030&lt;&gt;"",S2030=""),AND(N(J2030)&gt;0,N(K2030)&lt;J2030),OR(M2030="PENDENTE",M2030="PARCIAL"),OR(N2030="PENDENTE",N2030="PARCIAL")),1,0))</f>
        <v/>
      </c>
      <c r="W2030" s="8">
        <f>IF(AND(V2030=1,D2030&lt;&gt;""),IF(D2030&gt;=corte,(B2030="CRÍTICO")*1E9+(100000-D2030)*10000+10000-ROW(),""),"")</f>
        <v/>
      </c>
      <c r="X2030" s="8">
        <f>IF(AND(V2030=1,D2030=pas_data,E2030=pas_turno),10000-ROW(),"")</f>
        <v/>
      </c>
    </row>
    <row r="2031">
      <c r="A2031" s="3">
        <f>IF(D2031="","","TT-"&amp;TEXT(ROW()-1,"00000"))</f>
        <v/>
      </c>
      <c r="B2031" s="3">
        <f>IF(D2031="","",IF(V2031=0,"CONCLUÍDO",IF(D2031&lt;corte,"HISTÓRICO",IF(OR(AND(ISNUMBER(R2031),R2031&lt;TODAY()),AND(OR(N2031="PENDENTE",N2031="PARCIAL"),D2031&lt;TODAY()-1)),"CRÍTICO",IF(OR(AND(P2031&lt;&gt;"",S2031=""),AND(N2031="REALIZADO",M2031="PENDENTE"),AND(ISNUMBER(R2031),R2031=TODAY())),"ATENÇÃO",IF(N(K2031)=0,"PENDENTE","EM ANDAMENTO"))))))</f>
        <v/>
      </c>
      <c r="C2031" s="3">
        <f>IF(D2031="","",IF(V2031=0,"🟢 OK",IF(D2031&lt;corte,"⚪ HISTÓRICO (sem baixa)",IF(AND(ISNUMBER(R2031),R2031&lt;TODAY()),"🔴 PRAZO VENCIDO",IF(AND(OR(N2031="PENDENTE",N2031="PARCIAL"),D2031&lt;TODAY()-1),"🔴 EMBARQUE ATRASADO",IF(AND(N2031="REALIZADO",M2031="PENDENTE"),"🟡 EMBARCADO SEM FATURAR",IF(AND(P2031&lt;&gt;"",S2031="",OR(Q2031="",R2031="")),"🟡 PENDÊNCIA SEM RESPONSÁVEL/PRAZO",IF(AND(ISNUMBER(R2031),R2031=TODAY()),"🟡 VENCE HOJE",IF(AND(P2031&lt;&gt;"",S2031=""),"🟡 PENDÊNCIA ABERTA",IF(AND(N(J2031)&gt;0,N(K2031)&lt;J2031),"🟡 FALTA EXECUTAR",IF(OR(M2031="PENDENTE",M2031="PARCIAL"),"🟡 FATURAMENTO PENDENTE","🟡 EMBARQUE PENDENTE")))))))))))</f>
        <v/>
      </c>
      <c r="D2031" s="4" t="n"/>
      <c r="E2031" s="5" t="n"/>
      <c r="F2031" s="5" t="n"/>
      <c r="G2031" s="5" t="n"/>
      <c r="H2031" s="5" t="n"/>
      <c r="I2031" s="5" t="n"/>
      <c r="J2031" s="6" t="n"/>
      <c r="K2031" s="6" t="n"/>
      <c r="L2031" s="7">
        <f>IF(OR(D2031="",N(J2031)=0),"",MIN(1,N(K2031)/J2031))</f>
        <v/>
      </c>
      <c r="M2031" s="5" t="n"/>
      <c r="N2031" s="5" t="n"/>
      <c r="O2031" s="5" t="n"/>
      <c r="P2031" s="5" t="n"/>
      <c r="Q2031" s="5" t="n"/>
      <c r="R2031" s="4" t="n"/>
      <c r="S2031" s="4" t="n"/>
      <c r="T2031" s="5" t="n"/>
      <c r="U2031" s="8">
        <f>IF(AND(V2031=1,D2031&lt;&gt;""),IF(D2031&gt;=corte,TODAY()-D2031,""),"")</f>
        <v/>
      </c>
      <c r="V2031" s="8">
        <f>IF(D2031="",0,IF(OR(AND(P2031&lt;&gt;"",S2031=""),AND(N(J2031)&gt;0,N(K2031)&lt;J2031),OR(M2031="PENDENTE",M2031="PARCIAL"),OR(N2031="PENDENTE",N2031="PARCIAL")),1,0))</f>
        <v/>
      </c>
      <c r="W2031" s="8">
        <f>IF(AND(V2031=1,D2031&lt;&gt;""),IF(D2031&gt;=corte,(B2031="CRÍTICO")*1E9+(100000-D2031)*10000+10000-ROW(),""),"")</f>
        <v/>
      </c>
      <c r="X2031" s="8">
        <f>IF(AND(V2031=1,D2031=pas_data,E2031=pas_turno),10000-ROW(),"")</f>
        <v/>
      </c>
    </row>
    <row r="2032">
      <c r="A2032" s="3">
        <f>IF(D2032="","","TT-"&amp;TEXT(ROW()-1,"00000"))</f>
        <v/>
      </c>
      <c r="B2032" s="3">
        <f>IF(D2032="","",IF(V2032=0,"CONCLUÍDO",IF(D2032&lt;corte,"HISTÓRICO",IF(OR(AND(ISNUMBER(R2032),R2032&lt;TODAY()),AND(OR(N2032="PENDENTE",N2032="PARCIAL"),D2032&lt;TODAY()-1)),"CRÍTICO",IF(OR(AND(P2032&lt;&gt;"",S2032=""),AND(N2032="REALIZADO",M2032="PENDENTE"),AND(ISNUMBER(R2032),R2032=TODAY())),"ATENÇÃO",IF(N(K2032)=0,"PENDENTE","EM ANDAMENTO"))))))</f>
        <v/>
      </c>
      <c r="C2032" s="3">
        <f>IF(D2032="","",IF(V2032=0,"🟢 OK",IF(D2032&lt;corte,"⚪ HISTÓRICO (sem baixa)",IF(AND(ISNUMBER(R2032),R2032&lt;TODAY()),"🔴 PRAZO VENCIDO",IF(AND(OR(N2032="PENDENTE",N2032="PARCIAL"),D2032&lt;TODAY()-1),"🔴 EMBARQUE ATRASADO",IF(AND(N2032="REALIZADO",M2032="PENDENTE"),"🟡 EMBARCADO SEM FATURAR",IF(AND(P2032&lt;&gt;"",S2032="",OR(Q2032="",R2032="")),"🟡 PENDÊNCIA SEM RESPONSÁVEL/PRAZO",IF(AND(ISNUMBER(R2032),R2032=TODAY()),"🟡 VENCE HOJE",IF(AND(P2032&lt;&gt;"",S2032=""),"🟡 PENDÊNCIA ABERTA",IF(AND(N(J2032)&gt;0,N(K2032)&lt;J2032),"🟡 FALTA EXECUTAR",IF(OR(M2032="PENDENTE",M2032="PARCIAL"),"🟡 FATURAMENTO PENDENTE","🟡 EMBARQUE PENDENTE")))))))))))</f>
        <v/>
      </c>
      <c r="D2032" s="4" t="n"/>
      <c r="E2032" s="5" t="n"/>
      <c r="F2032" s="5" t="n"/>
      <c r="G2032" s="5" t="n"/>
      <c r="H2032" s="5" t="n"/>
      <c r="I2032" s="5" t="n"/>
      <c r="J2032" s="6" t="n"/>
      <c r="K2032" s="6" t="n"/>
      <c r="L2032" s="7">
        <f>IF(OR(D2032="",N(J2032)=0),"",MIN(1,N(K2032)/J2032))</f>
        <v/>
      </c>
      <c r="M2032" s="5" t="n"/>
      <c r="N2032" s="5" t="n"/>
      <c r="O2032" s="5" t="n"/>
      <c r="P2032" s="5" t="n"/>
      <c r="Q2032" s="5" t="n"/>
      <c r="R2032" s="4" t="n"/>
      <c r="S2032" s="4" t="n"/>
      <c r="T2032" s="5" t="n"/>
      <c r="U2032" s="8">
        <f>IF(AND(V2032=1,D2032&lt;&gt;""),IF(D2032&gt;=corte,TODAY()-D2032,""),"")</f>
        <v/>
      </c>
      <c r="V2032" s="8">
        <f>IF(D2032="",0,IF(OR(AND(P2032&lt;&gt;"",S2032=""),AND(N(J2032)&gt;0,N(K2032)&lt;J2032),OR(M2032="PENDENTE",M2032="PARCIAL"),OR(N2032="PENDENTE",N2032="PARCIAL")),1,0))</f>
        <v/>
      </c>
      <c r="W2032" s="8">
        <f>IF(AND(V2032=1,D2032&lt;&gt;""),IF(D2032&gt;=corte,(B2032="CRÍTICO")*1E9+(100000-D2032)*10000+10000-ROW(),""),"")</f>
        <v/>
      </c>
      <c r="X2032" s="8">
        <f>IF(AND(V2032=1,D2032=pas_data,E2032=pas_turno),10000-ROW(),"")</f>
        <v/>
      </c>
    </row>
    <row r="2033">
      <c r="A2033" s="3">
        <f>IF(D2033="","","TT-"&amp;TEXT(ROW()-1,"00000"))</f>
        <v/>
      </c>
      <c r="B2033" s="3">
        <f>IF(D2033="","",IF(V2033=0,"CONCLUÍDO",IF(D2033&lt;corte,"HISTÓRICO",IF(OR(AND(ISNUMBER(R2033),R2033&lt;TODAY()),AND(OR(N2033="PENDENTE",N2033="PARCIAL"),D2033&lt;TODAY()-1)),"CRÍTICO",IF(OR(AND(P2033&lt;&gt;"",S2033=""),AND(N2033="REALIZADO",M2033="PENDENTE"),AND(ISNUMBER(R2033),R2033=TODAY())),"ATENÇÃO",IF(N(K2033)=0,"PENDENTE","EM ANDAMENTO"))))))</f>
        <v/>
      </c>
      <c r="C2033" s="3">
        <f>IF(D2033="","",IF(V2033=0,"🟢 OK",IF(D2033&lt;corte,"⚪ HISTÓRICO (sem baixa)",IF(AND(ISNUMBER(R2033),R2033&lt;TODAY()),"🔴 PRAZO VENCIDO",IF(AND(OR(N2033="PENDENTE",N2033="PARCIAL"),D2033&lt;TODAY()-1),"🔴 EMBARQUE ATRASADO",IF(AND(N2033="REALIZADO",M2033="PENDENTE"),"🟡 EMBARCADO SEM FATURAR",IF(AND(P2033&lt;&gt;"",S2033="",OR(Q2033="",R2033="")),"🟡 PENDÊNCIA SEM RESPONSÁVEL/PRAZO",IF(AND(ISNUMBER(R2033),R2033=TODAY()),"🟡 VENCE HOJE",IF(AND(P2033&lt;&gt;"",S2033=""),"🟡 PENDÊNCIA ABERTA",IF(AND(N(J2033)&gt;0,N(K2033)&lt;J2033),"🟡 FALTA EXECUTAR",IF(OR(M2033="PENDENTE",M2033="PARCIAL"),"🟡 FATURAMENTO PENDENTE","🟡 EMBARQUE PENDENTE")))))))))))</f>
        <v/>
      </c>
      <c r="D2033" s="4" t="n"/>
      <c r="E2033" s="5" t="n"/>
      <c r="F2033" s="5" t="n"/>
      <c r="G2033" s="5" t="n"/>
      <c r="H2033" s="5" t="n"/>
      <c r="I2033" s="5" t="n"/>
      <c r="J2033" s="6" t="n"/>
      <c r="K2033" s="6" t="n"/>
      <c r="L2033" s="7">
        <f>IF(OR(D2033="",N(J2033)=0),"",MIN(1,N(K2033)/J2033))</f>
        <v/>
      </c>
      <c r="M2033" s="5" t="n"/>
      <c r="N2033" s="5" t="n"/>
      <c r="O2033" s="5" t="n"/>
      <c r="P2033" s="5" t="n"/>
      <c r="Q2033" s="5" t="n"/>
      <c r="R2033" s="4" t="n"/>
      <c r="S2033" s="4" t="n"/>
      <c r="T2033" s="5" t="n"/>
      <c r="U2033" s="8">
        <f>IF(AND(V2033=1,D2033&lt;&gt;""),IF(D2033&gt;=corte,TODAY()-D2033,""),"")</f>
        <v/>
      </c>
      <c r="V2033" s="8">
        <f>IF(D2033="",0,IF(OR(AND(P2033&lt;&gt;"",S2033=""),AND(N(J2033)&gt;0,N(K2033)&lt;J2033),OR(M2033="PENDENTE",M2033="PARCIAL"),OR(N2033="PENDENTE",N2033="PARCIAL")),1,0))</f>
        <v/>
      </c>
      <c r="W2033" s="8">
        <f>IF(AND(V2033=1,D2033&lt;&gt;""),IF(D2033&gt;=corte,(B2033="CRÍTICO")*1E9+(100000-D2033)*10000+10000-ROW(),""),"")</f>
        <v/>
      </c>
      <c r="X2033" s="8">
        <f>IF(AND(V2033=1,D2033=pas_data,E2033=pas_turno),10000-ROW(),"")</f>
        <v/>
      </c>
    </row>
    <row r="2034">
      <c r="A2034" s="3">
        <f>IF(D2034="","","TT-"&amp;TEXT(ROW()-1,"00000"))</f>
        <v/>
      </c>
      <c r="B2034" s="3">
        <f>IF(D2034="","",IF(V2034=0,"CONCLUÍDO",IF(D2034&lt;corte,"HISTÓRICO",IF(OR(AND(ISNUMBER(R2034),R2034&lt;TODAY()),AND(OR(N2034="PENDENTE",N2034="PARCIAL"),D2034&lt;TODAY()-1)),"CRÍTICO",IF(OR(AND(P2034&lt;&gt;"",S2034=""),AND(N2034="REALIZADO",M2034="PENDENTE"),AND(ISNUMBER(R2034),R2034=TODAY())),"ATENÇÃO",IF(N(K2034)=0,"PENDENTE","EM ANDAMENTO"))))))</f>
        <v/>
      </c>
      <c r="C2034" s="3">
        <f>IF(D2034="","",IF(V2034=0,"🟢 OK",IF(D2034&lt;corte,"⚪ HISTÓRICO (sem baixa)",IF(AND(ISNUMBER(R2034),R2034&lt;TODAY()),"🔴 PRAZO VENCIDO",IF(AND(OR(N2034="PENDENTE",N2034="PARCIAL"),D2034&lt;TODAY()-1),"🔴 EMBARQUE ATRASADO",IF(AND(N2034="REALIZADO",M2034="PENDENTE"),"🟡 EMBARCADO SEM FATURAR",IF(AND(P2034&lt;&gt;"",S2034="",OR(Q2034="",R2034="")),"🟡 PENDÊNCIA SEM RESPONSÁVEL/PRAZO",IF(AND(ISNUMBER(R2034),R2034=TODAY()),"🟡 VENCE HOJE",IF(AND(P2034&lt;&gt;"",S2034=""),"🟡 PENDÊNCIA ABERTA",IF(AND(N(J2034)&gt;0,N(K2034)&lt;J2034),"🟡 FALTA EXECUTAR",IF(OR(M2034="PENDENTE",M2034="PARCIAL"),"🟡 FATURAMENTO PENDENTE","🟡 EMBARQUE PENDENTE")))))))))))</f>
        <v/>
      </c>
      <c r="D2034" s="4" t="n"/>
      <c r="E2034" s="5" t="n"/>
      <c r="F2034" s="5" t="n"/>
      <c r="G2034" s="5" t="n"/>
      <c r="H2034" s="5" t="n"/>
      <c r="I2034" s="5" t="n"/>
      <c r="J2034" s="6" t="n"/>
      <c r="K2034" s="6" t="n"/>
      <c r="L2034" s="7">
        <f>IF(OR(D2034="",N(J2034)=0),"",MIN(1,N(K2034)/J2034))</f>
        <v/>
      </c>
      <c r="M2034" s="5" t="n"/>
      <c r="N2034" s="5" t="n"/>
      <c r="O2034" s="5" t="n"/>
      <c r="P2034" s="5" t="n"/>
      <c r="Q2034" s="5" t="n"/>
      <c r="R2034" s="4" t="n"/>
      <c r="S2034" s="4" t="n"/>
      <c r="T2034" s="5" t="n"/>
      <c r="U2034" s="8">
        <f>IF(AND(V2034=1,D2034&lt;&gt;""),IF(D2034&gt;=corte,TODAY()-D2034,""),"")</f>
        <v/>
      </c>
      <c r="V2034" s="8">
        <f>IF(D2034="",0,IF(OR(AND(P2034&lt;&gt;"",S2034=""),AND(N(J2034)&gt;0,N(K2034)&lt;J2034),OR(M2034="PENDENTE",M2034="PARCIAL"),OR(N2034="PENDENTE",N2034="PARCIAL")),1,0))</f>
        <v/>
      </c>
      <c r="W2034" s="8">
        <f>IF(AND(V2034=1,D2034&lt;&gt;""),IF(D2034&gt;=corte,(B2034="CRÍTICO")*1E9+(100000-D2034)*10000+10000-ROW(),""),"")</f>
        <v/>
      </c>
      <c r="X2034" s="8">
        <f>IF(AND(V2034=1,D2034=pas_data,E2034=pas_turno),10000-ROW(),"")</f>
        <v/>
      </c>
    </row>
    <row r="2035">
      <c r="A2035" s="3">
        <f>IF(D2035="","","TT-"&amp;TEXT(ROW()-1,"00000"))</f>
        <v/>
      </c>
      <c r="B2035" s="3">
        <f>IF(D2035="","",IF(V2035=0,"CONCLUÍDO",IF(D2035&lt;corte,"HISTÓRICO",IF(OR(AND(ISNUMBER(R2035),R2035&lt;TODAY()),AND(OR(N2035="PENDENTE",N2035="PARCIAL"),D2035&lt;TODAY()-1)),"CRÍTICO",IF(OR(AND(P2035&lt;&gt;"",S2035=""),AND(N2035="REALIZADO",M2035="PENDENTE"),AND(ISNUMBER(R2035),R2035=TODAY())),"ATENÇÃO",IF(N(K2035)=0,"PENDENTE","EM ANDAMENTO"))))))</f>
        <v/>
      </c>
      <c r="C2035" s="3">
        <f>IF(D2035="","",IF(V2035=0,"🟢 OK",IF(D2035&lt;corte,"⚪ HISTÓRICO (sem baixa)",IF(AND(ISNUMBER(R2035),R2035&lt;TODAY()),"🔴 PRAZO VENCIDO",IF(AND(OR(N2035="PENDENTE",N2035="PARCIAL"),D2035&lt;TODAY()-1),"🔴 EMBARQUE ATRASADO",IF(AND(N2035="REALIZADO",M2035="PENDENTE"),"🟡 EMBARCADO SEM FATURAR",IF(AND(P2035&lt;&gt;"",S2035="",OR(Q2035="",R2035="")),"🟡 PENDÊNCIA SEM RESPONSÁVEL/PRAZO",IF(AND(ISNUMBER(R2035),R2035=TODAY()),"🟡 VENCE HOJE",IF(AND(P2035&lt;&gt;"",S2035=""),"🟡 PENDÊNCIA ABERTA",IF(AND(N(J2035)&gt;0,N(K2035)&lt;J2035),"🟡 FALTA EXECUTAR",IF(OR(M2035="PENDENTE",M2035="PARCIAL"),"🟡 FATURAMENTO PENDENTE","🟡 EMBARQUE PENDENTE")))))))))))</f>
        <v/>
      </c>
      <c r="D2035" s="4" t="n"/>
      <c r="E2035" s="5" t="n"/>
      <c r="F2035" s="5" t="n"/>
      <c r="G2035" s="5" t="n"/>
      <c r="H2035" s="5" t="n"/>
      <c r="I2035" s="5" t="n"/>
      <c r="J2035" s="6" t="n"/>
      <c r="K2035" s="6" t="n"/>
      <c r="L2035" s="7">
        <f>IF(OR(D2035="",N(J2035)=0),"",MIN(1,N(K2035)/J2035))</f>
        <v/>
      </c>
      <c r="M2035" s="5" t="n"/>
      <c r="N2035" s="5" t="n"/>
      <c r="O2035" s="5" t="n"/>
      <c r="P2035" s="5" t="n"/>
      <c r="Q2035" s="5" t="n"/>
      <c r="R2035" s="4" t="n"/>
      <c r="S2035" s="4" t="n"/>
      <c r="T2035" s="5" t="n"/>
      <c r="U2035" s="8">
        <f>IF(AND(V2035=1,D2035&lt;&gt;""),IF(D2035&gt;=corte,TODAY()-D2035,""),"")</f>
        <v/>
      </c>
      <c r="V2035" s="8">
        <f>IF(D2035="",0,IF(OR(AND(P2035&lt;&gt;"",S2035=""),AND(N(J2035)&gt;0,N(K2035)&lt;J2035),OR(M2035="PENDENTE",M2035="PARCIAL"),OR(N2035="PENDENTE",N2035="PARCIAL")),1,0))</f>
        <v/>
      </c>
      <c r="W2035" s="8">
        <f>IF(AND(V2035=1,D2035&lt;&gt;""),IF(D2035&gt;=corte,(B2035="CRÍTICO")*1E9+(100000-D2035)*10000+10000-ROW(),""),"")</f>
        <v/>
      </c>
      <c r="X2035" s="8">
        <f>IF(AND(V2035=1,D2035=pas_data,E2035=pas_turno),10000-ROW(),"")</f>
        <v/>
      </c>
    </row>
    <row r="2036">
      <c r="A2036" s="3">
        <f>IF(D2036="","","TT-"&amp;TEXT(ROW()-1,"00000"))</f>
        <v/>
      </c>
      <c r="B2036" s="3">
        <f>IF(D2036="","",IF(V2036=0,"CONCLUÍDO",IF(D2036&lt;corte,"HISTÓRICO",IF(OR(AND(ISNUMBER(R2036),R2036&lt;TODAY()),AND(OR(N2036="PENDENTE",N2036="PARCIAL"),D2036&lt;TODAY()-1)),"CRÍTICO",IF(OR(AND(P2036&lt;&gt;"",S2036=""),AND(N2036="REALIZADO",M2036="PENDENTE"),AND(ISNUMBER(R2036),R2036=TODAY())),"ATENÇÃO",IF(N(K2036)=0,"PENDENTE","EM ANDAMENTO"))))))</f>
        <v/>
      </c>
      <c r="C2036" s="3">
        <f>IF(D2036="","",IF(V2036=0,"🟢 OK",IF(D2036&lt;corte,"⚪ HISTÓRICO (sem baixa)",IF(AND(ISNUMBER(R2036),R2036&lt;TODAY()),"🔴 PRAZO VENCIDO",IF(AND(OR(N2036="PENDENTE",N2036="PARCIAL"),D2036&lt;TODAY()-1),"🔴 EMBARQUE ATRASADO",IF(AND(N2036="REALIZADO",M2036="PENDENTE"),"🟡 EMBARCADO SEM FATURAR",IF(AND(P2036&lt;&gt;"",S2036="",OR(Q2036="",R2036="")),"🟡 PENDÊNCIA SEM RESPONSÁVEL/PRAZO",IF(AND(ISNUMBER(R2036),R2036=TODAY()),"🟡 VENCE HOJE",IF(AND(P2036&lt;&gt;"",S2036=""),"🟡 PENDÊNCIA ABERTA",IF(AND(N(J2036)&gt;0,N(K2036)&lt;J2036),"🟡 FALTA EXECUTAR",IF(OR(M2036="PENDENTE",M2036="PARCIAL"),"🟡 FATURAMENTO PENDENTE","🟡 EMBARQUE PENDENTE")))))))))))</f>
        <v/>
      </c>
      <c r="D2036" s="4" t="n"/>
      <c r="E2036" s="5" t="n"/>
      <c r="F2036" s="5" t="n"/>
      <c r="G2036" s="5" t="n"/>
      <c r="H2036" s="5" t="n"/>
      <c r="I2036" s="5" t="n"/>
      <c r="J2036" s="6" t="n"/>
      <c r="K2036" s="6" t="n"/>
      <c r="L2036" s="7">
        <f>IF(OR(D2036="",N(J2036)=0),"",MIN(1,N(K2036)/J2036))</f>
        <v/>
      </c>
      <c r="M2036" s="5" t="n"/>
      <c r="N2036" s="5" t="n"/>
      <c r="O2036" s="5" t="n"/>
      <c r="P2036" s="5" t="n"/>
      <c r="Q2036" s="5" t="n"/>
      <c r="R2036" s="4" t="n"/>
      <c r="S2036" s="4" t="n"/>
      <c r="T2036" s="5" t="n"/>
      <c r="U2036" s="8">
        <f>IF(AND(V2036=1,D2036&lt;&gt;""),IF(D2036&gt;=corte,TODAY()-D2036,""),"")</f>
        <v/>
      </c>
      <c r="V2036" s="8">
        <f>IF(D2036="",0,IF(OR(AND(P2036&lt;&gt;"",S2036=""),AND(N(J2036)&gt;0,N(K2036)&lt;J2036),OR(M2036="PENDENTE",M2036="PARCIAL"),OR(N2036="PENDENTE",N2036="PARCIAL")),1,0))</f>
        <v/>
      </c>
      <c r="W2036" s="8">
        <f>IF(AND(V2036=1,D2036&lt;&gt;""),IF(D2036&gt;=corte,(B2036="CRÍTICO")*1E9+(100000-D2036)*10000+10000-ROW(),""),"")</f>
        <v/>
      </c>
      <c r="X2036" s="8">
        <f>IF(AND(V2036=1,D2036=pas_data,E2036=pas_turno),10000-ROW(),"")</f>
        <v/>
      </c>
    </row>
    <row r="2037">
      <c r="A2037" s="3">
        <f>IF(D2037="","","TT-"&amp;TEXT(ROW()-1,"00000"))</f>
        <v/>
      </c>
      <c r="B2037" s="3">
        <f>IF(D2037="","",IF(V2037=0,"CONCLUÍDO",IF(D2037&lt;corte,"HISTÓRICO",IF(OR(AND(ISNUMBER(R2037),R2037&lt;TODAY()),AND(OR(N2037="PENDENTE",N2037="PARCIAL"),D2037&lt;TODAY()-1)),"CRÍTICO",IF(OR(AND(P2037&lt;&gt;"",S2037=""),AND(N2037="REALIZADO",M2037="PENDENTE"),AND(ISNUMBER(R2037),R2037=TODAY())),"ATENÇÃO",IF(N(K2037)=0,"PENDENTE","EM ANDAMENTO"))))))</f>
        <v/>
      </c>
      <c r="C2037" s="3">
        <f>IF(D2037="","",IF(V2037=0,"🟢 OK",IF(D2037&lt;corte,"⚪ HISTÓRICO (sem baixa)",IF(AND(ISNUMBER(R2037),R2037&lt;TODAY()),"🔴 PRAZO VENCIDO",IF(AND(OR(N2037="PENDENTE",N2037="PARCIAL"),D2037&lt;TODAY()-1),"🔴 EMBARQUE ATRASADO",IF(AND(N2037="REALIZADO",M2037="PENDENTE"),"🟡 EMBARCADO SEM FATURAR",IF(AND(P2037&lt;&gt;"",S2037="",OR(Q2037="",R2037="")),"🟡 PENDÊNCIA SEM RESPONSÁVEL/PRAZO",IF(AND(ISNUMBER(R2037),R2037=TODAY()),"🟡 VENCE HOJE",IF(AND(P2037&lt;&gt;"",S2037=""),"🟡 PENDÊNCIA ABERTA",IF(AND(N(J2037)&gt;0,N(K2037)&lt;J2037),"🟡 FALTA EXECUTAR",IF(OR(M2037="PENDENTE",M2037="PARCIAL"),"🟡 FATURAMENTO PENDENTE","🟡 EMBARQUE PENDENTE")))))))))))</f>
        <v/>
      </c>
      <c r="D2037" s="4" t="n"/>
      <c r="E2037" s="5" t="n"/>
      <c r="F2037" s="5" t="n"/>
      <c r="G2037" s="5" t="n"/>
      <c r="H2037" s="5" t="n"/>
      <c r="I2037" s="5" t="n"/>
      <c r="J2037" s="6" t="n"/>
      <c r="K2037" s="6" t="n"/>
      <c r="L2037" s="7">
        <f>IF(OR(D2037="",N(J2037)=0),"",MIN(1,N(K2037)/J2037))</f>
        <v/>
      </c>
      <c r="M2037" s="5" t="n"/>
      <c r="N2037" s="5" t="n"/>
      <c r="O2037" s="5" t="n"/>
      <c r="P2037" s="5" t="n"/>
      <c r="Q2037" s="5" t="n"/>
      <c r="R2037" s="4" t="n"/>
      <c r="S2037" s="4" t="n"/>
      <c r="T2037" s="5" t="n"/>
      <c r="U2037" s="8">
        <f>IF(AND(V2037=1,D2037&lt;&gt;""),IF(D2037&gt;=corte,TODAY()-D2037,""),"")</f>
        <v/>
      </c>
      <c r="V2037" s="8">
        <f>IF(D2037="",0,IF(OR(AND(P2037&lt;&gt;"",S2037=""),AND(N(J2037)&gt;0,N(K2037)&lt;J2037),OR(M2037="PENDENTE",M2037="PARCIAL"),OR(N2037="PENDENTE",N2037="PARCIAL")),1,0))</f>
        <v/>
      </c>
      <c r="W2037" s="8">
        <f>IF(AND(V2037=1,D2037&lt;&gt;""),IF(D2037&gt;=corte,(B2037="CRÍTICO")*1E9+(100000-D2037)*10000+10000-ROW(),""),"")</f>
        <v/>
      </c>
      <c r="X2037" s="8">
        <f>IF(AND(V2037=1,D2037=pas_data,E2037=pas_turno),10000-ROW(),"")</f>
        <v/>
      </c>
    </row>
    <row r="2038">
      <c r="A2038" s="3">
        <f>IF(D2038="","","TT-"&amp;TEXT(ROW()-1,"00000"))</f>
        <v/>
      </c>
      <c r="B2038" s="3">
        <f>IF(D2038="","",IF(V2038=0,"CONCLUÍDO",IF(D2038&lt;corte,"HISTÓRICO",IF(OR(AND(ISNUMBER(R2038),R2038&lt;TODAY()),AND(OR(N2038="PENDENTE",N2038="PARCIAL"),D2038&lt;TODAY()-1)),"CRÍTICO",IF(OR(AND(P2038&lt;&gt;"",S2038=""),AND(N2038="REALIZADO",M2038="PENDENTE"),AND(ISNUMBER(R2038),R2038=TODAY())),"ATENÇÃO",IF(N(K2038)=0,"PENDENTE","EM ANDAMENTO"))))))</f>
        <v/>
      </c>
      <c r="C2038" s="3">
        <f>IF(D2038="","",IF(V2038=0,"🟢 OK",IF(D2038&lt;corte,"⚪ HISTÓRICO (sem baixa)",IF(AND(ISNUMBER(R2038),R2038&lt;TODAY()),"🔴 PRAZO VENCIDO",IF(AND(OR(N2038="PENDENTE",N2038="PARCIAL"),D2038&lt;TODAY()-1),"🔴 EMBARQUE ATRASADO",IF(AND(N2038="REALIZADO",M2038="PENDENTE"),"🟡 EMBARCADO SEM FATURAR",IF(AND(P2038&lt;&gt;"",S2038="",OR(Q2038="",R2038="")),"🟡 PENDÊNCIA SEM RESPONSÁVEL/PRAZO",IF(AND(ISNUMBER(R2038),R2038=TODAY()),"🟡 VENCE HOJE",IF(AND(P2038&lt;&gt;"",S2038=""),"🟡 PENDÊNCIA ABERTA",IF(AND(N(J2038)&gt;0,N(K2038)&lt;J2038),"🟡 FALTA EXECUTAR",IF(OR(M2038="PENDENTE",M2038="PARCIAL"),"🟡 FATURAMENTO PENDENTE","🟡 EMBARQUE PENDENTE")))))))))))</f>
        <v/>
      </c>
      <c r="D2038" s="4" t="n"/>
      <c r="E2038" s="5" t="n"/>
      <c r="F2038" s="5" t="n"/>
      <c r="G2038" s="5" t="n"/>
      <c r="H2038" s="5" t="n"/>
      <c r="I2038" s="5" t="n"/>
      <c r="J2038" s="6" t="n"/>
      <c r="K2038" s="6" t="n"/>
      <c r="L2038" s="7">
        <f>IF(OR(D2038="",N(J2038)=0),"",MIN(1,N(K2038)/J2038))</f>
        <v/>
      </c>
      <c r="M2038" s="5" t="n"/>
      <c r="N2038" s="5" t="n"/>
      <c r="O2038" s="5" t="n"/>
      <c r="P2038" s="5" t="n"/>
      <c r="Q2038" s="5" t="n"/>
      <c r="R2038" s="4" t="n"/>
      <c r="S2038" s="4" t="n"/>
      <c r="T2038" s="5" t="n"/>
      <c r="U2038" s="8">
        <f>IF(AND(V2038=1,D2038&lt;&gt;""),IF(D2038&gt;=corte,TODAY()-D2038,""),"")</f>
        <v/>
      </c>
      <c r="V2038" s="8">
        <f>IF(D2038="",0,IF(OR(AND(P2038&lt;&gt;"",S2038=""),AND(N(J2038)&gt;0,N(K2038)&lt;J2038),OR(M2038="PENDENTE",M2038="PARCIAL"),OR(N2038="PENDENTE",N2038="PARCIAL")),1,0))</f>
        <v/>
      </c>
      <c r="W2038" s="8">
        <f>IF(AND(V2038=1,D2038&lt;&gt;""),IF(D2038&gt;=corte,(B2038="CRÍTICO")*1E9+(100000-D2038)*10000+10000-ROW(),""),"")</f>
        <v/>
      </c>
      <c r="X2038" s="8">
        <f>IF(AND(V2038=1,D2038=pas_data,E2038=pas_turno),10000-ROW(),"")</f>
        <v/>
      </c>
    </row>
    <row r="2039">
      <c r="A2039" s="3">
        <f>IF(D2039="","","TT-"&amp;TEXT(ROW()-1,"00000"))</f>
        <v/>
      </c>
      <c r="B2039" s="3">
        <f>IF(D2039="","",IF(V2039=0,"CONCLUÍDO",IF(D2039&lt;corte,"HISTÓRICO",IF(OR(AND(ISNUMBER(R2039),R2039&lt;TODAY()),AND(OR(N2039="PENDENTE",N2039="PARCIAL"),D2039&lt;TODAY()-1)),"CRÍTICO",IF(OR(AND(P2039&lt;&gt;"",S2039=""),AND(N2039="REALIZADO",M2039="PENDENTE"),AND(ISNUMBER(R2039),R2039=TODAY())),"ATENÇÃO",IF(N(K2039)=0,"PENDENTE","EM ANDAMENTO"))))))</f>
        <v/>
      </c>
      <c r="C2039" s="3">
        <f>IF(D2039="","",IF(V2039=0,"🟢 OK",IF(D2039&lt;corte,"⚪ HISTÓRICO (sem baixa)",IF(AND(ISNUMBER(R2039),R2039&lt;TODAY()),"🔴 PRAZO VENCIDO",IF(AND(OR(N2039="PENDENTE",N2039="PARCIAL"),D2039&lt;TODAY()-1),"🔴 EMBARQUE ATRASADO",IF(AND(N2039="REALIZADO",M2039="PENDENTE"),"🟡 EMBARCADO SEM FATURAR",IF(AND(P2039&lt;&gt;"",S2039="",OR(Q2039="",R2039="")),"🟡 PENDÊNCIA SEM RESPONSÁVEL/PRAZO",IF(AND(ISNUMBER(R2039),R2039=TODAY()),"🟡 VENCE HOJE",IF(AND(P2039&lt;&gt;"",S2039=""),"🟡 PENDÊNCIA ABERTA",IF(AND(N(J2039)&gt;0,N(K2039)&lt;J2039),"🟡 FALTA EXECUTAR",IF(OR(M2039="PENDENTE",M2039="PARCIAL"),"🟡 FATURAMENTO PENDENTE","🟡 EMBARQUE PENDENTE")))))))))))</f>
        <v/>
      </c>
      <c r="D2039" s="4" t="n"/>
      <c r="E2039" s="5" t="n"/>
      <c r="F2039" s="5" t="n"/>
      <c r="G2039" s="5" t="n"/>
      <c r="H2039" s="5" t="n"/>
      <c r="I2039" s="5" t="n"/>
      <c r="J2039" s="6" t="n"/>
      <c r="K2039" s="6" t="n"/>
      <c r="L2039" s="7">
        <f>IF(OR(D2039="",N(J2039)=0),"",MIN(1,N(K2039)/J2039))</f>
        <v/>
      </c>
      <c r="M2039" s="5" t="n"/>
      <c r="N2039" s="5" t="n"/>
      <c r="O2039" s="5" t="n"/>
      <c r="P2039" s="5" t="n"/>
      <c r="Q2039" s="5" t="n"/>
      <c r="R2039" s="4" t="n"/>
      <c r="S2039" s="4" t="n"/>
      <c r="T2039" s="5" t="n"/>
      <c r="U2039" s="8">
        <f>IF(AND(V2039=1,D2039&lt;&gt;""),IF(D2039&gt;=corte,TODAY()-D2039,""),"")</f>
        <v/>
      </c>
      <c r="V2039" s="8">
        <f>IF(D2039="",0,IF(OR(AND(P2039&lt;&gt;"",S2039=""),AND(N(J2039)&gt;0,N(K2039)&lt;J2039),OR(M2039="PENDENTE",M2039="PARCIAL"),OR(N2039="PENDENTE",N2039="PARCIAL")),1,0))</f>
        <v/>
      </c>
      <c r="W2039" s="8">
        <f>IF(AND(V2039=1,D2039&lt;&gt;""),IF(D2039&gt;=corte,(B2039="CRÍTICO")*1E9+(100000-D2039)*10000+10000-ROW(),""),"")</f>
        <v/>
      </c>
      <c r="X2039" s="8">
        <f>IF(AND(V2039=1,D2039=pas_data,E2039=pas_turno),10000-ROW(),"")</f>
        <v/>
      </c>
    </row>
    <row r="2040">
      <c r="A2040" s="3">
        <f>IF(D2040="","","TT-"&amp;TEXT(ROW()-1,"00000"))</f>
        <v/>
      </c>
      <c r="B2040" s="3">
        <f>IF(D2040="","",IF(V2040=0,"CONCLUÍDO",IF(D2040&lt;corte,"HISTÓRICO",IF(OR(AND(ISNUMBER(R2040),R2040&lt;TODAY()),AND(OR(N2040="PENDENTE",N2040="PARCIAL"),D2040&lt;TODAY()-1)),"CRÍTICO",IF(OR(AND(P2040&lt;&gt;"",S2040=""),AND(N2040="REALIZADO",M2040="PENDENTE"),AND(ISNUMBER(R2040),R2040=TODAY())),"ATENÇÃO",IF(N(K2040)=0,"PENDENTE","EM ANDAMENTO"))))))</f>
        <v/>
      </c>
      <c r="C2040" s="3">
        <f>IF(D2040="","",IF(V2040=0,"🟢 OK",IF(D2040&lt;corte,"⚪ HISTÓRICO (sem baixa)",IF(AND(ISNUMBER(R2040),R2040&lt;TODAY()),"🔴 PRAZO VENCIDO",IF(AND(OR(N2040="PENDENTE",N2040="PARCIAL"),D2040&lt;TODAY()-1),"🔴 EMBARQUE ATRASADO",IF(AND(N2040="REALIZADO",M2040="PENDENTE"),"🟡 EMBARCADO SEM FATURAR",IF(AND(P2040&lt;&gt;"",S2040="",OR(Q2040="",R2040="")),"🟡 PENDÊNCIA SEM RESPONSÁVEL/PRAZO",IF(AND(ISNUMBER(R2040),R2040=TODAY()),"🟡 VENCE HOJE",IF(AND(P2040&lt;&gt;"",S2040=""),"🟡 PENDÊNCIA ABERTA",IF(AND(N(J2040)&gt;0,N(K2040)&lt;J2040),"🟡 FALTA EXECUTAR",IF(OR(M2040="PENDENTE",M2040="PARCIAL"),"🟡 FATURAMENTO PENDENTE","🟡 EMBARQUE PENDENTE")))))))))))</f>
        <v/>
      </c>
      <c r="D2040" s="4" t="n"/>
      <c r="E2040" s="5" t="n"/>
      <c r="F2040" s="5" t="n"/>
      <c r="G2040" s="5" t="n"/>
      <c r="H2040" s="5" t="n"/>
      <c r="I2040" s="5" t="n"/>
      <c r="J2040" s="6" t="n"/>
      <c r="K2040" s="6" t="n"/>
      <c r="L2040" s="7">
        <f>IF(OR(D2040="",N(J2040)=0),"",MIN(1,N(K2040)/J2040))</f>
        <v/>
      </c>
      <c r="M2040" s="5" t="n"/>
      <c r="N2040" s="5" t="n"/>
      <c r="O2040" s="5" t="n"/>
      <c r="P2040" s="5" t="n"/>
      <c r="Q2040" s="5" t="n"/>
      <c r="R2040" s="4" t="n"/>
      <c r="S2040" s="4" t="n"/>
      <c r="T2040" s="5" t="n"/>
      <c r="U2040" s="8">
        <f>IF(AND(V2040=1,D2040&lt;&gt;""),IF(D2040&gt;=corte,TODAY()-D2040,""),"")</f>
        <v/>
      </c>
      <c r="V2040" s="8">
        <f>IF(D2040="",0,IF(OR(AND(P2040&lt;&gt;"",S2040=""),AND(N(J2040)&gt;0,N(K2040)&lt;J2040),OR(M2040="PENDENTE",M2040="PARCIAL"),OR(N2040="PENDENTE",N2040="PARCIAL")),1,0))</f>
        <v/>
      </c>
      <c r="W2040" s="8">
        <f>IF(AND(V2040=1,D2040&lt;&gt;""),IF(D2040&gt;=corte,(B2040="CRÍTICO")*1E9+(100000-D2040)*10000+10000-ROW(),""),"")</f>
        <v/>
      </c>
      <c r="X2040" s="8">
        <f>IF(AND(V2040=1,D2040=pas_data,E2040=pas_turno),10000-ROW(),"")</f>
        <v/>
      </c>
    </row>
    <row r="2041">
      <c r="A2041" s="3">
        <f>IF(D2041="","","TT-"&amp;TEXT(ROW()-1,"00000"))</f>
        <v/>
      </c>
      <c r="B2041" s="3">
        <f>IF(D2041="","",IF(V2041=0,"CONCLUÍDO",IF(D2041&lt;corte,"HISTÓRICO",IF(OR(AND(ISNUMBER(R2041),R2041&lt;TODAY()),AND(OR(N2041="PENDENTE",N2041="PARCIAL"),D2041&lt;TODAY()-1)),"CRÍTICO",IF(OR(AND(P2041&lt;&gt;"",S2041=""),AND(N2041="REALIZADO",M2041="PENDENTE"),AND(ISNUMBER(R2041),R2041=TODAY())),"ATENÇÃO",IF(N(K2041)=0,"PENDENTE","EM ANDAMENTO"))))))</f>
        <v/>
      </c>
      <c r="C2041" s="3">
        <f>IF(D2041="","",IF(V2041=0,"🟢 OK",IF(D2041&lt;corte,"⚪ HISTÓRICO (sem baixa)",IF(AND(ISNUMBER(R2041),R2041&lt;TODAY()),"🔴 PRAZO VENCIDO",IF(AND(OR(N2041="PENDENTE",N2041="PARCIAL"),D2041&lt;TODAY()-1),"🔴 EMBARQUE ATRASADO",IF(AND(N2041="REALIZADO",M2041="PENDENTE"),"🟡 EMBARCADO SEM FATURAR",IF(AND(P2041&lt;&gt;"",S2041="",OR(Q2041="",R2041="")),"🟡 PENDÊNCIA SEM RESPONSÁVEL/PRAZO",IF(AND(ISNUMBER(R2041),R2041=TODAY()),"🟡 VENCE HOJE",IF(AND(P2041&lt;&gt;"",S2041=""),"🟡 PENDÊNCIA ABERTA",IF(AND(N(J2041)&gt;0,N(K2041)&lt;J2041),"🟡 FALTA EXECUTAR",IF(OR(M2041="PENDENTE",M2041="PARCIAL"),"🟡 FATURAMENTO PENDENTE","🟡 EMBARQUE PENDENTE")))))))))))</f>
        <v/>
      </c>
      <c r="D2041" s="4" t="n"/>
      <c r="E2041" s="5" t="n"/>
      <c r="F2041" s="5" t="n"/>
      <c r="G2041" s="5" t="n"/>
      <c r="H2041" s="5" t="n"/>
      <c r="I2041" s="5" t="n"/>
      <c r="J2041" s="6" t="n"/>
      <c r="K2041" s="6" t="n"/>
      <c r="L2041" s="7">
        <f>IF(OR(D2041="",N(J2041)=0),"",MIN(1,N(K2041)/J2041))</f>
        <v/>
      </c>
      <c r="M2041" s="5" t="n"/>
      <c r="N2041" s="5" t="n"/>
      <c r="O2041" s="5" t="n"/>
      <c r="P2041" s="5" t="n"/>
      <c r="Q2041" s="5" t="n"/>
      <c r="R2041" s="4" t="n"/>
      <c r="S2041" s="4" t="n"/>
      <c r="T2041" s="5" t="n"/>
      <c r="U2041" s="8">
        <f>IF(AND(V2041=1,D2041&lt;&gt;""),IF(D2041&gt;=corte,TODAY()-D2041,""),"")</f>
        <v/>
      </c>
      <c r="V2041" s="8">
        <f>IF(D2041="",0,IF(OR(AND(P2041&lt;&gt;"",S2041=""),AND(N(J2041)&gt;0,N(K2041)&lt;J2041),OR(M2041="PENDENTE",M2041="PARCIAL"),OR(N2041="PENDENTE",N2041="PARCIAL")),1,0))</f>
        <v/>
      </c>
      <c r="W2041" s="8">
        <f>IF(AND(V2041=1,D2041&lt;&gt;""),IF(D2041&gt;=corte,(B2041="CRÍTICO")*1E9+(100000-D2041)*10000+10000-ROW(),""),"")</f>
        <v/>
      </c>
      <c r="X2041" s="8">
        <f>IF(AND(V2041=1,D2041=pas_data,E2041=pas_turno),10000-ROW(),"")</f>
        <v/>
      </c>
    </row>
    <row r="2042">
      <c r="A2042" s="3">
        <f>IF(D2042="","","TT-"&amp;TEXT(ROW()-1,"00000"))</f>
        <v/>
      </c>
      <c r="B2042" s="3">
        <f>IF(D2042="","",IF(V2042=0,"CONCLUÍDO",IF(D2042&lt;corte,"HISTÓRICO",IF(OR(AND(ISNUMBER(R2042),R2042&lt;TODAY()),AND(OR(N2042="PENDENTE",N2042="PARCIAL"),D2042&lt;TODAY()-1)),"CRÍTICO",IF(OR(AND(P2042&lt;&gt;"",S2042=""),AND(N2042="REALIZADO",M2042="PENDENTE"),AND(ISNUMBER(R2042),R2042=TODAY())),"ATENÇÃO",IF(N(K2042)=0,"PENDENTE","EM ANDAMENTO"))))))</f>
        <v/>
      </c>
      <c r="C2042" s="3">
        <f>IF(D2042="","",IF(V2042=0,"🟢 OK",IF(D2042&lt;corte,"⚪ HISTÓRICO (sem baixa)",IF(AND(ISNUMBER(R2042),R2042&lt;TODAY()),"🔴 PRAZO VENCIDO",IF(AND(OR(N2042="PENDENTE",N2042="PARCIAL"),D2042&lt;TODAY()-1),"🔴 EMBARQUE ATRASADO",IF(AND(N2042="REALIZADO",M2042="PENDENTE"),"🟡 EMBARCADO SEM FATURAR",IF(AND(P2042&lt;&gt;"",S2042="",OR(Q2042="",R2042="")),"🟡 PENDÊNCIA SEM RESPONSÁVEL/PRAZO",IF(AND(ISNUMBER(R2042),R2042=TODAY()),"🟡 VENCE HOJE",IF(AND(P2042&lt;&gt;"",S2042=""),"🟡 PENDÊNCIA ABERTA",IF(AND(N(J2042)&gt;0,N(K2042)&lt;J2042),"🟡 FALTA EXECUTAR",IF(OR(M2042="PENDENTE",M2042="PARCIAL"),"🟡 FATURAMENTO PENDENTE","🟡 EMBARQUE PENDENTE")))))))))))</f>
        <v/>
      </c>
      <c r="D2042" s="4" t="n"/>
      <c r="E2042" s="5" t="n"/>
      <c r="F2042" s="5" t="n"/>
      <c r="G2042" s="5" t="n"/>
      <c r="H2042" s="5" t="n"/>
      <c r="I2042" s="5" t="n"/>
      <c r="J2042" s="6" t="n"/>
      <c r="K2042" s="6" t="n"/>
      <c r="L2042" s="7">
        <f>IF(OR(D2042="",N(J2042)=0),"",MIN(1,N(K2042)/J2042))</f>
        <v/>
      </c>
      <c r="M2042" s="5" t="n"/>
      <c r="N2042" s="5" t="n"/>
      <c r="O2042" s="5" t="n"/>
      <c r="P2042" s="5" t="n"/>
      <c r="Q2042" s="5" t="n"/>
      <c r="R2042" s="4" t="n"/>
      <c r="S2042" s="4" t="n"/>
      <c r="T2042" s="5" t="n"/>
      <c r="U2042" s="8">
        <f>IF(AND(V2042=1,D2042&lt;&gt;""),IF(D2042&gt;=corte,TODAY()-D2042,""),"")</f>
        <v/>
      </c>
      <c r="V2042" s="8">
        <f>IF(D2042="",0,IF(OR(AND(P2042&lt;&gt;"",S2042=""),AND(N(J2042)&gt;0,N(K2042)&lt;J2042),OR(M2042="PENDENTE",M2042="PARCIAL"),OR(N2042="PENDENTE",N2042="PARCIAL")),1,0))</f>
        <v/>
      </c>
      <c r="W2042" s="8">
        <f>IF(AND(V2042=1,D2042&lt;&gt;""),IF(D2042&gt;=corte,(B2042="CRÍTICO")*1E9+(100000-D2042)*10000+10000-ROW(),""),"")</f>
        <v/>
      </c>
      <c r="X2042" s="8">
        <f>IF(AND(V2042=1,D2042=pas_data,E2042=pas_turno),10000-ROW(),"")</f>
        <v/>
      </c>
    </row>
    <row r="2043">
      <c r="A2043" s="3">
        <f>IF(D2043="","","TT-"&amp;TEXT(ROW()-1,"00000"))</f>
        <v/>
      </c>
      <c r="B2043" s="3">
        <f>IF(D2043="","",IF(V2043=0,"CONCLUÍDO",IF(D2043&lt;corte,"HISTÓRICO",IF(OR(AND(ISNUMBER(R2043),R2043&lt;TODAY()),AND(OR(N2043="PENDENTE",N2043="PARCIAL"),D2043&lt;TODAY()-1)),"CRÍTICO",IF(OR(AND(P2043&lt;&gt;"",S2043=""),AND(N2043="REALIZADO",M2043="PENDENTE"),AND(ISNUMBER(R2043),R2043=TODAY())),"ATENÇÃO",IF(N(K2043)=0,"PENDENTE","EM ANDAMENTO"))))))</f>
        <v/>
      </c>
      <c r="C2043" s="3">
        <f>IF(D2043="","",IF(V2043=0,"🟢 OK",IF(D2043&lt;corte,"⚪ HISTÓRICO (sem baixa)",IF(AND(ISNUMBER(R2043),R2043&lt;TODAY()),"🔴 PRAZO VENCIDO",IF(AND(OR(N2043="PENDENTE",N2043="PARCIAL"),D2043&lt;TODAY()-1),"🔴 EMBARQUE ATRASADO",IF(AND(N2043="REALIZADO",M2043="PENDENTE"),"🟡 EMBARCADO SEM FATURAR",IF(AND(P2043&lt;&gt;"",S2043="",OR(Q2043="",R2043="")),"🟡 PENDÊNCIA SEM RESPONSÁVEL/PRAZO",IF(AND(ISNUMBER(R2043),R2043=TODAY()),"🟡 VENCE HOJE",IF(AND(P2043&lt;&gt;"",S2043=""),"🟡 PENDÊNCIA ABERTA",IF(AND(N(J2043)&gt;0,N(K2043)&lt;J2043),"🟡 FALTA EXECUTAR",IF(OR(M2043="PENDENTE",M2043="PARCIAL"),"🟡 FATURAMENTO PENDENTE","🟡 EMBARQUE PENDENTE")))))))))))</f>
        <v/>
      </c>
      <c r="D2043" s="4" t="n"/>
      <c r="E2043" s="5" t="n"/>
      <c r="F2043" s="5" t="n"/>
      <c r="G2043" s="5" t="n"/>
      <c r="H2043" s="5" t="n"/>
      <c r="I2043" s="5" t="n"/>
      <c r="J2043" s="6" t="n"/>
      <c r="K2043" s="6" t="n"/>
      <c r="L2043" s="7">
        <f>IF(OR(D2043="",N(J2043)=0),"",MIN(1,N(K2043)/J2043))</f>
        <v/>
      </c>
      <c r="M2043" s="5" t="n"/>
      <c r="N2043" s="5" t="n"/>
      <c r="O2043" s="5" t="n"/>
      <c r="P2043" s="5" t="n"/>
      <c r="Q2043" s="5" t="n"/>
      <c r="R2043" s="4" t="n"/>
      <c r="S2043" s="4" t="n"/>
      <c r="T2043" s="5" t="n"/>
      <c r="U2043" s="8">
        <f>IF(AND(V2043=1,D2043&lt;&gt;""),IF(D2043&gt;=corte,TODAY()-D2043,""),"")</f>
        <v/>
      </c>
      <c r="V2043" s="8">
        <f>IF(D2043="",0,IF(OR(AND(P2043&lt;&gt;"",S2043=""),AND(N(J2043)&gt;0,N(K2043)&lt;J2043),OR(M2043="PENDENTE",M2043="PARCIAL"),OR(N2043="PENDENTE",N2043="PARCIAL")),1,0))</f>
        <v/>
      </c>
      <c r="W2043" s="8">
        <f>IF(AND(V2043=1,D2043&lt;&gt;""),IF(D2043&gt;=corte,(B2043="CRÍTICO")*1E9+(100000-D2043)*10000+10000-ROW(),""),"")</f>
        <v/>
      </c>
      <c r="X2043" s="8">
        <f>IF(AND(V2043=1,D2043=pas_data,E2043=pas_turno),10000-ROW(),"")</f>
        <v/>
      </c>
    </row>
    <row r="2044">
      <c r="A2044" s="3">
        <f>IF(D2044="","","TT-"&amp;TEXT(ROW()-1,"00000"))</f>
        <v/>
      </c>
      <c r="B2044" s="3">
        <f>IF(D2044="","",IF(V2044=0,"CONCLUÍDO",IF(D2044&lt;corte,"HISTÓRICO",IF(OR(AND(ISNUMBER(R2044),R2044&lt;TODAY()),AND(OR(N2044="PENDENTE",N2044="PARCIAL"),D2044&lt;TODAY()-1)),"CRÍTICO",IF(OR(AND(P2044&lt;&gt;"",S2044=""),AND(N2044="REALIZADO",M2044="PENDENTE"),AND(ISNUMBER(R2044),R2044=TODAY())),"ATENÇÃO",IF(N(K2044)=0,"PENDENTE","EM ANDAMENTO"))))))</f>
        <v/>
      </c>
      <c r="C2044" s="3">
        <f>IF(D2044="","",IF(V2044=0,"🟢 OK",IF(D2044&lt;corte,"⚪ HISTÓRICO (sem baixa)",IF(AND(ISNUMBER(R2044),R2044&lt;TODAY()),"🔴 PRAZO VENCIDO",IF(AND(OR(N2044="PENDENTE",N2044="PARCIAL"),D2044&lt;TODAY()-1),"🔴 EMBARQUE ATRASADO",IF(AND(N2044="REALIZADO",M2044="PENDENTE"),"🟡 EMBARCADO SEM FATURAR",IF(AND(P2044&lt;&gt;"",S2044="",OR(Q2044="",R2044="")),"🟡 PENDÊNCIA SEM RESPONSÁVEL/PRAZO",IF(AND(ISNUMBER(R2044),R2044=TODAY()),"🟡 VENCE HOJE",IF(AND(P2044&lt;&gt;"",S2044=""),"🟡 PENDÊNCIA ABERTA",IF(AND(N(J2044)&gt;0,N(K2044)&lt;J2044),"🟡 FALTA EXECUTAR",IF(OR(M2044="PENDENTE",M2044="PARCIAL"),"🟡 FATURAMENTO PENDENTE","🟡 EMBARQUE PENDENTE")))))))))))</f>
        <v/>
      </c>
      <c r="D2044" s="4" t="n"/>
      <c r="E2044" s="5" t="n"/>
      <c r="F2044" s="5" t="n"/>
      <c r="G2044" s="5" t="n"/>
      <c r="H2044" s="5" t="n"/>
      <c r="I2044" s="5" t="n"/>
      <c r="J2044" s="6" t="n"/>
      <c r="K2044" s="6" t="n"/>
      <c r="L2044" s="7">
        <f>IF(OR(D2044="",N(J2044)=0),"",MIN(1,N(K2044)/J2044))</f>
        <v/>
      </c>
      <c r="M2044" s="5" t="n"/>
      <c r="N2044" s="5" t="n"/>
      <c r="O2044" s="5" t="n"/>
      <c r="P2044" s="5" t="n"/>
      <c r="Q2044" s="5" t="n"/>
      <c r="R2044" s="4" t="n"/>
      <c r="S2044" s="4" t="n"/>
      <c r="T2044" s="5" t="n"/>
      <c r="U2044" s="8">
        <f>IF(AND(V2044=1,D2044&lt;&gt;""),IF(D2044&gt;=corte,TODAY()-D2044,""),"")</f>
        <v/>
      </c>
      <c r="V2044" s="8">
        <f>IF(D2044="",0,IF(OR(AND(P2044&lt;&gt;"",S2044=""),AND(N(J2044)&gt;0,N(K2044)&lt;J2044),OR(M2044="PENDENTE",M2044="PARCIAL"),OR(N2044="PENDENTE",N2044="PARCIAL")),1,0))</f>
        <v/>
      </c>
      <c r="W2044" s="8">
        <f>IF(AND(V2044=1,D2044&lt;&gt;""),IF(D2044&gt;=corte,(B2044="CRÍTICO")*1E9+(100000-D2044)*10000+10000-ROW(),""),"")</f>
        <v/>
      </c>
      <c r="X2044" s="8">
        <f>IF(AND(V2044=1,D2044=pas_data,E2044=pas_turno),10000-ROW(),"")</f>
        <v/>
      </c>
    </row>
    <row r="2045">
      <c r="A2045" s="3">
        <f>IF(D2045="","","TT-"&amp;TEXT(ROW()-1,"00000"))</f>
        <v/>
      </c>
      <c r="B2045" s="3">
        <f>IF(D2045="","",IF(V2045=0,"CONCLUÍDO",IF(D2045&lt;corte,"HISTÓRICO",IF(OR(AND(ISNUMBER(R2045),R2045&lt;TODAY()),AND(OR(N2045="PENDENTE",N2045="PARCIAL"),D2045&lt;TODAY()-1)),"CRÍTICO",IF(OR(AND(P2045&lt;&gt;"",S2045=""),AND(N2045="REALIZADO",M2045="PENDENTE"),AND(ISNUMBER(R2045),R2045=TODAY())),"ATENÇÃO",IF(N(K2045)=0,"PENDENTE","EM ANDAMENTO"))))))</f>
        <v/>
      </c>
      <c r="C2045" s="3">
        <f>IF(D2045="","",IF(V2045=0,"🟢 OK",IF(D2045&lt;corte,"⚪ HISTÓRICO (sem baixa)",IF(AND(ISNUMBER(R2045),R2045&lt;TODAY()),"🔴 PRAZO VENCIDO",IF(AND(OR(N2045="PENDENTE",N2045="PARCIAL"),D2045&lt;TODAY()-1),"🔴 EMBARQUE ATRASADO",IF(AND(N2045="REALIZADO",M2045="PENDENTE"),"🟡 EMBARCADO SEM FATURAR",IF(AND(P2045&lt;&gt;"",S2045="",OR(Q2045="",R2045="")),"🟡 PENDÊNCIA SEM RESPONSÁVEL/PRAZO",IF(AND(ISNUMBER(R2045),R2045=TODAY()),"🟡 VENCE HOJE",IF(AND(P2045&lt;&gt;"",S2045=""),"🟡 PENDÊNCIA ABERTA",IF(AND(N(J2045)&gt;0,N(K2045)&lt;J2045),"🟡 FALTA EXECUTAR",IF(OR(M2045="PENDENTE",M2045="PARCIAL"),"🟡 FATURAMENTO PENDENTE","🟡 EMBARQUE PENDENTE")))))))))))</f>
        <v/>
      </c>
      <c r="D2045" s="4" t="n"/>
      <c r="E2045" s="5" t="n"/>
      <c r="F2045" s="5" t="n"/>
      <c r="G2045" s="5" t="n"/>
      <c r="H2045" s="5" t="n"/>
      <c r="I2045" s="5" t="n"/>
      <c r="J2045" s="6" t="n"/>
      <c r="K2045" s="6" t="n"/>
      <c r="L2045" s="7">
        <f>IF(OR(D2045="",N(J2045)=0),"",MIN(1,N(K2045)/J2045))</f>
        <v/>
      </c>
      <c r="M2045" s="5" t="n"/>
      <c r="N2045" s="5" t="n"/>
      <c r="O2045" s="5" t="n"/>
      <c r="P2045" s="5" t="n"/>
      <c r="Q2045" s="5" t="n"/>
      <c r="R2045" s="4" t="n"/>
      <c r="S2045" s="4" t="n"/>
      <c r="T2045" s="5" t="n"/>
      <c r="U2045" s="8">
        <f>IF(AND(V2045=1,D2045&lt;&gt;""),IF(D2045&gt;=corte,TODAY()-D2045,""),"")</f>
        <v/>
      </c>
      <c r="V2045" s="8">
        <f>IF(D2045="",0,IF(OR(AND(P2045&lt;&gt;"",S2045=""),AND(N(J2045)&gt;0,N(K2045)&lt;J2045),OR(M2045="PENDENTE",M2045="PARCIAL"),OR(N2045="PENDENTE",N2045="PARCIAL")),1,0))</f>
        <v/>
      </c>
      <c r="W2045" s="8">
        <f>IF(AND(V2045=1,D2045&lt;&gt;""),IF(D2045&gt;=corte,(B2045="CRÍTICO")*1E9+(100000-D2045)*10000+10000-ROW(),""),"")</f>
        <v/>
      </c>
      <c r="X2045" s="8">
        <f>IF(AND(V2045=1,D2045=pas_data,E2045=pas_turno),10000-ROW(),"")</f>
        <v/>
      </c>
    </row>
    <row r="2046">
      <c r="A2046" s="3">
        <f>IF(D2046="","","TT-"&amp;TEXT(ROW()-1,"00000"))</f>
        <v/>
      </c>
      <c r="B2046" s="3">
        <f>IF(D2046="","",IF(V2046=0,"CONCLUÍDO",IF(D2046&lt;corte,"HISTÓRICO",IF(OR(AND(ISNUMBER(R2046),R2046&lt;TODAY()),AND(OR(N2046="PENDENTE",N2046="PARCIAL"),D2046&lt;TODAY()-1)),"CRÍTICO",IF(OR(AND(P2046&lt;&gt;"",S2046=""),AND(N2046="REALIZADO",M2046="PENDENTE"),AND(ISNUMBER(R2046),R2046=TODAY())),"ATENÇÃO",IF(N(K2046)=0,"PENDENTE","EM ANDAMENTO"))))))</f>
        <v/>
      </c>
      <c r="C2046" s="3">
        <f>IF(D2046="","",IF(V2046=0,"🟢 OK",IF(D2046&lt;corte,"⚪ HISTÓRICO (sem baixa)",IF(AND(ISNUMBER(R2046),R2046&lt;TODAY()),"🔴 PRAZO VENCIDO",IF(AND(OR(N2046="PENDENTE",N2046="PARCIAL"),D2046&lt;TODAY()-1),"🔴 EMBARQUE ATRASADO",IF(AND(N2046="REALIZADO",M2046="PENDENTE"),"🟡 EMBARCADO SEM FATURAR",IF(AND(P2046&lt;&gt;"",S2046="",OR(Q2046="",R2046="")),"🟡 PENDÊNCIA SEM RESPONSÁVEL/PRAZO",IF(AND(ISNUMBER(R2046),R2046=TODAY()),"🟡 VENCE HOJE",IF(AND(P2046&lt;&gt;"",S2046=""),"🟡 PENDÊNCIA ABERTA",IF(AND(N(J2046)&gt;0,N(K2046)&lt;J2046),"🟡 FALTA EXECUTAR",IF(OR(M2046="PENDENTE",M2046="PARCIAL"),"🟡 FATURAMENTO PENDENTE","🟡 EMBARQUE PENDENTE")))))))))))</f>
        <v/>
      </c>
      <c r="D2046" s="4" t="n"/>
      <c r="E2046" s="5" t="n"/>
      <c r="F2046" s="5" t="n"/>
      <c r="G2046" s="5" t="n"/>
      <c r="H2046" s="5" t="n"/>
      <c r="I2046" s="5" t="n"/>
      <c r="J2046" s="6" t="n"/>
      <c r="K2046" s="6" t="n"/>
      <c r="L2046" s="7">
        <f>IF(OR(D2046="",N(J2046)=0),"",MIN(1,N(K2046)/J2046))</f>
        <v/>
      </c>
      <c r="M2046" s="5" t="n"/>
      <c r="N2046" s="5" t="n"/>
      <c r="O2046" s="5" t="n"/>
      <c r="P2046" s="5" t="n"/>
      <c r="Q2046" s="5" t="n"/>
      <c r="R2046" s="4" t="n"/>
      <c r="S2046" s="4" t="n"/>
      <c r="T2046" s="5" t="n"/>
      <c r="U2046" s="8">
        <f>IF(AND(V2046=1,D2046&lt;&gt;""),IF(D2046&gt;=corte,TODAY()-D2046,""),"")</f>
        <v/>
      </c>
      <c r="V2046" s="8">
        <f>IF(D2046="",0,IF(OR(AND(P2046&lt;&gt;"",S2046=""),AND(N(J2046)&gt;0,N(K2046)&lt;J2046),OR(M2046="PENDENTE",M2046="PARCIAL"),OR(N2046="PENDENTE",N2046="PARCIAL")),1,0))</f>
        <v/>
      </c>
      <c r="W2046" s="8">
        <f>IF(AND(V2046=1,D2046&lt;&gt;""),IF(D2046&gt;=corte,(B2046="CRÍTICO")*1E9+(100000-D2046)*10000+10000-ROW(),""),"")</f>
        <v/>
      </c>
      <c r="X2046" s="8">
        <f>IF(AND(V2046=1,D2046=pas_data,E2046=pas_turno),10000-ROW(),"")</f>
        <v/>
      </c>
    </row>
    <row r="2047">
      <c r="A2047" s="3">
        <f>IF(D2047="","","TT-"&amp;TEXT(ROW()-1,"00000"))</f>
        <v/>
      </c>
      <c r="B2047" s="3">
        <f>IF(D2047="","",IF(V2047=0,"CONCLUÍDO",IF(D2047&lt;corte,"HISTÓRICO",IF(OR(AND(ISNUMBER(R2047),R2047&lt;TODAY()),AND(OR(N2047="PENDENTE",N2047="PARCIAL"),D2047&lt;TODAY()-1)),"CRÍTICO",IF(OR(AND(P2047&lt;&gt;"",S2047=""),AND(N2047="REALIZADO",M2047="PENDENTE"),AND(ISNUMBER(R2047),R2047=TODAY())),"ATENÇÃO",IF(N(K2047)=0,"PENDENTE","EM ANDAMENTO"))))))</f>
        <v/>
      </c>
      <c r="C2047" s="3">
        <f>IF(D2047="","",IF(V2047=0,"🟢 OK",IF(D2047&lt;corte,"⚪ HISTÓRICO (sem baixa)",IF(AND(ISNUMBER(R2047),R2047&lt;TODAY()),"🔴 PRAZO VENCIDO",IF(AND(OR(N2047="PENDENTE",N2047="PARCIAL"),D2047&lt;TODAY()-1),"🔴 EMBARQUE ATRASADO",IF(AND(N2047="REALIZADO",M2047="PENDENTE"),"🟡 EMBARCADO SEM FATURAR",IF(AND(P2047&lt;&gt;"",S2047="",OR(Q2047="",R2047="")),"🟡 PENDÊNCIA SEM RESPONSÁVEL/PRAZO",IF(AND(ISNUMBER(R2047),R2047=TODAY()),"🟡 VENCE HOJE",IF(AND(P2047&lt;&gt;"",S2047=""),"🟡 PENDÊNCIA ABERTA",IF(AND(N(J2047)&gt;0,N(K2047)&lt;J2047),"🟡 FALTA EXECUTAR",IF(OR(M2047="PENDENTE",M2047="PARCIAL"),"🟡 FATURAMENTO PENDENTE","🟡 EMBARQUE PENDENTE")))))))))))</f>
        <v/>
      </c>
      <c r="D2047" s="4" t="n"/>
      <c r="E2047" s="5" t="n"/>
      <c r="F2047" s="5" t="n"/>
      <c r="G2047" s="5" t="n"/>
      <c r="H2047" s="5" t="n"/>
      <c r="I2047" s="5" t="n"/>
      <c r="J2047" s="6" t="n"/>
      <c r="K2047" s="6" t="n"/>
      <c r="L2047" s="7">
        <f>IF(OR(D2047="",N(J2047)=0),"",MIN(1,N(K2047)/J2047))</f>
        <v/>
      </c>
      <c r="M2047" s="5" t="n"/>
      <c r="N2047" s="5" t="n"/>
      <c r="O2047" s="5" t="n"/>
      <c r="P2047" s="5" t="n"/>
      <c r="Q2047" s="5" t="n"/>
      <c r="R2047" s="4" t="n"/>
      <c r="S2047" s="4" t="n"/>
      <c r="T2047" s="5" t="n"/>
      <c r="U2047" s="8">
        <f>IF(AND(V2047=1,D2047&lt;&gt;""),IF(D2047&gt;=corte,TODAY()-D2047,""),"")</f>
        <v/>
      </c>
      <c r="V2047" s="8">
        <f>IF(D2047="",0,IF(OR(AND(P2047&lt;&gt;"",S2047=""),AND(N(J2047)&gt;0,N(K2047)&lt;J2047),OR(M2047="PENDENTE",M2047="PARCIAL"),OR(N2047="PENDENTE",N2047="PARCIAL")),1,0))</f>
        <v/>
      </c>
      <c r="W2047" s="8">
        <f>IF(AND(V2047=1,D2047&lt;&gt;""),IF(D2047&gt;=corte,(B2047="CRÍTICO")*1E9+(100000-D2047)*10000+10000-ROW(),""),"")</f>
        <v/>
      </c>
      <c r="X2047" s="8">
        <f>IF(AND(V2047=1,D2047=pas_data,E2047=pas_turno),10000-ROW(),"")</f>
        <v/>
      </c>
    </row>
    <row r="2048">
      <c r="A2048" s="3">
        <f>IF(D2048="","","TT-"&amp;TEXT(ROW()-1,"00000"))</f>
        <v/>
      </c>
      <c r="B2048" s="3">
        <f>IF(D2048="","",IF(V2048=0,"CONCLUÍDO",IF(D2048&lt;corte,"HISTÓRICO",IF(OR(AND(ISNUMBER(R2048),R2048&lt;TODAY()),AND(OR(N2048="PENDENTE",N2048="PARCIAL"),D2048&lt;TODAY()-1)),"CRÍTICO",IF(OR(AND(P2048&lt;&gt;"",S2048=""),AND(N2048="REALIZADO",M2048="PENDENTE"),AND(ISNUMBER(R2048),R2048=TODAY())),"ATENÇÃO",IF(N(K2048)=0,"PENDENTE","EM ANDAMENTO"))))))</f>
        <v/>
      </c>
      <c r="C2048" s="3">
        <f>IF(D2048="","",IF(V2048=0,"🟢 OK",IF(D2048&lt;corte,"⚪ HISTÓRICO (sem baixa)",IF(AND(ISNUMBER(R2048),R2048&lt;TODAY()),"🔴 PRAZO VENCIDO",IF(AND(OR(N2048="PENDENTE",N2048="PARCIAL"),D2048&lt;TODAY()-1),"🔴 EMBARQUE ATRASADO",IF(AND(N2048="REALIZADO",M2048="PENDENTE"),"🟡 EMBARCADO SEM FATURAR",IF(AND(P2048&lt;&gt;"",S2048="",OR(Q2048="",R2048="")),"🟡 PENDÊNCIA SEM RESPONSÁVEL/PRAZO",IF(AND(ISNUMBER(R2048),R2048=TODAY()),"🟡 VENCE HOJE",IF(AND(P2048&lt;&gt;"",S2048=""),"🟡 PENDÊNCIA ABERTA",IF(AND(N(J2048)&gt;0,N(K2048)&lt;J2048),"🟡 FALTA EXECUTAR",IF(OR(M2048="PENDENTE",M2048="PARCIAL"),"🟡 FATURAMENTO PENDENTE","🟡 EMBARQUE PENDENTE")))))))))))</f>
        <v/>
      </c>
      <c r="D2048" s="4" t="n"/>
      <c r="E2048" s="5" t="n"/>
      <c r="F2048" s="5" t="n"/>
      <c r="G2048" s="5" t="n"/>
      <c r="H2048" s="5" t="n"/>
      <c r="I2048" s="5" t="n"/>
      <c r="J2048" s="6" t="n"/>
      <c r="K2048" s="6" t="n"/>
      <c r="L2048" s="7">
        <f>IF(OR(D2048="",N(J2048)=0),"",MIN(1,N(K2048)/J2048))</f>
        <v/>
      </c>
      <c r="M2048" s="5" t="n"/>
      <c r="N2048" s="5" t="n"/>
      <c r="O2048" s="5" t="n"/>
      <c r="P2048" s="5" t="n"/>
      <c r="Q2048" s="5" t="n"/>
      <c r="R2048" s="4" t="n"/>
      <c r="S2048" s="4" t="n"/>
      <c r="T2048" s="5" t="n"/>
      <c r="U2048" s="8">
        <f>IF(AND(V2048=1,D2048&lt;&gt;""),IF(D2048&gt;=corte,TODAY()-D2048,""),"")</f>
        <v/>
      </c>
      <c r="V2048" s="8">
        <f>IF(D2048="",0,IF(OR(AND(P2048&lt;&gt;"",S2048=""),AND(N(J2048)&gt;0,N(K2048)&lt;J2048),OR(M2048="PENDENTE",M2048="PARCIAL"),OR(N2048="PENDENTE",N2048="PARCIAL")),1,0))</f>
        <v/>
      </c>
      <c r="W2048" s="8">
        <f>IF(AND(V2048=1,D2048&lt;&gt;""),IF(D2048&gt;=corte,(B2048="CRÍTICO")*1E9+(100000-D2048)*10000+10000-ROW(),""),"")</f>
        <v/>
      </c>
      <c r="X2048" s="8">
        <f>IF(AND(V2048=1,D2048=pas_data,E2048=pas_turno),10000-ROW(),"")</f>
        <v/>
      </c>
    </row>
    <row r="2049">
      <c r="A2049" s="3">
        <f>IF(D2049="","","TT-"&amp;TEXT(ROW()-1,"00000"))</f>
        <v/>
      </c>
      <c r="B2049" s="3">
        <f>IF(D2049="","",IF(V2049=0,"CONCLUÍDO",IF(D2049&lt;corte,"HISTÓRICO",IF(OR(AND(ISNUMBER(R2049),R2049&lt;TODAY()),AND(OR(N2049="PENDENTE",N2049="PARCIAL"),D2049&lt;TODAY()-1)),"CRÍTICO",IF(OR(AND(P2049&lt;&gt;"",S2049=""),AND(N2049="REALIZADO",M2049="PENDENTE"),AND(ISNUMBER(R2049),R2049=TODAY())),"ATENÇÃO",IF(N(K2049)=0,"PENDENTE","EM ANDAMENTO"))))))</f>
        <v/>
      </c>
      <c r="C2049" s="3">
        <f>IF(D2049="","",IF(V2049=0,"🟢 OK",IF(D2049&lt;corte,"⚪ HISTÓRICO (sem baixa)",IF(AND(ISNUMBER(R2049),R2049&lt;TODAY()),"🔴 PRAZO VENCIDO",IF(AND(OR(N2049="PENDENTE",N2049="PARCIAL"),D2049&lt;TODAY()-1),"🔴 EMBARQUE ATRASADO",IF(AND(N2049="REALIZADO",M2049="PENDENTE"),"🟡 EMBARCADO SEM FATURAR",IF(AND(P2049&lt;&gt;"",S2049="",OR(Q2049="",R2049="")),"🟡 PENDÊNCIA SEM RESPONSÁVEL/PRAZO",IF(AND(ISNUMBER(R2049),R2049=TODAY()),"🟡 VENCE HOJE",IF(AND(P2049&lt;&gt;"",S2049=""),"🟡 PENDÊNCIA ABERTA",IF(AND(N(J2049)&gt;0,N(K2049)&lt;J2049),"🟡 FALTA EXECUTAR",IF(OR(M2049="PENDENTE",M2049="PARCIAL"),"🟡 FATURAMENTO PENDENTE","🟡 EMBARQUE PENDENTE")))))))))))</f>
        <v/>
      </c>
      <c r="D2049" s="4" t="n"/>
      <c r="E2049" s="5" t="n"/>
      <c r="F2049" s="5" t="n"/>
      <c r="G2049" s="5" t="n"/>
      <c r="H2049" s="5" t="n"/>
      <c r="I2049" s="5" t="n"/>
      <c r="J2049" s="6" t="n"/>
      <c r="K2049" s="6" t="n"/>
      <c r="L2049" s="7">
        <f>IF(OR(D2049="",N(J2049)=0),"",MIN(1,N(K2049)/J2049))</f>
        <v/>
      </c>
      <c r="M2049" s="5" t="n"/>
      <c r="N2049" s="5" t="n"/>
      <c r="O2049" s="5" t="n"/>
      <c r="P2049" s="5" t="n"/>
      <c r="Q2049" s="5" t="n"/>
      <c r="R2049" s="4" t="n"/>
      <c r="S2049" s="4" t="n"/>
      <c r="T2049" s="5" t="n"/>
      <c r="U2049" s="8">
        <f>IF(AND(V2049=1,D2049&lt;&gt;""),IF(D2049&gt;=corte,TODAY()-D2049,""),"")</f>
        <v/>
      </c>
      <c r="V2049" s="8">
        <f>IF(D2049="",0,IF(OR(AND(P2049&lt;&gt;"",S2049=""),AND(N(J2049)&gt;0,N(K2049)&lt;J2049),OR(M2049="PENDENTE",M2049="PARCIAL"),OR(N2049="PENDENTE",N2049="PARCIAL")),1,0))</f>
        <v/>
      </c>
      <c r="W2049" s="8">
        <f>IF(AND(V2049=1,D2049&lt;&gt;""),IF(D2049&gt;=corte,(B2049="CRÍTICO")*1E9+(100000-D2049)*10000+10000-ROW(),""),"")</f>
        <v/>
      </c>
      <c r="X2049" s="8">
        <f>IF(AND(V2049=1,D2049=pas_data,E2049=pas_turno),10000-ROW(),"")</f>
        <v/>
      </c>
    </row>
    <row r="2050">
      <c r="A2050" s="3">
        <f>IF(D2050="","","TT-"&amp;TEXT(ROW()-1,"00000"))</f>
        <v/>
      </c>
      <c r="B2050" s="3">
        <f>IF(D2050="","",IF(V2050=0,"CONCLUÍDO",IF(D2050&lt;corte,"HISTÓRICO",IF(OR(AND(ISNUMBER(R2050),R2050&lt;TODAY()),AND(OR(N2050="PENDENTE",N2050="PARCIAL"),D2050&lt;TODAY()-1)),"CRÍTICO",IF(OR(AND(P2050&lt;&gt;"",S2050=""),AND(N2050="REALIZADO",M2050="PENDENTE"),AND(ISNUMBER(R2050),R2050=TODAY())),"ATENÇÃO",IF(N(K2050)=0,"PENDENTE","EM ANDAMENTO"))))))</f>
        <v/>
      </c>
      <c r="C2050" s="3">
        <f>IF(D2050="","",IF(V2050=0,"🟢 OK",IF(D2050&lt;corte,"⚪ HISTÓRICO (sem baixa)",IF(AND(ISNUMBER(R2050),R2050&lt;TODAY()),"🔴 PRAZO VENCIDO",IF(AND(OR(N2050="PENDENTE",N2050="PARCIAL"),D2050&lt;TODAY()-1),"🔴 EMBARQUE ATRASADO",IF(AND(N2050="REALIZADO",M2050="PENDENTE"),"🟡 EMBARCADO SEM FATURAR",IF(AND(P2050&lt;&gt;"",S2050="",OR(Q2050="",R2050="")),"🟡 PENDÊNCIA SEM RESPONSÁVEL/PRAZO",IF(AND(ISNUMBER(R2050),R2050=TODAY()),"🟡 VENCE HOJE",IF(AND(P2050&lt;&gt;"",S2050=""),"🟡 PENDÊNCIA ABERTA",IF(AND(N(J2050)&gt;0,N(K2050)&lt;J2050),"🟡 FALTA EXECUTAR",IF(OR(M2050="PENDENTE",M2050="PARCIAL"),"🟡 FATURAMENTO PENDENTE","🟡 EMBARQUE PENDENTE")))))))))))</f>
        <v/>
      </c>
      <c r="D2050" s="4" t="n"/>
      <c r="E2050" s="5" t="n"/>
      <c r="F2050" s="5" t="n"/>
      <c r="G2050" s="5" t="n"/>
      <c r="H2050" s="5" t="n"/>
      <c r="I2050" s="5" t="n"/>
      <c r="J2050" s="6" t="n"/>
      <c r="K2050" s="6" t="n"/>
      <c r="L2050" s="7">
        <f>IF(OR(D2050="",N(J2050)=0),"",MIN(1,N(K2050)/J2050))</f>
        <v/>
      </c>
      <c r="M2050" s="5" t="n"/>
      <c r="N2050" s="5" t="n"/>
      <c r="O2050" s="5" t="n"/>
      <c r="P2050" s="5" t="n"/>
      <c r="Q2050" s="5" t="n"/>
      <c r="R2050" s="4" t="n"/>
      <c r="S2050" s="4" t="n"/>
      <c r="T2050" s="5" t="n"/>
      <c r="U2050" s="8">
        <f>IF(AND(V2050=1,D2050&lt;&gt;""),IF(D2050&gt;=corte,TODAY()-D2050,""),"")</f>
        <v/>
      </c>
      <c r="V2050" s="8">
        <f>IF(D2050="",0,IF(OR(AND(P2050&lt;&gt;"",S2050=""),AND(N(J2050)&gt;0,N(K2050)&lt;J2050),OR(M2050="PENDENTE",M2050="PARCIAL"),OR(N2050="PENDENTE",N2050="PARCIAL")),1,0))</f>
        <v/>
      </c>
      <c r="W2050" s="8">
        <f>IF(AND(V2050=1,D2050&lt;&gt;""),IF(D2050&gt;=corte,(B2050="CRÍTICO")*1E9+(100000-D2050)*10000+10000-ROW(),""),"")</f>
        <v/>
      </c>
      <c r="X2050" s="8">
        <f>IF(AND(V2050=1,D2050=pas_data,E2050=pas_turno),10000-ROW(),"")</f>
        <v/>
      </c>
    </row>
    <row r="2051">
      <c r="A2051" s="3">
        <f>IF(D2051="","","TT-"&amp;TEXT(ROW()-1,"00000"))</f>
        <v/>
      </c>
      <c r="B2051" s="3">
        <f>IF(D2051="","",IF(V2051=0,"CONCLUÍDO",IF(D2051&lt;corte,"HISTÓRICO",IF(OR(AND(ISNUMBER(R2051),R2051&lt;TODAY()),AND(OR(N2051="PENDENTE",N2051="PARCIAL"),D2051&lt;TODAY()-1)),"CRÍTICO",IF(OR(AND(P2051&lt;&gt;"",S2051=""),AND(N2051="REALIZADO",M2051="PENDENTE"),AND(ISNUMBER(R2051),R2051=TODAY())),"ATENÇÃO",IF(N(K2051)=0,"PENDENTE","EM ANDAMENTO"))))))</f>
        <v/>
      </c>
      <c r="C2051" s="3">
        <f>IF(D2051="","",IF(V2051=0,"🟢 OK",IF(D2051&lt;corte,"⚪ HISTÓRICO (sem baixa)",IF(AND(ISNUMBER(R2051),R2051&lt;TODAY()),"🔴 PRAZO VENCIDO",IF(AND(OR(N2051="PENDENTE",N2051="PARCIAL"),D2051&lt;TODAY()-1),"🔴 EMBARQUE ATRASADO",IF(AND(N2051="REALIZADO",M2051="PENDENTE"),"🟡 EMBARCADO SEM FATURAR",IF(AND(P2051&lt;&gt;"",S2051="",OR(Q2051="",R2051="")),"🟡 PENDÊNCIA SEM RESPONSÁVEL/PRAZO",IF(AND(ISNUMBER(R2051),R2051=TODAY()),"🟡 VENCE HOJE",IF(AND(P2051&lt;&gt;"",S2051=""),"🟡 PENDÊNCIA ABERTA",IF(AND(N(J2051)&gt;0,N(K2051)&lt;J2051),"🟡 FALTA EXECUTAR",IF(OR(M2051="PENDENTE",M2051="PARCIAL"),"🟡 FATURAMENTO PENDENTE","🟡 EMBARQUE PENDENTE")))))))))))</f>
        <v/>
      </c>
      <c r="D2051" s="4" t="n"/>
      <c r="E2051" s="5" t="n"/>
      <c r="F2051" s="5" t="n"/>
      <c r="G2051" s="5" t="n"/>
      <c r="H2051" s="5" t="n"/>
      <c r="I2051" s="5" t="n"/>
      <c r="J2051" s="6" t="n"/>
      <c r="K2051" s="6" t="n"/>
      <c r="L2051" s="7">
        <f>IF(OR(D2051="",N(J2051)=0),"",MIN(1,N(K2051)/J2051))</f>
        <v/>
      </c>
      <c r="M2051" s="5" t="n"/>
      <c r="N2051" s="5" t="n"/>
      <c r="O2051" s="5" t="n"/>
      <c r="P2051" s="5" t="n"/>
      <c r="Q2051" s="5" t="n"/>
      <c r="R2051" s="4" t="n"/>
      <c r="S2051" s="4" t="n"/>
      <c r="T2051" s="5" t="n"/>
      <c r="U2051" s="8">
        <f>IF(AND(V2051=1,D2051&lt;&gt;""),IF(D2051&gt;=corte,TODAY()-D2051,""),"")</f>
        <v/>
      </c>
      <c r="V2051" s="8">
        <f>IF(D2051="",0,IF(OR(AND(P2051&lt;&gt;"",S2051=""),AND(N(J2051)&gt;0,N(K2051)&lt;J2051),OR(M2051="PENDENTE",M2051="PARCIAL"),OR(N2051="PENDENTE",N2051="PARCIAL")),1,0))</f>
        <v/>
      </c>
      <c r="W2051" s="8">
        <f>IF(AND(V2051=1,D2051&lt;&gt;""),IF(D2051&gt;=corte,(B2051="CRÍTICO")*1E9+(100000-D2051)*10000+10000-ROW(),""),"")</f>
        <v/>
      </c>
      <c r="X2051" s="8">
        <f>IF(AND(V2051=1,D2051=pas_data,E2051=pas_turno),10000-ROW(),"")</f>
        <v/>
      </c>
    </row>
    <row r="2052">
      <c r="A2052" s="3">
        <f>IF(D2052="","","TT-"&amp;TEXT(ROW()-1,"00000"))</f>
        <v/>
      </c>
      <c r="B2052" s="3">
        <f>IF(D2052="","",IF(V2052=0,"CONCLUÍDO",IF(D2052&lt;corte,"HISTÓRICO",IF(OR(AND(ISNUMBER(R2052),R2052&lt;TODAY()),AND(OR(N2052="PENDENTE",N2052="PARCIAL"),D2052&lt;TODAY()-1)),"CRÍTICO",IF(OR(AND(P2052&lt;&gt;"",S2052=""),AND(N2052="REALIZADO",M2052="PENDENTE"),AND(ISNUMBER(R2052),R2052=TODAY())),"ATENÇÃO",IF(N(K2052)=0,"PENDENTE","EM ANDAMENTO"))))))</f>
        <v/>
      </c>
      <c r="C2052" s="3">
        <f>IF(D2052="","",IF(V2052=0,"🟢 OK",IF(D2052&lt;corte,"⚪ HISTÓRICO (sem baixa)",IF(AND(ISNUMBER(R2052),R2052&lt;TODAY()),"🔴 PRAZO VENCIDO",IF(AND(OR(N2052="PENDENTE",N2052="PARCIAL"),D2052&lt;TODAY()-1),"🔴 EMBARQUE ATRASADO",IF(AND(N2052="REALIZADO",M2052="PENDENTE"),"🟡 EMBARCADO SEM FATURAR",IF(AND(P2052&lt;&gt;"",S2052="",OR(Q2052="",R2052="")),"🟡 PENDÊNCIA SEM RESPONSÁVEL/PRAZO",IF(AND(ISNUMBER(R2052),R2052=TODAY()),"🟡 VENCE HOJE",IF(AND(P2052&lt;&gt;"",S2052=""),"🟡 PENDÊNCIA ABERTA",IF(AND(N(J2052)&gt;0,N(K2052)&lt;J2052),"🟡 FALTA EXECUTAR",IF(OR(M2052="PENDENTE",M2052="PARCIAL"),"🟡 FATURAMENTO PENDENTE","🟡 EMBARQUE PENDENTE")))))))))))</f>
        <v/>
      </c>
      <c r="D2052" s="4" t="n"/>
      <c r="E2052" s="5" t="n"/>
      <c r="F2052" s="5" t="n"/>
      <c r="G2052" s="5" t="n"/>
      <c r="H2052" s="5" t="n"/>
      <c r="I2052" s="5" t="n"/>
      <c r="J2052" s="6" t="n"/>
      <c r="K2052" s="6" t="n"/>
      <c r="L2052" s="7">
        <f>IF(OR(D2052="",N(J2052)=0),"",MIN(1,N(K2052)/J2052))</f>
        <v/>
      </c>
      <c r="M2052" s="5" t="n"/>
      <c r="N2052" s="5" t="n"/>
      <c r="O2052" s="5" t="n"/>
      <c r="P2052" s="5" t="n"/>
      <c r="Q2052" s="5" t="n"/>
      <c r="R2052" s="4" t="n"/>
      <c r="S2052" s="4" t="n"/>
      <c r="T2052" s="5" t="n"/>
      <c r="U2052" s="8">
        <f>IF(AND(V2052=1,D2052&lt;&gt;""),IF(D2052&gt;=corte,TODAY()-D2052,""),"")</f>
        <v/>
      </c>
      <c r="V2052" s="8">
        <f>IF(D2052="",0,IF(OR(AND(P2052&lt;&gt;"",S2052=""),AND(N(J2052)&gt;0,N(K2052)&lt;J2052),OR(M2052="PENDENTE",M2052="PARCIAL"),OR(N2052="PENDENTE",N2052="PARCIAL")),1,0))</f>
        <v/>
      </c>
      <c r="W2052" s="8">
        <f>IF(AND(V2052=1,D2052&lt;&gt;""),IF(D2052&gt;=corte,(B2052="CRÍTICO")*1E9+(100000-D2052)*10000+10000-ROW(),""),"")</f>
        <v/>
      </c>
      <c r="X2052" s="8">
        <f>IF(AND(V2052=1,D2052=pas_data,E2052=pas_turno),10000-ROW(),"")</f>
        <v/>
      </c>
    </row>
    <row r="2053">
      <c r="A2053" s="3">
        <f>IF(D2053="","","TT-"&amp;TEXT(ROW()-1,"00000"))</f>
        <v/>
      </c>
      <c r="B2053" s="3">
        <f>IF(D2053="","",IF(V2053=0,"CONCLUÍDO",IF(D2053&lt;corte,"HISTÓRICO",IF(OR(AND(ISNUMBER(R2053),R2053&lt;TODAY()),AND(OR(N2053="PENDENTE",N2053="PARCIAL"),D2053&lt;TODAY()-1)),"CRÍTICO",IF(OR(AND(P2053&lt;&gt;"",S2053=""),AND(N2053="REALIZADO",M2053="PENDENTE"),AND(ISNUMBER(R2053),R2053=TODAY())),"ATENÇÃO",IF(N(K2053)=0,"PENDENTE","EM ANDAMENTO"))))))</f>
        <v/>
      </c>
      <c r="C2053" s="3">
        <f>IF(D2053="","",IF(V2053=0,"🟢 OK",IF(D2053&lt;corte,"⚪ HISTÓRICO (sem baixa)",IF(AND(ISNUMBER(R2053),R2053&lt;TODAY()),"🔴 PRAZO VENCIDO",IF(AND(OR(N2053="PENDENTE",N2053="PARCIAL"),D2053&lt;TODAY()-1),"🔴 EMBARQUE ATRASADO",IF(AND(N2053="REALIZADO",M2053="PENDENTE"),"🟡 EMBARCADO SEM FATURAR",IF(AND(P2053&lt;&gt;"",S2053="",OR(Q2053="",R2053="")),"🟡 PENDÊNCIA SEM RESPONSÁVEL/PRAZO",IF(AND(ISNUMBER(R2053),R2053=TODAY()),"🟡 VENCE HOJE",IF(AND(P2053&lt;&gt;"",S2053=""),"🟡 PENDÊNCIA ABERTA",IF(AND(N(J2053)&gt;0,N(K2053)&lt;J2053),"🟡 FALTA EXECUTAR",IF(OR(M2053="PENDENTE",M2053="PARCIAL"),"🟡 FATURAMENTO PENDENTE","🟡 EMBARQUE PENDENTE")))))))))))</f>
        <v/>
      </c>
      <c r="D2053" s="4" t="n"/>
      <c r="E2053" s="5" t="n"/>
      <c r="F2053" s="5" t="n"/>
      <c r="G2053" s="5" t="n"/>
      <c r="H2053" s="5" t="n"/>
      <c r="I2053" s="5" t="n"/>
      <c r="J2053" s="6" t="n"/>
      <c r="K2053" s="6" t="n"/>
      <c r="L2053" s="7">
        <f>IF(OR(D2053="",N(J2053)=0),"",MIN(1,N(K2053)/J2053))</f>
        <v/>
      </c>
      <c r="M2053" s="5" t="n"/>
      <c r="N2053" s="5" t="n"/>
      <c r="O2053" s="5" t="n"/>
      <c r="P2053" s="5" t="n"/>
      <c r="Q2053" s="5" t="n"/>
      <c r="R2053" s="4" t="n"/>
      <c r="S2053" s="4" t="n"/>
      <c r="T2053" s="5" t="n"/>
      <c r="U2053" s="8">
        <f>IF(AND(V2053=1,D2053&lt;&gt;""),IF(D2053&gt;=corte,TODAY()-D2053,""),"")</f>
        <v/>
      </c>
      <c r="V2053" s="8">
        <f>IF(D2053="",0,IF(OR(AND(P2053&lt;&gt;"",S2053=""),AND(N(J2053)&gt;0,N(K2053)&lt;J2053),OR(M2053="PENDENTE",M2053="PARCIAL"),OR(N2053="PENDENTE",N2053="PARCIAL")),1,0))</f>
        <v/>
      </c>
      <c r="W2053" s="8">
        <f>IF(AND(V2053=1,D2053&lt;&gt;""),IF(D2053&gt;=corte,(B2053="CRÍTICO")*1E9+(100000-D2053)*10000+10000-ROW(),""),"")</f>
        <v/>
      </c>
      <c r="X2053" s="8">
        <f>IF(AND(V2053=1,D2053=pas_data,E2053=pas_turno),10000-ROW(),"")</f>
        <v/>
      </c>
    </row>
    <row r="2054">
      <c r="A2054" s="3">
        <f>IF(D2054="","","TT-"&amp;TEXT(ROW()-1,"00000"))</f>
        <v/>
      </c>
      <c r="B2054" s="3">
        <f>IF(D2054="","",IF(V2054=0,"CONCLUÍDO",IF(D2054&lt;corte,"HISTÓRICO",IF(OR(AND(ISNUMBER(R2054),R2054&lt;TODAY()),AND(OR(N2054="PENDENTE",N2054="PARCIAL"),D2054&lt;TODAY()-1)),"CRÍTICO",IF(OR(AND(P2054&lt;&gt;"",S2054=""),AND(N2054="REALIZADO",M2054="PENDENTE"),AND(ISNUMBER(R2054),R2054=TODAY())),"ATENÇÃO",IF(N(K2054)=0,"PENDENTE","EM ANDAMENTO"))))))</f>
        <v/>
      </c>
      <c r="C2054" s="3">
        <f>IF(D2054="","",IF(V2054=0,"🟢 OK",IF(D2054&lt;corte,"⚪ HISTÓRICO (sem baixa)",IF(AND(ISNUMBER(R2054),R2054&lt;TODAY()),"🔴 PRAZO VENCIDO",IF(AND(OR(N2054="PENDENTE",N2054="PARCIAL"),D2054&lt;TODAY()-1),"🔴 EMBARQUE ATRASADO",IF(AND(N2054="REALIZADO",M2054="PENDENTE"),"🟡 EMBARCADO SEM FATURAR",IF(AND(P2054&lt;&gt;"",S2054="",OR(Q2054="",R2054="")),"🟡 PENDÊNCIA SEM RESPONSÁVEL/PRAZO",IF(AND(ISNUMBER(R2054),R2054=TODAY()),"🟡 VENCE HOJE",IF(AND(P2054&lt;&gt;"",S2054=""),"🟡 PENDÊNCIA ABERTA",IF(AND(N(J2054)&gt;0,N(K2054)&lt;J2054),"🟡 FALTA EXECUTAR",IF(OR(M2054="PENDENTE",M2054="PARCIAL"),"🟡 FATURAMENTO PENDENTE","🟡 EMBARQUE PENDENTE")))))))))))</f>
        <v/>
      </c>
      <c r="D2054" s="4" t="n"/>
      <c r="E2054" s="5" t="n"/>
      <c r="F2054" s="5" t="n"/>
      <c r="G2054" s="5" t="n"/>
      <c r="H2054" s="5" t="n"/>
      <c r="I2054" s="5" t="n"/>
      <c r="J2054" s="6" t="n"/>
      <c r="K2054" s="6" t="n"/>
      <c r="L2054" s="7">
        <f>IF(OR(D2054="",N(J2054)=0),"",MIN(1,N(K2054)/J2054))</f>
        <v/>
      </c>
      <c r="M2054" s="5" t="n"/>
      <c r="N2054" s="5" t="n"/>
      <c r="O2054" s="5" t="n"/>
      <c r="P2054" s="5" t="n"/>
      <c r="Q2054" s="5" t="n"/>
      <c r="R2054" s="4" t="n"/>
      <c r="S2054" s="4" t="n"/>
      <c r="T2054" s="5" t="n"/>
      <c r="U2054" s="8">
        <f>IF(AND(V2054=1,D2054&lt;&gt;""),IF(D2054&gt;=corte,TODAY()-D2054,""),"")</f>
        <v/>
      </c>
      <c r="V2054" s="8">
        <f>IF(D2054="",0,IF(OR(AND(P2054&lt;&gt;"",S2054=""),AND(N(J2054)&gt;0,N(K2054)&lt;J2054),OR(M2054="PENDENTE",M2054="PARCIAL"),OR(N2054="PENDENTE",N2054="PARCIAL")),1,0))</f>
        <v/>
      </c>
      <c r="W2054" s="8">
        <f>IF(AND(V2054=1,D2054&lt;&gt;""),IF(D2054&gt;=corte,(B2054="CRÍTICO")*1E9+(100000-D2054)*10000+10000-ROW(),""),"")</f>
        <v/>
      </c>
      <c r="X2054" s="8">
        <f>IF(AND(V2054=1,D2054=pas_data,E2054=pas_turno),10000-ROW(),"")</f>
        <v/>
      </c>
    </row>
    <row r="2055">
      <c r="A2055" s="3">
        <f>IF(D2055="","","TT-"&amp;TEXT(ROW()-1,"00000"))</f>
        <v/>
      </c>
      <c r="B2055" s="3">
        <f>IF(D2055="","",IF(V2055=0,"CONCLUÍDO",IF(D2055&lt;corte,"HISTÓRICO",IF(OR(AND(ISNUMBER(R2055),R2055&lt;TODAY()),AND(OR(N2055="PENDENTE",N2055="PARCIAL"),D2055&lt;TODAY()-1)),"CRÍTICO",IF(OR(AND(P2055&lt;&gt;"",S2055=""),AND(N2055="REALIZADO",M2055="PENDENTE"),AND(ISNUMBER(R2055),R2055=TODAY())),"ATENÇÃO",IF(N(K2055)=0,"PENDENTE","EM ANDAMENTO"))))))</f>
        <v/>
      </c>
      <c r="C2055" s="3">
        <f>IF(D2055="","",IF(V2055=0,"🟢 OK",IF(D2055&lt;corte,"⚪ HISTÓRICO (sem baixa)",IF(AND(ISNUMBER(R2055),R2055&lt;TODAY()),"🔴 PRAZO VENCIDO",IF(AND(OR(N2055="PENDENTE",N2055="PARCIAL"),D2055&lt;TODAY()-1),"🔴 EMBARQUE ATRASADO",IF(AND(N2055="REALIZADO",M2055="PENDENTE"),"🟡 EMBARCADO SEM FATURAR",IF(AND(P2055&lt;&gt;"",S2055="",OR(Q2055="",R2055="")),"🟡 PENDÊNCIA SEM RESPONSÁVEL/PRAZO",IF(AND(ISNUMBER(R2055),R2055=TODAY()),"🟡 VENCE HOJE",IF(AND(P2055&lt;&gt;"",S2055=""),"🟡 PENDÊNCIA ABERTA",IF(AND(N(J2055)&gt;0,N(K2055)&lt;J2055),"🟡 FALTA EXECUTAR",IF(OR(M2055="PENDENTE",M2055="PARCIAL"),"🟡 FATURAMENTO PENDENTE","🟡 EMBARQUE PENDENTE")))))))))))</f>
        <v/>
      </c>
      <c r="D2055" s="4" t="n"/>
      <c r="E2055" s="5" t="n"/>
      <c r="F2055" s="5" t="n"/>
      <c r="G2055" s="5" t="n"/>
      <c r="H2055" s="5" t="n"/>
      <c r="I2055" s="5" t="n"/>
      <c r="J2055" s="6" t="n"/>
      <c r="K2055" s="6" t="n"/>
      <c r="L2055" s="7">
        <f>IF(OR(D2055="",N(J2055)=0),"",MIN(1,N(K2055)/J2055))</f>
        <v/>
      </c>
      <c r="M2055" s="5" t="n"/>
      <c r="N2055" s="5" t="n"/>
      <c r="O2055" s="5" t="n"/>
      <c r="P2055" s="5" t="n"/>
      <c r="Q2055" s="5" t="n"/>
      <c r="R2055" s="4" t="n"/>
      <c r="S2055" s="4" t="n"/>
      <c r="T2055" s="5" t="n"/>
      <c r="U2055" s="8">
        <f>IF(AND(V2055=1,D2055&lt;&gt;""),IF(D2055&gt;=corte,TODAY()-D2055,""),"")</f>
        <v/>
      </c>
      <c r="V2055" s="8">
        <f>IF(D2055="",0,IF(OR(AND(P2055&lt;&gt;"",S2055=""),AND(N(J2055)&gt;0,N(K2055)&lt;J2055),OR(M2055="PENDENTE",M2055="PARCIAL"),OR(N2055="PENDENTE",N2055="PARCIAL")),1,0))</f>
        <v/>
      </c>
      <c r="W2055" s="8">
        <f>IF(AND(V2055=1,D2055&lt;&gt;""),IF(D2055&gt;=corte,(B2055="CRÍTICO")*1E9+(100000-D2055)*10000+10000-ROW(),""),"")</f>
        <v/>
      </c>
      <c r="X2055" s="8">
        <f>IF(AND(V2055=1,D2055=pas_data,E2055=pas_turno),10000-ROW(),"")</f>
        <v/>
      </c>
    </row>
    <row r="2056">
      <c r="A2056" s="3">
        <f>IF(D2056="","","TT-"&amp;TEXT(ROW()-1,"00000"))</f>
        <v/>
      </c>
      <c r="B2056" s="3">
        <f>IF(D2056="","",IF(V2056=0,"CONCLUÍDO",IF(D2056&lt;corte,"HISTÓRICO",IF(OR(AND(ISNUMBER(R2056),R2056&lt;TODAY()),AND(OR(N2056="PENDENTE",N2056="PARCIAL"),D2056&lt;TODAY()-1)),"CRÍTICO",IF(OR(AND(P2056&lt;&gt;"",S2056=""),AND(N2056="REALIZADO",M2056="PENDENTE"),AND(ISNUMBER(R2056),R2056=TODAY())),"ATENÇÃO",IF(N(K2056)=0,"PENDENTE","EM ANDAMENTO"))))))</f>
        <v/>
      </c>
      <c r="C2056" s="3">
        <f>IF(D2056="","",IF(V2056=0,"🟢 OK",IF(D2056&lt;corte,"⚪ HISTÓRICO (sem baixa)",IF(AND(ISNUMBER(R2056),R2056&lt;TODAY()),"🔴 PRAZO VENCIDO",IF(AND(OR(N2056="PENDENTE",N2056="PARCIAL"),D2056&lt;TODAY()-1),"🔴 EMBARQUE ATRASADO",IF(AND(N2056="REALIZADO",M2056="PENDENTE"),"🟡 EMBARCADO SEM FATURAR",IF(AND(P2056&lt;&gt;"",S2056="",OR(Q2056="",R2056="")),"🟡 PENDÊNCIA SEM RESPONSÁVEL/PRAZO",IF(AND(ISNUMBER(R2056),R2056=TODAY()),"🟡 VENCE HOJE",IF(AND(P2056&lt;&gt;"",S2056=""),"🟡 PENDÊNCIA ABERTA",IF(AND(N(J2056)&gt;0,N(K2056)&lt;J2056),"🟡 FALTA EXECUTAR",IF(OR(M2056="PENDENTE",M2056="PARCIAL"),"🟡 FATURAMENTO PENDENTE","🟡 EMBARQUE PENDENTE")))))))))))</f>
        <v/>
      </c>
      <c r="D2056" s="4" t="n"/>
      <c r="E2056" s="5" t="n"/>
      <c r="F2056" s="5" t="n"/>
      <c r="G2056" s="5" t="n"/>
      <c r="H2056" s="5" t="n"/>
      <c r="I2056" s="5" t="n"/>
      <c r="J2056" s="6" t="n"/>
      <c r="K2056" s="6" t="n"/>
      <c r="L2056" s="7">
        <f>IF(OR(D2056="",N(J2056)=0),"",MIN(1,N(K2056)/J2056))</f>
        <v/>
      </c>
      <c r="M2056" s="5" t="n"/>
      <c r="N2056" s="5" t="n"/>
      <c r="O2056" s="5" t="n"/>
      <c r="P2056" s="5" t="n"/>
      <c r="Q2056" s="5" t="n"/>
      <c r="R2056" s="4" t="n"/>
      <c r="S2056" s="4" t="n"/>
      <c r="T2056" s="5" t="n"/>
      <c r="U2056" s="8">
        <f>IF(AND(V2056=1,D2056&lt;&gt;""),IF(D2056&gt;=corte,TODAY()-D2056,""),"")</f>
        <v/>
      </c>
      <c r="V2056" s="8">
        <f>IF(D2056="",0,IF(OR(AND(P2056&lt;&gt;"",S2056=""),AND(N(J2056)&gt;0,N(K2056)&lt;J2056),OR(M2056="PENDENTE",M2056="PARCIAL"),OR(N2056="PENDENTE",N2056="PARCIAL")),1,0))</f>
        <v/>
      </c>
      <c r="W2056" s="8">
        <f>IF(AND(V2056=1,D2056&lt;&gt;""),IF(D2056&gt;=corte,(B2056="CRÍTICO")*1E9+(100000-D2056)*10000+10000-ROW(),""),"")</f>
        <v/>
      </c>
      <c r="X2056" s="8">
        <f>IF(AND(V2056=1,D2056=pas_data,E2056=pas_turno),10000-ROW(),"")</f>
        <v/>
      </c>
    </row>
    <row r="2057">
      <c r="A2057" s="3">
        <f>IF(D2057="","","TT-"&amp;TEXT(ROW()-1,"00000"))</f>
        <v/>
      </c>
      <c r="B2057" s="3">
        <f>IF(D2057="","",IF(V2057=0,"CONCLUÍDO",IF(D2057&lt;corte,"HISTÓRICO",IF(OR(AND(ISNUMBER(R2057),R2057&lt;TODAY()),AND(OR(N2057="PENDENTE",N2057="PARCIAL"),D2057&lt;TODAY()-1)),"CRÍTICO",IF(OR(AND(P2057&lt;&gt;"",S2057=""),AND(N2057="REALIZADO",M2057="PENDENTE"),AND(ISNUMBER(R2057),R2057=TODAY())),"ATENÇÃO",IF(N(K2057)=0,"PENDENTE","EM ANDAMENTO"))))))</f>
        <v/>
      </c>
      <c r="C2057" s="3">
        <f>IF(D2057="","",IF(V2057=0,"🟢 OK",IF(D2057&lt;corte,"⚪ HISTÓRICO (sem baixa)",IF(AND(ISNUMBER(R2057),R2057&lt;TODAY()),"🔴 PRAZO VENCIDO",IF(AND(OR(N2057="PENDENTE",N2057="PARCIAL"),D2057&lt;TODAY()-1),"🔴 EMBARQUE ATRASADO",IF(AND(N2057="REALIZADO",M2057="PENDENTE"),"🟡 EMBARCADO SEM FATURAR",IF(AND(P2057&lt;&gt;"",S2057="",OR(Q2057="",R2057="")),"🟡 PENDÊNCIA SEM RESPONSÁVEL/PRAZO",IF(AND(ISNUMBER(R2057),R2057=TODAY()),"🟡 VENCE HOJE",IF(AND(P2057&lt;&gt;"",S2057=""),"🟡 PENDÊNCIA ABERTA",IF(AND(N(J2057)&gt;0,N(K2057)&lt;J2057),"🟡 FALTA EXECUTAR",IF(OR(M2057="PENDENTE",M2057="PARCIAL"),"🟡 FATURAMENTO PENDENTE","🟡 EMBARQUE PENDENTE")))))))))))</f>
        <v/>
      </c>
      <c r="D2057" s="4" t="n"/>
      <c r="E2057" s="5" t="n"/>
      <c r="F2057" s="5" t="n"/>
      <c r="G2057" s="5" t="n"/>
      <c r="H2057" s="5" t="n"/>
      <c r="I2057" s="5" t="n"/>
      <c r="J2057" s="6" t="n"/>
      <c r="K2057" s="6" t="n"/>
      <c r="L2057" s="7">
        <f>IF(OR(D2057="",N(J2057)=0),"",MIN(1,N(K2057)/J2057))</f>
        <v/>
      </c>
      <c r="M2057" s="5" t="n"/>
      <c r="N2057" s="5" t="n"/>
      <c r="O2057" s="5" t="n"/>
      <c r="P2057" s="5" t="n"/>
      <c r="Q2057" s="5" t="n"/>
      <c r="R2057" s="4" t="n"/>
      <c r="S2057" s="4" t="n"/>
      <c r="T2057" s="5" t="n"/>
      <c r="U2057" s="8">
        <f>IF(AND(V2057=1,D2057&lt;&gt;""),IF(D2057&gt;=corte,TODAY()-D2057,""),"")</f>
        <v/>
      </c>
      <c r="V2057" s="8">
        <f>IF(D2057="",0,IF(OR(AND(P2057&lt;&gt;"",S2057=""),AND(N(J2057)&gt;0,N(K2057)&lt;J2057),OR(M2057="PENDENTE",M2057="PARCIAL"),OR(N2057="PENDENTE",N2057="PARCIAL")),1,0))</f>
        <v/>
      </c>
      <c r="W2057" s="8">
        <f>IF(AND(V2057=1,D2057&lt;&gt;""),IF(D2057&gt;=corte,(B2057="CRÍTICO")*1E9+(100000-D2057)*10000+10000-ROW(),""),"")</f>
        <v/>
      </c>
      <c r="X2057" s="8">
        <f>IF(AND(V2057=1,D2057=pas_data,E2057=pas_turno),10000-ROW(),"")</f>
        <v/>
      </c>
    </row>
    <row r="2058">
      <c r="A2058" s="3">
        <f>IF(D2058="","","TT-"&amp;TEXT(ROW()-1,"00000"))</f>
        <v/>
      </c>
      <c r="B2058" s="3">
        <f>IF(D2058="","",IF(V2058=0,"CONCLUÍDO",IF(D2058&lt;corte,"HISTÓRICO",IF(OR(AND(ISNUMBER(R2058),R2058&lt;TODAY()),AND(OR(N2058="PENDENTE",N2058="PARCIAL"),D2058&lt;TODAY()-1)),"CRÍTICO",IF(OR(AND(P2058&lt;&gt;"",S2058=""),AND(N2058="REALIZADO",M2058="PENDENTE"),AND(ISNUMBER(R2058),R2058=TODAY())),"ATENÇÃO",IF(N(K2058)=0,"PENDENTE","EM ANDAMENTO"))))))</f>
        <v/>
      </c>
      <c r="C2058" s="3">
        <f>IF(D2058="","",IF(V2058=0,"🟢 OK",IF(D2058&lt;corte,"⚪ HISTÓRICO (sem baixa)",IF(AND(ISNUMBER(R2058),R2058&lt;TODAY()),"🔴 PRAZO VENCIDO",IF(AND(OR(N2058="PENDENTE",N2058="PARCIAL"),D2058&lt;TODAY()-1),"🔴 EMBARQUE ATRASADO",IF(AND(N2058="REALIZADO",M2058="PENDENTE"),"🟡 EMBARCADO SEM FATURAR",IF(AND(P2058&lt;&gt;"",S2058="",OR(Q2058="",R2058="")),"🟡 PENDÊNCIA SEM RESPONSÁVEL/PRAZO",IF(AND(ISNUMBER(R2058),R2058=TODAY()),"🟡 VENCE HOJE",IF(AND(P2058&lt;&gt;"",S2058=""),"🟡 PENDÊNCIA ABERTA",IF(AND(N(J2058)&gt;0,N(K2058)&lt;J2058),"🟡 FALTA EXECUTAR",IF(OR(M2058="PENDENTE",M2058="PARCIAL"),"🟡 FATURAMENTO PENDENTE","🟡 EMBARQUE PENDENTE")))))))))))</f>
        <v/>
      </c>
      <c r="D2058" s="4" t="n"/>
      <c r="E2058" s="5" t="n"/>
      <c r="F2058" s="5" t="n"/>
      <c r="G2058" s="5" t="n"/>
      <c r="H2058" s="5" t="n"/>
      <c r="I2058" s="5" t="n"/>
      <c r="J2058" s="6" t="n"/>
      <c r="K2058" s="6" t="n"/>
      <c r="L2058" s="7">
        <f>IF(OR(D2058="",N(J2058)=0),"",MIN(1,N(K2058)/J2058))</f>
        <v/>
      </c>
      <c r="M2058" s="5" t="n"/>
      <c r="N2058" s="5" t="n"/>
      <c r="O2058" s="5" t="n"/>
      <c r="P2058" s="5" t="n"/>
      <c r="Q2058" s="5" t="n"/>
      <c r="R2058" s="4" t="n"/>
      <c r="S2058" s="4" t="n"/>
      <c r="T2058" s="5" t="n"/>
      <c r="U2058" s="8">
        <f>IF(AND(V2058=1,D2058&lt;&gt;""),IF(D2058&gt;=corte,TODAY()-D2058,""),"")</f>
        <v/>
      </c>
      <c r="V2058" s="8">
        <f>IF(D2058="",0,IF(OR(AND(P2058&lt;&gt;"",S2058=""),AND(N(J2058)&gt;0,N(K2058)&lt;J2058),OR(M2058="PENDENTE",M2058="PARCIAL"),OR(N2058="PENDENTE",N2058="PARCIAL")),1,0))</f>
        <v/>
      </c>
      <c r="W2058" s="8">
        <f>IF(AND(V2058=1,D2058&lt;&gt;""),IF(D2058&gt;=corte,(B2058="CRÍTICO")*1E9+(100000-D2058)*10000+10000-ROW(),""),"")</f>
        <v/>
      </c>
      <c r="X2058" s="8">
        <f>IF(AND(V2058=1,D2058=pas_data,E2058=pas_turno),10000-ROW(),"")</f>
        <v/>
      </c>
    </row>
    <row r="2059">
      <c r="A2059" s="3">
        <f>IF(D2059="","","TT-"&amp;TEXT(ROW()-1,"00000"))</f>
        <v/>
      </c>
      <c r="B2059" s="3">
        <f>IF(D2059="","",IF(V2059=0,"CONCLUÍDO",IF(D2059&lt;corte,"HISTÓRICO",IF(OR(AND(ISNUMBER(R2059),R2059&lt;TODAY()),AND(OR(N2059="PENDENTE",N2059="PARCIAL"),D2059&lt;TODAY()-1)),"CRÍTICO",IF(OR(AND(P2059&lt;&gt;"",S2059=""),AND(N2059="REALIZADO",M2059="PENDENTE"),AND(ISNUMBER(R2059),R2059=TODAY())),"ATENÇÃO",IF(N(K2059)=0,"PENDENTE","EM ANDAMENTO"))))))</f>
        <v/>
      </c>
      <c r="C2059" s="3">
        <f>IF(D2059="","",IF(V2059=0,"🟢 OK",IF(D2059&lt;corte,"⚪ HISTÓRICO (sem baixa)",IF(AND(ISNUMBER(R2059),R2059&lt;TODAY()),"🔴 PRAZO VENCIDO",IF(AND(OR(N2059="PENDENTE",N2059="PARCIAL"),D2059&lt;TODAY()-1),"🔴 EMBARQUE ATRASADO",IF(AND(N2059="REALIZADO",M2059="PENDENTE"),"🟡 EMBARCADO SEM FATURAR",IF(AND(P2059&lt;&gt;"",S2059="",OR(Q2059="",R2059="")),"🟡 PENDÊNCIA SEM RESPONSÁVEL/PRAZO",IF(AND(ISNUMBER(R2059),R2059=TODAY()),"🟡 VENCE HOJE",IF(AND(P2059&lt;&gt;"",S2059=""),"🟡 PENDÊNCIA ABERTA",IF(AND(N(J2059)&gt;0,N(K2059)&lt;J2059),"🟡 FALTA EXECUTAR",IF(OR(M2059="PENDENTE",M2059="PARCIAL"),"🟡 FATURAMENTO PENDENTE","🟡 EMBARQUE PENDENTE")))))))))))</f>
        <v/>
      </c>
      <c r="D2059" s="4" t="n"/>
      <c r="E2059" s="5" t="n"/>
      <c r="F2059" s="5" t="n"/>
      <c r="G2059" s="5" t="n"/>
      <c r="H2059" s="5" t="n"/>
      <c r="I2059" s="5" t="n"/>
      <c r="J2059" s="6" t="n"/>
      <c r="K2059" s="6" t="n"/>
      <c r="L2059" s="7">
        <f>IF(OR(D2059="",N(J2059)=0),"",MIN(1,N(K2059)/J2059))</f>
        <v/>
      </c>
      <c r="M2059" s="5" t="n"/>
      <c r="N2059" s="5" t="n"/>
      <c r="O2059" s="5" t="n"/>
      <c r="P2059" s="5" t="n"/>
      <c r="Q2059" s="5" t="n"/>
      <c r="R2059" s="4" t="n"/>
      <c r="S2059" s="4" t="n"/>
      <c r="T2059" s="5" t="n"/>
      <c r="U2059" s="8">
        <f>IF(AND(V2059=1,D2059&lt;&gt;""),IF(D2059&gt;=corte,TODAY()-D2059,""),"")</f>
        <v/>
      </c>
      <c r="V2059" s="8">
        <f>IF(D2059="",0,IF(OR(AND(P2059&lt;&gt;"",S2059=""),AND(N(J2059)&gt;0,N(K2059)&lt;J2059),OR(M2059="PENDENTE",M2059="PARCIAL"),OR(N2059="PENDENTE",N2059="PARCIAL")),1,0))</f>
        <v/>
      </c>
      <c r="W2059" s="8">
        <f>IF(AND(V2059=1,D2059&lt;&gt;""),IF(D2059&gt;=corte,(B2059="CRÍTICO")*1E9+(100000-D2059)*10000+10000-ROW(),""),"")</f>
        <v/>
      </c>
      <c r="X2059" s="8">
        <f>IF(AND(V2059=1,D2059=pas_data,E2059=pas_turno),10000-ROW(),"")</f>
        <v/>
      </c>
    </row>
    <row r="2060">
      <c r="A2060" s="3">
        <f>IF(D2060="","","TT-"&amp;TEXT(ROW()-1,"00000"))</f>
        <v/>
      </c>
      <c r="B2060" s="3">
        <f>IF(D2060="","",IF(V2060=0,"CONCLUÍDO",IF(D2060&lt;corte,"HISTÓRICO",IF(OR(AND(ISNUMBER(R2060),R2060&lt;TODAY()),AND(OR(N2060="PENDENTE",N2060="PARCIAL"),D2060&lt;TODAY()-1)),"CRÍTICO",IF(OR(AND(P2060&lt;&gt;"",S2060=""),AND(N2060="REALIZADO",M2060="PENDENTE"),AND(ISNUMBER(R2060),R2060=TODAY())),"ATENÇÃO",IF(N(K2060)=0,"PENDENTE","EM ANDAMENTO"))))))</f>
        <v/>
      </c>
      <c r="C2060" s="3">
        <f>IF(D2060="","",IF(V2060=0,"🟢 OK",IF(D2060&lt;corte,"⚪ HISTÓRICO (sem baixa)",IF(AND(ISNUMBER(R2060),R2060&lt;TODAY()),"🔴 PRAZO VENCIDO",IF(AND(OR(N2060="PENDENTE",N2060="PARCIAL"),D2060&lt;TODAY()-1),"🔴 EMBARQUE ATRASADO",IF(AND(N2060="REALIZADO",M2060="PENDENTE"),"🟡 EMBARCADO SEM FATURAR",IF(AND(P2060&lt;&gt;"",S2060="",OR(Q2060="",R2060="")),"🟡 PENDÊNCIA SEM RESPONSÁVEL/PRAZO",IF(AND(ISNUMBER(R2060),R2060=TODAY()),"🟡 VENCE HOJE",IF(AND(P2060&lt;&gt;"",S2060=""),"🟡 PENDÊNCIA ABERTA",IF(AND(N(J2060)&gt;0,N(K2060)&lt;J2060),"🟡 FALTA EXECUTAR",IF(OR(M2060="PENDENTE",M2060="PARCIAL"),"🟡 FATURAMENTO PENDENTE","🟡 EMBARQUE PENDENTE")))))))))))</f>
        <v/>
      </c>
      <c r="D2060" s="4" t="n"/>
      <c r="E2060" s="5" t="n"/>
      <c r="F2060" s="5" t="n"/>
      <c r="G2060" s="5" t="n"/>
      <c r="H2060" s="5" t="n"/>
      <c r="I2060" s="5" t="n"/>
      <c r="J2060" s="6" t="n"/>
      <c r="K2060" s="6" t="n"/>
      <c r="L2060" s="7">
        <f>IF(OR(D2060="",N(J2060)=0),"",MIN(1,N(K2060)/J2060))</f>
        <v/>
      </c>
      <c r="M2060" s="5" t="n"/>
      <c r="N2060" s="5" t="n"/>
      <c r="O2060" s="5" t="n"/>
      <c r="P2060" s="5" t="n"/>
      <c r="Q2060" s="5" t="n"/>
      <c r="R2060" s="4" t="n"/>
      <c r="S2060" s="4" t="n"/>
      <c r="T2060" s="5" t="n"/>
      <c r="U2060" s="8">
        <f>IF(AND(V2060=1,D2060&lt;&gt;""),IF(D2060&gt;=corte,TODAY()-D2060,""),"")</f>
        <v/>
      </c>
      <c r="V2060" s="8">
        <f>IF(D2060="",0,IF(OR(AND(P2060&lt;&gt;"",S2060=""),AND(N(J2060)&gt;0,N(K2060)&lt;J2060),OR(M2060="PENDENTE",M2060="PARCIAL"),OR(N2060="PENDENTE",N2060="PARCIAL")),1,0))</f>
        <v/>
      </c>
      <c r="W2060" s="8">
        <f>IF(AND(V2060=1,D2060&lt;&gt;""),IF(D2060&gt;=corte,(B2060="CRÍTICO")*1E9+(100000-D2060)*10000+10000-ROW(),""),"")</f>
        <v/>
      </c>
      <c r="X2060" s="8">
        <f>IF(AND(V2060=1,D2060=pas_data,E2060=pas_turno),10000-ROW(),"")</f>
        <v/>
      </c>
    </row>
    <row r="2061">
      <c r="A2061" s="3">
        <f>IF(D2061="","","TT-"&amp;TEXT(ROW()-1,"00000"))</f>
        <v/>
      </c>
      <c r="B2061" s="3">
        <f>IF(D2061="","",IF(V2061=0,"CONCLUÍDO",IF(D2061&lt;corte,"HISTÓRICO",IF(OR(AND(ISNUMBER(R2061),R2061&lt;TODAY()),AND(OR(N2061="PENDENTE",N2061="PARCIAL"),D2061&lt;TODAY()-1)),"CRÍTICO",IF(OR(AND(P2061&lt;&gt;"",S2061=""),AND(N2061="REALIZADO",M2061="PENDENTE"),AND(ISNUMBER(R2061),R2061=TODAY())),"ATENÇÃO",IF(N(K2061)=0,"PENDENTE","EM ANDAMENTO"))))))</f>
        <v/>
      </c>
      <c r="C2061" s="3">
        <f>IF(D2061="","",IF(V2061=0,"🟢 OK",IF(D2061&lt;corte,"⚪ HISTÓRICO (sem baixa)",IF(AND(ISNUMBER(R2061),R2061&lt;TODAY()),"🔴 PRAZO VENCIDO",IF(AND(OR(N2061="PENDENTE",N2061="PARCIAL"),D2061&lt;TODAY()-1),"🔴 EMBARQUE ATRASADO",IF(AND(N2061="REALIZADO",M2061="PENDENTE"),"🟡 EMBARCADO SEM FATURAR",IF(AND(P2061&lt;&gt;"",S2061="",OR(Q2061="",R2061="")),"🟡 PENDÊNCIA SEM RESPONSÁVEL/PRAZO",IF(AND(ISNUMBER(R2061),R2061=TODAY()),"🟡 VENCE HOJE",IF(AND(P2061&lt;&gt;"",S2061=""),"🟡 PENDÊNCIA ABERTA",IF(AND(N(J2061)&gt;0,N(K2061)&lt;J2061),"🟡 FALTA EXECUTAR",IF(OR(M2061="PENDENTE",M2061="PARCIAL"),"🟡 FATURAMENTO PENDENTE","🟡 EMBARQUE PENDENTE")))))))))))</f>
        <v/>
      </c>
      <c r="D2061" s="4" t="n"/>
      <c r="E2061" s="5" t="n"/>
      <c r="F2061" s="5" t="n"/>
      <c r="G2061" s="5" t="n"/>
      <c r="H2061" s="5" t="n"/>
      <c r="I2061" s="5" t="n"/>
      <c r="J2061" s="6" t="n"/>
      <c r="K2061" s="6" t="n"/>
      <c r="L2061" s="7">
        <f>IF(OR(D2061="",N(J2061)=0),"",MIN(1,N(K2061)/J2061))</f>
        <v/>
      </c>
      <c r="M2061" s="5" t="n"/>
      <c r="N2061" s="5" t="n"/>
      <c r="O2061" s="5" t="n"/>
      <c r="P2061" s="5" t="n"/>
      <c r="Q2061" s="5" t="n"/>
      <c r="R2061" s="4" t="n"/>
      <c r="S2061" s="4" t="n"/>
      <c r="T2061" s="5" t="n"/>
      <c r="U2061" s="8">
        <f>IF(AND(V2061=1,D2061&lt;&gt;""),IF(D2061&gt;=corte,TODAY()-D2061,""),"")</f>
        <v/>
      </c>
      <c r="V2061" s="8">
        <f>IF(D2061="",0,IF(OR(AND(P2061&lt;&gt;"",S2061=""),AND(N(J2061)&gt;0,N(K2061)&lt;J2061),OR(M2061="PENDENTE",M2061="PARCIAL"),OR(N2061="PENDENTE",N2061="PARCIAL")),1,0))</f>
        <v/>
      </c>
      <c r="W2061" s="8">
        <f>IF(AND(V2061=1,D2061&lt;&gt;""),IF(D2061&gt;=corte,(B2061="CRÍTICO")*1E9+(100000-D2061)*10000+10000-ROW(),""),"")</f>
        <v/>
      </c>
      <c r="X2061" s="8">
        <f>IF(AND(V2061=1,D2061=pas_data,E2061=pas_turno),10000-ROW(),"")</f>
        <v/>
      </c>
    </row>
    <row r="2062">
      <c r="A2062" s="3">
        <f>IF(D2062="","","TT-"&amp;TEXT(ROW()-1,"00000"))</f>
        <v/>
      </c>
      <c r="B2062" s="3">
        <f>IF(D2062="","",IF(V2062=0,"CONCLUÍDO",IF(D2062&lt;corte,"HISTÓRICO",IF(OR(AND(ISNUMBER(R2062),R2062&lt;TODAY()),AND(OR(N2062="PENDENTE",N2062="PARCIAL"),D2062&lt;TODAY()-1)),"CRÍTICO",IF(OR(AND(P2062&lt;&gt;"",S2062=""),AND(N2062="REALIZADO",M2062="PENDENTE"),AND(ISNUMBER(R2062),R2062=TODAY())),"ATENÇÃO",IF(N(K2062)=0,"PENDENTE","EM ANDAMENTO"))))))</f>
        <v/>
      </c>
      <c r="C2062" s="3">
        <f>IF(D2062="","",IF(V2062=0,"🟢 OK",IF(D2062&lt;corte,"⚪ HISTÓRICO (sem baixa)",IF(AND(ISNUMBER(R2062),R2062&lt;TODAY()),"🔴 PRAZO VENCIDO",IF(AND(OR(N2062="PENDENTE",N2062="PARCIAL"),D2062&lt;TODAY()-1),"🔴 EMBARQUE ATRASADO",IF(AND(N2062="REALIZADO",M2062="PENDENTE"),"🟡 EMBARCADO SEM FATURAR",IF(AND(P2062&lt;&gt;"",S2062="",OR(Q2062="",R2062="")),"🟡 PENDÊNCIA SEM RESPONSÁVEL/PRAZO",IF(AND(ISNUMBER(R2062),R2062=TODAY()),"🟡 VENCE HOJE",IF(AND(P2062&lt;&gt;"",S2062=""),"🟡 PENDÊNCIA ABERTA",IF(AND(N(J2062)&gt;0,N(K2062)&lt;J2062),"🟡 FALTA EXECUTAR",IF(OR(M2062="PENDENTE",M2062="PARCIAL"),"🟡 FATURAMENTO PENDENTE","🟡 EMBARQUE PENDENTE")))))))))))</f>
        <v/>
      </c>
      <c r="D2062" s="4" t="n"/>
      <c r="E2062" s="5" t="n"/>
      <c r="F2062" s="5" t="n"/>
      <c r="G2062" s="5" t="n"/>
      <c r="H2062" s="5" t="n"/>
      <c r="I2062" s="5" t="n"/>
      <c r="J2062" s="6" t="n"/>
      <c r="K2062" s="6" t="n"/>
      <c r="L2062" s="7">
        <f>IF(OR(D2062="",N(J2062)=0),"",MIN(1,N(K2062)/J2062))</f>
        <v/>
      </c>
      <c r="M2062" s="5" t="n"/>
      <c r="N2062" s="5" t="n"/>
      <c r="O2062" s="5" t="n"/>
      <c r="P2062" s="5" t="n"/>
      <c r="Q2062" s="5" t="n"/>
      <c r="R2062" s="4" t="n"/>
      <c r="S2062" s="4" t="n"/>
      <c r="T2062" s="5" t="n"/>
      <c r="U2062" s="8">
        <f>IF(AND(V2062=1,D2062&lt;&gt;""),IF(D2062&gt;=corte,TODAY()-D2062,""),"")</f>
        <v/>
      </c>
      <c r="V2062" s="8">
        <f>IF(D2062="",0,IF(OR(AND(P2062&lt;&gt;"",S2062=""),AND(N(J2062)&gt;0,N(K2062)&lt;J2062),OR(M2062="PENDENTE",M2062="PARCIAL"),OR(N2062="PENDENTE",N2062="PARCIAL")),1,0))</f>
        <v/>
      </c>
      <c r="W2062" s="8">
        <f>IF(AND(V2062=1,D2062&lt;&gt;""),IF(D2062&gt;=corte,(B2062="CRÍTICO")*1E9+(100000-D2062)*10000+10000-ROW(),""),"")</f>
        <v/>
      </c>
      <c r="X2062" s="8">
        <f>IF(AND(V2062=1,D2062=pas_data,E2062=pas_turno),10000-ROW(),"")</f>
        <v/>
      </c>
    </row>
    <row r="2063">
      <c r="A2063" s="3">
        <f>IF(D2063="","","TT-"&amp;TEXT(ROW()-1,"00000"))</f>
        <v/>
      </c>
      <c r="B2063" s="3">
        <f>IF(D2063="","",IF(V2063=0,"CONCLUÍDO",IF(D2063&lt;corte,"HISTÓRICO",IF(OR(AND(ISNUMBER(R2063),R2063&lt;TODAY()),AND(OR(N2063="PENDENTE",N2063="PARCIAL"),D2063&lt;TODAY()-1)),"CRÍTICO",IF(OR(AND(P2063&lt;&gt;"",S2063=""),AND(N2063="REALIZADO",M2063="PENDENTE"),AND(ISNUMBER(R2063),R2063=TODAY())),"ATENÇÃO",IF(N(K2063)=0,"PENDENTE","EM ANDAMENTO"))))))</f>
        <v/>
      </c>
      <c r="C2063" s="3">
        <f>IF(D2063="","",IF(V2063=0,"🟢 OK",IF(D2063&lt;corte,"⚪ HISTÓRICO (sem baixa)",IF(AND(ISNUMBER(R2063),R2063&lt;TODAY()),"🔴 PRAZO VENCIDO",IF(AND(OR(N2063="PENDENTE",N2063="PARCIAL"),D2063&lt;TODAY()-1),"🔴 EMBARQUE ATRASADO",IF(AND(N2063="REALIZADO",M2063="PENDENTE"),"🟡 EMBARCADO SEM FATURAR",IF(AND(P2063&lt;&gt;"",S2063="",OR(Q2063="",R2063="")),"🟡 PENDÊNCIA SEM RESPONSÁVEL/PRAZO",IF(AND(ISNUMBER(R2063),R2063=TODAY()),"🟡 VENCE HOJE",IF(AND(P2063&lt;&gt;"",S2063=""),"🟡 PENDÊNCIA ABERTA",IF(AND(N(J2063)&gt;0,N(K2063)&lt;J2063),"🟡 FALTA EXECUTAR",IF(OR(M2063="PENDENTE",M2063="PARCIAL"),"🟡 FATURAMENTO PENDENTE","🟡 EMBARQUE PENDENTE")))))))))))</f>
        <v/>
      </c>
      <c r="D2063" s="4" t="n"/>
      <c r="E2063" s="5" t="n"/>
      <c r="F2063" s="5" t="n"/>
      <c r="G2063" s="5" t="n"/>
      <c r="H2063" s="5" t="n"/>
      <c r="I2063" s="5" t="n"/>
      <c r="J2063" s="6" t="n"/>
      <c r="K2063" s="6" t="n"/>
      <c r="L2063" s="7">
        <f>IF(OR(D2063="",N(J2063)=0),"",MIN(1,N(K2063)/J2063))</f>
        <v/>
      </c>
      <c r="M2063" s="5" t="n"/>
      <c r="N2063" s="5" t="n"/>
      <c r="O2063" s="5" t="n"/>
      <c r="P2063" s="5" t="n"/>
      <c r="Q2063" s="5" t="n"/>
      <c r="R2063" s="4" t="n"/>
      <c r="S2063" s="4" t="n"/>
      <c r="T2063" s="5" t="n"/>
      <c r="U2063" s="8">
        <f>IF(AND(V2063=1,D2063&lt;&gt;""),IF(D2063&gt;=corte,TODAY()-D2063,""),"")</f>
        <v/>
      </c>
      <c r="V2063" s="8">
        <f>IF(D2063="",0,IF(OR(AND(P2063&lt;&gt;"",S2063=""),AND(N(J2063)&gt;0,N(K2063)&lt;J2063),OR(M2063="PENDENTE",M2063="PARCIAL"),OR(N2063="PENDENTE",N2063="PARCIAL")),1,0))</f>
        <v/>
      </c>
      <c r="W2063" s="8">
        <f>IF(AND(V2063=1,D2063&lt;&gt;""),IF(D2063&gt;=corte,(B2063="CRÍTICO")*1E9+(100000-D2063)*10000+10000-ROW(),""),"")</f>
        <v/>
      </c>
      <c r="X2063" s="8">
        <f>IF(AND(V2063=1,D2063=pas_data,E2063=pas_turno),10000-ROW(),"")</f>
        <v/>
      </c>
    </row>
    <row r="2064">
      <c r="A2064" s="3">
        <f>IF(D2064="","","TT-"&amp;TEXT(ROW()-1,"00000"))</f>
        <v/>
      </c>
      <c r="B2064" s="3">
        <f>IF(D2064="","",IF(V2064=0,"CONCLUÍDO",IF(D2064&lt;corte,"HISTÓRICO",IF(OR(AND(ISNUMBER(R2064),R2064&lt;TODAY()),AND(OR(N2064="PENDENTE",N2064="PARCIAL"),D2064&lt;TODAY()-1)),"CRÍTICO",IF(OR(AND(P2064&lt;&gt;"",S2064=""),AND(N2064="REALIZADO",M2064="PENDENTE"),AND(ISNUMBER(R2064),R2064=TODAY())),"ATENÇÃO",IF(N(K2064)=0,"PENDENTE","EM ANDAMENTO"))))))</f>
        <v/>
      </c>
      <c r="C2064" s="3">
        <f>IF(D2064="","",IF(V2064=0,"🟢 OK",IF(D2064&lt;corte,"⚪ HISTÓRICO (sem baixa)",IF(AND(ISNUMBER(R2064),R2064&lt;TODAY()),"🔴 PRAZO VENCIDO",IF(AND(OR(N2064="PENDENTE",N2064="PARCIAL"),D2064&lt;TODAY()-1),"🔴 EMBARQUE ATRASADO",IF(AND(N2064="REALIZADO",M2064="PENDENTE"),"🟡 EMBARCADO SEM FATURAR",IF(AND(P2064&lt;&gt;"",S2064="",OR(Q2064="",R2064="")),"🟡 PENDÊNCIA SEM RESPONSÁVEL/PRAZO",IF(AND(ISNUMBER(R2064),R2064=TODAY()),"🟡 VENCE HOJE",IF(AND(P2064&lt;&gt;"",S2064=""),"🟡 PENDÊNCIA ABERTA",IF(AND(N(J2064)&gt;0,N(K2064)&lt;J2064),"🟡 FALTA EXECUTAR",IF(OR(M2064="PENDENTE",M2064="PARCIAL"),"🟡 FATURAMENTO PENDENTE","🟡 EMBARQUE PENDENTE")))))))))))</f>
        <v/>
      </c>
      <c r="D2064" s="4" t="n"/>
      <c r="E2064" s="5" t="n"/>
      <c r="F2064" s="5" t="n"/>
      <c r="G2064" s="5" t="n"/>
      <c r="H2064" s="5" t="n"/>
      <c r="I2064" s="5" t="n"/>
      <c r="J2064" s="6" t="n"/>
      <c r="K2064" s="6" t="n"/>
      <c r="L2064" s="7">
        <f>IF(OR(D2064="",N(J2064)=0),"",MIN(1,N(K2064)/J2064))</f>
        <v/>
      </c>
      <c r="M2064" s="5" t="n"/>
      <c r="N2064" s="5" t="n"/>
      <c r="O2064" s="5" t="n"/>
      <c r="P2064" s="5" t="n"/>
      <c r="Q2064" s="5" t="n"/>
      <c r="R2064" s="4" t="n"/>
      <c r="S2064" s="4" t="n"/>
      <c r="T2064" s="5" t="n"/>
      <c r="U2064" s="8">
        <f>IF(AND(V2064=1,D2064&lt;&gt;""),IF(D2064&gt;=corte,TODAY()-D2064,""),"")</f>
        <v/>
      </c>
      <c r="V2064" s="8">
        <f>IF(D2064="",0,IF(OR(AND(P2064&lt;&gt;"",S2064=""),AND(N(J2064)&gt;0,N(K2064)&lt;J2064),OR(M2064="PENDENTE",M2064="PARCIAL"),OR(N2064="PENDENTE",N2064="PARCIAL")),1,0))</f>
        <v/>
      </c>
      <c r="W2064" s="8">
        <f>IF(AND(V2064=1,D2064&lt;&gt;""),IF(D2064&gt;=corte,(B2064="CRÍTICO")*1E9+(100000-D2064)*10000+10000-ROW(),""),"")</f>
        <v/>
      </c>
      <c r="X2064" s="8">
        <f>IF(AND(V2064=1,D2064=pas_data,E2064=pas_turno),10000-ROW(),"")</f>
        <v/>
      </c>
    </row>
    <row r="2065">
      <c r="A2065" s="3">
        <f>IF(D2065="","","TT-"&amp;TEXT(ROW()-1,"00000"))</f>
        <v/>
      </c>
      <c r="B2065" s="3">
        <f>IF(D2065="","",IF(V2065=0,"CONCLUÍDO",IF(D2065&lt;corte,"HISTÓRICO",IF(OR(AND(ISNUMBER(R2065),R2065&lt;TODAY()),AND(OR(N2065="PENDENTE",N2065="PARCIAL"),D2065&lt;TODAY()-1)),"CRÍTICO",IF(OR(AND(P2065&lt;&gt;"",S2065=""),AND(N2065="REALIZADO",M2065="PENDENTE"),AND(ISNUMBER(R2065),R2065=TODAY())),"ATENÇÃO",IF(N(K2065)=0,"PENDENTE","EM ANDAMENTO"))))))</f>
        <v/>
      </c>
      <c r="C2065" s="3">
        <f>IF(D2065="","",IF(V2065=0,"🟢 OK",IF(D2065&lt;corte,"⚪ HISTÓRICO (sem baixa)",IF(AND(ISNUMBER(R2065),R2065&lt;TODAY()),"🔴 PRAZO VENCIDO",IF(AND(OR(N2065="PENDENTE",N2065="PARCIAL"),D2065&lt;TODAY()-1),"🔴 EMBARQUE ATRASADO",IF(AND(N2065="REALIZADO",M2065="PENDENTE"),"🟡 EMBARCADO SEM FATURAR",IF(AND(P2065&lt;&gt;"",S2065="",OR(Q2065="",R2065="")),"🟡 PENDÊNCIA SEM RESPONSÁVEL/PRAZO",IF(AND(ISNUMBER(R2065),R2065=TODAY()),"🟡 VENCE HOJE",IF(AND(P2065&lt;&gt;"",S2065=""),"🟡 PENDÊNCIA ABERTA",IF(AND(N(J2065)&gt;0,N(K2065)&lt;J2065),"🟡 FALTA EXECUTAR",IF(OR(M2065="PENDENTE",M2065="PARCIAL"),"🟡 FATURAMENTO PENDENTE","🟡 EMBARQUE PENDENTE")))))))))))</f>
        <v/>
      </c>
      <c r="D2065" s="4" t="n"/>
      <c r="E2065" s="5" t="n"/>
      <c r="F2065" s="5" t="n"/>
      <c r="G2065" s="5" t="n"/>
      <c r="H2065" s="5" t="n"/>
      <c r="I2065" s="5" t="n"/>
      <c r="J2065" s="6" t="n"/>
      <c r="K2065" s="6" t="n"/>
      <c r="L2065" s="7">
        <f>IF(OR(D2065="",N(J2065)=0),"",MIN(1,N(K2065)/J2065))</f>
        <v/>
      </c>
      <c r="M2065" s="5" t="n"/>
      <c r="N2065" s="5" t="n"/>
      <c r="O2065" s="5" t="n"/>
      <c r="P2065" s="5" t="n"/>
      <c r="Q2065" s="5" t="n"/>
      <c r="R2065" s="4" t="n"/>
      <c r="S2065" s="4" t="n"/>
      <c r="T2065" s="5" t="n"/>
      <c r="U2065" s="8">
        <f>IF(AND(V2065=1,D2065&lt;&gt;""),IF(D2065&gt;=corte,TODAY()-D2065,""),"")</f>
        <v/>
      </c>
      <c r="V2065" s="8">
        <f>IF(D2065="",0,IF(OR(AND(P2065&lt;&gt;"",S2065=""),AND(N(J2065)&gt;0,N(K2065)&lt;J2065),OR(M2065="PENDENTE",M2065="PARCIAL"),OR(N2065="PENDENTE",N2065="PARCIAL")),1,0))</f>
        <v/>
      </c>
      <c r="W2065" s="8">
        <f>IF(AND(V2065=1,D2065&lt;&gt;""),IF(D2065&gt;=corte,(B2065="CRÍTICO")*1E9+(100000-D2065)*10000+10000-ROW(),""),"")</f>
        <v/>
      </c>
      <c r="X2065" s="8">
        <f>IF(AND(V2065=1,D2065=pas_data,E2065=pas_turno),10000-ROW(),"")</f>
        <v/>
      </c>
    </row>
    <row r="2066">
      <c r="A2066" s="3">
        <f>IF(D2066="","","TT-"&amp;TEXT(ROW()-1,"00000"))</f>
        <v/>
      </c>
      <c r="B2066" s="3">
        <f>IF(D2066="","",IF(V2066=0,"CONCLUÍDO",IF(D2066&lt;corte,"HISTÓRICO",IF(OR(AND(ISNUMBER(R2066),R2066&lt;TODAY()),AND(OR(N2066="PENDENTE",N2066="PARCIAL"),D2066&lt;TODAY()-1)),"CRÍTICO",IF(OR(AND(P2066&lt;&gt;"",S2066=""),AND(N2066="REALIZADO",M2066="PENDENTE"),AND(ISNUMBER(R2066),R2066=TODAY())),"ATENÇÃO",IF(N(K2066)=0,"PENDENTE","EM ANDAMENTO"))))))</f>
        <v/>
      </c>
      <c r="C2066" s="3">
        <f>IF(D2066="","",IF(V2066=0,"🟢 OK",IF(D2066&lt;corte,"⚪ HISTÓRICO (sem baixa)",IF(AND(ISNUMBER(R2066),R2066&lt;TODAY()),"🔴 PRAZO VENCIDO",IF(AND(OR(N2066="PENDENTE",N2066="PARCIAL"),D2066&lt;TODAY()-1),"🔴 EMBARQUE ATRASADO",IF(AND(N2066="REALIZADO",M2066="PENDENTE"),"🟡 EMBARCADO SEM FATURAR",IF(AND(P2066&lt;&gt;"",S2066="",OR(Q2066="",R2066="")),"🟡 PENDÊNCIA SEM RESPONSÁVEL/PRAZO",IF(AND(ISNUMBER(R2066),R2066=TODAY()),"🟡 VENCE HOJE",IF(AND(P2066&lt;&gt;"",S2066=""),"🟡 PENDÊNCIA ABERTA",IF(AND(N(J2066)&gt;0,N(K2066)&lt;J2066),"🟡 FALTA EXECUTAR",IF(OR(M2066="PENDENTE",M2066="PARCIAL"),"🟡 FATURAMENTO PENDENTE","🟡 EMBARQUE PENDENTE")))))))))))</f>
        <v/>
      </c>
      <c r="D2066" s="4" t="n"/>
      <c r="E2066" s="5" t="n"/>
      <c r="F2066" s="5" t="n"/>
      <c r="G2066" s="5" t="n"/>
      <c r="H2066" s="5" t="n"/>
      <c r="I2066" s="5" t="n"/>
      <c r="J2066" s="6" t="n"/>
      <c r="K2066" s="6" t="n"/>
      <c r="L2066" s="7">
        <f>IF(OR(D2066="",N(J2066)=0),"",MIN(1,N(K2066)/J2066))</f>
        <v/>
      </c>
      <c r="M2066" s="5" t="n"/>
      <c r="N2066" s="5" t="n"/>
      <c r="O2066" s="5" t="n"/>
      <c r="P2066" s="5" t="n"/>
      <c r="Q2066" s="5" t="n"/>
      <c r="R2066" s="4" t="n"/>
      <c r="S2066" s="4" t="n"/>
      <c r="T2066" s="5" t="n"/>
      <c r="U2066" s="8">
        <f>IF(AND(V2066=1,D2066&lt;&gt;""),IF(D2066&gt;=corte,TODAY()-D2066,""),"")</f>
        <v/>
      </c>
      <c r="V2066" s="8">
        <f>IF(D2066="",0,IF(OR(AND(P2066&lt;&gt;"",S2066=""),AND(N(J2066)&gt;0,N(K2066)&lt;J2066),OR(M2066="PENDENTE",M2066="PARCIAL"),OR(N2066="PENDENTE",N2066="PARCIAL")),1,0))</f>
        <v/>
      </c>
      <c r="W2066" s="8">
        <f>IF(AND(V2066=1,D2066&lt;&gt;""),IF(D2066&gt;=corte,(B2066="CRÍTICO")*1E9+(100000-D2066)*10000+10000-ROW(),""),"")</f>
        <v/>
      </c>
      <c r="X2066" s="8">
        <f>IF(AND(V2066=1,D2066=pas_data,E2066=pas_turno),10000-ROW(),"")</f>
        <v/>
      </c>
    </row>
    <row r="2067">
      <c r="A2067" s="3">
        <f>IF(D2067="","","TT-"&amp;TEXT(ROW()-1,"00000"))</f>
        <v/>
      </c>
      <c r="B2067" s="3">
        <f>IF(D2067="","",IF(V2067=0,"CONCLUÍDO",IF(D2067&lt;corte,"HISTÓRICO",IF(OR(AND(ISNUMBER(R2067),R2067&lt;TODAY()),AND(OR(N2067="PENDENTE",N2067="PARCIAL"),D2067&lt;TODAY()-1)),"CRÍTICO",IF(OR(AND(P2067&lt;&gt;"",S2067=""),AND(N2067="REALIZADO",M2067="PENDENTE"),AND(ISNUMBER(R2067),R2067=TODAY())),"ATENÇÃO",IF(N(K2067)=0,"PENDENTE","EM ANDAMENTO"))))))</f>
        <v/>
      </c>
      <c r="C2067" s="3">
        <f>IF(D2067="","",IF(V2067=0,"🟢 OK",IF(D2067&lt;corte,"⚪ HISTÓRICO (sem baixa)",IF(AND(ISNUMBER(R2067),R2067&lt;TODAY()),"🔴 PRAZO VENCIDO",IF(AND(OR(N2067="PENDENTE",N2067="PARCIAL"),D2067&lt;TODAY()-1),"🔴 EMBARQUE ATRASADO",IF(AND(N2067="REALIZADO",M2067="PENDENTE"),"🟡 EMBARCADO SEM FATURAR",IF(AND(P2067&lt;&gt;"",S2067="",OR(Q2067="",R2067="")),"🟡 PENDÊNCIA SEM RESPONSÁVEL/PRAZO",IF(AND(ISNUMBER(R2067),R2067=TODAY()),"🟡 VENCE HOJE",IF(AND(P2067&lt;&gt;"",S2067=""),"🟡 PENDÊNCIA ABERTA",IF(AND(N(J2067)&gt;0,N(K2067)&lt;J2067),"🟡 FALTA EXECUTAR",IF(OR(M2067="PENDENTE",M2067="PARCIAL"),"🟡 FATURAMENTO PENDENTE","🟡 EMBARQUE PENDENTE")))))))))))</f>
        <v/>
      </c>
      <c r="D2067" s="4" t="n"/>
      <c r="E2067" s="5" t="n"/>
      <c r="F2067" s="5" t="n"/>
      <c r="G2067" s="5" t="n"/>
      <c r="H2067" s="5" t="n"/>
      <c r="I2067" s="5" t="n"/>
      <c r="J2067" s="6" t="n"/>
      <c r="K2067" s="6" t="n"/>
      <c r="L2067" s="7">
        <f>IF(OR(D2067="",N(J2067)=0),"",MIN(1,N(K2067)/J2067))</f>
        <v/>
      </c>
      <c r="M2067" s="5" t="n"/>
      <c r="N2067" s="5" t="n"/>
      <c r="O2067" s="5" t="n"/>
      <c r="P2067" s="5" t="n"/>
      <c r="Q2067" s="5" t="n"/>
      <c r="R2067" s="4" t="n"/>
      <c r="S2067" s="4" t="n"/>
      <c r="T2067" s="5" t="n"/>
      <c r="U2067" s="8">
        <f>IF(AND(V2067=1,D2067&lt;&gt;""),IF(D2067&gt;=corte,TODAY()-D2067,""),"")</f>
        <v/>
      </c>
      <c r="V2067" s="8">
        <f>IF(D2067="",0,IF(OR(AND(P2067&lt;&gt;"",S2067=""),AND(N(J2067)&gt;0,N(K2067)&lt;J2067),OR(M2067="PENDENTE",M2067="PARCIAL"),OR(N2067="PENDENTE",N2067="PARCIAL")),1,0))</f>
        <v/>
      </c>
      <c r="W2067" s="8">
        <f>IF(AND(V2067=1,D2067&lt;&gt;""),IF(D2067&gt;=corte,(B2067="CRÍTICO")*1E9+(100000-D2067)*10000+10000-ROW(),""),"")</f>
        <v/>
      </c>
      <c r="X2067" s="8">
        <f>IF(AND(V2067=1,D2067=pas_data,E2067=pas_turno),10000-ROW(),"")</f>
        <v/>
      </c>
    </row>
    <row r="2068">
      <c r="A2068" s="3">
        <f>IF(D2068="","","TT-"&amp;TEXT(ROW()-1,"00000"))</f>
        <v/>
      </c>
      <c r="B2068" s="3">
        <f>IF(D2068="","",IF(V2068=0,"CONCLUÍDO",IF(D2068&lt;corte,"HISTÓRICO",IF(OR(AND(ISNUMBER(R2068),R2068&lt;TODAY()),AND(OR(N2068="PENDENTE",N2068="PARCIAL"),D2068&lt;TODAY()-1)),"CRÍTICO",IF(OR(AND(P2068&lt;&gt;"",S2068=""),AND(N2068="REALIZADO",M2068="PENDENTE"),AND(ISNUMBER(R2068),R2068=TODAY())),"ATENÇÃO",IF(N(K2068)=0,"PENDENTE","EM ANDAMENTO"))))))</f>
        <v/>
      </c>
      <c r="C2068" s="3">
        <f>IF(D2068="","",IF(V2068=0,"🟢 OK",IF(D2068&lt;corte,"⚪ HISTÓRICO (sem baixa)",IF(AND(ISNUMBER(R2068),R2068&lt;TODAY()),"🔴 PRAZO VENCIDO",IF(AND(OR(N2068="PENDENTE",N2068="PARCIAL"),D2068&lt;TODAY()-1),"🔴 EMBARQUE ATRASADO",IF(AND(N2068="REALIZADO",M2068="PENDENTE"),"🟡 EMBARCADO SEM FATURAR",IF(AND(P2068&lt;&gt;"",S2068="",OR(Q2068="",R2068="")),"🟡 PENDÊNCIA SEM RESPONSÁVEL/PRAZO",IF(AND(ISNUMBER(R2068),R2068=TODAY()),"🟡 VENCE HOJE",IF(AND(P2068&lt;&gt;"",S2068=""),"🟡 PENDÊNCIA ABERTA",IF(AND(N(J2068)&gt;0,N(K2068)&lt;J2068),"🟡 FALTA EXECUTAR",IF(OR(M2068="PENDENTE",M2068="PARCIAL"),"🟡 FATURAMENTO PENDENTE","🟡 EMBARQUE PENDENTE")))))))))))</f>
        <v/>
      </c>
      <c r="D2068" s="4" t="n"/>
      <c r="E2068" s="5" t="n"/>
      <c r="F2068" s="5" t="n"/>
      <c r="G2068" s="5" t="n"/>
      <c r="H2068" s="5" t="n"/>
      <c r="I2068" s="5" t="n"/>
      <c r="J2068" s="6" t="n"/>
      <c r="K2068" s="6" t="n"/>
      <c r="L2068" s="7">
        <f>IF(OR(D2068="",N(J2068)=0),"",MIN(1,N(K2068)/J2068))</f>
        <v/>
      </c>
      <c r="M2068" s="5" t="n"/>
      <c r="N2068" s="5" t="n"/>
      <c r="O2068" s="5" t="n"/>
      <c r="P2068" s="5" t="n"/>
      <c r="Q2068" s="5" t="n"/>
      <c r="R2068" s="4" t="n"/>
      <c r="S2068" s="4" t="n"/>
      <c r="T2068" s="5" t="n"/>
      <c r="U2068" s="8">
        <f>IF(AND(V2068=1,D2068&lt;&gt;""),IF(D2068&gt;=corte,TODAY()-D2068,""),"")</f>
        <v/>
      </c>
      <c r="V2068" s="8">
        <f>IF(D2068="",0,IF(OR(AND(P2068&lt;&gt;"",S2068=""),AND(N(J2068)&gt;0,N(K2068)&lt;J2068),OR(M2068="PENDENTE",M2068="PARCIAL"),OR(N2068="PENDENTE",N2068="PARCIAL")),1,0))</f>
        <v/>
      </c>
      <c r="W2068" s="8">
        <f>IF(AND(V2068=1,D2068&lt;&gt;""),IF(D2068&gt;=corte,(B2068="CRÍTICO")*1E9+(100000-D2068)*10000+10000-ROW(),""),"")</f>
        <v/>
      </c>
      <c r="X2068" s="8">
        <f>IF(AND(V2068=1,D2068=pas_data,E2068=pas_turno),10000-ROW(),"")</f>
        <v/>
      </c>
    </row>
    <row r="2069">
      <c r="A2069" s="3">
        <f>IF(D2069="","","TT-"&amp;TEXT(ROW()-1,"00000"))</f>
        <v/>
      </c>
      <c r="B2069" s="3">
        <f>IF(D2069="","",IF(V2069=0,"CONCLUÍDO",IF(D2069&lt;corte,"HISTÓRICO",IF(OR(AND(ISNUMBER(R2069),R2069&lt;TODAY()),AND(OR(N2069="PENDENTE",N2069="PARCIAL"),D2069&lt;TODAY()-1)),"CRÍTICO",IF(OR(AND(P2069&lt;&gt;"",S2069=""),AND(N2069="REALIZADO",M2069="PENDENTE"),AND(ISNUMBER(R2069),R2069=TODAY())),"ATENÇÃO",IF(N(K2069)=0,"PENDENTE","EM ANDAMENTO"))))))</f>
        <v/>
      </c>
      <c r="C2069" s="3">
        <f>IF(D2069="","",IF(V2069=0,"🟢 OK",IF(D2069&lt;corte,"⚪ HISTÓRICO (sem baixa)",IF(AND(ISNUMBER(R2069),R2069&lt;TODAY()),"🔴 PRAZO VENCIDO",IF(AND(OR(N2069="PENDENTE",N2069="PARCIAL"),D2069&lt;TODAY()-1),"🔴 EMBARQUE ATRASADO",IF(AND(N2069="REALIZADO",M2069="PENDENTE"),"🟡 EMBARCADO SEM FATURAR",IF(AND(P2069&lt;&gt;"",S2069="",OR(Q2069="",R2069="")),"🟡 PENDÊNCIA SEM RESPONSÁVEL/PRAZO",IF(AND(ISNUMBER(R2069),R2069=TODAY()),"🟡 VENCE HOJE",IF(AND(P2069&lt;&gt;"",S2069=""),"🟡 PENDÊNCIA ABERTA",IF(AND(N(J2069)&gt;0,N(K2069)&lt;J2069),"🟡 FALTA EXECUTAR",IF(OR(M2069="PENDENTE",M2069="PARCIAL"),"🟡 FATURAMENTO PENDENTE","🟡 EMBARQUE PENDENTE")))))))))))</f>
        <v/>
      </c>
      <c r="D2069" s="4" t="n"/>
      <c r="E2069" s="5" t="n"/>
      <c r="F2069" s="5" t="n"/>
      <c r="G2069" s="5" t="n"/>
      <c r="H2069" s="5" t="n"/>
      <c r="I2069" s="5" t="n"/>
      <c r="J2069" s="6" t="n"/>
      <c r="K2069" s="6" t="n"/>
      <c r="L2069" s="7">
        <f>IF(OR(D2069="",N(J2069)=0),"",MIN(1,N(K2069)/J2069))</f>
        <v/>
      </c>
      <c r="M2069" s="5" t="n"/>
      <c r="N2069" s="5" t="n"/>
      <c r="O2069" s="5" t="n"/>
      <c r="P2069" s="5" t="n"/>
      <c r="Q2069" s="5" t="n"/>
      <c r="R2069" s="4" t="n"/>
      <c r="S2069" s="4" t="n"/>
      <c r="T2069" s="5" t="n"/>
      <c r="U2069" s="8">
        <f>IF(AND(V2069=1,D2069&lt;&gt;""),IF(D2069&gt;=corte,TODAY()-D2069,""),"")</f>
        <v/>
      </c>
      <c r="V2069" s="8">
        <f>IF(D2069="",0,IF(OR(AND(P2069&lt;&gt;"",S2069=""),AND(N(J2069)&gt;0,N(K2069)&lt;J2069),OR(M2069="PENDENTE",M2069="PARCIAL"),OR(N2069="PENDENTE",N2069="PARCIAL")),1,0))</f>
        <v/>
      </c>
      <c r="W2069" s="8">
        <f>IF(AND(V2069=1,D2069&lt;&gt;""),IF(D2069&gt;=corte,(B2069="CRÍTICO")*1E9+(100000-D2069)*10000+10000-ROW(),""),"")</f>
        <v/>
      </c>
      <c r="X2069" s="8">
        <f>IF(AND(V2069=1,D2069=pas_data,E2069=pas_turno),10000-ROW(),"")</f>
        <v/>
      </c>
    </row>
    <row r="2070">
      <c r="A2070" s="3">
        <f>IF(D2070="","","TT-"&amp;TEXT(ROW()-1,"00000"))</f>
        <v/>
      </c>
      <c r="B2070" s="3">
        <f>IF(D2070="","",IF(V2070=0,"CONCLUÍDO",IF(D2070&lt;corte,"HISTÓRICO",IF(OR(AND(ISNUMBER(R2070),R2070&lt;TODAY()),AND(OR(N2070="PENDENTE",N2070="PARCIAL"),D2070&lt;TODAY()-1)),"CRÍTICO",IF(OR(AND(P2070&lt;&gt;"",S2070=""),AND(N2070="REALIZADO",M2070="PENDENTE"),AND(ISNUMBER(R2070),R2070=TODAY())),"ATENÇÃO",IF(N(K2070)=0,"PENDENTE","EM ANDAMENTO"))))))</f>
        <v/>
      </c>
      <c r="C2070" s="3">
        <f>IF(D2070="","",IF(V2070=0,"🟢 OK",IF(D2070&lt;corte,"⚪ HISTÓRICO (sem baixa)",IF(AND(ISNUMBER(R2070),R2070&lt;TODAY()),"🔴 PRAZO VENCIDO",IF(AND(OR(N2070="PENDENTE",N2070="PARCIAL"),D2070&lt;TODAY()-1),"🔴 EMBARQUE ATRASADO",IF(AND(N2070="REALIZADO",M2070="PENDENTE"),"🟡 EMBARCADO SEM FATURAR",IF(AND(P2070&lt;&gt;"",S2070="",OR(Q2070="",R2070="")),"🟡 PENDÊNCIA SEM RESPONSÁVEL/PRAZO",IF(AND(ISNUMBER(R2070),R2070=TODAY()),"🟡 VENCE HOJE",IF(AND(P2070&lt;&gt;"",S2070=""),"🟡 PENDÊNCIA ABERTA",IF(AND(N(J2070)&gt;0,N(K2070)&lt;J2070),"🟡 FALTA EXECUTAR",IF(OR(M2070="PENDENTE",M2070="PARCIAL"),"🟡 FATURAMENTO PENDENTE","🟡 EMBARQUE PENDENTE")))))))))))</f>
        <v/>
      </c>
      <c r="D2070" s="4" t="n"/>
      <c r="E2070" s="5" t="n"/>
      <c r="F2070" s="5" t="n"/>
      <c r="G2070" s="5" t="n"/>
      <c r="H2070" s="5" t="n"/>
      <c r="I2070" s="5" t="n"/>
      <c r="J2070" s="6" t="n"/>
      <c r="K2070" s="6" t="n"/>
      <c r="L2070" s="7">
        <f>IF(OR(D2070="",N(J2070)=0),"",MIN(1,N(K2070)/J2070))</f>
        <v/>
      </c>
      <c r="M2070" s="5" t="n"/>
      <c r="N2070" s="5" t="n"/>
      <c r="O2070" s="5" t="n"/>
      <c r="P2070" s="5" t="n"/>
      <c r="Q2070" s="5" t="n"/>
      <c r="R2070" s="4" t="n"/>
      <c r="S2070" s="4" t="n"/>
      <c r="T2070" s="5" t="n"/>
      <c r="U2070" s="8">
        <f>IF(AND(V2070=1,D2070&lt;&gt;""),IF(D2070&gt;=corte,TODAY()-D2070,""),"")</f>
        <v/>
      </c>
      <c r="V2070" s="8">
        <f>IF(D2070="",0,IF(OR(AND(P2070&lt;&gt;"",S2070=""),AND(N(J2070)&gt;0,N(K2070)&lt;J2070),OR(M2070="PENDENTE",M2070="PARCIAL"),OR(N2070="PENDENTE",N2070="PARCIAL")),1,0))</f>
        <v/>
      </c>
      <c r="W2070" s="8">
        <f>IF(AND(V2070=1,D2070&lt;&gt;""),IF(D2070&gt;=corte,(B2070="CRÍTICO")*1E9+(100000-D2070)*10000+10000-ROW(),""),"")</f>
        <v/>
      </c>
      <c r="X2070" s="8">
        <f>IF(AND(V2070=1,D2070=pas_data,E2070=pas_turno),10000-ROW(),"")</f>
        <v/>
      </c>
    </row>
    <row r="2071">
      <c r="A2071" s="3">
        <f>IF(D2071="","","TT-"&amp;TEXT(ROW()-1,"00000"))</f>
        <v/>
      </c>
      <c r="B2071" s="3">
        <f>IF(D2071="","",IF(V2071=0,"CONCLUÍDO",IF(D2071&lt;corte,"HISTÓRICO",IF(OR(AND(ISNUMBER(R2071),R2071&lt;TODAY()),AND(OR(N2071="PENDENTE",N2071="PARCIAL"),D2071&lt;TODAY()-1)),"CRÍTICO",IF(OR(AND(P2071&lt;&gt;"",S2071=""),AND(N2071="REALIZADO",M2071="PENDENTE"),AND(ISNUMBER(R2071),R2071=TODAY())),"ATENÇÃO",IF(N(K2071)=0,"PENDENTE","EM ANDAMENTO"))))))</f>
        <v/>
      </c>
      <c r="C2071" s="3">
        <f>IF(D2071="","",IF(V2071=0,"🟢 OK",IF(D2071&lt;corte,"⚪ HISTÓRICO (sem baixa)",IF(AND(ISNUMBER(R2071),R2071&lt;TODAY()),"🔴 PRAZO VENCIDO",IF(AND(OR(N2071="PENDENTE",N2071="PARCIAL"),D2071&lt;TODAY()-1),"🔴 EMBARQUE ATRASADO",IF(AND(N2071="REALIZADO",M2071="PENDENTE"),"🟡 EMBARCADO SEM FATURAR",IF(AND(P2071&lt;&gt;"",S2071="",OR(Q2071="",R2071="")),"🟡 PENDÊNCIA SEM RESPONSÁVEL/PRAZO",IF(AND(ISNUMBER(R2071),R2071=TODAY()),"🟡 VENCE HOJE",IF(AND(P2071&lt;&gt;"",S2071=""),"🟡 PENDÊNCIA ABERTA",IF(AND(N(J2071)&gt;0,N(K2071)&lt;J2071),"🟡 FALTA EXECUTAR",IF(OR(M2071="PENDENTE",M2071="PARCIAL"),"🟡 FATURAMENTO PENDENTE","🟡 EMBARQUE PENDENTE")))))))))))</f>
        <v/>
      </c>
      <c r="D2071" s="4" t="n"/>
      <c r="E2071" s="5" t="n"/>
      <c r="F2071" s="5" t="n"/>
      <c r="G2071" s="5" t="n"/>
      <c r="H2071" s="5" t="n"/>
      <c r="I2071" s="5" t="n"/>
      <c r="J2071" s="6" t="n"/>
      <c r="K2071" s="6" t="n"/>
      <c r="L2071" s="7">
        <f>IF(OR(D2071="",N(J2071)=0),"",MIN(1,N(K2071)/J2071))</f>
        <v/>
      </c>
      <c r="M2071" s="5" t="n"/>
      <c r="N2071" s="5" t="n"/>
      <c r="O2071" s="5" t="n"/>
      <c r="P2071" s="5" t="n"/>
      <c r="Q2071" s="5" t="n"/>
      <c r="R2071" s="4" t="n"/>
      <c r="S2071" s="4" t="n"/>
      <c r="T2071" s="5" t="n"/>
      <c r="U2071" s="8">
        <f>IF(AND(V2071=1,D2071&lt;&gt;""),IF(D2071&gt;=corte,TODAY()-D2071,""),"")</f>
        <v/>
      </c>
      <c r="V2071" s="8">
        <f>IF(D2071="",0,IF(OR(AND(P2071&lt;&gt;"",S2071=""),AND(N(J2071)&gt;0,N(K2071)&lt;J2071),OR(M2071="PENDENTE",M2071="PARCIAL"),OR(N2071="PENDENTE",N2071="PARCIAL")),1,0))</f>
        <v/>
      </c>
      <c r="W2071" s="8">
        <f>IF(AND(V2071=1,D2071&lt;&gt;""),IF(D2071&gt;=corte,(B2071="CRÍTICO")*1E9+(100000-D2071)*10000+10000-ROW(),""),"")</f>
        <v/>
      </c>
      <c r="X2071" s="8">
        <f>IF(AND(V2071=1,D2071=pas_data,E2071=pas_turno),10000-ROW(),"")</f>
        <v/>
      </c>
    </row>
    <row r="2072">
      <c r="A2072" s="3">
        <f>IF(D2072="","","TT-"&amp;TEXT(ROW()-1,"00000"))</f>
        <v/>
      </c>
      <c r="B2072" s="3">
        <f>IF(D2072="","",IF(V2072=0,"CONCLUÍDO",IF(D2072&lt;corte,"HISTÓRICO",IF(OR(AND(ISNUMBER(R2072),R2072&lt;TODAY()),AND(OR(N2072="PENDENTE",N2072="PARCIAL"),D2072&lt;TODAY()-1)),"CRÍTICO",IF(OR(AND(P2072&lt;&gt;"",S2072=""),AND(N2072="REALIZADO",M2072="PENDENTE"),AND(ISNUMBER(R2072),R2072=TODAY())),"ATENÇÃO",IF(N(K2072)=0,"PENDENTE","EM ANDAMENTO"))))))</f>
        <v/>
      </c>
      <c r="C2072" s="3">
        <f>IF(D2072="","",IF(V2072=0,"🟢 OK",IF(D2072&lt;corte,"⚪ HISTÓRICO (sem baixa)",IF(AND(ISNUMBER(R2072),R2072&lt;TODAY()),"🔴 PRAZO VENCIDO",IF(AND(OR(N2072="PENDENTE",N2072="PARCIAL"),D2072&lt;TODAY()-1),"🔴 EMBARQUE ATRASADO",IF(AND(N2072="REALIZADO",M2072="PENDENTE"),"🟡 EMBARCADO SEM FATURAR",IF(AND(P2072&lt;&gt;"",S2072="",OR(Q2072="",R2072="")),"🟡 PENDÊNCIA SEM RESPONSÁVEL/PRAZO",IF(AND(ISNUMBER(R2072),R2072=TODAY()),"🟡 VENCE HOJE",IF(AND(P2072&lt;&gt;"",S2072=""),"🟡 PENDÊNCIA ABERTA",IF(AND(N(J2072)&gt;0,N(K2072)&lt;J2072),"🟡 FALTA EXECUTAR",IF(OR(M2072="PENDENTE",M2072="PARCIAL"),"🟡 FATURAMENTO PENDENTE","🟡 EMBARQUE PENDENTE")))))))))))</f>
        <v/>
      </c>
      <c r="D2072" s="4" t="n"/>
      <c r="E2072" s="5" t="n"/>
      <c r="F2072" s="5" t="n"/>
      <c r="G2072" s="5" t="n"/>
      <c r="H2072" s="5" t="n"/>
      <c r="I2072" s="5" t="n"/>
      <c r="J2072" s="6" t="n"/>
      <c r="K2072" s="6" t="n"/>
      <c r="L2072" s="7">
        <f>IF(OR(D2072="",N(J2072)=0),"",MIN(1,N(K2072)/J2072))</f>
        <v/>
      </c>
      <c r="M2072" s="5" t="n"/>
      <c r="N2072" s="5" t="n"/>
      <c r="O2072" s="5" t="n"/>
      <c r="P2072" s="5" t="n"/>
      <c r="Q2072" s="5" t="n"/>
      <c r="R2072" s="4" t="n"/>
      <c r="S2072" s="4" t="n"/>
      <c r="T2072" s="5" t="n"/>
      <c r="U2072" s="8">
        <f>IF(AND(V2072=1,D2072&lt;&gt;""),IF(D2072&gt;=corte,TODAY()-D2072,""),"")</f>
        <v/>
      </c>
      <c r="V2072" s="8">
        <f>IF(D2072="",0,IF(OR(AND(P2072&lt;&gt;"",S2072=""),AND(N(J2072)&gt;0,N(K2072)&lt;J2072),OR(M2072="PENDENTE",M2072="PARCIAL"),OR(N2072="PENDENTE",N2072="PARCIAL")),1,0))</f>
        <v/>
      </c>
      <c r="W2072" s="8">
        <f>IF(AND(V2072=1,D2072&lt;&gt;""),IF(D2072&gt;=corte,(B2072="CRÍTICO")*1E9+(100000-D2072)*10000+10000-ROW(),""),"")</f>
        <v/>
      </c>
      <c r="X2072" s="8">
        <f>IF(AND(V2072=1,D2072=pas_data,E2072=pas_turno),10000-ROW(),"")</f>
        <v/>
      </c>
    </row>
    <row r="2073">
      <c r="A2073" s="3">
        <f>IF(D2073="","","TT-"&amp;TEXT(ROW()-1,"00000"))</f>
        <v/>
      </c>
      <c r="B2073" s="3">
        <f>IF(D2073="","",IF(V2073=0,"CONCLUÍDO",IF(D2073&lt;corte,"HISTÓRICO",IF(OR(AND(ISNUMBER(R2073),R2073&lt;TODAY()),AND(OR(N2073="PENDENTE",N2073="PARCIAL"),D2073&lt;TODAY()-1)),"CRÍTICO",IF(OR(AND(P2073&lt;&gt;"",S2073=""),AND(N2073="REALIZADO",M2073="PENDENTE"),AND(ISNUMBER(R2073),R2073=TODAY())),"ATENÇÃO",IF(N(K2073)=0,"PENDENTE","EM ANDAMENTO"))))))</f>
        <v/>
      </c>
      <c r="C2073" s="3">
        <f>IF(D2073="","",IF(V2073=0,"🟢 OK",IF(D2073&lt;corte,"⚪ HISTÓRICO (sem baixa)",IF(AND(ISNUMBER(R2073),R2073&lt;TODAY()),"🔴 PRAZO VENCIDO",IF(AND(OR(N2073="PENDENTE",N2073="PARCIAL"),D2073&lt;TODAY()-1),"🔴 EMBARQUE ATRASADO",IF(AND(N2073="REALIZADO",M2073="PENDENTE"),"🟡 EMBARCADO SEM FATURAR",IF(AND(P2073&lt;&gt;"",S2073="",OR(Q2073="",R2073="")),"🟡 PENDÊNCIA SEM RESPONSÁVEL/PRAZO",IF(AND(ISNUMBER(R2073),R2073=TODAY()),"🟡 VENCE HOJE",IF(AND(P2073&lt;&gt;"",S2073=""),"🟡 PENDÊNCIA ABERTA",IF(AND(N(J2073)&gt;0,N(K2073)&lt;J2073),"🟡 FALTA EXECUTAR",IF(OR(M2073="PENDENTE",M2073="PARCIAL"),"🟡 FATURAMENTO PENDENTE","🟡 EMBARQUE PENDENTE")))))))))))</f>
        <v/>
      </c>
      <c r="D2073" s="4" t="n"/>
      <c r="E2073" s="5" t="n"/>
      <c r="F2073" s="5" t="n"/>
      <c r="G2073" s="5" t="n"/>
      <c r="H2073" s="5" t="n"/>
      <c r="I2073" s="5" t="n"/>
      <c r="J2073" s="6" t="n"/>
      <c r="K2073" s="6" t="n"/>
      <c r="L2073" s="7">
        <f>IF(OR(D2073="",N(J2073)=0),"",MIN(1,N(K2073)/J2073))</f>
        <v/>
      </c>
      <c r="M2073" s="5" t="n"/>
      <c r="N2073" s="5" t="n"/>
      <c r="O2073" s="5" t="n"/>
      <c r="P2073" s="5" t="n"/>
      <c r="Q2073" s="5" t="n"/>
      <c r="R2073" s="4" t="n"/>
      <c r="S2073" s="4" t="n"/>
      <c r="T2073" s="5" t="n"/>
      <c r="U2073" s="8">
        <f>IF(AND(V2073=1,D2073&lt;&gt;""),IF(D2073&gt;=corte,TODAY()-D2073,""),"")</f>
        <v/>
      </c>
      <c r="V2073" s="8">
        <f>IF(D2073="",0,IF(OR(AND(P2073&lt;&gt;"",S2073=""),AND(N(J2073)&gt;0,N(K2073)&lt;J2073),OR(M2073="PENDENTE",M2073="PARCIAL"),OR(N2073="PENDENTE",N2073="PARCIAL")),1,0))</f>
        <v/>
      </c>
      <c r="W2073" s="8">
        <f>IF(AND(V2073=1,D2073&lt;&gt;""),IF(D2073&gt;=corte,(B2073="CRÍTICO")*1E9+(100000-D2073)*10000+10000-ROW(),""),"")</f>
        <v/>
      </c>
      <c r="X2073" s="8">
        <f>IF(AND(V2073=1,D2073=pas_data,E2073=pas_turno),10000-ROW(),"")</f>
        <v/>
      </c>
    </row>
    <row r="2074">
      <c r="A2074" s="3">
        <f>IF(D2074="","","TT-"&amp;TEXT(ROW()-1,"00000"))</f>
        <v/>
      </c>
      <c r="B2074" s="3">
        <f>IF(D2074="","",IF(V2074=0,"CONCLUÍDO",IF(D2074&lt;corte,"HISTÓRICO",IF(OR(AND(ISNUMBER(R2074),R2074&lt;TODAY()),AND(OR(N2074="PENDENTE",N2074="PARCIAL"),D2074&lt;TODAY()-1)),"CRÍTICO",IF(OR(AND(P2074&lt;&gt;"",S2074=""),AND(N2074="REALIZADO",M2074="PENDENTE"),AND(ISNUMBER(R2074),R2074=TODAY())),"ATENÇÃO",IF(N(K2074)=0,"PENDENTE","EM ANDAMENTO"))))))</f>
        <v/>
      </c>
      <c r="C2074" s="3">
        <f>IF(D2074="","",IF(V2074=0,"🟢 OK",IF(D2074&lt;corte,"⚪ HISTÓRICO (sem baixa)",IF(AND(ISNUMBER(R2074),R2074&lt;TODAY()),"🔴 PRAZO VENCIDO",IF(AND(OR(N2074="PENDENTE",N2074="PARCIAL"),D2074&lt;TODAY()-1),"🔴 EMBARQUE ATRASADO",IF(AND(N2074="REALIZADO",M2074="PENDENTE"),"🟡 EMBARCADO SEM FATURAR",IF(AND(P2074&lt;&gt;"",S2074="",OR(Q2074="",R2074="")),"🟡 PENDÊNCIA SEM RESPONSÁVEL/PRAZO",IF(AND(ISNUMBER(R2074),R2074=TODAY()),"🟡 VENCE HOJE",IF(AND(P2074&lt;&gt;"",S2074=""),"🟡 PENDÊNCIA ABERTA",IF(AND(N(J2074)&gt;0,N(K2074)&lt;J2074),"🟡 FALTA EXECUTAR",IF(OR(M2074="PENDENTE",M2074="PARCIAL"),"🟡 FATURAMENTO PENDENTE","🟡 EMBARQUE PENDENTE")))))))))))</f>
        <v/>
      </c>
      <c r="D2074" s="4" t="n"/>
      <c r="E2074" s="5" t="n"/>
      <c r="F2074" s="5" t="n"/>
      <c r="G2074" s="5" t="n"/>
      <c r="H2074" s="5" t="n"/>
      <c r="I2074" s="5" t="n"/>
      <c r="J2074" s="6" t="n"/>
      <c r="K2074" s="6" t="n"/>
      <c r="L2074" s="7">
        <f>IF(OR(D2074="",N(J2074)=0),"",MIN(1,N(K2074)/J2074))</f>
        <v/>
      </c>
      <c r="M2074" s="5" t="n"/>
      <c r="N2074" s="5" t="n"/>
      <c r="O2074" s="5" t="n"/>
      <c r="P2074" s="5" t="n"/>
      <c r="Q2074" s="5" t="n"/>
      <c r="R2074" s="4" t="n"/>
      <c r="S2074" s="4" t="n"/>
      <c r="T2074" s="5" t="n"/>
      <c r="U2074" s="8">
        <f>IF(AND(V2074=1,D2074&lt;&gt;""),IF(D2074&gt;=corte,TODAY()-D2074,""),"")</f>
        <v/>
      </c>
      <c r="V2074" s="8">
        <f>IF(D2074="",0,IF(OR(AND(P2074&lt;&gt;"",S2074=""),AND(N(J2074)&gt;0,N(K2074)&lt;J2074),OR(M2074="PENDENTE",M2074="PARCIAL"),OR(N2074="PENDENTE",N2074="PARCIAL")),1,0))</f>
        <v/>
      </c>
      <c r="W2074" s="8">
        <f>IF(AND(V2074=1,D2074&lt;&gt;""),IF(D2074&gt;=corte,(B2074="CRÍTICO")*1E9+(100000-D2074)*10000+10000-ROW(),""),"")</f>
        <v/>
      </c>
      <c r="X2074" s="8">
        <f>IF(AND(V2074=1,D2074=pas_data,E2074=pas_turno),10000-ROW(),"")</f>
        <v/>
      </c>
    </row>
    <row r="2075">
      <c r="A2075" s="3">
        <f>IF(D2075="","","TT-"&amp;TEXT(ROW()-1,"00000"))</f>
        <v/>
      </c>
      <c r="B2075" s="3">
        <f>IF(D2075="","",IF(V2075=0,"CONCLUÍDO",IF(D2075&lt;corte,"HISTÓRICO",IF(OR(AND(ISNUMBER(R2075),R2075&lt;TODAY()),AND(OR(N2075="PENDENTE",N2075="PARCIAL"),D2075&lt;TODAY()-1)),"CRÍTICO",IF(OR(AND(P2075&lt;&gt;"",S2075=""),AND(N2075="REALIZADO",M2075="PENDENTE"),AND(ISNUMBER(R2075),R2075=TODAY())),"ATENÇÃO",IF(N(K2075)=0,"PENDENTE","EM ANDAMENTO"))))))</f>
        <v/>
      </c>
      <c r="C2075" s="3">
        <f>IF(D2075="","",IF(V2075=0,"🟢 OK",IF(D2075&lt;corte,"⚪ HISTÓRICO (sem baixa)",IF(AND(ISNUMBER(R2075),R2075&lt;TODAY()),"🔴 PRAZO VENCIDO",IF(AND(OR(N2075="PENDENTE",N2075="PARCIAL"),D2075&lt;TODAY()-1),"🔴 EMBARQUE ATRASADO",IF(AND(N2075="REALIZADO",M2075="PENDENTE"),"🟡 EMBARCADO SEM FATURAR",IF(AND(P2075&lt;&gt;"",S2075="",OR(Q2075="",R2075="")),"🟡 PENDÊNCIA SEM RESPONSÁVEL/PRAZO",IF(AND(ISNUMBER(R2075),R2075=TODAY()),"🟡 VENCE HOJE",IF(AND(P2075&lt;&gt;"",S2075=""),"🟡 PENDÊNCIA ABERTA",IF(AND(N(J2075)&gt;0,N(K2075)&lt;J2075),"🟡 FALTA EXECUTAR",IF(OR(M2075="PENDENTE",M2075="PARCIAL"),"🟡 FATURAMENTO PENDENTE","🟡 EMBARQUE PENDENTE")))))))))))</f>
        <v/>
      </c>
      <c r="D2075" s="4" t="n"/>
      <c r="E2075" s="5" t="n"/>
      <c r="F2075" s="5" t="n"/>
      <c r="G2075" s="5" t="n"/>
      <c r="H2075" s="5" t="n"/>
      <c r="I2075" s="5" t="n"/>
      <c r="J2075" s="6" t="n"/>
      <c r="K2075" s="6" t="n"/>
      <c r="L2075" s="7">
        <f>IF(OR(D2075="",N(J2075)=0),"",MIN(1,N(K2075)/J2075))</f>
        <v/>
      </c>
      <c r="M2075" s="5" t="n"/>
      <c r="N2075" s="5" t="n"/>
      <c r="O2075" s="5" t="n"/>
      <c r="P2075" s="5" t="n"/>
      <c r="Q2075" s="5" t="n"/>
      <c r="R2075" s="4" t="n"/>
      <c r="S2075" s="4" t="n"/>
      <c r="T2075" s="5" t="n"/>
      <c r="U2075" s="8">
        <f>IF(AND(V2075=1,D2075&lt;&gt;""),IF(D2075&gt;=corte,TODAY()-D2075,""),"")</f>
        <v/>
      </c>
      <c r="V2075" s="8">
        <f>IF(D2075="",0,IF(OR(AND(P2075&lt;&gt;"",S2075=""),AND(N(J2075)&gt;0,N(K2075)&lt;J2075),OR(M2075="PENDENTE",M2075="PARCIAL"),OR(N2075="PENDENTE",N2075="PARCIAL")),1,0))</f>
        <v/>
      </c>
      <c r="W2075" s="8">
        <f>IF(AND(V2075=1,D2075&lt;&gt;""),IF(D2075&gt;=corte,(B2075="CRÍTICO")*1E9+(100000-D2075)*10000+10000-ROW(),""),"")</f>
        <v/>
      </c>
      <c r="X2075" s="8">
        <f>IF(AND(V2075=1,D2075=pas_data,E2075=pas_turno),10000-ROW(),"")</f>
        <v/>
      </c>
    </row>
    <row r="2076">
      <c r="A2076" s="3">
        <f>IF(D2076="","","TT-"&amp;TEXT(ROW()-1,"00000"))</f>
        <v/>
      </c>
      <c r="B2076" s="3">
        <f>IF(D2076="","",IF(V2076=0,"CONCLUÍDO",IF(D2076&lt;corte,"HISTÓRICO",IF(OR(AND(ISNUMBER(R2076),R2076&lt;TODAY()),AND(OR(N2076="PENDENTE",N2076="PARCIAL"),D2076&lt;TODAY()-1)),"CRÍTICO",IF(OR(AND(P2076&lt;&gt;"",S2076=""),AND(N2076="REALIZADO",M2076="PENDENTE"),AND(ISNUMBER(R2076),R2076=TODAY())),"ATENÇÃO",IF(N(K2076)=0,"PENDENTE","EM ANDAMENTO"))))))</f>
        <v/>
      </c>
      <c r="C2076" s="3">
        <f>IF(D2076="","",IF(V2076=0,"🟢 OK",IF(D2076&lt;corte,"⚪ HISTÓRICO (sem baixa)",IF(AND(ISNUMBER(R2076),R2076&lt;TODAY()),"🔴 PRAZO VENCIDO",IF(AND(OR(N2076="PENDENTE",N2076="PARCIAL"),D2076&lt;TODAY()-1),"🔴 EMBARQUE ATRASADO",IF(AND(N2076="REALIZADO",M2076="PENDENTE"),"🟡 EMBARCADO SEM FATURAR",IF(AND(P2076&lt;&gt;"",S2076="",OR(Q2076="",R2076="")),"🟡 PENDÊNCIA SEM RESPONSÁVEL/PRAZO",IF(AND(ISNUMBER(R2076),R2076=TODAY()),"🟡 VENCE HOJE",IF(AND(P2076&lt;&gt;"",S2076=""),"🟡 PENDÊNCIA ABERTA",IF(AND(N(J2076)&gt;0,N(K2076)&lt;J2076),"🟡 FALTA EXECUTAR",IF(OR(M2076="PENDENTE",M2076="PARCIAL"),"🟡 FATURAMENTO PENDENTE","🟡 EMBARQUE PENDENTE")))))))))))</f>
        <v/>
      </c>
      <c r="D2076" s="4" t="n"/>
      <c r="E2076" s="5" t="n"/>
      <c r="F2076" s="5" t="n"/>
      <c r="G2076" s="5" t="n"/>
      <c r="H2076" s="5" t="n"/>
      <c r="I2076" s="5" t="n"/>
      <c r="J2076" s="6" t="n"/>
      <c r="K2076" s="6" t="n"/>
      <c r="L2076" s="7">
        <f>IF(OR(D2076="",N(J2076)=0),"",MIN(1,N(K2076)/J2076))</f>
        <v/>
      </c>
      <c r="M2076" s="5" t="n"/>
      <c r="N2076" s="5" t="n"/>
      <c r="O2076" s="5" t="n"/>
      <c r="P2076" s="5" t="n"/>
      <c r="Q2076" s="5" t="n"/>
      <c r="R2076" s="4" t="n"/>
      <c r="S2076" s="4" t="n"/>
      <c r="T2076" s="5" t="n"/>
      <c r="U2076" s="8">
        <f>IF(AND(V2076=1,D2076&lt;&gt;""),IF(D2076&gt;=corte,TODAY()-D2076,""),"")</f>
        <v/>
      </c>
      <c r="V2076" s="8">
        <f>IF(D2076="",0,IF(OR(AND(P2076&lt;&gt;"",S2076=""),AND(N(J2076)&gt;0,N(K2076)&lt;J2076),OR(M2076="PENDENTE",M2076="PARCIAL"),OR(N2076="PENDENTE",N2076="PARCIAL")),1,0))</f>
        <v/>
      </c>
      <c r="W2076" s="8">
        <f>IF(AND(V2076=1,D2076&lt;&gt;""),IF(D2076&gt;=corte,(B2076="CRÍTICO")*1E9+(100000-D2076)*10000+10000-ROW(),""),"")</f>
        <v/>
      </c>
      <c r="X2076" s="8">
        <f>IF(AND(V2076=1,D2076=pas_data,E2076=pas_turno),10000-ROW(),"")</f>
        <v/>
      </c>
    </row>
    <row r="2077">
      <c r="A2077" s="3">
        <f>IF(D2077="","","TT-"&amp;TEXT(ROW()-1,"00000"))</f>
        <v/>
      </c>
      <c r="B2077" s="3">
        <f>IF(D2077="","",IF(V2077=0,"CONCLUÍDO",IF(D2077&lt;corte,"HISTÓRICO",IF(OR(AND(ISNUMBER(R2077),R2077&lt;TODAY()),AND(OR(N2077="PENDENTE",N2077="PARCIAL"),D2077&lt;TODAY()-1)),"CRÍTICO",IF(OR(AND(P2077&lt;&gt;"",S2077=""),AND(N2077="REALIZADO",M2077="PENDENTE"),AND(ISNUMBER(R2077),R2077=TODAY())),"ATENÇÃO",IF(N(K2077)=0,"PENDENTE","EM ANDAMENTO"))))))</f>
        <v/>
      </c>
      <c r="C2077" s="3">
        <f>IF(D2077="","",IF(V2077=0,"🟢 OK",IF(D2077&lt;corte,"⚪ HISTÓRICO (sem baixa)",IF(AND(ISNUMBER(R2077),R2077&lt;TODAY()),"🔴 PRAZO VENCIDO",IF(AND(OR(N2077="PENDENTE",N2077="PARCIAL"),D2077&lt;TODAY()-1),"🔴 EMBARQUE ATRASADO",IF(AND(N2077="REALIZADO",M2077="PENDENTE"),"🟡 EMBARCADO SEM FATURAR",IF(AND(P2077&lt;&gt;"",S2077="",OR(Q2077="",R2077="")),"🟡 PENDÊNCIA SEM RESPONSÁVEL/PRAZO",IF(AND(ISNUMBER(R2077),R2077=TODAY()),"🟡 VENCE HOJE",IF(AND(P2077&lt;&gt;"",S2077=""),"🟡 PENDÊNCIA ABERTA",IF(AND(N(J2077)&gt;0,N(K2077)&lt;J2077),"🟡 FALTA EXECUTAR",IF(OR(M2077="PENDENTE",M2077="PARCIAL"),"🟡 FATURAMENTO PENDENTE","🟡 EMBARQUE PENDENTE")))))))))))</f>
        <v/>
      </c>
      <c r="D2077" s="4" t="n"/>
      <c r="E2077" s="5" t="n"/>
      <c r="F2077" s="5" t="n"/>
      <c r="G2077" s="5" t="n"/>
      <c r="H2077" s="5" t="n"/>
      <c r="I2077" s="5" t="n"/>
      <c r="J2077" s="6" t="n"/>
      <c r="K2077" s="6" t="n"/>
      <c r="L2077" s="7">
        <f>IF(OR(D2077="",N(J2077)=0),"",MIN(1,N(K2077)/J2077))</f>
        <v/>
      </c>
      <c r="M2077" s="5" t="n"/>
      <c r="N2077" s="5" t="n"/>
      <c r="O2077" s="5" t="n"/>
      <c r="P2077" s="5" t="n"/>
      <c r="Q2077" s="5" t="n"/>
      <c r="R2077" s="4" t="n"/>
      <c r="S2077" s="4" t="n"/>
      <c r="T2077" s="5" t="n"/>
      <c r="U2077" s="8">
        <f>IF(AND(V2077=1,D2077&lt;&gt;""),IF(D2077&gt;=corte,TODAY()-D2077,""),"")</f>
        <v/>
      </c>
      <c r="V2077" s="8">
        <f>IF(D2077="",0,IF(OR(AND(P2077&lt;&gt;"",S2077=""),AND(N(J2077)&gt;0,N(K2077)&lt;J2077),OR(M2077="PENDENTE",M2077="PARCIAL"),OR(N2077="PENDENTE",N2077="PARCIAL")),1,0))</f>
        <v/>
      </c>
      <c r="W2077" s="8">
        <f>IF(AND(V2077=1,D2077&lt;&gt;""),IF(D2077&gt;=corte,(B2077="CRÍTICO")*1E9+(100000-D2077)*10000+10000-ROW(),""),"")</f>
        <v/>
      </c>
      <c r="X2077" s="8">
        <f>IF(AND(V2077=1,D2077=pas_data,E2077=pas_turno),10000-ROW(),"")</f>
        <v/>
      </c>
    </row>
    <row r="2078">
      <c r="A2078" s="3">
        <f>IF(D2078="","","TT-"&amp;TEXT(ROW()-1,"00000"))</f>
        <v/>
      </c>
      <c r="B2078" s="3">
        <f>IF(D2078="","",IF(V2078=0,"CONCLUÍDO",IF(D2078&lt;corte,"HISTÓRICO",IF(OR(AND(ISNUMBER(R2078),R2078&lt;TODAY()),AND(OR(N2078="PENDENTE",N2078="PARCIAL"),D2078&lt;TODAY()-1)),"CRÍTICO",IF(OR(AND(P2078&lt;&gt;"",S2078=""),AND(N2078="REALIZADO",M2078="PENDENTE"),AND(ISNUMBER(R2078),R2078=TODAY())),"ATENÇÃO",IF(N(K2078)=0,"PENDENTE","EM ANDAMENTO"))))))</f>
        <v/>
      </c>
      <c r="C2078" s="3">
        <f>IF(D2078="","",IF(V2078=0,"🟢 OK",IF(D2078&lt;corte,"⚪ HISTÓRICO (sem baixa)",IF(AND(ISNUMBER(R2078),R2078&lt;TODAY()),"🔴 PRAZO VENCIDO",IF(AND(OR(N2078="PENDENTE",N2078="PARCIAL"),D2078&lt;TODAY()-1),"🔴 EMBARQUE ATRASADO",IF(AND(N2078="REALIZADO",M2078="PENDENTE"),"🟡 EMBARCADO SEM FATURAR",IF(AND(P2078&lt;&gt;"",S2078="",OR(Q2078="",R2078="")),"🟡 PENDÊNCIA SEM RESPONSÁVEL/PRAZO",IF(AND(ISNUMBER(R2078),R2078=TODAY()),"🟡 VENCE HOJE",IF(AND(P2078&lt;&gt;"",S2078=""),"🟡 PENDÊNCIA ABERTA",IF(AND(N(J2078)&gt;0,N(K2078)&lt;J2078),"🟡 FALTA EXECUTAR",IF(OR(M2078="PENDENTE",M2078="PARCIAL"),"🟡 FATURAMENTO PENDENTE","🟡 EMBARQUE PENDENTE")))))))))))</f>
        <v/>
      </c>
      <c r="D2078" s="4" t="n"/>
      <c r="E2078" s="5" t="n"/>
      <c r="F2078" s="5" t="n"/>
      <c r="G2078" s="5" t="n"/>
      <c r="H2078" s="5" t="n"/>
      <c r="I2078" s="5" t="n"/>
      <c r="J2078" s="6" t="n"/>
      <c r="K2078" s="6" t="n"/>
      <c r="L2078" s="7">
        <f>IF(OR(D2078="",N(J2078)=0),"",MIN(1,N(K2078)/J2078))</f>
        <v/>
      </c>
      <c r="M2078" s="5" t="n"/>
      <c r="N2078" s="5" t="n"/>
      <c r="O2078" s="5" t="n"/>
      <c r="P2078" s="5" t="n"/>
      <c r="Q2078" s="5" t="n"/>
      <c r="R2078" s="4" t="n"/>
      <c r="S2078" s="4" t="n"/>
      <c r="T2078" s="5" t="n"/>
      <c r="U2078" s="8">
        <f>IF(AND(V2078=1,D2078&lt;&gt;""),IF(D2078&gt;=corte,TODAY()-D2078,""),"")</f>
        <v/>
      </c>
      <c r="V2078" s="8">
        <f>IF(D2078="",0,IF(OR(AND(P2078&lt;&gt;"",S2078=""),AND(N(J2078)&gt;0,N(K2078)&lt;J2078),OR(M2078="PENDENTE",M2078="PARCIAL"),OR(N2078="PENDENTE",N2078="PARCIAL")),1,0))</f>
        <v/>
      </c>
      <c r="W2078" s="8">
        <f>IF(AND(V2078=1,D2078&lt;&gt;""),IF(D2078&gt;=corte,(B2078="CRÍTICO")*1E9+(100000-D2078)*10000+10000-ROW(),""),"")</f>
        <v/>
      </c>
      <c r="X2078" s="8">
        <f>IF(AND(V2078=1,D2078=pas_data,E2078=pas_turno),10000-ROW(),"")</f>
        <v/>
      </c>
    </row>
    <row r="2079">
      <c r="A2079" s="3">
        <f>IF(D2079="","","TT-"&amp;TEXT(ROW()-1,"00000"))</f>
        <v/>
      </c>
      <c r="B2079" s="3">
        <f>IF(D2079="","",IF(V2079=0,"CONCLUÍDO",IF(D2079&lt;corte,"HISTÓRICO",IF(OR(AND(ISNUMBER(R2079),R2079&lt;TODAY()),AND(OR(N2079="PENDENTE",N2079="PARCIAL"),D2079&lt;TODAY()-1)),"CRÍTICO",IF(OR(AND(P2079&lt;&gt;"",S2079=""),AND(N2079="REALIZADO",M2079="PENDENTE"),AND(ISNUMBER(R2079),R2079=TODAY())),"ATENÇÃO",IF(N(K2079)=0,"PENDENTE","EM ANDAMENTO"))))))</f>
        <v/>
      </c>
      <c r="C2079" s="3">
        <f>IF(D2079="","",IF(V2079=0,"🟢 OK",IF(D2079&lt;corte,"⚪ HISTÓRICO (sem baixa)",IF(AND(ISNUMBER(R2079),R2079&lt;TODAY()),"🔴 PRAZO VENCIDO",IF(AND(OR(N2079="PENDENTE",N2079="PARCIAL"),D2079&lt;TODAY()-1),"🔴 EMBARQUE ATRASADO",IF(AND(N2079="REALIZADO",M2079="PENDENTE"),"🟡 EMBARCADO SEM FATURAR",IF(AND(P2079&lt;&gt;"",S2079="",OR(Q2079="",R2079="")),"🟡 PENDÊNCIA SEM RESPONSÁVEL/PRAZO",IF(AND(ISNUMBER(R2079),R2079=TODAY()),"🟡 VENCE HOJE",IF(AND(P2079&lt;&gt;"",S2079=""),"🟡 PENDÊNCIA ABERTA",IF(AND(N(J2079)&gt;0,N(K2079)&lt;J2079),"🟡 FALTA EXECUTAR",IF(OR(M2079="PENDENTE",M2079="PARCIAL"),"🟡 FATURAMENTO PENDENTE","🟡 EMBARQUE PENDENTE")))))))))))</f>
        <v/>
      </c>
      <c r="D2079" s="4" t="n"/>
      <c r="E2079" s="5" t="n"/>
      <c r="F2079" s="5" t="n"/>
      <c r="G2079" s="5" t="n"/>
      <c r="H2079" s="5" t="n"/>
      <c r="I2079" s="5" t="n"/>
      <c r="J2079" s="6" t="n"/>
      <c r="K2079" s="6" t="n"/>
      <c r="L2079" s="7">
        <f>IF(OR(D2079="",N(J2079)=0),"",MIN(1,N(K2079)/J2079))</f>
        <v/>
      </c>
      <c r="M2079" s="5" t="n"/>
      <c r="N2079" s="5" t="n"/>
      <c r="O2079" s="5" t="n"/>
      <c r="P2079" s="5" t="n"/>
      <c r="Q2079" s="5" t="n"/>
      <c r="R2079" s="4" t="n"/>
      <c r="S2079" s="4" t="n"/>
      <c r="T2079" s="5" t="n"/>
      <c r="U2079" s="8">
        <f>IF(AND(V2079=1,D2079&lt;&gt;""),IF(D2079&gt;=corte,TODAY()-D2079,""),"")</f>
        <v/>
      </c>
      <c r="V2079" s="8">
        <f>IF(D2079="",0,IF(OR(AND(P2079&lt;&gt;"",S2079=""),AND(N(J2079)&gt;0,N(K2079)&lt;J2079),OR(M2079="PENDENTE",M2079="PARCIAL"),OR(N2079="PENDENTE",N2079="PARCIAL")),1,0))</f>
        <v/>
      </c>
      <c r="W2079" s="8">
        <f>IF(AND(V2079=1,D2079&lt;&gt;""),IF(D2079&gt;=corte,(B2079="CRÍTICO")*1E9+(100000-D2079)*10000+10000-ROW(),""),"")</f>
        <v/>
      </c>
      <c r="X2079" s="8">
        <f>IF(AND(V2079=1,D2079=pas_data,E2079=pas_turno),10000-ROW(),"")</f>
        <v/>
      </c>
    </row>
    <row r="2080">
      <c r="A2080" s="3">
        <f>IF(D2080="","","TT-"&amp;TEXT(ROW()-1,"00000"))</f>
        <v/>
      </c>
      <c r="B2080" s="3">
        <f>IF(D2080="","",IF(V2080=0,"CONCLUÍDO",IF(D2080&lt;corte,"HISTÓRICO",IF(OR(AND(ISNUMBER(R2080),R2080&lt;TODAY()),AND(OR(N2080="PENDENTE",N2080="PARCIAL"),D2080&lt;TODAY()-1)),"CRÍTICO",IF(OR(AND(P2080&lt;&gt;"",S2080=""),AND(N2080="REALIZADO",M2080="PENDENTE"),AND(ISNUMBER(R2080),R2080=TODAY())),"ATENÇÃO",IF(N(K2080)=0,"PENDENTE","EM ANDAMENTO"))))))</f>
        <v/>
      </c>
      <c r="C2080" s="3">
        <f>IF(D2080="","",IF(V2080=0,"🟢 OK",IF(D2080&lt;corte,"⚪ HISTÓRICO (sem baixa)",IF(AND(ISNUMBER(R2080),R2080&lt;TODAY()),"🔴 PRAZO VENCIDO",IF(AND(OR(N2080="PENDENTE",N2080="PARCIAL"),D2080&lt;TODAY()-1),"🔴 EMBARQUE ATRASADO",IF(AND(N2080="REALIZADO",M2080="PENDENTE"),"🟡 EMBARCADO SEM FATURAR",IF(AND(P2080&lt;&gt;"",S2080="",OR(Q2080="",R2080="")),"🟡 PENDÊNCIA SEM RESPONSÁVEL/PRAZO",IF(AND(ISNUMBER(R2080),R2080=TODAY()),"🟡 VENCE HOJE",IF(AND(P2080&lt;&gt;"",S2080=""),"🟡 PENDÊNCIA ABERTA",IF(AND(N(J2080)&gt;0,N(K2080)&lt;J2080),"🟡 FALTA EXECUTAR",IF(OR(M2080="PENDENTE",M2080="PARCIAL"),"🟡 FATURAMENTO PENDENTE","🟡 EMBARQUE PENDENTE")))))))))))</f>
        <v/>
      </c>
      <c r="D2080" s="4" t="n"/>
      <c r="E2080" s="5" t="n"/>
      <c r="F2080" s="5" t="n"/>
      <c r="G2080" s="5" t="n"/>
      <c r="H2080" s="5" t="n"/>
      <c r="I2080" s="5" t="n"/>
      <c r="J2080" s="6" t="n"/>
      <c r="K2080" s="6" t="n"/>
      <c r="L2080" s="7">
        <f>IF(OR(D2080="",N(J2080)=0),"",MIN(1,N(K2080)/J2080))</f>
        <v/>
      </c>
      <c r="M2080" s="5" t="n"/>
      <c r="N2080" s="5" t="n"/>
      <c r="O2080" s="5" t="n"/>
      <c r="P2080" s="5" t="n"/>
      <c r="Q2080" s="5" t="n"/>
      <c r="R2080" s="4" t="n"/>
      <c r="S2080" s="4" t="n"/>
      <c r="T2080" s="5" t="n"/>
      <c r="U2080" s="8">
        <f>IF(AND(V2080=1,D2080&lt;&gt;""),IF(D2080&gt;=corte,TODAY()-D2080,""),"")</f>
        <v/>
      </c>
      <c r="V2080" s="8">
        <f>IF(D2080="",0,IF(OR(AND(P2080&lt;&gt;"",S2080=""),AND(N(J2080)&gt;0,N(K2080)&lt;J2080),OR(M2080="PENDENTE",M2080="PARCIAL"),OR(N2080="PENDENTE",N2080="PARCIAL")),1,0))</f>
        <v/>
      </c>
      <c r="W2080" s="8">
        <f>IF(AND(V2080=1,D2080&lt;&gt;""),IF(D2080&gt;=corte,(B2080="CRÍTICO")*1E9+(100000-D2080)*10000+10000-ROW(),""),"")</f>
        <v/>
      </c>
      <c r="X2080" s="8">
        <f>IF(AND(V2080=1,D2080=pas_data,E2080=pas_turno),10000-ROW(),"")</f>
        <v/>
      </c>
    </row>
    <row r="2081">
      <c r="A2081" s="3">
        <f>IF(D2081="","","TT-"&amp;TEXT(ROW()-1,"00000"))</f>
        <v/>
      </c>
      <c r="B2081" s="3">
        <f>IF(D2081="","",IF(V2081=0,"CONCLUÍDO",IF(D2081&lt;corte,"HISTÓRICO",IF(OR(AND(ISNUMBER(R2081),R2081&lt;TODAY()),AND(OR(N2081="PENDENTE",N2081="PARCIAL"),D2081&lt;TODAY()-1)),"CRÍTICO",IF(OR(AND(P2081&lt;&gt;"",S2081=""),AND(N2081="REALIZADO",M2081="PENDENTE"),AND(ISNUMBER(R2081),R2081=TODAY())),"ATENÇÃO",IF(N(K2081)=0,"PENDENTE","EM ANDAMENTO"))))))</f>
        <v/>
      </c>
      <c r="C2081" s="3">
        <f>IF(D2081="","",IF(V2081=0,"🟢 OK",IF(D2081&lt;corte,"⚪ HISTÓRICO (sem baixa)",IF(AND(ISNUMBER(R2081),R2081&lt;TODAY()),"🔴 PRAZO VENCIDO",IF(AND(OR(N2081="PENDENTE",N2081="PARCIAL"),D2081&lt;TODAY()-1),"🔴 EMBARQUE ATRASADO",IF(AND(N2081="REALIZADO",M2081="PENDENTE"),"🟡 EMBARCADO SEM FATURAR",IF(AND(P2081&lt;&gt;"",S2081="",OR(Q2081="",R2081="")),"🟡 PENDÊNCIA SEM RESPONSÁVEL/PRAZO",IF(AND(ISNUMBER(R2081),R2081=TODAY()),"🟡 VENCE HOJE",IF(AND(P2081&lt;&gt;"",S2081=""),"🟡 PENDÊNCIA ABERTA",IF(AND(N(J2081)&gt;0,N(K2081)&lt;J2081),"🟡 FALTA EXECUTAR",IF(OR(M2081="PENDENTE",M2081="PARCIAL"),"🟡 FATURAMENTO PENDENTE","🟡 EMBARQUE PENDENTE")))))))))))</f>
        <v/>
      </c>
      <c r="D2081" s="4" t="n"/>
      <c r="E2081" s="5" t="n"/>
      <c r="F2081" s="5" t="n"/>
      <c r="G2081" s="5" t="n"/>
      <c r="H2081" s="5" t="n"/>
      <c r="I2081" s="5" t="n"/>
      <c r="J2081" s="6" t="n"/>
      <c r="K2081" s="6" t="n"/>
      <c r="L2081" s="7">
        <f>IF(OR(D2081="",N(J2081)=0),"",MIN(1,N(K2081)/J2081))</f>
        <v/>
      </c>
      <c r="M2081" s="5" t="n"/>
      <c r="N2081" s="5" t="n"/>
      <c r="O2081" s="5" t="n"/>
      <c r="P2081" s="5" t="n"/>
      <c r="Q2081" s="5" t="n"/>
      <c r="R2081" s="4" t="n"/>
      <c r="S2081" s="4" t="n"/>
      <c r="T2081" s="5" t="n"/>
      <c r="U2081" s="8">
        <f>IF(AND(V2081=1,D2081&lt;&gt;""),IF(D2081&gt;=corte,TODAY()-D2081,""),"")</f>
        <v/>
      </c>
      <c r="V2081" s="8">
        <f>IF(D2081="",0,IF(OR(AND(P2081&lt;&gt;"",S2081=""),AND(N(J2081)&gt;0,N(K2081)&lt;J2081),OR(M2081="PENDENTE",M2081="PARCIAL"),OR(N2081="PENDENTE",N2081="PARCIAL")),1,0))</f>
        <v/>
      </c>
      <c r="W2081" s="8">
        <f>IF(AND(V2081=1,D2081&lt;&gt;""),IF(D2081&gt;=corte,(B2081="CRÍTICO")*1E9+(100000-D2081)*10000+10000-ROW(),""),"")</f>
        <v/>
      </c>
      <c r="X2081" s="8">
        <f>IF(AND(V2081=1,D2081=pas_data,E2081=pas_turno),10000-ROW(),"")</f>
        <v/>
      </c>
    </row>
    <row r="2082">
      <c r="A2082" s="3">
        <f>IF(D2082="","","TT-"&amp;TEXT(ROW()-1,"00000"))</f>
        <v/>
      </c>
      <c r="B2082" s="3">
        <f>IF(D2082="","",IF(V2082=0,"CONCLUÍDO",IF(D2082&lt;corte,"HISTÓRICO",IF(OR(AND(ISNUMBER(R2082),R2082&lt;TODAY()),AND(OR(N2082="PENDENTE",N2082="PARCIAL"),D2082&lt;TODAY()-1)),"CRÍTICO",IF(OR(AND(P2082&lt;&gt;"",S2082=""),AND(N2082="REALIZADO",M2082="PENDENTE"),AND(ISNUMBER(R2082),R2082=TODAY())),"ATENÇÃO",IF(N(K2082)=0,"PENDENTE","EM ANDAMENTO"))))))</f>
        <v/>
      </c>
      <c r="C2082" s="3">
        <f>IF(D2082="","",IF(V2082=0,"🟢 OK",IF(D2082&lt;corte,"⚪ HISTÓRICO (sem baixa)",IF(AND(ISNUMBER(R2082),R2082&lt;TODAY()),"🔴 PRAZO VENCIDO",IF(AND(OR(N2082="PENDENTE",N2082="PARCIAL"),D2082&lt;TODAY()-1),"🔴 EMBARQUE ATRASADO",IF(AND(N2082="REALIZADO",M2082="PENDENTE"),"🟡 EMBARCADO SEM FATURAR",IF(AND(P2082&lt;&gt;"",S2082="",OR(Q2082="",R2082="")),"🟡 PENDÊNCIA SEM RESPONSÁVEL/PRAZO",IF(AND(ISNUMBER(R2082),R2082=TODAY()),"🟡 VENCE HOJE",IF(AND(P2082&lt;&gt;"",S2082=""),"🟡 PENDÊNCIA ABERTA",IF(AND(N(J2082)&gt;0,N(K2082)&lt;J2082),"🟡 FALTA EXECUTAR",IF(OR(M2082="PENDENTE",M2082="PARCIAL"),"🟡 FATURAMENTO PENDENTE","🟡 EMBARQUE PENDENTE")))))))))))</f>
        <v/>
      </c>
      <c r="D2082" s="4" t="n"/>
      <c r="E2082" s="5" t="n"/>
      <c r="F2082" s="5" t="n"/>
      <c r="G2082" s="5" t="n"/>
      <c r="H2082" s="5" t="n"/>
      <c r="I2082" s="5" t="n"/>
      <c r="J2082" s="6" t="n"/>
      <c r="K2082" s="6" t="n"/>
      <c r="L2082" s="7">
        <f>IF(OR(D2082="",N(J2082)=0),"",MIN(1,N(K2082)/J2082))</f>
        <v/>
      </c>
      <c r="M2082" s="5" t="n"/>
      <c r="N2082" s="5" t="n"/>
      <c r="O2082" s="5" t="n"/>
      <c r="P2082" s="5" t="n"/>
      <c r="Q2082" s="5" t="n"/>
      <c r="R2082" s="4" t="n"/>
      <c r="S2082" s="4" t="n"/>
      <c r="T2082" s="5" t="n"/>
      <c r="U2082" s="8">
        <f>IF(AND(V2082=1,D2082&lt;&gt;""),IF(D2082&gt;=corte,TODAY()-D2082,""),"")</f>
        <v/>
      </c>
      <c r="V2082" s="8">
        <f>IF(D2082="",0,IF(OR(AND(P2082&lt;&gt;"",S2082=""),AND(N(J2082)&gt;0,N(K2082)&lt;J2082),OR(M2082="PENDENTE",M2082="PARCIAL"),OR(N2082="PENDENTE",N2082="PARCIAL")),1,0))</f>
        <v/>
      </c>
      <c r="W2082" s="8">
        <f>IF(AND(V2082=1,D2082&lt;&gt;""),IF(D2082&gt;=corte,(B2082="CRÍTICO")*1E9+(100000-D2082)*10000+10000-ROW(),""),"")</f>
        <v/>
      </c>
      <c r="X2082" s="8">
        <f>IF(AND(V2082=1,D2082=pas_data,E2082=pas_turno),10000-ROW(),"")</f>
        <v/>
      </c>
    </row>
    <row r="2083">
      <c r="A2083" s="3">
        <f>IF(D2083="","","TT-"&amp;TEXT(ROW()-1,"00000"))</f>
        <v/>
      </c>
      <c r="B2083" s="3">
        <f>IF(D2083="","",IF(V2083=0,"CONCLUÍDO",IF(D2083&lt;corte,"HISTÓRICO",IF(OR(AND(ISNUMBER(R2083),R2083&lt;TODAY()),AND(OR(N2083="PENDENTE",N2083="PARCIAL"),D2083&lt;TODAY()-1)),"CRÍTICO",IF(OR(AND(P2083&lt;&gt;"",S2083=""),AND(N2083="REALIZADO",M2083="PENDENTE"),AND(ISNUMBER(R2083),R2083=TODAY())),"ATENÇÃO",IF(N(K2083)=0,"PENDENTE","EM ANDAMENTO"))))))</f>
        <v/>
      </c>
      <c r="C2083" s="3">
        <f>IF(D2083="","",IF(V2083=0,"🟢 OK",IF(D2083&lt;corte,"⚪ HISTÓRICO (sem baixa)",IF(AND(ISNUMBER(R2083),R2083&lt;TODAY()),"🔴 PRAZO VENCIDO",IF(AND(OR(N2083="PENDENTE",N2083="PARCIAL"),D2083&lt;TODAY()-1),"🔴 EMBARQUE ATRASADO",IF(AND(N2083="REALIZADO",M2083="PENDENTE"),"🟡 EMBARCADO SEM FATURAR",IF(AND(P2083&lt;&gt;"",S2083="",OR(Q2083="",R2083="")),"🟡 PENDÊNCIA SEM RESPONSÁVEL/PRAZO",IF(AND(ISNUMBER(R2083),R2083=TODAY()),"🟡 VENCE HOJE",IF(AND(P2083&lt;&gt;"",S2083=""),"🟡 PENDÊNCIA ABERTA",IF(AND(N(J2083)&gt;0,N(K2083)&lt;J2083),"🟡 FALTA EXECUTAR",IF(OR(M2083="PENDENTE",M2083="PARCIAL"),"🟡 FATURAMENTO PENDENTE","🟡 EMBARQUE PENDENTE")))))))))))</f>
        <v/>
      </c>
      <c r="D2083" s="4" t="n"/>
      <c r="E2083" s="5" t="n"/>
      <c r="F2083" s="5" t="n"/>
      <c r="G2083" s="5" t="n"/>
      <c r="H2083" s="5" t="n"/>
      <c r="I2083" s="5" t="n"/>
      <c r="J2083" s="6" t="n"/>
      <c r="K2083" s="6" t="n"/>
      <c r="L2083" s="7">
        <f>IF(OR(D2083="",N(J2083)=0),"",MIN(1,N(K2083)/J2083))</f>
        <v/>
      </c>
      <c r="M2083" s="5" t="n"/>
      <c r="N2083" s="5" t="n"/>
      <c r="O2083" s="5" t="n"/>
      <c r="P2083" s="5" t="n"/>
      <c r="Q2083" s="5" t="n"/>
      <c r="R2083" s="4" t="n"/>
      <c r="S2083" s="4" t="n"/>
      <c r="T2083" s="5" t="n"/>
      <c r="U2083" s="8">
        <f>IF(AND(V2083=1,D2083&lt;&gt;""),IF(D2083&gt;=corte,TODAY()-D2083,""),"")</f>
        <v/>
      </c>
      <c r="V2083" s="8">
        <f>IF(D2083="",0,IF(OR(AND(P2083&lt;&gt;"",S2083=""),AND(N(J2083)&gt;0,N(K2083)&lt;J2083),OR(M2083="PENDENTE",M2083="PARCIAL"),OR(N2083="PENDENTE",N2083="PARCIAL")),1,0))</f>
        <v/>
      </c>
      <c r="W2083" s="8">
        <f>IF(AND(V2083=1,D2083&lt;&gt;""),IF(D2083&gt;=corte,(B2083="CRÍTICO")*1E9+(100000-D2083)*10000+10000-ROW(),""),"")</f>
        <v/>
      </c>
      <c r="X2083" s="8">
        <f>IF(AND(V2083=1,D2083=pas_data,E2083=pas_turno),10000-ROW(),"")</f>
        <v/>
      </c>
    </row>
    <row r="2084">
      <c r="A2084" s="3">
        <f>IF(D2084="","","TT-"&amp;TEXT(ROW()-1,"00000"))</f>
        <v/>
      </c>
      <c r="B2084" s="3">
        <f>IF(D2084="","",IF(V2084=0,"CONCLUÍDO",IF(D2084&lt;corte,"HISTÓRICO",IF(OR(AND(ISNUMBER(R2084),R2084&lt;TODAY()),AND(OR(N2084="PENDENTE",N2084="PARCIAL"),D2084&lt;TODAY()-1)),"CRÍTICO",IF(OR(AND(P2084&lt;&gt;"",S2084=""),AND(N2084="REALIZADO",M2084="PENDENTE"),AND(ISNUMBER(R2084),R2084=TODAY())),"ATENÇÃO",IF(N(K2084)=0,"PENDENTE","EM ANDAMENTO"))))))</f>
        <v/>
      </c>
      <c r="C2084" s="3">
        <f>IF(D2084="","",IF(V2084=0,"🟢 OK",IF(D2084&lt;corte,"⚪ HISTÓRICO (sem baixa)",IF(AND(ISNUMBER(R2084),R2084&lt;TODAY()),"🔴 PRAZO VENCIDO",IF(AND(OR(N2084="PENDENTE",N2084="PARCIAL"),D2084&lt;TODAY()-1),"🔴 EMBARQUE ATRASADO",IF(AND(N2084="REALIZADO",M2084="PENDENTE"),"🟡 EMBARCADO SEM FATURAR",IF(AND(P2084&lt;&gt;"",S2084="",OR(Q2084="",R2084="")),"🟡 PENDÊNCIA SEM RESPONSÁVEL/PRAZO",IF(AND(ISNUMBER(R2084),R2084=TODAY()),"🟡 VENCE HOJE",IF(AND(P2084&lt;&gt;"",S2084=""),"🟡 PENDÊNCIA ABERTA",IF(AND(N(J2084)&gt;0,N(K2084)&lt;J2084),"🟡 FALTA EXECUTAR",IF(OR(M2084="PENDENTE",M2084="PARCIAL"),"🟡 FATURAMENTO PENDENTE","🟡 EMBARQUE PENDENTE")))))))))))</f>
        <v/>
      </c>
      <c r="D2084" s="4" t="n"/>
      <c r="E2084" s="5" t="n"/>
      <c r="F2084" s="5" t="n"/>
      <c r="G2084" s="5" t="n"/>
      <c r="H2084" s="5" t="n"/>
      <c r="I2084" s="5" t="n"/>
      <c r="J2084" s="6" t="n"/>
      <c r="K2084" s="6" t="n"/>
      <c r="L2084" s="7">
        <f>IF(OR(D2084="",N(J2084)=0),"",MIN(1,N(K2084)/J2084))</f>
        <v/>
      </c>
      <c r="M2084" s="5" t="n"/>
      <c r="N2084" s="5" t="n"/>
      <c r="O2084" s="5" t="n"/>
      <c r="P2084" s="5" t="n"/>
      <c r="Q2084" s="5" t="n"/>
      <c r="R2084" s="4" t="n"/>
      <c r="S2084" s="4" t="n"/>
      <c r="T2084" s="5" t="n"/>
      <c r="U2084" s="8">
        <f>IF(AND(V2084=1,D2084&lt;&gt;""),IF(D2084&gt;=corte,TODAY()-D2084,""),"")</f>
        <v/>
      </c>
      <c r="V2084" s="8">
        <f>IF(D2084="",0,IF(OR(AND(P2084&lt;&gt;"",S2084=""),AND(N(J2084)&gt;0,N(K2084)&lt;J2084),OR(M2084="PENDENTE",M2084="PARCIAL"),OR(N2084="PENDENTE",N2084="PARCIAL")),1,0))</f>
        <v/>
      </c>
      <c r="W2084" s="8">
        <f>IF(AND(V2084=1,D2084&lt;&gt;""),IF(D2084&gt;=corte,(B2084="CRÍTICO")*1E9+(100000-D2084)*10000+10000-ROW(),""),"")</f>
        <v/>
      </c>
      <c r="X2084" s="8">
        <f>IF(AND(V2084=1,D2084=pas_data,E2084=pas_turno),10000-ROW(),"")</f>
        <v/>
      </c>
    </row>
    <row r="2085">
      <c r="A2085" s="3">
        <f>IF(D2085="","","TT-"&amp;TEXT(ROW()-1,"00000"))</f>
        <v/>
      </c>
      <c r="B2085" s="3">
        <f>IF(D2085="","",IF(V2085=0,"CONCLUÍDO",IF(D2085&lt;corte,"HISTÓRICO",IF(OR(AND(ISNUMBER(R2085),R2085&lt;TODAY()),AND(OR(N2085="PENDENTE",N2085="PARCIAL"),D2085&lt;TODAY()-1)),"CRÍTICO",IF(OR(AND(P2085&lt;&gt;"",S2085=""),AND(N2085="REALIZADO",M2085="PENDENTE"),AND(ISNUMBER(R2085),R2085=TODAY())),"ATENÇÃO",IF(N(K2085)=0,"PENDENTE","EM ANDAMENTO"))))))</f>
        <v/>
      </c>
      <c r="C2085" s="3">
        <f>IF(D2085="","",IF(V2085=0,"🟢 OK",IF(D2085&lt;corte,"⚪ HISTÓRICO (sem baixa)",IF(AND(ISNUMBER(R2085),R2085&lt;TODAY()),"🔴 PRAZO VENCIDO",IF(AND(OR(N2085="PENDENTE",N2085="PARCIAL"),D2085&lt;TODAY()-1),"🔴 EMBARQUE ATRASADO",IF(AND(N2085="REALIZADO",M2085="PENDENTE"),"🟡 EMBARCADO SEM FATURAR",IF(AND(P2085&lt;&gt;"",S2085="",OR(Q2085="",R2085="")),"🟡 PENDÊNCIA SEM RESPONSÁVEL/PRAZO",IF(AND(ISNUMBER(R2085),R2085=TODAY()),"🟡 VENCE HOJE",IF(AND(P2085&lt;&gt;"",S2085=""),"🟡 PENDÊNCIA ABERTA",IF(AND(N(J2085)&gt;0,N(K2085)&lt;J2085),"🟡 FALTA EXECUTAR",IF(OR(M2085="PENDENTE",M2085="PARCIAL"),"🟡 FATURAMENTO PENDENTE","🟡 EMBARQUE PENDENTE")))))))))))</f>
        <v/>
      </c>
      <c r="D2085" s="4" t="n"/>
      <c r="E2085" s="5" t="n"/>
      <c r="F2085" s="5" t="n"/>
      <c r="G2085" s="5" t="n"/>
      <c r="H2085" s="5" t="n"/>
      <c r="I2085" s="5" t="n"/>
      <c r="J2085" s="6" t="n"/>
      <c r="K2085" s="6" t="n"/>
      <c r="L2085" s="7">
        <f>IF(OR(D2085="",N(J2085)=0),"",MIN(1,N(K2085)/J2085))</f>
        <v/>
      </c>
      <c r="M2085" s="5" t="n"/>
      <c r="N2085" s="5" t="n"/>
      <c r="O2085" s="5" t="n"/>
      <c r="P2085" s="5" t="n"/>
      <c r="Q2085" s="5" t="n"/>
      <c r="R2085" s="4" t="n"/>
      <c r="S2085" s="4" t="n"/>
      <c r="T2085" s="5" t="n"/>
      <c r="U2085" s="8">
        <f>IF(AND(V2085=1,D2085&lt;&gt;""),IF(D2085&gt;=corte,TODAY()-D2085,""),"")</f>
        <v/>
      </c>
      <c r="V2085" s="8">
        <f>IF(D2085="",0,IF(OR(AND(P2085&lt;&gt;"",S2085=""),AND(N(J2085)&gt;0,N(K2085)&lt;J2085),OR(M2085="PENDENTE",M2085="PARCIAL"),OR(N2085="PENDENTE",N2085="PARCIAL")),1,0))</f>
        <v/>
      </c>
      <c r="W2085" s="8">
        <f>IF(AND(V2085=1,D2085&lt;&gt;""),IF(D2085&gt;=corte,(B2085="CRÍTICO")*1E9+(100000-D2085)*10000+10000-ROW(),""),"")</f>
        <v/>
      </c>
      <c r="X2085" s="8">
        <f>IF(AND(V2085=1,D2085=pas_data,E2085=pas_turno),10000-ROW(),"")</f>
        <v/>
      </c>
    </row>
    <row r="2086">
      <c r="A2086" s="3">
        <f>IF(D2086="","","TT-"&amp;TEXT(ROW()-1,"00000"))</f>
        <v/>
      </c>
      <c r="B2086" s="3">
        <f>IF(D2086="","",IF(V2086=0,"CONCLUÍDO",IF(D2086&lt;corte,"HISTÓRICO",IF(OR(AND(ISNUMBER(R2086),R2086&lt;TODAY()),AND(OR(N2086="PENDENTE",N2086="PARCIAL"),D2086&lt;TODAY()-1)),"CRÍTICO",IF(OR(AND(P2086&lt;&gt;"",S2086=""),AND(N2086="REALIZADO",M2086="PENDENTE"),AND(ISNUMBER(R2086),R2086=TODAY())),"ATENÇÃO",IF(N(K2086)=0,"PENDENTE","EM ANDAMENTO"))))))</f>
        <v/>
      </c>
      <c r="C2086" s="3">
        <f>IF(D2086="","",IF(V2086=0,"🟢 OK",IF(D2086&lt;corte,"⚪ HISTÓRICO (sem baixa)",IF(AND(ISNUMBER(R2086),R2086&lt;TODAY()),"🔴 PRAZO VENCIDO",IF(AND(OR(N2086="PENDENTE",N2086="PARCIAL"),D2086&lt;TODAY()-1),"🔴 EMBARQUE ATRASADO",IF(AND(N2086="REALIZADO",M2086="PENDENTE"),"🟡 EMBARCADO SEM FATURAR",IF(AND(P2086&lt;&gt;"",S2086="",OR(Q2086="",R2086="")),"🟡 PENDÊNCIA SEM RESPONSÁVEL/PRAZO",IF(AND(ISNUMBER(R2086),R2086=TODAY()),"🟡 VENCE HOJE",IF(AND(P2086&lt;&gt;"",S2086=""),"🟡 PENDÊNCIA ABERTA",IF(AND(N(J2086)&gt;0,N(K2086)&lt;J2086),"🟡 FALTA EXECUTAR",IF(OR(M2086="PENDENTE",M2086="PARCIAL"),"🟡 FATURAMENTO PENDENTE","🟡 EMBARQUE PENDENTE")))))))))))</f>
        <v/>
      </c>
      <c r="D2086" s="4" t="n"/>
      <c r="E2086" s="5" t="n"/>
      <c r="F2086" s="5" t="n"/>
      <c r="G2086" s="5" t="n"/>
      <c r="H2086" s="5" t="n"/>
      <c r="I2086" s="5" t="n"/>
      <c r="J2086" s="6" t="n"/>
      <c r="K2086" s="6" t="n"/>
      <c r="L2086" s="7">
        <f>IF(OR(D2086="",N(J2086)=0),"",MIN(1,N(K2086)/J2086))</f>
        <v/>
      </c>
      <c r="M2086" s="5" t="n"/>
      <c r="N2086" s="5" t="n"/>
      <c r="O2086" s="5" t="n"/>
      <c r="P2086" s="5" t="n"/>
      <c r="Q2086" s="5" t="n"/>
      <c r="R2086" s="4" t="n"/>
      <c r="S2086" s="4" t="n"/>
      <c r="T2086" s="5" t="n"/>
      <c r="U2086" s="8">
        <f>IF(AND(V2086=1,D2086&lt;&gt;""),IF(D2086&gt;=corte,TODAY()-D2086,""),"")</f>
        <v/>
      </c>
      <c r="V2086" s="8">
        <f>IF(D2086="",0,IF(OR(AND(P2086&lt;&gt;"",S2086=""),AND(N(J2086)&gt;0,N(K2086)&lt;J2086),OR(M2086="PENDENTE",M2086="PARCIAL"),OR(N2086="PENDENTE",N2086="PARCIAL")),1,0))</f>
        <v/>
      </c>
      <c r="W2086" s="8">
        <f>IF(AND(V2086=1,D2086&lt;&gt;""),IF(D2086&gt;=corte,(B2086="CRÍTICO")*1E9+(100000-D2086)*10000+10000-ROW(),""),"")</f>
        <v/>
      </c>
      <c r="X2086" s="8">
        <f>IF(AND(V2086=1,D2086=pas_data,E2086=pas_turno),10000-ROW(),"")</f>
        <v/>
      </c>
    </row>
    <row r="2087">
      <c r="A2087" s="3">
        <f>IF(D2087="","","TT-"&amp;TEXT(ROW()-1,"00000"))</f>
        <v/>
      </c>
      <c r="B2087" s="3">
        <f>IF(D2087="","",IF(V2087=0,"CONCLUÍDO",IF(D2087&lt;corte,"HISTÓRICO",IF(OR(AND(ISNUMBER(R2087),R2087&lt;TODAY()),AND(OR(N2087="PENDENTE",N2087="PARCIAL"),D2087&lt;TODAY()-1)),"CRÍTICO",IF(OR(AND(P2087&lt;&gt;"",S2087=""),AND(N2087="REALIZADO",M2087="PENDENTE"),AND(ISNUMBER(R2087),R2087=TODAY())),"ATENÇÃO",IF(N(K2087)=0,"PENDENTE","EM ANDAMENTO"))))))</f>
        <v/>
      </c>
      <c r="C2087" s="3">
        <f>IF(D2087="","",IF(V2087=0,"🟢 OK",IF(D2087&lt;corte,"⚪ HISTÓRICO (sem baixa)",IF(AND(ISNUMBER(R2087),R2087&lt;TODAY()),"🔴 PRAZO VENCIDO",IF(AND(OR(N2087="PENDENTE",N2087="PARCIAL"),D2087&lt;TODAY()-1),"🔴 EMBARQUE ATRASADO",IF(AND(N2087="REALIZADO",M2087="PENDENTE"),"🟡 EMBARCADO SEM FATURAR",IF(AND(P2087&lt;&gt;"",S2087="",OR(Q2087="",R2087="")),"🟡 PENDÊNCIA SEM RESPONSÁVEL/PRAZO",IF(AND(ISNUMBER(R2087),R2087=TODAY()),"🟡 VENCE HOJE",IF(AND(P2087&lt;&gt;"",S2087=""),"🟡 PENDÊNCIA ABERTA",IF(AND(N(J2087)&gt;0,N(K2087)&lt;J2087),"🟡 FALTA EXECUTAR",IF(OR(M2087="PENDENTE",M2087="PARCIAL"),"🟡 FATURAMENTO PENDENTE","🟡 EMBARQUE PENDENTE")))))))))))</f>
        <v/>
      </c>
      <c r="D2087" s="4" t="n"/>
      <c r="E2087" s="5" t="n"/>
      <c r="F2087" s="5" t="n"/>
      <c r="G2087" s="5" t="n"/>
      <c r="H2087" s="5" t="n"/>
      <c r="I2087" s="5" t="n"/>
      <c r="J2087" s="6" t="n"/>
      <c r="K2087" s="6" t="n"/>
      <c r="L2087" s="7">
        <f>IF(OR(D2087="",N(J2087)=0),"",MIN(1,N(K2087)/J2087))</f>
        <v/>
      </c>
      <c r="M2087" s="5" t="n"/>
      <c r="N2087" s="5" t="n"/>
      <c r="O2087" s="5" t="n"/>
      <c r="P2087" s="5" t="n"/>
      <c r="Q2087" s="5" t="n"/>
      <c r="R2087" s="4" t="n"/>
      <c r="S2087" s="4" t="n"/>
      <c r="T2087" s="5" t="n"/>
      <c r="U2087" s="8">
        <f>IF(AND(V2087=1,D2087&lt;&gt;""),IF(D2087&gt;=corte,TODAY()-D2087,""),"")</f>
        <v/>
      </c>
      <c r="V2087" s="8">
        <f>IF(D2087="",0,IF(OR(AND(P2087&lt;&gt;"",S2087=""),AND(N(J2087)&gt;0,N(K2087)&lt;J2087),OR(M2087="PENDENTE",M2087="PARCIAL"),OR(N2087="PENDENTE",N2087="PARCIAL")),1,0))</f>
        <v/>
      </c>
      <c r="W2087" s="8">
        <f>IF(AND(V2087=1,D2087&lt;&gt;""),IF(D2087&gt;=corte,(B2087="CRÍTICO")*1E9+(100000-D2087)*10000+10000-ROW(),""),"")</f>
        <v/>
      </c>
      <c r="X2087" s="8">
        <f>IF(AND(V2087=1,D2087=pas_data,E2087=pas_turno),10000-ROW(),"")</f>
        <v/>
      </c>
    </row>
    <row r="2088">
      <c r="A2088" s="3">
        <f>IF(D2088="","","TT-"&amp;TEXT(ROW()-1,"00000"))</f>
        <v/>
      </c>
      <c r="B2088" s="3">
        <f>IF(D2088="","",IF(V2088=0,"CONCLUÍDO",IF(D2088&lt;corte,"HISTÓRICO",IF(OR(AND(ISNUMBER(R2088),R2088&lt;TODAY()),AND(OR(N2088="PENDENTE",N2088="PARCIAL"),D2088&lt;TODAY()-1)),"CRÍTICO",IF(OR(AND(P2088&lt;&gt;"",S2088=""),AND(N2088="REALIZADO",M2088="PENDENTE"),AND(ISNUMBER(R2088),R2088=TODAY())),"ATENÇÃO",IF(N(K2088)=0,"PENDENTE","EM ANDAMENTO"))))))</f>
        <v/>
      </c>
      <c r="C2088" s="3">
        <f>IF(D2088="","",IF(V2088=0,"🟢 OK",IF(D2088&lt;corte,"⚪ HISTÓRICO (sem baixa)",IF(AND(ISNUMBER(R2088),R2088&lt;TODAY()),"🔴 PRAZO VENCIDO",IF(AND(OR(N2088="PENDENTE",N2088="PARCIAL"),D2088&lt;TODAY()-1),"🔴 EMBARQUE ATRASADO",IF(AND(N2088="REALIZADO",M2088="PENDENTE"),"🟡 EMBARCADO SEM FATURAR",IF(AND(P2088&lt;&gt;"",S2088="",OR(Q2088="",R2088="")),"🟡 PENDÊNCIA SEM RESPONSÁVEL/PRAZO",IF(AND(ISNUMBER(R2088),R2088=TODAY()),"🟡 VENCE HOJE",IF(AND(P2088&lt;&gt;"",S2088=""),"🟡 PENDÊNCIA ABERTA",IF(AND(N(J2088)&gt;0,N(K2088)&lt;J2088),"🟡 FALTA EXECUTAR",IF(OR(M2088="PENDENTE",M2088="PARCIAL"),"🟡 FATURAMENTO PENDENTE","🟡 EMBARQUE PENDENTE")))))))))))</f>
        <v/>
      </c>
      <c r="D2088" s="4" t="n"/>
      <c r="E2088" s="5" t="n"/>
      <c r="F2088" s="5" t="n"/>
      <c r="G2088" s="5" t="n"/>
      <c r="H2088" s="5" t="n"/>
      <c r="I2088" s="5" t="n"/>
      <c r="J2088" s="6" t="n"/>
      <c r="K2088" s="6" t="n"/>
      <c r="L2088" s="7">
        <f>IF(OR(D2088="",N(J2088)=0),"",MIN(1,N(K2088)/J2088))</f>
        <v/>
      </c>
      <c r="M2088" s="5" t="n"/>
      <c r="N2088" s="5" t="n"/>
      <c r="O2088" s="5" t="n"/>
      <c r="P2088" s="5" t="n"/>
      <c r="Q2088" s="5" t="n"/>
      <c r="R2088" s="4" t="n"/>
      <c r="S2088" s="4" t="n"/>
      <c r="T2088" s="5" t="n"/>
      <c r="U2088" s="8">
        <f>IF(AND(V2088=1,D2088&lt;&gt;""),IF(D2088&gt;=corte,TODAY()-D2088,""),"")</f>
        <v/>
      </c>
      <c r="V2088" s="8">
        <f>IF(D2088="",0,IF(OR(AND(P2088&lt;&gt;"",S2088=""),AND(N(J2088)&gt;0,N(K2088)&lt;J2088),OR(M2088="PENDENTE",M2088="PARCIAL"),OR(N2088="PENDENTE",N2088="PARCIAL")),1,0))</f>
        <v/>
      </c>
      <c r="W2088" s="8">
        <f>IF(AND(V2088=1,D2088&lt;&gt;""),IF(D2088&gt;=corte,(B2088="CRÍTICO")*1E9+(100000-D2088)*10000+10000-ROW(),""),"")</f>
        <v/>
      </c>
      <c r="X2088" s="8">
        <f>IF(AND(V2088=1,D2088=pas_data,E2088=pas_turno),10000-ROW(),"")</f>
        <v/>
      </c>
    </row>
    <row r="2089">
      <c r="A2089" s="3">
        <f>IF(D2089="","","TT-"&amp;TEXT(ROW()-1,"00000"))</f>
        <v/>
      </c>
      <c r="B2089" s="3">
        <f>IF(D2089="","",IF(V2089=0,"CONCLUÍDO",IF(D2089&lt;corte,"HISTÓRICO",IF(OR(AND(ISNUMBER(R2089),R2089&lt;TODAY()),AND(OR(N2089="PENDENTE",N2089="PARCIAL"),D2089&lt;TODAY()-1)),"CRÍTICO",IF(OR(AND(P2089&lt;&gt;"",S2089=""),AND(N2089="REALIZADO",M2089="PENDENTE"),AND(ISNUMBER(R2089),R2089=TODAY())),"ATENÇÃO",IF(N(K2089)=0,"PENDENTE","EM ANDAMENTO"))))))</f>
        <v/>
      </c>
      <c r="C2089" s="3">
        <f>IF(D2089="","",IF(V2089=0,"🟢 OK",IF(D2089&lt;corte,"⚪ HISTÓRICO (sem baixa)",IF(AND(ISNUMBER(R2089),R2089&lt;TODAY()),"🔴 PRAZO VENCIDO",IF(AND(OR(N2089="PENDENTE",N2089="PARCIAL"),D2089&lt;TODAY()-1),"🔴 EMBARQUE ATRASADO",IF(AND(N2089="REALIZADO",M2089="PENDENTE"),"🟡 EMBARCADO SEM FATURAR",IF(AND(P2089&lt;&gt;"",S2089="",OR(Q2089="",R2089="")),"🟡 PENDÊNCIA SEM RESPONSÁVEL/PRAZO",IF(AND(ISNUMBER(R2089),R2089=TODAY()),"🟡 VENCE HOJE",IF(AND(P2089&lt;&gt;"",S2089=""),"🟡 PENDÊNCIA ABERTA",IF(AND(N(J2089)&gt;0,N(K2089)&lt;J2089),"🟡 FALTA EXECUTAR",IF(OR(M2089="PENDENTE",M2089="PARCIAL"),"🟡 FATURAMENTO PENDENTE","🟡 EMBARQUE PENDENTE")))))))))))</f>
        <v/>
      </c>
      <c r="D2089" s="4" t="n"/>
      <c r="E2089" s="5" t="n"/>
      <c r="F2089" s="5" t="n"/>
      <c r="G2089" s="5" t="n"/>
      <c r="H2089" s="5" t="n"/>
      <c r="I2089" s="5" t="n"/>
      <c r="J2089" s="6" t="n"/>
      <c r="K2089" s="6" t="n"/>
      <c r="L2089" s="7">
        <f>IF(OR(D2089="",N(J2089)=0),"",MIN(1,N(K2089)/J2089))</f>
        <v/>
      </c>
      <c r="M2089" s="5" t="n"/>
      <c r="N2089" s="5" t="n"/>
      <c r="O2089" s="5" t="n"/>
      <c r="P2089" s="5" t="n"/>
      <c r="Q2089" s="5" t="n"/>
      <c r="R2089" s="4" t="n"/>
      <c r="S2089" s="4" t="n"/>
      <c r="T2089" s="5" t="n"/>
      <c r="U2089" s="8">
        <f>IF(AND(V2089=1,D2089&lt;&gt;""),IF(D2089&gt;=corte,TODAY()-D2089,""),"")</f>
        <v/>
      </c>
      <c r="V2089" s="8">
        <f>IF(D2089="",0,IF(OR(AND(P2089&lt;&gt;"",S2089=""),AND(N(J2089)&gt;0,N(K2089)&lt;J2089),OR(M2089="PENDENTE",M2089="PARCIAL"),OR(N2089="PENDENTE",N2089="PARCIAL")),1,0))</f>
        <v/>
      </c>
      <c r="W2089" s="8">
        <f>IF(AND(V2089=1,D2089&lt;&gt;""),IF(D2089&gt;=corte,(B2089="CRÍTICO")*1E9+(100000-D2089)*10000+10000-ROW(),""),"")</f>
        <v/>
      </c>
      <c r="X2089" s="8">
        <f>IF(AND(V2089=1,D2089=pas_data,E2089=pas_turno),10000-ROW(),"")</f>
        <v/>
      </c>
    </row>
    <row r="2090">
      <c r="A2090" s="3">
        <f>IF(D2090="","","TT-"&amp;TEXT(ROW()-1,"00000"))</f>
        <v/>
      </c>
      <c r="B2090" s="3">
        <f>IF(D2090="","",IF(V2090=0,"CONCLUÍDO",IF(D2090&lt;corte,"HISTÓRICO",IF(OR(AND(ISNUMBER(R2090),R2090&lt;TODAY()),AND(OR(N2090="PENDENTE",N2090="PARCIAL"),D2090&lt;TODAY()-1)),"CRÍTICO",IF(OR(AND(P2090&lt;&gt;"",S2090=""),AND(N2090="REALIZADO",M2090="PENDENTE"),AND(ISNUMBER(R2090),R2090=TODAY())),"ATENÇÃO",IF(N(K2090)=0,"PENDENTE","EM ANDAMENTO"))))))</f>
        <v/>
      </c>
      <c r="C2090" s="3">
        <f>IF(D2090="","",IF(V2090=0,"🟢 OK",IF(D2090&lt;corte,"⚪ HISTÓRICO (sem baixa)",IF(AND(ISNUMBER(R2090),R2090&lt;TODAY()),"🔴 PRAZO VENCIDO",IF(AND(OR(N2090="PENDENTE",N2090="PARCIAL"),D2090&lt;TODAY()-1),"🔴 EMBARQUE ATRASADO",IF(AND(N2090="REALIZADO",M2090="PENDENTE"),"🟡 EMBARCADO SEM FATURAR",IF(AND(P2090&lt;&gt;"",S2090="",OR(Q2090="",R2090="")),"🟡 PENDÊNCIA SEM RESPONSÁVEL/PRAZO",IF(AND(ISNUMBER(R2090),R2090=TODAY()),"🟡 VENCE HOJE",IF(AND(P2090&lt;&gt;"",S2090=""),"🟡 PENDÊNCIA ABERTA",IF(AND(N(J2090)&gt;0,N(K2090)&lt;J2090),"🟡 FALTA EXECUTAR",IF(OR(M2090="PENDENTE",M2090="PARCIAL"),"🟡 FATURAMENTO PENDENTE","🟡 EMBARQUE PENDENTE")))))))))))</f>
        <v/>
      </c>
      <c r="D2090" s="4" t="n"/>
      <c r="E2090" s="5" t="n"/>
      <c r="F2090" s="5" t="n"/>
      <c r="G2090" s="5" t="n"/>
      <c r="H2090" s="5" t="n"/>
      <c r="I2090" s="5" t="n"/>
      <c r="J2090" s="6" t="n"/>
      <c r="K2090" s="6" t="n"/>
      <c r="L2090" s="7">
        <f>IF(OR(D2090="",N(J2090)=0),"",MIN(1,N(K2090)/J2090))</f>
        <v/>
      </c>
      <c r="M2090" s="5" t="n"/>
      <c r="N2090" s="5" t="n"/>
      <c r="O2090" s="5" t="n"/>
      <c r="P2090" s="5" t="n"/>
      <c r="Q2090" s="5" t="n"/>
      <c r="R2090" s="4" t="n"/>
      <c r="S2090" s="4" t="n"/>
      <c r="T2090" s="5" t="n"/>
      <c r="U2090" s="8">
        <f>IF(AND(V2090=1,D2090&lt;&gt;""),IF(D2090&gt;=corte,TODAY()-D2090,""),"")</f>
        <v/>
      </c>
      <c r="V2090" s="8">
        <f>IF(D2090="",0,IF(OR(AND(P2090&lt;&gt;"",S2090=""),AND(N(J2090)&gt;0,N(K2090)&lt;J2090),OR(M2090="PENDENTE",M2090="PARCIAL"),OR(N2090="PENDENTE",N2090="PARCIAL")),1,0))</f>
        <v/>
      </c>
      <c r="W2090" s="8">
        <f>IF(AND(V2090=1,D2090&lt;&gt;""),IF(D2090&gt;=corte,(B2090="CRÍTICO")*1E9+(100000-D2090)*10000+10000-ROW(),""),"")</f>
        <v/>
      </c>
      <c r="X2090" s="8">
        <f>IF(AND(V2090=1,D2090=pas_data,E2090=pas_turno),10000-ROW(),"")</f>
        <v/>
      </c>
    </row>
    <row r="2091">
      <c r="A2091" s="3">
        <f>IF(D2091="","","TT-"&amp;TEXT(ROW()-1,"00000"))</f>
        <v/>
      </c>
      <c r="B2091" s="3">
        <f>IF(D2091="","",IF(V2091=0,"CONCLUÍDO",IF(D2091&lt;corte,"HISTÓRICO",IF(OR(AND(ISNUMBER(R2091),R2091&lt;TODAY()),AND(OR(N2091="PENDENTE",N2091="PARCIAL"),D2091&lt;TODAY()-1)),"CRÍTICO",IF(OR(AND(P2091&lt;&gt;"",S2091=""),AND(N2091="REALIZADO",M2091="PENDENTE"),AND(ISNUMBER(R2091),R2091=TODAY())),"ATENÇÃO",IF(N(K2091)=0,"PENDENTE","EM ANDAMENTO"))))))</f>
        <v/>
      </c>
      <c r="C2091" s="3">
        <f>IF(D2091="","",IF(V2091=0,"🟢 OK",IF(D2091&lt;corte,"⚪ HISTÓRICO (sem baixa)",IF(AND(ISNUMBER(R2091),R2091&lt;TODAY()),"🔴 PRAZO VENCIDO",IF(AND(OR(N2091="PENDENTE",N2091="PARCIAL"),D2091&lt;TODAY()-1),"🔴 EMBARQUE ATRASADO",IF(AND(N2091="REALIZADO",M2091="PENDENTE"),"🟡 EMBARCADO SEM FATURAR",IF(AND(P2091&lt;&gt;"",S2091="",OR(Q2091="",R2091="")),"🟡 PENDÊNCIA SEM RESPONSÁVEL/PRAZO",IF(AND(ISNUMBER(R2091),R2091=TODAY()),"🟡 VENCE HOJE",IF(AND(P2091&lt;&gt;"",S2091=""),"🟡 PENDÊNCIA ABERTA",IF(AND(N(J2091)&gt;0,N(K2091)&lt;J2091),"🟡 FALTA EXECUTAR",IF(OR(M2091="PENDENTE",M2091="PARCIAL"),"🟡 FATURAMENTO PENDENTE","🟡 EMBARQUE PENDENTE")))))))))))</f>
        <v/>
      </c>
      <c r="D2091" s="4" t="n"/>
      <c r="E2091" s="5" t="n"/>
      <c r="F2091" s="5" t="n"/>
      <c r="G2091" s="5" t="n"/>
      <c r="H2091" s="5" t="n"/>
      <c r="I2091" s="5" t="n"/>
      <c r="J2091" s="6" t="n"/>
      <c r="K2091" s="6" t="n"/>
      <c r="L2091" s="7">
        <f>IF(OR(D2091="",N(J2091)=0),"",MIN(1,N(K2091)/J2091))</f>
        <v/>
      </c>
      <c r="M2091" s="5" t="n"/>
      <c r="N2091" s="5" t="n"/>
      <c r="O2091" s="5" t="n"/>
      <c r="P2091" s="5" t="n"/>
      <c r="Q2091" s="5" t="n"/>
      <c r="R2091" s="4" t="n"/>
      <c r="S2091" s="4" t="n"/>
      <c r="T2091" s="5" t="n"/>
      <c r="U2091" s="8">
        <f>IF(AND(V2091=1,D2091&lt;&gt;""),IF(D2091&gt;=corte,TODAY()-D2091,""),"")</f>
        <v/>
      </c>
      <c r="V2091" s="8">
        <f>IF(D2091="",0,IF(OR(AND(P2091&lt;&gt;"",S2091=""),AND(N(J2091)&gt;0,N(K2091)&lt;J2091),OR(M2091="PENDENTE",M2091="PARCIAL"),OR(N2091="PENDENTE",N2091="PARCIAL")),1,0))</f>
        <v/>
      </c>
      <c r="W2091" s="8">
        <f>IF(AND(V2091=1,D2091&lt;&gt;""),IF(D2091&gt;=corte,(B2091="CRÍTICO")*1E9+(100000-D2091)*10000+10000-ROW(),""),"")</f>
        <v/>
      </c>
      <c r="X2091" s="8">
        <f>IF(AND(V2091=1,D2091=pas_data,E2091=pas_turno),10000-ROW(),"")</f>
        <v/>
      </c>
    </row>
    <row r="2092">
      <c r="A2092" s="3">
        <f>IF(D2092="","","TT-"&amp;TEXT(ROW()-1,"00000"))</f>
        <v/>
      </c>
      <c r="B2092" s="3">
        <f>IF(D2092="","",IF(V2092=0,"CONCLUÍDO",IF(D2092&lt;corte,"HISTÓRICO",IF(OR(AND(ISNUMBER(R2092),R2092&lt;TODAY()),AND(OR(N2092="PENDENTE",N2092="PARCIAL"),D2092&lt;TODAY()-1)),"CRÍTICO",IF(OR(AND(P2092&lt;&gt;"",S2092=""),AND(N2092="REALIZADO",M2092="PENDENTE"),AND(ISNUMBER(R2092),R2092=TODAY())),"ATENÇÃO",IF(N(K2092)=0,"PENDENTE","EM ANDAMENTO"))))))</f>
        <v/>
      </c>
      <c r="C2092" s="3">
        <f>IF(D2092="","",IF(V2092=0,"🟢 OK",IF(D2092&lt;corte,"⚪ HISTÓRICO (sem baixa)",IF(AND(ISNUMBER(R2092),R2092&lt;TODAY()),"🔴 PRAZO VENCIDO",IF(AND(OR(N2092="PENDENTE",N2092="PARCIAL"),D2092&lt;TODAY()-1),"🔴 EMBARQUE ATRASADO",IF(AND(N2092="REALIZADO",M2092="PENDENTE"),"🟡 EMBARCADO SEM FATURAR",IF(AND(P2092&lt;&gt;"",S2092="",OR(Q2092="",R2092="")),"🟡 PENDÊNCIA SEM RESPONSÁVEL/PRAZO",IF(AND(ISNUMBER(R2092),R2092=TODAY()),"🟡 VENCE HOJE",IF(AND(P2092&lt;&gt;"",S2092=""),"🟡 PENDÊNCIA ABERTA",IF(AND(N(J2092)&gt;0,N(K2092)&lt;J2092),"🟡 FALTA EXECUTAR",IF(OR(M2092="PENDENTE",M2092="PARCIAL"),"🟡 FATURAMENTO PENDENTE","🟡 EMBARQUE PENDENTE")))))))))))</f>
        <v/>
      </c>
      <c r="D2092" s="4" t="n"/>
      <c r="E2092" s="5" t="n"/>
      <c r="F2092" s="5" t="n"/>
      <c r="G2092" s="5" t="n"/>
      <c r="H2092" s="5" t="n"/>
      <c r="I2092" s="5" t="n"/>
      <c r="J2092" s="6" t="n"/>
      <c r="K2092" s="6" t="n"/>
      <c r="L2092" s="7">
        <f>IF(OR(D2092="",N(J2092)=0),"",MIN(1,N(K2092)/J2092))</f>
        <v/>
      </c>
      <c r="M2092" s="5" t="n"/>
      <c r="N2092" s="5" t="n"/>
      <c r="O2092" s="5" t="n"/>
      <c r="P2092" s="5" t="n"/>
      <c r="Q2092" s="5" t="n"/>
      <c r="R2092" s="4" t="n"/>
      <c r="S2092" s="4" t="n"/>
      <c r="T2092" s="5" t="n"/>
      <c r="U2092" s="8">
        <f>IF(AND(V2092=1,D2092&lt;&gt;""),IF(D2092&gt;=corte,TODAY()-D2092,""),"")</f>
        <v/>
      </c>
      <c r="V2092" s="8">
        <f>IF(D2092="",0,IF(OR(AND(P2092&lt;&gt;"",S2092=""),AND(N(J2092)&gt;0,N(K2092)&lt;J2092),OR(M2092="PENDENTE",M2092="PARCIAL"),OR(N2092="PENDENTE",N2092="PARCIAL")),1,0))</f>
        <v/>
      </c>
      <c r="W2092" s="8">
        <f>IF(AND(V2092=1,D2092&lt;&gt;""),IF(D2092&gt;=corte,(B2092="CRÍTICO")*1E9+(100000-D2092)*10000+10000-ROW(),""),"")</f>
        <v/>
      </c>
      <c r="X2092" s="8">
        <f>IF(AND(V2092=1,D2092=pas_data,E2092=pas_turno),10000-ROW(),"")</f>
        <v/>
      </c>
    </row>
    <row r="2093">
      <c r="A2093" s="3">
        <f>IF(D2093="","","TT-"&amp;TEXT(ROW()-1,"00000"))</f>
        <v/>
      </c>
      <c r="B2093" s="3">
        <f>IF(D2093="","",IF(V2093=0,"CONCLUÍDO",IF(D2093&lt;corte,"HISTÓRICO",IF(OR(AND(ISNUMBER(R2093),R2093&lt;TODAY()),AND(OR(N2093="PENDENTE",N2093="PARCIAL"),D2093&lt;TODAY()-1)),"CRÍTICO",IF(OR(AND(P2093&lt;&gt;"",S2093=""),AND(N2093="REALIZADO",M2093="PENDENTE"),AND(ISNUMBER(R2093),R2093=TODAY())),"ATENÇÃO",IF(N(K2093)=0,"PENDENTE","EM ANDAMENTO"))))))</f>
        <v/>
      </c>
      <c r="C2093" s="3">
        <f>IF(D2093="","",IF(V2093=0,"🟢 OK",IF(D2093&lt;corte,"⚪ HISTÓRICO (sem baixa)",IF(AND(ISNUMBER(R2093),R2093&lt;TODAY()),"🔴 PRAZO VENCIDO",IF(AND(OR(N2093="PENDENTE",N2093="PARCIAL"),D2093&lt;TODAY()-1),"🔴 EMBARQUE ATRASADO",IF(AND(N2093="REALIZADO",M2093="PENDENTE"),"🟡 EMBARCADO SEM FATURAR",IF(AND(P2093&lt;&gt;"",S2093="",OR(Q2093="",R2093="")),"🟡 PENDÊNCIA SEM RESPONSÁVEL/PRAZO",IF(AND(ISNUMBER(R2093),R2093=TODAY()),"🟡 VENCE HOJE",IF(AND(P2093&lt;&gt;"",S2093=""),"🟡 PENDÊNCIA ABERTA",IF(AND(N(J2093)&gt;0,N(K2093)&lt;J2093),"🟡 FALTA EXECUTAR",IF(OR(M2093="PENDENTE",M2093="PARCIAL"),"🟡 FATURAMENTO PENDENTE","🟡 EMBARQUE PENDENTE")))))))))))</f>
        <v/>
      </c>
      <c r="D2093" s="4" t="n"/>
      <c r="E2093" s="5" t="n"/>
      <c r="F2093" s="5" t="n"/>
      <c r="G2093" s="5" t="n"/>
      <c r="H2093" s="5" t="n"/>
      <c r="I2093" s="5" t="n"/>
      <c r="J2093" s="6" t="n"/>
      <c r="K2093" s="6" t="n"/>
      <c r="L2093" s="7">
        <f>IF(OR(D2093="",N(J2093)=0),"",MIN(1,N(K2093)/J2093))</f>
        <v/>
      </c>
      <c r="M2093" s="5" t="n"/>
      <c r="N2093" s="5" t="n"/>
      <c r="O2093" s="5" t="n"/>
      <c r="P2093" s="5" t="n"/>
      <c r="Q2093" s="5" t="n"/>
      <c r="R2093" s="4" t="n"/>
      <c r="S2093" s="4" t="n"/>
      <c r="T2093" s="5" t="n"/>
      <c r="U2093" s="8">
        <f>IF(AND(V2093=1,D2093&lt;&gt;""),IF(D2093&gt;=corte,TODAY()-D2093,""),"")</f>
        <v/>
      </c>
      <c r="V2093" s="8">
        <f>IF(D2093="",0,IF(OR(AND(P2093&lt;&gt;"",S2093=""),AND(N(J2093)&gt;0,N(K2093)&lt;J2093),OR(M2093="PENDENTE",M2093="PARCIAL"),OR(N2093="PENDENTE",N2093="PARCIAL")),1,0))</f>
        <v/>
      </c>
      <c r="W2093" s="8">
        <f>IF(AND(V2093=1,D2093&lt;&gt;""),IF(D2093&gt;=corte,(B2093="CRÍTICO")*1E9+(100000-D2093)*10000+10000-ROW(),""),"")</f>
        <v/>
      </c>
      <c r="X2093" s="8">
        <f>IF(AND(V2093=1,D2093=pas_data,E2093=pas_turno),10000-ROW(),"")</f>
        <v/>
      </c>
    </row>
    <row r="2094">
      <c r="A2094" s="3">
        <f>IF(D2094="","","TT-"&amp;TEXT(ROW()-1,"00000"))</f>
        <v/>
      </c>
      <c r="B2094" s="3">
        <f>IF(D2094="","",IF(V2094=0,"CONCLUÍDO",IF(D2094&lt;corte,"HISTÓRICO",IF(OR(AND(ISNUMBER(R2094),R2094&lt;TODAY()),AND(OR(N2094="PENDENTE",N2094="PARCIAL"),D2094&lt;TODAY()-1)),"CRÍTICO",IF(OR(AND(P2094&lt;&gt;"",S2094=""),AND(N2094="REALIZADO",M2094="PENDENTE"),AND(ISNUMBER(R2094),R2094=TODAY())),"ATENÇÃO",IF(N(K2094)=0,"PENDENTE","EM ANDAMENTO"))))))</f>
        <v/>
      </c>
      <c r="C2094" s="3">
        <f>IF(D2094="","",IF(V2094=0,"🟢 OK",IF(D2094&lt;corte,"⚪ HISTÓRICO (sem baixa)",IF(AND(ISNUMBER(R2094),R2094&lt;TODAY()),"🔴 PRAZO VENCIDO",IF(AND(OR(N2094="PENDENTE",N2094="PARCIAL"),D2094&lt;TODAY()-1),"🔴 EMBARQUE ATRASADO",IF(AND(N2094="REALIZADO",M2094="PENDENTE"),"🟡 EMBARCADO SEM FATURAR",IF(AND(P2094&lt;&gt;"",S2094="",OR(Q2094="",R2094="")),"🟡 PENDÊNCIA SEM RESPONSÁVEL/PRAZO",IF(AND(ISNUMBER(R2094),R2094=TODAY()),"🟡 VENCE HOJE",IF(AND(P2094&lt;&gt;"",S2094=""),"🟡 PENDÊNCIA ABERTA",IF(AND(N(J2094)&gt;0,N(K2094)&lt;J2094),"🟡 FALTA EXECUTAR",IF(OR(M2094="PENDENTE",M2094="PARCIAL"),"🟡 FATURAMENTO PENDENTE","🟡 EMBARQUE PENDENTE")))))))))))</f>
        <v/>
      </c>
      <c r="D2094" s="4" t="n"/>
      <c r="E2094" s="5" t="n"/>
      <c r="F2094" s="5" t="n"/>
      <c r="G2094" s="5" t="n"/>
      <c r="H2094" s="5" t="n"/>
      <c r="I2094" s="5" t="n"/>
      <c r="J2094" s="6" t="n"/>
      <c r="K2094" s="6" t="n"/>
      <c r="L2094" s="7">
        <f>IF(OR(D2094="",N(J2094)=0),"",MIN(1,N(K2094)/J2094))</f>
        <v/>
      </c>
      <c r="M2094" s="5" t="n"/>
      <c r="N2094" s="5" t="n"/>
      <c r="O2094" s="5" t="n"/>
      <c r="P2094" s="5" t="n"/>
      <c r="Q2094" s="5" t="n"/>
      <c r="R2094" s="4" t="n"/>
      <c r="S2094" s="4" t="n"/>
      <c r="T2094" s="5" t="n"/>
      <c r="U2094" s="8">
        <f>IF(AND(V2094=1,D2094&lt;&gt;""),IF(D2094&gt;=corte,TODAY()-D2094,""),"")</f>
        <v/>
      </c>
      <c r="V2094" s="8">
        <f>IF(D2094="",0,IF(OR(AND(P2094&lt;&gt;"",S2094=""),AND(N(J2094)&gt;0,N(K2094)&lt;J2094),OR(M2094="PENDENTE",M2094="PARCIAL"),OR(N2094="PENDENTE",N2094="PARCIAL")),1,0))</f>
        <v/>
      </c>
      <c r="W2094" s="8">
        <f>IF(AND(V2094=1,D2094&lt;&gt;""),IF(D2094&gt;=corte,(B2094="CRÍTICO")*1E9+(100000-D2094)*10000+10000-ROW(),""),"")</f>
        <v/>
      </c>
      <c r="X2094" s="8">
        <f>IF(AND(V2094=1,D2094=pas_data,E2094=pas_turno),10000-ROW(),"")</f>
        <v/>
      </c>
    </row>
    <row r="2095">
      <c r="A2095" s="3">
        <f>IF(D2095="","","TT-"&amp;TEXT(ROW()-1,"00000"))</f>
        <v/>
      </c>
      <c r="B2095" s="3">
        <f>IF(D2095="","",IF(V2095=0,"CONCLUÍDO",IF(D2095&lt;corte,"HISTÓRICO",IF(OR(AND(ISNUMBER(R2095),R2095&lt;TODAY()),AND(OR(N2095="PENDENTE",N2095="PARCIAL"),D2095&lt;TODAY()-1)),"CRÍTICO",IF(OR(AND(P2095&lt;&gt;"",S2095=""),AND(N2095="REALIZADO",M2095="PENDENTE"),AND(ISNUMBER(R2095),R2095=TODAY())),"ATENÇÃO",IF(N(K2095)=0,"PENDENTE","EM ANDAMENTO"))))))</f>
        <v/>
      </c>
      <c r="C2095" s="3">
        <f>IF(D2095="","",IF(V2095=0,"🟢 OK",IF(D2095&lt;corte,"⚪ HISTÓRICO (sem baixa)",IF(AND(ISNUMBER(R2095),R2095&lt;TODAY()),"🔴 PRAZO VENCIDO",IF(AND(OR(N2095="PENDENTE",N2095="PARCIAL"),D2095&lt;TODAY()-1),"🔴 EMBARQUE ATRASADO",IF(AND(N2095="REALIZADO",M2095="PENDENTE"),"🟡 EMBARCADO SEM FATURAR",IF(AND(P2095&lt;&gt;"",S2095="",OR(Q2095="",R2095="")),"🟡 PENDÊNCIA SEM RESPONSÁVEL/PRAZO",IF(AND(ISNUMBER(R2095),R2095=TODAY()),"🟡 VENCE HOJE",IF(AND(P2095&lt;&gt;"",S2095=""),"🟡 PENDÊNCIA ABERTA",IF(AND(N(J2095)&gt;0,N(K2095)&lt;J2095),"🟡 FALTA EXECUTAR",IF(OR(M2095="PENDENTE",M2095="PARCIAL"),"🟡 FATURAMENTO PENDENTE","🟡 EMBARQUE PENDENTE")))))))))))</f>
        <v/>
      </c>
      <c r="D2095" s="4" t="n"/>
      <c r="E2095" s="5" t="n"/>
      <c r="F2095" s="5" t="n"/>
      <c r="G2095" s="5" t="n"/>
      <c r="H2095" s="5" t="n"/>
      <c r="I2095" s="5" t="n"/>
      <c r="J2095" s="6" t="n"/>
      <c r="K2095" s="6" t="n"/>
      <c r="L2095" s="7">
        <f>IF(OR(D2095="",N(J2095)=0),"",MIN(1,N(K2095)/J2095))</f>
        <v/>
      </c>
      <c r="M2095" s="5" t="n"/>
      <c r="N2095" s="5" t="n"/>
      <c r="O2095" s="5" t="n"/>
      <c r="P2095" s="5" t="n"/>
      <c r="Q2095" s="5" t="n"/>
      <c r="R2095" s="4" t="n"/>
      <c r="S2095" s="4" t="n"/>
      <c r="T2095" s="5" t="n"/>
      <c r="U2095" s="8">
        <f>IF(AND(V2095=1,D2095&lt;&gt;""),IF(D2095&gt;=corte,TODAY()-D2095,""),"")</f>
        <v/>
      </c>
      <c r="V2095" s="8">
        <f>IF(D2095="",0,IF(OR(AND(P2095&lt;&gt;"",S2095=""),AND(N(J2095)&gt;0,N(K2095)&lt;J2095),OR(M2095="PENDENTE",M2095="PARCIAL"),OR(N2095="PENDENTE",N2095="PARCIAL")),1,0))</f>
        <v/>
      </c>
      <c r="W2095" s="8">
        <f>IF(AND(V2095=1,D2095&lt;&gt;""),IF(D2095&gt;=corte,(B2095="CRÍTICO")*1E9+(100000-D2095)*10000+10000-ROW(),""),"")</f>
        <v/>
      </c>
      <c r="X2095" s="8">
        <f>IF(AND(V2095=1,D2095=pas_data,E2095=pas_turno),10000-ROW(),"")</f>
        <v/>
      </c>
    </row>
    <row r="2096">
      <c r="A2096" s="3">
        <f>IF(D2096="","","TT-"&amp;TEXT(ROW()-1,"00000"))</f>
        <v/>
      </c>
      <c r="B2096" s="3">
        <f>IF(D2096="","",IF(V2096=0,"CONCLUÍDO",IF(D2096&lt;corte,"HISTÓRICO",IF(OR(AND(ISNUMBER(R2096),R2096&lt;TODAY()),AND(OR(N2096="PENDENTE",N2096="PARCIAL"),D2096&lt;TODAY()-1)),"CRÍTICO",IF(OR(AND(P2096&lt;&gt;"",S2096=""),AND(N2096="REALIZADO",M2096="PENDENTE"),AND(ISNUMBER(R2096),R2096=TODAY())),"ATENÇÃO",IF(N(K2096)=0,"PENDENTE","EM ANDAMENTO"))))))</f>
        <v/>
      </c>
      <c r="C2096" s="3">
        <f>IF(D2096="","",IF(V2096=0,"🟢 OK",IF(D2096&lt;corte,"⚪ HISTÓRICO (sem baixa)",IF(AND(ISNUMBER(R2096),R2096&lt;TODAY()),"🔴 PRAZO VENCIDO",IF(AND(OR(N2096="PENDENTE",N2096="PARCIAL"),D2096&lt;TODAY()-1),"🔴 EMBARQUE ATRASADO",IF(AND(N2096="REALIZADO",M2096="PENDENTE"),"🟡 EMBARCADO SEM FATURAR",IF(AND(P2096&lt;&gt;"",S2096="",OR(Q2096="",R2096="")),"🟡 PENDÊNCIA SEM RESPONSÁVEL/PRAZO",IF(AND(ISNUMBER(R2096),R2096=TODAY()),"🟡 VENCE HOJE",IF(AND(P2096&lt;&gt;"",S2096=""),"🟡 PENDÊNCIA ABERTA",IF(AND(N(J2096)&gt;0,N(K2096)&lt;J2096),"🟡 FALTA EXECUTAR",IF(OR(M2096="PENDENTE",M2096="PARCIAL"),"🟡 FATURAMENTO PENDENTE","🟡 EMBARQUE PENDENTE")))))))))))</f>
        <v/>
      </c>
      <c r="D2096" s="4" t="n"/>
      <c r="E2096" s="5" t="n"/>
      <c r="F2096" s="5" t="n"/>
      <c r="G2096" s="5" t="n"/>
      <c r="H2096" s="5" t="n"/>
      <c r="I2096" s="5" t="n"/>
      <c r="J2096" s="6" t="n"/>
      <c r="K2096" s="6" t="n"/>
      <c r="L2096" s="7">
        <f>IF(OR(D2096="",N(J2096)=0),"",MIN(1,N(K2096)/J2096))</f>
        <v/>
      </c>
      <c r="M2096" s="5" t="n"/>
      <c r="N2096" s="5" t="n"/>
      <c r="O2096" s="5" t="n"/>
      <c r="P2096" s="5" t="n"/>
      <c r="Q2096" s="5" t="n"/>
      <c r="R2096" s="4" t="n"/>
      <c r="S2096" s="4" t="n"/>
      <c r="T2096" s="5" t="n"/>
      <c r="U2096" s="8">
        <f>IF(AND(V2096=1,D2096&lt;&gt;""),IF(D2096&gt;=corte,TODAY()-D2096,""),"")</f>
        <v/>
      </c>
      <c r="V2096" s="8">
        <f>IF(D2096="",0,IF(OR(AND(P2096&lt;&gt;"",S2096=""),AND(N(J2096)&gt;0,N(K2096)&lt;J2096),OR(M2096="PENDENTE",M2096="PARCIAL"),OR(N2096="PENDENTE",N2096="PARCIAL")),1,0))</f>
        <v/>
      </c>
      <c r="W2096" s="8">
        <f>IF(AND(V2096=1,D2096&lt;&gt;""),IF(D2096&gt;=corte,(B2096="CRÍTICO")*1E9+(100000-D2096)*10000+10000-ROW(),""),"")</f>
        <v/>
      </c>
      <c r="X2096" s="8">
        <f>IF(AND(V2096=1,D2096=pas_data,E2096=pas_turno),10000-ROW(),"")</f>
        <v/>
      </c>
    </row>
    <row r="2097">
      <c r="A2097" s="3">
        <f>IF(D2097="","","TT-"&amp;TEXT(ROW()-1,"00000"))</f>
        <v/>
      </c>
      <c r="B2097" s="3">
        <f>IF(D2097="","",IF(V2097=0,"CONCLUÍDO",IF(D2097&lt;corte,"HISTÓRICO",IF(OR(AND(ISNUMBER(R2097),R2097&lt;TODAY()),AND(OR(N2097="PENDENTE",N2097="PARCIAL"),D2097&lt;TODAY()-1)),"CRÍTICO",IF(OR(AND(P2097&lt;&gt;"",S2097=""),AND(N2097="REALIZADO",M2097="PENDENTE"),AND(ISNUMBER(R2097),R2097=TODAY())),"ATENÇÃO",IF(N(K2097)=0,"PENDENTE","EM ANDAMENTO"))))))</f>
        <v/>
      </c>
      <c r="C2097" s="3">
        <f>IF(D2097="","",IF(V2097=0,"🟢 OK",IF(D2097&lt;corte,"⚪ HISTÓRICO (sem baixa)",IF(AND(ISNUMBER(R2097),R2097&lt;TODAY()),"🔴 PRAZO VENCIDO",IF(AND(OR(N2097="PENDENTE",N2097="PARCIAL"),D2097&lt;TODAY()-1),"🔴 EMBARQUE ATRASADO",IF(AND(N2097="REALIZADO",M2097="PENDENTE"),"🟡 EMBARCADO SEM FATURAR",IF(AND(P2097&lt;&gt;"",S2097="",OR(Q2097="",R2097="")),"🟡 PENDÊNCIA SEM RESPONSÁVEL/PRAZO",IF(AND(ISNUMBER(R2097),R2097=TODAY()),"🟡 VENCE HOJE",IF(AND(P2097&lt;&gt;"",S2097=""),"🟡 PENDÊNCIA ABERTA",IF(AND(N(J2097)&gt;0,N(K2097)&lt;J2097),"🟡 FALTA EXECUTAR",IF(OR(M2097="PENDENTE",M2097="PARCIAL"),"🟡 FATURAMENTO PENDENTE","🟡 EMBARQUE PENDENTE")))))))))))</f>
        <v/>
      </c>
      <c r="D2097" s="4" t="n"/>
      <c r="E2097" s="5" t="n"/>
      <c r="F2097" s="5" t="n"/>
      <c r="G2097" s="5" t="n"/>
      <c r="H2097" s="5" t="n"/>
      <c r="I2097" s="5" t="n"/>
      <c r="J2097" s="6" t="n"/>
      <c r="K2097" s="6" t="n"/>
      <c r="L2097" s="7">
        <f>IF(OR(D2097="",N(J2097)=0),"",MIN(1,N(K2097)/J2097))</f>
        <v/>
      </c>
      <c r="M2097" s="5" t="n"/>
      <c r="N2097" s="5" t="n"/>
      <c r="O2097" s="5" t="n"/>
      <c r="P2097" s="5" t="n"/>
      <c r="Q2097" s="5" t="n"/>
      <c r="R2097" s="4" t="n"/>
      <c r="S2097" s="4" t="n"/>
      <c r="T2097" s="5" t="n"/>
      <c r="U2097" s="8">
        <f>IF(AND(V2097=1,D2097&lt;&gt;""),IF(D2097&gt;=corte,TODAY()-D2097,""),"")</f>
        <v/>
      </c>
      <c r="V2097" s="8">
        <f>IF(D2097="",0,IF(OR(AND(P2097&lt;&gt;"",S2097=""),AND(N(J2097)&gt;0,N(K2097)&lt;J2097),OR(M2097="PENDENTE",M2097="PARCIAL"),OR(N2097="PENDENTE",N2097="PARCIAL")),1,0))</f>
        <v/>
      </c>
      <c r="W2097" s="8">
        <f>IF(AND(V2097=1,D2097&lt;&gt;""),IF(D2097&gt;=corte,(B2097="CRÍTICO")*1E9+(100000-D2097)*10000+10000-ROW(),""),"")</f>
        <v/>
      </c>
      <c r="X2097" s="8">
        <f>IF(AND(V2097=1,D2097=pas_data,E2097=pas_turno),10000-ROW(),"")</f>
        <v/>
      </c>
    </row>
    <row r="2098">
      <c r="A2098" s="3">
        <f>IF(D2098="","","TT-"&amp;TEXT(ROW()-1,"00000"))</f>
        <v/>
      </c>
      <c r="B2098" s="3">
        <f>IF(D2098="","",IF(V2098=0,"CONCLUÍDO",IF(D2098&lt;corte,"HISTÓRICO",IF(OR(AND(ISNUMBER(R2098),R2098&lt;TODAY()),AND(OR(N2098="PENDENTE",N2098="PARCIAL"),D2098&lt;TODAY()-1)),"CRÍTICO",IF(OR(AND(P2098&lt;&gt;"",S2098=""),AND(N2098="REALIZADO",M2098="PENDENTE"),AND(ISNUMBER(R2098),R2098=TODAY())),"ATENÇÃO",IF(N(K2098)=0,"PENDENTE","EM ANDAMENTO"))))))</f>
        <v/>
      </c>
      <c r="C2098" s="3">
        <f>IF(D2098="","",IF(V2098=0,"🟢 OK",IF(D2098&lt;corte,"⚪ HISTÓRICO (sem baixa)",IF(AND(ISNUMBER(R2098),R2098&lt;TODAY()),"🔴 PRAZO VENCIDO",IF(AND(OR(N2098="PENDENTE",N2098="PARCIAL"),D2098&lt;TODAY()-1),"🔴 EMBARQUE ATRASADO",IF(AND(N2098="REALIZADO",M2098="PENDENTE"),"🟡 EMBARCADO SEM FATURAR",IF(AND(P2098&lt;&gt;"",S2098="",OR(Q2098="",R2098="")),"🟡 PENDÊNCIA SEM RESPONSÁVEL/PRAZO",IF(AND(ISNUMBER(R2098),R2098=TODAY()),"🟡 VENCE HOJE",IF(AND(P2098&lt;&gt;"",S2098=""),"🟡 PENDÊNCIA ABERTA",IF(AND(N(J2098)&gt;0,N(K2098)&lt;J2098),"🟡 FALTA EXECUTAR",IF(OR(M2098="PENDENTE",M2098="PARCIAL"),"🟡 FATURAMENTO PENDENTE","🟡 EMBARQUE PENDENTE")))))))))))</f>
        <v/>
      </c>
      <c r="D2098" s="4" t="n"/>
      <c r="E2098" s="5" t="n"/>
      <c r="F2098" s="5" t="n"/>
      <c r="G2098" s="5" t="n"/>
      <c r="H2098" s="5" t="n"/>
      <c r="I2098" s="5" t="n"/>
      <c r="J2098" s="6" t="n"/>
      <c r="K2098" s="6" t="n"/>
      <c r="L2098" s="7">
        <f>IF(OR(D2098="",N(J2098)=0),"",MIN(1,N(K2098)/J2098))</f>
        <v/>
      </c>
      <c r="M2098" s="5" t="n"/>
      <c r="N2098" s="5" t="n"/>
      <c r="O2098" s="5" t="n"/>
      <c r="P2098" s="5" t="n"/>
      <c r="Q2098" s="5" t="n"/>
      <c r="R2098" s="4" t="n"/>
      <c r="S2098" s="4" t="n"/>
      <c r="T2098" s="5" t="n"/>
      <c r="U2098" s="8">
        <f>IF(AND(V2098=1,D2098&lt;&gt;""),IF(D2098&gt;=corte,TODAY()-D2098,""),"")</f>
        <v/>
      </c>
      <c r="V2098" s="8">
        <f>IF(D2098="",0,IF(OR(AND(P2098&lt;&gt;"",S2098=""),AND(N(J2098)&gt;0,N(K2098)&lt;J2098),OR(M2098="PENDENTE",M2098="PARCIAL"),OR(N2098="PENDENTE",N2098="PARCIAL")),1,0))</f>
        <v/>
      </c>
      <c r="W2098" s="8">
        <f>IF(AND(V2098=1,D2098&lt;&gt;""),IF(D2098&gt;=corte,(B2098="CRÍTICO")*1E9+(100000-D2098)*10000+10000-ROW(),""),"")</f>
        <v/>
      </c>
      <c r="X2098" s="8">
        <f>IF(AND(V2098=1,D2098=pas_data,E2098=pas_turno),10000-ROW(),"")</f>
        <v/>
      </c>
    </row>
    <row r="2099">
      <c r="A2099" s="3">
        <f>IF(D2099="","","TT-"&amp;TEXT(ROW()-1,"00000"))</f>
        <v/>
      </c>
      <c r="B2099" s="3">
        <f>IF(D2099="","",IF(V2099=0,"CONCLUÍDO",IF(D2099&lt;corte,"HISTÓRICO",IF(OR(AND(ISNUMBER(R2099),R2099&lt;TODAY()),AND(OR(N2099="PENDENTE",N2099="PARCIAL"),D2099&lt;TODAY()-1)),"CRÍTICO",IF(OR(AND(P2099&lt;&gt;"",S2099=""),AND(N2099="REALIZADO",M2099="PENDENTE"),AND(ISNUMBER(R2099),R2099=TODAY())),"ATENÇÃO",IF(N(K2099)=0,"PENDENTE","EM ANDAMENTO"))))))</f>
        <v/>
      </c>
      <c r="C2099" s="3">
        <f>IF(D2099="","",IF(V2099=0,"🟢 OK",IF(D2099&lt;corte,"⚪ HISTÓRICO (sem baixa)",IF(AND(ISNUMBER(R2099),R2099&lt;TODAY()),"🔴 PRAZO VENCIDO",IF(AND(OR(N2099="PENDENTE",N2099="PARCIAL"),D2099&lt;TODAY()-1),"🔴 EMBARQUE ATRASADO",IF(AND(N2099="REALIZADO",M2099="PENDENTE"),"🟡 EMBARCADO SEM FATURAR",IF(AND(P2099&lt;&gt;"",S2099="",OR(Q2099="",R2099="")),"🟡 PENDÊNCIA SEM RESPONSÁVEL/PRAZO",IF(AND(ISNUMBER(R2099),R2099=TODAY()),"🟡 VENCE HOJE",IF(AND(P2099&lt;&gt;"",S2099=""),"🟡 PENDÊNCIA ABERTA",IF(AND(N(J2099)&gt;0,N(K2099)&lt;J2099),"🟡 FALTA EXECUTAR",IF(OR(M2099="PENDENTE",M2099="PARCIAL"),"🟡 FATURAMENTO PENDENTE","🟡 EMBARQUE PENDENTE")))))))))))</f>
        <v/>
      </c>
      <c r="D2099" s="4" t="n"/>
      <c r="E2099" s="5" t="n"/>
      <c r="F2099" s="5" t="n"/>
      <c r="G2099" s="5" t="n"/>
      <c r="H2099" s="5" t="n"/>
      <c r="I2099" s="5" t="n"/>
      <c r="J2099" s="6" t="n"/>
      <c r="K2099" s="6" t="n"/>
      <c r="L2099" s="7">
        <f>IF(OR(D2099="",N(J2099)=0),"",MIN(1,N(K2099)/J2099))</f>
        <v/>
      </c>
      <c r="M2099" s="5" t="n"/>
      <c r="N2099" s="5" t="n"/>
      <c r="O2099" s="5" t="n"/>
      <c r="P2099" s="5" t="n"/>
      <c r="Q2099" s="5" t="n"/>
      <c r="R2099" s="4" t="n"/>
      <c r="S2099" s="4" t="n"/>
      <c r="T2099" s="5" t="n"/>
      <c r="U2099" s="8">
        <f>IF(AND(V2099=1,D2099&lt;&gt;""),IF(D2099&gt;=corte,TODAY()-D2099,""),"")</f>
        <v/>
      </c>
      <c r="V2099" s="8">
        <f>IF(D2099="",0,IF(OR(AND(P2099&lt;&gt;"",S2099=""),AND(N(J2099)&gt;0,N(K2099)&lt;J2099),OR(M2099="PENDENTE",M2099="PARCIAL"),OR(N2099="PENDENTE",N2099="PARCIAL")),1,0))</f>
        <v/>
      </c>
      <c r="W2099" s="8">
        <f>IF(AND(V2099=1,D2099&lt;&gt;""),IF(D2099&gt;=corte,(B2099="CRÍTICO")*1E9+(100000-D2099)*10000+10000-ROW(),""),"")</f>
        <v/>
      </c>
      <c r="X2099" s="8">
        <f>IF(AND(V2099=1,D2099=pas_data,E2099=pas_turno),10000-ROW(),"")</f>
        <v/>
      </c>
    </row>
    <row r="2100">
      <c r="A2100" s="3">
        <f>IF(D2100="","","TT-"&amp;TEXT(ROW()-1,"00000"))</f>
        <v/>
      </c>
      <c r="B2100" s="3">
        <f>IF(D2100="","",IF(V2100=0,"CONCLUÍDO",IF(D2100&lt;corte,"HISTÓRICO",IF(OR(AND(ISNUMBER(R2100),R2100&lt;TODAY()),AND(OR(N2100="PENDENTE",N2100="PARCIAL"),D2100&lt;TODAY()-1)),"CRÍTICO",IF(OR(AND(P2100&lt;&gt;"",S2100=""),AND(N2100="REALIZADO",M2100="PENDENTE"),AND(ISNUMBER(R2100),R2100=TODAY())),"ATENÇÃO",IF(N(K2100)=0,"PENDENTE","EM ANDAMENTO"))))))</f>
        <v/>
      </c>
      <c r="C2100" s="3">
        <f>IF(D2100="","",IF(V2100=0,"🟢 OK",IF(D2100&lt;corte,"⚪ HISTÓRICO (sem baixa)",IF(AND(ISNUMBER(R2100),R2100&lt;TODAY()),"🔴 PRAZO VENCIDO",IF(AND(OR(N2100="PENDENTE",N2100="PARCIAL"),D2100&lt;TODAY()-1),"🔴 EMBARQUE ATRASADO",IF(AND(N2100="REALIZADO",M2100="PENDENTE"),"🟡 EMBARCADO SEM FATURAR",IF(AND(P2100&lt;&gt;"",S2100="",OR(Q2100="",R2100="")),"🟡 PENDÊNCIA SEM RESPONSÁVEL/PRAZO",IF(AND(ISNUMBER(R2100),R2100=TODAY()),"🟡 VENCE HOJE",IF(AND(P2100&lt;&gt;"",S2100=""),"🟡 PENDÊNCIA ABERTA",IF(AND(N(J2100)&gt;0,N(K2100)&lt;J2100),"🟡 FALTA EXECUTAR",IF(OR(M2100="PENDENTE",M2100="PARCIAL"),"🟡 FATURAMENTO PENDENTE","🟡 EMBARQUE PENDENTE")))))))))))</f>
        <v/>
      </c>
      <c r="D2100" s="4" t="n"/>
      <c r="E2100" s="5" t="n"/>
      <c r="F2100" s="5" t="n"/>
      <c r="G2100" s="5" t="n"/>
      <c r="H2100" s="5" t="n"/>
      <c r="I2100" s="5" t="n"/>
      <c r="J2100" s="6" t="n"/>
      <c r="K2100" s="6" t="n"/>
      <c r="L2100" s="7">
        <f>IF(OR(D2100="",N(J2100)=0),"",MIN(1,N(K2100)/J2100))</f>
        <v/>
      </c>
      <c r="M2100" s="5" t="n"/>
      <c r="N2100" s="5" t="n"/>
      <c r="O2100" s="5" t="n"/>
      <c r="P2100" s="5" t="n"/>
      <c r="Q2100" s="5" t="n"/>
      <c r="R2100" s="4" t="n"/>
      <c r="S2100" s="4" t="n"/>
      <c r="T2100" s="5" t="n"/>
      <c r="U2100" s="8">
        <f>IF(AND(V2100=1,D2100&lt;&gt;""),IF(D2100&gt;=corte,TODAY()-D2100,""),"")</f>
        <v/>
      </c>
      <c r="V2100" s="8">
        <f>IF(D2100="",0,IF(OR(AND(P2100&lt;&gt;"",S2100=""),AND(N(J2100)&gt;0,N(K2100)&lt;J2100),OR(M2100="PENDENTE",M2100="PARCIAL"),OR(N2100="PENDENTE",N2100="PARCIAL")),1,0))</f>
        <v/>
      </c>
      <c r="W2100" s="8">
        <f>IF(AND(V2100=1,D2100&lt;&gt;""),IF(D2100&gt;=corte,(B2100="CRÍTICO")*1E9+(100000-D2100)*10000+10000-ROW(),""),"")</f>
        <v/>
      </c>
      <c r="X2100" s="8">
        <f>IF(AND(V2100=1,D2100=pas_data,E2100=pas_turno),10000-ROW(),"")</f>
        <v/>
      </c>
    </row>
    <row r="2101">
      <c r="A2101" s="3">
        <f>IF(D2101="","","TT-"&amp;TEXT(ROW()-1,"00000"))</f>
        <v/>
      </c>
      <c r="B2101" s="3">
        <f>IF(D2101="","",IF(V2101=0,"CONCLUÍDO",IF(D2101&lt;corte,"HISTÓRICO",IF(OR(AND(ISNUMBER(R2101),R2101&lt;TODAY()),AND(OR(N2101="PENDENTE",N2101="PARCIAL"),D2101&lt;TODAY()-1)),"CRÍTICO",IF(OR(AND(P2101&lt;&gt;"",S2101=""),AND(N2101="REALIZADO",M2101="PENDENTE"),AND(ISNUMBER(R2101),R2101=TODAY())),"ATENÇÃO",IF(N(K2101)=0,"PENDENTE","EM ANDAMENTO"))))))</f>
        <v/>
      </c>
      <c r="C2101" s="3">
        <f>IF(D2101="","",IF(V2101=0,"🟢 OK",IF(D2101&lt;corte,"⚪ HISTÓRICO (sem baixa)",IF(AND(ISNUMBER(R2101),R2101&lt;TODAY()),"🔴 PRAZO VENCIDO",IF(AND(OR(N2101="PENDENTE",N2101="PARCIAL"),D2101&lt;TODAY()-1),"🔴 EMBARQUE ATRASADO",IF(AND(N2101="REALIZADO",M2101="PENDENTE"),"🟡 EMBARCADO SEM FATURAR",IF(AND(P2101&lt;&gt;"",S2101="",OR(Q2101="",R2101="")),"🟡 PENDÊNCIA SEM RESPONSÁVEL/PRAZO",IF(AND(ISNUMBER(R2101),R2101=TODAY()),"🟡 VENCE HOJE",IF(AND(P2101&lt;&gt;"",S2101=""),"🟡 PENDÊNCIA ABERTA",IF(AND(N(J2101)&gt;0,N(K2101)&lt;J2101),"🟡 FALTA EXECUTAR",IF(OR(M2101="PENDENTE",M2101="PARCIAL"),"🟡 FATURAMENTO PENDENTE","🟡 EMBARQUE PENDENTE")))))))))))</f>
        <v/>
      </c>
      <c r="D2101" s="4" t="n"/>
      <c r="E2101" s="5" t="n"/>
      <c r="F2101" s="5" t="n"/>
      <c r="G2101" s="5" t="n"/>
      <c r="H2101" s="5" t="n"/>
      <c r="I2101" s="5" t="n"/>
      <c r="J2101" s="6" t="n"/>
      <c r="K2101" s="6" t="n"/>
      <c r="L2101" s="7">
        <f>IF(OR(D2101="",N(J2101)=0),"",MIN(1,N(K2101)/J2101))</f>
        <v/>
      </c>
      <c r="M2101" s="5" t="n"/>
      <c r="N2101" s="5" t="n"/>
      <c r="O2101" s="5" t="n"/>
      <c r="P2101" s="5" t="n"/>
      <c r="Q2101" s="5" t="n"/>
      <c r="R2101" s="4" t="n"/>
      <c r="S2101" s="4" t="n"/>
      <c r="T2101" s="5" t="n"/>
      <c r="U2101" s="8">
        <f>IF(AND(V2101=1,D2101&lt;&gt;""),IF(D2101&gt;=corte,TODAY()-D2101,""),"")</f>
        <v/>
      </c>
      <c r="V2101" s="8">
        <f>IF(D2101="",0,IF(OR(AND(P2101&lt;&gt;"",S2101=""),AND(N(J2101)&gt;0,N(K2101)&lt;J2101),OR(M2101="PENDENTE",M2101="PARCIAL"),OR(N2101="PENDENTE",N2101="PARCIAL")),1,0))</f>
        <v/>
      </c>
      <c r="W2101" s="8">
        <f>IF(AND(V2101=1,D2101&lt;&gt;""),IF(D2101&gt;=corte,(B2101="CRÍTICO")*1E9+(100000-D2101)*10000+10000-ROW(),""),"")</f>
        <v/>
      </c>
      <c r="X2101" s="8">
        <f>IF(AND(V2101=1,D2101=pas_data,E2101=pas_turno),10000-ROW(),"")</f>
        <v/>
      </c>
    </row>
    <row r="2102">
      <c r="A2102" s="3">
        <f>IF(D2102="","","TT-"&amp;TEXT(ROW()-1,"00000"))</f>
        <v/>
      </c>
      <c r="B2102" s="3">
        <f>IF(D2102="","",IF(V2102=0,"CONCLUÍDO",IF(D2102&lt;corte,"HISTÓRICO",IF(OR(AND(ISNUMBER(R2102),R2102&lt;TODAY()),AND(OR(N2102="PENDENTE",N2102="PARCIAL"),D2102&lt;TODAY()-1)),"CRÍTICO",IF(OR(AND(P2102&lt;&gt;"",S2102=""),AND(N2102="REALIZADO",M2102="PENDENTE"),AND(ISNUMBER(R2102),R2102=TODAY())),"ATENÇÃO",IF(N(K2102)=0,"PENDENTE","EM ANDAMENTO"))))))</f>
        <v/>
      </c>
      <c r="C2102" s="3">
        <f>IF(D2102="","",IF(V2102=0,"🟢 OK",IF(D2102&lt;corte,"⚪ HISTÓRICO (sem baixa)",IF(AND(ISNUMBER(R2102),R2102&lt;TODAY()),"🔴 PRAZO VENCIDO",IF(AND(OR(N2102="PENDENTE",N2102="PARCIAL"),D2102&lt;TODAY()-1),"🔴 EMBARQUE ATRASADO",IF(AND(N2102="REALIZADO",M2102="PENDENTE"),"🟡 EMBARCADO SEM FATURAR",IF(AND(P2102&lt;&gt;"",S2102="",OR(Q2102="",R2102="")),"🟡 PENDÊNCIA SEM RESPONSÁVEL/PRAZO",IF(AND(ISNUMBER(R2102),R2102=TODAY()),"🟡 VENCE HOJE",IF(AND(P2102&lt;&gt;"",S2102=""),"🟡 PENDÊNCIA ABERTA",IF(AND(N(J2102)&gt;0,N(K2102)&lt;J2102),"🟡 FALTA EXECUTAR",IF(OR(M2102="PENDENTE",M2102="PARCIAL"),"🟡 FATURAMENTO PENDENTE","🟡 EMBARQUE PENDENTE")))))))))))</f>
        <v/>
      </c>
      <c r="D2102" s="4" t="n"/>
      <c r="E2102" s="5" t="n"/>
      <c r="F2102" s="5" t="n"/>
      <c r="G2102" s="5" t="n"/>
      <c r="H2102" s="5" t="n"/>
      <c r="I2102" s="5" t="n"/>
      <c r="J2102" s="6" t="n"/>
      <c r="K2102" s="6" t="n"/>
      <c r="L2102" s="7">
        <f>IF(OR(D2102="",N(J2102)=0),"",MIN(1,N(K2102)/J2102))</f>
        <v/>
      </c>
      <c r="M2102" s="5" t="n"/>
      <c r="N2102" s="5" t="n"/>
      <c r="O2102" s="5" t="n"/>
      <c r="P2102" s="5" t="n"/>
      <c r="Q2102" s="5" t="n"/>
      <c r="R2102" s="4" t="n"/>
      <c r="S2102" s="4" t="n"/>
      <c r="T2102" s="5" t="n"/>
      <c r="U2102" s="8">
        <f>IF(AND(V2102=1,D2102&lt;&gt;""),IF(D2102&gt;=corte,TODAY()-D2102,""),"")</f>
        <v/>
      </c>
      <c r="V2102" s="8">
        <f>IF(D2102="",0,IF(OR(AND(P2102&lt;&gt;"",S2102=""),AND(N(J2102)&gt;0,N(K2102)&lt;J2102),OR(M2102="PENDENTE",M2102="PARCIAL"),OR(N2102="PENDENTE",N2102="PARCIAL")),1,0))</f>
        <v/>
      </c>
      <c r="W2102" s="8">
        <f>IF(AND(V2102=1,D2102&lt;&gt;""),IF(D2102&gt;=corte,(B2102="CRÍTICO")*1E9+(100000-D2102)*10000+10000-ROW(),""),"")</f>
        <v/>
      </c>
      <c r="X2102" s="8">
        <f>IF(AND(V2102=1,D2102=pas_data,E2102=pas_turno),10000-ROW(),"")</f>
        <v/>
      </c>
    </row>
    <row r="2103">
      <c r="A2103" s="3">
        <f>IF(D2103="","","TT-"&amp;TEXT(ROW()-1,"00000"))</f>
        <v/>
      </c>
      <c r="B2103" s="3">
        <f>IF(D2103="","",IF(V2103=0,"CONCLUÍDO",IF(D2103&lt;corte,"HISTÓRICO",IF(OR(AND(ISNUMBER(R2103),R2103&lt;TODAY()),AND(OR(N2103="PENDENTE",N2103="PARCIAL"),D2103&lt;TODAY()-1)),"CRÍTICO",IF(OR(AND(P2103&lt;&gt;"",S2103=""),AND(N2103="REALIZADO",M2103="PENDENTE"),AND(ISNUMBER(R2103),R2103=TODAY())),"ATENÇÃO",IF(N(K2103)=0,"PENDENTE","EM ANDAMENTO"))))))</f>
        <v/>
      </c>
      <c r="C2103" s="3">
        <f>IF(D2103="","",IF(V2103=0,"🟢 OK",IF(D2103&lt;corte,"⚪ HISTÓRICO (sem baixa)",IF(AND(ISNUMBER(R2103),R2103&lt;TODAY()),"🔴 PRAZO VENCIDO",IF(AND(OR(N2103="PENDENTE",N2103="PARCIAL"),D2103&lt;TODAY()-1),"🔴 EMBARQUE ATRASADO",IF(AND(N2103="REALIZADO",M2103="PENDENTE"),"🟡 EMBARCADO SEM FATURAR",IF(AND(P2103&lt;&gt;"",S2103="",OR(Q2103="",R2103="")),"🟡 PENDÊNCIA SEM RESPONSÁVEL/PRAZO",IF(AND(ISNUMBER(R2103),R2103=TODAY()),"🟡 VENCE HOJE",IF(AND(P2103&lt;&gt;"",S2103=""),"🟡 PENDÊNCIA ABERTA",IF(AND(N(J2103)&gt;0,N(K2103)&lt;J2103),"🟡 FALTA EXECUTAR",IF(OR(M2103="PENDENTE",M2103="PARCIAL"),"🟡 FATURAMENTO PENDENTE","🟡 EMBARQUE PENDENTE")))))))))))</f>
        <v/>
      </c>
      <c r="D2103" s="4" t="n"/>
      <c r="E2103" s="5" t="n"/>
      <c r="F2103" s="5" t="n"/>
      <c r="G2103" s="5" t="n"/>
      <c r="H2103" s="5" t="n"/>
      <c r="I2103" s="5" t="n"/>
      <c r="J2103" s="6" t="n"/>
      <c r="K2103" s="6" t="n"/>
      <c r="L2103" s="7">
        <f>IF(OR(D2103="",N(J2103)=0),"",MIN(1,N(K2103)/J2103))</f>
        <v/>
      </c>
      <c r="M2103" s="5" t="n"/>
      <c r="N2103" s="5" t="n"/>
      <c r="O2103" s="5" t="n"/>
      <c r="P2103" s="5" t="n"/>
      <c r="Q2103" s="5" t="n"/>
      <c r="R2103" s="4" t="n"/>
      <c r="S2103" s="4" t="n"/>
      <c r="T2103" s="5" t="n"/>
      <c r="U2103" s="8">
        <f>IF(AND(V2103=1,D2103&lt;&gt;""),IF(D2103&gt;=corte,TODAY()-D2103,""),"")</f>
        <v/>
      </c>
      <c r="V2103" s="8">
        <f>IF(D2103="",0,IF(OR(AND(P2103&lt;&gt;"",S2103=""),AND(N(J2103)&gt;0,N(K2103)&lt;J2103),OR(M2103="PENDENTE",M2103="PARCIAL"),OR(N2103="PENDENTE",N2103="PARCIAL")),1,0))</f>
        <v/>
      </c>
      <c r="W2103" s="8">
        <f>IF(AND(V2103=1,D2103&lt;&gt;""),IF(D2103&gt;=corte,(B2103="CRÍTICO")*1E9+(100000-D2103)*10000+10000-ROW(),""),"")</f>
        <v/>
      </c>
      <c r="X2103" s="8">
        <f>IF(AND(V2103=1,D2103=pas_data,E2103=pas_turno),10000-ROW(),"")</f>
        <v/>
      </c>
    </row>
    <row r="2104">
      <c r="A2104" s="3">
        <f>IF(D2104="","","TT-"&amp;TEXT(ROW()-1,"00000"))</f>
        <v/>
      </c>
      <c r="B2104" s="3">
        <f>IF(D2104="","",IF(V2104=0,"CONCLUÍDO",IF(D2104&lt;corte,"HISTÓRICO",IF(OR(AND(ISNUMBER(R2104),R2104&lt;TODAY()),AND(OR(N2104="PENDENTE",N2104="PARCIAL"),D2104&lt;TODAY()-1)),"CRÍTICO",IF(OR(AND(P2104&lt;&gt;"",S2104=""),AND(N2104="REALIZADO",M2104="PENDENTE"),AND(ISNUMBER(R2104),R2104=TODAY())),"ATENÇÃO",IF(N(K2104)=0,"PENDENTE","EM ANDAMENTO"))))))</f>
        <v/>
      </c>
      <c r="C2104" s="3">
        <f>IF(D2104="","",IF(V2104=0,"🟢 OK",IF(D2104&lt;corte,"⚪ HISTÓRICO (sem baixa)",IF(AND(ISNUMBER(R2104),R2104&lt;TODAY()),"🔴 PRAZO VENCIDO",IF(AND(OR(N2104="PENDENTE",N2104="PARCIAL"),D2104&lt;TODAY()-1),"🔴 EMBARQUE ATRASADO",IF(AND(N2104="REALIZADO",M2104="PENDENTE"),"🟡 EMBARCADO SEM FATURAR",IF(AND(P2104&lt;&gt;"",S2104="",OR(Q2104="",R2104="")),"🟡 PENDÊNCIA SEM RESPONSÁVEL/PRAZO",IF(AND(ISNUMBER(R2104),R2104=TODAY()),"🟡 VENCE HOJE",IF(AND(P2104&lt;&gt;"",S2104=""),"🟡 PENDÊNCIA ABERTA",IF(AND(N(J2104)&gt;0,N(K2104)&lt;J2104),"🟡 FALTA EXECUTAR",IF(OR(M2104="PENDENTE",M2104="PARCIAL"),"🟡 FATURAMENTO PENDENTE","🟡 EMBARQUE PENDENTE")))))))))))</f>
        <v/>
      </c>
      <c r="D2104" s="4" t="n"/>
      <c r="E2104" s="5" t="n"/>
      <c r="F2104" s="5" t="n"/>
      <c r="G2104" s="5" t="n"/>
      <c r="H2104" s="5" t="n"/>
      <c r="I2104" s="5" t="n"/>
      <c r="J2104" s="6" t="n"/>
      <c r="K2104" s="6" t="n"/>
      <c r="L2104" s="7">
        <f>IF(OR(D2104="",N(J2104)=0),"",MIN(1,N(K2104)/J2104))</f>
        <v/>
      </c>
      <c r="M2104" s="5" t="n"/>
      <c r="N2104" s="5" t="n"/>
      <c r="O2104" s="5" t="n"/>
      <c r="P2104" s="5" t="n"/>
      <c r="Q2104" s="5" t="n"/>
      <c r="R2104" s="4" t="n"/>
      <c r="S2104" s="4" t="n"/>
      <c r="T2104" s="5" t="n"/>
      <c r="U2104" s="8">
        <f>IF(AND(V2104=1,D2104&lt;&gt;""),IF(D2104&gt;=corte,TODAY()-D2104,""),"")</f>
        <v/>
      </c>
      <c r="V2104" s="8">
        <f>IF(D2104="",0,IF(OR(AND(P2104&lt;&gt;"",S2104=""),AND(N(J2104)&gt;0,N(K2104)&lt;J2104),OR(M2104="PENDENTE",M2104="PARCIAL"),OR(N2104="PENDENTE",N2104="PARCIAL")),1,0))</f>
        <v/>
      </c>
      <c r="W2104" s="8">
        <f>IF(AND(V2104=1,D2104&lt;&gt;""),IF(D2104&gt;=corte,(B2104="CRÍTICO")*1E9+(100000-D2104)*10000+10000-ROW(),""),"")</f>
        <v/>
      </c>
      <c r="X2104" s="8">
        <f>IF(AND(V2104=1,D2104=pas_data,E2104=pas_turno),10000-ROW(),"")</f>
        <v/>
      </c>
    </row>
    <row r="2105">
      <c r="A2105" s="3">
        <f>IF(D2105="","","TT-"&amp;TEXT(ROW()-1,"00000"))</f>
        <v/>
      </c>
      <c r="B2105" s="3">
        <f>IF(D2105="","",IF(V2105=0,"CONCLUÍDO",IF(D2105&lt;corte,"HISTÓRICO",IF(OR(AND(ISNUMBER(R2105),R2105&lt;TODAY()),AND(OR(N2105="PENDENTE",N2105="PARCIAL"),D2105&lt;TODAY()-1)),"CRÍTICO",IF(OR(AND(P2105&lt;&gt;"",S2105=""),AND(N2105="REALIZADO",M2105="PENDENTE"),AND(ISNUMBER(R2105),R2105=TODAY())),"ATENÇÃO",IF(N(K2105)=0,"PENDENTE","EM ANDAMENTO"))))))</f>
        <v/>
      </c>
      <c r="C2105" s="3">
        <f>IF(D2105="","",IF(V2105=0,"🟢 OK",IF(D2105&lt;corte,"⚪ HISTÓRICO (sem baixa)",IF(AND(ISNUMBER(R2105),R2105&lt;TODAY()),"🔴 PRAZO VENCIDO",IF(AND(OR(N2105="PENDENTE",N2105="PARCIAL"),D2105&lt;TODAY()-1),"🔴 EMBARQUE ATRASADO",IF(AND(N2105="REALIZADO",M2105="PENDENTE"),"🟡 EMBARCADO SEM FATURAR",IF(AND(P2105&lt;&gt;"",S2105="",OR(Q2105="",R2105="")),"🟡 PENDÊNCIA SEM RESPONSÁVEL/PRAZO",IF(AND(ISNUMBER(R2105),R2105=TODAY()),"🟡 VENCE HOJE",IF(AND(P2105&lt;&gt;"",S2105=""),"🟡 PENDÊNCIA ABERTA",IF(AND(N(J2105)&gt;0,N(K2105)&lt;J2105),"🟡 FALTA EXECUTAR",IF(OR(M2105="PENDENTE",M2105="PARCIAL"),"🟡 FATURAMENTO PENDENTE","🟡 EMBARQUE PENDENTE")))))))))))</f>
        <v/>
      </c>
      <c r="D2105" s="4" t="n"/>
      <c r="E2105" s="5" t="n"/>
      <c r="F2105" s="5" t="n"/>
      <c r="G2105" s="5" t="n"/>
      <c r="H2105" s="5" t="n"/>
      <c r="I2105" s="5" t="n"/>
      <c r="J2105" s="6" t="n"/>
      <c r="K2105" s="6" t="n"/>
      <c r="L2105" s="7">
        <f>IF(OR(D2105="",N(J2105)=0),"",MIN(1,N(K2105)/J2105))</f>
        <v/>
      </c>
      <c r="M2105" s="5" t="n"/>
      <c r="N2105" s="5" t="n"/>
      <c r="O2105" s="5" t="n"/>
      <c r="P2105" s="5" t="n"/>
      <c r="Q2105" s="5" t="n"/>
      <c r="R2105" s="4" t="n"/>
      <c r="S2105" s="4" t="n"/>
      <c r="T2105" s="5" t="n"/>
      <c r="U2105" s="8">
        <f>IF(AND(V2105=1,D2105&lt;&gt;""),IF(D2105&gt;=corte,TODAY()-D2105,""),"")</f>
        <v/>
      </c>
      <c r="V2105" s="8">
        <f>IF(D2105="",0,IF(OR(AND(P2105&lt;&gt;"",S2105=""),AND(N(J2105)&gt;0,N(K2105)&lt;J2105),OR(M2105="PENDENTE",M2105="PARCIAL"),OR(N2105="PENDENTE",N2105="PARCIAL")),1,0))</f>
        <v/>
      </c>
      <c r="W2105" s="8">
        <f>IF(AND(V2105=1,D2105&lt;&gt;""),IF(D2105&gt;=corte,(B2105="CRÍTICO")*1E9+(100000-D2105)*10000+10000-ROW(),""),"")</f>
        <v/>
      </c>
      <c r="X2105" s="8">
        <f>IF(AND(V2105=1,D2105=pas_data,E2105=pas_turno),10000-ROW(),"")</f>
        <v/>
      </c>
    </row>
    <row r="2106">
      <c r="A2106" s="3">
        <f>IF(D2106="","","TT-"&amp;TEXT(ROW()-1,"00000"))</f>
        <v/>
      </c>
      <c r="B2106" s="3">
        <f>IF(D2106="","",IF(V2106=0,"CONCLUÍDO",IF(D2106&lt;corte,"HISTÓRICO",IF(OR(AND(ISNUMBER(R2106),R2106&lt;TODAY()),AND(OR(N2106="PENDENTE",N2106="PARCIAL"),D2106&lt;TODAY()-1)),"CRÍTICO",IF(OR(AND(P2106&lt;&gt;"",S2106=""),AND(N2106="REALIZADO",M2106="PENDENTE"),AND(ISNUMBER(R2106),R2106=TODAY())),"ATENÇÃO",IF(N(K2106)=0,"PENDENTE","EM ANDAMENTO"))))))</f>
        <v/>
      </c>
      <c r="C2106" s="3">
        <f>IF(D2106="","",IF(V2106=0,"🟢 OK",IF(D2106&lt;corte,"⚪ HISTÓRICO (sem baixa)",IF(AND(ISNUMBER(R2106),R2106&lt;TODAY()),"🔴 PRAZO VENCIDO",IF(AND(OR(N2106="PENDENTE",N2106="PARCIAL"),D2106&lt;TODAY()-1),"🔴 EMBARQUE ATRASADO",IF(AND(N2106="REALIZADO",M2106="PENDENTE"),"🟡 EMBARCADO SEM FATURAR",IF(AND(P2106&lt;&gt;"",S2106="",OR(Q2106="",R2106="")),"🟡 PENDÊNCIA SEM RESPONSÁVEL/PRAZO",IF(AND(ISNUMBER(R2106),R2106=TODAY()),"🟡 VENCE HOJE",IF(AND(P2106&lt;&gt;"",S2106=""),"🟡 PENDÊNCIA ABERTA",IF(AND(N(J2106)&gt;0,N(K2106)&lt;J2106),"🟡 FALTA EXECUTAR",IF(OR(M2106="PENDENTE",M2106="PARCIAL"),"🟡 FATURAMENTO PENDENTE","🟡 EMBARQUE PENDENTE")))))))))))</f>
        <v/>
      </c>
      <c r="D2106" s="4" t="n"/>
      <c r="E2106" s="5" t="n"/>
      <c r="F2106" s="5" t="n"/>
      <c r="G2106" s="5" t="n"/>
      <c r="H2106" s="5" t="n"/>
      <c r="I2106" s="5" t="n"/>
      <c r="J2106" s="6" t="n"/>
      <c r="K2106" s="6" t="n"/>
      <c r="L2106" s="7">
        <f>IF(OR(D2106="",N(J2106)=0),"",MIN(1,N(K2106)/J2106))</f>
        <v/>
      </c>
      <c r="M2106" s="5" t="n"/>
      <c r="N2106" s="5" t="n"/>
      <c r="O2106" s="5" t="n"/>
      <c r="P2106" s="5" t="n"/>
      <c r="Q2106" s="5" t="n"/>
      <c r="R2106" s="4" t="n"/>
      <c r="S2106" s="4" t="n"/>
      <c r="T2106" s="5" t="n"/>
      <c r="U2106" s="8">
        <f>IF(AND(V2106=1,D2106&lt;&gt;""),IF(D2106&gt;=corte,TODAY()-D2106,""),"")</f>
        <v/>
      </c>
      <c r="V2106" s="8">
        <f>IF(D2106="",0,IF(OR(AND(P2106&lt;&gt;"",S2106=""),AND(N(J2106)&gt;0,N(K2106)&lt;J2106),OR(M2106="PENDENTE",M2106="PARCIAL"),OR(N2106="PENDENTE",N2106="PARCIAL")),1,0))</f>
        <v/>
      </c>
      <c r="W2106" s="8">
        <f>IF(AND(V2106=1,D2106&lt;&gt;""),IF(D2106&gt;=corte,(B2106="CRÍTICO")*1E9+(100000-D2106)*10000+10000-ROW(),""),"")</f>
        <v/>
      </c>
      <c r="X2106" s="8">
        <f>IF(AND(V2106=1,D2106=pas_data,E2106=pas_turno),10000-ROW(),"")</f>
        <v/>
      </c>
    </row>
    <row r="2107">
      <c r="A2107" s="3">
        <f>IF(D2107="","","TT-"&amp;TEXT(ROW()-1,"00000"))</f>
        <v/>
      </c>
      <c r="B2107" s="3">
        <f>IF(D2107="","",IF(V2107=0,"CONCLUÍDO",IF(D2107&lt;corte,"HISTÓRICO",IF(OR(AND(ISNUMBER(R2107),R2107&lt;TODAY()),AND(OR(N2107="PENDENTE",N2107="PARCIAL"),D2107&lt;TODAY()-1)),"CRÍTICO",IF(OR(AND(P2107&lt;&gt;"",S2107=""),AND(N2107="REALIZADO",M2107="PENDENTE"),AND(ISNUMBER(R2107),R2107=TODAY())),"ATENÇÃO",IF(N(K2107)=0,"PENDENTE","EM ANDAMENTO"))))))</f>
        <v/>
      </c>
      <c r="C2107" s="3">
        <f>IF(D2107="","",IF(V2107=0,"🟢 OK",IF(D2107&lt;corte,"⚪ HISTÓRICO (sem baixa)",IF(AND(ISNUMBER(R2107),R2107&lt;TODAY()),"🔴 PRAZO VENCIDO",IF(AND(OR(N2107="PENDENTE",N2107="PARCIAL"),D2107&lt;TODAY()-1),"🔴 EMBARQUE ATRASADO",IF(AND(N2107="REALIZADO",M2107="PENDENTE"),"🟡 EMBARCADO SEM FATURAR",IF(AND(P2107&lt;&gt;"",S2107="",OR(Q2107="",R2107="")),"🟡 PENDÊNCIA SEM RESPONSÁVEL/PRAZO",IF(AND(ISNUMBER(R2107),R2107=TODAY()),"🟡 VENCE HOJE",IF(AND(P2107&lt;&gt;"",S2107=""),"🟡 PENDÊNCIA ABERTA",IF(AND(N(J2107)&gt;0,N(K2107)&lt;J2107),"🟡 FALTA EXECUTAR",IF(OR(M2107="PENDENTE",M2107="PARCIAL"),"🟡 FATURAMENTO PENDENTE","🟡 EMBARQUE PENDENTE")))))))))))</f>
        <v/>
      </c>
      <c r="D2107" s="4" t="n"/>
      <c r="E2107" s="5" t="n"/>
      <c r="F2107" s="5" t="n"/>
      <c r="G2107" s="5" t="n"/>
      <c r="H2107" s="5" t="n"/>
      <c r="I2107" s="5" t="n"/>
      <c r="J2107" s="6" t="n"/>
      <c r="K2107" s="6" t="n"/>
      <c r="L2107" s="7">
        <f>IF(OR(D2107="",N(J2107)=0),"",MIN(1,N(K2107)/J2107))</f>
        <v/>
      </c>
      <c r="M2107" s="5" t="n"/>
      <c r="N2107" s="5" t="n"/>
      <c r="O2107" s="5" t="n"/>
      <c r="P2107" s="5" t="n"/>
      <c r="Q2107" s="5" t="n"/>
      <c r="R2107" s="4" t="n"/>
      <c r="S2107" s="4" t="n"/>
      <c r="T2107" s="5" t="n"/>
      <c r="U2107" s="8">
        <f>IF(AND(V2107=1,D2107&lt;&gt;""),IF(D2107&gt;=corte,TODAY()-D2107,""),"")</f>
        <v/>
      </c>
      <c r="V2107" s="8">
        <f>IF(D2107="",0,IF(OR(AND(P2107&lt;&gt;"",S2107=""),AND(N(J2107)&gt;0,N(K2107)&lt;J2107),OR(M2107="PENDENTE",M2107="PARCIAL"),OR(N2107="PENDENTE",N2107="PARCIAL")),1,0))</f>
        <v/>
      </c>
      <c r="W2107" s="8">
        <f>IF(AND(V2107=1,D2107&lt;&gt;""),IF(D2107&gt;=corte,(B2107="CRÍTICO")*1E9+(100000-D2107)*10000+10000-ROW(),""),"")</f>
        <v/>
      </c>
      <c r="X2107" s="8">
        <f>IF(AND(V2107=1,D2107=pas_data,E2107=pas_turno),10000-ROW(),"")</f>
        <v/>
      </c>
    </row>
    <row r="2108">
      <c r="A2108" s="3">
        <f>IF(D2108="","","TT-"&amp;TEXT(ROW()-1,"00000"))</f>
        <v/>
      </c>
      <c r="B2108" s="3">
        <f>IF(D2108="","",IF(V2108=0,"CONCLUÍDO",IF(D2108&lt;corte,"HISTÓRICO",IF(OR(AND(ISNUMBER(R2108),R2108&lt;TODAY()),AND(OR(N2108="PENDENTE",N2108="PARCIAL"),D2108&lt;TODAY()-1)),"CRÍTICO",IF(OR(AND(P2108&lt;&gt;"",S2108=""),AND(N2108="REALIZADO",M2108="PENDENTE"),AND(ISNUMBER(R2108),R2108=TODAY())),"ATENÇÃO",IF(N(K2108)=0,"PENDENTE","EM ANDAMENTO"))))))</f>
        <v/>
      </c>
      <c r="C2108" s="3">
        <f>IF(D2108="","",IF(V2108=0,"🟢 OK",IF(D2108&lt;corte,"⚪ HISTÓRICO (sem baixa)",IF(AND(ISNUMBER(R2108),R2108&lt;TODAY()),"🔴 PRAZO VENCIDO",IF(AND(OR(N2108="PENDENTE",N2108="PARCIAL"),D2108&lt;TODAY()-1),"🔴 EMBARQUE ATRASADO",IF(AND(N2108="REALIZADO",M2108="PENDENTE"),"🟡 EMBARCADO SEM FATURAR",IF(AND(P2108&lt;&gt;"",S2108="",OR(Q2108="",R2108="")),"🟡 PENDÊNCIA SEM RESPONSÁVEL/PRAZO",IF(AND(ISNUMBER(R2108),R2108=TODAY()),"🟡 VENCE HOJE",IF(AND(P2108&lt;&gt;"",S2108=""),"🟡 PENDÊNCIA ABERTA",IF(AND(N(J2108)&gt;0,N(K2108)&lt;J2108),"🟡 FALTA EXECUTAR",IF(OR(M2108="PENDENTE",M2108="PARCIAL"),"🟡 FATURAMENTO PENDENTE","🟡 EMBARQUE PENDENTE")))))))))))</f>
        <v/>
      </c>
      <c r="D2108" s="4" t="n"/>
      <c r="E2108" s="5" t="n"/>
      <c r="F2108" s="5" t="n"/>
      <c r="G2108" s="5" t="n"/>
      <c r="H2108" s="5" t="n"/>
      <c r="I2108" s="5" t="n"/>
      <c r="J2108" s="6" t="n"/>
      <c r="K2108" s="6" t="n"/>
      <c r="L2108" s="7">
        <f>IF(OR(D2108="",N(J2108)=0),"",MIN(1,N(K2108)/J2108))</f>
        <v/>
      </c>
      <c r="M2108" s="5" t="n"/>
      <c r="N2108" s="5" t="n"/>
      <c r="O2108" s="5" t="n"/>
      <c r="P2108" s="5" t="n"/>
      <c r="Q2108" s="5" t="n"/>
      <c r="R2108" s="4" t="n"/>
      <c r="S2108" s="4" t="n"/>
      <c r="T2108" s="5" t="n"/>
      <c r="U2108" s="8">
        <f>IF(AND(V2108=1,D2108&lt;&gt;""),IF(D2108&gt;=corte,TODAY()-D2108,""),"")</f>
        <v/>
      </c>
      <c r="V2108" s="8">
        <f>IF(D2108="",0,IF(OR(AND(P2108&lt;&gt;"",S2108=""),AND(N(J2108)&gt;0,N(K2108)&lt;J2108),OR(M2108="PENDENTE",M2108="PARCIAL"),OR(N2108="PENDENTE",N2108="PARCIAL")),1,0))</f>
        <v/>
      </c>
      <c r="W2108" s="8">
        <f>IF(AND(V2108=1,D2108&lt;&gt;""),IF(D2108&gt;=corte,(B2108="CRÍTICO")*1E9+(100000-D2108)*10000+10000-ROW(),""),"")</f>
        <v/>
      </c>
      <c r="X2108" s="8">
        <f>IF(AND(V2108=1,D2108=pas_data,E2108=pas_turno),10000-ROW(),"")</f>
        <v/>
      </c>
    </row>
    <row r="2109">
      <c r="A2109" s="3">
        <f>IF(D2109="","","TT-"&amp;TEXT(ROW()-1,"00000"))</f>
        <v/>
      </c>
      <c r="B2109" s="3">
        <f>IF(D2109="","",IF(V2109=0,"CONCLUÍDO",IF(D2109&lt;corte,"HISTÓRICO",IF(OR(AND(ISNUMBER(R2109),R2109&lt;TODAY()),AND(OR(N2109="PENDENTE",N2109="PARCIAL"),D2109&lt;TODAY()-1)),"CRÍTICO",IF(OR(AND(P2109&lt;&gt;"",S2109=""),AND(N2109="REALIZADO",M2109="PENDENTE"),AND(ISNUMBER(R2109),R2109=TODAY())),"ATENÇÃO",IF(N(K2109)=0,"PENDENTE","EM ANDAMENTO"))))))</f>
        <v/>
      </c>
      <c r="C2109" s="3">
        <f>IF(D2109="","",IF(V2109=0,"🟢 OK",IF(D2109&lt;corte,"⚪ HISTÓRICO (sem baixa)",IF(AND(ISNUMBER(R2109),R2109&lt;TODAY()),"🔴 PRAZO VENCIDO",IF(AND(OR(N2109="PENDENTE",N2109="PARCIAL"),D2109&lt;TODAY()-1),"🔴 EMBARQUE ATRASADO",IF(AND(N2109="REALIZADO",M2109="PENDENTE"),"🟡 EMBARCADO SEM FATURAR",IF(AND(P2109&lt;&gt;"",S2109="",OR(Q2109="",R2109="")),"🟡 PENDÊNCIA SEM RESPONSÁVEL/PRAZO",IF(AND(ISNUMBER(R2109),R2109=TODAY()),"🟡 VENCE HOJE",IF(AND(P2109&lt;&gt;"",S2109=""),"🟡 PENDÊNCIA ABERTA",IF(AND(N(J2109)&gt;0,N(K2109)&lt;J2109),"🟡 FALTA EXECUTAR",IF(OR(M2109="PENDENTE",M2109="PARCIAL"),"🟡 FATURAMENTO PENDENTE","🟡 EMBARQUE PENDENTE")))))))))))</f>
        <v/>
      </c>
      <c r="D2109" s="4" t="n"/>
      <c r="E2109" s="5" t="n"/>
      <c r="F2109" s="5" t="n"/>
      <c r="G2109" s="5" t="n"/>
      <c r="H2109" s="5" t="n"/>
      <c r="I2109" s="5" t="n"/>
      <c r="J2109" s="6" t="n"/>
      <c r="K2109" s="6" t="n"/>
      <c r="L2109" s="7">
        <f>IF(OR(D2109="",N(J2109)=0),"",MIN(1,N(K2109)/J2109))</f>
        <v/>
      </c>
      <c r="M2109" s="5" t="n"/>
      <c r="N2109" s="5" t="n"/>
      <c r="O2109" s="5" t="n"/>
      <c r="P2109" s="5" t="n"/>
      <c r="Q2109" s="5" t="n"/>
      <c r="R2109" s="4" t="n"/>
      <c r="S2109" s="4" t="n"/>
      <c r="T2109" s="5" t="n"/>
      <c r="U2109" s="8">
        <f>IF(AND(V2109=1,D2109&lt;&gt;""),IF(D2109&gt;=corte,TODAY()-D2109,""),"")</f>
        <v/>
      </c>
      <c r="V2109" s="8">
        <f>IF(D2109="",0,IF(OR(AND(P2109&lt;&gt;"",S2109=""),AND(N(J2109)&gt;0,N(K2109)&lt;J2109),OR(M2109="PENDENTE",M2109="PARCIAL"),OR(N2109="PENDENTE",N2109="PARCIAL")),1,0))</f>
        <v/>
      </c>
      <c r="W2109" s="8">
        <f>IF(AND(V2109=1,D2109&lt;&gt;""),IF(D2109&gt;=corte,(B2109="CRÍTICO")*1E9+(100000-D2109)*10000+10000-ROW(),""),"")</f>
        <v/>
      </c>
      <c r="X2109" s="8">
        <f>IF(AND(V2109=1,D2109=pas_data,E2109=pas_turno),10000-ROW(),"")</f>
        <v/>
      </c>
    </row>
    <row r="2110">
      <c r="A2110" s="3">
        <f>IF(D2110="","","TT-"&amp;TEXT(ROW()-1,"00000"))</f>
        <v/>
      </c>
      <c r="B2110" s="3">
        <f>IF(D2110="","",IF(V2110=0,"CONCLUÍDO",IF(D2110&lt;corte,"HISTÓRICO",IF(OR(AND(ISNUMBER(R2110),R2110&lt;TODAY()),AND(OR(N2110="PENDENTE",N2110="PARCIAL"),D2110&lt;TODAY()-1)),"CRÍTICO",IF(OR(AND(P2110&lt;&gt;"",S2110=""),AND(N2110="REALIZADO",M2110="PENDENTE"),AND(ISNUMBER(R2110),R2110=TODAY())),"ATENÇÃO",IF(N(K2110)=0,"PENDENTE","EM ANDAMENTO"))))))</f>
        <v/>
      </c>
      <c r="C2110" s="3">
        <f>IF(D2110="","",IF(V2110=0,"🟢 OK",IF(D2110&lt;corte,"⚪ HISTÓRICO (sem baixa)",IF(AND(ISNUMBER(R2110),R2110&lt;TODAY()),"🔴 PRAZO VENCIDO",IF(AND(OR(N2110="PENDENTE",N2110="PARCIAL"),D2110&lt;TODAY()-1),"🔴 EMBARQUE ATRASADO",IF(AND(N2110="REALIZADO",M2110="PENDENTE"),"🟡 EMBARCADO SEM FATURAR",IF(AND(P2110&lt;&gt;"",S2110="",OR(Q2110="",R2110="")),"🟡 PENDÊNCIA SEM RESPONSÁVEL/PRAZO",IF(AND(ISNUMBER(R2110),R2110=TODAY()),"🟡 VENCE HOJE",IF(AND(P2110&lt;&gt;"",S2110=""),"🟡 PENDÊNCIA ABERTA",IF(AND(N(J2110)&gt;0,N(K2110)&lt;J2110),"🟡 FALTA EXECUTAR",IF(OR(M2110="PENDENTE",M2110="PARCIAL"),"🟡 FATURAMENTO PENDENTE","🟡 EMBARQUE PENDENTE")))))))))))</f>
        <v/>
      </c>
      <c r="D2110" s="4" t="n"/>
      <c r="E2110" s="5" t="n"/>
      <c r="F2110" s="5" t="n"/>
      <c r="G2110" s="5" t="n"/>
      <c r="H2110" s="5" t="n"/>
      <c r="I2110" s="5" t="n"/>
      <c r="J2110" s="6" t="n"/>
      <c r="K2110" s="6" t="n"/>
      <c r="L2110" s="7">
        <f>IF(OR(D2110="",N(J2110)=0),"",MIN(1,N(K2110)/J2110))</f>
        <v/>
      </c>
      <c r="M2110" s="5" t="n"/>
      <c r="N2110" s="5" t="n"/>
      <c r="O2110" s="5" t="n"/>
      <c r="P2110" s="5" t="n"/>
      <c r="Q2110" s="5" t="n"/>
      <c r="R2110" s="4" t="n"/>
      <c r="S2110" s="4" t="n"/>
      <c r="T2110" s="5" t="n"/>
      <c r="U2110" s="8">
        <f>IF(AND(V2110=1,D2110&lt;&gt;""),IF(D2110&gt;=corte,TODAY()-D2110,""),"")</f>
        <v/>
      </c>
      <c r="V2110" s="8">
        <f>IF(D2110="",0,IF(OR(AND(P2110&lt;&gt;"",S2110=""),AND(N(J2110)&gt;0,N(K2110)&lt;J2110),OR(M2110="PENDENTE",M2110="PARCIAL"),OR(N2110="PENDENTE",N2110="PARCIAL")),1,0))</f>
        <v/>
      </c>
      <c r="W2110" s="8">
        <f>IF(AND(V2110=1,D2110&lt;&gt;""),IF(D2110&gt;=corte,(B2110="CRÍTICO")*1E9+(100000-D2110)*10000+10000-ROW(),""),"")</f>
        <v/>
      </c>
      <c r="X2110" s="8">
        <f>IF(AND(V2110=1,D2110=pas_data,E2110=pas_turno),10000-ROW(),"")</f>
        <v/>
      </c>
    </row>
    <row r="2111">
      <c r="A2111" s="3">
        <f>IF(D2111="","","TT-"&amp;TEXT(ROW()-1,"00000"))</f>
        <v/>
      </c>
      <c r="B2111" s="3">
        <f>IF(D2111="","",IF(V2111=0,"CONCLUÍDO",IF(D2111&lt;corte,"HISTÓRICO",IF(OR(AND(ISNUMBER(R2111),R2111&lt;TODAY()),AND(OR(N2111="PENDENTE",N2111="PARCIAL"),D2111&lt;TODAY()-1)),"CRÍTICO",IF(OR(AND(P2111&lt;&gt;"",S2111=""),AND(N2111="REALIZADO",M2111="PENDENTE"),AND(ISNUMBER(R2111),R2111=TODAY())),"ATENÇÃO",IF(N(K2111)=0,"PENDENTE","EM ANDAMENTO"))))))</f>
        <v/>
      </c>
      <c r="C2111" s="3">
        <f>IF(D2111="","",IF(V2111=0,"🟢 OK",IF(D2111&lt;corte,"⚪ HISTÓRICO (sem baixa)",IF(AND(ISNUMBER(R2111),R2111&lt;TODAY()),"🔴 PRAZO VENCIDO",IF(AND(OR(N2111="PENDENTE",N2111="PARCIAL"),D2111&lt;TODAY()-1),"🔴 EMBARQUE ATRASADO",IF(AND(N2111="REALIZADO",M2111="PENDENTE"),"🟡 EMBARCADO SEM FATURAR",IF(AND(P2111&lt;&gt;"",S2111="",OR(Q2111="",R2111="")),"🟡 PENDÊNCIA SEM RESPONSÁVEL/PRAZO",IF(AND(ISNUMBER(R2111),R2111=TODAY()),"🟡 VENCE HOJE",IF(AND(P2111&lt;&gt;"",S2111=""),"🟡 PENDÊNCIA ABERTA",IF(AND(N(J2111)&gt;0,N(K2111)&lt;J2111),"🟡 FALTA EXECUTAR",IF(OR(M2111="PENDENTE",M2111="PARCIAL"),"🟡 FATURAMENTO PENDENTE","🟡 EMBARQUE PENDENTE")))))))))))</f>
        <v/>
      </c>
      <c r="D2111" s="4" t="n"/>
      <c r="E2111" s="5" t="n"/>
      <c r="F2111" s="5" t="n"/>
      <c r="G2111" s="5" t="n"/>
      <c r="H2111" s="5" t="n"/>
      <c r="I2111" s="5" t="n"/>
      <c r="J2111" s="6" t="n"/>
      <c r="K2111" s="6" t="n"/>
      <c r="L2111" s="7">
        <f>IF(OR(D2111="",N(J2111)=0),"",MIN(1,N(K2111)/J2111))</f>
        <v/>
      </c>
      <c r="M2111" s="5" t="n"/>
      <c r="N2111" s="5" t="n"/>
      <c r="O2111" s="5" t="n"/>
      <c r="P2111" s="5" t="n"/>
      <c r="Q2111" s="5" t="n"/>
      <c r="R2111" s="4" t="n"/>
      <c r="S2111" s="4" t="n"/>
      <c r="T2111" s="5" t="n"/>
      <c r="U2111" s="8">
        <f>IF(AND(V2111=1,D2111&lt;&gt;""),IF(D2111&gt;=corte,TODAY()-D2111,""),"")</f>
        <v/>
      </c>
      <c r="V2111" s="8">
        <f>IF(D2111="",0,IF(OR(AND(P2111&lt;&gt;"",S2111=""),AND(N(J2111)&gt;0,N(K2111)&lt;J2111),OR(M2111="PENDENTE",M2111="PARCIAL"),OR(N2111="PENDENTE",N2111="PARCIAL")),1,0))</f>
        <v/>
      </c>
      <c r="W2111" s="8">
        <f>IF(AND(V2111=1,D2111&lt;&gt;""),IF(D2111&gt;=corte,(B2111="CRÍTICO")*1E9+(100000-D2111)*10000+10000-ROW(),""),"")</f>
        <v/>
      </c>
      <c r="X2111" s="8">
        <f>IF(AND(V2111=1,D2111=pas_data,E2111=pas_turno),10000-ROW(),"")</f>
        <v/>
      </c>
    </row>
    <row r="2112">
      <c r="A2112" s="3">
        <f>IF(D2112="","","TT-"&amp;TEXT(ROW()-1,"00000"))</f>
        <v/>
      </c>
      <c r="B2112" s="3">
        <f>IF(D2112="","",IF(V2112=0,"CONCLUÍDO",IF(D2112&lt;corte,"HISTÓRICO",IF(OR(AND(ISNUMBER(R2112),R2112&lt;TODAY()),AND(OR(N2112="PENDENTE",N2112="PARCIAL"),D2112&lt;TODAY()-1)),"CRÍTICO",IF(OR(AND(P2112&lt;&gt;"",S2112=""),AND(N2112="REALIZADO",M2112="PENDENTE"),AND(ISNUMBER(R2112),R2112=TODAY())),"ATENÇÃO",IF(N(K2112)=0,"PENDENTE","EM ANDAMENTO"))))))</f>
        <v/>
      </c>
      <c r="C2112" s="3">
        <f>IF(D2112="","",IF(V2112=0,"🟢 OK",IF(D2112&lt;corte,"⚪ HISTÓRICO (sem baixa)",IF(AND(ISNUMBER(R2112),R2112&lt;TODAY()),"🔴 PRAZO VENCIDO",IF(AND(OR(N2112="PENDENTE",N2112="PARCIAL"),D2112&lt;TODAY()-1),"🔴 EMBARQUE ATRASADO",IF(AND(N2112="REALIZADO",M2112="PENDENTE"),"🟡 EMBARCADO SEM FATURAR",IF(AND(P2112&lt;&gt;"",S2112="",OR(Q2112="",R2112="")),"🟡 PENDÊNCIA SEM RESPONSÁVEL/PRAZO",IF(AND(ISNUMBER(R2112),R2112=TODAY()),"🟡 VENCE HOJE",IF(AND(P2112&lt;&gt;"",S2112=""),"🟡 PENDÊNCIA ABERTA",IF(AND(N(J2112)&gt;0,N(K2112)&lt;J2112),"🟡 FALTA EXECUTAR",IF(OR(M2112="PENDENTE",M2112="PARCIAL"),"🟡 FATURAMENTO PENDENTE","🟡 EMBARQUE PENDENTE")))))))))))</f>
        <v/>
      </c>
      <c r="D2112" s="4" t="n"/>
      <c r="E2112" s="5" t="n"/>
      <c r="F2112" s="5" t="n"/>
      <c r="G2112" s="5" t="n"/>
      <c r="H2112" s="5" t="n"/>
      <c r="I2112" s="5" t="n"/>
      <c r="J2112" s="6" t="n"/>
      <c r="K2112" s="6" t="n"/>
      <c r="L2112" s="7">
        <f>IF(OR(D2112="",N(J2112)=0),"",MIN(1,N(K2112)/J2112))</f>
        <v/>
      </c>
      <c r="M2112" s="5" t="n"/>
      <c r="N2112" s="5" t="n"/>
      <c r="O2112" s="5" t="n"/>
      <c r="P2112" s="5" t="n"/>
      <c r="Q2112" s="5" t="n"/>
      <c r="R2112" s="4" t="n"/>
      <c r="S2112" s="4" t="n"/>
      <c r="T2112" s="5" t="n"/>
      <c r="U2112" s="8">
        <f>IF(AND(V2112=1,D2112&lt;&gt;""),IF(D2112&gt;=corte,TODAY()-D2112,""),"")</f>
        <v/>
      </c>
      <c r="V2112" s="8">
        <f>IF(D2112="",0,IF(OR(AND(P2112&lt;&gt;"",S2112=""),AND(N(J2112)&gt;0,N(K2112)&lt;J2112),OR(M2112="PENDENTE",M2112="PARCIAL"),OR(N2112="PENDENTE",N2112="PARCIAL")),1,0))</f>
        <v/>
      </c>
      <c r="W2112" s="8">
        <f>IF(AND(V2112=1,D2112&lt;&gt;""),IF(D2112&gt;=corte,(B2112="CRÍTICO")*1E9+(100000-D2112)*10000+10000-ROW(),""),"")</f>
        <v/>
      </c>
      <c r="X2112" s="8">
        <f>IF(AND(V2112=1,D2112=pas_data,E2112=pas_turno),10000-ROW(),"")</f>
        <v/>
      </c>
    </row>
    <row r="2113">
      <c r="A2113" s="3">
        <f>IF(D2113="","","TT-"&amp;TEXT(ROW()-1,"00000"))</f>
        <v/>
      </c>
      <c r="B2113" s="3">
        <f>IF(D2113="","",IF(V2113=0,"CONCLUÍDO",IF(D2113&lt;corte,"HISTÓRICO",IF(OR(AND(ISNUMBER(R2113),R2113&lt;TODAY()),AND(OR(N2113="PENDENTE",N2113="PARCIAL"),D2113&lt;TODAY()-1)),"CRÍTICO",IF(OR(AND(P2113&lt;&gt;"",S2113=""),AND(N2113="REALIZADO",M2113="PENDENTE"),AND(ISNUMBER(R2113),R2113=TODAY())),"ATENÇÃO",IF(N(K2113)=0,"PENDENTE","EM ANDAMENTO"))))))</f>
        <v/>
      </c>
      <c r="C2113" s="3">
        <f>IF(D2113="","",IF(V2113=0,"🟢 OK",IF(D2113&lt;corte,"⚪ HISTÓRICO (sem baixa)",IF(AND(ISNUMBER(R2113),R2113&lt;TODAY()),"🔴 PRAZO VENCIDO",IF(AND(OR(N2113="PENDENTE",N2113="PARCIAL"),D2113&lt;TODAY()-1),"🔴 EMBARQUE ATRASADO",IF(AND(N2113="REALIZADO",M2113="PENDENTE"),"🟡 EMBARCADO SEM FATURAR",IF(AND(P2113&lt;&gt;"",S2113="",OR(Q2113="",R2113="")),"🟡 PENDÊNCIA SEM RESPONSÁVEL/PRAZO",IF(AND(ISNUMBER(R2113),R2113=TODAY()),"🟡 VENCE HOJE",IF(AND(P2113&lt;&gt;"",S2113=""),"🟡 PENDÊNCIA ABERTA",IF(AND(N(J2113)&gt;0,N(K2113)&lt;J2113),"🟡 FALTA EXECUTAR",IF(OR(M2113="PENDENTE",M2113="PARCIAL"),"🟡 FATURAMENTO PENDENTE","🟡 EMBARQUE PENDENTE")))))))))))</f>
        <v/>
      </c>
      <c r="D2113" s="4" t="n"/>
      <c r="E2113" s="5" t="n"/>
      <c r="F2113" s="5" t="n"/>
      <c r="G2113" s="5" t="n"/>
      <c r="H2113" s="5" t="n"/>
      <c r="I2113" s="5" t="n"/>
      <c r="J2113" s="6" t="n"/>
      <c r="K2113" s="6" t="n"/>
      <c r="L2113" s="7">
        <f>IF(OR(D2113="",N(J2113)=0),"",MIN(1,N(K2113)/J2113))</f>
        <v/>
      </c>
      <c r="M2113" s="5" t="n"/>
      <c r="N2113" s="5" t="n"/>
      <c r="O2113" s="5" t="n"/>
      <c r="P2113" s="5" t="n"/>
      <c r="Q2113" s="5" t="n"/>
      <c r="R2113" s="4" t="n"/>
      <c r="S2113" s="4" t="n"/>
      <c r="T2113" s="5" t="n"/>
      <c r="U2113" s="8">
        <f>IF(AND(V2113=1,D2113&lt;&gt;""),IF(D2113&gt;=corte,TODAY()-D2113,""),"")</f>
        <v/>
      </c>
      <c r="V2113" s="8">
        <f>IF(D2113="",0,IF(OR(AND(P2113&lt;&gt;"",S2113=""),AND(N(J2113)&gt;0,N(K2113)&lt;J2113),OR(M2113="PENDENTE",M2113="PARCIAL"),OR(N2113="PENDENTE",N2113="PARCIAL")),1,0))</f>
        <v/>
      </c>
      <c r="W2113" s="8">
        <f>IF(AND(V2113=1,D2113&lt;&gt;""),IF(D2113&gt;=corte,(B2113="CRÍTICO")*1E9+(100000-D2113)*10000+10000-ROW(),""),"")</f>
        <v/>
      </c>
      <c r="X2113" s="8">
        <f>IF(AND(V2113=1,D2113=pas_data,E2113=pas_turno),10000-ROW(),"")</f>
        <v/>
      </c>
    </row>
    <row r="2114">
      <c r="A2114" s="3">
        <f>IF(D2114="","","TT-"&amp;TEXT(ROW()-1,"00000"))</f>
        <v/>
      </c>
      <c r="B2114" s="3">
        <f>IF(D2114="","",IF(V2114=0,"CONCLUÍDO",IF(D2114&lt;corte,"HISTÓRICO",IF(OR(AND(ISNUMBER(R2114),R2114&lt;TODAY()),AND(OR(N2114="PENDENTE",N2114="PARCIAL"),D2114&lt;TODAY()-1)),"CRÍTICO",IF(OR(AND(P2114&lt;&gt;"",S2114=""),AND(N2114="REALIZADO",M2114="PENDENTE"),AND(ISNUMBER(R2114),R2114=TODAY())),"ATENÇÃO",IF(N(K2114)=0,"PENDENTE","EM ANDAMENTO"))))))</f>
        <v/>
      </c>
      <c r="C2114" s="3">
        <f>IF(D2114="","",IF(V2114=0,"🟢 OK",IF(D2114&lt;corte,"⚪ HISTÓRICO (sem baixa)",IF(AND(ISNUMBER(R2114),R2114&lt;TODAY()),"🔴 PRAZO VENCIDO",IF(AND(OR(N2114="PENDENTE",N2114="PARCIAL"),D2114&lt;TODAY()-1),"🔴 EMBARQUE ATRASADO",IF(AND(N2114="REALIZADO",M2114="PENDENTE"),"🟡 EMBARCADO SEM FATURAR",IF(AND(P2114&lt;&gt;"",S2114="",OR(Q2114="",R2114="")),"🟡 PENDÊNCIA SEM RESPONSÁVEL/PRAZO",IF(AND(ISNUMBER(R2114),R2114=TODAY()),"🟡 VENCE HOJE",IF(AND(P2114&lt;&gt;"",S2114=""),"🟡 PENDÊNCIA ABERTA",IF(AND(N(J2114)&gt;0,N(K2114)&lt;J2114),"🟡 FALTA EXECUTAR",IF(OR(M2114="PENDENTE",M2114="PARCIAL"),"🟡 FATURAMENTO PENDENTE","🟡 EMBARQUE PENDENTE")))))))))))</f>
        <v/>
      </c>
      <c r="D2114" s="4" t="n"/>
      <c r="E2114" s="5" t="n"/>
      <c r="F2114" s="5" t="n"/>
      <c r="G2114" s="5" t="n"/>
      <c r="H2114" s="5" t="n"/>
      <c r="I2114" s="5" t="n"/>
      <c r="J2114" s="6" t="n"/>
      <c r="K2114" s="6" t="n"/>
      <c r="L2114" s="7">
        <f>IF(OR(D2114="",N(J2114)=0),"",MIN(1,N(K2114)/J2114))</f>
        <v/>
      </c>
      <c r="M2114" s="5" t="n"/>
      <c r="N2114" s="5" t="n"/>
      <c r="O2114" s="5" t="n"/>
      <c r="P2114" s="5" t="n"/>
      <c r="Q2114" s="5" t="n"/>
      <c r="R2114" s="4" t="n"/>
      <c r="S2114" s="4" t="n"/>
      <c r="T2114" s="5" t="n"/>
      <c r="U2114" s="8">
        <f>IF(AND(V2114=1,D2114&lt;&gt;""),IF(D2114&gt;=corte,TODAY()-D2114,""),"")</f>
        <v/>
      </c>
      <c r="V2114" s="8">
        <f>IF(D2114="",0,IF(OR(AND(P2114&lt;&gt;"",S2114=""),AND(N(J2114)&gt;0,N(K2114)&lt;J2114),OR(M2114="PENDENTE",M2114="PARCIAL"),OR(N2114="PENDENTE",N2114="PARCIAL")),1,0))</f>
        <v/>
      </c>
      <c r="W2114" s="8">
        <f>IF(AND(V2114=1,D2114&lt;&gt;""),IF(D2114&gt;=corte,(B2114="CRÍTICO")*1E9+(100000-D2114)*10000+10000-ROW(),""),"")</f>
        <v/>
      </c>
      <c r="X2114" s="8">
        <f>IF(AND(V2114=1,D2114=pas_data,E2114=pas_turno),10000-ROW(),"")</f>
        <v/>
      </c>
    </row>
    <row r="2115">
      <c r="A2115" s="3">
        <f>IF(D2115="","","TT-"&amp;TEXT(ROW()-1,"00000"))</f>
        <v/>
      </c>
      <c r="B2115" s="3">
        <f>IF(D2115="","",IF(V2115=0,"CONCLUÍDO",IF(D2115&lt;corte,"HISTÓRICO",IF(OR(AND(ISNUMBER(R2115),R2115&lt;TODAY()),AND(OR(N2115="PENDENTE",N2115="PARCIAL"),D2115&lt;TODAY()-1)),"CRÍTICO",IF(OR(AND(P2115&lt;&gt;"",S2115=""),AND(N2115="REALIZADO",M2115="PENDENTE"),AND(ISNUMBER(R2115),R2115=TODAY())),"ATENÇÃO",IF(N(K2115)=0,"PENDENTE","EM ANDAMENTO"))))))</f>
        <v/>
      </c>
      <c r="C2115" s="3">
        <f>IF(D2115="","",IF(V2115=0,"🟢 OK",IF(D2115&lt;corte,"⚪ HISTÓRICO (sem baixa)",IF(AND(ISNUMBER(R2115),R2115&lt;TODAY()),"🔴 PRAZO VENCIDO",IF(AND(OR(N2115="PENDENTE",N2115="PARCIAL"),D2115&lt;TODAY()-1),"🔴 EMBARQUE ATRASADO",IF(AND(N2115="REALIZADO",M2115="PENDENTE"),"🟡 EMBARCADO SEM FATURAR",IF(AND(P2115&lt;&gt;"",S2115="",OR(Q2115="",R2115="")),"🟡 PENDÊNCIA SEM RESPONSÁVEL/PRAZO",IF(AND(ISNUMBER(R2115),R2115=TODAY()),"🟡 VENCE HOJE",IF(AND(P2115&lt;&gt;"",S2115=""),"🟡 PENDÊNCIA ABERTA",IF(AND(N(J2115)&gt;0,N(K2115)&lt;J2115),"🟡 FALTA EXECUTAR",IF(OR(M2115="PENDENTE",M2115="PARCIAL"),"🟡 FATURAMENTO PENDENTE","🟡 EMBARQUE PENDENTE")))))))))))</f>
        <v/>
      </c>
      <c r="D2115" s="4" t="n"/>
      <c r="E2115" s="5" t="n"/>
      <c r="F2115" s="5" t="n"/>
      <c r="G2115" s="5" t="n"/>
      <c r="H2115" s="5" t="n"/>
      <c r="I2115" s="5" t="n"/>
      <c r="J2115" s="6" t="n"/>
      <c r="K2115" s="6" t="n"/>
      <c r="L2115" s="7">
        <f>IF(OR(D2115="",N(J2115)=0),"",MIN(1,N(K2115)/J2115))</f>
        <v/>
      </c>
      <c r="M2115" s="5" t="n"/>
      <c r="N2115" s="5" t="n"/>
      <c r="O2115" s="5" t="n"/>
      <c r="P2115" s="5" t="n"/>
      <c r="Q2115" s="5" t="n"/>
      <c r="R2115" s="4" t="n"/>
      <c r="S2115" s="4" t="n"/>
      <c r="T2115" s="5" t="n"/>
      <c r="U2115" s="8">
        <f>IF(AND(V2115=1,D2115&lt;&gt;""),IF(D2115&gt;=corte,TODAY()-D2115,""),"")</f>
        <v/>
      </c>
      <c r="V2115" s="8">
        <f>IF(D2115="",0,IF(OR(AND(P2115&lt;&gt;"",S2115=""),AND(N(J2115)&gt;0,N(K2115)&lt;J2115),OR(M2115="PENDENTE",M2115="PARCIAL"),OR(N2115="PENDENTE",N2115="PARCIAL")),1,0))</f>
        <v/>
      </c>
      <c r="W2115" s="8">
        <f>IF(AND(V2115=1,D2115&lt;&gt;""),IF(D2115&gt;=corte,(B2115="CRÍTICO")*1E9+(100000-D2115)*10000+10000-ROW(),""),"")</f>
        <v/>
      </c>
      <c r="X2115" s="8">
        <f>IF(AND(V2115=1,D2115=pas_data,E2115=pas_turno),10000-ROW(),"")</f>
        <v/>
      </c>
    </row>
    <row r="2116">
      <c r="A2116" s="3">
        <f>IF(D2116="","","TT-"&amp;TEXT(ROW()-1,"00000"))</f>
        <v/>
      </c>
      <c r="B2116" s="3">
        <f>IF(D2116="","",IF(V2116=0,"CONCLUÍDO",IF(D2116&lt;corte,"HISTÓRICO",IF(OR(AND(ISNUMBER(R2116),R2116&lt;TODAY()),AND(OR(N2116="PENDENTE",N2116="PARCIAL"),D2116&lt;TODAY()-1)),"CRÍTICO",IF(OR(AND(P2116&lt;&gt;"",S2116=""),AND(N2116="REALIZADO",M2116="PENDENTE"),AND(ISNUMBER(R2116),R2116=TODAY())),"ATENÇÃO",IF(N(K2116)=0,"PENDENTE","EM ANDAMENTO"))))))</f>
        <v/>
      </c>
      <c r="C2116" s="3">
        <f>IF(D2116="","",IF(V2116=0,"🟢 OK",IF(D2116&lt;corte,"⚪ HISTÓRICO (sem baixa)",IF(AND(ISNUMBER(R2116),R2116&lt;TODAY()),"🔴 PRAZO VENCIDO",IF(AND(OR(N2116="PENDENTE",N2116="PARCIAL"),D2116&lt;TODAY()-1),"🔴 EMBARQUE ATRASADO",IF(AND(N2116="REALIZADO",M2116="PENDENTE"),"🟡 EMBARCADO SEM FATURAR",IF(AND(P2116&lt;&gt;"",S2116="",OR(Q2116="",R2116="")),"🟡 PENDÊNCIA SEM RESPONSÁVEL/PRAZO",IF(AND(ISNUMBER(R2116),R2116=TODAY()),"🟡 VENCE HOJE",IF(AND(P2116&lt;&gt;"",S2116=""),"🟡 PENDÊNCIA ABERTA",IF(AND(N(J2116)&gt;0,N(K2116)&lt;J2116),"🟡 FALTA EXECUTAR",IF(OR(M2116="PENDENTE",M2116="PARCIAL"),"🟡 FATURAMENTO PENDENTE","🟡 EMBARQUE PENDENTE")))))))))))</f>
        <v/>
      </c>
      <c r="D2116" s="4" t="n"/>
      <c r="E2116" s="5" t="n"/>
      <c r="F2116" s="5" t="n"/>
      <c r="G2116" s="5" t="n"/>
      <c r="H2116" s="5" t="n"/>
      <c r="I2116" s="5" t="n"/>
      <c r="J2116" s="6" t="n"/>
      <c r="K2116" s="6" t="n"/>
      <c r="L2116" s="7">
        <f>IF(OR(D2116="",N(J2116)=0),"",MIN(1,N(K2116)/J2116))</f>
        <v/>
      </c>
      <c r="M2116" s="5" t="n"/>
      <c r="N2116" s="5" t="n"/>
      <c r="O2116" s="5" t="n"/>
      <c r="P2116" s="5" t="n"/>
      <c r="Q2116" s="5" t="n"/>
      <c r="R2116" s="4" t="n"/>
      <c r="S2116" s="4" t="n"/>
      <c r="T2116" s="5" t="n"/>
      <c r="U2116" s="8">
        <f>IF(AND(V2116=1,D2116&lt;&gt;""),IF(D2116&gt;=corte,TODAY()-D2116,""),"")</f>
        <v/>
      </c>
      <c r="V2116" s="8">
        <f>IF(D2116="",0,IF(OR(AND(P2116&lt;&gt;"",S2116=""),AND(N(J2116)&gt;0,N(K2116)&lt;J2116),OR(M2116="PENDENTE",M2116="PARCIAL"),OR(N2116="PENDENTE",N2116="PARCIAL")),1,0))</f>
        <v/>
      </c>
      <c r="W2116" s="8">
        <f>IF(AND(V2116=1,D2116&lt;&gt;""),IF(D2116&gt;=corte,(B2116="CRÍTICO")*1E9+(100000-D2116)*10000+10000-ROW(),""),"")</f>
        <v/>
      </c>
      <c r="X2116" s="8">
        <f>IF(AND(V2116=1,D2116=pas_data,E2116=pas_turno),10000-ROW(),"")</f>
        <v/>
      </c>
    </row>
    <row r="2117">
      <c r="A2117" s="3">
        <f>IF(D2117="","","TT-"&amp;TEXT(ROW()-1,"00000"))</f>
        <v/>
      </c>
      <c r="B2117" s="3">
        <f>IF(D2117="","",IF(V2117=0,"CONCLUÍDO",IF(D2117&lt;corte,"HISTÓRICO",IF(OR(AND(ISNUMBER(R2117),R2117&lt;TODAY()),AND(OR(N2117="PENDENTE",N2117="PARCIAL"),D2117&lt;TODAY()-1)),"CRÍTICO",IF(OR(AND(P2117&lt;&gt;"",S2117=""),AND(N2117="REALIZADO",M2117="PENDENTE"),AND(ISNUMBER(R2117),R2117=TODAY())),"ATENÇÃO",IF(N(K2117)=0,"PENDENTE","EM ANDAMENTO"))))))</f>
        <v/>
      </c>
      <c r="C2117" s="3">
        <f>IF(D2117="","",IF(V2117=0,"🟢 OK",IF(D2117&lt;corte,"⚪ HISTÓRICO (sem baixa)",IF(AND(ISNUMBER(R2117),R2117&lt;TODAY()),"🔴 PRAZO VENCIDO",IF(AND(OR(N2117="PENDENTE",N2117="PARCIAL"),D2117&lt;TODAY()-1),"🔴 EMBARQUE ATRASADO",IF(AND(N2117="REALIZADO",M2117="PENDENTE"),"🟡 EMBARCADO SEM FATURAR",IF(AND(P2117&lt;&gt;"",S2117="",OR(Q2117="",R2117="")),"🟡 PENDÊNCIA SEM RESPONSÁVEL/PRAZO",IF(AND(ISNUMBER(R2117),R2117=TODAY()),"🟡 VENCE HOJE",IF(AND(P2117&lt;&gt;"",S2117=""),"🟡 PENDÊNCIA ABERTA",IF(AND(N(J2117)&gt;0,N(K2117)&lt;J2117),"🟡 FALTA EXECUTAR",IF(OR(M2117="PENDENTE",M2117="PARCIAL"),"🟡 FATURAMENTO PENDENTE","🟡 EMBARQUE PENDENTE")))))))))))</f>
        <v/>
      </c>
      <c r="D2117" s="4" t="n"/>
      <c r="E2117" s="5" t="n"/>
      <c r="F2117" s="5" t="n"/>
      <c r="G2117" s="5" t="n"/>
      <c r="H2117" s="5" t="n"/>
      <c r="I2117" s="5" t="n"/>
      <c r="J2117" s="6" t="n"/>
      <c r="K2117" s="6" t="n"/>
      <c r="L2117" s="7">
        <f>IF(OR(D2117="",N(J2117)=0),"",MIN(1,N(K2117)/J2117))</f>
        <v/>
      </c>
      <c r="M2117" s="5" t="n"/>
      <c r="N2117" s="5" t="n"/>
      <c r="O2117" s="5" t="n"/>
      <c r="P2117" s="5" t="n"/>
      <c r="Q2117" s="5" t="n"/>
      <c r="R2117" s="4" t="n"/>
      <c r="S2117" s="4" t="n"/>
      <c r="T2117" s="5" t="n"/>
      <c r="U2117" s="8">
        <f>IF(AND(V2117=1,D2117&lt;&gt;""),IF(D2117&gt;=corte,TODAY()-D2117,""),"")</f>
        <v/>
      </c>
      <c r="V2117" s="8">
        <f>IF(D2117="",0,IF(OR(AND(P2117&lt;&gt;"",S2117=""),AND(N(J2117)&gt;0,N(K2117)&lt;J2117),OR(M2117="PENDENTE",M2117="PARCIAL"),OR(N2117="PENDENTE",N2117="PARCIAL")),1,0))</f>
        <v/>
      </c>
      <c r="W2117" s="8">
        <f>IF(AND(V2117=1,D2117&lt;&gt;""),IF(D2117&gt;=corte,(B2117="CRÍTICO")*1E9+(100000-D2117)*10000+10000-ROW(),""),"")</f>
        <v/>
      </c>
      <c r="X2117" s="8">
        <f>IF(AND(V2117=1,D2117=pas_data,E2117=pas_turno),10000-ROW(),"")</f>
        <v/>
      </c>
    </row>
    <row r="2118">
      <c r="A2118" s="3">
        <f>IF(D2118="","","TT-"&amp;TEXT(ROW()-1,"00000"))</f>
        <v/>
      </c>
      <c r="B2118" s="3">
        <f>IF(D2118="","",IF(V2118=0,"CONCLUÍDO",IF(D2118&lt;corte,"HISTÓRICO",IF(OR(AND(ISNUMBER(R2118),R2118&lt;TODAY()),AND(OR(N2118="PENDENTE",N2118="PARCIAL"),D2118&lt;TODAY()-1)),"CRÍTICO",IF(OR(AND(P2118&lt;&gt;"",S2118=""),AND(N2118="REALIZADO",M2118="PENDENTE"),AND(ISNUMBER(R2118),R2118=TODAY())),"ATENÇÃO",IF(N(K2118)=0,"PENDENTE","EM ANDAMENTO"))))))</f>
        <v/>
      </c>
      <c r="C2118" s="3">
        <f>IF(D2118="","",IF(V2118=0,"🟢 OK",IF(D2118&lt;corte,"⚪ HISTÓRICO (sem baixa)",IF(AND(ISNUMBER(R2118),R2118&lt;TODAY()),"🔴 PRAZO VENCIDO",IF(AND(OR(N2118="PENDENTE",N2118="PARCIAL"),D2118&lt;TODAY()-1),"🔴 EMBARQUE ATRASADO",IF(AND(N2118="REALIZADO",M2118="PENDENTE"),"🟡 EMBARCADO SEM FATURAR",IF(AND(P2118&lt;&gt;"",S2118="",OR(Q2118="",R2118="")),"🟡 PENDÊNCIA SEM RESPONSÁVEL/PRAZO",IF(AND(ISNUMBER(R2118),R2118=TODAY()),"🟡 VENCE HOJE",IF(AND(P2118&lt;&gt;"",S2118=""),"🟡 PENDÊNCIA ABERTA",IF(AND(N(J2118)&gt;0,N(K2118)&lt;J2118),"🟡 FALTA EXECUTAR",IF(OR(M2118="PENDENTE",M2118="PARCIAL"),"🟡 FATURAMENTO PENDENTE","🟡 EMBARQUE PENDENTE")))))))))))</f>
        <v/>
      </c>
      <c r="D2118" s="4" t="n"/>
      <c r="E2118" s="5" t="n"/>
      <c r="F2118" s="5" t="n"/>
      <c r="G2118" s="5" t="n"/>
      <c r="H2118" s="5" t="n"/>
      <c r="I2118" s="5" t="n"/>
      <c r="J2118" s="6" t="n"/>
      <c r="K2118" s="6" t="n"/>
      <c r="L2118" s="7">
        <f>IF(OR(D2118="",N(J2118)=0),"",MIN(1,N(K2118)/J2118))</f>
        <v/>
      </c>
      <c r="M2118" s="5" t="n"/>
      <c r="N2118" s="5" t="n"/>
      <c r="O2118" s="5" t="n"/>
      <c r="P2118" s="5" t="n"/>
      <c r="Q2118" s="5" t="n"/>
      <c r="R2118" s="4" t="n"/>
      <c r="S2118" s="4" t="n"/>
      <c r="T2118" s="5" t="n"/>
      <c r="U2118" s="8">
        <f>IF(AND(V2118=1,D2118&lt;&gt;""),IF(D2118&gt;=corte,TODAY()-D2118,""),"")</f>
        <v/>
      </c>
      <c r="V2118" s="8">
        <f>IF(D2118="",0,IF(OR(AND(P2118&lt;&gt;"",S2118=""),AND(N(J2118)&gt;0,N(K2118)&lt;J2118),OR(M2118="PENDENTE",M2118="PARCIAL"),OR(N2118="PENDENTE",N2118="PARCIAL")),1,0))</f>
        <v/>
      </c>
      <c r="W2118" s="8">
        <f>IF(AND(V2118=1,D2118&lt;&gt;""),IF(D2118&gt;=corte,(B2118="CRÍTICO")*1E9+(100000-D2118)*10000+10000-ROW(),""),"")</f>
        <v/>
      </c>
      <c r="X2118" s="8">
        <f>IF(AND(V2118=1,D2118=pas_data,E2118=pas_turno),10000-ROW(),"")</f>
        <v/>
      </c>
    </row>
    <row r="2119">
      <c r="A2119" s="3">
        <f>IF(D2119="","","TT-"&amp;TEXT(ROW()-1,"00000"))</f>
        <v/>
      </c>
      <c r="B2119" s="3">
        <f>IF(D2119="","",IF(V2119=0,"CONCLUÍDO",IF(D2119&lt;corte,"HISTÓRICO",IF(OR(AND(ISNUMBER(R2119),R2119&lt;TODAY()),AND(OR(N2119="PENDENTE",N2119="PARCIAL"),D2119&lt;TODAY()-1)),"CRÍTICO",IF(OR(AND(P2119&lt;&gt;"",S2119=""),AND(N2119="REALIZADO",M2119="PENDENTE"),AND(ISNUMBER(R2119),R2119=TODAY())),"ATENÇÃO",IF(N(K2119)=0,"PENDENTE","EM ANDAMENTO"))))))</f>
        <v/>
      </c>
      <c r="C2119" s="3">
        <f>IF(D2119="","",IF(V2119=0,"🟢 OK",IF(D2119&lt;corte,"⚪ HISTÓRICO (sem baixa)",IF(AND(ISNUMBER(R2119),R2119&lt;TODAY()),"🔴 PRAZO VENCIDO",IF(AND(OR(N2119="PENDENTE",N2119="PARCIAL"),D2119&lt;TODAY()-1),"🔴 EMBARQUE ATRASADO",IF(AND(N2119="REALIZADO",M2119="PENDENTE"),"🟡 EMBARCADO SEM FATURAR",IF(AND(P2119&lt;&gt;"",S2119="",OR(Q2119="",R2119="")),"🟡 PENDÊNCIA SEM RESPONSÁVEL/PRAZO",IF(AND(ISNUMBER(R2119),R2119=TODAY()),"🟡 VENCE HOJE",IF(AND(P2119&lt;&gt;"",S2119=""),"🟡 PENDÊNCIA ABERTA",IF(AND(N(J2119)&gt;0,N(K2119)&lt;J2119),"🟡 FALTA EXECUTAR",IF(OR(M2119="PENDENTE",M2119="PARCIAL"),"🟡 FATURAMENTO PENDENTE","🟡 EMBARQUE PENDENTE")))))))))))</f>
        <v/>
      </c>
      <c r="D2119" s="4" t="n"/>
      <c r="E2119" s="5" t="n"/>
      <c r="F2119" s="5" t="n"/>
      <c r="G2119" s="5" t="n"/>
      <c r="H2119" s="5" t="n"/>
      <c r="I2119" s="5" t="n"/>
      <c r="J2119" s="6" t="n"/>
      <c r="K2119" s="6" t="n"/>
      <c r="L2119" s="7">
        <f>IF(OR(D2119="",N(J2119)=0),"",MIN(1,N(K2119)/J2119))</f>
        <v/>
      </c>
      <c r="M2119" s="5" t="n"/>
      <c r="N2119" s="5" t="n"/>
      <c r="O2119" s="5" t="n"/>
      <c r="P2119" s="5" t="n"/>
      <c r="Q2119" s="5" t="n"/>
      <c r="R2119" s="4" t="n"/>
      <c r="S2119" s="4" t="n"/>
      <c r="T2119" s="5" t="n"/>
      <c r="U2119" s="8">
        <f>IF(AND(V2119=1,D2119&lt;&gt;""),IF(D2119&gt;=corte,TODAY()-D2119,""),"")</f>
        <v/>
      </c>
      <c r="V2119" s="8">
        <f>IF(D2119="",0,IF(OR(AND(P2119&lt;&gt;"",S2119=""),AND(N(J2119)&gt;0,N(K2119)&lt;J2119),OR(M2119="PENDENTE",M2119="PARCIAL"),OR(N2119="PENDENTE",N2119="PARCIAL")),1,0))</f>
        <v/>
      </c>
      <c r="W2119" s="8">
        <f>IF(AND(V2119=1,D2119&lt;&gt;""),IF(D2119&gt;=corte,(B2119="CRÍTICO")*1E9+(100000-D2119)*10000+10000-ROW(),""),"")</f>
        <v/>
      </c>
      <c r="X2119" s="8">
        <f>IF(AND(V2119=1,D2119=pas_data,E2119=pas_turno),10000-ROW(),"")</f>
        <v/>
      </c>
    </row>
    <row r="2120">
      <c r="A2120" s="3">
        <f>IF(D2120="","","TT-"&amp;TEXT(ROW()-1,"00000"))</f>
        <v/>
      </c>
      <c r="B2120" s="3">
        <f>IF(D2120="","",IF(V2120=0,"CONCLUÍDO",IF(D2120&lt;corte,"HISTÓRICO",IF(OR(AND(ISNUMBER(R2120),R2120&lt;TODAY()),AND(OR(N2120="PENDENTE",N2120="PARCIAL"),D2120&lt;TODAY()-1)),"CRÍTICO",IF(OR(AND(P2120&lt;&gt;"",S2120=""),AND(N2120="REALIZADO",M2120="PENDENTE"),AND(ISNUMBER(R2120),R2120=TODAY())),"ATENÇÃO",IF(N(K2120)=0,"PENDENTE","EM ANDAMENTO"))))))</f>
        <v/>
      </c>
      <c r="C2120" s="3">
        <f>IF(D2120="","",IF(V2120=0,"🟢 OK",IF(D2120&lt;corte,"⚪ HISTÓRICO (sem baixa)",IF(AND(ISNUMBER(R2120),R2120&lt;TODAY()),"🔴 PRAZO VENCIDO",IF(AND(OR(N2120="PENDENTE",N2120="PARCIAL"),D2120&lt;TODAY()-1),"🔴 EMBARQUE ATRASADO",IF(AND(N2120="REALIZADO",M2120="PENDENTE"),"🟡 EMBARCADO SEM FATURAR",IF(AND(P2120&lt;&gt;"",S2120="",OR(Q2120="",R2120="")),"🟡 PENDÊNCIA SEM RESPONSÁVEL/PRAZO",IF(AND(ISNUMBER(R2120),R2120=TODAY()),"🟡 VENCE HOJE",IF(AND(P2120&lt;&gt;"",S2120=""),"🟡 PENDÊNCIA ABERTA",IF(AND(N(J2120)&gt;0,N(K2120)&lt;J2120),"🟡 FALTA EXECUTAR",IF(OR(M2120="PENDENTE",M2120="PARCIAL"),"🟡 FATURAMENTO PENDENTE","🟡 EMBARQUE PENDENTE")))))))))))</f>
        <v/>
      </c>
      <c r="D2120" s="4" t="n"/>
      <c r="E2120" s="5" t="n"/>
      <c r="F2120" s="5" t="n"/>
      <c r="G2120" s="5" t="n"/>
      <c r="H2120" s="5" t="n"/>
      <c r="I2120" s="5" t="n"/>
      <c r="J2120" s="6" t="n"/>
      <c r="K2120" s="6" t="n"/>
      <c r="L2120" s="7">
        <f>IF(OR(D2120="",N(J2120)=0),"",MIN(1,N(K2120)/J2120))</f>
        <v/>
      </c>
      <c r="M2120" s="5" t="n"/>
      <c r="N2120" s="5" t="n"/>
      <c r="O2120" s="5" t="n"/>
      <c r="P2120" s="5" t="n"/>
      <c r="Q2120" s="5" t="n"/>
      <c r="R2120" s="4" t="n"/>
      <c r="S2120" s="4" t="n"/>
      <c r="T2120" s="5" t="n"/>
      <c r="U2120" s="8">
        <f>IF(AND(V2120=1,D2120&lt;&gt;""),IF(D2120&gt;=corte,TODAY()-D2120,""),"")</f>
        <v/>
      </c>
      <c r="V2120" s="8">
        <f>IF(D2120="",0,IF(OR(AND(P2120&lt;&gt;"",S2120=""),AND(N(J2120)&gt;0,N(K2120)&lt;J2120),OR(M2120="PENDENTE",M2120="PARCIAL"),OR(N2120="PENDENTE",N2120="PARCIAL")),1,0))</f>
        <v/>
      </c>
      <c r="W2120" s="8">
        <f>IF(AND(V2120=1,D2120&lt;&gt;""),IF(D2120&gt;=corte,(B2120="CRÍTICO")*1E9+(100000-D2120)*10000+10000-ROW(),""),"")</f>
        <v/>
      </c>
      <c r="X2120" s="8">
        <f>IF(AND(V2120=1,D2120=pas_data,E2120=pas_turno),10000-ROW(),"")</f>
        <v/>
      </c>
    </row>
    <row r="2121">
      <c r="A2121" s="3">
        <f>IF(D2121="","","TT-"&amp;TEXT(ROW()-1,"00000"))</f>
        <v/>
      </c>
      <c r="B2121" s="3">
        <f>IF(D2121="","",IF(V2121=0,"CONCLUÍDO",IF(D2121&lt;corte,"HISTÓRICO",IF(OR(AND(ISNUMBER(R2121),R2121&lt;TODAY()),AND(OR(N2121="PENDENTE",N2121="PARCIAL"),D2121&lt;TODAY()-1)),"CRÍTICO",IF(OR(AND(P2121&lt;&gt;"",S2121=""),AND(N2121="REALIZADO",M2121="PENDENTE"),AND(ISNUMBER(R2121),R2121=TODAY())),"ATENÇÃO",IF(N(K2121)=0,"PENDENTE","EM ANDAMENTO"))))))</f>
        <v/>
      </c>
      <c r="C2121" s="3">
        <f>IF(D2121="","",IF(V2121=0,"🟢 OK",IF(D2121&lt;corte,"⚪ HISTÓRICO (sem baixa)",IF(AND(ISNUMBER(R2121),R2121&lt;TODAY()),"🔴 PRAZO VENCIDO",IF(AND(OR(N2121="PENDENTE",N2121="PARCIAL"),D2121&lt;TODAY()-1),"🔴 EMBARQUE ATRASADO",IF(AND(N2121="REALIZADO",M2121="PENDENTE"),"🟡 EMBARCADO SEM FATURAR",IF(AND(P2121&lt;&gt;"",S2121="",OR(Q2121="",R2121="")),"🟡 PENDÊNCIA SEM RESPONSÁVEL/PRAZO",IF(AND(ISNUMBER(R2121),R2121=TODAY()),"🟡 VENCE HOJE",IF(AND(P2121&lt;&gt;"",S2121=""),"🟡 PENDÊNCIA ABERTA",IF(AND(N(J2121)&gt;0,N(K2121)&lt;J2121),"🟡 FALTA EXECUTAR",IF(OR(M2121="PENDENTE",M2121="PARCIAL"),"🟡 FATURAMENTO PENDENTE","🟡 EMBARQUE PENDENTE")))))))))))</f>
        <v/>
      </c>
      <c r="D2121" s="4" t="n"/>
      <c r="E2121" s="5" t="n"/>
      <c r="F2121" s="5" t="n"/>
      <c r="G2121" s="5" t="n"/>
      <c r="H2121" s="5" t="n"/>
      <c r="I2121" s="5" t="n"/>
      <c r="J2121" s="6" t="n"/>
      <c r="K2121" s="6" t="n"/>
      <c r="L2121" s="7">
        <f>IF(OR(D2121="",N(J2121)=0),"",MIN(1,N(K2121)/J2121))</f>
        <v/>
      </c>
      <c r="M2121" s="5" t="n"/>
      <c r="N2121" s="5" t="n"/>
      <c r="O2121" s="5" t="n"/>
      <c r="P2121" s="5" t="n"/>
      <c r="Q2121" s="5" t="n"/>
      <c r="R2121" s="4" t="n"/>
      <c r="S2121" s="4" t="n"/>
      <c r="T2121" s="5" t="n"/>
      <c r="U2121" s="8">
        <f>IF(AND(V2121=1,D2121&lt;&gt;""),IF(D2121&gt;=corte,TODAY()-D2121,""),"")</f>
        <v/>
      </c>
      <c r="V2121" s="8">
        <f>IF(D2121="",0,IF(OR(AND(P2121&lt;&gt;"",S2121=""),AND(N(J2121)&gt;0,N(K2121)&lt;J2121),OR(M2121="PENDENTE",M2121="PARCIAL"),OR(N2121="PENDENTE",N2121="PARCIAL")),1,0))</f>
        <v/>
      </c>
      <c r="W2121" s="8">
        <f>IF(AND(V2121=1,D2121&lt;&gt;""),IF(D2121&gt;=corte,(B2121="CRÍTICO")*1E9+(100000-D2121)*10000+10000-ROW(),""),"")</f>
        <v/>
      </c>
      <c r="X2121" s="8">
        <f>IF(AND(V2121=1,D2121=pas_data,E2121=pas_turno),10000-ROW(),"")</f>
        <v/>
      </c>
    </row>
    <row r="2122">
      <c r="A2122" s="3">
        <f>IF(D2122="","","TT-"&amp;TEXT(ROW()-1,"00000"))</f>
        <v/>
      </c>
      <c r="B2122" s="3">
        <f>IF(D2122="","",IF(V2122=0,"CONCLUÍDO",IF(D2122&lt;corte,"HISTÓRICO",IF(OR(AND(ISNUMBER(R2122),R2122&lt;TODAY()),AND(OR(N2122="PENDENTE",N2122="PARCIAL"),D2122&lt;TODAY()-1)),"CRÍTICO",IF(OR(AND(P2122&lt;&gt;"",S2122=""),AND(N2122="REALIZADO",M2122="PENDENTE"),AND(ISNUMBER(R2122),R2122=TODAY())),"ATENÇÃO",IF(N(K2122)=0,"PENDENTE","EM ANDAMENTO"))))))</f>
        <v/>
      </c>
      <c r="C2122" s="3">
        <f>IF(D2122="","",IF(V2122=0,"🟢 OK",IF(D2122&lt;corte,"⚪ HISTÓRICO (sem baixa)",IF(AND(ISNUMBER(R2122),R2122&lt;TODAY()),"🔴 PRAZO VENCIDO",IF(AND(OR(N2122="PENDENTE",N2122="PARCIAL"),D2122&lt;TODAY()-1),"🔴 EMBARQUE ATRASADO",IF(AND(N2122="REALIZADO",M2122="PENDENTE"),"🟡 EMBARCADO SEM FATURAR",IF(AND(P2122&lt;&gt;"",S2122="",OR(Q2122="",R2122="")),"🟡 PENDÊNCIA SEM RESPONSÁVEL/PRAZO",IF(AND(ISNUMBER(R2122),R2122=TODAY()),"🟡 VENCE HOJE",IF(AND(P2122&lt;&gt;"",S2122=""),"🟡 PENDÊNCIA ABERTA",IF(AND(N(J2122)&gt;0,N(K2122)&lt;J2122),"🟡 FALTA EXECUTAR",IF(OR(M2122="PENDENTE",M2122="PARCIAL"),"🟡 FATURAMENTO PENDENTE","🟡 EMBARQUE PENDENTE")))))))))))</f>
        <v/>
      </c>
      <c r="D2122" s="4" t="n"/>
      <c r="E2122" s="5" t="n"/>
      <c r="F2122" s="5" t="n"/>
      <c r="G2122" s="5" t="n"/>
      <c r="H2122" s="5" t="n"/>
      <c r="I2122" s="5" t="n"/>
      <c r="J2122" s="6" t="n"/>
      <c r="K2122" s="6" t="n"/>
      <c r="L2122" s="7">
        <f>IF(OR(D2122="",N(J2122)=0),"",MIN(1,N(K2122)/J2122))</f>
        <v/>
      </c>
      <c r="M2122" s="5" t="n"/>
      <c r="N2122" s="5" t="n"/>
      <c r="O2122" s="5" t="n"/>
      <c r="P2122" s="5" t="n"/>
      <c r="Q2122" s="5" t="n"/>
      <c r="R2122" s="4" t="n"/>
      <c r="S2122" s="4" t="n"/>
      <c r="T2122" s="5" t="n"/>
      <c r="U2122" s="8">
        <f>IF(AND(V2122=1,D2122&lt;&gt;""),IF(D2122&gt;=corte,TODAY()-D2122,""),"")</f>
        <v/>
      </c>
      <c r="V2122" s="8">
        <f>IF(D2122="",0,IF(OR(AND(P2122&lt;&gt;"",S2122=""),AND(N(J2122)&gt;0,N(K2122)&lt;J2122),OR(M2122="PENDENTE",M2122="PARCIAL"),OR(N2122="PENDENTE",N2122="PARCIAL")),1,0))</f>
        <v/>
      </c>
      <c r="W2122" s="8">
        <f>IF(AND(V2122=1,D2122&lt;&gt;""),IF(D2122&gt;=corte,(B2122="CRÍTICO")*1E9+(100000-D2122)*10000+10000-ROW(),""),"")</f>
        <v/>
      </c>
      <c r="X2122" s="8">
        <f>IF(AND(V2122=1,D2122=pas_data,E2122=pas_turno),10000-ROW(),"")</f>
        <v/>
      </c>
    </row>
    <row r="2123">
      <c r="A2123" s="3">
        <f>IF(D2123="","","TT-"&amp;TEXT(ROW()-1,"00000"))</f>
        <v/>
      </c>
      <c r="B2123" s="3">
        <f>IF(D2123="","",IF(V2123=0,"CONCLUÍDO",IF(D2123&lt;corte,"HISTÓRICO",IF(OR(AND(ISNUMBER(R2123),R2123&lt;TODAY()),AND(OR(N2123="PENDENTE",N2123="PARCIAL"),D2123&lt;TODAY()-1)),"CRÍTICO",IF(OR(AND(P2123&lt;&gt;"",S2123=""),AND(N2123="REALIZADO",M2123="PENDENTE"),AND(ISNUMBER(R2123),R2123=TODAY())),"ATENÇÃO",IF(N(K2123)=0,"PENDENTE","EM ANDAMENTO"))))))</f>
        <v/>
      </c>
      <c r="C2123" s="3">
        <f>IF(D2123="","",IF(V2123=0,"🟢 OK",IF(D2123&lt;corte,"⚪ HISTÓRICO (sem baixa)",IF(AND(ISNUMBER(R2123),R2123&lt;TODAY()),"🔴 PRAZO VENCIDO",IF(AND(OR(N2123="PENDENTE",N2123="PARCIAL"),D2123&lt;TODAY()-1),"🔴 EMBARQUE ATRASADO",IF(AND(N2123="REALIZADO",M2123="PENDENTE"),"🟡 EMBARCADO SEM FATURAR",IF(AND(P2123&lt;&gt;"",S2123="",OR(Q2123="",R2123="")),"🟡 PENDÊNCIA SEM RESPONSÁVEL/PRAZO",IF(AND(ISNUMBER(R2123),R2123=TODAY()),"🟡 VENCE HOJE",IF(AND(P2123&lt;&gt;"",S2123=""),"🟡 PENDÊNCIA ABERTA",IF(AND(N(J2123)&gt;0,N(K2123)&lt;J2123),"🟡 FALTA EXECUTAR",IF(OR(M2123="PENDENTE",M2123="PARCIAL"),"🟡 FATURAMENTO PENDENTE","🟡 EMBARQUE PENDENTE")))))))))))</f>
        <v/>
      </c>
      <c r="D2123" s="4" t="n"/>
      <c r="E2123" s="5" t="n"/>
      <c r="F2123" s="5" t="n"/>
      <c r="G2123" s="5" t="n"/>
      <c r="H2123" s="5" t="n"/>
      <c r="I2123" s="5" t="n"/>
      <c r="J2123" s="6" t="n"/>
      <c r="K2123" s="6" t="n"/>
      <c r="L2123" s="7">
        <f>IF(OR(D2123="",N(J2123)=0),"",MIN(1,N(K2123)/J2123))</f>
        <v/>
      </c>
      <c r="M2123" s="5" t="n"/>
      <c r="N2123" s="5" t="n"/>
      <c r="O2123" s="5" t="n"/>
      <c r="P2123" s="5" t="n"/>
      <c r="Q2123" s="5" t="n"/>
      <c r="R2123" s="4" t="n"/>
      <c r="S2123" s="4" t="n"/>
      <c r="T2123" s="5" t="n"/>
      <c r="U2123" s="8">
        <f>IF(AND(V2123=1,D2123&lt;&gt;""),IF(D2123&gt;=corte,TODAY()-D2123,""),"")</f>
        <v/>
      </c>
      <c r="V2123" s="8">
        <f>IF(D2123="",0,IF(OR(AND(P2123&lt;&gt;"",S2123=""),AND(N(J2123)&gt;0,N(K2123)&lt;J2123),OR(M2123="PENDENTE",M2123="PARCIAL"),OR(N2123="PENDENTE",N2123="PARCIAL")),1,0))</f>
        <v/>
      </c>
      <c r="W2123" s="8">
        <f>IF(AND(V2123=1,D2123&lt;&gt;""),IF(D2123&gt;=corte,(B2123="CRÍTICO")*1E9+(100000-D2123)*10000+10000-ROW(),""),"")</f>
        <v/>
      </c>
      <c r="X2123" s="8">
        <f>IF(AND(V2123=1,D2123=pas_data,E2123=pas_turno),10000-ROW(),"")</f>
        <v/>
      </c>
    </row>
    <row r="2124">
      <c r="A2124" s="3">
        <f>IF(D2124="","","TT-"&amp;TEXT(ROW()-1,"00000"))</f>
        <v/>
      </c>
      <c r="B2124" s="3">
        <f>IF(D2124="","",IF(V2124=0,"CONCLUÍDO",IF(D2124&lt;corte,"HISTÓRICO",IF(OR(AND(ISNUMBER(R2124),R2124&lt;TODAY()),AND(OR(N2124="PENDENTE",N2124="PARCIAL"),D2124&lt;TODAY()-1)),"CRÍTICO",IF(OR(AND(P2124&lt;&gt;"",S2124=""),AND(N2124="REALIZADO",M2124="PENDENTE"),AND(ISNUMBER(R2124),R2124=TODAY())),"ATENÇÃO",IF(N(K2124)=0,"PENDENTE","EM ANDAMENTO"))))))</f>
        <v/>
      </c>
      <c r="C2124" s="3">
        <f>IF(D2124="","",IF(V2124=0,"🟢 OK",IF(D2124&lt;corte,"⚪ HISTÓRICO (sem baixa)",IF(AND(ISNUMBER(R2124),R2124&lt;TODAY()),"🔴 PRAZO VENCIDO",IF(AND(OR(N2124="PENDENTE",N2124="PARCIAL"),D2124&lt;TODAY()-1),"🔴 EMBARQUE ATRASADO",IF(AND(N2124="REALIZADO",M2124="PENDENTE"),"🟡 EMBARCADO SEM FATURAR",IF(AND(P2124&lt;&gt;"",S2124="",OR(Q2124="",R2124="")),"🟡 PENDÊNCIA SEM RESPONSÁVEL/PRAZO",IF(AND(ISNUMBER(R2124),R2124=TODAY()),"🟡 VENCE HOJE",IF(AND(P2124&lt;&gt;"",S2124=""),"🟡 PENDÊNCIA ABERTA",IF(AND(N(J2124)&gt;0,N(K2124)&lt;J2124),"🟡 FALTA EXECUTAR",IF(OR(M2124="PENDENTE",M2124="PARCIAL"),"🟡 FATURAMENTO PENDENTE","🟡 EMBARQUE PENDENTE")))))))))))</f>
        <v/>
      </c>
      <c r="D2124" s="4" t="n"/>
      <c r="E2124" s="5" t="n"/>
      <c r="F2124" s="5" t="n"/>
      <c r="G2124" s="5" t="n"/>
      <c r="H2124" s="5" t="n"/>
      <c r="I2124" s="5" t="n"/>
      <c r="J2124" s="6" t="n"/>
      <c r="K2124" s="6" t="n"/>
      <c r="L2124" s="7">
        <f>IF(OR(D2124="",N(J2124)=0),"",MIN(1,N(K2124)/J2124))</f>
        <v/>
      </c>
      <c r="M2124" s="5" t="n"/>
      <c r="N2124" s="5" t="n"/>
      <c r="O2124" s="5" t="n"/>
      <c r="P2124" s="5" t="n"/>
      <c r="Q2124" s="5" t="n"/>
      <c r="R2124" s="4" t="n"/>
      <c r="S2124" s="4" t="n"/>
      <c r="T2124" s="5" t="n"/>
      <c r="U2124" s="8">
        <f>IF(AND(V2124=1,D2124&lt;&gt;""),IF(D2124&gt;=corte,TODAY()-D2124,""),"")</f>
        <v/>
      </c>
      <c r="V2124" s="8">
        <f>IF(D2124="",0,IF(OR(AND(P2124&lt;&gt;"",S2124=""),AND(N(J2124)&gt;0,N(K2124)&lt;J2124),OR(M2124="PENDENTE",M2124="PARCIAL"),OR(N2124="PENDENTE",N2124="PARCIAL")),1,0))</f>
        <v/>
      </c>
      <c r="W2124" s="8">
        <f>IF(AND(V2124=1,D2124&lt;&gt;""),IF(D2124&gt;=corte,(B2124="CRÍTICO")*1E9+(100000-D2124)*10000+10000-ROW(),""),"")</f>
        <v/>
      </c>
      <c r="X2124" s="8">
        <f>IF(AND(V2124=1,D2124=pas_data,E2124=pas_turno),10000-ROW(),"")</f>
        <v/>
      </c>
    </row>
    <row r="2125">
      <c r="A2125" s="3">
        <f>IF(D2125="","","TT-"&amp;TEXT(ROW()-1,"00000"))</f>
        <v/>
      </c>
      <c r="B2125" s="3">
        <f>IF(D2125="","",IF(V2125=0,"CONCLUÍDO",IF(D2125&lt;corte,"HISTÓRICO",IF(OR(AND(ISNUMBER(R2125),R2125&lt;TODAY()),AND(OR(N2125="PENDENTE",N2125="PARCIAL"),D2125&lt;TODAY()-1)),"CRÍTICO",IF(OR(AND(P2125&lt;&gt;"",S2125=""),AND(N2125="REALIZADO",M2125="PENDENTE"),AND(ISNUMBER(R2125),R2125=TODAY())),"ATENÇÃO",IF(N(K2125)=0,"PENDENTE","EM ANDAMENTO"))))))</f>
        <v/>
      </c>
      <c r="C2125" s="3">
        <f>IF(D2125="","",IF(V2125=0,"🟢 OK",IF(D2125&lt;corte,"⚪ HISTÓRICO (sem baixa)",IF(AND(ISNUMBER(R2125),R2125&lt;TODAY()),"🔴 PRAZO VENCIDO",IF(AND(OR(N2125="PENDENTE",N2125="PARCIAL"),D2125&lt;TODAY()-1),"🔴 EMBARQUE ATRASADO",IF(AND(N2125="REALIZADO",M2125="PENDENTE"),"🟡 EMBARCADO SEM FATURAR",IF(AND(P2125&lt;&gt;"",S2125="",OR(Q2125="",R2125="")),"🟡 PENDÊNCIA SEM RESPONSÁVEL/PRAZO",IF(AND(ISNUMBER(R2125),R2125=TODAY()),"🟡 VENCE HOJE",IF(AND(P2125&lt;&gt;"",S2125=""),"🟡 PENDÊNCIA ABERTA",IF(AND(N(J2125)&gt;0,N(K2125)&lt;J2125),"🟡 FALTA EXECUTAR",IF(OR(M2125="PENDENTE",M2125="PARCIAL"),"🟡 FATURAMENTO PENDENTE","🟡 EMBARQUE PENDENTE")))))))))))</f>
        <v/>
      </c>
      <c r="D2125" s="4" t="n"/>
      <c r="E2125" s="5" t="n"/>
      <c r="F2125" s="5" t="n"/>
      <c r="G2125" s="5" t="n"/>
      <c r="H2125" s="5" t="n"/>
      <c r="I2125" s="5" t="n"/>
      <c r="J2125" s="6" t="n"/>
      <c r="K2125" s="6" t="n"/>
      <c r="L2125" s="7">
        <f>IF(OR(D2125="",N(J2125)=0),"",MIN(1,N(K2125)/J2125))</f>
        <v/>
      </c>
      <c r="M2125" s="5" t="n"/>
      <c r="N2125" s="5" t="n"/>
      <c r="O2125" s="5" t="n"/>
      <c r="P2125" s="5" t="n"/>
      <c r="Q2125" s="5" t="n"/>
      <c r="R2125" s="4" t="n"/>
      <c r="S2125" s="4" t="n"/>
      <c r="T2125" s="5" t="n"/>
      <c r="U2125" s="8">
        <f>IF(AND(V2125=1,D2125&lt;&gt;""),IF(D2125&gt;=corte,TODAY()-D2125,""),"")</f>
        <v/>
      </c>
      <c r="V2125" s="8">
        <f>IF(D2125="",0,IF(OR(AND(P2125&lt;&gt;"",S2125=""),AND(N(J2125)&gt;0,N(K2125)&lt;J2125),OR(M2125="PENDENTE",M2125="PARCIAL"),OR(N2125="PENDENTE",N2125="PARCIAL")),1,0))</f>
        <v/>
      </c>
      <c r="W2125" s="8">
        <f>IF(AND(V2125=1,D2125&lt;&gt;""),IF(D2125&gt;=corte,(B2125="CRÍTICO")*1E9+(100000-D2125)*10000+10000-ROW(),""),"")</f>
        <v/>
      </c>
      <c r="X2125" s="8">
        <f>IF(AND(V2125=1,D2125=pas_data,E2125=pas_turno),10000-ROW(),"")</f>
        <v/>
      </c>
    </row>
    <row r="2126">
      <c r="A2126" s="3">
        <f>IF(D2126="","","TT-"&amp;TEXT(ROW()-1,"00000"))</f>
        <v/>
      </c>
      <c r="B2126" s="3">
        <f>IF(D2126="","",IF(V2126=0,"CONCLUÍDO",IF(D2126&lt;corte,"HISTÓRICO",IF(OR(AND(ISNUMBER(R2126),R2126&lt;TODAY()),AND(OR(N2126="PENDENTE",N2126="PARCIAL"),D2126&lt;TODAY()-1)),"CRÍTICO",IF(OR(AND(P2126&lt;&gt;"",S2126=""),AND(N2126="REALIZADO",M2126="PENDENTE"),AND(ISNUMBER(R2126),R2126=TODAY())),"ATENÇÃO",IF(N(K2126)=0,"PENDENTE","EM ANDAMENTO"))))))</f>
        <v/>
      </c>
      <c r="C2126" s="3">
        <f>IF(D2126="","",IF(V2126=0,"🟢 OK",IF(D2126&lt;corte,"⚪ HISTÓRICO (sem baixa)",IF(AND(ISNUMBER(R2126),R2126&lt;TODAY()),"🔴 PRAZO VENCIDO",IF(AND(OR(N2126="PENDENTE",N2126="PARCIAL"),D2126&lt;TODAY()-1),"🔴 EMBARQUE ATRASADO",IF(AND(N2126="REALIZADO",M2126="PENDENTE"),"🟡 EMBARCADO SEM FATURAR",IF(AND(P2126&lt;&gt;"",S2126="",OR(Q2126="",R2126="")),"🟡 PENDÊNCIA SEM RESPONSÁVEL/PRAZO",IF(AND(ISNUMBER(R2126),R2126=TODAY()),"🟡 VENCE HOJE",IF(AND(P2126&lt;&gt;"",S2126=""),"🟡 PENDÊNCIA ABERTA",IF(AND(N(J2126)&gt;0,N(K2126)&lt;J2126),"🟡 FALTA EXECUTAR",IF(OR(M2126="PENDENTE",M2126="PARCIAL"),"🟡 FATURAMENTO PENDENTE","🟡 EMBARQUE PENDENTE")))))))))))</f>
        <v/>
      </c>
      <c r="D2126" s="4" t="n"/>
      <c r="E2126" s="5" t="n"/>
      <c r="F2126" s="5" t="n"/>
      <c r="G2126" s="5" t="n"/>
      <c r="H2126" s="5" t="n"/>
      <c r="I2126" s="5" t="n"/>
      <c r="J2126" s="6" t="n"/>
      <c r="K2126" s="6" t="n"/>
      <c r="L2126" s="7">
        <f>IF(OR(D2126="",N(J2126)=0),"",MIN(1,N(K2126)/J2126))</f>
        <v/>
      </c>
      <c r="M2126" s="5" t="n"/>
      <c r="N2126" s="5" t="n"/>
      <c r="O2126" s="5" t="n"/>
      <c r="P2126" s="5" t="n"/>
      <c r="Q2126" s="5" t="n"/>
      <c r="R2126" s="4" t="n"/>
      <c r="S2126" s="4" t="n"/>
      <c r="T2126" s="5" t="n"/>
      <c r="U2126" s="8">
        <f>IF(AND(V2126=1,D2126&lt;&gt;""),IF(D2126&gt;=corte,TODAY()-D2126,""),"")</f>
        <v/>
      </c>
      <c r="V2126" s="8">
        <f>IF(D2126="",0,IF(OR(AND(P2126&lt;&gt;"",S2126=""),AND(N(J2126)&gt;0,N(K2126)&lt;J2126),OR(M2126="PENDENTE",M2126="PARCIAL"),OR(N2126="PENDENTE",N2126="PARCIAL")),1,0))</f>
        <v/>
      </c>
      <c r="W2126" s="8">
        <f>IF(AND(V2126=1,D2126&lt;&gt;""),IF(D2126&gt;=corte,(B2126="CRÍTICO")*1E9+(100000-D2126)*10000+10000-ROW(),""),"")</f>
        <v/>
      </c>
      <c r="X2126" s="8">
        <f>IF(AND(V2126=1,D2126=pas_data,E2126=pas_turno),10000-ROW(),"")</f>
        <v/>
      </c>
    </row>
    <row r="2127">
      <c r="A2127" s="3">
        <f>IF(D2127="","","TT-"&amp;TEXT(ROW()-1,"00000"))</f>
        <v/>
      </c>
      <c r="B2127" s="3">
        <f>IF(D2127="","",IF(V2127=0,"CONCLUÍDO",IF(D2127&lt;corte,"HISTÓRICO",IF(OR(AND(ISNUMBER(R2127),R2127&lt;TODAY()),AND(OR(N2127="PENDENTE",N2127="PARCIAL"),D2127&lt;TODAY()-1)),"CRÍTICO",IF(OR(AND(P2127&lt;&gt;"",S2127=""),AND(N2127="REALIZADO",M2127="PENDENTE"),AND(ISNUMBER(R2127),R2127=TODAY())),"ATENÇÃO",IF(N(K2127)=0,"PENDENTE","EM ANDAMENTO"))))))</f>
        <v/>
      </c>
      <c r="C2127" s="3">
        <f>IF(D2127="","",IF(V2127=0,"🟢 OK",IF(D2127&lt;corte,"⚪ HISTÓRICO (sem baixa)",IF(AND(ISNUMBER(R2127),R2127&lt;TODAY()),"🔴 PRAZO VENCIDO",IF(AND(OR(N2127="PENDENTE",N2127="PARCIAL"),D2127&lt;TODAY()-1),"🔴 EMBARQUE ATRASADO",IF(AND(N2127="REALIZADO",M2127="PENDENTE"),"🟡 EMBARCADO SEM FATURAR",IF(AND(P2127&lt;&gt;"",S2127="",OR(Q2127="",R2127="")),"🟡 PENDÊNCIA SEM RESPONSÁVEL/PRAZO",IF(AND(ISNUMBER(R2127),R2127=TODAY()),"🟡 VENCE HOJE",IF(AND(P2127&lt;&gt;"",S2127=""),"🟡 PENDÊNCIA ABERTA",IF(AND(N(J2127)&gt;0,N(K2127)&lt;J2127),"🟡 FALTA EXECUTAR",IF(OR(M2127="PENDENTE",M2127="PARCIAL"),"🟡 FATURAMENTO PENDENTE","🟡 EMBARQUE PENDENTE")))))))))))</f>
        <v/>
      </c>
      <c r="D2127" s="4" t="n"/>
      <c r="E2127" s="5" t="n"/>
      <c r="F2127" s="5" t="n"/>
      <c r="G2127" s="5" t="n"/>
      <c r="H2127" s="5" t="n"/>
      <c r="I2127" s="5" t="n"/>
      <c r="J2127" s="6" t="n"/>
      <c r="K2127" s="6" t="n"/>
      <c r="L2127" s="7">
        <f>IF(OR(D2127="",N(J2127)=0),"",MIN(1,N(K2127)/J2127))</f>
        <v/>
      </c>
      <c r="M2127" s="5" t="n"/>
      <c r="N2127" s="5" t="n"/>
      <c r="O2127" s="5" t="n"/>
      <c r="P2127" s="5" t="n"/>
      <c r="Q2127" s="5" t="n"/>
      <c r="R2127" s="4" t="n"/>
      <c r="S2127" s="4" t="n"/>
      <c r="T2127" s="5" t="n"/>
      <c r="U2127" s="8">
        <f>IF(AND(V2127=1,D2127&lt;&gt;""),IF(D2127&gt;=corte,TODAY()-D2127,""),"")</f>
        <v/>
      </c>
      <c r="V2127" s="8">
        <f>IF(D2127="",0,IF(OR(AND(P2127&lt;&gt;"",S2127=""),AND(N(J2127)&gt;0,N(K2127)&lt;J2127),OR(M2127="PENDENTE",M2127="PARCIAL"),OR(N2127="PENDENTE",N2127="PARCIAL")),1,0))</f>
        <v/>
      </c>
      <c r="W2127" s="8">
        <f>IF(AND(V2127=1,D2127&lt;&gt;""),IF(D2127&gt;=corte,(B2127="CRÍTICO")*1E9+(100000-D2127)*10000+10000-ROW(),""),"")</f>
        <v/>
      </c>
      <c r="X2127" s="8">
        <f>IF(AND(V2127=1,D2127=pas_data,E2127=pas_turno),10000-ROW(),"")</f>
        <v/>
      </c>
    </row>
    <row r="2128">
      <c r="A2128" s="3">
        <f>IF(D2128="","","TT-"&amp;TEXT(ROW()-1,"00000"))</f>
        <v/>
      </c>
      <c r="B2128" s="3">
        <f>IF(D2128="","",IF(V2128=0,"CONCLUÍDO",IF(D2128&lt;corte,"HISTÓRICO",IF(OR(AND(ISNUMBER(R2128),R2128&lt;TODAY()),AND(OR(N2128="PENDENTE",N2128="PARCIAL"),D2128&lt;TODAY()-1)),"CRÍTICO",IF(OR(AND(P2128&lt;&gt;"",S2128=""),AND(N2128="REALIZADO",M2128="PENDENTE"),AND(ISNUMBER(R2128),R2128=TODAY())),"ATENÇÃO",IF(N(K2128)=0,"PENDENTE","EM ANDAMENTO"))))))</f>
        <v/>
      </c>
      <c r="C2128" s="3">
        <f>IF(D2128="","",IF(V2128=0,"🟢 OK",IF(D2128&lt;corte,"⚪ HISTÓRICO (sem baixa)",IF(AND(ISNUMBER(R2128),R2128&lt;TODAY()),"🔴 PRAZO VENCIDO",IF(AND(OR(N2128="PENDENTE",N2128="PARCIAL"),D2128&lt;TODAY()-1),"🔴 EMBARQUE ATRASADO",IF(AND(N2128="REALIZADO",M2128="PENDENTE"),"🟡 EMBARCADO SEM FATURAR",IF(AND(P2128&lt;&gt;"",S2128="",OR(Q2128="",R2128="")),"🟡 PENDÊNCIA SEM RESPONSÁVEL/PRAZO",IF(AND(ISNUMBER(R2128),R2128=TODAY()),"🟡 VENCE HOJE",IF(AND(P2128&lt;&gt;"",S2128=""),"🟡 PENDÊNCIA ABERTA",IF(AND(N(J2128)&gt;0,N(K2128)&lt;J2128),"🟡 FALTA EXECUTAR",IF(OR(M2128="PENDENTE",M2128="PARCIAL"),"🟡 FATURAMENTO PENDENTE","🟡 EMBARQUE PENDENTE")))))))))))</f>
        <v/>
      </c>
      <c r="D2128" s="4" t="n"/>
      <c r="E2128" s="5" t="n"/>
      <c r="F2128" s="5" t="n"/>
      <c r="G2128" s="5" t="n"/>
      <c r="H2128" s="5" t="n"/>
      <c r="I2128" s="5" t="n"/>
      <c r="J2128" s="6" t="n"/>
      <c r="K2128" s="6" t="n"/>
      <c r="L2128" s="7">
        <f>IF(OR(D2128="",N(J2128)=0),"",MIN(1,N(K2128)/J2128))</f>
        <v/>
      </c>
      <c r="M2128" s="5" t="n"/>
      <c r="N2128" s="5" t="n"/>
      <c r="O2128" s="5" t="n"/>
      <c r="P2128" s="5" t="n"/>
      <c r="Q2128" s="5" t="n"/>
      <c r="R2128" s="4" t="n"/>
      <c r="S2128" s="4" t="n"/>
      <c r="T2128" s="5" t="n"/>
      <c r="U2128" s="8">
        <f>IF(AND(V2128=1,D2128&lt;&gt;""),IF(D2128&gt;=corte,TODAY()-D2128,""),"")</f>
        <v/>
      </c>
      <c r="V2128" s="8">
        <f>IF(D2128="",0,IF(OR(AND(P2128&lt;&gt;"",S2128=""),AND(N(J2128)&gt;0,N(K2128)&lt;J2128),OR(M2128="PENDENTE",M2128="PARCIAL"),OR(N2128="PENDENTE",N2128="PARCIAL")),1,0))</f>
        <v/>
      </c>
      <c r="W2128" s="8">
        <f>IF(AND(V2128=1,D2128&lt;&gt;""),IF(D2128&gt;=corte,(B2128="CRÍTICO")*1E9+(100000-D2128)*10000+10000-ROW(),""),"")</f>
        <v/>
      </c>
      <c r="X2128" s="8">
        <f>IF(AND(V2128=1,D2128=pas_data,E2128=pas_turno),10000-ROW(),"")</f>
        <v/>
      </c>
    </row>
    <row r="2129">
      <c r="A2129" s="3">
        <f>IF(D2129="","","TT-"&amp;TEXT(ROW()-1,"00000"))</f>
        <v/>
      </c>
      <c r="B2129" s="3">
        <f>IF(D2129="","",IF(V2129=0,"CONCLUÍDO",IF(D2129&lt;corte,"HISTÓRICO",IF(OR(AND(ISNUMBER(R2129),R2129&lt;TODAY()),AND(OR(N2129="PENDENTE",N2129="PARCIAL"),D2129&lt;TODAY()-1)),"CRÍTICO",IF(OR(AND(P2129&lt;&gt;"",S2129=""),AND(N2129="REALIZADO",M2129="PENDENTE"),AND(ISNUMBER(R2129),R2129=TODAY())),"ATENÇÃO",IF(N(K2129)=0,"PENDENTE","EM ANDAMENTO"))))))</f>
        <v/>
      </c>
      <c r="C2129" s="3">
        <f>IF(D2129="","",IF(V2129=0,"🟢 OK",IF(D2129&lt;corte,"⚪ HISTÓRICO (sem baixa)",IF(AND(ISNUMBER(R2129),R2129&lt;TODAY()),"🔴 PRAZO VENCIDO",IF(AND(OR(N2129="PENDENTE",N2129="PARCIAL"),D2129&lt;TODAY()-1),"🔴 EMBARQUE ATRASADO",IF(AND(N2129="REALIZADO",M2129="PENDENTE"),"🟡 EMBARCADO SEM FATURAR",IF(AND(P2129&lt;&gt;"",S2129="",OR(Q2129="",R2129="")),"🟡 PENDÊNCIA SEM RESPONSÁVEL/PRAZO",IF(AND(ISNUMBER(R2129),R2129=TODAY()),"🟡 VENCE HOJE",IF(AND(P2129&lt;&gt;"",S2129=""),"🟡 PENDÊNCIA ABERTA",IF(AND(N(J2129)&gt;0,N(K2129)&lt;J2129),"🟡 FALTA EXECUTAR",IF(OR(M2129="PENDENTE",M2129="PARCIAL"),"🟡 FATURAMENTO PENDENTE","🟡 EMBARQUE PENDENTE")))))))))))</f>
        <v/>
      </c>
      <c r="D2129" s="4" t="n"/>
      <c r="E2129" s="5" t="n"/>
      <c r="F2129" s="5" t="n"/>
      <c r="G2129" s="5" t="n"/>
      <c r="H2129" s="5" t="n"/>
      <c r="I2129" s="5" t="n"/>
      <c r="J2129" s="6" t="n"/>
      <c r="K2129" s="6" t="n"/>
      <c r="L2129" s="7">
        <f>IF(OR(D2129="",N(J2129)=0),"",MIN(1,N(K2129)/J2129))</f>
        <v/>
      </c>
      <c r="M2129" s="5" t="n"/>
      <c r="N2129" s="5" t="n"/>
      <c r="O2129" s="5" t="n"/>
      <c r="P2129" s="5" t="n"/>
      <c r="Q2129" s="5" t="n"/>
      <c r="R2129" s="4" t="n"/>
      <c r="S2129" s="4" t="n"/>
      <c r="T2129" s="5" t="n"/>
      <c r="U2129" s="8">
        <f>IF(AND(V2129=1,D2129&lt;&gt;""),IF(D2129&gt;=corte,TODAY()-D2129,""),"")</f>
        <v/>
      </c>
      <c r="V2129" s="8">
        <f>IF(D2129="",0,IF(OR(AND(P2129&lt;&gt;"",S2129=""),AND(N(J2129)&gt;0,N(K2129)&lt;J2129),OR(M2129="PENDENTE",M2129="PARCIAL"),OR(N2129="PENDENTE",N2129="PARCIAL")),1,0))</f>
        <v/>
      </c>
      <c r="W2129" s="8">
        <f>IF(AND(V2129=1,D2129&lt;&gt;""),IF(D2129&gt;=corte,(B2129="CRÍTICO")*1E9+(100000-D2129)*10000+10000-ROW(),""),"")</f>
        <v/>
      </c>
      <c r="X2129" s="8">
        <f>IF(AND(V2129=1,D2129=pas_data,E2129=pas_turno),10000-ROW(),"")</f>
        <v/>
      </c>
    </row>
    <row r="2130">
      <c r="A2130" s="3">
        <f>IF(D2130="","","TT-"&amp;TEXT(ROW()-1,"00000"))</f>
        <v/>
      </c>
      <c r="B2130" s="3">
        <f>IF(D2130="","",IF(V2130=0,"CONCLUÍDO",IF(D2130&lt;corte,"HISTÓRICO",IF(OR(AND(ISNUMBER(R2130),R2130&lt;TODAY()),AND(OR(N2130="PENDENTE",N2130="PARCIAL"),D2130&lt;TODAY()-1)),"CRÍTICO",IF(OR(AND(P2130&lt;&gt;"",S2130=""),AND(N2130="REALIZADO",M2130="PENDENTE"),AND(ISNUMBER(R2130),R2130=TODAY())),"ATENÇÃO",IF(N(K2130)=0,"PENDENTE","EM ANDAMENTO"))))))</f>
        <v/>
      </c>
      <c r="C2130" s="3">
        <f>IF(D2130="","",IF(V2130=0,"🟢 OK",IF(D2130&lt;corte,"⚪ HISTÓRICO (sem baixa)",IF(AND(ISNUMBER(R2130),R2130&lt;TODAY()),"🔴 PRAZO VENCIDO",IF(AND(OR(N2130="PENDENTE",N2130="PARCIAL"),D2130&lt;TODAY()-1),"🔴 EMBARQUE ATRASADO",IF(AND(N2130="REALIZADO",M2130="PENDENTE"),"🟡 EMBARCADO SEM FATURAR",IF(AND(P2130&lt;&gt;"",S2130="",OR(Q2130="",R2130="")),"🟡 PENDÊNCIA SEM RESPONSÁVEL/PRAZO",IF(AND(ISNUMBER(R2130),R2130=TODAY()),"🟡 VENCE HOJE",IF(AND(P2130&lt;&gt;"",S2130=""),"🟡 PENDÊNCIA ABERTA",IF(AND(N(J2130)&gt;0,N(K2130)&lt;J2130),"🟡 FALTA EXECUTAR",IF(OR(M2130="PENDENTE",M2130="PARCIAL"),"🟡 FATURAMENTO PENDENTE","🟡 EMBARQUE PENDENTE")))))))))))</f>
        <v/>
      </c>
      <c r="D2130" s="4" t="n"/>
      <c r="E2130" s="5" t="n"/>
      <c r="F2130" s="5" t="n"/>
      <c r="G2130" s="5" t="n"/>
      <c r="H2130" s="5" t="n"/>
      <c r="I2130" s="5" t="n"/>
      <c r="J2130" s="6" t="n"/>
      <c r="K2130" s="6" t="n"/>
      <c r="L2130" s="7">
        <f>IF(OR(D2130="",N(J2130)=0),"",MIN(1,N(K2130)/J2130))</f>
        <v/>
      </c>
      <c r="M2130" s="5" t="n"/>
      <c r="N2130" s="5" t="n"/>
      <c r="O2130" s="5" t="n"/>
      <c r="P2130" s="5" t="n"/>
      <c r="Q2130" s="5" t="n"/>
      <c r="R2130" s="4" t="n"/>
      <c r="S2130" s="4" t="n"/>
      <c r="T2130" s="5" t="n"/>
      <c r="U2130" s="8">
        <f>IF(AND(V2130=1,D2130&lt;&gt;""),IF(D2130&gt;=corte,TODAY()-D2130,""),"")</f>
        <v/>
      </c>
      <c r="V2130" s="8">
        <f>IF(D2130="",0,IF(OR(AND(P2130&lt;&gt;"",S2130=""),AND(N(J2130)&gt;0,N(K2130)&lt;J2130),OR(M2130="PENDENTE",M2130="PARCIAL"),OR(N2130="PENDENTE",N2130="PARCIAL")),1,0))</f>
        <v/>
      </c>
      <c r="W2130" s="8">
        <f>IF(AND(V2130=1,D2130&lt;&gt;""),IF(D2130&gt;=corte,(B2130="CRÍTICO")*1E9+(100000-D2130)*10000+10000-ROW(),""),"")</f>
        <v/>
      </c>
      <c r="X2130" s="8">
        <f>IF(AND(V2130=1,D2130=pas_data,E2130=pas_turno),10000-ROW(),"")</f>
        <v/>
      </c>
    </row>
    <row r="2131">
      <c r="A2131" s="3">
        <f>IF(D2131="","","TT-"&amp;TEXT(ROW()-1,"00000"))</f>
        <v/>
      </c>
      <c r="B2131" s="3">
        <f>IF(D2131="","",IF(V2131=0,"CONCLUÍDO",IF(D2131&lt;corte,"HISTÓRICO",IF(OR(AND(ISNUMBER(R2131),R2131&lt;TODAY()),AND(OR(N2131="PENDENTE",N2131="PARCIAL"),D2131&lt;TODAY()-1)),"CRÍTICO",IF(OR(AND(P2131&lt;&gt;"",S2131=""),AND(N2131="REALIZADO",M2131="PENDENTE"),AND(ISNUMBER(R2131),R2131=TODAY())),"ATENÇÃO",IF(N(K2131)=0,"PENDENTE","EM ANDAMENTO"))))))</f>
        <v/>
      </c>
      <c r="C2131" s="3">
        <f>IF(D2131="","",IF(V2131=0,"🟢 OK",IF(D2131&lt;corte,"⚪ HISTÓRICO (sem baixa)",IF(AND(ISNUMBER(R2131),R2131&lt;TODAY()),"🔴 PRAZO VENCIDO",IF(AND(OR(N2131="PENDENTE",N2131="PARCIAL"),D2131&lt;TODAY()-1),"🔴 EMBARQUE ATRASADO",IF(AND(N2131="REALIZADO",M2131="PENDENTE"),"🟡 EMBARCADO SEM FATURAR",IF(AND(P2131&lt;&gt;"",S2131="",OR(Q2131="",R2131="")),"🟡 PENDÊNCIA SEM RESPONSÁVEL/PRAZO",IF(AND(ISNUMBER(R2131),R2131=TODAY()),"🟡 VENCE HOJE",IF(AND(P2131&lt;&gt;"",S2131=""),"🟡 PENDÊNCIA ABERTA",IF(AND(N(J2131)&gt;0,N(K2131)&lt;J2131),"🟡 FALTA EXECUTAR",IF(OR(M2131="PENDENTE",M2131="PARCIAL"),"🟡 FATURAMENTO PENDENTE","🟡 EMBARQUE PENDENTE")))))))))))</f>
        <v/>
      </c>
      <c r="D2131" s="4" t="n"/>
      <c r="E2131" s="5" t="n"/>
      <c r="F2131" s="5" t="n"/>
      <c r="G2131" s="5" t="n"/>
      <c r="H2131" s="5" t="n"/>
      <c r="I2131" s="5" t="n"/>
      <c r="J2131" s="6" t="n"/>
      <c r="K2131" s="6" t="n"/>
      <c r="L2131" s="7">
        <f>IF(OR(D2131="",N(J2131)=0),"",MIN(1,N(K2131)/J2131))</f>
        <v/>
      </c>
      <c r="M2131" s="5" t="n"/>
      <c r="N2131" s="5" t="n"/>
      <c r="O2131" s="5" t="n"/>
      <c r="P2131" s="5" t="n"/>
      <c r="Q2131" s="5" t="n"/>
      <c r="R2131" s="4" t="n"/>
      <c r="S2131" s="4" t="n"/>
      <c r="T2131" s="5" t="n"/>
      <c r="U2131" s="8">
        <f>IF(AND(V2131=1,D2131&lt;&gt;""),IF(D2131&gt;=corte,TODAY()-D2131,""),"")</f>
        <v/>
      </c>
      <c r="V2131" s="8">
        <f>IF(D2131="",0,IF(OR(AND(P2131&lt;&gt;"",S2131=""),AND(N(J2131)&gt;0,N(K2131)&lt;J2131),OR(M2131="PENDENTE",M2131="PARCIAL"),OR(N2131="PENDENTE",N2131="PARCIAL")),1,0))</f>
        <v/>
      </c>
      <c r="W2131" s="8">
        <f>IF(AND(V2131=1,D2131&lt;&gt;""),IF(D2131&gt;=corte,(B2131="CRÍTICO")*1E9+(100000-D2131)*10000+10000-ROW(),""),"")</f>
        <v/>
      </c>
      <c r="X2131" s="8">
        <f>IF(AND(V2131=1,D2131=pas_data,E2131=pas_turno),10000-ROW(),"")</f>
        <v/>
      </c>
    </row>
    <row r="2132">
      <c r="A2132" s="3">
        <f>IF(D2132="","","TT-"&amp;TEXT(ROW()-1,"00000"))</f>
        <v/>
      </c>
      <c r="B2132" s="3">
        <f>IF(D2132="","",IF(V2132=0,"CONCLUÍDO",IF(D2132&lt;corte,"HISTÓRICO",IF(OR(AND(ISNUMBER(R2132),R2132&lt;TODAY()),AND(OR(N2132="PENDENTE",N2132="PARCIAL"),D2132&lt;TODAY()-1)),"CRÍTICO",IF(OR(AND(P2132&lt;&gt;"",S2132=""),AND(N2132="REALIZADO",M2132="PENDENTE"),AND(ISNUMBER(R2132),R2132=TODAY())),"ATENÇÃO",IF(N(K2132)=0,"PENDENTE","EM ANDAMENTO"))))))</f>
        <v/>
      </c>
      <c r="C2132" s="3">
        <f>IF(D2132="","",IF(V2132=0,"🟢 OK",IF(D2132&lt;corte,"⚪ HISTÓRICO (sem baixa)",IF(AND(ISNUMBER(R2132),R2132&lt;TODAY()),"🔴 PRAZO VENCIDO",IF(AND(OR(N2132="PENDENTE",N2132="PARCIAL"),D2132&lt;TODAY()-1),"🔴 EMBARQUE ATRASADO",IF(AND(N2132="REALIZADO",M2132="PENDENTE"),"🟡 EMBARCADO SEM FATURAR",IF(AND(P2132&lt;&gt;"",S2132="",OR(Q2132="",R2132="")),"🟡 PENDÊNCIA SEM RESPONSÁVEL/PRAZO",IF(AND(ISNUMBER(R2132),R2132=TODAY()),"🟡 VENCE HOJE",IF(AND(P2132&lt;&gt;"",S2132=""),"🟡 PENDÊNCIA ABERTA",IF(AND(N(J2132)&gt;0,N(K2132)&lt;J2132),"🟡 FALTA EXECUTAR",IF(OR(M2132="PENDENTE",M2132="PARCIAL"),"🟡 FATURAMENTO PENDENTE","🟡 EMBARQUE PENDENTE")))))))))))</f>
        <v/>
      </c>
      <c r="D2132" s="4" t="n"/>
      <c r="E2132" s="5" t="n"/>
      <c r="F2132" s="5" t="n"/>
      <c r="G2132" s="5" t="n"/>
      <c r="H2132" s="5" t="n"/>
      <c r="I2132" s="5" t="n"/>
      <c r="J2132" s="6" t="n"/>
      <c r="K2132" s="6" t="n"/>
      <c r="L2132" s="7">
        <f>IF(OR(D2132="",N(J2132)=0),"",MIN(1,N(K2132)/J2132))</f>
        <v/>
      </c>
      <c r="M2132" s="5" t="n"/>
      <c r="N2132" s="5" t="n"/>
      <c r="O2132" s="5" t="n"/>
      <c r="P2132" s="5" t="n"/>
      <c r="Q2132" s="5" t="n"/>
      <c r="R2132" s="4" t="n"/>
      <c r="S2132" s="4" t="n"/>
      <c r="T2132" s="5" t="n"/>
      <c r="U2132" s="8">
        <f>IF(AND(V2132=1,D2132&lt;&gt;""),IF(D2132&gt;=corte,TODAY()-D2132,""),"")</f>
        <v/>
      </c>
      <c r="V2132" s="8">
        <f>IF(D2132="",0,IF(OR(AND(P2132&lt;&gt;"",S2132=""),AND(N(J2132)&gt;0,N(K2132)&lt;J2132),OR(M2132="PENDENTE",M2132="PARCIAL"),OR(N2132="PENDENTE",N2132="PARCIAL")),1,0))</f>
        <v/>
      </c>
      <c r="W2132" s="8">
        <f>IF(AND(V2132=1,D2132&lt;&gt;""),IF(D2132&gt;=corte,(B2132="CRÍTICO")*1E9+(100000-D2132)*10000+10000-ROW(),""),"")</f>
        <v/>
      </c>
      <c r="X2132" s="8">
        <f>IF(AND(V2132=1,D2132=pas_data,E2132=pas_turno),10000-ROW(),"")</f>
        <v/>
      </c>
    </row>
    <row r="2133">
      <c r="A2133" s="3">
        <f>IF(D2133="","","TT-"&amp;TEXT(ROW()-1,"00000"))</f>
        <v/>
      </c>
      <c r="B2133" s="3">
        <f>IF(D2133="","",IF(V2133=0,"CONCLUÍDO",IF(D2133&lt;corte,"HISTÓRICO",IF(OR(AND(ISNUMBER(R2133),R2133&lt;TODAY()),AND(OR(N2133="PENDENTE",N2133="PARCIAL"),D2133&lt;TODAY()-1)),"CRÍTICO",IF(OR(AND(P2133&lt;&gt;"",S2133=""),AND(N2133="REALIZADO",M2133="PENDENTE"),AND(ISNUMBER(R2133),R2133=TODAY())),"ATENÇÃO",IF(N(K2133)=0,"PENDENTE","EM ANDAMENTO"))))))</f>
        <v/>
      </c>
      <c r="C2133" s="3">
        <f>IF(D2133="","",IF(V2133=0,"🟢 OK",IF(D2133&lt;corte,"⚪ HISTÓRICO (sem baixa)",IF(AND(ISNUMBER(R2133),R2133&lt;TODAY()),"🔴 PRAZO VENCIDO",IF(AND(OR(N2133="PENDENTE",N2133="PARCIAL"),D2133&lt;TODAY()-1),"🔴 EMBARQUE ATRASADO",IF(AND(N2133="REALIZADO",M2133="PENDENTE"),"🟡 EMBARCADO SEM FATURAR",IF(AND(P2133&lt;&gt;"",S2133="",OR(Q2133="",R2133="")),"🟡 PENDÊNCIA SEM RESPONSÁVEL/PRAZO",IF(AND(ISNUMBER(R2133),R2133=TODAY()),"🟡 VENCE HOJE",IF(AND(P2133&lt;&gt;"",S2133=""),"🟡 PENDÊNCIA ABERTA",IF(AND(N(J2133)&gt;0,N(K2133)&lt;J2133),"🟡 FALTA EXECUTAR",IF(OR(M2133="PENDENTE",M2133="PARCIAL"),"🟡 FATURAMENTO PENDENTE","🟡 EMBARQUE PENDENTE")))))))))))</f>
        <v/>
      </c>
      <c r="D2133" s="4" t="n"/>
      <c r="E2133" s="5" t="n"/>
      <c r="F2133" s="5" t="n"/>
      <c r="G2133" s="5" t="n"/>
      <c r="H2133" s="5" t="n"/>
      <c r="I2133" s="5" t="n"/>
      <c r="J2133" s="6" t="n"/>
      <c r="K2133" s="6" t="n"/>
      <c r="L2133" s="7">
        <f>IF(OR(D2133="",N(J2133)=0),"",MIN(1,N(K2133)/J2133))</f>
        <v/>
      </c>
      <c r="M2133" s="5" t="n"/>
      <c r="N2133" s="5" t="n"/>
      <c r="O2133" s="5" t="n"/>
      <c r="P2133" s="5" t="n"/>
      <c r="Q2133" s="5" t="n"/>
      <c r="R2133" s="4" t="n"/>
      <c r="S2133" s="4" t="n"/>
      <c r="T2133" s="5" t="n"/>
      <c r="U2133" s="8">
        <f>IF(AND(V2133=1,D2133&lt;&gt;""),IF(D2133&gt;=corte,TODAY()-D2133,""),"")</f>
        <v/>
      </c>
      <c r="V2133" s="8">
        <f>IF(D2133="",0,IF(OR(AND(P2133&lt;&gt;"",S2133=""),AND(N(J2133)&gt;0,N(K2133)&lt;J2133),OR(M2133="PENDENTE",M2133="PARCIAL"),OR(N2133="PENDENTE",N2133="PARCIAL")),1,0))</f>
        <v/>
      </c>
      <c r="W2133" s="8">
        <f>IF(AND(V2133=1,D2133&lt;&gt;""),IF(D2133&gt;=corte,(B2133="CRÍTICO")*1E9+(100000-D2133)*10000+10000-ROW(),""),"")</f>
        <v/>
      </c>
      <c r="X2133" s="8">
        <f>IF(AND(V2133=1,D2133=pas_data,E2133=pas_turno),10000-ROW(),"")</f>
        <v/>
      </c>
    </row>
    <row r="2134">
      <c r="A2134" s="3">
        <f>IF(D2134="","","TT-"&amp;TEXT(ROW()-1,"00000"))</f>
        <v/>
      </c>
      <c r="B2134" s="3">
        <f>IF(D2134="","",IF(V2134=0,"CONCLUÍDO",IF(D2134&lt;corte,"HISTÓRICO",IF(OR(AND(ISNUMBER(R2134),R2134&lt;TODAY()),AND(OR(N2134="PENDENTE",N2134="PARCIAL"),D2134&lt;TODAY()-1)),"CRÍTICO",IF(OR(AND(P2134&lt;&gt;"",S2134=""),AND(N2134="REALIZADO",M2134="PENDENTE"),AND(ISNUMBER(R2134),R2134=TODAY())),"ATENÇÃO",IF(N(K2134)=0,"PENDENTE","EM ANDAMENTO"))))))</f>
        <v/>
      </c>
      <c r="C2134" s="3">
        <f>IF(D2134="","",IF(V2134=0,"🟢 OK",IF(D2134&lt;corte,"⚪ HISTÓRICO (sem baixa)",IF(AND(ISNUMBER(R2134),R2134&lt;TODAY()),"🔴 PRAZO VENCIDO",IF(AND(OR(N2134="PENDENTE",N2134="PARCIAL"),D2134&lt;TODAY()-1),"🔴 EMBARQUE ATRASADO",IF(AND(N2134="REALIZADO",M2134="PENDENTE"),"🟡 EMBARCADO SEM FATURAR",IF(AND(P2134&lt;&gt;"",S2134="",OR(Q2134="",R2134="")),"🟡 PENDÊNCIA SEM RESPONSÁVEL/PRAZO",IF(AND(ISNUMBER(R2134),R2134=TODAY()),"🟡 VENCE HOJE",IF(AND(P2134&lt;&gt;"",S2134=""),"🟡 PENDÊNCIA ABERTA",IF(AND(N(J2134)&gt;0,N(K2134)&lt;J2134),"🟡 FALTA EXECUTAR",IF(OR(M2134="PENDENTE",M2134="PARCIAL"),"🟡 FATURAMENTO PENDENTE","🟡 EMBARQUE PENDENTE")))))))))))</f>
        <v/>
      </c>
      <c r="D2134" s="4" t="n"/>
      <c r="E2134" s="5" t="n"/>
      <c r="F2134" s="5" t="n"/>
      <c r="G2134" s="5" t="n"/>
      <c r="H2134" s="5" t="n"/>
      <c r="I2134" s="5" t="n"/>
      <c r="J2134" s="6" t="n"/>
      <c r="K2134" s="6" t="n"/>
      <c r="L2134" s="7">
        <f>IF(OR(D2134="",N(J2134)=0),"",MIN(1,N(K2134)/J2134))</f>
        <v/>
      </c>
      <c r="M2134" s="5" t="n"/>
      <c r="N2134" s="5" t="n"/>
      <c r="O2134" s="5" t="n"/>
      <c r="P2134" s="5" t="n"/>
      <c r="Q2134" s="5" t="n"/>
      <c r="R2134" s="4" t="n"/>
      <c r="S2134" s="4" t="n"/>
      <c r="T2134" s="5" t="n"/>
      <c r="U2134" s="8">
        <f>IF(AND(V2134=1,D2134&lt;&gt;""),IF(D2134&gt;=corte,TODAY()-D2134,""),"")</f>
        <v/>
      </c>
      <c r="V2134" s="8">
        <f>IF(D2134="",0,IF(OR(AND(P2134&lt;&gt;"",S2134=""),AND(N(J2134)&gt;0,N(K2134)&lt;J2134),OR(M2134="PENDENTE",M2134="PARCIAL"),OR(N2134="PENDENTE",N2134="PARCIAL")),1,0))</f>
        <v/>
      </c>
      <c r="W2134" s="8">
        <f>IF(AND(V2134=1,D2134&lt;&gt;""),IF(D2134&gt;=corte,(B2134="CRÍTICO")*1E9+(100000-D2134)*10000+10000-ROW(),""),"")</f>
        <v/>
      </c>
      <c r="X2134" s="8">
        <f>IF(AND(V2134=1,D2134=pas_data,E2134=pas_turno),10000-ROW(),"")</f>
        <v/>
      </c>
    </row>
    <row r="2135">
      <c r="A2135" s="3">
        <f>IF(D2135="","","TT-"&amp;TEXT(ROW()-1,"00000"))</f>
        <v/>
      </c>
      <c r="B2135" s="3">
        <f>IF(D2135="","",IF(V2135=0,"CONCLUÍDO",IF(D2135&lt;corte,"HISTÓRICO",IF(OR(AND(ISNUMBER(R2135),R2135&lt;TODAY()),AND(OR(N2135="PENDENTE",N2135="PARCIAL"),D2135&lt;TODAY()-1)),"CRÍTICO",IF(OR(AND(P2135&lt;&gt;"",S2135=""),AND(N2135="REALIZADO",M2135="PENDENTE"),AND(ISNUMBER(R2135),R2135=TODAY())),"ATENÇÃO",IF(N(K2135)=0,"PENDENTE","EM ANDAMENTO"))))))</f>
        <v/>
      </c>
      <c r="C2135" s="3">
        <f>IF(D2135="","",IF(V2135=0,"🟢 OK",IF(D2135&lt;corte,"⚪ HISTÓRICO (sem baixa)",IF(AND(ISNUMBER(R2135),R2135&lt;TODAY()),"🔴 PRAZO VENCIDO",IF(AND(OR(N2135="PENDENTE",N2135="PARCIAL"),D2135&lt;TODAY()-1),"🔴 EMBARQUE ATRASADO",IF(AND(N2135="REALIZADO",M2135="PENDENTE"),"🟡 EMBARCADO SEM FATURAR",IF(AND(P2135&lt;&gt;"",S2135="",OR(Q2135="",R2135="")),"🟡 PENDÊNCIA SEM RESPONSÁVEL/PRAZO",IF(AND(ISNUMBER(R2135),R2135=TODAY()),"🟡 VENCE HOJE",IF(AND(P2135&lt;&gt;"",S2135=""),"🟡 PENDÊNCIA ABERTA",IF(AND(N(J2135)&gt;0,N(K2135)&lt;J2135),"🟡 FALTA EXECUTAR",IF(OR(M2135="PENDENTE",M2135="PARCIAL"),"🟡 FATURAMENTO PENDENTE","🟡 EMBARQUE PENDENTE")))))))))))</f>
        <v/>
      </c>
      <c r="D2135" s="4" t="n"/>
      <c r="E2135" s="5" t="n"/>
      <c r="F2135" s="5" t="n"/>
      <c r="G2135" s="5" t="n"/>
      <c r="H2135" s="5" t="n"/>
      <c r="I2135" s="5" t="n"/>
      <c r="J2135" s="6" t="n"/>
      <c r="K2135" s="6" t="n"/>
      <c r="L2135" s="7">
        <f>IF(OR(D2135="",N(J2135)=0),"",MIN(1,N(K2135)/J2135))</f>
        <v/>
      </c>
      <c r="M2135" s="5" t="n"/>
      <c r="N2135" s="5" t="n"/>
      <c r="O2135" s="5" t="n"/>
      <c r="P2135" s="5" t="n"/>
      <c r="Q2135" s="5" t="n"/>
      <c r="R2135" s="4" t="n"/>
      <c r="S2135" s="4" t="n"/>
      <c r="T2135" s="5" t="n"/>
      <c r="U2135" s="8">
        <f>IF(AND(V2135=1,D2135&lt;&gt;""),IF(D2135&gt;=corte,TODAY()-D2135,""),"")</f>
        <v/>
      </c>
      <c r="V2135" s="8">
        <f>IF(D2135="",0,IF(OR(AND(P2135&lt;&gt;"",S2135=""),AND(N(J2135)&gt;0,N(K2135)&lt;J2135),OR(M2135="PENDENTE",M2135="PARCIAL"),OR(N2135="PENDENTE",N2135="PARCIAL")),1,0))</f>
        <v/>
      </c>
      <c r="W2135" s="8">
        <f>IF(AND(V2135=1,D2135&lt;&gt;""),IF(D2135&gt;=corte,(B2135="CRÍTICO")*1E9+(100000-D2135)*10000+10000-ROW(),""),"")</f>
        <v/>
      </c>
      <c r="X2135" s="8">
        <f>IF(AND(V2135=1,D2135=pas_data,E2135=pas_turno),10000-ROW(),"")</f>
        <v/>
      </c>
    </row>
    <row r="2136">
      <c r="A2136" s="3">
        <f>IF(D2136="","","TT-"&amp;TEXT(ROW()-1,"00000"))</f>
        <v/>
      </c>
      <c r="B2136" s="3">
        <f>IF(D2136="","",IF(V2136=0,"CONCLUÍDO",IF(D2136&lt;corte,"HISTÓRICO",IF(OR(AND(ISNUMBER(R2136),R2136&lt;TODAY()),AND(OR(N2136="PENDENTE",N2136="PARCIAL"),D2136&lt;TODAY()-1)),"CRÍTICO",IF(OR(AND(P2136&lt;&gt;"",S2136=""),AND(N2136="REALIZADO",M2136="PENDENTE"),AND(ISNUMBER(R2136),R2136=TODAY())),"ATENÇÃO",IF(N(K2136)=0,"PENDENTE","EM ANDAMENTO"))))))</f>
        <v/>
      </c>
      <c r="C2136" s="3">
        <f>IF(D2136="","",IF(V2136=0,"🟢 OK",IF(D2136&lt;corte,"⚪ HISTÓRICO (sem baixa)",IF(AND(ISNUMBER(R2136),R2136&lt;TODAY()),"🔴 PRAZO VENCIDO",IF(AND(OR(N2136="PENDENTE",N2136="PARCIAL"),D2136&lt;TODAY()-1),"🔴 EMBARQUE ATRASADO",IF(AND(N2136="REALIZADO",M2136="PENDENTE"),"🟡 EMBARCADO SEM FATURAR",IF(AND(P2136&lt;&gt;"",S2136="",OR(Q2136="",R2136="")),"🟡 PENDÊNCIA SEM RESPONSÁVEL/PRAZO",IF(AND(ISNUMBER(R2136),R2136=TODAY()),"🟡 VENCE HOJE",IF(AND(P2136&lt;&gt;"",S2136=""),"🟡 PENDÊNCIA ABERTA",IF(AND(N(J2136)&gt;0,N(K2136)&lt;J2136),"🟡 FALTA EXECUTAR",IF(OR(M2136="PENDENTE",M2136="PARCIAL"),"🟡 FATURAMENTO PENDENTE","🟡 EMBARQUE PENDENTE")))))))))))</f>
        <v/>
      </c>
      <c r="D2136" s="4" t="n"/>
      <c r="E2136" s="5" t="n"/>
      <c r="F2136" s="5" t="n"/>
      <c r="G2136" s="5" t="n"/>
      <c r="H2136" s="5" t="n"/>
      <c r="I2136" s="5" t="n"/>
      <c r="J2136" s="6" t="n"/>
      <c r="K2136" s="6" t="n"/>
      <c r="L2136" s="7">
        <f>IF(OR(D2136="",N(J2136)=0),"",MIN(1,N(K2136)/J2136))</f>
        <v/>
      </c>
      <c r="M2136" s="5" t="n"/>
      <c r="N2136" s="5" t="n"/>
      <c r="O2136" s="5" t="n"/>
      <c r="P2136" s="5" t="n"/>
      <c r="Q2136" s="5" t="n"/>
      <c r="R2136" s="4" t="n"/>
      <c r="S2136" s="4" t="n"/>
      <c r="T2136" s="5" t="n"/>
      <c r="U2136" s="8">
        <f>IF(AND(V2136=1,D2136&lt;&gt;""),IF(D2136&gt;=corte,TODAY()-D2136,""),"")</f>
        <v/>
      </c>
      <c r="V2136" s="8">
        <f>IF(D2136="",0,IF(OR(AND(P2136&lt;&gt;"",S2136=""),AND(N(J2136)&gt;0,N(K2136)&lt;J2136),OR(M2136="PENDENTE",M2136="PARCIAL"),OR(N2136="PENDENTE",N2136="PARCIAL")),1,0))</f>
        <v/>
      </c>
      <c r="W2136" s="8">
        <f>IF(AND(V2136=1,D2136&lt;&gt;""),IF(D2136&gt;=corte,(B2136="CRÍTICO")*1E9+(100000-D2136)*10000+10000-ROW(),""),"")</f>
        <v/>
      </c>
      <c r="X2136" s="8">
        <f>IF(AND(V2136=1,D2136=pas_data,E2136=pas_turno),10000-ROW(),"")</f>
        <v/>
      </c>
    </row>
    <row r="2137">
      <c r="A2137" s="3">
        <f>IF(D2137="","","TT-"&amp;TEXT(ROW()-1,"00000"))</f>
        <v/>
      </c>
      <c r="B2137" s="3">
        <f>IF(D2137="","",IF(V2137=0,"CONCLUÍDO",IF(D2137&lt;corte,"HISTÓRICO",IF(OR(AND(ISNUMBER(R2137),R2137&lt;TODAY()),AND(OR(N2137="PENDENTE",N2137="PARCIAL"),D2137&lt;TODAY()-1)),"CRÍTICO",IF(OR(AND(P2137&lt;&gt;"",S2137=""),AND(N2137="REALIZADO",M2137="PENDENTE"),AND(ISNUMBER(R2137),R2137=TODAY())),"ATENÇÃO",IF(N(K2137)=0,"PENDENTE","EM ANDAMENTO"))))))</f>
        <v/>
      </c>
      <c r="C2137" s="3">
        <f>IF(D2137="","",IF(V2137=0,"🟢 OK",IF(D2137&lt;corte,"⚪ HISTÓRICO (sem baixa)",IF(AND(ISNUMBER(R2137),R2137&lt;TODAY()),"🔴 PRAZO VENCIDO",IF(AND(OR(N2137="PENDENTE",N2137="PARCIAL"),D2137&lt;TODAY()-1),"🔴 EMBARQUE ATRASADO",IF(AND(N2137="REALIZADO",M2137="PENDENTE"),"🟡 EMBARCADO SEM FATURAR",IF(AND(P2137&lt;&gt;"",S2137="",OR(Q2137="",R2137="")),"🟡 PENDÊNCIA SEM RESPONSÁVEL/PRAZO",IF(AND(ISNUMBER(R2137),R2137=TODAY()),"🟡 VENCE HOJE",IF(AND(P2137&lt;&gt;"",S2137=""),"🟡 PENDÊNCIA ABERTA",IF(AND(N(J2137)&gt;0,N(K2137)&lt;J2137),"🟡 FALTA EXECUTAR",IF(OR(M2137="PENDENTE",M2137="PARCIAL"),"🟡 FATURAMENTO PENDENTE","🟡 EMBARQUE PENDENTE")))))))))))</f>
        <v/>
      </c>
      <c r="D2137" s="4" t="n"/>
      <c r="E2137" s="5" t="n"/>
      <c r="F2137" s="5" t="n"/>
      <c r="G2137" s="5" t="n"/>
      <c r="H2137" s="5" t="n"/>
      <c r="I2137" s="5" t="n"/>
      <c r="J2137" s="6" t="n"/>
      <c r="K2137" s="6" t="n"/>
      <c r="L2137" s="7">
        <f>IF(OR(D2137="",N(J2137)=0),"",MIN(1,N(K2137)/J2137))</f>
        <v/>
      </c>
      <c r="M2137" s="5" t="n"/>
      <c r="N2137" s="5" t="n"/>
      <c r="O2137" s="5" t="n"/>
      <c r="P2137" s="5" t="n"/>
      <c r="Q2137" s="5" t="n"/>
      <c r="R2137" s="4" t="n"/>
      <c r="S2137" s="4" t="n"/>
      <c r="T2137" s="5" t="n"/>
      <c r="U2137" s="8">
        <f>IF(AND(V2137=1,D2137&lt;&gt;""),IF(D2137&gt;=corte,TODAY()-D2137,""),"")</f>
        <v/>
      </c>
      <c r="V2137" s="8">
        <f>IF(D2137="",0,IF(OR(AND(P2137&lt;&gt;"",S2137=""),AND(N(J2137)&gt;0,N(K2137)&lt;J2137),OR(M2137="PENDENTE",M2137="PARCIAL"),OR(N2137="PENDENTE",N2137="PARCIAL")),1,0))</f>
        <v/>
      </c>
      <c r="W2137" s="8">
        <f>IF(AND(V2137=1,D2137&lt;&gt;""),IF(D2137&gt;=corte,(B2137="CRÍTICO")*1E9+(100000-D2137)*10000+10000-ROW(),""),"")</f>
        <v/>
      </c>
      <c r="X2137" s="8">
        <f>IF(AND(V2137=1,D2137=pas_data,E2137=pas_turno),10000-ROW(),"")</f>
        <v/>
      </c>
    </row>
    <row r="2138">
      <c r="A2138" s="3">
        <f>IF(D2138="","","TT-"&amp;TEXT(ROW()-1,"00000"))</f>
        <v/>
      </c>
      <c r="B2138" s="3">
        <f>IF(D2138="","",IF(V2138=0,"CONCLUÍDO",IF(D2138&lt;corte,"HISTÓRICO",IF(OR(AND(ISNUMBER(R2138),R2138&lt;TODAY()),AND(OR(N2138="PENDENTE",N2138="PARCIAL"),D2138&lt;TODAY()-1)),"CRÍTICO",IF(OR(AND(P2138&lt;&gt;"",S2138=""),AND(N2138="REALIZADO",M2138="PENDENTE"),AND(ISNUMBER(R2138),R2138=TODAY())),"ATENÇÃO",IF(N(K2138)=0,"PENDENTE","EM ANDAMENTO"))))))</f>
        <v/>
      </c>
      <c r="C2138" s="3">
        <f>IF(D2138="","",IF(V2138=0,"🟢 OK",IF(D2138&lt;corte,"⚪ HISTÓRICO (sem baixa)",IF(AND(ISNUMBER(R2138),R2138&lt;TODAY()),"🔴 PRAZO VENCIDO",IF(AND(OR(N2138="PENDENTE",N2138="PARCIAL"),D2138&lt;TODAY()-1),"🔴 EMBARQUE ATRASADO",IF(AND(N2138="REALIZADO",M2138="PENDENTE"),"🟡 EMBARCADO SEM FATURAR",IF(AND(P2138&lt;&gt;"",S2138="",OR(Q2138="",R2138="")),"🟡 PENDÊNCIA SEM RESPONSÁVEL/PRAZO",IF(AND(ISNUMBER(R2138),R2138=TODAY()),"🟡 VENCE HOJE",IF(AND(P2138&lt;&gt;"",S2138=""),"🟡 PENDÊNCIA ABERTA",IF(AND(N(J2138)&gt;0,N(K2138)&lt;J2138),"🟡 FALTA EXECUTAR",IF(OR(M2138="PENDENTE",M2138="PARCIAL"),"🟡 FATURAMENTO PENDENTE","🟡 EMBARQUE PENDENTE")))))))))))</f>
        <v/>
      </c>
      <c r="D2138" s="4" t="n"/>
      <c r="E2138" s="5" t="n"/>
      <c r="F2138" s="5" t="n"/>
      <c r="G2138" s="5" t="n"/>
      <c r="H2138" s="5" t="n"/>
      <c r="I2138" s="5" t="n"/>
      <c r="J2138" s="6" t="n"/>
      <c r="K2138" s="6" t="n"/>
      <c r="L2138" s="7">
        <f>IF(OR(D2138="",N(J2138)=0),"",MIN(1,N(K2138)/J2138))</f>
        <v/>
      </c>
      <c r="M2138" s="5" t="n"/>
      <c r="N2138" s="5" t="n"/>
      <c r="O2138" s="5" t="n"/>
      <c r="P2138" s="5" t="n"/>
      <c r="Q2138" s="5" t="n"/>
      <c r="R2138" s="4" t="n"/>
      <c r="S2138" s="4" t="n"/>
      <c r="T2138" s="5" t="n"/>
      <c r="U2138" s="8">
        <f>IF(AND(V2138=1,D2138&lt;&gt;""),IF(D2138&gt;=corte,TODAY()-D2138,""),"")</f>
        <v/>
      </c>
      <c r="V2138" s="8">
        <f>IF(D2138="",0,IF(OR(AND(P2138&lt;&gt;"",S2138=""),AND(N(J2138)&gt;0,N(K2138)&lt;J2138),OR(M2138="PENDENTE",M2138="PARCIAL"),OR(N2138="PENDENTE",N2138="PARCIAL")),1,0))</f>
        <v/>
      </c>
      <c r="W2138" s="8">
        <f>IF(AND(V2138=1,D2138&lt;&gt;""),IF(D2138&gt;=corte,(B2138="CRÍTICO")*1E9+(100000-D2138)*10000+10000-ROW(),""),"")</f>
        <v/>
      </c>
      <c r="X2138" s="8">
        <f>IF(AND(V2138=1,D2138=pas_data,E2138=pas_turno),10000-ROW(),"")</f>
        <v/>
      </c>
    </row>
    <row r="2139">
      <c r="A2139" s="3">
        <f>IF(D2139="","","TT-"&amp;TEXT(ROW()-1,"00000"))</f>
        <v/>
      </c>
      <c r="B2139" s="3">
        <f>IF(D2139="","",IF(V2139=0,"CONCLUÍDO",IF(D2139&lt;corte,"HISTÓRICO",IF(OR(AND(ISNUMBER(R2139),R2139&lt;TODAY()),AND(OR(N2139="PENDENTE",N2139="PARCIAL"),D2139&lt;TODAY()-1)),"CRÍTICO",IF(OR(AND(P2139&lt;&gt;"",S2139=""),AND(N2139="REALIZADO",M2139="PENDENTE"),AND(ISNUMBER(R2139),R2139=TODAY())),"ATENÇÃO",IF(N(K2139)=0,"PENDENTE","EM ANDAMENTO"))))))</f>
        <v/>
      </c>
      <c r="C2139" s="3">
        <f>IF(D2139="","",IF(V2139=0,"🟢 OK",IF(D2139&lt;corte,"⚪ HISTÓRICO (sem baixa)",IF(AND(ISNUMBER(R2139),R2139&lt;TODAY()),"🔴 PRAZO VENCIDO",IF(AND(OR(N2139="PENDENTE",N2139="PARCIAL"),D2139&lt;TODAY()-1),"🔴 EMBARQUE ATRASADO",IF(AND(N2139="REALIZADO",M2139="PENDENTE"),"🟡 EMBARCADO SEM FATURAR",IF(AND(P2139&lt;&gt;"",S2139="",OR(Q2139="",R2139="")),"🟡 PENDÊNCIA SEM RESPONSÁVEL/PRAZO",IF(AND(ISNUMBER(R2139),R2139=TODAY()),"🟡 VENCE HOJE",IF(AND(P2139&lt;&gt;"",S2139=""),"🟡 PENDÊNCIA ABERTA",IF(AND(N(J2139)&gt;0,N(K2139)&lt;J2139),"🟡 FALTA EXECUTAR",IF(OR(M2139="PENDENTE",M2139="PARCIAL"),"🟡 FATURAMENTO PENDENTE","🟡 EMBARQUE PENDENTE")))))))))))</f>
        <v/>
      </c>
      <c r="D2139" s="4" t="n"/>
      <c r="E2139" s="5" t="n"/>
      <c r="F2139" s="5" t="n"/>
      <c r="G2139" s="5" t="n"/>
      <c r="H2139" s="5" t="n"/>
      <c r="I2139" s="5" t="n"/>
      <c r="J2139" s="6" t="n"/>
      <c r="K2139" s="6" t="n"/>
      <c r="L2139" s="7">
        <f>IF(OR(D2139="",N(J2139)=0),"",MIN(1,N(K2139)/J2139))</f>
        <v/>
      </c>
      <c r="M2139" s="5" t="n"/>
      <c r="N2139" s="5" t="n"/>
      <c r="O2139" s="5" t="n"/>
      <c r="P2139" s="5" t="n"/>
      <c r="Q2139" s="5" t="n"/>
      <c r="R2139" s="4" t="n"/>
      <c r="S2139" s="4" t="n"/>
      <c r="T2139" s="5" t="n"/>
      <c r="U2139" s="8">
        <f>IF(AND(V2139=1,D2139&lt;&gt;""),IF(D2139&gt;=corte,TODAY()-D2139,""),"")</f>
        <v/>
      </c>
      <c r="V2139" s="8">
        <f>IF(D2139="",0,IF(OR(AND(P2139&lt;&gt;"",S2139=""),AND(N(J2139)&gt;0,N(K2139)&lt;J2139),OR(M2139="PENDENTE",M2139="PARCIAL"),OR(N2139="PENDENTE",N2139="PARCIAL")),1,0))</f>
        <v/>
      </c>
      <c r="W2139" s="8">
        <f>IF(AND(V2139=1,D2139&lt;&gt;""),IF(D2139&gt;=corte,(B2139="CRÍTICO")*1E9+(100000-D2139)*10000+10000-ROW(),""),"")</f>
        <v/>
      </c>
      <c r="X2139" s="8">
        <f>IF(AND(V2139=1,D2139=pas_data,E2139=pas_turno),10000-ROW(),"")</f>
        <v/>
      </c>
    </row>
    <row r="2140">
      <c r="A2140" s="3">
        <f>IF(D2140="","","TT-"&amp;TEXT(ROW()-1,"00000"))</f>
        <v/>
      </c>
      <c r="B2140" s="3">
        <f>IF(D2140="","",IF(V2140=0,"CONCLUÍDO",IF(D2140&lt;corte,"HISTÓRICO",IF(OR(AND(ISNUMBER(R2140),R2140&lt;TODAY()),AND(OR(N2140="PENDENTE",N2140="PARCIAL"),D2140&lt;TODAY()-1)),"CRÍTICO",IF(OR(AND(P2140&lt;&gt;"",S2140=""),AND(N2140="REALIZADO",M2140="PENDENTE"),AND(ISNUMBER(R2140),R2140=TODAY())),"ATENÇÃO",IF(N(K2140)=0,"PENDENTE","EM ANDAMENTO"))))))</f>
        <v/>
      </c>
      <c r="C2140" s="3">
        <f>IF(D2140="","",IF(V2140=0,"🟢 OK",IF(D2140&lt;corte,"⚪ HISTÓRICO (sem baixa)",IF(AND(ISNUMBER(R2140),R2140&lt;TODAY()),"🔴 PRAZO VENCIDO",IF(AND(OR(N2140="PENDENTE",N2140="PARCIAL"),D2140&lt;TODAY()-1),"🔴 EMBARQUE ATRASADO",IF(AND(N2140="REALIZADO",M2140="PENDENTE"),"🟡 EMBARCADO SEM FATURAR",IF(AND(P2140&lt;&gt;"",S2140="",OR(Q2140="",R2140="")),"🟡 PENDÊNCIA SEM RESPONSÁVEL/PRAZO",IF(AND(ISNUMBER(R2140),R2140=TODAY()),"🟡 VENCE HOJE",IF(AND(P2140&lt;&gt;"",S2140=""),"🟡 PENDÊNCIA ABERTA",IF(AND(N(J2140)&gt;0,N(K2140)&lt;J2140),"🟡 FALTA EXECUTAR",IF(OR(M2140="PENDENTE",M2140="PARCIAL"),"🟡 FATURAMENTO PENDENTE","🟡 EMBARQUE PENDENTE")))))))))))</f>
        <v/>
      </c>
      <c r="D2140" s="4" t="n"/>
      <c r="E2140" s="5" t="n"/>
      <c r="F2140" s="5" t="n"/>
      <c r="G2140" s="5" t="n"/>
      <c r="H2140" s="5" t="n"/>
      <c r="I2140" s="5" t="n"/>
      <c r="J2140" s="6" t="n"/>
      <c r="K2140" s="6" t="n"/>
      <c r="L2140" s="7">
        <f>IF(OR(D2140="",N(J2140)=0),"",MIN(1,N(K2140)/J2140))</f>
        <v/>
      </c>
      <c r="M2140" s="5" t="n"/>
      <c r="N2140" s="5" t="n"/>
      <c r="O2140" s="5" t="n"/>
      <c r="P2140" s="5" t="n"/>
      <c r="Q2140" s="5" t="n"/>
      <c r="R2140" s="4" t="n"/>
      <c r="S2140" s="4" t="n"/>
      <c r="T2140" s="5" t="n"/>
      <c r="U2140" s="8">
        <f>IF(AND(V2140=1,D2140&lt;&gt;""),IF(D2140&gt;=corte,TODAY()-D2140,""),"")</f>
        <v/>
      </c>
      <c r="V2140" s="8">
        <f>IF(D2140="",0,IF(OR(AND(P2140&lt;&gt;"",S2140=""),AND(N(J2140)&gt;0,N(K2140)&lt;J2140),OR(M2140="PENDENTE",M2140="PARCIAL"),OR(N2140="PENDENTE",N2140="PARCIAL")),1,0))</f>
        <v/>
      </c>
      <c r="W2140" s="8">
        <f>IF(AND(V2140=1,D2140&lt;&gt;""),IF(D2140&gt;=corte,(B2140="CRÍTICO")*1E9+(100000-D2140)*10000+10000-ROW(),""),"")</f>
        <v/>
      </c>
      <c r="X2140" s="8">
        <f>IF(AND(V2140=1,D2140=pas_data,E2140=pas_turno),10000-ROW(),"")</f>
        <v/>
      </c>
    </row>
    <row r="2141">
      <c r="A2141" s="3">
        <f>IF(D2141="","","TT-"&amp;TEXT(ROW()-1,"00000"))</f>
        <v/>
      </c>
      <c r="B2141" s="3">
        <f>IF(D2141="","",IF(V2141=0,"CONCLUÍDO",IF(D2141&lt;corte,"HISTÓRICO",IF(OR(AND(ISNUMBER(R2141),R2141&lt;TODAY()),AND(OR(N2141="PENDENTE",N2141="PARCIAL"),D2141&lt;TODAY()-1)),"CRÍTICO",IF(OR(AND(P2141&lt;&gt;"",S2141=""),AND(N2141="REALIZADO",M2141="PENDENTE"),AND(ISNUMBER(R2141),R2141=TODAY())),"ATENÇÃO",IF(N(K2141)=0,"PENDENTE","EM ANDAMENTO"))))))</f>
        <v/>
      </c>
      <c r="C2141" s="3">
        <f>IF(D2141="","",IF(V2141=0,"🟢 OK",IF(D2141&lt;corte,"⚪ HISTÓRICO (sem baixa)",IF(AND(ISNUMBER(R2141),R2141&lt;TODAY()),"🔴 PRAZO VENCIDO",IF(AND(OR(N2141="PENDENTE",N2141="PARCIAL"),D2141&lt;TODAY()-1),"🔴 EMBARQUE ATRASADO",IF(AND(N2141="REALIZADO",M2141="PENDENTE"),"🟡 EMBARCADO SEM FATURAR",IF(AND(P2141&lt;&gt;"",S2141="",OR(Q2141="",R2141="")),"🟡 PENDÊNCIA SEM RESPONSÁVEL/PRAZO",IF(AND(ISNUMBER(R2141),R2141=TODAY()),"🟡 VENCE HOJE",IF(AND(P2141&lt;&gt;"",S2141=""),"🟡 PENDÊNCIA ABERTA",IF(AND(N(J2141)&gt;0,N(K2141)&lt;J2141),"🟡 FALTA EXECUTAR",IF(OR(M2141="PENDENTE",M2141="PARCIAL"),"🟡 FATURAMENTO PENDENTE","🟡 EMBARQUE PENDENTE")))))))))))</f>
        <v/>
      </c>
      <c r="D2141" s="4" t="n"/>
      <c r="E2141" s="5" t="n"/>
      <c r="F2141" s="5" t="n"/>
      <c r="G2141" s="5" t="n"/>
      <c r="H2141" s="5" t="n"/>
      <c r="I2141" s="5" t="n"/>
      <c r="J2141" s="6" t="n"/>
      <c r="K2141" s="6" t="n"/>
      <c r="L2141" s="7">
        <f>IF(OR(D2141="",N(J2141)=0),"",MIN(1,N(K2141)/J2141))</f>
        <v/>
      </c>
      <c r="M2141" s="5" t="n"/>
      <c r="N2141" s="5" t="n"/>
      <c r="O2141" s="5" t="n"/>
      <c r="P2141" s="5" t="n"/>
      <c r="Q2141" s="5" t="n"/>
      <c r="R2141" s="4" t="n"/>
      <c r="S2141" s="4" t="n"/>
      <c r="T2141" s="5" t="n"/>
      <c r="U2141" s="8">
        <f>IF(AND(V2141=1,D2141&lt;&gt;""),IF(D2141&gt;=corte,TODAY()-D2141,""),"")</f>
        <v/>
      </c>
      <c r="V2141" s="8">
        <f>IF(D2141="",0,IF(OR(AND(P2141&lt;&gt;"",S2141=""),AND(N(J2141)&gt;0,N(K2141)&lt;J2141),OR(M2141="PENDENTE",M2141="PARCIAL"),OR(N2141="PENDENTE",N2141="PARCIAL")),1,0))</f>
        <v/>
      </c>
      <c r="W2141" s="8">
        <f>IF(AND(V2141=1,D2141&lt;&gt;""),IF(D2141&gt;=corte,(B2141="CRÍTICO")*1E9+(100000-D2141)*10000+10000-ROW(),""),"")</f>
        <v/>
      </c>
      <c r="X2141" s="8">
        <f>IF(AND(V2141=1,D2141=pas_data,E2141=pas_turno),10000-ROW(),"")</f>
        <v/>
      </c>
    </row>
    <row r="2142">
      <c r="A2142" s="3">
        <f>IF(D2142="","","TT-"&amp;TEXT(ROW()-1,"00000"))</f>
        <v/>
      </c>
      <c r="B2142" s="3">
        <f>IF(D2142="","",IF(V2142=0,"CONCLUÍDO",IF(D2142&lt;corte,"HISTÓRICO",IF(OR(AND(ISNUMBER(R2142),R2142&lt;TODAY()),AND(OR(N2142="PENDENTE",N2142="PARCIAL"),D2142&lt;TODAY()-1)),"CRÍTICO",IF(OR(AND(P2142&lt;&gt;"",S2142=""),AND(N2142="REALIZADO",M2142="PENDENTE"),AND(ISNUMBER(R2142),R2142=TODAY())),"ATENÇÃO",IF(N(K2142)=0,"PENDENTE","EM ANDAMENTO"))))))</f>
        <v/>
      </c>
      <c r="C2142" s="3">
        <f>IF(D2142="","",IF(V2142=0,"🟢 OK",IF(D2142&lt;corte,"⚪ HISTÓRICO (sem baixa)",IF(AND(ISNUMBER(R2142),R2142&lt;TODAY()),"🔴 PRAZO VENCIDO",IF(AND(OR(N2142="PENDENTE",N2142="PARCIAL"),D2142&lt;TODAY()-1),"🔴 EMBARQUE ATRASADO",IF(AND(N2142="REALIZADO",M2142="PENDENTE"),"🟡 EMBARCADO SEM FATURAR",IF(AND(P2142&lt;&gt;"",S2142="",OR(Q2142="",R2142="")),"🟡 PENDÊNCIA SEM RESPONSÁVEL/PRAZO",IF(AND(ISNUMBER(R2142),R2142=TODAY()),"🟡 VENCE HOJE",IF(AND(P2142&lt;&gt;"",S2142=""),"🟡 PENDÊNCIA ABERTA",IF(AND(N(J2142)&gt;0,N(K2142)&lt;J2142),"🟡 FALTA EXECUTAR",IF(OR(M2142="PENDENTE",M2142="PARCIAL"),"🟡 FATURAMENTO PENDENTE","🟡 EMBARQUE PENDENTE")))))))))))</f>
        <v/>
      </c>
      <c r="D2142" s="4" t="n"/>
      <c r="E2142" s="5" t="n"/>
      <c r="F2142" s="5" t="n"/>
      <c r="G2142" s="5" t="n"/>
      <c r="H2142" s="5" t="n"/>
      <c r="I2142" s="5" t="n"/>
      <c r="J2142" s="6" t="n"/>
      <c r="K2142" s="6" t="n"/>
      <c r="L2142" s="7">
        <f>IF(OR(D2142="",N(J2142)=0),"",MIN(1,N(K2142)/J2142))</f>
        <v/>
      </c>
      <c r="M2142" s="5" t="n"/>
      <c r="N2142" s="5" t="n"/>
      <c r="O2142" s="5" t="n"/>
      <c r="P2142" s="5" t="n"/>
      <c r="Q2142" s="5" t="n"/>
      <c r="R2142" s="4" t="n"/>
      <c r="S2142" s="4" t="n"/>
      <c r="T2142" s="5" t="n"/>
      <c r="U2142" s="8">
        <f>IF(AND(V2142=1,D2142&lt;&gt;""),IF(D2142&gt;=corte,TODAY()-D2142,""),"")</f>
        <v/>
      </c>
      <c r="V2142" s="8">
        <f>IF(D2142="",0,IF(OR(AND(P2142&lt;&gt;"",S2142=""),AND(N(J2142)&gt;0,N(K2142)&lt;J2142),OR(M2142="PENDENTE",M2142="PARCIAL"),OR(N2142="PENDENTE",N2142="PARCIAL")),1,0))</f>
        <v/>
      </c>
      <c r="W2142" s="8">
        <f>IF(AND(V2142=1,D2142&lt;&gt;""),IF(D2142&gt;=corte,(B2142="CRÍTICO")*1E9+(100000-D2142)*10000+10000-ROW(),""),"")</f>
        <v/>
      </c>
      <c r="X2142" s="8">
        <f>IF(AND(V2142=1,D2142=pas_data,E2142=pas_turno),10000-ROW(),"")</f>
        <v/>
      </c>
    </row>
    <row r="2143">
      <c r="A2143" s="3">
        <f>IF(D2143="","","TT-"&amp;TEXT(ROW()-1,"00000"))</f>
        <v/>
      </c>
      <c r="B2143" s="3">
        <f>IF(D2143="","",IF(V2143=0,"CONCLUÍDO",IF(D2143&lt;corte,"HISTÓRICO",IF(OR(AND(ISNUMBER(R2143),R2143&lt;TODAY()),AND(OR(N2143="PENDENTE",N2143="PARCIAL"),D2143&lt;TODAY()-1)),"CRÍTICO",IF(OR(AND(P2143&lt;&gt;"",S2143=""),AND(N2143="REALIZADO",M2143="PENDENTE"),AND(ISNUMBER(R2143),R2143=TODAY())),"ATENÇÃO",IF(N(K2143)=0,"PENDENTE","EM ANDAMENTO"))))))</f>
        <v/>
      </c>
      <c r="C2143" s="3">
        <f>IF(D2143="","",IF(V2143=0,"🟢 OK",IF(D2143&lt;corte,"⚪ HISTÓRICO (sem baixa)",IF(AND(ISNUMBER(R2143),R2143&lt;TODAY()),"🔴 PRAZO VENCIDO",IF(AND(OR(N2143="PENDENTE",N2143="PARCIAL"),D2143&lt;TODAY()-1),"🔴 EMBARQUE ATRASADO",IF(AND(N2143="REALIZADO",M2143="PENDENTE"),"🟡 EMBARCADO SEM FATURAR",IF(AND(P2143&lt;&gt;"",S2143="",OR(Q2143="",R2143="")),"🟡 PENDÊNCIA SEM RESPONSÁVEL/PRAZO",IF(AND(ISNUMBER(R2143),R2143=TODAY()),"🟡 VENCE HOJE",IF(AND(P2143&lt;&gt;"",S2143=""),"🟡 PENDÊNCIA ABERTA",IF(AND(N(J2143)&gt;0,N(K2143)&lt;J2143),"🟡 FALTA EXECUTAR",IF(OR(M2143="PENDENTE",M2143="PARCIAL"),"🟡 FATURAMENTO PENDENTE","🟡 EMBARQUE PENDENTE")))))))))))</f>
        <v/>
      </c>
      <c r="D2143" s="4" t="n"/>
      <c r="E2143" s="5" t="n"/>
      <c r="F2143" s="5" t="n"/>
      <c r="G2143" s="5" t="n"/>
      <c r="H2143" s="5" t="n"/>
      <c r="I2143" s="5" t="n"/>
      <c r="J2143" s="6" t="n"/>
      <c r="K2143" s="6" t="n"/>
      <c r="L2143" s="7">
        <f>IF(OR(D2143="",N(J2143)=0),"",MIN(1,N(K2143)/J2143))</f>
        <v/>
      </c>
      <c r="M2143" s="5" t="n"/>
      <c r="N2143" s="5" t="n"/>
      <c r="O2143" s="5" t="n"/>
      <c r="P2143" s="5" t="n"/>
      <c r="Q2143" s="5" t="n"/>
      <c r="R2143" s="4" t="n"/>
      <c r="S2143" s="4" t="n"/>
      <c r="T2143" s="5" t="n"/>
      <c r="U2143" s="8">
        <f>IF(AND(V2143=1,D2143&lt;&gt;""),IF(D2143&gt;=corte,TODAY()-D2143,""),"")</f>
        <v/>
      </c>
      <c r="V2143" s="8">
        <f>IF(D2143="",0,IF(OR(AND(P2143&lt;&gt;"",S2143=""),AND(N(J2143)&gt;0,N(K2143)&lt;J2143),OR(M2143="PENDENTE",M2143="PARCIAL"),OR(N2143="PENDENTE",N2143="PARCIAL")),1,0))</f>
        <v/>
      </c>
      <c r="W2143" s="8">
        <f>IF(AND(V2143=1,D2143&lt;&gt;""),IF(D2143&gt;=corte,(B2143="CRÍTICO")*1E9+(100000-D2143)*10000+10000-ROW(),""),"")</f>
        <v/>
      </c>
      <c r="X2143" s="8">
        <f>IF(AND(V2143=1,D2143=pas_data,E2143=pas_turno),10000-ROW(),"")</f>
        <v/>
      </c>
    </row>
    <row r="2144">
      <c r="A2144" s="3">
        <f>IF(D2144="","","TT-"&amp;TEXT(ROW()-1,"00000"))</f>
        <v/>
      </c>
      <c r="B2144" s="3">
        <f>IF(D2144="","",IF(V2144=0,"CONCLUÍDO",IF(D2144&lt;corte,"HISTÓRICO",IF(OR(AND(ISNUMBER(R2144),R2144&lt;TODAY()),AND(OR(N2144="PENDENTE",N2144="PARCIAL"),D2144&lt;TODAY()-1)),"CRÍTICO",IF(OR(AND(P2144&lt;&gt;"",S2144=""),AND(N2144="REALIZADO",M2144="PENDENTE"),AND(ISNUMBER(R2144),R2144=TODAY())),"ATENÇÃO",IF(N(K2144)=0,"PENDENTE","EM ANDAMENTO"))))))</f>
        <v/>
      </c>
      <c r="C2144" s="3">
        <f>IF(D2144="","",IF(V2144=0,"🟢 OK",IF(D2144&lt;corte,"⚪ HISTÓRICO (sem baixa)",IF(AND(ISNUMBER(R2144),R2144&lt;TODAY()),"🔴 PRAZO VENCIDO",IF(AND(OR(N2144="PENDENTE",N2144="PARCIAL"),D2144&lt;TODAY()-1),"🔴 EMBARQUE ATRASADO",IF(AND(N2144="REALIZADO",M2144="PENDENTE"),"🟡 EMBARCADO SEM FATURAR",IF(AND(P2144&lt;&gt;"",S2144="",OR(Q2144="",R2144="")),"🟡 PENDÊNCIA SEM RESPONSÁVEL/PRAZO",IF(AND(ISNUMBER(R2144),R2144=TODAY()),"🟡 VENCE HOJE",IF(AND(P2144&lt;&gt;"",S2144=""),"🟡 PENDÊNCIA ABERTA",IF(AND(N(J2144)&gt;0,N(K2144)&lt;J2144),"🟡 FALTA EXECUTAR",IF(OR(M2144="PENDENTE",M2144="PARCIAL"),"🟡 FATURAMENTO PENDENTE","🟡 EMBARQUE PENDENTE")))))))))))</f>
        <v/>
      </c>
      <c r="D2144" s="4" t="n"/>
      <c r="E2144" s="5" t="n"/>
      <c r="F2144" s="5" t="n"/>
      <c r="G2144" s="5" t="n"/>
      <c r="H2144" s="5" t="n"/>
      <c r="I2144" s="5" t="n"/>
      <c r="J2144" s="6" t="n"/>
      <c r="K2144" s="6" t="n"/>
      <c r="L2144" s="7">
        <f>IF(OR(D2144="",N(J2144)=0),"",MIN(1,N(K2144)/J2144))</f>
        <v/>
      </c>
      <c r="M2144" s="5" t="n"/>
      <c r="N2144" s="5" t="n"/>
      <c r="O2144" s="5" t="n"/>
      <c r="P2144" s="5" t="n"/>
      <c r="Q2144" s="5" t="n"/>
      <c r="R2144" s="4" t="n"/>
      <c r="S2144" s="4" t="n"/>
      <c r="T2144" s="5" t="n"/>
      <c r="U2144" s="8">
        <f>IF(AND(V2144=1,D2144&lt;&gt;""),IF(D2144&gt;=corte,TODAY()-D2144,""),"")</f>
        <v/>
      </c>
      <c r="V2144" s="8">
        <f>IF(D2144="",0,IF(OR(AND(P2144&lt;&gt;"",S2144=""),AND(N(J2144)&gt;0,N(K2144)&lt;J2144),OR(M2144="PENDENTE",M2144="PARCIAL"),OR(N2144="PENDENTE",N2144="PARCIAL")),1,0))</f>
        <v/>
      </c>
      <c r="W2144" s="8">
        <f>IF(AND(V2144=1,D2144&lt;&gt;""),IF(D2144&gt;=corte,(B2144="CRÍTICO")*1E9+(100000-D2144)*10000+10000-ROW(),""),"")</f>
        <v/>
      </c>
      <c r="X2144" s="8">
        <f>IF(AND(V2144=1,D2144=pas_data,E2144=pas_turno),10000-ROW(),"")</f>
        <v/>
      </c>
    </row>
    <row r="2145">
      <c r="A2145" s="3">
        <f>IF(D2145="","","TT-"&amp;TEXT(ROW()-1,"00000"))</f>
        <v/>
      </c>
      <c r="B2145" s="3">
        <f>IF(D2145="","",IF(V2145=0,"CONCLUÍDO",IF(D2145&lt;corte,"HISTÓRICO",IF(OR(AND(ISNUMBER(R2145),R2145&lt;TODAY()),AND(OR(N2145="PENDENTE",N2145="PARCIAL"),D2145&lt;TODAY()-1)),"CRÍTICO",IF(OR(AND(P2145&lt;&gt;"",S2145=""),AND(N2145="REALIZADO",M2145="PENDENTE"),AND(ISNUMBER(R2145),R2145=TODAY())),"ATENÇÃO",IF(N(K2145)=0,"PENDENTE","EM ANDAMENTO"))))))</f>
        <v/>
      </c>
      <c r="C2145" s="3">
        <f>IF(D2145="","",IF(V2145=0,"🟢 OK",IF(D2145&lt;corte,"⚪ HISTÓRICO (sem baixa)",IF(AND(ISNUMBER(R2145),R2145&lt;TODAY()),"🔴 PRAZO VENCIDO",IF(AND(OR(N2145="PENDENTE",N2145="PARCIAL"),D2145&lt;TODAY()-1),"🔴 EMBARQUE ATRASADO",IF(AND(N2145="REALIZADO",M2145="PENDENTE"),"🟡 EMBARCADO SEM FATURAR",IF(AND(P2145&lt;&gt;"",S2145="",OR(Q2145="",R2145="")),"🟡 PENDÊNCIA SEM RESPONSÁVEL/PRAZO",IF(AND(ISNUMBER(R2145),R2145=TODAY()),"🟡 VENCE HOJE",IF(AND(P2145&lt;&gt;"",S2145=""),"🟡 PENDÊNCIA ABERTA",IF(AND(N(J2145)&gt;0,N(K2145)&lt;J2145),"🟡 FALTA EXECUTAR",IF(OR(M2145="PENDENTE",M2145="PARCIAL"),"🟡 FATURAMENTO PENDENTE","🟡 EMBARQUE PENDENTE")))))))))))</f>
        <v/>
      </c>
      <c r="D2145" s="4" t="n"/>
      <c r="E2145" s="5" t="n"/>
      <c r="F2145" s="5" t="n"/>
      <c r="G2145" s="5" t="n"/>
      <c r="H2145" s="5" t="n"/>
      <c r="I2145" s="5" t="n"/>
      <c r="J2145" s="6" t="n"/>
      <c r="K2145" s="6" t="n"/>
      <c r="L2145" s="7">
        <f>IF(OR(D2145="",N(J2145)=0),"",MIN(1,N(K2145)/J2145))</f>
        <v/>
      </c>
      <c r="M2145" s="5" t="n"/>
      <c r="N2145" s="5" t="n"/>
      <c r="O2145" s="5" t="n"/>
      <c r="P2145" s="5" t="n"/>
      <c r="Q2145" s="5" t="n"/>
      <c r="R2145" s="4" t="n"/>
      <c r="S2145" s="4" t="n"/>
      <c r="T2145" s="5" t="n"/>
      <c r="U2145" s="8">
        <f>IF(AND(V2145=1,D2145&lt;&gt;""),IF(D2145&gt;=corte,TODAY()-D2145,""),"")</f>
        <v/>
      </c>
      <c r="V2145" s="8">
        <f>IF(D2145="",0,IF(OR(AND(P2145&lt;&gt;"",S2145=""),AND(N(J2145)&gt;0,N(K2145)&lt;J2145),OR(M2145="PENDENTE",M2145="PARCIAL"),OR(N2145="PENDENTE",N2145="PARCIAL")),1,0))</f>
        <v/>
      </c>
      <c r="W2145" s="8">
        <f>IF(AND(V2145=1,D2145&lt;&gt;""),IF(D2145&gt;=corte,(B2145="CRÍTICO")*1E9+(100000-D2145)*10000+10000-ROW(),""),"")</f>
        <v/>
      </c>
      <c r="X2145" s="8">
        <f>IF(AND(V2145=1,D2145=pas_data,E2145=pas_turno),10000-ROW(),"")</f>
        <v/>
      </c>
    </row>
    <row r="2146">
      <c r="A2146" s="3">
        <f>IF(D2146="","","TT-"&amp;TEXT(ROW()-1,"00000"))</f>
        <v/>
      </c>
      <c r="B2146" s="3">
        <f>IF(D2146="","",IF(V2146=0,"CONCLUÍDO",IF(D2146&lt;corte,"HISTÓRICO",IF(OR(AND(ISNUMBER(R2146),R2146&lt;TODAY()),AND(OR(N2146="PENDENTE",N2146="PARCIAL"),D2146&lt;TODAY()-1)),"CRÍTICO",IF(OR(AND(P2146&lt;&gt;"",S2146=""),AND(N2146="REALIZADO",M2146="PENDENTE"),AND(ISNUMBER(R2146),R2146=TODAY())),"ATENÇÃO",IF(N(K2146)=0,"PENDENTE","EM ANDAMENTO"))))))</f>
        <v/>
      </c>
      <c r="C2146" s="3">
        <f>IF(D2146="","",IF(V2146=0,"🟢 OK",IF(D2146&lt;corte,"⚪ HISTÓRICO (sem baixa)",IF(AND(ISNUMBER(R2146),R2146&lt;TODAY()),"🔴 PRAZO VENCIDO",IF(AND(OR(N2146="PENDENTE",N2146="PARCIAL"),D2146&lt;TODAY()-1),"🔴 EMBARQUE ATRASADO",IF(AND(N2146="REALIZADO",M2146="PENDENTE"),"🟡 EMBARCADO SEM FATURAR",IF(AND(P2146&lt;&gt;"",S2146="",OR(Q2146="",R2146="")),"🟡 PENDÊNCIA SEM RESPONSÁVEL/PRAZO",IF(AND(ISNUMBER(R2146),R2146=TODAY()),"🟡 VENCE HOJE",IF(AND(P2146&lt;&gt;"",S2146=""),"🟡 PENDÊNCIA ABERTA",IF(AND(N(J2146)&gt;0,N(K2146)&lt;J2146),"🟡 FALTA EXECUTAR",IF(OR(M2146="PENDENTE",M2146="PARCIAL"),"🟡 FATURAMENTO PENDENTE","🟡 EMBARQUE PENDENTE")))))))))))</f>
        <v/>
      </c>
      <c r="D2146" s="4" t="n"/>
      <c r="E2146" s="5" t="n"/>
      <c r="F2146" s="5" t="n"/>
      <c r="G2146" s="5" t="n"/>
      <c r="H2146" s="5" t="n"/>
      <c r="I2146" s="5" t="n"/>
      <c r="J2146" s="6" t="n"/>
      <c r="K2146" s="6" t="n"/>
      <c r="L2146" s="7">
        <f>IF(OR(D2146="",N(J2146)=0),"",MIN(1,N(K2146)/J2146))</f>
        <v/>
      </c>
      <c r="M2146" s="5" t="n"/>
      <c r="N2146" s="5" t="n"/>
      <c r="O2146" s="5" t="n"/>
      <c r="P2146" s="5" t="n"/>
      <c r="Q2146" s="5" t="n"/>
      <c r="R2146" s="4" t="n"/>
      <c r="S2146" s="4" t="n"/>
      <c r="T2146" s="5" t="n"/>
      <c r="U2146" s="8">
        <f>IF(AND(V2146=1,D2146&lt;&gt;""),IF(D2146&gt;=corte,TODAY()-D2146,""),"")</f>
        <v/>
      </c>
      <c r="V2146" s="8">
        <f>IF(D2146="",0,IF(OR(AND(P2146&lt;&gt;"",S2146=""),AND(N(J2146)&gt;0,N(K2146)&lt;J2146),OR(M2146="PENDENTE",M2146="PARCIAL"),OR(N2146="PENDENTE",N2146="PARCIAL")),1,0))</f>
        <v/>
      </c>
      <c r="W2146" s="8">
        <f>IF(AND(V2146=1,D2146&lt;&gt;""),IF(D2146&gt;=corte,(B2146="CRÍTICO")*1E9+(100000-D2146)*10000+10000-ROW(),""),"")</f>
        <v/>
      </c>
      <c r="X2146" s="8">
        <f>IF(AND(V2146=1,D2146=pas_data,E2146=pas_turno),10000-ROW(),"")</f>
        <v/>
      </c>
    </row>
    <row r="2147">
      <c r="A2147" s="3">
        <f>IF(D2147="","","TT-"&amp;TEXT(ROW()-1,"00000"))</f>
        <v/>
      </c>
      <c r="B2147" s="3">
        <f>IF(D2147="","",IF(V2147=0,"CONCLUÍDO",IF(D2147&lt;corte,"HISTÓRICO",IF(OR(AND(ISNUMBER(R2147),R2147&lt;TODAY()),AND(OR(N2147="PENDENTE",N2147="PARCIAL"),D2147&lt;TODAY()-1)),"CRÍTICO",IF(OR(AND(P2147&lt;&gt;"",S2147=""),AND(N2147="REALIZADO",M2147="PENDENTE"),AND(ISNUMBER(R2147),R2147=TODAY())),"ATENÇÃO",IF(N(K2147)=0,"PENDENTE","EM ANDAMENTO"))))))</f>
        <v/>
      </c>
      <c r="C2147" s="3">
        <f>IF(D2147="","",IF(V2147=0,"🟢 OK",IF(D2147&lt;corte,"⚪ HISTÓRICO (sem baixa)",IF(AND(ISNUMBER(R2147),R2147&lt;TODAY()),"🔴 PRAZO VENCIDO",IF(AND(OR(N2147="PENDENTE",N2147="PARCIAL"),D2147&lt;TODAY()-1),"🔴 EMBARQUE ATRASADO",IF(AND(N2147="REALIZADO",M2147="PENDENTE"),"🟡 EMBARCADO SEM FATURAR",IF(AND(P2147&lt;&gt;"",S2147="",OR(Q2147="",R2147="")),"🟡 PENDÊNCIA SEM RESPONSÁVEL/PRAZO",IF(AND(ISNUMBER(R2147),R2147=TODAY()),"🟡 VENCE HOJE",IF(AND(P2147&lt;&gt;"",S2147=""),"🟡 PENDÊNCIA ABERTA",IF(AND(N(J2147)&gt;0,N(K2147)&lt;J2147),"🟡 FALTA EXECUTAR",IF(OR(M2147="PENDENTE",M2147="PARCIAL"),"🟡 FATURAMENTO PENDENTE","🟡 EMBARQUE PENDENTE")))))))))))</f>
        <v/>
      </c>
      <c r="D2147" s="4" t="n"/>
      <c r="E2147" s="5" t="n"/>
      <c r="F2147" s="5" t="n"/>
      <c r="G2147" s="5" t="n"/>
      <c r="H2147" s="5" t="n"/>
      <c r="I2147" s="5" t="n"/>
      <c r="J2147" s="6" t="n"/>
      <c r="K2147" s="6" t="n"/>
      <c r="L2147" s="7">
        <f>IF(OR(D2147="",N(J2147)=0),"",MIN(1,N(K2147)/J2147))</f>
        <v/>
      </c>
      <c r="M2147" s="5" t="n"/>
      <c r="N2147" s="5" t="n"/>
      <c r="O2147" s="5" t="n"/>
      <c r="P2147" s="5" t="n"/>
      <c r="Q2147" s="5" t="n"/>
      <c r="R2147" s="4" t="n"/>
      <c r="S2147" s="4" t="n"/>
      <c r="T2147" s="5" t="n"/>
      <c r="U2147" s="8">
        <f>IF(AND(V2147=1,D2147&lt;&gt;""),IF(D2147&gt;=corte,TODAY()-D2147,""),"")</f>
        <v/>
      </c>
      <c r="V2147" s="8">
        <f>IF(D2147="",0,IF(OR(AND(P2147&lt;&gt;"",S2147=""),AND(N(J2147)&gt;0,N(K2147)&lt;J2147),OR(M2147="PENDENTE",M2147="PARCIAL"),OR(N2147="PENDENTE",N2147="PARCIAL")),1,0))</f>
        <v/>
      </c>
      <c r="W2147" s="8">
        <f>IF(AND(V2147=1,D2147&lt;&gt;""),IF(D2147&gt;=corte,(B2147="CRÍTICO")*1E9+(100000-D2147)*10000+10000-ROW(),""),"")</f>
        <v/>
      </c>
      <c r="X2147" s="8">
        <f>IF(AND(V2147=1,D2147=pas_data,E2147=pas_turno),10000-ROW(),"")</f>
        <v/>
      </c>
    </row>
    <row r="2148">
      <c r="A2148" s="3">
        <f>IF(D2148="","","TT-"&amp;TEXT(ROW()-1,"00000"))</f>
        <v/>
      </c>
      <c r="B2148" s="3">
        <f>IF(D2148="","",IF(V2148=0,"CONCLUÍDO",IF(D2148&lt;corte,"HISTÓRICO",IF(OR(AND(ISNUMBER(R2148),R2148&lt;TODAY()),AND(OR(N2148="PENDENTE",N2148="PARCIAL"),D2148&lt;TODAY()-1)),"CRÍTICO",IF(OR(AND(P2148&lt;&gt;"",S2148=""),AND(N2148="REALIZADO",M2148="PENDENTE"),AND(ISNUMBER(R2148),R2148=TODAY())),"ATENÇÃO",IF(N(K2148)=0,"PENDENTE","EM ANDAMENTO"))))))</f>
        <v/>
      </c>
      <c r="C2148" s="3">
        <f>IF(D2148="","",IF(V2148=0,"🟢 OK",IF(D2148&lt;corte,"⚪ HISTÓRICO (sem baixa)",IF(AND(ISNUMBER(R2148),R2148&lt;TODAY()),"🔴 PRAZO VENCIDO",IF(AND(OR(N2148="PENDENTE",N2148="PARCIAL"),D2148&lt;TODAY()-1),"🔴 EMBARQUE ATRASADO",IF(AND(N2148="REALIZADO",M2148="PENDENTE"),"🟡 EMBARCADO SEM FATURAR",IF(AND(P2148&lt;&gt;"",S2148="",OR(Q2148="",R2148="")),"🟡 PENDÊNCIA SEM RESPONSÁVEL/PRAZO",IF(AND(ISNUMBER(R2148),R2148=TODAY()),"🟡 VENCE HOJE",IF(AND(P2148&lt;&gt;"",S2148=""),"🟡 PENDÊNCIA ABERTA",IF(AND(N(J2148)&gt;0,N(K2148)&lt;J2148),"🟡 FALTA EXECUTAR",IF(OR(M2148="PENDENTE",M2148="PARCIAL"),"🟡 FATURAMENTO PENDENTE","🟡 EMBARQUE PENDENTE")))))))))))</f>
        <v/>
      </c>
      <c r="D2148" s="4" t="n"/>
      <c r="E2148" s="5" t="n"/>
      <c r="F2148" s="5" t="n"/>
      <c r="G2148" s="5" t="n"/>
      <c r="H2148" s="5" t="n"/>
      <c r="I2148" s="5" t="n"/>
      <c r="J2148" s="6" t="n"/>
      <c r="K2148" s="6" t="n"/>
      <c r="L2148" s="7">
        <f>IF(OR(D2148="",N(J2148)=0),"",MIN(1,N(K2148)/J2148))</f>
        <v/>
      </c>
      <c r="M2148" s="5" t="n"/>
      <c r="N2148" s="5" t="n"/>
      <c r="O2148" s="5" t="n"/>
      <c r="P2148" s="5" t="n"/>
      <c r="Q2148" s="5" t="n"/>
      <c r="R2148" s="4" t="n"/>
      <c r="S2148" s="4" t="n"/>
      <c r="T2148" s="5" t="n"/>
      <c r="U2148" s="8">
        <f>IF(AND(V2148=1,D2148&lt;&gt;""),IF(D2148&gt;=corte,TODAY()-D2148,""),"")</f>
        <v/>
      </c>
      <c r="V2148" s="8">
        <f>IF(D2148="",0,IF(OR(AND(P2148&lt;&gt;"",S2148=""),AND(N(J2148)&gt;0,N(K2148)&lt;J2148),OR(M2148="PENDENTE",M2148="PARCIAL"),OR(N2148="PENDENTE",N2148="PARCIAL")),1,0))</f>
        <v/>
      </c>
      <c r="W2148" s="8">
        <f>IF(AND(V2148=1,D2148&lt;&gt;""),IF(D2148&gt;=corte,(B2148="CRÍTICO")*1E9+(100000-D2148)*10000+10000-ROW(),""),"")</f>
        <v/>
      </c>
      <c r="X2148" s="8">
        <f>IF(AND(V2148=1,D2148=pas_data,E2148=pas_turno),10000-ROW(),"")</f>
        <v/>
      </c>
    </row>
    <row r="2149">
      <c r="A2149" s="3">
        <f>IF(D2149="","","TT-"&amp;TEXT(ROW()-1,"00000"))</f>
        <v/>
      </c>
      <c r="B2149" s="3">
        <f>IF(D2149="","",IF(V2149=0,"CONCLUÍDO",IF(D2149&lt;corte,"HISTÓRICO",IF(OR(AND(ISNUMBER(R2149),R2149&lt;TODAY()),AND(OR(N2149="PENDENTE",N2149="PARCIAL"),D2149&lt;TODAY()-1)),"CRÍTICO",IF(OR(AND(P2149&lt;&gt;"",S2149=""),AND(N2149="REALIZADO",M2149="PENDENTE"),AND(ISNUMBER(R2149),R2149=TODAY())),"ATENÇÃO",IF(N(K2149)=0,"PENDENTE","EM ANDAMENTO"))))))</f>
        <v/>
      </c>
      <c r="C2149" s="3">
        <f>IF(D2149="","",IF(V2149=0,"🟢 OK",IF(D2149&lt;corte,"⚪ HISTÓRICO (sem baixa)",IF(AND(ISNUMBER(R2149),R2149&lt;TODAY()),"🔴 PRAZO VENCIDO",IF(AND(OR(N2149="PENDENTE",N2149="PARCIAL"),D2149&lt;TODAY()-1),"🔴 EMBARQUE ATRASADO",IF(AND(N2149="REALIZADO",M2149="PENDENTE"),"🟡 EMBARCADO SEM FATURAR",IF(AND(P2149&lt;&gt;"",S2149="",OR(Q2149="",R2149="")),"🟡 PENDÊNCIA SEM RESPONSÁVEL/PRAZO",IF(AND(ISNUMBER(R2149),R2149=TODAY()),"🟡 VENCE HOJE",IF(AND(P2149&lt;&gt;"",S2149=""),"🟡 PENDÊNCIA ABERTA",IF(AND(N(J2149)&gt;0,N(K2149)&lt;J2149),"🟡 FALTA EXECUTAR",IF(OR(M2149="PENDENTE",M2149="PARCIAL"),"🟡 FATURAMENTO PENDENTE","🟡 EMBARQUE PENDENTE")))))))))))</f>
        <v/>
      </c>
      <c r="D2149" s="4" t="n"/>
      <c r="E2149" s="5" t="n"/>
      <c r="F2149" s="5" t="n"/>
      <c r="G2149" s="5" t="n"/>
      <c r="H2149" s="5" t="n"/>
      <c r="I2149" s="5" t="n"/>
      <c r="J2149" s="6" t="n"/>
      <c r="K2149" s="6" t="n"/>
      <c r="L2149" s="7">
        <f>IF(OR(D2149="",N(J2149)=0),"",MIN(1,N(K2149)/J2149))</f>
        <v/>
      </c>
      <c r="M2149" s="5" t="n"/>
      <c r="N2149" s="5" t="n"/>
      <c r="O2149" s="5" t="n"/>
      <c r="P2149" s="5" t="n"/>
      <c r="Q2149" s="5" t="n"/>
      <c r="R2149" s="4" t="n"/>
      <c r="S2149" s="4" t="n"/>
      <c r="T2149" s="5" t="n"/>
      <c r="U2149" s="8">
        <f>IF(AND(V2149=1,D2149&lt;&gt;""),IF(D2149&gt;=corte,TODAY()-D2149,""),"")</f>
        <v/>
      </c>
      <c r="V2149" s="8">
        <f>IF(D2149="",0,IF(OR(AND(P2149&lt;&gt;"",S2149=""),AND(N(J2149)&gt;0,N(K2149)&lt;J2149),OR(M2149="PENDENTE",M2149="PARCIAL"),OR(N2149="PENDENTE",N2149="PARCIAL")),1,0))</f>
        <v/>
      </c>
      <c r="W2149" s="8">
        <f>IF(AND(V2149=1,D2149&lt;&gt;""),IF(D2149&gt;=corte,(B2149="CRÍTICO")*1E9+(100000-D2149)*10000+10000-ROW(),""),"")</f>
        <v/>
      </c>
      <c r="X2149" s="8">
        <f>IF(AND(V2149=1,D2149=pas_data,E2149=pas_turno),10000-ROW(),"")</f>
        <v/>
      </c>
    </row>
    <row r="2150">
      <c r="A2150" s="3">
        <f>IF(D2150="","","TT-"&amp;TEXT(ROW()-1,"00000"))</f>
        <v/>
      </c>
      <c r="B2150" s="3">
        <f>IF(D2150="","",IF(V2150=0,"CONCLUÍDO",IF(D2150&lt;corte,"HISTÓRICO",IF(OR(AND(ISNUMBER(R2150),R2150&lt;TODAY()),AND(OR(N2150="PENDENTE",N2150="PARCIAL"),D2150&lt;TODAY()-1)),"CRÍTICO",IF(OR(AND(P2150&lt;&gt;"",S2150=""),AND(N2150="REALIZADO",M2150="PENDENTE"),AND(ISNUMBER(R2150),R2150=TODAY())),"ATENÇÃO",IF(N(K2150)=0,"PENDENTE","EM ANDAMENTO"))))))</f>
        <v/>
      </c>
      <c r="C2150" s="3">
        <f>IF(D2150="","",IF(V2150=0,"🟢 OK",IF(D2150&lt;corte,"⚪ HISTÓRICO (sem baixa)",IF(AND(ISNUMBER(R2150),R2150&lt;TODAY()),"🔴 PRAZO VENCIDO",IF(AND(OR(N2150="PENDENTE",N2150="PARCIAL"),D2150&lt;TODAY()-1),"🔴 EMBARQUE ATRASADO",IF(AND(N2150="REALIZADO",M2150="PENDENTE"),"🟡 EMBARCADO SEM FATURAR",IF(AND(P2150&lt;&gt;"",S2150="",OR(Q2150="",R2150="")),"🟡 PENDÊNCIA SEM RESPONSÁVEL/PRAZO",IF(AND(ISNUMBER(R2150),R2150=TODAY()),"🟡 VENCE HOJE",IF(AND(P2150&lt;&gt;"",S2150=""),"🟡 PENDÊNCIA ABERTA",IF(AND(N(J2150)&gt;0,N(K2150)&lt;J2150),"🟡 FALTA EXECUTAR",IF(OR(M2150="PENDENTE",M2150="PARCIAL"),"🟡 FATURAMENTO PENDENTE","🟡 EMBARQUE PENDENTE")))))))))))</f>
        <v/>
      </c>
      <c r="D2150" s="4" t="n"/>
      <c r="E2150" s="5" t="n"/>
      <c r="F2150" s="5" t="n"/>
      <c r="G2150" s="5" t="n"/>
      <c r="H2150" s="5" t="n"/>
      <c r="I2150" s="5" t="n"/>
      <c r="J2150" s="6" t="n"/>
      <c r="K2150" s="6" t="n"/>
      <c r="L2150" s="7">
        <f>IF(OR(D2150="",N(J2150)=0),"",MIN(1,N(K2150)/J2150))</f>
        <v/>
      </c>
      <c r="M2150" s="5" t="n"/>
      <c r="N2150" s="5" t="n"/>
      <c r="O2150" s="5" t="n"/>
      <c r="P2150" s="5" t="n"/>
      <c r="Q2150" s="5" t="n"/>
      <c r="R2150" s="4" t="n"/>
      <c r="S2150" s="4" t="n"/>
      <c r="T2150" s="5" t="n"/>
      <c r="U2150" s="8">
        <f>IF(AND(V2150=1,D2150&lt;&gt;""),IF(D2150&gt;=corte,TODAY()-D2150,""),"")</f>
        <v/>
      </c>
      <c r="V2150" s="8">
        <f>IF(D2150="",0,IF(OR(AND(P2150&lt;&gt;"",S2150=""),AND(N(J2150)&gt;0,N(K2150)&lt;J2150),OR(M2150="PENDENTE",M2150="PARCIAL"),OR(N2150="PENDENTE",N2150="PARCIAL")),1,0))</f>
        <v/>
      </c>
      <c r="W2150" s="8">
        <f>IF(AND(V2150=1,D2150&lt;&gt;""),IF(D2150&gt;=corte,(B2150="CRÍTICO")*1E9+(100000-D2150)*10000+10000-ROW(),""),"")</f>
        <v/>
      </c>
      <c r="X2150" s="8">
        <f>IF(AND(V2150=1,D2150=pas_data,E2150=pas_turno),10000-ROW(),"")</f>
        <v/>
      </c>
    </row>
    <row r="2151">
      <c r="A2151" s="3">
        <f>IF(D2151="","","TT-"&amp;TEXT(ROW()-1,"00000"))</f>
        <v/>
      </c>
      <c r="B2151" s="3">
        <f>IF(D2151="","",IF(V2151=0,"CONCLUÍDO",IF(D2151&lt;corte,"HISTÓRICO",IF(OR(AND(ISNUMBER(R2151),R2151&lt;TODAY()),AND(OR(N2151="PENDENTE",N2151="PARCIAL"),D2151&lt;TODAY()-1)),"CRÍTICO",IF(OR(AND(P2151&lt;&gt;"",S2151=""),AND(N2151="REALIZADO",M2151="PENDENTE"),AND(ISNUMBER(R2151),R2151=TODAY())),"ATENÇÃO",IF(N(K2151)=0,"PENDENTE","EM ANDAMENTO"))))))</f>
        <v/>
      </c>
      <c r="C2151" s="3">
        <f>IF(D2151="","",IF(V2151=0,"🟢 OK",IF(D2151&lt;corte,"⚪ HISTÓRICO (sem baixa)",IF(AND(ISNUMBER(R2151),R2151&lt;TODAY()),"🔴 PRAZO VENCIDO",IF(AND(OR(N2151="PENDENTE",N2151="PARCIAL"),D2151&lt;TODAY()-1),"🔴 EMBARQUE ATRASADO",IF(AND(N2151="REALIZADO",M2151="PENDENTE"),"🟡 EMBARCADO SEM FATURAR",IF(AND(P2151&lt;&gt;"",S2151="",OR(Q2151="",R2151="")),"🟡 PENDÊNCIA SEM RESPONSÁVEL/PRAZO",IF(AND(ISNUMBER(R2151),R2151=TODAY()),"🟡 VENCE HOJE",IF(AND(P2151&lt;&gt;"",S2151=""),"🟡 PENDÊNCIA ABERTA",IF(AND(N(J2151)&gt;0,N(K2151)&lt;J2151),"🟡 FALTA EXECUTAR",IF(OR(M2151="PENDENTE",M2151="PARCIAL"),"🟡 FATURAMENTO PENDENTE","🟡 EMBARQUE PENDENTE")))))))))))</f>
        <v/>
      </c>
      <c r="D2151" s="4" t="n"/>
      <c r="E2151" s="5" t="n"/>
      <c r="F2151" s="5" t="n"/>
      <c r="G2151" s="5" t="n"/>
      <c r="H2151" s="5" t="n"/>
      <c r="I2151" s="5" t="n"/>
      <c r="J2151" s="6" t="n"/>
      <c r="K2151" s="6" t="n"/>
      <c r="L2151" s="7">
        <f>IF(OR(D2151="",N(J2151)=0),"",MIN(1,N(K2151)/J2151))</f>
        <v/>
      </c>
      <c r="M2151" s="5" t="n"/>
      <c r="N2151" s="5" t="n"/>
      <c r="O2151" s="5" t="n"/>
      <c r="P2151" s="5" t="n"/>
      <c r="Q2151" s="5" t="n"/>
      <c r="R2151" s="4" t="n"/>
      <c r="S2151" s="4" t="n"/>
      <c r="T2151" s="5" t="n"/>
      <c r="U2151" s="8">
        <f>IF(AND(V2151=1,D2151&lt;&gt;""),IF(D2151&gt;=corte,TODAY()-D2151,""),"")</f>
        <v/>
      </c>
      <c r="V2151" s="8">
        <f>IF(D2151="",0,IF(OR(AND(P2151&lt;&gt;"",S2151=""),AND(N(J2151)&gt;0,N(K2151)&lt;J2151),OR(M2151="PENDENTE",M2151="PARCIAL"),OR(N2151="PENDENTE",N2151="PARCIAL")),1,0))</f>
        <v/>
      </c>
      <c r="W2151" s="8">
        <f>IF(AND(V2151=1,D2151&lt;&gt;""),IF(D2151&gt;=corte,(B2151="CRÍTICO")*1E9+(100000-D2151)*10000+10000-ROW(),""),"")</f>
        <v/>
      </c>
      <c r="X2151" s="8">
        <f>IF(AND(V2151=1,D2151=pas_data,E2151=pas_turno),10000-ROW(),"")</f>
        <v/>
      </c>
    </row>
    <row r="2152">
      <c r="A2152" s="3">
        <f>IF(D2152="","","TT-"&amp;TEXT(ROW()-1,"00000"))</f>
        <v/>
      </c>
      <c r="B2152" s="3">
        <f>IF(D2152="","",IF(V2152=0,"CONCLUÍDO",IF(D2152&lt;corte,"HISTÓRICO",IF(OR(AND(ISNUMBER(R2152),R2152&lt;TODAY()),AND(OR(N2152="PENDENTE",N2152="PARCIAL"),D2152&lt;TODAY()-1)),"CRÍTICO",IF(OR(AND(P2152&lt;&gt;"",S2152=""),AND(N2152="REALIZADO",M2152="PENDENTE"),AND(ISNUMBER(R2152),R2152=TODAY())),"ATENÇÃO",IF(N(K2152)=0,"PENDENTE","EM ANDAMENTO"))))))</f>
        <v/>
      </c>
      <c r="C2152" s="3">
        <f>IF(D2152="","",IF(V2152=0,"🟢 OK",IF(D2152&lt;corte,"⚪ HISTÓRICO (sem baixa)",IF(AND(ISNUMBER(R2152),R2152&lt;TODAY()),"🔴 PRAZO VENCIDO",IF(AND(OR(N2152="PENDENTE",N2152="PARCIAL"),D2152&lt;TODAY()-1),"🔴 EMBARQUE ATRASADO",IF(AND(N2152="REALIZADO",M2152="PENDENTE"),"🟡 EMBARCADO SEM FATURAR",IF(AND(P2152&lt;&gt;"",S2152="",OR(Q2152="",R2152="")),"🟡 PENDÊNCIA SEM RESPONSÁVEL/PRAZO",IF(AND(ISNUMBER(R2152),R2152=TODAY()),"🟡 VENCE HOJE",IF(AND(P2152&lt;&gt;"",S2152=""),"🟡 PENDÊNCIA ABERTA",IF(AND(N(J2152)&gt;0,N(K2152)&lt;J2152),"🟡 FALTA EXECUTAR",IF(OR(M2152="PENDENTE",M2152="PARCIAL"),"🟡 FATURAMENTO PENDENTE","🟡 EMBARQUE PENDENTE")))))))))))</f>
        <v/>
      </c>
      <c r="D2152" s="4" t="n"/>
      <c r="E2152" s="5" t="n"/>
      <c r="F2152" s="5" t="n"/>
      <c r="G2152" s="5" t="n"/>
      <c r="H2152" s="5" t="n"/>
      <c r="I2152" s="5" t="n"/>
      <c r="J2152" s="6" t="n"/>
      <c r="K2152" s="6" t="n"/>
      <c r="L2152" s="7">
        <f>IF(OR(D2152="",N(J2152)=0),"",MIN(1,N(K2152)/J2152))</f>
        <v/>
      </c>
      <c r="M2152" s="5" t="n"/>
      <c r="N2152" s="5" t="n"/>
      <c r="O2152" s="5" t="n"/>
      <c r="P2152" s="5" t="n"/>
      <c r="Q2152" s="5" t="n"/>
      <c r="R2152" s="4" t="n"/>
      <c r="S2152" s="4" t="n"/>
      <c r="T2152" s="5" t="n"/>
      <c r="U2152" s="8">
        <f>IF(AND(V2152=1,D2152&lt;&gt;""),IF(D2152&gt;=corte,TODAY()-D2152,""),"")</f>
        <v/>
      </c>
      <c r="V2152" s="8">
        <f>IF(D2152="",0,IF(OR(AND(P2152&lt;&gt;"",S2152=""),AND(N(J2152)&gt;0,N(K2152)&lt;J2152),OR(M2152="PENDENTE",M2152="PARCIAL"),OR(N2152="PENDENTE",N2152="PARCIAL")),1,0))</f>
        <v/>
      </c>
      <c r="W2152" s="8">
        <f>IF(AND(V2152=1,D2152&lt;&gt;""),IF(D2152&gt;=corte,(B2152="CRÍTICO")*1E9+(100000-D2152)*10000+10000-ROW(),""),"")</f>
        <v/>
      </c>
      <c r="X2152" s="8">
        <f>IF(AND(V2152=1,D2152=pas_data,E2152=pas_turno),10000-ROW(),"")</f>
        <v/>
      </c>
    </row>
    <row r="2153">
      <c r="A2153" s="3">
        <f>IF(D2153="","","TT-"&amp;TEXT(ROW()-1,"00000"))</f>
        <v/>
      </c>
      <c r="B2153" s="3">
        <f>IF(D2153="","",IF(V2153=0,"CONCLUÍDO",IF(D2153&lt;corte,"HISTÓRICO",IF(OR(AND(ISNUMBER(R2153),R2153&lt;TODAY()),AND(OR(N2153="PENDENTE",N2153="PARCIAL"),D2153&lt;TODAY()-1)),"CRÍTICO",IF(OR(AND(P2153&lt;&gt;"",S2153=""),AND(N2153="REALIZADO",M2153="PENDENTE"),AND(ISNUMBER(R2153),R2153=TODAY())),"ATENÇÃO",IF(N(K2153)=0,"PENDENTE","EM ANDAMENTO"))))))</f>
        <v/>
      </c>
      <c r="C2153" s="3">
        <f>IF(D2153="","",IF(V2153=0,"🟢 OK",IF(D2153&lt;corte,"⚪ HISTÓRICO (sem baixa)",IF(AND(ISNUMBER(R2153),R2153&lt;TODAY()),"🔴 PRAZO VENCIDO",IF(AND(OR(N2153="PENDENTE",N2153="PARCIAL"),D2153&lt;TODAY()-1),"🔴 EMBARQUE ATRASADO",IF(AND(N2153="REALIZADO",M2153="PENDENTE"),"🟡 EMBARCADO SEM FATURAR",IF(AND(P2153&lt;&gt;"",S2153="",OR(Q2153="",R2153="")),"🟡 PENDÊNCIA SEM RESPONSÁVEL/PRAZO",IF(AND(ISNUMBER(R2153),R2153=TODAY()),"🟡 VENCE HOJE",IF(AND(P2153&lt;&gt;"",S2153=""),"🟡 PENDÊNCIA ABERTA",IF(AND(N(J2153)&gt;0,N(K2153)&lt;J2153),"🟡 FALTA EXECUTAR",IF(OR(M2153="PENDENTE",M2153="PARCIAL"),"🟡 FATURAMENTO PENDENTE","🟡 EMBARQUE PENDENTE")))))))))))</f>
        <v/>
      </c>
      <c r="D2153" s="4" t="n"/>
      <c r="E2153" s="5" t="n"/>
      <c r="F2153" s="5" t="n"/>
      <c r="G2153" s="5" t="n"/>
      <c r="H2153" s="5" t="n"/>
      <c r="I2153" s="5" t="n"/>
      <c r="J2153" s="6" t="n"/>
      <c r="K2153" s="6" t="n"/>
      <c r="L2153" s="7">
        <f>IF(OR(D2153="",N(J2153)=0),"",MIN(1,N(K2153)/J2153))</f>
        <v/>
      </c>
      <c r="M2153" s="5" t="n"/>
      <c r="N2153" s="5" t="n"/>
      <c r="O2153" s="5" t="n"/>
      <c r="P2153" s="5" t="n"/>
      <c r="Q2153" s="5" t="n"/>
      <c r="R2153" s="4" t="n"/>
      <c r="S2153" s="4" t="n"/>
      <c r="T2153" s="5" t="n"/>
      <c r="U2153" s="8">
        <f>IF(AND(V2153=1,D2153&lt;&gt;""),IF(D2153&gt;=corte,TODAY()-D2153,""),"")</f>
        <v/>
      </c>
      <c r="V2153" s="8">
        <f>IF(D2153="",0,IF(OR(AND(P2153&lt;&gt;"",S2153=""),AND(N(J2153)&gt;0,N(K2153)&lt;J2153),OR(M2153="PENDENTE",M2153="PARCIAL"),OR(N2153="PENDENTE",N2153="PARCIAL")),1,0))</f>
        <v/>
      </c>
      <c r="W2153" s="8">
        <f>IF(AND(V2153=1,D2153&lt;&gt;""),IF(D2153&gt;=corte,(B2153="CRÍTICO")*1E9+(100000-D2153)*10000+10000-ROW(),""),"")</f>
        <v/>
      </c>
      <c r="X2153" s="8">
        <f>IF(AND(V2153=1,D2153=pas_data,E2153=pas_turno),10000-ROW(),"")</f>
        <v/>
      </c>
    </row>
    <row r="2154">
      <c r="A2154" s="3">
        <f>IF(D2154="","","TT-"&amp;TEXT(ROW()-1,"00000"))</f>
        <v/>
      </c>
      <c r="B2154" s="3">
        <f>IF(D2154="","",IF(V2154=0,"CONCLUÍDO",IF(D2154&lt;corte,"HISTÓRICO",IF(OR(AND(ISNUMBER(R2154),R2154&lt;TODAY()),AND(OR(N2154="PENDENTE",N2154="PARCIAL"),D2154&lt;TODAY()-1)),"CRÍTICO",IF(OR(AND(P2154&lt;&gt;"",S2154=""),AND(N2154="REALIZADO",M2154="PENDENTE"),AND(ISNUMBER(R2154),R2154=TODAY())),"ATENÇÃO",IF(N(K2154)=0,"PENDENTE","EM ANDAMENTO"))))))</f>
        <v/>
      </c>
      <c r="C2154" s="3">
        <f>IF(D2154="","",IF(V2154=0,"🟢 OK",IF(D2154&lt;corte,"⚪ HISTÓRICO (sem baixa)",IF(AND(ISNUMBER(R2154),R2154&lt;TODAY()),"🔴 PRAZO VENCIDO",IF(AND(OR(N2154="PENDENTE",N2154="PARCIAL"),D2154&lt;TODAY()-1),"🔴 EMBARQUE ATRASADO",IF(AND(N2154="REALIZADO",M2154="PENDENTE"),"🟡 EMBARCADO SEM FATURAR",IF(AND(P2154&lt;&gt;"",S2154="",OR(Q2154="",R2154="")),"🟡 PENDÊNCIA SEM RESPONSÁVEL/PRAZO",IF(AND(ISNUMBER(R2154),R2154=TODAY()),"🟡 VENCE HOJE",IF(AND(P2154&lt;&gt;"",S2154=""),"🟡 PENDÊNCIA ABERTA",IF(AND(N(J2154)&gt;0,N(K2154)&lt;J2154),"🟡 FALTA EXECUTAR",IF(OR(M2154="PENDENTE",M2154="PARCIAL"),"🟡 FATURAMENTO PENDENTE","🟡 EMBARQUE PENDENTE")))))))))))</f>
        <v/>
      </c>
      <c r="D2154" s="4" t="n"/>
      <c r="E2154" s="5" t="n"/>
      <c r="F2154" s="5" t="n"/>
      <c r="G2154" s="5" t="n"/>
      <c r="H2154" s="5" t="n"/>
      <c r="I2154" s="5" t="n"/>
      <c r="J2154" s="6" t="n"/>
      <c r="K2154" s="6" t="n"/>
      <c r="L2154" s="7">
        <f>IF(OR(D2154="",N(J2154)=0),"",MIN(1,N(K2154)/J2154))</f>
        <v/>
      </c>
      <c r="M2154" s="5" t="n"/>
      <c r="N2154" s="5" t="n"/>
      <c r="O2154" s="5" t="n"/>
      <c r="P2154" s="5" t="n"/>
      <c r="Q2154" s="5" t="n"/>
      <c r="R2154" s="4" t="n"/>
      <c r="S2154" s="4" t="n"/>
      <c r="T2154" s="5" t="n"/>
      <c r="U2154" s="8">
        <f>IF(AND(V2154=1,D2154&lt;&gt;""),IF(D2154&gt;=corte,TODAY()-D2154,""),"")</f>
        <v/>
      </c>
      <c r="V2154" s="8">
        <f>IF(D2154="",0,IF(OR(AND(P2154&lt;&gt;"",S2154=""),AND(N(J2154)&gt;0,N(K2154)&lt;J2154),OR(M2154="PENDENTE",M2154="PARCIAL"),OR(N2154="PENDENTE",N2154="PARCIAL")),1,0))</f>
        <v/>
      </c>
      <c r="W2154" s="8">
        <f>IF(AND(V2154=1,D2154&lt;&gt;""),IF(D2154&gt;=corte,(B2154="CRÍTICO")*1E9+(100000-D2154)*10000+10000-ROW(),""),"")</f>
        <v/>
      </c>
      <c r="X2154" s="8">
        <f>IF(AND(V2154=1,D2154=pas_data,E2154=pas_turno),10000-ROW(),"")</f>
        <v/>
      </c>
    </row>
    <row r="2155">
      <c r="A2155" s="3">
        <f>IF(D2155="","","TT-"&amp;TEXT(ROW()-1,"00000"))</f>
        <v/>
      </c>
      <c r="B2155" s="3">
        <f>IF(D2155="","",IF(V2155=0,"CONCLUÍDO",IF(D2155&lt;corte,"HISTÓRICO",IF(OR(AND(ISNUMBER(R2155),R2155&lt;TODAY()),AND(OR(N2155="PENDENTE",N2155="PARCIAL"),D2155&lt;TODAY()-1)),"CRÍTICO",IF(OR(AND(P2155&lt;&gt;"",S2155=""),AND(N2155="REALIZADO",M2155="PENDENTE"),AND(ISNUMBER(R2155),R2155=TODAY())),"ATENÇÃO",IF(N(K2155)=0,"PENDENTE","EM ANDAMENTO"))))))</f>
        <v/>
      </c>
      <c r="C2155" s="3">
        <f>IF(D2155="","",IF(V2155=0,"🟢 OK",IF(D2155&lt;corte,"⚪ HISTÓRICO (sem baixa)",IF(AND(ISNUMBER(R2155),R2155&lt;TODAY()),"🔴 PRAZO VENCIDO",IF(AND(OR(N2155="PENDENTE",N2155="PARCIAL"),D2155&lt;TODAY()-1),"🔴 EMBARQUE ATRASADO",IF(AND(N2155="REALIZADO",M2155="PENDENTE"),"🟡 EMBARCADO SEM FATURAR",IF(AND(P2155&lt;&gt;"",S2155="",OR(Q2155="",R2155="")),"🟡 PENDÊNCIA SEM RESPONSÁVEL/PRAZO",IF(AND(ISNUMBER(R2155),R2155=TODAY()),"🟡 VENCE HOJE",IF(AND(P2155&lt;&gt;"",S2155=""),"🟡 PENDÊNCIA ABERTA",IF(AND(N(J2155)&gt;0,N(K2155)&lt;J2155),"🟡 FALTA EXECUTAR",IF(OR(M2155="PENDENTE",M2155="PARCIAL"),"🟡 FATURAMENTO PENDENTE","🟡 EMBARQUE PENDENTE")))))))))))</f>
        <v/>
      </c>
      <c r="D2155" s="4" t="n"/>
      <c r="E2155" s="5" t="n"/>
      <c r="F2155" s="5" t="n"/>
      <c r="G2155" s="5" t="n"/>
      <c r="H2155" s="5" t="n"/>
      <c r="I2155" s="5" t="n"/>
      <c r="J2155" s="6" t="n"/>
      <c r="K2155" s="6" t="n"/>
      <c r="L2155" s="7">
        <f>IF(OR(D2155="",N(J2155)=0),"",MIN(1,N(K2155)/J2155))</f>
        <v/>
      </c>
      <c r="M2155" s="5" t="n"/>
      <c r="N2155" s="5" t="n"/>
      <c r="O2155" s="5" t="n"/>
      <c r="P2155" s="5" t="n"/>
      <c r="Q2155" s="5" t="n"/>
      <c r="R2155" s="4" t="n"/>
      <c r="S2155" s="4" t="n"/>
      <c r="T2155" s="5" t="n"/>
      <c r="U2155" s="8">
        <f>IF(AND(V2155=1,D2155&lt;&gt;""),IF(D2155&gt;=corte,TODAY()-D2155,""),"")</f>
        <v/>
      </c>
      <c r="V2155" s="8">
        <f>IF(D2155="",0,IF(OR(AND(P2155&lt;&gt;"",S2155=""),AND(N(J2155)&gt;0,N(K2155)&lt;J2155),OR(M2155="PENDENTE",M2155="PARCIAL"),OR(N2155="PENDENTE",N2155="PARCIAL")),1,0))</f>
        <v/>
      </c>
      <c r="W2155" s="8">
        <f>IF(AND(V2155=1,D2155&lt;&gt;""),IF(D2155&gt;=corte,(B2155="CRÍTICO")*1E9+(100000-D2155)*10000+10000-ROW(),""),"")</f>
        <v/>
      </c>
      <c r="X2155" s="8">
        <f>IF(AND(V2155=1,D2155=pas_data,E2155=pas_turno),10000-ROW(),"")</f>
        <v/>
      </c>
    </row>
    <row r="2156">
      <c r="A2156" s="3">
        <f>IF(D2156="","","TT-"&amp;TEXT(ROW()-1,"00000"))</f>
        <v/>
      </c>
      <c r="B2156" s="3">
        <f>IF(D2156="","",IF(V2156=0,"CONCLUÍDO",IF(D2156&lt;corte,"HISTÓRICO",IF(OR(AND(ISNUMBER(R2156),R2156&lt;TODAY()),AND(OR(N2156="PENDENTE",N2156="PARCIAL"),D2156&lt;TODAY()-1)),"CRÍTICO",IF(OR(AND(P2156&lt;&gt;"",S2156=""),AND(N2156="REALIZADO",M2156="PENDENTE"),AND(ISNUMBER(R2156),R2156=TODAY())),"ATENÇÃO",IF(N(K2156)=0,"PENDENTE","EM ANDAMENTO"))))))</f>
        <v/>
      </c>
      <c r="C2156" s="3">
        <f>IF(D2156="","",IF(V2156=0,"🟢 OK",IF(D2156&lt;corte,"⚪ HISTÓRICO (sem baixa)",IF(AND(ISNUMBER(R2156),R2156&lt;TODAY()),"🔴 PRAZO VENCIDO",IF(AND(OR(N2156="PENDENTE",N2156="PARCIAL"),D2156&lt;TODAY()-1),"🔴 EMBARQUE ATRASADO",IF(AND(N2156="REALIZADO",M2156="PENDENTE"),"🟡 EMBARCADO SEM FATURAR",IF(AND(P2156&lt;&gt;"",S2156="",OR(Q2156="",R2156="")),"🟡 PENDÊNCIA SEM RESPONSÁVEL/PRAZO",IF(AND(ISNUMBER(R2156),R2156=TODAY()),"🟡 VENCE HOJE",IF(AND(P2156&lt;&gt;"",S2156=""),"🟡 PENDÊNCIA ABERTA",IF(AND(N(J2156)&gt;0,N(K2156)&lt;J2156),"🟡 FALTA EXECUTAR",IF(OR(M2156="PENDENTE",M2156="PARCIAL"),"🟡 FATURAMENTO PENDENTE","🟡 EMBARQUE PENDENTE")))))))))))</f>
        <v/>
      </c>
      <c r="D2156" s="4" t="n"/>
      <c r="E2156" s="5" t="n"/>
      <c r="F2156" s="5" t="n"/>
      <c r="G2156" s="5" t="n"/>
      <c r="H2156" s="5" t="n"/>
      <c r="I2156" s="5" t="n"/>
      <c r="J2156" s="6" t="n"/>
      <c r="K2156" s="6" t="n"/>
      <c r="L2156" s="7">
        <f>IF(OR(D2156="",N(J2156)=0),"",MIN(1,N(K2156)/J2156))</f>
        <v/>
      </c>
      <c r="M2156" s="5" t="n"/>
      <c r="N2156" s="5" t="n"/>
      <c r="O2156" s="5" t="n"/>
      <c r="P2156" s="5" t="n"/>
      <c r="Q2156" s="5" t="n"/>
      <c r="R2156" s="4" t="n"/>
      <c r="S2156" s="4" t="n"/>
      <c r="T2156" s="5" t="n"/>
      <c r="U2156" s="8">
        <f>IF(AND(V2156=1,D2156&lt;&gt;""),IF(D2156&gt;=corte,TODAY()-D2156,""),"")</f>
        <v/>
      </c>
      <c r="V2156" s="8">
        <f>IF(D2156="",0,IF(OR(AND(P2156&lt;&gt;"",S2156=""),AND(N(J2156)&gt;0,N(K2156)&lt;J2156),OR(M2156="PENDENTE",M2156="PARCIAL"),OR(N2156="PENDENTE",N2156="PARCIAL")),1,0))</f>
        <v/>
      </c>
      <c r="W2156" s="8">
        <f>IF(AND(V2156=1,D2156&lt;&gt;""),IF(D2156&gt;=corte,(B2156="CRÍTICO")*1E9+(100000-D2156)*10000+10000-ROW(),""),"")</f>
        <v/>
      </c>
      <c r="X2156" s="8">
        <f>IF(AND(V2156=1,D2156=pas_data,E2156=pas_turno),10000-ROW(),"")</f>
        <v/>
      </c>
    </row>
    <row r="2157">
      <c r="A2157" s="3">
        <f>IF(D2157="","","TT-"&amp;TEXT(ROW()-1,"00000"))</f>
        <v/>
      </c>
      <c r="B2157" s="3">
        <f>IF(D2157="","",IF(V2157=0,"CONCLUÍDO",IF(D2157&lt;corte,"HISTÓRICO",IF(OR(AND(ISNUMBER(R2157),R2157&lt;TODAY()),AND(OR(N2157="PENDENTE",N2157="PARCIAL"),D2157&lt;TODAY()-1)),"CRÍTICO",IF(OR(AND(P2157&lt;&gt;"",S2157=""),AND(N2157="REALIZADO",M2157="PENDENTE"),AND(ISNUMBER(R2157),R2157=TODAY())),"ATENÇÃO",IF(N(K2157)=0,"PENDENTE","EM ANDAMENTO"))))))</f>
        <v/>
      </c>
      <c r="C2157" s="3">
        <f>IF(D2157="","",IF(V2157=0,"🟢 OK",IF(D2157&lt;corte,"⚪ HISTÓRICO (sem baixa)",IF(AND(ISNUMBER(R2157),R2157&lt;TODAY()),"🔴 PRAZO VENCIDO",IF(AND(OR(N2157="PENDENTE",N2157="PARCIAL"),D2157&lt;TODAY()-1),"🔴 EMBARQUE ATRASADO",IF(AND(N2157="REALIZADO",M2157="PENDENTE"),"🟡 EMBARCADO SEM FATURAR",IF(AND(P2157&lt;&gt;"",S2157="",OR(Q2157="",R2157="")),"🟡 PENDÊNCIA SEM RESPONSÁVEL/PRAZO",IF(AND(ISNUMBER(R2157),R2157=TODAY()),"🟡 VENCE HOJE",IF(AND(P2157&lt;&gt;"",S2157=""),"🟡 PENDÊNCIA ABERTA",IF(AND(N(J2157)&gt;0,N(K2157)&lt;J2157),"🟡 FALTA EXECUTAR",IF(OR(M2157="PENDENTE",M2157="PARCIAL"),"🟡 FATURAMENTO PENDENTE","🟡 EMBARQUE PENDENTE")))))))))))</f>
        <v/>
      </c>
      <c r="D2157" s="4" t="n"/>
      <c r="E2157" s="5" t="n"/>
      <c r="F2157" s="5" t="n"/>
      <c r="G2157" s="5" t="n"/>
      <c r="H2157" s="5" t="n"/>
      <c r="I2157" s="5" t="n"/>
      <c r="J2157" s="6" t="n"/>
      <c r="K2157" s="6" t="n"/>
      <c r="L2157" s="7">
        <f>IF(OR(D2157="",N(J2157)=0),"",MIN(1,N(K2157)/J2157))</f>
        <v/>
      </c>
      <c r="M2157" s="5" t="n"/>
      <c r="N2157" s="5" t="n"/>
      <c r="O2157" s="5" t="n"/>
      <c r="P2157" s="5" t="n"/>
      <c r="Q2157" s="5" t="n"/>
      <c r="R2157" s="4" t="n"/>
      <c r="S2157" s="4" t="n"/>
      <c r="T2157" s="5" t="n"/>
      <c r="U2157" s="8">
        <f>IF(AND(V2157=1,D2157&lt;&gt;""),IF(D2157&gt;=corte,TODAY()-D2157,""),"")</f>
        <v/>
      </c>
      <c r="V2157" s="8">
        <f>IF(D2157="",0,IF(OR(AND(P2157&lt;&gt;"",S2157=""),AND(N(J2157)&gt;0,N(K2157)&lt;J2157),OR(M2157="PENDENTE",M2157="PARCIAL"),OR(N2157="PENDENTE",N2157="PARCIAL")),1,0))</f>
        <v/>
      </c>
      <c r="W2157" s="8">
        <f>IF(AND(V2157=1,D2157&lt;&gt;""),IF(D2157&gt;=corte,(B2157="CRÍTICO")*1E9+(100000-D2157)*10000+10000-ROW(),""),"")</f>
        <v/>
      </c>
      <c r="X2157" s="8">
        <f>IF(AND(V2157=1,D2157=pas_data,E2157=pas_turno),10000-ROW(),"")</f>
        <v/>
      </c>
    </row>
    <row r="2158">
      <c r="A2158" s="3">
        <f>IF(D2158="","","TT-"&amp;TEXT(ROW()-1,"00000"))</f>
        <v/>
      </c>
      <c r="B2158" s="3">
        <f>IF(D2158="","",IF(V2158=0,"CONCLUÍDO",IF(D2158&lt;corte,"HISTÓRICO",IF(OR(AND(ISNUMBER(R2158),R2158&lt;TODAY()),AND(OR(N2158="PENDENTE",N2158="PARCIAL"),D2158&lt;TODAY()-1)),"CRÍTICO",IF(OR(AND(P2158&lt;&gt;"",S2158=""),AND(N2158="REALIZADO",M2158="PENDENTE"),AND(ISNUMBER(R2158),R2158=TODAY())),"ATENÇÃO",IF(N(K2158)=0,"PENDENTE","EM ANDAMENTO"))))))</f>
        <v/>
      </c>
      <c r="C2158" s="3">
        <f>IF(D2158="","",IF(V2158=0,"🟢 OK",IF(D2158&lt;corte,"⚪ HISTÓRICO (sem baixa)",IF(AND(ISNUMBER(R2158),R2158&lt;TODAY()),"🔴 PRAZO VENCIDO",IF(AND(OR(N2158="PENDENTE",N2158="PARCIAL"),D2158&lt;TODAY()-1),"🔴 EMBARQUE ATRASADO",IF(AND(N2158="REALIZADO",M2158="PENDENTE"),"🟡 EMBARCADO SEM FATURAR",IF(AND(P2158&lt;&gt;"",S2158="",OR(Q2158="",R2158="")),"🟡 PENDÊNCIA SEM RESPONSÁVEL/PRAZO",IF(AND(ISNUMBER(R2158),R2158=TODAY()),"🟡 VENCE HOJE",IF(AND(P2158&lt;&gt;"",S2158=""),"🟡 PENDÊNCIA ABERTA",IF(AND(N(J2158)&gt;0,N(K2158)&lt;J2158),"🟡 FALTA EXECUTAR",IF(OR(M2158="PENDENTE",M2158="PARCIAL"),"🟡 FATURAMENTO PENDENTE","🟡 EMBARQUE PENDENTE")))))))))))</f>
        <v/>
      </c>
      <c r="D2158" s="4" t="n"/>
      <c r="E2158" s="5" t="n"/>
      <c r="F2158" s="5" t="n"/>
      <c r="G2158" s="5" t="n"/>
      <c r="H2158" s="5" t="n"/>
      <c r="I2158" s="5" t="n"/>
      <c r="J2158" s="6" t="n"/>
      <c r="K2158" s="6" t="n"/>
      <c r="L2158" s="7">
        <f>IF(OR(D2158="",N(J2158)=0),"",MIN(1,N(K2158)/J2158))</f>
        <v/>
      </c>
      <c r="M2158" s="5" t="n"/>
      <c r="N2158" s="5" t="n"/>
      <c r="O2158" s="5" t="n"/>
      <c r="P2158" s="5" t="n"/>
      <c r="Q2158" s="5" t="n"/>
      <c r="R2158" s="4" t="n"/>
      <c r="S2158" s="4" t="n"/>
      <c r="T2158" s="5" t="n"/>
      <c r="U2158" s="8">
        <f>IF(AND(V2158=1,D2158&lt;&gt;""),IF(D2158&gt;=corte,TODAY()-D2158,""),"")</f>
        <v/>
      </c>
      <c r="V2158" s="8">
        <f>IF(D2158="",0,IF(OR(AND(P2158&lt;&gt;"",S2158=""),AND(N(J2158)&gt;0,N(K2158)&lt;J2158),OR(M2158="PENDENTE",M2158="PARCIAL"),OR(N2158="PENDENTE",N2158="PARCIAL")),1,0))</f>
        <v/>
      </c>
      <c r="W2158" s="8">
        <f>IF(AND(V2158=1,D2158&lt;&gt;""),IF(D2158&gt;=corte,(B2158="CRÍTICO")*1E9+(100000-D2158)*10000+10000-ROW(),""),"")</f>
        <v/>
      </c>
      <c r="X2158" s="8">
        <f>IF(AND(V2158=1,D2158=pas_data,E2158=pas_turno),10000-ROW(),"")</f>
        <v/>
      </c>
    </row>
    <row r="2159">
      <c r="A2159" s="3">
        <f>IF(D2159="","","TT-"&amp;TEXT(ROW()-1,"00000"))</f>
        <v/>
      </c>
      <c r="B2159" s="3">
        <f>IF(D2159="","",IF(V2159=0,"CONCLUÍDO",IF(D2159&lt;corte,"HISTÓRICO",IF(OR(AND(ISNUMBER(R2159),R2159&lt;TODAY()),AND(OR(N2159="PENDENTE",N2159="PARCIAL"),D2159&lt;TODAY()-1)),"CRÍTICO",IF(OR(AND(P2159&lt;&gt;"",S2159=""),AND(N2159="REALIZADO",M2159="PENDENTE"),AND(ISNUMBER(R2159),R2159=TODAY())),"ATENÇÃO",IF(N(K2159)=0,"PENDENTE","EM ANDAMENTO"))))))</f>
        <v/>
      </c>
      <c r="C2159" s="3">
        <f>IF(D2159="","",IF(V2159=0,"🟢 OK",IF(D2159&lt;corte,"⚪ HISTÓRICO (sem baixa)",IF(AND(ISNUMBER(R2159),R2159&lt;TODAY()),"🔴 PRAZO VENCIDO",IF(AND(OR(N2159="PENDENTE",N2159="PARCIAL"),D2159&lt;TODAY()-1),"🔴 EMBARQUE ATRASADO",IF(AND(N2159="REALIZADO",M2159="PENDENTE"),"🟡 EMBARCADO SEM FATURAR",IF(AND(P2159&lt;&gt;"",S2159="",OR(Q2159="",R2159="")),"🟡 PENDÊNCIA SEM RESPONSÁVEL/PRAZO",IF(AND(ISNUMBER(R2159),R2159=TODAY()),"🟡 VENCE HOJE",IF(AND(P2159&lt;&gt;"",S2159=""),"🟡 PENDÊNCIA ABERTA",IF(AND(N(J2159)&gt;0,N(K2159)&lt;J2159),"🟡 FALTA EXECUTAR",IF(OR(M2159="PENDENTE",M2159="PARCIAL"),"🟡 FATURAMENTO PENDENTE","🟡 EMBARQUE PENDENTE")))))))))))</f>
        <v/>
      </c>
      <c r="D2159" s="4" t="n"/>
      <c r="E2159" s="5" t="n"/>
      <c r="F2159" s="5" t="n"/>
      <c r="G2159" s="5" t="n"/>
      <c r="H2159" s="5" t="n"/>
      <c r="I2159" s="5" t="n"/>
      <c r="J2159" s="6" t="n"/>
      <c r="K2159" s="6" t="n"/>
      <c r="L2159" s="7">
        <f>IF(OR(D2159="",N(J2159)=0),"",MIN(1,N(K2159)/J2159))</f>
        <v/>
      </c>
      <c r="M2159" s="5" t="n"/>
      <c r="N2159" s="5" t="n"/>
      <c r="O2159" s="5" t="n"/>
      <c r="P2159" s="5" t="n"/>
      <c r="Q2159" s="5" t="n"/>
      <c r="R2159" s="4" t="n"/>
      <c r="S2159" s="4" t="n"/>
      <c r="T2159" s="5" t="n"/>
      <c r="U2159" s="8">
        <f>IF(AND(V2159=1,D2159&lt;&gt;""),IF(D2159&gt;=corte,TODAY()-D2159,""),"")</f>
        <v/>
      </c>
      <c r="V2159" s="8">
        <f>IF(D2159="",0,IF(OR(AND(P2159&lt;&gt;"",S2159=""),AND(N(J2159)&gt;0,N(K2159)&lt;J2159),OR(M2159="PENDENTE",M2159="PARCIAL"),OR(N2159="PENDENTE",N2159="PARCIAL")),1,0))</f>
        <v/>
      </c>
      <c r="W2159" s="8">
        <f>IF(AND(V2159=1,D2159&lt;&gt;""),IF(D2159&gt;=corte,(B2159="CRÍTICO")*1E9+(100000-D2159)*10000+10000-ROW(),""),"")</f>
        <v/>
      </c>
      <c r="X2159" s="8">
        <f>IF(AND(V2159=1,D2159=pas_data,E2159=pas_turno),10000-ROW(),"")</f>
        <v/>
      </c>
    </row>
    <row r="2160">
      <c r="A2160" s="3">
        <f>IF(D2160="","","TT-"&amp;TEXT(ROW()-1,"00000"))</f>
        <v/>
      </c>
      <c r="B2160" s="3">
        <f>IF(D2160="","",IF(V2160=0,"CONCLUÍDO",IF(D2160&lt;corte,"HISTÓRICO",IF(OR(AND(ISNUMBER(R2160),R2160&lt;TODAY()),AND(OR(N2160="PENDENTE",N2160="PARCIAL"),D2160&lt;TODAY()-1)),"CRÍTICO",IF(OR(AND(P2160&lt;&gt;"",S2160=""),AND(N2160="REALIZADO",M2160="PENDENTE"),AND(ISNUMBER(R2160),R2160=TODAY())),"ATENÇÃO",IF(N(K2160)=0,"PENDENTE","EM ANDAMENTO"))))))</f>
        <v/>
      </c>
      <c r="C2160" s="3">
        <f>IF(D2160="","",IF(V2160=0,"🟢 OK",IF(D2160&lt;corte,"⚪ HISTÓRICO (sem baixa)",IF(AND(ISNUMBER(R2160),R2160&lt;TODAY()),"🔴 PRAZO VENCIDO",IF(AND(OR(N2160="PENDENTE",N2160="PARCIAL"),D2160&lt;TODAY()-1),"🔴 EMBARQUE ATRASADO",IF(AND(N2160="REALIZADO",M2160="PENDENTE"),"🟡 EMBARCADO SEM FATURAR",IF(AND(P2160&lt;&gt;"",S2160="",OR(Q2160="",R2160="")),"🟡 PENDÊNCIA SEM RESPONSÁVEL/PRAZO",IF(AND(ISNUMBER(R2160),R2160=TODAY()),"🟡 VENCE HOJE",IF(AND(P2160&lt;&gt;"",S2160=""),"🟡 PENDÊNCIA ABERTA",IF(AND(N(J2160)&gt;0,N(K2160)&lt;J2160),"🟡 FALTA EXECUTAR",IF(OR(M2160="PENDENTE",M2160="PARCIAL"),"🟡 FATURAMENTO PENDENTE","🟡 EMBARQUE PENDENTE")))))))))))</f>
        <v/>
      </c>
      <c r="D2160" s="4" t="n"/>
      <c r="E2160" s="5" t="n"/>
      <c r="F2160" s="5" t="n"/>
      <c r="G2160" s="5" t="n"/>
      <c r="H2160" s="5" t="n"/>
      <c r="I2160" s="5" t="n"/>
      <c r="J2160" s="6" t="n"/>
      <c r="K2160" s="6" t="n"/>
      <c r="L2160" s="7">
        <f>IF(OR(D2160="",N(J2160)=0),"",MIN(1,N(K2160)/J2160))</f>
        <v/>
      </c>
      <c r="M2160" s="5" t="n"/>
      <c r="N2160" s="5" t="n"/>
      <c r="O2160" s="5" t="n"/>
      <c r="P2160" s="5" t="n"/>
      <c r="Q2160" s="5" t="n"/>
      <c r="R2160" s="4" t="n"/>
      <c r="S2160" s="4" t="n"/>
      <c r="T2160" s="5" t="n"/>
      <c r="U2160" s="8">
        <f>IF(AND(V2160=1,D2160&lt;&gt;""),IF(D2160&gt;=corte,TODAY()-D2160,""),"")</f>
        <v/>
      </c>
      <c r="V2160" s="8">
        <f>IF(D2160="",0,IF(OR(AND(P2160&lt;&gt;"",S2160=""),AND(N(J2160)&gt;0,N(K2160)&lt;J2160),OR(M2160="PENDENTE",M2160="PARCIAL"),OR(N2160="PENDENTE",N2160="PARCIAL")),1,0))</f>
        <v/>
      </c>
      <c r="W2160" s="8">
        <f>IF(AND(V2160=1,D2160&lt;&gt;""),IF(D2160&gt;=corte,(B2160="CRÍTICO")*1E9+(100000-D2160)*10000+10000-ROW(),""),"")</f>
        <v/>
      </c>
      <c r="X2160" s="8">
        <f>IF(AND(V2160=1,D2160=pas_data,E2160=pas_turno),10000-ROW(),"")</f>
        <v/>
      </c>
    </row>
    <row r="2161">
      <c r="A2161" s="3">
        <f>IF(D2161="","","TT-"&amp;TEXT(ROW()-1,"00000"))</f>
        <v/>
      </c>
      <c r="B2161" s="3">
        <f>IF(D2161="","",IF(V2161=0,"CONCLUÍDO",IF(D2161&lt;corte,"HISTÓRICO",IF(OR(AND(ISNUMBER(R2161),R2161&lt;TODAY()),AND(OR(N2161="PENDENTE",N2161="PARCIAL"),D2161&lt;TODAY()-1)),"CRÍTICO",IF(OR(AND(P2161&lt;&gt;"",S2161=""),AND(N2161="REALIZADO",M2161="PENDENTE"),AND(ISNUMBER(R2161),R2161=TODAY())),"ATENÇÃO",IF(N(K2161)=0,"PENDENTE","EM ANDAMENTO"))))))</f>
        <v/>
      </c>
      <c r="C2161" s="3">
        <f>IF(D2161="","",IF(V2161=0,"🟢 OK",IF(D2161&lt;corte,"⚪ HISTÓRICO (sem baixa)",IF(AND(ISNUMBER(R2161),R2161&lt;TODAY()),"🔴 PRAZO VENCIDO",IF(AND(OR(N2161="PENDENTE",N2161="PARCIAL"),D2161&lt;TODAY()-1),"🔴 EMBARQUE ATRASADO",IF(AND(N2161="REALIZADO",M2161="PENDENTE"),"🟡 EMBARCADO SEM FATURAR",IF(AND(P2161&lt;&gt;"",S2161="",OR(Q2161="",R2161="")),"🟡 PENDÊNCIA SEM RESPONSÁVEL/PRAZO",IF(AND(ISNUMBER(R2161),R2161=TODAY()),"🟡 VENCE HOJE",IF(AND(P2161&lt;&gt;"",S2161=""),"🟡 PENDÊNCIA ABERTA",IF(AND(N(J2161)&gt;0,N(K2161)&lt;J2161),"🟡 FALTA EXECUTAR",IF(OR(M2161="PENDENTE",M2161="PARCIAL"),"🟡 FATURAMENTO PENDENTE","🟡 EMBARQUE PENDENTE")))))))))))</f>
        <v/>
      </c>
      <c r="D2161" s="4" t="n"/>
      <c r="E2161" s="5" t="n"/>
      <c r="F2161" s="5" t="n"/>
      <c r="G2161" s="5" t="n"/>
      <c r="H2161" s="5" t="n"/>
      <c r="I2161" s="5" t="n"/>
      <c r="J2161" s="6" t="n"/>
      <c r="K2161" s="6" t="n"/>
      <c r="L2161" s="7">
        <f>IF(OR(D2161="",N(J2161)=0),"",MIN(1,N(K2161)/J2161))</f>
        <v/>
      </c>
      <c r="M2161" s="5" t="n"/>
      <c r="N2161" s="5" t="n"/>
      <c r="O2161" s="5" t="n"/>
      <c r="P2161" s="5" t="n"/>
      <c r="Q2161" s="5" t="n"/>
      <c r="R2161" s="4" t="n"/>
      <c r="S2161" s="4" t="n"/>
      <c r="T2161" s="5" t="n"/>
      <c r="U2161" s="8">
        <f>IF(AND(V2161=1,D2161&lt;&gt;""),IF(D2161&gt;=corte,TODAY()-D2161,""),"")</f>
        <v/>
      </c>
      <c r="V2161" s="8">
        <f>IF(D2161="",0,IF(OR(AND(P2161&lt;&gt;"",S2161=""),AND(N(J2161)&gt;0,N(K2161)&lt;J2161),OR(M2161="PENDENTE",M2161="PARCIAL"),OR(N2161="PENDENTE",N2161="PARCIAL")),1,0))</f>
        <v/>
      </c>
      <c r="W2161" s="8">
        <f>IF(AND(V2161=1,D2161&lt;&gt;""),IF(D2161&gt;=corte,(B2161="CRÍTICO")*1E9+(100000-D2161)*10000+10000-ROW(),""),"")</f>
        <v/>
      </c>
      <c r="X2161" s="8">
        <f>IF(AND(V2161=1,D2161=pas_data,E2161=pas_turno),10000-ROW(),"")</f>
        <v/>
      </c>
    </row>
    <row r="2162">
      <c r="A2162" s="3">
        <f>IF(D2162="","","TT-"&amp;TEXT(ROW()-1,"00000"))</f>
        <v/>
      </c>
      <c r="B2162" s="3">
        <f>IF(D2162="","",IF(V2162=0,"CONCLUÍDO",IF(D2162&lt;corte,"HISTÓRICO",IF(OR(AND(ISNUMBER(R2162),R2162&lt;TODAY()),AND(OR(N2162="PENDENTE",N2162="PARCIAL"),D2162&lt;TODAY()-1)),"CRÍTICO",IF(OR(AND(P2162&lt;&gt;"",S2162=""),AND(N2162="REALIZADO",M2162="PENDENTE"),AND(ISNUMBER(R2162),R2162=TODAY())),"ATENÇÃO",IF(N(K2162)=0,"PENDENTE","EM ANDAMENTO"))))))</f>
        <v/>
      </c>
      <c r="C2162" s="3">
        <f>IF(D2162="","",IF(V2162=0,"🟢 OK",IF(D2162&lt;corte,"⚪ HISTÓRICO (sem baixa)",IF(AND(ISNUMBER(R2162),R2162&lt;TODAY()),"🔴 PRAZO VENCIDO",IF(AND(OR(N2162="PENDENTE",N2162="PARCIAL"),D2162&lt;TODAY()-1),"🔴 EMBARQUE ATRASADO",IF(AND(N2162="REALIZADO",M2162="PENDENTE"),"🟡 EMBARCADO SEM FATURAR",IF(AND(P2162&lt;&gt;"",S2162="",OR(Q2162="",R2162="")),"🟡 PENDÊNCIA SEM RESPONSÁVEL/PRAZO",IF(AND(ISNUMBER(R2162),R2162=TODAY()),"🟡 VENCE HOJE",IF(AND(P2162&lt;&gt;"",S2162=""),"🟡 PENDÊNCIA ABERTA",IF(AND(N(J2162)&gt;0,N(K2162)&lt;J2162),"🟡 FALTA EXECUTAR",IF(OR(M2162="PENDENTE",M2162="PARCIAL"),"🟡 FATURAMENTO PENDENTE","🟡 EMBARQUE PENDENTE")))))))))))</f>
        <v/>
      </c>
      <c r="D2162" s="4" t="n"/>
      <c r="E2162" s="5" t="n"/>
      <c r="F2162" s="5" t="n"/>
      <c r="G2162" s="5" t="n"/>
      <c r="H2162" s="5" t="n"/>
      <c r="I2162" s="5" t="n"/>
      <c r="J2162" s="6" t="n"/>
      <c r="K2162" s="6" t="n"/>
      <c r="L2162" s="7">
        <f>IF(OR(D2162="",N(J2162)=0),"",MIN(1,N(K2162)/J2162))</f>
        <v/>
      </c>
      <c r="M2162" s="5" t="n"/>
      <c r="N2162" s="5" t="n"/>
      <c r="O2162" s="5" t="n"/>
      <c r="P2162" s="5" t="n"/>
      <c r="Q2162" s="5" t="n"/>
      <c r="R2162" s="4" t="n"/>
      <c r="S2162" s="4" t="n"/>
      <c r="T2162" s="5" t="n"/>
      <c r="U2162" s="8">
        <f>IF(AND(V2162=1,D2162&lt;&gt;""),IF(D2162&gt;=corte,TODAY()-D2162,""),"")</f>
        <v/>
      </c>
      <c r="V2162" s="8">
        <f>IF(D2162="",0,IF(OR(AND(P2162&lt;&gt;"",S2162=""),AND(N(J2162)&gt;0,N(K2162)&lt;J2162),OR(M2162="PENDENTE",M2162="PARCIAL"),OR(N2162="PENDENTE",N2162="PARCIAL")),1,0))</f>
        <v/>
      </c>
      <c r="W2162" s="8">
        <f>IF(AND(V2162=1,D2162&lt;&gt;""),IF(D2162&gt;=corte,(B2162="CRÍTICO")*1E9+(100000-D2162)*10000+10000-ROW(),""),"")</f>
        <v/>
      </c>
      <c r="X2162" s="8">
        <f>IF(AND(V2162=1,D2162=pas_data,E2162=pas_turno),10000-ROW(),"")</f>
        <v/>
      </c>
    </row>
    <row r="2163">
      <c r="A2163" s="3">
        <f>IF(D2163="","","TT-"&amp;TEXT(ROW()-1,"00000"))</f>
        <v/>
      </c>
      <c r="B2163" s="3">
        <f>IF(D2163="","",IF(V2163=0,"CONCLUÍDO",IF(D2163&lt;corte,"HISTÓRICO",IF(OR(AND(ISNUMBER(R2163),R2163&lt;TODAY()),AND(OR(N2163="PENDENTE",N2163="PARCIAL"),D2163&lt;TODAY()-1)),"CRÍTICO",IF(OR(AND(P2163&lt;&gt;"",S2163=""),AND(N2163="REALIZADO",M2163="PENDENTE"),AND(ISNUMBER(R2163),R2163=TODAY())),"ATENÇÃO",IF(N(K2163)=0,"PENDENTE","EM ANDAMENTO"))))))</f>
        <v/>
      </c>
      <c r="C2163" s="3">
        <f>IF(D2163="","",IF(V2163=0,"🟢 OK",IF(D2163&lt;corte,"⚪ HISTÓRICO (sem baixa)",IF(AND(ISNUMBER(R2163),R2163&lt;TODAY()),"🔴 PRAZO VENCIDO",IF(AND(OR(N2163="PENDENTE",N2163="PARCIAL"),D2163&lt;TODAY()-1),"🔴 EMBARQUE ATRASADO",IF(AND(N2163="REALIZADO",M2163="PENDENTE"),"🟡 EMBARCADO SEM FATURAR",IF(AND(P2163&lt;&gt;"",S2163="",OR(Q2163="",R2163="")),"🟡 PENDÊNCIA SEM RESPONSÁVEL/PRAZO",IF(AND(ISNUMBER(R2163),R2163=TODAY()),"🟡 VENCE HOJE",IF(AND(P2163&lt;&gt;"",S2163=""),"🟡 PENDÊNCIA ABERTA",IF(AND(N(J2163)&gt;0,N(K2163)&lt;J2163),"🟡 FALTA EXECUTAR",IF(OR(M2163="PENDENTE",M2163="PARCIAL"),"🟡 FATURAMENTO PENDENTE","🟡 EMBARQUE PENDENTE")))))))))))</f>
        <v/>
      </c>
      <c r="D2163" s="4" t="n"/>
      <c r="E2163" s="5" t="n"/>
      <c r="F2163" s="5" t="n"/>
      <c r="G2163" s="5" t="n"/>
      <c r="H2163" s="5" t="n"/>
      <c r="I2163" s="5" t="n"/>
      <c r="J2163" s="6" t="n"/>
      <c r="K2163" s="6" t="n"/>
      <c r="L2163" s="7">
        <f>IF(OR(D2163="",N(J2163)=0),"",MIN(1,N(K2163)/J2163))</f>
        <v/>
      </c>
      <c r="M2163" s="5" t="n"/>
      <c r="N2163" s="5" t="n"/>
      <c r="O2163" s="5" t="n"/>
      <c r="P2163" s="5" t="n"/>
      <c r="Q2163" s="5" t="n"/>
      <c r="R2163" s="4" t="n"/>
      <c r="S2163" s="4" t="n"/>
      <c r="T2163" s="5" t="n"/>
      <c r="U2163" s="8">
        <f>IF(AND(V2163=1,D2163&lt;&gt;""),IF(D2163&gt;=corte,TODAY()-D2163,""),"")</f>
        <v/>
      </c>
      <c r="V2163" s="8">
        <f>IF(D2163="",0,IF(OR(AND(P2163&lt;&gt;"",S2163=""),AND(N(J2163)&gt;0,N(K2163)&lt;J2163),OR(M2163="PENDENTE",M2163="PARCIAL"),OR(N2163="PENDENTE",N2163="PARCIAL")),1,0))</f>
        <v/>
      </c>
      <c r="W2163" s="8">
        <f>IF(AND(V2163=1,D2163&lt;&gt;""),IF(D2163&gt;=corte,(B2163="CRÍTICO")*1E9+(100000-D2163)*10000+10000-ROW(),""),"")</f>
        <v/>
      </c>
      <c r="X2163" s="8">
        <f>IF(AND(V2163=1,D2163=pas_data,E2163=pas_turno),10000-ROW(),"")</f>
        <v/>
      </c>
    </row>
    <row r="2164">
      <c r="A2164" s="3">
        <f>IF(D2164="","","TT-"&amp;TEXT(ROW()-1,"00000"))</f>
        <v/>
      </c>
      <c r="B2164" s="3">
        <f>IF(D2164="","",IF(V2164=0,"CONCLUÍDO",IF(D2164&lt;corte,"HISTÓRICO",IF(OR(AND(ISNUMBER(R2164),R2164&lt;TODAY()),AND(OR(N2164="PENDENTE",N2164="PARCIAL"),D2164&lt;TODAY()-1)),"CRÍTICO",IF(OR(AND(P2164&lt;&gt;"",S2164=""),AND(N2164="REALIZADO",M2164="PENDENTE"),AND(ISNUMBER(R2164),R2164=TODAY())),"ATENÇÃO",IF(N(K2164)=0,"PENDENTE","EM ANDAMENTO"))))))</f>
        <v/>
      </c>
      <c r="C2164" s="3">
        <f>IF(D2164="","",IF(V2164=0,"🟢 OK",IF(D2164&lt;corte,"⚪ HISTÓRICO (sem baixa)",IF(AND(ISNUMBER(R2164),R2164&lt;TODAY()),"🔴 PRAZO VENCIDO",IF(AND(OR(N2164="PENDENTE",N2164="PARCIAL"),D2164&lt;TODAY()-1),"🔴 EMBARQUE ATRASADO",IF(AND(N2164="REALIZADO",M2164="PENDENTE"),"🟡 EMBARCADO SEM FATURAR",IF(AND(P2164&lt;&gt;"",S2164="",OR(Q2164="",R2164="")),"🟡 PENDÊNCIA SEM RESPONSÁVEL/PRAZO",IF(AND(ISNUMBER(R2164),R2164=TODAY()),"🟡 VENCE HOJE",IF(AND(P2164&lt;&gt;"",S2164=""),"🟡 PENDÊNCIA ABERTA",IF(AND(N(J2164)&gt;0,N(K2164)&lt;J2164),"🟡 FALTA EXECUTAR",IF(OR(M2164="PENDENTE",M2164="PARCIAL"),"🟡 FATURAMENTO PENDENTE","🟡 EMBARQUE PENDENTE")))))))))))</f>
        <v/>
      </c>
      <c r="D2164" s="4" t="n"/>
      <c r="E2164" s="5" t="n"/>
      <c r="F2164" s="5" t="n"/>
      <c r="G2164" s="5" t="n"/>
      <c r="H2164" s="5" t="n"/>
      <c r="I2164" s="5" t="n"/>
      <c r="J2164" s="6" t="n"/>
      <c r="K2164" s="6" t="n"/>
      <c r="L2164" s="7">
        <f>IF(OR(D2164="",N(J2164)=0),"",MIN(1,N(K2164)/J2164))</f>
        <v/>
      </c>
      <c r="M2164" s="5" t="n"/>
      <c r="N2164" s="5" t="n"/>
      <c r="O2164" s="5" t="n"/>
      <c r="P2164" s="5" t="n"/>
      <c r="Q2164" s="5" t="n"/>
      <c r="R2164" s="4" t="n"/>
      <c r="S2164" s="4" t="n"/>
      <c r="T2164" s="5" t="n"/>
      <c r="U2164" s="8">
        <f>IF(AND(V2164=1,D2164&lt;&gt;""),IF(D2164&gt;=corte,TODAY()-D2164,""),"")</f>
        <v/>
      </c>
      <c r="V2164" s="8">
        <f>IF(D2164="",0,IF(OR(AND(P2164&lt;&gt;"",S2164=""),AND(N(J2164)&gt;0,N(K2164)&lt;J2164),OR(M2164="PENDENTE",M2164="PARCIAL"),OR(N2164="PENDENTE",N2164="PARCIAL")),1,0))</f>
        <v/>
      </c>
      <c r="W2164" s="8">
        <f>IF(AND(V2164=1,D2164&lt;&gt;""),IF(D2164&gt;=corte,(B2164="CRÍTICO")*1E9+(100000-D2164)*10000+10000-ROW(),""),"")</f>
        <v/>
      </c>
      <c r="X2164" s="8">
        <f>IF(AND(V2164=1,D2164=pas_data,E2164=pas_turno),10000-ROW(),"")</f>
        <v/>
      </c>
    </row>
    <row r="2165">
      <c r="A2165" s="3">
        <f>IF(D2165="","","TT-"&amp;TEXT(ROW()-1,"00000"))</f>
        <v/>
      </c>
      <c r="B2165" s="3">
        <f>IF(D2165="","",IF(V2165=0,"CONCLUÍDO",IF(D2165&lt;corte,"HISTÓRICO",IF(OR(AND(ISNUMBER(R2165),R2165&lt;TODAY()),AND(OR(N2165="PENDENTE",N2165="PARCIAL"),D2165&lt;TODAY()-1)),"CRÍTICO",IF(OR(AND(P2165&lt;&gt;"",S2165=""),AND(N2165="REALIZADO",M2165="PENDENTE"),AND(ISNUMBER(R2165),R2165=TODAY())),"ATENÇÃO",IF(N(K2165)=0,"PENDENTE","EM ANDAMENTO"))))))</f>
        <v/>
      </c>
      <c r="C2165" s="3">
        <f>IF(D2165="","",IF(V2165=0,"🟢 OK",IF(D2165&lt;corte,"⚪ HISTÓRICO (sem baixa)",IF(AND(ISNUMBER(R2165),R2165&lt;TODAY()),"🔴 PRAZO VENCIDO",IF(AND(OR(N2165="PENDENTE",N2165="PARCIAL"),D2165&lt;TODAY()-1),"🔴 EMBARQUE ATRASADO",IF(AND(N2165="REALIZADO",M2165="PENDENTE"),"🟡 EMBARCADO SEM FATURAR",IF(AND(P2165&lt;&gt;"",S2165="",OR(Q2165="",R2165="")),"🟡 PENDÊNCIA SEM RESPONSÁVEL/PRAZO",IF(AND(ISNUMBER(R2165),R2165=TODAY()),"🟡 VENCE HOJE",IF(AND(P2165&lt;&gt;"",S2165=""),"🟡 PENDÊNCIA ABERTA",IF(AND(N(J2165)&gt;0,N(K2165)&lt;J2165),"🟡 FALTA EXECUTAR",IF(OR(M2165="PENDENTE",M2165="PARCIAL"),"🟡 FATURAMENTO PENDENTE","🟡 EMBARQUE PENDENTE")))))))))))</f>
        <v/>
      </c>
      <c r="D2165" s="4" t="n"/>
      <c r="E2165" s="5" t="n"/>
      <c r="F2165" s="5" t="n"/>
      <c r="G2165" s="5" t="n"/>
      <c r="H2165" s="5" t="n"/>
      <c r="I2165" s="5" t="n"/>
      <c r="J2165" s="6" t="n"/>
      <c r="K2165" s="6" t="n"/>
      <c r="L2165" s="7">
        <f>IF(OR(D2165="",N(J2165)=0),"",MIN(1,N(K2165)/J2165))</f>
        <v/>
      </c>
      <c r="M2165" s="5" t="n"/>
      <c r="N2165" s="5" t="n"/>
      <c r="O2165" s="5" t="n"/>
      <c r="P2165" s="5" t="n"/>
      <c r="Q2165" s="5" t="n"/>
      <c r="R2165" s="4" t="n"/>
      <c r="S2165" s="4" t="n"/>
      <c r="T2165" s="5" t="n"/>
      <c r="U2165" s="8">
        <f>IF(AND(V2165=1,D2165&lt;&gt;""),IF(D2165&gt;=corte,TODAY()-D2165,""),"")</f>
        <v/>
      </c>
      <c r="V2165" s="8">
        <f>IF(D2165="",0,IF(OR(AND(P2165&lt;&gt;"",S2165=""),AND(N(J2165)&gt;0,N(K2165)&lt;J2165),OR(M2165="PENDENTE",M2165="PARCIAL"),OR(N2165="PENDENTE",N2165="PARCIAL")),1,0))</f>
        <v/>
      </c>
      <c r="W2165" s="8">
        <f>IF(AND(V2165=1,D2165&lt;&gt;""),IF(D2165&gt;=corte,(B2165="CRÍTICO")*1E9+(100000-D2165)*10000+10000-ROW(),""),"")</f>
        <v/>
      </c>
      <c r="X2165" s="8">
        <f>IF(AND(V2165=1,D2165=pas_data,E2165=pas_turno),10000-ROW(),"")</f>
        <v/>
      </c>
    </row>
    <row r="2166">
      <c r="A2166" s="3">
        <f>IF(D2166="","","TT-"&amp;TEXT(ROW()-1,"00000"))</f>
        <v/>
      </c>
      <c r="B2166" s="3">
        <f>IF(D2166="","",IF(V2166=0,"CONCLUÍDO",IF(D2166&lt;corte,"HISTÓRICO",IF(OR(AND(ISNUMBER(R2166),R2166&lt;TODAY()),AND(OR(N2166="PENDENTE",N2166="PARCIAL"),D2166&lt;TODAY()-1)),"CRÍTICO",IF(OR(AND(P2166&lt;&gt;"",S2166=""),AND(N2166="REALIZADO",M2166="PENDENTE"),AND(ISNUMBER(R2166),R2166=TODAY())),"ATENÇÃO",IF(N(K2166)=0,"PENDENTE","EM ANDAMENTO"))))))</f>
        <v/>
      </c>
      <c r="C2166" s="3">
        <f>IF(D2166="","",IF(V2166=0,"🟢 OK",IF(D2166&lt;corte,"⚪ HISTÓRICO (sem baixa)",IF(AND(ISNUMBER(R2166),R2166&lt;TODAY()),"🔴 PRAZO VENCIDO",IF(AND(OR(N2166="PENDENTE",N2166="PARCIAL"),D2166&lt;TODAY()-1),"🔴 EMBARQUE ATRASADO",IF(AND(N2166="REALIZADO",M2166="PENDENTE"),"🟡 EMBARCADO SEM FATURAR",IF(AND(P2166&lt;&gt;"",S2166="",OR(Q2166="",R2166="")),"🟡 PENDÊNCIA SEM RESPONSÁVEL/PRAZO",IF(AND(ISNUMBER(R2166),R2166=TODAY()),"🟡 VENCE HOJE",IF(AND(P2166&lt;&gt;"",S2166=""),"🟡 PENDÊNCIA ABERTA",IF(AND(N(J2166)&gt;0,N(K2166)&lt;J2166),"🟡 FALTA EXECUTAR",IF(OR(M2166="PENDENTE",M2166="PARCIAL"),"🟡 FATURAMENTO PENDENTE","🟡 EMBARQUE PENDENTE")))))))))))</f>
        <v/>
      </c>
      <c r="D2166" s="4" t="n"/>
      <c r="E2166" s="5" t="n"/>
      <c r="F2166" s="5" t="n"/>
      <c r="G2166" s="5" t="n"/>
      <c r="H2166" s="5" t="n"/>
      <c r="I2166" s="5" t="n"/>
      <c r="J2166" s="6" t="n"/>
      <c r="K2166" s="6" t="n"/>
      <c r="L2166" s="7">
        <f>IF(OR(D2166="",N(J2166)=0),"",MIN(1,N(K2166)/J2166))</f>
        <v/>
      </c>
      <c r="M2166" s="5" t="n"/>
      <c r="N2166" s="5" t="n"/>
      <c r="O2166" s="5" t="n"/>
      <c r="P2166" s="5" t="n"/>
      <c r="Q2166" s="5" t="n"/>
      <c r="R2166" s="4" t="n"/>
      <c r="S2166" s="4" t="n"/>
      <c r="T2166" s="5" t="n"/>
      <c r="U2166" s="8">
        <f>IF(AND(V2166=1,D2166&lt;&gt;""),IF(D2166&gt;=corte,TODAY()-D2166,""),"")</f>
        <v/>
      </c>
      <c r="V2166" s="8">
        <f>IF(D2166="",0,IF(OR(AND(P2166&lt;&gt;"",S2166=""),AND(N(J2166)&gt;0,N(K2166)&lt;J2166),OR(M2166="PENDENTE",M2166="PARCIAL"),OR(N2166="PENDENTE",N2166="PARCIAL")),1,0))</f>
        <v/>
      </c>
      <c r="W2166" s="8">
        <f>IF(AND(V2166=1,D2166&lt;&gt;""),IF(D2166&gt;=corte,(B2166="CRÍTICO")*1E9+(100000-D2166)*10000+10000-ROW(),""),"")</f>
        <v/>
      </c>
      <c r="X2166" s="8">
        <f>IF(AND(V2166=1,D2166=pas_data,E2166=pas_turno),10000-ROW(),"")</f>
        <v/>
      </c>
    </row>
    <row r="2167">
      <c r="A2167" s="3">
        <f>IF(D2167="","","TT-"&amp;TEXT(ROW()-1,"00000"))</f>
        <v/>
      </c>
      <c r="B2167" s="3">
        <f>IF(D2167="","",IF(V2167=0,"CONCLUÍDO",IF(D2167&lt;corte,"HISTÓRICO",IF(OR(AND(ISNUMBER(R2167),R2167&lt;TODAY()),AND(OR(N2167="PENDENTE",N2167="PARCIAL"),D2167&lt;TODAY()-1)),"CRÍTICO",IF(OR(AND(P2167&lt;&gt;"",S2167=""),AND(N2167="REALIZADO",M2167="PENDENTE"),AND(ISNUMBER(R2167),R2167=TODAY())),"ATENÇÃO",IF(N(K2167)=0,"PENDENTE","EM ANDAMENTO"))))))</f>
        <v/>
      </c>
      <c r="C2167" s="3">
        <f>IF(D2167="","",IF(V2167=0,"🟢 OK",IF(D2167&lt;corte,"⚪ HISTÓRICO (sem baixa)",IF(AND(ISNUMBER(R2167),R2167&lt;TODAY()),"🔴 PRAZO VENCIDO",IF(AND(OR(N2167="PENDENTE",N2167="PARCIAL"),D2167&lt;TODAY()-1),"🔴 EMBARQUE ATRASADO",IF(AND(N2167="REALIZADO",M2167="PENDENTE"),"🟡 EMBARCADO SEM FATURAR",IF(AND(P2167&lt;&gt;"",S2167="",OR(Q2167="",R2167="")),"🟡 PENDÊNCIA SEM RESPONSÁVEL/PRAZO",IF(AND(ISNUMBER(R2167),R2167=TODAY()),"🟡 VENCE HOJE",IF(AND(P2167&lt;&gt;"",S2167=""),"🟡 PENDÊNCIA ABERTA",IF(AND(N(J2167)&gt;0,N(K2167)&lt;J2167),"🟡 FALTA EXECUTAR",IF(OR(M2167="PENDENTE",M2167="PARCIAL"),"🟡 FATURAMENTO PENDENTE","🟡 EMBARQUE PENDENTE")))))))))))</f>
        <v/>
      </c>
      <c r="D2167" s="4" t="n"/>
      <c r="E2167" s="5" t="n"/>
      <c r="F2167" s="5" t="n"/>
      <c r="G2167" s="5" t="n"/>
      <c r="H2167" s="5" t="n"/>
      <c r="I2167" s="5" t="n"/>
      <c r="J2167" s="6" t="n"/>
      <c r="K2167" s="6" t="n"/>
      <c r="L2167" s="7">
        <f>IF(OR(D2167="",N(J2167)=0),"",MIN(1,N(K2167)/J2167))</f>
        <v/>
      </c>
      <c r="M2167" s="5" t="n"/>
      <c r="N2167" s="5" t="n"/>
      <c r="O2167" s="5" t="n"/>
      <c r="P2167" s="5" t="n"/>
      <c r="Q2167" s="5" t="n"/>
      <c r="R2167" s="4" t="n"/>
      <c r="S2167" s="4" t="n"/>
      <c r="T2167" s="5" t="n"/>
      <c r="U2167" s="8">
        <f>IF(AND(V2167=1,D2167&lt;&gt;""),IF(D2167&gt;=corte,TODAY()-D2167,""),"")</f>
        <v/>
      </c>
      <c r="V2167" s="8">
        <f>IF(D2167="",0,IF(OR(AND(P2167&lt;&gt;"",S2167=""),AND(N(J2167)&gt;0,N(K2167)&lt;J2167),OR(M2167="PENDENTE",M2167="PARCIAL"),OR(N2167="PENDENTE",N2167="PARCIAL")),1,0))</f>
        <v/>
      </c>
      <c r="W2167" s="8">
        <f>IF(AND(V2167=1,D2167&lt;&gt;""),IF(D2167&gt;=corte,(B2167="CRÍTICO")*1E9+(100000-D2167)*10000+10000-ROW(),""),"")</f>
        <v/>
      </c>
      <c r="X2167" s="8">
        <f>IF(AND(V2167=1,D2167=pas_data,E2167=pas_turno),10000-ROW(),"")</f>
        <v/>
      </c>
    </row>
    <row r="2168">
      <c r="A2168" s="3">
        <f>IF(D2168="","","TT-"&amp;TEXT(ROW()-1,"00000"))</f>
        <v/>
      </c>
      <c r="B2168" s="3">
        <f>IF(D2168="","",IF(V2168=0,"CONCLUÍDO",IF(D2168&lt;corte,"HISTÓRICO",IF(OR(AND(ISNUMBER(R2168),R2168&lt;TODAY()),AND(OR(N2168="PENDENTE",N2168="PARCIAL"),D2168&lt;TODAY()-1)),"CRÍTICO",IF(OR(AND(P2168&lt;&gt;"",S2168=""),AND(N2168="REALIZADO",M2168="PENDENTE"),AND(ISNUMBER(R2168),R2168=TODAY())),"ATENÇÃO",IF(N(K2168)=0,"PENDENTE","EM ANDAMENTO"))))))</f>
        <v/>
      </c>
      <c r="C2168" s="3">
        <f>IF(D2168="","",IF(V2168=0,"🟢 OK",IF(D2168&lt;corte,"⚪ HISTÓRICO (sem baixa)",IF(AND(ISNUMBER(R2168),R2168&lt;TODAY()),"🔴 PRAZO VENCIDO",IF(AND(OR(N2168="PENDENTE",N2168="PARCIAL"),D2168&lt;TODAY()-1),"🔴 EMBARQUE ATRASADO",IF(AND(N2168="REALIZADO",M2168="PENDENTE"),"🟡 EMBARCADO SEM FATURAR",IF(AND(P2168&lt;&gt;"",S2168="",OR(Q2168="",R2168="")),"🟡 PENDÊNCIA SEM RESPONSÁVEL/PRAZO",IF(AND(ISNUMBER(R2168),R2168=TODAY()),"🟡 VENCE HOJE",IF(AND(P2168&lt;&gt;"",S2168=""),"🟡 PENDÊNCIA ABERTA",IF(AND(N(J2168)&gt;0,N(K2168)&lt;J2168),"🟡 FALTA EXECUTAR",IF(OR(M2168="PENDENTE",M2168="PARCIAL"),"🟡 FATURAMENTO PENDENTE","🟡 EMBARQUE PENDENTE")))))))))))</f>
        <v/>
      </c>
      <c r="D2168" s="4" t="n"/>
      <c r="E2168" s="5" t="n"/>
      <c r="F2168" s="5" t="n"/>
      <c r="G2168" s="5" t="n"/>
      <c r="H2168" s="5" t="n"/>
      <c r="I2168" s="5" t="n"/>
      <c r="J2168" s="6" t="n"/>
      <c r="K2168" s="6" t="n"/>
      <c r="L2168" s="7">
        <f>IF(OR(D2168="",N(J2168)=0),"",MIN(1,N(K2168)/J2168))</f>
        <v/>
      </c>
      <c r="M2168" s="5" t="n"/>
      <c r="N2168" s="5" t="n"/>
      <c r="O2168" s="5" t="n"/>
      <c r="P2168" s="5" t="n"/>
      <c r="Q2168" s="5" t="n"/>
      <c r="R2168" s="4" t="n"/>
      <c r="S2168" s="4" t="n"/>
      <c r="T2168" s="5" t="n"/>
      <c r="U2168" s="8">
        <f>IF(AND(V2168=1,D2168&lt;&gt;""),IF(D2168&gt;=corte,TODAY()-D2168,""),"")</f>
        <v/>
      </c>
      <c r="V2168" s="8">
        <f>IF(D2168="",0,IF(OR(AND(P2168&lt;&gt;"",S2168=""),AND(N(J2168)&gt;0,N(K2168)&lt;J2168),OR(M2168="PENDENTE",M2168="PARCIAL"),OR(N2168="PENDENTE",N2168="PARCIAL")),1,0))</f>
        <v/>
      </c>
      <c r="W2168" s="8">
        <f>IF(AND(V2168=1,D2168&lt;&gt;""),IF(D2168&gt;=corte,(B2168="CRÍTICO")*1E9+(100000-D2168)*10000+10000-ROW(),""),"")</f>
        <v/>
      </c>
      <c r="X2168" s="8">
        <f>IF(AND(V2168=1,D2168=pas_data,E2168=pas_turno),10000-ROW(),"")</f>
        <v/>
      </c>
    </row>
    <row r="2169">
      <c r="A2169" s="3">
        <f>IF(D2169="","","TT-"&amp;TEXT(ROW()-1,"00000"))</f>
        <v/>
      </c>
      <c r="B2169" s="3">
        <f>IF(D2169="","",IF(V2169=0,"CONCLUÍDO",IF(D2169&lt;corte,"HISTÓRICO",IF(OR(AND(ISNUMBER(R2169),R2169&lt;TODAY()),AND(OR(N2169="PENDENTE",N2169="PARCIAL"),D2169&lt;TODAY()-1)),"CRÍTICO",IF(OR(AND(P2169&lt;&gt;"",S2169=""),AND(N2169="REALIZADO",M2169="PENDENTE"),AND(ISNUMBER(R2169),R2169=TODAY())),"ATENÇÃO",IF(N(K2169)=0,"PENDENTE","EM ANDAMENTO"))))))</f>
        <v/>
      </c>
      <c r="C2169" s="3">
        <f>IF(D2169="","",IF(V2169=0,"🟢 OK",IF(D2169&lt;corte,"⚪ HISTÓRICO (sem baixa)",IF(AND(ISNUMBER(R2169),R2169&lt;TODAY()),"🔴 PRAZO VENCIDO",IF(AND(OR(N2169="PENDENTE",N2169="PARCIAL"),D2169&lt;TODAY()-1),"🔴 EMBARQUE ATRASADO",IF(AND(N2169="REALIZADO",M2169="PENDENTE"),"🟡 EMBARCADO SEM FATURAR",IF(AND(P2169&lt;&gt;"",S2169="",OR(Q2169="",R2169="")),"🟡 PENDÊNCIA SEM RESPONSÁVEL/PRAZO",IF(AND(ISNUMBER(R2169),R2169=TODAY()),"🟡 VENCE HOJE",IF(AND(P2169&lt;&gt;"",S2169=""),"🟡 PENDÊNCIA ABERTA",IF(AND(N(J2169)&gt;0,N(K2169)&lt;J2169),"🟡 FALTA EXECUTAR",IF(OR(M2169="PENDENTE",M2169="PARCIAL"),"🟡 FATURAMENTO PENDENTE","🟡 EMBARQUE PENDENTE")))))))))))</f>
        <v/>
      </c>
      <c r="D2169" s="4" t="n"/>
      <c r="E2169" s="5" t="n"/>
      <c r="F2169" s="5" t="n"/>
      <c r="G2169" s="5" t="n"/>
      <c r="H2169" s="5" t="n"/>
      <c r="I2169" s="5" t="n"/>
      <c r="J2169" s="6" t="n"/>
      <c r="K2169" s="6" t="n"/>
      <c r="L2169" s="7">
        <f>IF(OR(D2169="",N(J2169)=0),"",MIN(1,N(K2169)/J2169))</f>
        <v/>
      </c>
      <c r="M2169" s="5" t="n"/>
      <c r="N2169" s="5" t="n"/>
      <c r="O2169" s="5" t="n"/>
      <c r="P2169" s="5" t="n"/>
      <c r="Q2169" s="5" t="n"/>
      <c r="R2169" s="4" t="n"/>
      <c r="S2169" s="4" t="n"/>
      <c r="T2169" s="5" t="n"/>
      <c r="U2169" s="8">
        <f>IF(AND(V2169=1,D2169&lt;&gt;""),IF(D2169&gt;=corte,TODAY()-D2169,""),"")</f>
        <v/>
      </c>
      <c r="V2169" s="8">
        <f>IF(D2169="",0,IF(OR(AND(P2169&lt;&gt;"",S2169=""),AND(N(J2169)&gt;0,N(K2169)&lt;J2169),OR(M2169="PENDENTE",M2169="PARCIAL"),OR(N2169="PENDENTE",N2169="PARCIAL")),1,0))</f>
        <v/>
      </c>
      <c r="W2169" s="8">
        <f>IF(AND(V2169=1,D2169&lt;&gt;""),IF(D2169&gt;=corte,(B2169="CRÍTICO")*1E9+(100000-D2169)*10000+10000-ROW(),""),"")</f>
        <v/>
      </c>
      <c r="X2169" s="8">
        <f>IF(AND(V2169=1,D2169=pas_data,E2169=pas_turno),10000-ROW(),"")</f>
        <v/>
      </c>
    </row>
    <row r="2170">
      <c r="A2170" s="3">
        <f>IF(D2170="","","TT-"&amp;TEXT(ROW()-1,"00000"))</f>
        <v/>
      </c>
      <c r="B2170" s="3">
        <f>IF(D2170="","",IF(V2170=0,"CONCLUÍDO",IF(D2170&lt;corte,"HISTÓRICO",IF(OR(AND(ISNUMBER(R2170),R2170&lt;TODAY()),AND(OR(N2170="PENDENTE",N2170="PARCIAL"),D2170&lt;TODAY()-1)),"CRÍTICO",IF(OR(AND(P2170&lt;&gt;"",S2170=""),AND(N2170="REALIZADO",M2170="PENDENTE"),AND(ISNUMBER(R2170),R2170=TODAY())),"ATENÇÃO",IF(N(K2170)=0,"PENDENTE","EM ANDAMENTO"))))))</f>
        <v/>
      </c>
      <c r="C2170" s="3">
        <f>IF(D2170="","",IF(V2170=0,"🟢 OK",IF(D2170&lt;corte,"⚪ HISTÓRICO (sem baixa)",IF(AND(ISNUMBER(R2170),R2170&lt;TODAY()),"🔴 PRAZO VENCIDO",IF(AND(OR(N2170="PENDENTE",N2170="PARCIAL"),D2170&lt;TODAY()-1),"🔴 EMBARQUE ATRASADO",IF(AND(N2170="REALIZADO",M2170="PENDENTE"),"🟡 EMBARCADO SEM FATURAR",IF(AND(P2170&lt;&gt;"",S2170="",OR(Q2170="",R2170="")),"🟡 PENDÊNCIA SEM RESPONSÁVEL/PRAZO",IF(AND(ISNUMBER(R2170),R2170=TODAY()),"🟡 VENCE HOJE",IF(AND(P2170&lt;&gt;"",S2170=""),"🟡 PENDÊNCIA ABERTA",IF(AND(N(J2170)&gt;0,N(K2170)&lt;J2170),"🟡 FALTA EXECUTAR",IF(OR(M2170="PENDENTE",M2170="PARCIAL"),"🟡 FATURAMENTO PENDENTE","🟡 EMBARQUE PENDENTE")))))))))))</f>
        <v/>
      </c>
      <c r="D2170" s="4" t="n"/>
      <c r="E2170" s="5" t="n"/>
      <c r="F2170" s="5" t="n"/>
      <c r="G2170" s="5" t="n"/>
      <c r="H2170" s="5" t="n"/>
      <c r="I2170" s="5" t="n"/>
      <c r="J2170" s="6" t="n"/>
      <c r="K2170" s="6" t="n"/>
      <c r="L2170" s="7">
        <f>IF(OR(D2170="",N(J2170)=0),"",MIN(1,N(K2170)/J2170))</f>
        <v/>
      </c>
      <c r="M2170" s="5" t="n"/>
      <c r="N2170" s="5" t="n"/>
      <c r="O2170" s="5" t="n"/>
      <c r="P2170" s="5" t="n"/>
      <c r="Q2170" s="5" t="n"/>
      <c r="R2170" s="4" t="n"/>
      <c r="S2170" s="4" t="n"/>
      <c r="T2170" s="5" t="n"/>
      <c r="U2170" s="8">
        <f>IF(AND(V2170=1,D2170&lt;&gt;""),IF(D2170&gt;=corte,TODAY()-D2170,""),"")</f>
        <v/>
      </c>
      <c r="V2170" s="8">
        <f>IF(D2170="",0,IF(OR(AND(P2170&lt;&gt;"",S2170=""),AND(N(J2170)&gt;0,N(K2170)&lt;J2170),OR(M2170="PENDENTE",M2170="PARCIAL"),OR(N2170="PENDENTE",N2170="PARCIAL")),1,0))</f>
        <v/>
      </c>
      <c r="W2170" s="8">
        <f>IF(AND(V2170=1,D2170&lt;&gt;""),IF(D2170&gt;=corte,(B2170="CRÍTICO")*1E9+(100000-D2170)*10000+10000-ROW(),""),"")</f>
        <v/>
      </c>
      <c r="X2170" s="8">
        <f>IF(AND(V2170=1,D2170=pas_data,E2170=pas_turno),10000-ROW(),"")</f>
        <v/>
      </c>
    </row>
    <row r="2171">
      <c r="A2171" s="3">
        <f>IF(D2171="","","TT-"&amp;TEXT(ROW()-1,"00000"))</f>
        <v/>
      </c>
      <c r="B2171" s="3">
        <f>IF(D2171="","",IF(V2171=0,"CONCLUÍDO",IF(D2171&lt;corte,"HISTÓRICO",IF(OR(AND(ISNUMBER(R2171),R2171&lt;TODAY()),AND(OR(N2171="PENDENTE",N2171="PARCIAL"),D2171&lt;TODAY()-1)),"CRÍTICO",IF(OR(AND(P2171&lt;&gt;"",S2171=""),AND(N2171="REALIZADO",M2171="PENDENTE"),AND(ISNUMBER(R2171),R2171=TODAY())),"ATENÇÃO",IF(N(K2171)=0,"PENDENTE","EM ANDAMENTO"))))))</f>
        <v/>
      </c>
      <c r="C2171" s="3">
        <f>IF(D2171="","",IF(V2171=0,"🟢 OK",IF(D2171&lt;corte,"⚪ HISTÓRICO (sem baixa)",IF(AND(ISNUMBER(R2171),R2171&lt;TODAY()),"🔴 PRAZO VENCIDO",IF(AND(OR(N2171="PENDENTE",N2171="PARCIAL"),D2171&lt;TODAY()-1),"🔴 EMBARQUE ATRASADO",IF(AND(N2171="REALIZADO",M2171="PENDENTE"),"🟡 EMBARCADO SEM FATURAR",IF(AND(P2171&lt;&gt;"",S2171="",OR(Q2171="",R2171="")),"🟡 PENDÊNCIA SEM RESPONSÁVEL/PRAZO",IF(AND(ISNUMBER(R2171),R2171=TODAY()),"🟡 VENCE HOJE",IF(AND(P2171&lt;&gt;"",S2171=""),"🟡 PENDÊNCIA ABERTA",IF(AND(N(J2171)&gt;0,N(K2171)&lt;J2171),"🟡 FALTA EXECUTAR",IF(OR(M2171="PENDENTE",M2171="PARCIAL"),"🟡 FATURAMENTO PENDENTE","🟡 EMBARQUE PENDENTE")))))))))))</f>
        <v/>
      </c>
      <c r="D2171" s="4" t="n"/>
      <c r="E2171" s="5" t="n"/>
      <c r="F2171" s="5" t="n"/>
      <c r="G2171" s="5" t="n"/>
      <c r="H2171" s="5" t="n"/>
      <c r="I2171" s="5" t="n"/>
      <c r="J2171" s="6" t="n"/>
      <c r="K2171" s="6" t="n"/>
      <c r="L2171" s="7">
        <f>IF(OR(D2171="",N(J2171)=0),"",MIN(1,N(K2171)/J2171))</f>
        <v/>
      </c>
      <c r="M2171" s="5" t="n"/>
      <c r="N2171" s="5" t="n"/>
      <c r="O2171" s="5" t="n"/>
      <c r="P2171" s="5" t="n"/>
      <c r="Q2171" s="5" t="n"/>
      <c r="R2171" s="4" t="n"/>
      <c r="S2171" s="4" t="n"/>
      <c r="T2171" s="5" t="n"/>
      <c r="U2171" s="8">
        <f>IF(AND(V2171=1,D2171&lt;&gt;""),IF(D2171&gt;=corte,TODAY()-D2171,""),"")</f>
        <v/>
      </c>
      <c r="V2171" s="8">
        <f>IF(D2171="",0,IF(OR(AND(P2171&lt;&gt;"",S2171=""),AND(N(J2171)&gt;0,N(K2171)&lt;J2171),OR(M2171="PENDENTE",M2171="PARCIAL"),OR(N2171="PENDENTE",N2171="PARCIAL")),1,0))</f>
        <v/>
      </c>
      <c r="W2171" s="8">
        <f>IF(AND(V2171=1,D2171&lt;&gt;""),IF(D2171&gt;=corte,(B2171="CRÍTICO")*1E9+(100000-D2171)*10000+10000-ROW(),""),"")</f>
        <v/>
      </c>
      <c r="X2171" s="8">
        <f>IF(AND(V2171=1,D2171=pas_data,E2171=pas_turno),10000-ROW(),"")</f>
        <v/>
      </c>
    </row>
    <row r="2172">
      <c r="A2172" s="3">
        <f>IF(D2172="","","TT-"&amp;TEXT(ROW()-1,"00000"))</f>
        <v/>
      </c>
      <c r="B2172" s="3">
        <f>IF(D2172="","",IF(V2172=0,"CONCLUÍDO",IF(D2172&lt;corte,"HISTÓRICO",IF(OR(AND(ISNUMBER(R2172),R2172&lt;TODAY()),AND(OR(N2172="PENDENTE",N2172="PARCIAL"),D2172&lt;TODAY()-1)),"CRÍTICO",IF(OR(AND(P2172&lt;&gt;"",S2172=""),AND(N2172="REALIZADO",M2172="PENDENTE"),AND(ISNUMBER(R2172),R2172=TODAY())),"ATENÇÃO",IF(N(K2172)=0,"PENDENTE","EM ANDAMENTO"))))))</f>
        <v/>
      </c>
      <c r="C2172" s="3">
        <f>IF(D2172="","",IF(V2172=0,"🟢 OK",IF(D2172&lt;corte,"⚪ HISTÓRICO (sem baixa)",IF(AND(ISNUMBER(R2172),R2172&lt;TODAY()),"🔴 PRAZO VENCIDO",IF(AND(OR(N2172="PENDENTE",N2172="PARCIAL"),D2172&lt;TODAY()-1),"🔴 EMBARQUE ATRASADO",IF(AND(N2172="REALIZADO",M2172="PENDENTE"),"🟡 EMBARCADO SEM FATURAR",IF(AND(P2172&lt;&gt;"",S2172="",OR(Q2172="",R2172="")),"🟡 PENDÊNCIA SEM RESPONSÁVEL/PRAZO",IF(AND(ISNUMBER(R2172),R2172=TODAY()),"🟡 VENCE HOJE",IF(AND(P2172&lt;&gt;"",S2172=""),"🟡 PENDÊNCIA ABERTA",IF(AND(N(J2172)&gt;0,N(K2172)&lt;J2172),"🟡 FALTA EXECUTAR",IF(OR(M2172="PENDENTE",M2172="PARCIAL"),"🟡 FATURAMENTO PENDENTE","🟡 EMBARQUE PENDENTE")))))))))))</f>
        <v/>
      </c>
      <c r="D2172" s="4" t="n"/>
      <c r="E2172" s="5" t="n"/>
      <c r="F2172" s="5" t="n"/>
      <c r="G2172" s="5" t="n"/>
      <c r="H2172" s="5" t="n"/>
      <c r="I2172" s="5" t="n"/>
      <c r="J2172" s="6" t="n"/>
      <c r="K2172" s="6" t="n"/>
      <c r="L2172" s="7">
        <f>IF(OR(D2172="",N(J2172)=0),"",MIN(1,N(K2172)/J2172))</f>
        <v/>
      </c>
      <c r="M2172" s="5" t="n"/>
      <c r="N2172" s="5" t="n"/>
      <c r="O2172" s="5" t="n"/>
      <c r="P2172" s="5" t="n"/>
      <c r="Q2172" s="5" t="n"/>
      <c r="R2172" s="4" t="n"/>
      <c r="S2172" s="4" t="n"/>
      <c r="T2172" s="5" t="n"/>
      <c r="U2172" s="8">
        <f>IF(AND(V2172=1,D2172&lt;&gt;""),IF(D2172&gt;=corte,TODAY()-D2172,""),"")</f>
        <v/>
      </c>
      <c r="V2172" s="8">
        <f>IF(D2172="",0,IF(OR(AND(P2172&lt;&gt;"",S2172=""),AND(N(J2172)&gt;0,N(K2172)&lt;J2172),OR(M2172="PENDENTE",M2172="PARCIAL"),OR(N2172="PENDENTE",N2172="PARCIAL")),1,0))</f>
        <v/>
      </c>
      <c r="W2172" s="8">
        <f>IF(AND(V2172=1,D2172&lt;&gt;""),IF(D2172&gt;=corte,(B2172="CRÍTICO")*1E9+(100000-D2172)*10000+10000-ROW(),""),"")</f>
        <v/>
      </c>
      <c r="X2172" s="8">
        <f>IF(AND(V2172=1,D2172=pas_data,E2172=pas_turno),10000-ROW(),"")</f>
        <v/>
      </c>
    </row>
    <row r="2173">
      <c r="A2173" s="3">
        <f>IF(D2173="","","TT-"&amp;TEXT(ROW()-1,"00000"))</f>
        <v/>
      </c>
      <c r="B2173" s="3">
        <f>IF(D2173="","",IF(V2173=0,"CONCLUÍDO",IF(D2173&lt;corte,"HISTÓRICO",IF(OR(AND(ISNUMBER(R2173),R2173&lt;TODAY()),AND(OR(N2173="PENDENTE",N2173="PARCIAL"),D2173&lt;TODAY()-1)),"CRÍTICO",IF(OR(AND(P2173&lt;&gt;"",S2173=""),AND(N2173="REALIZADO",M2173="PENDENTE"),AND(ISNUMBER(R2173),R2173=TODAY())),"ATENÇÃO",IF(N(K2173)=0,"PENDENTE","EM ANDAMENTO"))))))</f>
        <v/>
      </c>
      <c r="C2173" s="3">
        <f>IF(D2173="","",IF(V2173=0,"🟢 OK",IF(D2173&lt;corte,"⚪ HISTÓRICO (sem baixa)",IF(AND(ISNUMBER(R2173),R2173&lt;TODAY()),"🔴 PRAZO VENCIDO",IF(AND(OR(N2173="PENDENTE",N2173="PARCIAL"),D2173&lt;TODAY()-1),"🔴 EMBARQUE ATRASADO",IF(AND(N2173="REALIZADO",M2173="PENDENTE"),"🟡 EMBARCADO SEM FATURAR",IF(AND(P2173&lt;&gt;"",S2173="",OR(Q2173="",R2173="")),"🟡 PENDÊNCIA SEM RESPONSÁVEL/PRAZO",IF(AND(ISNUMBER(R2173),R2173=TODAY()),"🟡 VENCE HOJE",IF(AND(P2173&lt;&gt;"",S2173=""),"🟡 PENDÊNCIA ABERTA",IF(AND(N(J2173)&gt;0,N(K2173)&lt;J2173),"🟡 FALTA EXECUTAR",IF(OR(M2173="PENDENTE",M2173="PARCIAL"),"🟡 FATURAMENTO PENDENTE","🟡 EMBARQUE PENDENTE")))))))))))</f>
        <v/>
      </c>
      <c r="D2173" s="4" t="n"/>
      <c r="E2173" s="5" t="n"/>
      <c r="F2173" s="5" t="n"/>
      <c r="G2173" s="5" t="n"/>
      <c r="H2173" s="5" t="n"/>
      <c r="I2173" s="5" t="n"/>
      <c r="J2173" s="6" t="n"/>
      <c r="K2173" s="6" t="n"/>
      <c r="L2173" s="7">
        <f>IF(OR(D2173="",N(J2173)=0),"",MIN(1,N(K2173)/J2173))</f>
        <v/>
      </c>
      <c r="M2173" s="5" t="n"/>
      <c r="N2173" s="5" t="n"/>
      <c r="O2173" s="5" t="n"/>
      <c r="P2173" s="5" t="n"/>
      <c r="Q2173" s="5" t="n"/>
      <c r="R2173" s="4" t="n"/>
      <c r="S2173" s="4" t="n"/>
      <c r="T2173" s="5" t="n"/>
      <c r="U2173" s="8">
        <f>IF(AND(V2173=1,D2173&lt;&gt;""),IF(D2173&gt;=corte,TODAY()-D2173,""),"")</f>
        <v/>
      </c>
      <c r="V2173" s="8">
        <f>IF(D2173="",0,IF(OR(AND(P2173&lt;&gt;"",S2173=""),AND(N(J2173)&gt;0,N(K2173)&lt;J2173),OR(M2173="PENDENTE",M2173="PARCIAL"),OR(N2173="PENDENTE",N2173="PARCIAL")),1,0))</f>
        <v/>
      </c>
      <c r="W2173" s="8">
        <f>IF(AND(V2173=1,D2173&lt;&gt;""),IF(D2173&gt;=corte,(B2173="CRÍTICO")*1E9+(100000-D2173)*10000+10000-ROW(),""),"")</f>
        <v/>
      </c>
      <c r="X2173" s="8">
        <f>IF(AND(V2173=1,D2173=pas_data,E2173=pas_turno),10000-ROW(),"")</f>
        <v/>
      </c>
    </row>
    <row r="2174">
      <c r="A2174" s="3">
        <f>IF(D2174="","","TT-"&amp;TEXT(ROW()-1,"00000"))</f>
        <v/>
      </c>
      <c r="B2174" s="3">
        <f>IF(D2174="","",IF(V2174=0,"CONCLUÍDO",IF(D2174&lt;corte,"HISTÓRICO",IF(OR(AND(ISNUMBER(R2174),R2174&lt;TODAY()),AND(OR(N2174="PENDENTE",N2174="PARCIAL"),D2174&lt;TODAY()-1)),"CRÍTICO",IF(OR(AND(P2174&lt;&gt;"",S2174=""),AND(N2174="REALIZADO",M2174="PENDENTE"),AND(ISNUMBER(R2174),R2174=TODAY())),"ATENÇÃO",IF(N(K2174)=0,"PENDENTE","EM ANDAMENTO"))))))</f>
        <v/>
      </c>
      <c r="C2174" s="3">
        <f>IF(D2174="","",IF(V2174=0,"🟢 OK",IF(D2174&lt;corte,"⚪ HISTÓRICO (sem baixa)",IF(AND(ISNUMBER(R2174),R2174&lt;TODAY()),"🔴 PRAZO VENCIDO",IF(AND(OR(N2174="PENDENTE",N2174="PARCIAL"),D2174&lt;TODAY()-1),"🔴 EMBARQUE ATRASADO",IF(AND(N2174="REALIZADO",M2174="PENDENTE"),"🟡 EMBARCADO SEM FATURAR",IF(AND(P2174&lt;&gt;"",S2174="",OR(Q2174="",R2174="")),"🟡 PENDÊNCIA SEM RESPONSÁVEL/PRAZO",IF(AND(ISNUMBER(R2174),R2174=TODAY()),"🟡 VENCE HOJE",IF(AND(P2174&lt;&gt;"",S2174=""),"🟡 PENDÊNCIA ABERTA",IF(AND(N(J2174)&gt;0,N(K2174)&lt;J2174),"🟡 FALTA EXECUTAR",IF(OR(M2174="PENDENTE",M2174="PARCIAL"),"🟡 FATURAMENTO PENDENTE","🟡 EMBARQUE PENDENTE")))))))))))</f>
        <v/>
      </c>
      <c r="D2174" s="4" t="n"/>
      <c r="E2174" s="5" t="n"/>
      <c r="F2174" s="5" t="n"/>
      <c r="G2174" s="5" t="n"/>
      <c r="H2174" s="5" t="n"/>
      <c r="I2174" s="5" t="n"/>
      <c r="J2174" s="6" t="n"/>
      <c r="K2174" s="6" t="n"/>
      <c r="L2174" s="7">
        <f>IF(OR(D2174="",N(J2174)=0),"",MIN(1,N(K2174)/J2174))</f>
        <v/>
      </c>
      <c r="M2174" s="5" t="n"/>
      <c r="N2174" s="5" t="n"/>
      <c r="O2174" s="5" t="n"/>
      <c r="P2174" s="5" t="n"/>
      <c r="Q2174" s="5" t="n"/>
      <c r="R2174" s="4" t="n"/>
      <c r="S2174" s="4" t="n"/>
      <c r="T2174" s="5" t="n"/>
      <c r="U2174" s="8">
        <f>IF(AND(V2174=1,D2174&lt;&gt;""),IF(D2174&gt;=corte,TODAY()-D2174,""),"")</f>
        <v/>
      </c>
      <c r="V2174" s="8">
        <f>IF(D2174="",0,IF(OR(AND(P2174&lt;&gt;"",S2174=""),AND(N(J2174)&gt;0,N(K2174)&lt;J2174),OR(M2174="PENDENTE",M2174="PARCIAL"),OR(N2174="PENDENTE",N2174="PARCIAL")),1,0))</f>
        <v/>
      </c>
      <c r="W2174" s="8">
        <f>IF(AND(V2174=1,D2174&lt;&gt;""),IF(D2174&gt;=corte,(B2174="CRÍTICO")*1E9+(100000-D2174)*10000+10000-ROW(),""),"")</f>
        <v/>
      </c>
      <c r="X2174" s="8">
        <f>IF(AND(V2174=1,D2174=pas_data,E2174=pas_turno),10000-ROW(),"")</f>
        <v/>
      </c>
    </row>
    <row r="2175">
      <c r="A2175" s="3">
        <f>IF(D2175="","","TT-"&amp;TEXT(ROW()-1,"00000"))</f>
        <v/>
      </c>
      <c r="B2175" s="3">
        <f>IF(D2175="","",IF(V2175=0,"CONCLUÍDO",IF(D2175&lt;corte,"HISTÓRICO",IF(OR(AND(ISNUMBER(R2175),R2175&lt;TODAY()),AND(OR(N2175="PENDENTE",N2175="PARCIAL"),D2175&lt;TODAY()-1)),"CRÍTICO",IF(OR(AND(P2175&lt;&gt;"",S2175=""),AND(N2175="REALIZADO",M2175="PENDENTE"),AND(ISNUMBER(R2175),R2175=TODAY())),"ATENÇÃO",IF(N(K2175)=0,"PENDENTE","EM ANDAMENTO"))))))</f>
        <v/>
      </c>
      <c r="C2175" s="3">
        <f>IF(D2175="","",IF(V2175=0,"🟢 OK",IF(D2175&lt;corte,"⚪ HISTÓRICO (sem baixa)",IF(AND(ISNUMBER(R2175),R2175&lt;TODAY()),"🔴 PRAZO VENCIDO",IF(AND(OR(N2175="PENDENTE",N2175="PARCIAL"),D2175&lt;TODAY()-1),"🔴 EMBARQUE ATRASADO",IF(AND(N2175="REALIZADO",M2175="PENDENTE"),"🟡 EMBARCADO SEM FATURAR",IF(AND(P2175&lt;&gt;"",S2175="",OR(Q2175="",R2175="")),"🟡 PENDÊNCIA SEM RESPONSÁVEL/PRAZO",IF(AND(ISNUMBER(R2175),R2175=TODAY()),"🟡 VENCE HOJE",IF(AND(P2175&lt;&gt;"",S2175=""),"🟡 PENDÊNCIA ABERTA",IF(AND(N(J2175)&gt;0,N(K2175)&lt;J2175),"🟡 FALTA EXECUTAR",IF(OR(M2175="PENDENTE",M2175="PARCIAL"),"🟡 FATURAMENTO PENDENTE","🟡 EMBARQUE PENDENTE")))))))))))</f>
        <v/>
      </c>
      <c r="D2175" s="4" t="n"/>
      <c r="E2175" s="5" t="n"/>
      <c r="F2175" s="5" t="n"/>
      <c r="G2175" s="5" t="n"/>
      <c r="H2175" s="5" t="n"/>
      <c r="I2175" s="5" t="n"/>
      <c r="J2175" s="6" t="n"/>
      <c r="K2175" s="6" t="n"/>
      <c r="L2175" s="7">
        <f>IF(OR(D2175="",N(J2175)=0),"",MIN(1,N(K2175)/J2175))</f>
        <v/>
      </c>
      <c r="M2175" s="5" t="n"/>
      <c r="N2175" s="5" t="n"/>
      <c r="O2175" s="5" t="n"/>
      <c r="P2175" s="5" t="n"/>
      <c r="Q2175" s="5" t="n"/>
      <c r="R2175" s="4" t="n"/>
      <c r="S2175" s="4" t="n"/>
      <c r="T2175" s="5" t="n"/>
      <c r="U2175" s="8">
        <f>IF(AND(V2175=1,D2175&lt;&gt;""),IF(D2175&gt;=corte,TODAY()-D2175,""),"")</f>
        <v/>
      </c>
      <c r="V2175" s="8">
        <f>IF(D2175="",0,IF(OR(AND(P2175&lt;&gt;"",S2175=""),AND(N(J2175)&gt;0,N(K2175)&lt;J2175),OR(M2175="PENDENTE",M2175="PARCIAL"),OR(N2175="PENDENTE",N2175="PARCIAL")),1,0))</f>
        <v/>
      </c>
      <c r="W2175" s="8">
        <f>IF(AND(V2175=1,D2175&lt;&gt;""),IF(D2175&gt;=corte,(B2175="CRÍTICO")*1E9+(100000-D2175)*10000+10000-ROW(),""),"")</f>
        <v/>
      </c>
      <c r="X2175" s="8">
        <f>IF(AND(V2175=1,D2175=pas_data,E2175=pas_turno),10000-ROW(),"")</f>
        <v/>
      </c>
    </row>
    <row r="2176">
      <c r="A2176" s="3">
        <f>IF(D2176="","","TT-"&amp;TEXT(ROW()-1,"00000"))</f>
        <v/>
      </c>
      <c r="B2176" s="3">
        <f>IF(D2176="","",IF(V2176=0,"CONCLUÍDO",IF(D2176&lt;corte,"HISTÓRICO",IF(OR(AND(ISNUMBER(R2176),R2176&lt;TODAY()),AND(OR(N2176="PENDENTE",N2176="PARCIAL"),D2176&lt;TODAY()-1)),"CRÍTICO",IF(OR(AND(P2176&lt;&gt;"",S2176=""),AND(N2176="REALIZADO",M2176="PENDENTE"),AND(ISNUMBER(R2176),R2176=TODAY())),"ATENÇÃO",IF(N(K2176)=0,"PENDENTE","EM ANDAMENTO"))))))</f>
        <v/>
      </c>
      <c r="C2176" s="3">
        <f>IF(D2176="","",IF(V2176=0,"🟢 OK",IF(D2176&lt;corte,"⚪ HISTÓRICO (sem baixa)",IF(AND(ISNUMBER(R2176),R2176&lt;TODAY()),"🔴 PRAZO VENCIDO",IF(AND(OR(N2176="PENDENTE",N2176="PARCIAL"),D2176&lt;TODAY()-1),"🔴 EMBARQUE ATRASADO",IF(AND(N2176="REALIZADO",M2176="PENDENTE"),"🟡 EMBARCADO SEM FATURAR",IF(AND(P2176&lt;&gt;"",S2176="",OR(Q2176="",R2176="")),"🟡 PENDÊNCIA SEM RESPONSÁVEL/PRAZO",IF(AND(ISNUMBER(R2176),R2176=TODAY()),"🟡 VENCE HOJE",IF(AND(P2176&lt;&gt;"",S2176=""),"🟡 PENDÊNCIA ABERTA",IF(AND(N(J2176)&gt;0,N(K2176)&lt;J2176),"🟡 FALTA EXECUTAR",IF(OR(M2176="PENDENTE",M2176="PARCIAL"),"🟡 FATURAMENTO PENDENTE","🟡 EMBARQUE PENDENTE")))))))))))</f>
        <v/>
      </c>
      <c r="D2176" s="4" t="n"/>
      <c r="E2176" s="5" t="n"/>
      <c r="F2176" s="5" t="n"/>
      <c r="G2176" s="5" t="n"/>
      <c r="H2176" s="5" t="n"/>
      <c r="I2176" s="5" t="n"/>
      <c r="J2176" s="6" t="n"/>
      <c r="K2176" s="6" t="n"/>
      <c r="L2176" s="7">
        <f>IF(OR(D2176="",N(J2176)=0),"",MIN(1,N(K2176)/J2176))</f>
        <v/>
      </c>
      <c r="M2176" s="5" t="n"/>
      <c r="N2176" s="5" t="n"/>
      <c r="O2176" s="5" t="n"/>
      <c r="P2176" s="5" t="n"/>
      <c r="Q2176" s="5" t="n"/>
      <c r="R2176" s="4" t="n"/>
      <c r="S2176" s="4" t="n"/>
      <c r="T2176" s="5" t="n"/>
      <c r="U2176" s="8">
        <f>IF(AND(V2176=1,D2176&lt;&gt;""),IF(D2176&gt;=corte,TODAY()-D2176,""),"")</f>
        <v/>
      </c>
      <c r="V2176" s="8">
        <f>IF(D2176="",0,IF(OR(AND(P2176&lt;&gt;"",S2176=""),AND(N(J2176)&gt;0,N(K2176)&lt;J2176),OR(M2176="PENDENTE",M2176="PARCIAL"),OR(N2176="PENDENTE",N2176="PARCIAL")),1,0))</f>
        <v/>
      </c>
      <c r="W2176" s="8">
        <f>IF(AND(V2176=1,D2176&lt;&gt;""),IF(D2176&gt;=corte,(B2176="CRÍTICO")*1E9+(100000-D2176)*10000+10000-ROW(),""),"")</f>
        <v/>
      </c>
      <c r="X2176" s="8">
        <f>IF(AND(V2176=1,D2176=pas_data,E2176=pas_turno),10000-ROW(),"")</f>
        <v/>
      </c>
    </row>
    <row r="2177">
      <c r="A2177" s="3">
        <f>IF(D2177="","","TT-"&amp;TEXT(ROW()-1,"00000"))</f>
        <v/>
      </c>
      <c r="B2177" s="3">
        <f>IF(D2177="","",IF(V2177=0,"CONCLUÍDO",IF(D2177&lt;corte,"HISTÓRICO",IF(OR(AND(ISNUMBER(R2177),R2177&lt;TODAY()),AND(OR(N2177="PENDENTE",N2177="PARCIAL"),D2177&lt;TODAY()-1)),"CRÍTICO",IF(OR(AND(P2177&lt;&gt;"",S2177=""),AND(N2177="REALIZADO",M2177="PENDENTE"),AND(ISNUMBER(R2177),R2177=TODAY())),"ATENÇÃO",IF(N(K2177)=0,"PENDENTE","EM ANDAMENTO"))))))</f>
        <v/>
      </c>
      <c r="C2177" s="3">
        <f>IF(D2177="","",IF(V2177=0,"🟢 OK",IF(D2177&lt;corte,"⚪ HISTÓRICO (sem baixa)",IF(AND(ISNUMBER(R2177),R2177&lt;TODAY()),"🔴 PRAZO VENCIDO",IF(AND(OR(N2177="PENDENTE",N2177="PARCIAL"),D2177&lt;TODAY()-1),"🔴 EMBARQUE ATRASADO",IF(AND(N2177="REALIZADO",M2177="PENDENTE"),"🟡 EMBARCADO SEM FATURAR",IF(AND(P2177&lt;&gt;"",S2177="",OR(Q2177="",R2177="")),"🟡 PENDÊNCIA SEM RESPONSÁVEL/PRAZO",IF(AND(ISNUMBER(R2177),R2177=TODAY()),"🟡 VENCE HOJE",IF(AND(P2177&lt;&gt;"",S2177=""),"🟡 PENDÊNCIA ABERTA",IF(AND(N(J2177)&gt;0,N(K2177)&lt;J2177),"🟡 FALTA EXECUTAR",IF(OR(M2177="PENDENTE",M2177="PARCIAL"),"🟡 FATURAMENTO PENDENTE","🟡 EMBARQUE PENDENTE")))))))))))</f>
        <v/>
      </c>
      <c r="D2177" s="4" t="n"/>
      <c r="E2177" s="5" t="n"/>
      <c r="F2177" s="5" t="n"/>
      <c r="G2177" s="5" t="n"/>
      <c r="H2177" s="5" t="n"/>
      <c r="I2177" s="5" t="n"/>
      <c r="J2177" s="6" t="n"/>
      <c r="K2177" s="6" t="n"/>
      <c r="L2177" s="7">
        <f>IF(OR(D2177="",N(J2177)=0),"",MIN(1,N(K2177)/J2177))</f>
        <v/>
      </c>
      <c r="M2177" s="5" t="n"/>
      <c r="N2177" s="5" t="n"/>
      <c r="O2177" s="5" t="n"/>
      <c r="P2177" s="5" t="n"/>
      <c r="Q2177" s="5" t="n"/>
      <c r="R2177" s="4" t="n"/>
      <c r="S2177" s="4" t="n"/>
      <c r="T2177" s="5" t="n"/>
      <c r="U2177" s="8">
        <f>IF(AND(V2177=1,D2177&lt;&gt;""),IF(D2177&gt;=corte,TODAY()-D2177,""),"")</f>
        <v/>
      </c>
      <c r="V2177" s="8">
        <f>IF(D2177="",0,IF(OR(AND(P2177&lt;&gt;"",S2177=""),AND(N(J2177)&gt;0,N(K2177)&lt;J2177),OR(M2177="PENDENTE",M2177="PARCIAL"),OR(N2177="PENDENTE",N2177="PARCIAL")),1,0))</f>
        <v/>
      </c>
      <c r="W2177" s="8">
        <f>IF(AND(V2177=1,D2177&lt;&gt;""),IF(D2177&gt;=corte,(B2177="CRÍTICO")*1E9+(100000-D2177)*10000+10000-ROW(),""),"")</f>
        <v/>
      </c>
      <c r="X2177" s="8">
        <f>IF(AND(V2177=1,D2177=pas_data,E2177=pas_turno),10000-ROW(),"")</f>
        <v/>
      </c>
    </row>
    <row r="2178">
      <c r="A2178" s="3">
        <f>IF(D2178="","","TT-"&amp;TEXT(ROW()-1,"00000"))</f>
        <v/>
      </c>
      <c r="B2178" s="3">
        <f>IF(D2178="","",IF(V2178=0,"CONCLUÍDO",IF(D2178&lt;corte,"HISTÓRICO",IF(OR(AND(ISNUMBER(R2178),R2178&lt;TODAY()),AND(OR(N2178="PENDENTE",N2178="PARCIAL"),D2178&lt;TODAY()-1)),"CRÍTICO",IF(OR(AND(P2178&lt;&gt;"",S2178=""),AND(N2178="REALIZADO",M2178="PENDENTE"),AND(ISNUMBER(R2178),R2178=TODAY())),"ATENÇÃO",IF(N(K2178)=0,"PENDENTE","EM ANDAMENTO"))))))</f>
        <v/>
      </c>
      <c r="C2178" s="3">
        <f>IF(D2178="","",IF(V2178=0,"🟢 OK",IF(D2178&lt;corte,"⚪ HISTÓRICO (sem baixa)",IF(AND(ISNUMBER(R2178),R2178&lt;TODAY()),"🔴 PRAZO VENCIDO",IF(AND(OR(N2178="PENDENTE",N2178="PARCIAL"),D2178&lt;TODAY()-1),"🔴 EMBARQUE ATRASADO",IF(AND(N2178="REALIZADO",M2178="PENDENTE"),"🟡 EMBARCADO SEM FATURAR",IF(AND(P2178&lt;&gt;"",S2178="",OR(Q2178="",R2178="")),"🟡 PENDÊNCIA SEM RESPONSÁVEL/PRAZO",IF(AND(ISNUMBER(R2178),R2178=TODAY()),"🟡 VENCE HOJE",IF(AND(P2178&lt;&gt;"",S2178=""),"🟡 PENDÊNCIA ABERTA",IF(AND(N(J2178)&gt;0,N(K2178)&lt;J2178),"🟡 FALTA EXECUTAR",IF(OR(M2178="PENDENTE",M2178="PARCIAL"),"🟡 FATURAMENTO PENDENTE","🟡 EMBARQUE PENDENTE")))))))))))</f>
        <v/>
      </c>
      <c r="D2178" s="4" t="n"/>
      <c r="E2178" s="5" t="n"/>
      <c r="F2178" s="5" t="n"/>
      <c r="G2178" s="5" t="n"/>
      <c r="H2178" s="5" t="n"/>
      <c r="I2178" s="5" t="n"/>
      <c r="J2178" s="6" t="n"/>
      <c r="K2178" s="6" t="n"/>
      <c r="L2178" s="7">
        <f>IF(OR(D2178="",N(J2178)=0),"",MIN(1,N(K2178)/J2178))</f>
        <v/>
      </c>
      <c r="M2178" s="5" t="n"/>
      <c r="N2178" s="5" t="n"/>
      <c r="O2178" s="5" t="n"/>
      <c r="P2178" s="5" t="n"/>
      <c r="Q2178" s="5" t="n"/>
      <c r="R2178" s="4" t="n"/>
      <c r="S2178" s="4" t="n"/>
      <c r="T2178" s="5" t="n"/>
      <c r="U2178" s="8">
        <f>IF(AND(V2178=1,D2178&lt;&gt;""),IF(D2178&gt;=corte,TODAY()-D2178,""),"")</f>
        <v/>
      </c>
      <c r="V2178" s="8">
        <f>IF(D2178="",0,IF(OR(AND(P2178&lt;&gt;"",S2178=""),AND(N(J2178)&gt;0,N(K2178)&lt;J2178),OR(M2178="PENDENTE",M2178="PARCIAL"),OR(N2178="PENDENTE",N2178="PARCIAL")),1,0))</f>
        <v/>
      </c>
      <c r="W2178" s="8">
        <f>IF(AND(V2178=1,D2178&lt;&gt;""),IF(D2178&gt;=corte,(B2178="CRÍTICO")*1E9+(100000-D2178)*10000+10000-ROW(),""),"")</f>
        <v/>
      </c>
      <c r="X2178" s="8">
        <f>IF(AND(V2178=1,D2178=pas_data,E2178=pas_turno),10000-ROW(),"")</f>
        <v/>
      </c>
    </row>
    <row r="2179">
      <c r="A2179" s="3">
        <f>IF(D2179="","","TT-"&amp;TEXT(ROW()-1,"00000"))</f>
        <v/>
      </c>
      <c r="B2179" s="3">
        <f>IF(D2179="","",IF(V2179=0,"CONCLUÍDO",IF(D2179&lt;corte,"HISTÓRICO",IF(OR(AND(ISNUMBER(R2179),R2179&lt;TODAY()),AND(OR(N2179="PENDENTE",N2179="PARCIAL"),D2179&lt;TODAY()-1)),"CRÍTICO",IF(OR(AND(P2179&lt;&gt;"",S2179=""),AND(N2179="REALIZADO",M2179="PENDENTE"),AND(ISNUMBER(R2179),R2179=TODAY())),"ATENÇÃO",IF(N(K2179)=0,"PENDENTE","EM ANDAMENTO"))))))</f>
        <v/>
      </c>
      <c r="C2179" s="3">
        <f>IF(D2179="","",IF(V2179=0,"🟢 OK",IF(D2179&lt;corte,"⚪ HISTÓRICO (sem baixa)",IF(AND(ISNUMBER(R2179),R2179&lt;TODAY()),"🔴 PRAZO VENCIDO",IF(AND(OR(N2179="PENDENTE",N2179="PARCIAL"),D2179&lt;TODAY()-1),"🔴 EMBARQUE ATRASADO",IF(AND(N2179="REALIZADO",M2179="PENDENTE"),"🟡 EMBARCADO SEM FATURAR",IF(AND(P2179&lt;&gt;"",S2179="",OR(Q2179="",R2179="")),"🟡 PENDÊNCIA SEM RESPONSÁVEL/PRAZO",IF(AND(ISNUMBER(R2179),R2179=TODAY()),"🟡 VENCE HOJE",IF(AND(P2179&lt;&gt;"",S2179=""),"🟡 PENDÊNCIA ABERTA",IF(AND(N(J2179)&gt;0,N(K2179)&lt;J2179),"🟡 FALTA EXECUTAR",IF(OR(M2179="PENDENTE",M2179="PARCIAL"),"🟡 FATURAMENTO PENDENTE","🟡 EMBARQUE PENDENTE")))))))))))</f>
        <v/>
      </c>
      <c r="D2179" s="4" t="n"/>
      <c r="E2179" s="5" t="n"/>
      <c r="F2179" s="5" t="n"/>
      <c r="G2179" s="5" t="n"/>
      <c r="H2179" s="5" t="n"/>
      <c r="I2179" s="5" t="n"/>
      <c r="J2179" s="6" t="n"/>
      <c r="K2179" s="6" t="n"/>
      <c r="L2179" s="7">
        <f>IF(OR(D2179="",N(J2179)=0),"",MIN(1,N(K2179)/J2179))</f>
        <v/>
      </c>
      <c r="M2179" s="5" t="n"/>
      <c r="N2179" s="5" t="n"/>
      <c r="O2179" s="5" t="n"/>
      <c r="P2179" s="5" t="n"/>
      <c r="Q2179" s="5" t="n"/>
      <c r="R2179" s="4" t="n"/>
      <c r="S2179" s="4" t="n"/>
      <c r="T2179" s="5" t="n"/>
      <c r="U2179" s="8">
        <f>IF(AND(V2179=1,D2179&lt;&gt;""),IF(D2179&gt;=corte,TODAY()-D2179,""),"")</f>
        <v/>
      </c>
      <c r="V2179" s="8">
        <f>IF(D2179="",0,IF(OR(AND(P2179&lt;&gt;"",S2179=""),AND(N(J2179)&gt;0,N(K2179)&lt;J2179),OR(M2179="PENDENTE",M2179="PARCIAL"),OR(N2179="PENDENTE",N2179="PARCIAL")),1,0))</f>
        <v/>
      </c>
      <c r="W2179" s="8">
        <f>IF(AND(V2179=1,D2179&lt;&gt;""),IF(D2179&gt;=corte,(B2179="CRÍTICO")*1E9+(100000-D2179)*10000+10000-ROW(),""),"")</f>
        <v/>
      </c>
      <c r="X2179" s="8">
        <f>IF(AND(V2179=1,D2179=pas_data,E2179=pas_turno),10000-ROW(),"")</f>
        <v/>
      </c>
    </row>
    <row r="2180">
      <c r="A2180" s="3">
        <f>IF(D2180="","","TT-"&amp;TEXT(ROW()-1,"00000"))</f>
        <v/>
      </c>
      <c r="B2180" s="3">
        <f>IF(D2180="","",IF(V2180=0,"CONCLUÍDO",IF(D2180&lt;corte,"HISTÓRICO",IF(OR(AND(ISNUMBER(R2180),R2180&lt;TODAY()),AND(OR(N2180="PENDENTE",N2180="PARCIAL"),D2180&lt;TODAY()-1)),"CRÍTICO",IF(OR(AND(P2180&lt;&gt;"",S2180=""),AND(N2180="REALIZADO",M2180="PENDENTE"),AND(ISNUMBER(R2180),R2180=TODAY())),"ATENÇÃO",IF(N(K2180)=0,"PENDENTE","EM ANDAMENTO"))))))</f>
        <v/>
      </c>
      <c r="C2180" s="3">
        <f>IF(D2180="","",IF(V2180=0,"🟢 OK",IF(D2180&lt;corte,"⚪ HISTÓRICO (sem baixa)",IF(AND(ISNUMBER(R2180),R2180&lt;TODAY()),"🔴 PRAZO VENCIDO",IF(AND(OR(N2180="PENDENTE",N2180="PARCIAL"),D2180&lt;TODAY()-1),"🔴 EMBARQUE ATRASADO",IF(AND(N2180="REALIZADO",M2180="PENDENTE"),"🟡 EMBARCADO SEM FATURAR",IF(AND(P2180&lt;&gt;"",S2180="",OR(Q2180="",R2180="")),"🟡 PENDÊNCIA SEM RESPONSÁVEL/PRAZO",IF(AND(ISNUMBER(R2180),R2180=TODAY()),"🟡 VENCE HOJE",IF(AND(P2180&lt;&gt;"",S2180=""),"🟡 PENDÊNCIA ABERTA",IF(AND(N(J2180)&gt;0,N(K2180)&lt;J2180),"🟡 FALTA EXECUTAR",IF(OR(M2180="PENDENTE",M2180="PARCIAL"),"🟡 FATURAMENTO PENDENTE","🟡 EMBARQUE PENDENTE")))))))))))</f>
        <v/>
      </c>
      <c r="D2180" s="4" t="n"/>
      <c r="E2180" s="5" t="n"/>
      <c r="F2180" s="5" t="n"/>
      <c r="G2180" s="5" t="n"/>
      <c r="H2180" s="5" t="n"/>
      <c r="I2180" s="5" t="n"/>
      <c r="J2180" s="6" t="n"/>
      <c r="K2180" s="6" t="n"/>
      <c r="L2180" s="7">
        <f>IF(OR(D2180="",N(J2180)=0),"",MIN(1,N(K2180)/J2180))</f>
        <v/>
      </c>
      <c r="M2180" s="5" t="n"/>
      <c r="N2180" s="5" t="n"/>
      <c r="O2180" s="5" t="n"/>
      <c r="P2180" s="5" t="n"/>
      <c r="Q2180" s="5" t="n"/>
      <c r="R2180" s="4" t="n"/>
      <c r="S2180" s="4" t="n"/>
      <c r="T2180" s="5" t="n"/>
      <c r="U2180" s="8">
        <f>IF(AND(V2180=1,D2180&lt;&gt;""),IF(D2180&gt;=corte,TODAY()-D2180,""),"")</f>
        <v/>
      </c>
      <c r="V2180" s="8">
        <f>IF(D2180="",0,IF(OR(AND(P2180&lt;&gt;"",S2180=""),AND(N(J2180)&gt;0,N(K2180)&lt;J2180),OR(M2180="PENDENTE",M2180="PARCIAL"),OR(N2180="PENDENTE",N2180="PARCIAL")),1,0))</f>
        <v/>
      </c>
      <c r="W2180" s="8">
        <f>IF(AND(V2180=1,D2180&lt;&gt;""),IF(D2180&gt;=corte,(B2180="CRÍTICO")*1E9+(100000-D2180)*10000+10000-ROW(),""),"")</f>
        <v/>
      </c>
      <c r="X2180" s="8">
        <f>IF(AND(V2180=1,D2180=pas_data,E2180=pas_turno),10000-ROW(),"")</f>
        <v/>
      </c>
    </row>
    <row r="2181">
      <c r="A2181" s="3">
        <f>IF(D2181="","","TT-"&amp;TEXT(ROW()-1,"00000"))</f>
        <v/>
      </c>
      <c r="B2181" s="3">
        <f>IF(D2181="","",IF(V2181=0,"CONCLUÍDO",IF(D2181&lt;corte,"HISTÓRICO",IF(OR(AND(ISNUMBER(R2181),R2181&lt;TODAY()),AND(OR(N2181="PENDENTE",N2181="PARCIAL"),D2181&lt;TODAY()-1)),"CRÍTICO",IF(OR(AND(P2181&lt;&gt;"",S2181=""),AND(N2181="REALIZADO",M2181="PENDENTE"),AND(ISNUMBER(R2181),R2181=TODAY())),"ATENÇÃO",IF(N(K2181)=0,"PENDENTE","EM ANDAMENTO"))))))</f>
        <v/>
      </c>
      <c r="C2181" s="3">
        <f>IF(D2181="","",IF(V2181=0,"🟢 OK",IF(D2181&lt;corte,"⚪ HISTÓRICO (sem baixa)",IF(AND(ISNUMBER(R2181),R2181&lt;TODAY()),"🔴 PRAZO VENCIDO",IF(AND(OR(N2181="PENDENTE",N2181="PARCIAL"),D2181&lt;TODAY()-1),"🔴 EMBARQUE ATRASADO",IF(AND(N2181="REALIZADO",M2181="PENDENTE"),"🟡 EMBARCADO SEM FATURAR",IF(AND(P2181&lt;&gt;"",S2181="",OR(Q2181="",R2181="")),"🟡 PENDÊNCIA SEM RESPONSÁVEL/PRAZO",IF(AND(ISNUMBER(R2181),R2181=TODAY()),"🟡 VENCE HOJE",IF(AND(P2181&lt;&gt;"",S2181=""),"🟡 PENDÊNCIA ABERTA",IF(AND(N(J2181)&gt;0,N(K2181)&lt;J2181),"🟡 FALTA EXECUTAR",IF(OR(M2181="PENDENTE",M2181="PARCIAL"),"🟡 FATURAMENTO PENDENTE","🟡 EMBARQUE PENDENTE")))))))))))</f>
        <v/>
      </c>
      <c r="D2181" s="4" t="n"/>
      <c r="E2181" s="5" t="n"/>
      <c r="F2181" s="5" t="n"/>
      <c r="G2181" s="5" t="n"/>
      <c r="H2181" s="5" t="n"/>
      <c r="I2181" s="5" t="n"/>
      <c r="J2181" s="6" t="n"/>
      <c r="K2181" s="6" t="n"/>
      <c r="L2181" s="7">
        <f>IF(OR(D2181="",N(J2181)=0),"",MIN(1,N(K2181)/J2181))</f>
        <v/>
      </c>
      <c r="M2181" s="5" t="n"/>
      <c r="N2181" s="5" t="n"/>
      <c r="O2181" s="5" t="n"/>
      <c r="P2181" s="5" t="n"/>
      <c r="Q2181" s="5" t="n"/>
      <c r="R2181" s="4" t="n"/>
      <c r="S2181" s="4" t="n"/>
      <c r="T2181" s="5" t="n"/>
      <c r="U2181" s="8">
        <f>IF(AND(V2181=1,D2181&lt;&gt;""),IF(D2181&gt;=corte,TODAY()-D2181,""),"")</f>
        <v/>
      </c>
      <c r="V2181" s="8">
        <f>IF(D2181="",0,IF(OR(AND(P2181&lt;&gt;"",S2181=""),AND(N(J2181)&gt;0,N(K2181)&lt;J2181),OR(M2181="PENDENTE",M2181="PARCIAL"),OR(N2181="PENDENTE",N2181="PARCIAL")),1,0))</f>
        <v/>
      </c>
      <c r="W2181" s="8">
        <f>IF(AND(V2181=1,D2181&lt;&gt;""),IF(D2181&gt;=corte,(B2181="CRÍTICO")*1E9+(100000-D2181)*10000+10000-ROW(),""),"")</f>
        <v/>
      </c>
      <c r="X2181" s="8">
        <f>IF(AND(V2181=1,D2181=pas_data,E2181=pas_turno),10000-ROW(),"")</f>
        <v/>
      </c>
    </row>
    <row r="2182">
      <c r="A2182" s="3">
        <f>IF(D2182="","","TT-"&amp;TEXT(ROW()-1,"00000"))</f>
        <v/>
      </c>
      <c r="B2182" s="3">
        <f>IF(D2182="","",IF(V2182=0,"CONCLUÍDO",IF(D2182&lt;corte,"HISTÓRICO",IF(OR(AND(ISNUMBER(R2182),R2182&lt;TODAY()),AND(OR(N2182="PENDENTE",N2182="PARCIAL"),D2182&lt;TODAY()-1)),"CRÍTICO",IF(OR(AND(P2182&lt;&gt;"",S2182=""),AND(N2182="REALIZADO",M2182="PENDENTE"),AND(ISNUMBER(R2182),R2182=TODAY())),"ATENÇÃO",IF(N(K2182)=0,"PENDENTE","EM ANDAMENTO"))))))</f>
        <v/>
      </c>
      <c r="C2182" s="3">
        <f>IF(D2182="","",IF(V2182=0,"🟢 OK",IF(D2182&lt;corte,"⚪ HISTÓRICO (sem baixa)",IF(AND(ISNUMBER(R2182),R2182&lt;TODAY()),"🔴 PRAZO VENCIDO",IF(AND(OR(N2182="PENDENTE",N2182="PARCIAL"),D2182&lt;TODAY()-1),"🔴 EMBARQUE ATRASADO",IF(AND(N2182="REALIZADO",M2182="PENDENTE"),"🟡 EMBARCADO SEM FATURAR",IF(AND(P2182&lt;&gt;"",S2182="",OR(Q2182="",R2182="")),"🟡 PENDÊNCIA SEM RESPONSÁVEL/PRAZO",IF(AND(ISNUMBER(R2182),R2182=TODAY()),"🟡 VENCE HOJE",IF(AND(P2182&lt;&gt;"",S2182=""),"🟡 PENDÊNCIA ABERTA",IF(AND(N(J2182)&gt;0,N(K2182)&lt;J2182),"🟡 FALTA EXECUTAR",IF(OR(M2182="PENDENTE",M2182="PARCIAL"),"🟡 FATURAMENTO PENDENTE","🟡 EMBARQUE PENDENTE")))))))))))</f>
        <v/>
      </c>
      <c r="D2182" s="4" t="n"/>
      <c r="E2182" s="5" t="n"/>
      <c r="F2182" s="5" t="n"/>
      <c r="G2182" s="5" t="n"/>
      <c r="H2182" s="5" t="n"/>
      <c r="I2182" s="5" t="n"/>
      <c r="J2182" s="6" t="n"/>
      <c r="K2182" s="6" t="n"/>
      <c r="L2182" s="7">
        <f>IF(OR(D2182="",N(J2182)=0),"",MIN(1,N(K2182)/J2182))</f>
        <v/>
      </c>
      <c r="M2182" s="5" t="n"/>
      <c r="N2182" s="5" t="n"/>
      <c r="O2182" s="5" t="n"/>
      <c r="P2182" s="5" t="n"/>
      <c r="Q2182" s="5" t="n"/>
      <c r="R2182" s="4" t="n"/>
      <c r="S2182" s="4" t="n"/>
      <c r="T2182" s="5" t="n"/>
      <c r="U2182" s="8">
        <f>IF(AND(V2182=1,D2182&lt;&gt;""),IF(D2182&gt;=corte,TODAY()-D2182,""),"")</f>
        <v/>
      </c>
      <c r="V2182" s="8">
        <f>IF(D2182="",0,IF(OR(AND(P2182&lt;&gt;"",S2182=""),AND(N(J2182)&gt;0,N(K2182)&lt;J2182),OR(M2182="PENDENTE",M2182="PARCIAL"),OR(N2182="PENDENTE",N2182="PARCIAL")),1,0))</f>
        <v/>
      </c>
      <c r="W2182" s="8">
        <f>IF(AND(V2182=1,D2182&lt;&gt;""),IF(D2182&gt;=corte,(B2182="CRÍTICO")*1E9+(100000-D2182)*10000+10000-ROW(),""),"")</f>
        <v/>
      </c>
      <c r="X2182" s="8">
        <f>IF(AND(V2182=1,D2182=pas_data,E2182=pas_turno),10000-ROW(),"")</f>
        <v/>
      </c>
    </row>
    <row r="2183">
      <c r="A2183" s="3">
        <f>IF(D2183="","","TT-"&amp;TEXT(ROW()-1,"00000"))</f>
        <v/>
      </c>
      <c r="B2183" s="3">
        <f>IF(D2183="","",IF(V2183=0,"CONCLUÍDO",IF(D2183&lt;corte,"HISTÓRICO",IF(OR(AND(ISNUMBER(R2183),R2183&lt;TODAY()),AND(OR(N2183="PENDENTE",N2183="PARCIAL"),D2183&lt;TODAY()-1)),"CRÍTICO",IF(OR(AND(P2183&lt;&gt;"",S2183=""),AND(N2183="REALIZADO",M2183="PENDENTE"),AND(ISNUMBER(R2183),R2183=TODAY())),"ATENÇÃO",IF(N(K2183)=0,"PENDENTE","EM ANDAMENTO"))))))</f>
        <v/>
      </c>
      <c r="C2183" s="3">
        <f>IF(D2183="","",IF(V2183=0,"🟢 OK",IF(D2183&lt;corte,"⚪ HISTÓRICO (sem baixa)",IF(AND(ISNUMBER(R2183),R2183&lt;TODAY()),"🔴 PRAZO VENCIDO",IF(AND(OR(N2183="PENDENTE",N2183="PARCIAL"),D2183&lt;TODAY()-1),"🔴 EMBARQUE ATRASADO",IF(AND(N2183="REALIZADO",M2183="PENDENTE"),"🟡 EMBARCADO SEM FATURAR",IF(AND(P2183&lt;&gt;"",S2183="",OR(Q2183="",R2183="")),"🟡 PENDÊNCIA SEM RESPONSÁVEL/PRAZO",IF(AND(ISNUMBER(R2183),R2183=TODAY()),"🟡 VENCE HOJE",IF(AND(P2183&lt;&gt;"",S2183=""),"🟡 PENDÊNCIA ABERTA",IF(AND(N(J2183)&gt;0,N(K2183)&lt;J2183),"🟡 FALTA EXECUTAR",IF(OR(M2183="PENDENTE",M2183="PARCIAL"),"🟡 FATURAMENTO PENDENTE","🟡 EMBARQUE PENDENTE")))))))))))</f>
        <v/>
      </c>
      <c r="D2183" s="4" t="n"/>
      <c r="E2183" s="5" t="n"/>
      <c r="F2183" s="5" t="n"/>
      <c r="G2183" s="5" t="n"/>
      <c r="H2183" s="5" t="n"/>
      <c r="I2183" s="5" t="n"/>
      <c r="J2183" s="6" t="n"/>
      <c r="K2183" s="6" t="n"/>
      <c r="L2183" s="7">
        <f>IF(OR(D2183="",N(J2183)=0),"",MIN(1,N(K2183)/J2183))</f>
        <v/>
      </c>
      <c r="M2183" s="5" t="n"/>
      <c r="N2183" s="5" t="n"/>
      <c r="O2183" s="5" t="n"/>
      <c r="P2183" s="5" t="n"/>
      <c r="Q2183" s="5" t="n"/>
      <c r="R2183" s="4" t="n"/>
      <c r="S2183" s="4" t="n"/>
      <c r="T2183" s="5" t="n"/>
      <c r="U2183" s="8">
        <f>IF(AND(V2183=1,D2183&lt;&gt;""),IF(D2183&gt;=corte,TODAY()-D2183,""),"")</f>
        <v/>
      </c>
      <c r="V2183" s="8">
        <f>IF(D2183="",0,IF(OR(AND(P2183&lt;&gt;"",S2183=""),AND(N(J2183)&gt;0,N(K2183)&lt;J2183),OR(M2183="PENDENTE",M2183="PARCIAL"),OR(N2183="PENDENTE",N2183="PARCIAL")),1,0))</f>
        <v/>
      </c>
      <c r="W2183" s="8">
        <f>IF(AND(V2183=1,D2183&lt;&gt;""),IF(D2183&gt;=corte,(B2183="CRÍTICO")*1E9+(100000-D2183)*10000+10000-ROW(),""),"")</f>
        <v/>
      </c>
      <c r="X2183" s="8">
        <f>IF(AND(V2183=1,D2183=pas_data,E2183=pas_turno),10000-ROW(),"")</f>
        <v/>
      </c>
    </row>
    <row r="2184">
      <c r="A2184" s="3">
        <f>IF(D2184="","","TT-"&amp;TEXT(ROW()-1,"00000"))</f>
        <v/>
      </c>
      <c r="B2184" s="3">
        <f>IF(D2184="","",IF(V2184=0,"CONCLUÍDO",IF(D2184&lt;corte,"HISTÓRICO",IF(OR(AND(ISNUMBER(R2184),R2184&lt;TODAY()),AND(OR(N2184="PENDENTE",N2184="PARCIAL"),D2184&lt;TODAY()-1)),"CRÍTICO",IF(OR(AND(P2184&lt;&gt;"",S2184=""),AND(N2184="REALIZADO",M2184="PENDENTE"),AND(ISNUMBER(R2184),R2184=TODAY())),"ATENÇÃO",IF(N(K2184)=0,"PENDENTE","EM ANDAMENTO"))))))</f>
        <v/>
      </c>
      <c r="C2184" s="3">
        <f>IF(D2184="","",IF(V2184=0,"🟢 OK",IF(D2184&lt;corte,"⚪ HISTÓRICO (sem baixa)",IF(AND(ISNUMBER(R2184),R2184&lt;TODAY()),"🔴 PRAZO VENCIDO",IF(AND(OR(N2184="PENDENTE",N2184="PARCIAL"),D2184&lt;TODAY()-1),"🔴 EMBARQUE ATRASADO",IF(AND(N2184="REALIZADO",M2184="PENDENTE"),"🟡 EMBARCADO SEM FATURAR",IF(AND(P2184&lt;&gt;"",S2184="",OR(Q2184="",R2184="")),"🟡 PENDÊNCIA SEM RESPONSÁVEL/PRAZO",IF(AND(ISNUMBER(R2184),R2184=TODAY()),"🟡 VENCE HOJE",IF(AND(P2184&lt;&gt;"",S2184=""),"🟡 PENDÊNCIA ABERTA",IF(AND(N(J2184)&gt;0,N(K2184)&lt;J2184),"🟡 FALTA EXECUTAR",IF(OR(M2184="PENDENTE",M2184="PARCIAL"),"🟡 FATURAMENTO PENDENTE","🟡 EMBARQUE PENDENTE")))))))))))</f>
        <v/>
      </c>
      <c r="D2184" s="4" t="n"/>
      <c r="E2184" s="5" t="n"/>
      <c r="F2184" s="5" t="n"/>
      <c r="G2184" s="5" t="n"/>
      <c r="H2184" s="5" t="n"/>
      <c r="I2184" s="5" t="n"/>
      <c r="J2184" s="6" t="n"/>
      <c r="K2184" s="6" t="n"/>
      <c r="L2184" s="7">
        <f>IF(OR(D2184="",N(J2184)=0),"",MIN(1,N(K2184)/J2184))</f>
        <v/>
      </c>
      <c r="M2184" s="5" t="n"/>
      <c r="N2184" s="5" t="n"/>
      <c r="O2184" s="5" t="n"/>
      <c r="P2184" s="5" t="n"/>
      <c r="Q2184" s="5" t="n"/>
      <c r="R2184" s="4" t="n"/>
      <c r="S2184" s="4" t="n"/>
      <c r="T2184" s="5" t="n"/>
      <c r="U2184" s="8">
        <f>IF(AND(V2184=1,D2184&lt;&gt;""),IF(D2184&gt;=corte,TODAY()-D2184,""),"")</f>
        <v/>
      </c>
      <c r="V2184" s="8">
        <f>IF(D2184="",0,IF(OR(AND(P2184&lt;&gt;"",S2184=""),AND(N(J2184)&gt;0,N(K2184)&lt;J2184),OR(M2184="PENDENTE",M2184="PARCIAL"),OR(N2184="PENDENTE",N2184="PARCIAL")),1,0))</f>
        <v/>
      </c>
      <c r="W2184" s="8">
        <f>IF(AND(V2184=1,D2184&lt;&gt;""),IF(D2184&gt;=corte,(B2184="CRÍTICO")*1E9+(100000-D2184)*10000+10000-ROW(),""),"")</f>
        <v/>
      </c>
      <c r="X2184" s="8">
        <f>IF(AND(V2184=1,D2184=pas_data,E2184=pas_turno),10000-ROW(),"")</f>
        <v/>
      </c>
    </row>
    <row r="2185">
      <c r="A2185" s="3">
        <f>IF(D2185="","","TT-"&amp;TEXT(ROW()-1,"00000"))</f>
        <v/>
      </c>
      <c r="B2185" s="3">
        <f>IF(D2185="","",IF(V2185=0,"CONCLUÍDO",IF(D2185&lt;corte,"HISTÓRICO",IF(OR(AND(ISNUMBER(R2185),R2185&lt;TODAY()),AND(OR(N2185="PENDENTE",N2185="PARCIAL"),D2185&lt;TODAY()-1)),"CRÍTICO",IF(OR(AND(P2185&lt;&gt;"",S2185=""),AND(N2185="REALIZADO",M2185="PENDENTE"),AND(ISNUMBER(R2185),R2185=TODAY())),"ATENÇÃO",IF(N(K2185)=0,"PENDENTE","EM ANDAMENTO"))))))</f>
        <v/>
      </c>
      <c r="C2185" s="3">
        <f>IF(D2185="","",IF(V2185=0,"🟢 OK",IF(D2185&lt;corte,"⚪ HISTÓRICO (sem baixa)",IF(AND(ISNUMBER(R2185),R2185&lt;TODAY()),"🔴 PRAZO VENCIDO",IF(AND(OR(N2185="PENDENTE",N2185="PARCIAL"),D2185&lt;TODAY()-1),"🔴 EMBARQUE ATRASADO",IF(AND(N2185="REALIZADO",M2185="PENDENTE"),"🟡 EMBARCADO SEM FATURAR",IF(AND(P2185&lt;&gt;"",S2185="",OR(Q2185="",R2185="")),"🟡 PENDÊNCIA SEM RESPONSÁVEL/PRAZO",IF(AND(ISNUMBER(R2185),R2185=TODAY()),"🟡 VENCE HOJE",IF(AND(P2185&lt;&gt;"",S2185=""),"🟡 PENDÊNCIA ABERTA",IF(AND(N(J2185)&gt;0,N(K2185)&lt;J2185),"🟡 FALTA EXECUTAR",IF(OR(M2185="PENDENTE",M2185="PARCIAL"),"🟡 FATURAMENTO PENDENTE","🟡 EMBARQUE PENDENTE")))))))))))</f>
        <v/>
      </c>
      <c r="D2185" s="4" t="n"/>
      <c r="E2185" s="5" t="n"/>
      <c r="F2185" s="5" t="n"/>
      <c r="G2185" s="5" t="n"/>
      <c r="H2185" s="5" t="n"/>
      <c r="I2185" s="5" t="n"/>
      <c r="J2185" s="6" t="n"/>
      <c r="K2185" s="6" t="n"/>
      <c r="L2185" s="7">
        <f>IF(OR(D2185="",N(J2185)=0),"",MIN(1,N(K2185)/J2185))</f>
        <v/>
      </c>
      <c r="M2185" s="5" t="n"/>
      <c r="N2185" s="5" t="n"/>
      <c r="O2185" s="5" t="n"/>
      <c r="P2185" s="5" t="n"/>
      <c r="Q2185" s="5" t="n"/>
      <c r="R2185" s="4" t="n"/>
      <c r="S2185" s="4" t="n"/>
      <c r="T2185" s="5" t="n"/>
      <c r="U2185" s="8">
        <f>IF(AND(V2185=1,D2185&lt;&gt;""),IF(D2185&gt;=corte,TODAY()-D2185,""),"")</f>
        <v/>
      </c>
      <c r="V2185" s="8">
        <f>IF(D2185="",0,IF(OR(AND(P2185&lt;&gt;"",S2185=""),AND(N(J2185)&gt;0,N(K2185)&lt;J2185),OR(M2185="PENDENTE",M2185="PARCIAL"),OR(N2185="PENDENTE",N2185="PARCIAL")),1,0))</f>
        <v/>
      </c>
      <c r="W2185" s="8">
        <f>IF(AND(V2185=1,D2185&lt;&gt;""),IF(D2185&gt;=corte,(B2185="CRÍTICO")*1E9+(100000-D2185)*10000+10000-ROW(),""),"")</f>
        <v/>
      </c>
      <c r="X2185" s="8">
        <f>IF(AND(V2185=1,D2185=pas_data,E2185=pas_turno),10000-ROW(),"")</f>
        <v/>
      </c>
    </row>
    <row r="2186">
      <c r="A2186" s="3">
        <f>IF(D2186="","","TT-"&amp;TEXT(ROW()-1,"00000"))</f>
        <v/>
      </c>
      <c r="B2186" s="3">
        <f>IF(D2186="","",IF(V2186=0,"CONCLUÍDO",IF(D2186&lt;corte,"HISTÓRICO",IF(OR(AND(ISNUMBER(R2186),R2186&lt;TODAY()),AND(OR(N2186="PENDENTE",N2186="PARCIAL"),D2186&lt;TODAY()-1)),"CRÍTICO",IF(OR(AND(P2186&lt;&gt;"",S2186=""),AND(N2186="REALIZADO",M2186="PENDENTE"),AND(ISNUMBER(R2186),R2186=TODAY())),"ATENÇÃO",IF(N(K2186)=0,"PENDENTE","EM ANDAMENTO"))))))</f>
        <v/>
      </c>
      <c r="C2186" s="3">
        <f>IF(D2186="","",IF(V2186=0,"🟢 OK",IF(D2186&lt;corte,"⚪ HISTÓRICO (sem baixa)",IF(AND(ISNUMBER(R2186),R2186&lt;TODAY()),"🔴 PRAZO VENCIDO",IF(AND(OR(N2186="PENDENTE",N2186="PARCIAL"),D2186&lt;TODAY()-1),"🔴 EMBARQUE ATRASADO",IF(AND(N2186="REALIZADO",M2186="PENDENTE"),"🟡 EMBARCADO SEM FATURAR",IF(AND(P2186&lt;&gt;"",S2186="",OR(Q2186="",R2186="")),"🟡 PENDÊNCIA SEM RESPONSÁVEL/PRAZO",IF(AND(ISNUMBER(R2186),R2186=TODAY()),"🟡 VENCE HOJE",IF(AND(P2186&lt;&gt;"",S2186=""),"🟡 PENDÊNCIA ABERTA",IF(AND(N(J2186)&gt;0,N(K2186)&lt;J2186),"🟡 FALTA EXECUTAR",IF(OR(M2186="PENDENTE",M2186="PARCIAL"),"🟡 FATURAMENTO PENDENTE","🟡 EMBARQUE PENDENTE")))))))))))</f>
        <v/>
      </c>
      <c r="D2186" s="4" t="n"/>
      <c r="E2186" s="5" t="n"/>
      <c r="F2186" s="5" t="n"/>
      <c r="G2186" s="5" t="n"/>
      <c r="H2186" s="5" t="n"/>
      <c r="I2186" s="5" t="n"/>
      <c r="J2186" s="6" t="n"/>
      <c r="K2186" s="6" t="n"/>
      <c r="L2186" s="7">
        <f>IF(OR(D2186="",N(J2186)=0),"",MIN(1,N(K2186)/J2186))</f>
        <v/>
      </c>
      <c r="M2186" s="5" t="n"/>
      <c r="N2186" s="5" t="n"/>
      <c r="O2186" s="5" t="n"/>
      <c r="P2186" s="5" t="n"/>
      <c r="Q2186" s="5" t="n"/>
      <c r="R2186" s="4" t="n"/>
      <c r="S2186" s="4" t="n"/>
      <c r="T2186" s="5" t="n"/>
      <c r="U2186" s="8">
        <f>IF(AND(V2186=1,D2186&lt;&gt;""),IF(D2186&gt;=corte,TODAY()-D2186,""),"")</f>
        <v/>
      </c>
      <c r="V2186" s="8">
        <f>IF(D2186="",0,IF(OR(AND(P2186&lt;&gt;"",S2186=""),AND(N(J2186)&gt;0,N(K2186)&lt;J2186),OR(M2186="PENDENTE",M2186="PARCIAL"),OR(N2186="PENDENTE",N2186="PARCIAL")),1,0))</f>
        <v/>
      </c>
      <c r="W2186" s="8">
        <f>IF(AND(V2186=1,D2186&lt;&gt;""),IF(D2186&gt;=corte,(B2186="CRÍTICO")*1E9+(100000-D2186)*10000+10000-ROW(),""),"")</f>
        <v/>
      </c>
      <c r="X2186" s="8">
        <f>IF(AND(V2186=1,D2186=pas_data,E2186=pas_turno),10000-ROW(),"")</f>
        <v/>
      </c>
    </row>
    <row r="2187">
      <c r="A2187" s="3">
        <f>IF(D2187="","","TT-"&amp;TEXT(ROW()-1,"00000"))</f>
        <v/>
      </c>
      <c r="B2187" s="3">
        <f>IF(D2187="","",IF(V2187=0,"CONCLUÍDO",IF(D2187&lt;corte,"HISTÓRICO",IF(OR(AND(ISNUMBER(R2187),R2187&lt;TODAY()),AND(OR(N2187="PENDENTE",N2187="PARCIAL"),D2187&lt;TODAY()-1)),"CRÍTICO",IF(OR(AND(P2187&lt;&gt;"",S2187=""),AND(N2187="REALIZADO",M2187="PENDENTE"),AND(ISNUMBER(R2187),R2187=TODAY())),"ATENÇÃO",IF(N(K2187)=0,"PENDENTE","EM ANDAMENTO"))))))</f>
        <v/>
      </c>
      <c r="C2187" s="3">
        <f>IF(D2187="","",IF(V2187=0,"🟢 OK",IF(D2187&lt;corte,"⚪ HISTÓRICO (sem baixa)",IF(AND(ISNUMBER(R2187),R2187&lt;TODAY()),"🔴 PRAZO VENCIDO",IF(AND(OR(N2187="PENDENTE",N2187="PARCIAL"),D2187&lt;TODAY()-1),"🔴 EMBARQUE ATRASADO",IF(AND(N2187="REALIZADO",M2187="PENDENTE"),"🟡 EMBARCADO SEM FATURAR",IF(AND(P2187&lt;&gt;"",S2187="",OR(Q2187="",R2187="")),"🟡 PENDÊNCIA SEM RESPONSÁVEL/PRAZO",IF(AND(ISNUMBER(R2187),R2187=TODAY()),"🟡 VENCE HOJE",IF(AND(P2187&lt;&gt;"",S2187=""),"🟡 PENDÊNCIA ABERTA",IF(AND(N(J2187)&gt;0,N(K2187)&lt;J2187),"🟡 FALTA EXECUTAR",IF(OR(M2187="PENDENTE",M2187="PARCIAL"),"🟡 FATURAMENTO PENDENTE","🟡 EMBARQUE PENDENTE")))))))))))</f>
        <v/>
      </c>
      <c r="D2187" s="4" t="n"/>
      <c r="E2187" s="5" t="n"/>
      <c r="F2187" s="5" t="n"/>
      <c r="G2187" s="5" t="n"/>
      <c r="H2187" s="5" t="n"/>
      <c r="I2187" s="5" t="n"/>
      <c r="J2187" s="6" t="n"/>
      <c r="K2187" s="6" t="n"/>
      <c r="L2187" s="7">
        <f>IF(OR(D2187="",N(J2187)=0),"",MIN(1,N(K2187)/J2187))</f>
        <v/>
      </c>
      <c r="M2187" s="5" t="n"/>
      <c r="N2187" s="5" t="n"/>
      <c r="O2187" s="5" t="n"/>
      <c r="P2187" s="5" t="n"/>
      <c r="Q2187" s="5" t="n"/>
      <c r="R2187" s="4" t="n"/>
      <c r="S2187" s="4" t="n"/>
      <c r="T2187" s="5" t="n"/>
      <c r="U2187" s="8">
        <f>IF(AND(V2187=1,D2187&lt;&gt;""),IF(D2187&gt;=corte,TODAY()-D2187,""),"")</f>
        <v/>
      </c>
      <c r="V2187" s="8">
        <f>IF(D2187="",0,IF(OR(AND(P2187&lt;&gt;"",S2187=""),AND(N(J2187)&gt;0,N(K2187)&lt;J2187),OR(M2187="PENDENTE",M2187="PARCIAL"),OR(N2187="PENDENTE",N2187="PARCIAL")),1,0))</f>
        <v/>
      </c>
      <c r="W2187" s="8">
        <f>IF(AND(V2187=1,D2187&lt;&gt;""),IF(D2187&gt;=corte,(B2187="CRÍTICO")*1E9+(100000-D2187)*10000+10000-ROW(),""),"")</f>
        <v/>
      </c>
      <c r="X2187" s="8">
        <f>IF(AND(V2187=1,D2187=pas_data,E2187=pas_turno),10000-ROW(),"")</f>
        <v/>
      </c>
    </row>
    <row r="2188">
      <c r="A2188" s="3">
        <f>IF(D2188="","","TT-"&amp;TEXT(ROW()-1,"00000"))</f>
        <v/>
      </c>
      <c r="B2188" s="3">
        <f>IF(D2188="","",IF(V2188=0,"CONCLUÍDO",IF(D2188&lt;corte,"HISTÓRICO",IF(OR(AND(ISNUMBER(R2188),R2188&lt;TODAY()),AND(OR(N2188="PENDENTE",N2188="PARCIAL"),D2188&lt;TODAY()-1)),"CRÍTICO",IF(OR(AND(P2188&lt;&gt;"",S2188=""),AND(N2188="REALIZADO",M2188="PENDENTE"),AND(ISNUMBER(R2188),R2188=TODAY())),"ATENÇÃO",IF(N(K2188)=0,"PENDENTE","EM ANDAMENTO"))))))</f>
        <v/>
      </c>
      <c r="C2188" s="3">
        <f>IF(D2188="","",IF(V2188=0,"🟢 OK",IF(D2188&lt;corte,"⚪ HISTÓRICO (sem baixa)",IF(AND(ISNUMBER(R2188),R2188&lt;TODAY()),"🔴 PRAZO VENCIDO",IF(AND(OR(N2188="PENDENTE",N2188="PARCIAL"),D2188&lt;TODAY()-1),"🔴 EMBARQUE ATRASADO",IF(AND(N2188="REALIZADO",M2188="PENDENTE"),"🟡 EMBARCADO SEM FATURAR",IF(AND(P2188&lt;&gt;"",S2188="",OR(Q2188="",R2188="")),"🟡 PENDÊNCIA SEM RESPONSÁVEL/PRAZO",IF(AND(ISNUMBER(R2188),R2188=TODAY()),"🟡 VENCE HOJE",IF(AND(P2188&lt;&gt;"",S2188=""),"🟡 PENDÊNCIA ABERTA",IF(AND(N(J2188)&gt;0,N(K2188)&lt;J2188),"🟡 FALTA EXECUTAR",IF(OR(M2188="PENDENTE",M2188="PARCIAL"),"🟡 FATURAMENTO PENDENTE","🟡 EMBARQUE PENDENTE")))))))))))</f>
        <v/>
      </c>
      <c r="D2188" s="4" t="n"/>
      <c r="E2188" s="5" t="n"/>
      <c r="F2188" s="5" t="n"/>
      <c r="G2188" s="5" t="n"/>
      <c r="H2188" s="5" t="n"/>
      <c r="I2188" s="5" t="n"/>
      <c r="J2188" s="6" t="n"/>
      <c r="K2188" s="6" t="n"/>
      <c r="L2188" s="7">
        <f>IF(OR(D2188="",N(J2188)=0),"",MIN(1,N(K2188)/J2188))</f>
        <v/>
      </c>
      <c r="M2188" s="5" t="n"/>
      <c r="N2188" s="5" t="n"/>
      <c r="O2188" s="5" t="n"/>
      <c r="P2188" s="5" t="n"/>
      <c r="Q2188" s="5" t="n"/>
      <c r="R2188" s="4" t="n"/>
      <c r="S2188" s="4" t="n"/>
      <c r="T2188" s="5" t="n"/>
      <c r="U2188" s="8">
        <f>IF(AND(V2188=1,D2188&lt;&gt;""),IF(D2188&gt;=corte,TODAY()-D2188,""),"")</f>
        <v/>
      </c>
      <c r="V2188" s="8">
        <f>IF(D2188="",0,IF(OR(AND(P2188&lt;&gt;"",S2188=""),AND(N(J2188)&gt;0,N(K2188)&lt;J2188),OR(M2188="PENDENTE",M2188="PARCIAL"),OR(N2188="PENDENTE",N2188="PARCIAL")),1,0))</f>
        <v/>
      </c>
      <c r="W2188" s="8">
        <f>IF(AND(V2188=1,D2188&lt;&gt;""),IF(D2188&gt;=corte,(B2188="CRÍTICO")*1E9+(100000-D2188)*10000+10000-ROW(),""),"")</f>
        <v/>
      </c>
      <c r="X2188" s="8">
        <f>IF(AND(V2188=1,D2188=pas_data,E2188=pas_turno),10000-ROW(),"")</f>
        <v/>
      </c>
    </row>
    <row r="2189">
      <c r="A2189" s="3">
        <f>IF(D2189="","","TT-"&amp;TEXT(ROW()-1,"00000"))</f>
        <v/>
      </c>
      <c r="B2189" s="3">
        <f>IF(D2189="","",IF(V2189=0,"CONCLUÍDO",IF(D2189&lt;corte,"HISTÓRICO",IF(OR(AND(ISNUMBER(R2189),R2189&lt;TODAY()),AND(OR(N2189="PENDENTE",N2189="PARCIAL"),D2189&lt;TODAY()-1)),"CRÍTICO",IF(OR(AND(P2189&lt;&gt;"",S2189=""),AND(N2189="REALIZADO",M2189="PENDENTE"),AND(ISNUMBER(R2189),R2189=TODAY())),"ATENÇÃO",IF(N(K2189)=0,"PENDENTE","EM ANDAMENTO"))))))</f>
        <v/>
      </c>
      <c r="C2189" s="3">
        <f>IF(D2189="","",IF(V2189=0,"🟢 OK",IF(D2189&lt;corte,"⚪ HISTÓRICO (sem baixa)",IF(AND(ISNUMBER(R2189),R2189&lt;TODAY()),"🔴 PRAZO VENCIDO",IF(AND(OR(N2189="PENDENTE",N2189="PARCIAL"),D2189&lt;TODAY()-1),"🔴 EMBARQUE ATRASADO",IF(AND(N2189="REALIZADO",M2189="PENDENTE"),"🟡 EMBARCADO SEM FATURAR",IF(AND(P2189&lt;&gt;"",S2189="",OR(Q2189="",R2189="")),"🟡 PENDÊNCIA SEM RESPONSÁVEL/PRAZO",IF(AND(ISNUMBER(R2189),R2189=TODAY()),"🟡 VENCE HOJE",IF(AND(P2189&lt;&gt;"",S2189=""),"🟡 PENDÊNCIA ABERTA",IF(AND(N(J2189)&gt;0,N(K2189)&lt;J2189),"🟡 FALTA EXECUTAR",IF(OR(M2189="PENDENTE",M2189="PARCIAL"),"🟡 FATURAMENTO PENDENTE","🟡 EMBARQUE PENDENTE")))))))))))</f>
        <v/>
      </c>
      <c r="D2189" s="4" t="n"/>
      <c r="E2189" s="5" t="n"/>
      <c r="F2189" s="5" t="n"/>
      <c r="G2189" s="5" t="n"/>
      <c r="H2189" s="5" t="n"/>
      <c r="I2189" s="5" t="n"/>
      <c r="J2189" s="6" t="n"/>
      <c r="K2189" s="6" t="n"/>
      <c r="L2189" s="7">
        <f>IF(OR(D2189="",N(J2189)=0),"",MIN(1,N(K2189)/J2189))</f>
        <v/>
      </c>
      <c r="M2189" s="5" t="n"/>
      <c r="N2189" s="5" t="n"/>
      <c r="O2189" s="5" t="n"/>
      <c r="P2189" s="5" t="n"/>
      <c r="Q2189" s="5" t="n"/>
      <c r="R2189" s="4" t="n"/>
      <c r="S2189" s="4" t="n"/>
      <c r="T2189" s="5" t="n"/>
      <c r="U2189" s="8">
        <f>IF(AND(V2189=1,D2189&lt;&gt;""),IF(D2189&gt;=corte,TODAY()-D2189,""),"")</f>
        <v/>
      </c>
      <c r="V2189" s="8">
        <f>IF(D2189="",0,IF(OR(AND(P2189&lt;&gt;"",S2189=""),AND(N(J2189)&gt;0,N(K2189)&lt;J2189),OR(M2189="PENDENTE",M2189="PARCIAL"),OR(N2189="PENDENTE",N2189="PARCIAL")),1,0))</f>
        <v/>
      </c>
      <c r="W2189" s="8">
        <f>IF(AND(V2189=1,D2189&lt;&gt;""),IF(D2189&gt;=corte,(B2189="CRÍTICO")*1E9+(100000-D2189)*10000+10000-ROW(),""),"")</f>
        <v/>
      </c>
      <c r="X2189" s="8">
        <f>IF(AND(V2189=1,D2189=pas_data,E2189=pas_turno),10000-ROW(),"")</f>
        <v/>
      </c>
    </row>
    <row r="2190">
      <c r="A2190" s="3">
        <f>IF(D2190="","","TT-"&amp;TEXT(ROW()-1,"00000"))</f>
        <v/>
      </c>
      <c r="B2190" s="3">
        <f>IF(D2190="","",IF(V2190=0,"CONCLUÍDO",IF(D2190&lt;corte,"HISTÓRICO",IF(OR(AND(ISNUMBER(R2190),R2190&lt;TODAY()),AND(OR(N2190="PENDENTE",N2190="PARCIAL"),D2190&lt;TODAY()-1)),"CRÍTICO",IF(OR(AND(P2190&lt;&gt;"",S2190=""),AND(N2190="REALIZADO",M2190="PENDENTE"),AND(ISNUMBER(R2190),R2190=TODAY())),"ATENÇÃO",IF(N(K2190)=0,"PENDENTE","EM ANDAMENTO"))))))</f>
        <v/>
      </c>
      <c r="C2190" s="3">
        <f>IF(D2190="","",IF(V2190=0,"🟢 OK",IF(D2190&lt;corte,"⚪ HISTÓRICO (sem baixa)",IF(AND(ISNUMBER(R2190),R2190&lt;TODAY()),"🔴 PRAZO VENCIDO",IF(AND(OR(N2190="PENDENTE",N2190="PARCIAL"),D2190&lt;TODAY()-1),"🔴 EMBARQUE ATRASADO",IF(AND(N2190="REALIZADO",M2190="PENDENTE"),"🟡 EMBARCADO SEM FATURAR",IF(AND(P2190&lt;&gt;"",S2190="",OR(Q2190="",R2190="")),"🟡 PENDÊNCIA SEM RESPONSÁVEL/PRAZO",IF(AND(ISNUMBER(R2190),R2190=TODAY()),"🟡 VENCE HOJE",IF(AND(P2190&lt;&gt;"",S2190=""),"🟡 PENDÊNCIA ABERTA",IF(AND(N(J2190)&gt;0,N(K2190)&lt;J2190),"🟡 FALTA EXECUTAR",IF(OR(M2190="PENDENTE",M2190="PARCIAL"),"🟡 FATURAMENTO PENDENTE","🟡 EMBARQUE PENDENTE")))))))))))</f>
        <v/>
      </c>
      <c r="D2190" s="4" t="n"/>
      <c r="E2190" s="5" t="n"/>
      <c r="F2190" s="5" t="n"/>
      <c r="G2190" s="5" t="n"/>
      <c r="H2190" s="5" t="n"/>
      <c r="I2190" s="5" t="n"/>
      <c r="J2190" s="6" t="n"/>
      <c r="K2190" s="6" t="n"/>
      <c r="L2190" s="7">
        <f>IF(OR(D2190="",N(J2190)=0),"",MIN(1,N(K2190)/J2190))</f>
        <v/>
      </c>
      <c r="M2190" s="5" t="n"/>
      <c r="N2190" s="5" t="n"/>
      <c r="O2190" s="5" t="n"/>
      <c r="P2190" s="5" t="n"/>
      <c r="Q2190" s="5" t="n"/>
      <c r="R2190" s="4" t="n"/>
      <c r="S2190" s="4" t="n"/>
      <c r="T2190" s="5" t="n"/>
      <c r="U2190" s="8">
        <f>IF(AND(V2190=1,D2190&lt;&gt;""),IF(D2190&gt;=corte,TODAY()-D2190,""),"")</f>
        <v/>
      </c>
      <c r="V2190" s="8">
        <f>IF(D2190="",0,IF(OR(AND(P2190&lt;&gt;"",S2190=""),AND(N(J2190)&gt;0,N(K2190)&lt;J2190),OR(M2190="PENDENTE",M2190="PARCIAL"),OR(N2190="PENDENTE",N2190="PARCIAL")),1,0))</f>
        <v/>
      </c>
      <c r="W2190" s="8">
        <f>IF(AND(V2190=1,D2190&lt;&gt;""),IF(D2190&gt;=corte,(B2190="CRÍTICO")*1E9+(100000-D2190)*10000+10000-ROW(),""),"")</f>
        <v/>
      </c>
      <c r="X2190" s="8">
        <f>IF(AND(V2190=1,D2190=pas_data,E2190=pas_turno),10000-ROW(),"")</f>
        <v/>
      </c>
    </row>
    <row r="2191">
      <c r="A2191" s="3">
        <f>IF(D2191="","","TT-"&amp;TEXT(ROW()-1,"00000"))</f>
        <v/>
      </c>
      <c r="B2191" s="3">
        <f>IF(D2191="","",IF(V2191=0,"CONCLUÍDO",IF(D2191&lt;corte,"HISTÓRICO",IF(OR(AND(ISNUMBER(R2191),R2191&lt;TODAY()),AND(OR(N2191="PENDENTE",N2191="PARCIAL"),D2191&lt;TODAY()-1)),"CRÍTICO",IF(OR(AND(P2191&lt;&gt;"",S2191=""),AND(N2191="REALIZADO",M2191="PENDENTE"),AND(ISNUMBER(R2191),R2191=TODAY())),"ATENÇÃO",IF(N(K2191)=0,"PENDENTE","EM ANDAMENTO"))))))</f>
        <v/>
      </c>
      <c r="C2191" s="3">
        <f>IF(D2191="","",IF(V2191=0,"🟢 OK",IF(D2191&lt;corte,"⚪ HISTÓRICO (sem baixa)",IF(AND(ISNUMBER(R2191),R2191&lt;TODAY()),"🔴 PRAZO VENCIDO",IF(AND(OR(N2191="PENDENTE",N2191="PARCIAL"),D2191&lt;TODAY()-1),"🔴 EMBARQUE ATRASADO",IF(AND(N2191="REALIZADO",M2191="PENDENTE"),"🟡 EMBARCADO SEM FATURAR",IF(AND(P2191&lt;&gt;"",S2191="",OR(Q2191="",R2191="")),"🟡 PENDÊNCIA SEM RESPONSÁVEL/PRAZO",IF(AND(ISNUMBER(R2191),R2191=TODAY()),"🟡 VENCE HOJE",IF(AND(P2191&lt;&gt;"",S2191=""),"🟡 PENDÊNCIA ABERTA",IF(AND(N(J2191)&gt;0,N(K2191)&lt;J2191),"🟡 FALTA EXECUTAR",IF(OR(M2191="PENDENTE",M2191="PARCIAL"),"🟡 FATURAMENTO PENDENTE","🟡 EMBARQUE PENDENTE")))))))))))</f>
        <v/>
      </c>
      <c r="D2191" s="4" t="n"/>
      <c r="E2191" s="5" t="n"/>
      <c r="F2191" s="5" t="n"/>
      <c r="G2191" s="5" t="n"/>
      <c r="H2191" s="5" t="n"/>
      <c r="I2191" s="5" t="n"/>
      <c r="J2191" s="6" t="n"/>
      <c r="K2191" s="6" t="n"/>
      <c r="L2191" s="7">
        <f>IF(OR(D2191="",N(J2191)=0),"",MIN(1,N(K2191)/J2191))</f>
        <v/>
      </c>
      <c r="M2191" s="5" t="n"/>
      <c r="N2191" s="5" t="n"/>
      <c r="O2191" s="5" t="n"/>
      <c r="P2191" s="5" t="n"/>
      <c r="Q2191" s="5" t="n"/>
      <c r="R2191" s="4" t="n"/>
      <c r="S2191" s="4" t="n"/>
      <c r="T2191" s="5" t="n"/>
      <c r="U2191" s="8">
        <f>IF(AND(V2191=1,D2191&lt;&gt;""),IF(D2191&gt;=corte,TODAY()-D2191,""),"")</f>
        <v/>
      </c>
      <c r="V2191" s="8">
        <f>IF(D2191="",0,IF(OR(AND(P2191&lt;&gt;"",S2191=""),AND(N(J2191)&gt;0,N(K2191)&lt;J2191),OR(M2191="PENDENTE",M2191="PARCIAL"),OR(N2191="PENDENTE",N2191="PARCIAL")),1,0))</f>
        <v/>
      </c>
      <c r="W2191" s="8">
        <f>IF(AND(V2191=1,D2191&lt;&gt;""),IF(D2191&gt;=corte,(B2191="CRÍTICO")*1E9+(100000-D2191)*10000+10000-ROW(),""),"")</f>
        <v/>
      </c>
      <c r="X2191" s="8">
        <f>IF(AND(V2191=1,D2191=pas_data,E2191=pas_turno),10000-ROW(),"")</f>
        <v/>
      </c>
    </row>
    <row r="2192">
      <c r="A2192" s="3">
        <f>IF(D2192="","","TT-"&amp;TEXT(ROW()-1,"00000"))</f>
        <v/>
      </c>
      <c r="B2192" s="3">
        <f>IF(D2192="","",IF(V2192=0,"CONCLUÍDO",IF(D2192&lt;corte,"HISTÓRICO",IF(OR(AND(ISNUMBER(R2192),R2192&lt;TODAY()),AND(OR(N2192="PENDENTE",N2192="PARCIAL"),D2192&lt;TODAY()-1)),"CRÍTICO",IF(OR(AND(P2192&lt;&gt;"",S2192=""),AND(N2192="REALIZADO",M2192="PENDENTE"),AND(ISNUMBER(R2192),R2192=TODAY())),"ATENÇÃO",IF(N(K2192)=0,"PENDENTE","EM ANDAMENTO"))))))</f>
        <v/>
      </c>
      <c r="C2192" s="3">
        <f>IF(D2192="","",IF(V2192=0,"🟢 OK",IF(D2192&lt;corte,"⚪ HISTÓRICO (sem baixa)",IF(AND(ISNUMBER(R2192),R2192&lt;TODAY()),"🔴 PRAZO VENCIDO",IF(AND(OR(N2192="PENDENTE",N2192="PARCIAL"),D2192&lt;TODAY()-1),"🔴 EMBARQUE ATRASADO",IF(AND(N2192="REALIZADO",M2192="PENDENTE"),"🟡 EMBARCADO SEM FATURAR",IF(AND(P2192&lt;&gt;"",S2192="",OR(Q2192="",R2192="")),"🟡 PENDÊNCIA SEM RESPONSÁVEL/PRAZO",IF(AND(ISNUMBER(R2192),R2192=TODAY()),"🟡 VENCE HOJE",IF(AND(P2192&lt;&gt;"",S2192=""),"🟡 PENDÊNCIA ABERTA",IF(AND(N(J2192)&gt;0,N(K2192)&lt;J2192),"🟡 FALTA EXECUTAR",IF(OR(M2192="PENDENTE",M2192="PARCIAL"),"🟡 FATURAMENTO PENDENTE","🟡 EMBARQUE PENDENTE")))))))))))</f>
        <v/>
      </c>
      <c r="D2192" s="4" t="n"/>
      <c r="E2192" s="5" t="n"/>
      <c r="F2192" s="5" t="n"/>
      <c r="G2192" s="5" t="n"/>
      <c r="H2192" s="5" t="n"/>
      <c r="I2192" s="5" t="n"/>
      <c r="J2192" s="6" t="n"/>
      <c r="K2192" s="6" t="n"/>
      <c r="L2192" s="7">
        <f>IF(OR(D2192="",N(J2192)=0),"",MIN(1,N(K2192)/J2192))</f>
        <v/>
      </c>
      <c r="M2192" s="5" t="n"/>
      <c r="N2192" s="5" t="n"/>
      <c r="O2192" s="5" t="n"/>
      <c r="P2192" s="5" t="n"/>
      <c r="Q2192" s="5" t="n"/>
      <c r="R2192" s="4" t="n"/>
      <c r="S2192" s="4" t="n"/>
      <c r="T2192" s="5" t="n"/>
      <c r="U2192" s="8">
        <f>IF(AND(V2192=1,D2192&lt;&gt;""),IF(D2192&gt;=corte,TODAY()-D2192,""),"")</f>
        <v/>
      </c>
      <c r="V2192" s="8">
        <f>IF(D2192="",0,IF(OR(AND(P2192&lt;&gt;"",S2192=""),AND(N(J2192)&gt;0,N(K2192)&lt;J2192),OR(M2192="PENDENTE",M2192="PARCIAL"),OR(N2192="PENDENTE",N2192="PARCIAL")),1,0))</f>
        <v/>
      </c>
      <c r="W2192" s="8">
        <f>IF(AND(V2192=1,D2192&lt;&gt;""),IF(D2192&gt;=corte,(B2192="CRÍTICO")*1E9+(100000-D2192)*10000+10000-ROW(),""),"")</f>
        <v/>
      </c>
      <c r="X2192" s="8">
        <f>IF(AND(V2192=1,D2192=pas_data,E2192=pas_turno),10000-ROW(),"")</f>
        <v/>
      </c>
    </row>
    <row r="2193">
      <c r="A2193" s="3">
        <f>IF(D2193="","","TT-"&amp;TEXT(ROW()-1,"00000"))</f>
        <v/>
      </c>
      <c r="B2193" s="3">
        <f>IF(D2193="","",IF(V2193=0,"CONCLUÍDO",IF(D2193&lt;corte,"HISTÓRICO",IF(OR(AND(ISNUMBER(R2193),R2193&lt;TODAY()),AND(OR(N2193="PENDENTE",N2193="PARCIAL"),D2193&lt;TODAY()-1)),"CRÍTICO",IF(OR(AND(P2193&lt;&gt;"",S2193=""),AND(N2193="REALIZADO",M2193="PENDENTE"),AND(ISNUMBER(R2193),R2193=TODAY())),"ATENÇÃO",IF(N(K2193)=0,"PENDENTE","EM ANDAMENTO"))))))</f>
        <v/>
      </c>
      <c r="C2193" s="3">
        <f>IF(D2193="","",IF(V2193=0,"🟢 OK",IF(D2193&lt;corte,"⚪ HISTÓRICO (sem baixa)",IF(AND(ISNUMBER(R2193),R2193&lt;TODAY()),"🔴 PRAZO VENCIDO",IF(AND(OR(N2193="PENDENTE",N2193="PARCIAL"),D2193&lt;TODAY()-1),"🔴 EMBARQUE ATRASADO",IF(AND(N2193="REALIZADO",M2193="PENDENTE"),"🟡 EMBARCADO SEM FATURAR",IF(AND(P2193&lt;&gt;"",S2193="",OR(Q2193="",R2193="")),"🟡 PENDÊNCIA SEM RESPONSÁVEL/PRAZO",IF(AND(ISNUMBER(R2193),R2193=TODAY()),"🟡 VENCE HOJE",IF(AND(P2193&lt;&gt;"",S2193=""),"🟡 PENDÊNCIA ABERTA",IF(AND(N(J2193)&gt;0,N(K2193)&lt;J2193),"🟡 FALTA EXECUTAR",IF(OR(M2193="PENDENTE",M2193="PARCIAL"),"🟡 FATURAMENTO PENDENTE","🟡 EMBARQUE PENDENTE")))))))))))</f>
        <v/>
      </c>
      <c r="D2193" s="4" t="n"/>
      <c r="E2193" s="5" t="n"/>
      <c r="F2193" s="5" t="n"/>
      <c r="G2193" s="5" t="n"/>
      <c r="H2193" s="5" t="n"/>
      <c r="I2193" s="5" t="n"/>
      <c r="J2193" s="6" t="n"/>
      <c r="K2193" s="6" t="n"/>
      <c r="L2193" s="7">
        <f>IF(OR(D2193="",N(J2193)=0),"",MIN(1,N(K2193)/J2193))</f>
        <v/>
      </c>
      <c r="M2193" s="5" t="n"/>
      <c r="N2193" s="5" t="n"/>
      <c r="O2193" s="5" t="n"/>
      <c r="P2193" s="5" t="n"/>
      <c r="Q2193" s="5" t="n"/>
      <c r="R2193" s="4" t="n"/>
      <c r="S2193" s="4" t="n"/>
      <c r="T2193" s="5" t="n"/>
      <c r="U2193" s="8">
        <f>IF(AND(V2193=1,D2193&lt;&gt;""),IF(D2193&gt;=corte,TODAY()-D2193,""),"")</f>
        <v/>
      </c>
      <c r="V2193" s="8">
        <f>IF(D2193="",0,IF(OR(AND(P2193&lt;&gt;"",S2193=""),AND(N(J2193)&gt;0,N(K2193)&lt;J2193),OR(M2193="PENDENTE",M2193="PARCIAL"),OR(N2193="PENDENTE",N2193="PARCIAL")),1,0))</f>
        <v/>
      </c>
      <c r="W2193" s="8">
        <f>IF(AND(V2193=1,D2193&lt;&gt;""),IF(D2193&gt;=corte,(B2193="CRÍTICO")*1E9+(100000-D2193)*10000+10000-ROW(),""),"")</f>
        <v/>
      </c>
      <c r="X2193" s="8">
        <f>IF(AND(V2193=1,D2193=pas_data,E2193=pas_turno),10000-ROW(),"")</f>
        <v/>
      </c>
    </row>
    <row r="2194">
      <c r="A2194" s="3">
        <f>IF(D2194="","","TT-"&amp;TEXT(ROW()-1,"00000"))</f>
        <v/>
      </c>
      <c r="B2194" s="3">
        <f>IF(D2194="","",IF(V2194=0,"CONCLUÍDO",IF(D2194&lt;corte,"HISTÓRICO",IF(OR(AND(ISNUMBER(R2194),R2194&lt;TODAY()),AND(OR(N2194="PENDENTE",N2194="PARCIAL"),D2194&lt;TODAY()-1)),"CRÍTICO",IF(OR(AND(P2194&lt;&gt;"",S2194=""),AND(N2194="REALIZADO",M2194="PENDENTE"),AND(ISNUMBER(R2194),R2194=TODAY())),"ATENÇÃO",IF(N(K2194)=0,"PENDENTE","EM ANDAMENTO"))))))</f>
        <v/>
      </c>
      <c r="C2194" s="3">
        <f>IF(D2194="","",IF(V2194=0,"🟢 OK",IF(D2194&lt;corte,"⚪ HISTÓRICO (sem baixa)",IF(AND(ISNUMBER(R2194),R2194&lt;TODAY()),"🔴 PRAZO VENCIDO",IF(AND(OR(N2194="PENDENTE",N2194="PARCIAL"),D2194&lt;TODAY()-1),"🔴 EMBARQUE ATRASADO",IF(AND(N2194="REALIZADO",M2194="PENDENTE"),"🟡 EMBARCADO SEM FATURAR",IF(AND(P2194&lt;&gt;"",S2194="",OR(Q2194="",R2194="")),"🟡 PENDÊNCIA SEM RESPONSÁVEL/PRAZO",IF(AND(ISNUMBER(R2194),R2194=TODAY()),"🟡 VENCE HOJE",IF(AND(P2194&lt;&gt;"",S2194=""),"🟡 PENDÊNCIA ABERTA",IF(AND(N(J2194)&gt;0,N(K2194)&lt;J2194),"🟡 FALTA EXECUTAR",IF(OR(M2194="PENDENTE",M2194="PARCIAL"),"🟡 FATURAMENTO PENDENTE","🟡 EMBARQUE PENDENTE")))))))))))</f>
        <v/>
      </c>
      <c r="D2194" s="4" t="n"/>
      <c r="E2194" s="5" t="n"/>
      <c r="F2194" s="5" t="n"/>
      <c r="G2194" s="5" t="n"/>
      <c r="H2194" s="5" t="n"/>
      <c r="I2194" s="5" t="n"/>
      <c r="J2194" s="6" t="n"/>
      <c r="K2194" s="6" t="n"/>
      <c r="L2194" s="7">
        <f>IF(OR(D2194="",N(J2194)=0),"",MIN(1,N(K2194)/J2194))</f>
        <v/>
      </c>
      <c r="M2194" s="5" t="n"/>
      <c r="N2194" s="5" t="n"/>
      <c r="O2194" s="5" t="n"/>
      <c r="P2194" s="5" t="n"/>
      <c r="Q2194" s="5" t="n"/>
      <c r="R2194" s="4" t="n"/>
      <c r="S2194" s="4" t="n"/>
      <c r="T2194" s="5" t="n"/>
      <c r="U2194" s="8">
        <f>IF(AND(V2194=1,D2194&lt;&gt;""),IF(D2194&gt;=corte,TODAY()-D2194,""),"")</f>
        <v/>
      </c>
      <c r="V2194" s="8">
        <f>IF(D2194="",0,IF(OR(AND(P2194&lt;&gt;"",S2194=""),AND(N(J2194)&gt;0,N(K2194)&lt;J2194),OR(M2194="PENDENTE",M2194="PARCIAL"),OR(N2194="PENDENTE",N2194="PARCIAL")),1,0))</f>
        <v/>
      </c>
      <c r="W2194" s="8">
        <f>IF(AND(V2194=1,D2194&lt;&gt;""),IF(D2194&gt;=corte,(B2194="CRÍTICO")*1E9+(100000-D2194)*10000+10000-ROW(),""),"")</f>
        <v/>
      </c>
      <c r="X2194" s="8">
        <f>IF(AND(V2194=1,D2194=pas_data,E2194=pas_turno),10000-ROW(),"")</f>
        <v/>
      </c>
    </row>
    <row r="2195">
      <c r="A2195" s="3">
        <f>IF(D2195="","","TT-"&amp;TEXT(ROW()-1,"00000"))</f>
        <v/>
      </c>
      <c r="B2195" s="3">
        <f>IF(D2195="","",IF(V2195=0,"CONCLUÍDO",IF(D2195&lt;corte,"HISTÓRICO",IF(OR(AND(ISNUMBER(R2195),R2195&lt;TODAY()),AND(OR(N2195="PENDENTE",N2195="PARCIAL"),D2195&lt;TODAY()-1)),"CRÍTICO",IF(OR(AND(P2195&lt;&gt;"",S2195=""),AND(N2195="REALIZADO",M2195="PENDENTE"),AND(ISNUMBER(R2195),R2195=TODAY())),"ATENÇÃO",IF(N(K2195)=0,"PENDENTE","EM ANDAMENTO"))))))</f>
        <v/>
      </c>
      <c r="C2195" s="3">
        <f>IF(D2195="","",IF(V2195=0,"🟢 OK",IF(D2195&lt;corte,"⚪ HISTÓRICO (sem baixa)",IF(AND(ISNUMBER(R2195),R2195&lt;TODAY()),"🔴 PRAZO VENCIDO",IF(AND(OR(N2195="PENDENTE",N2195="PARCIAL"),D2195&lt;TODAY()-1),"🔴 EMBARQUE ATRASADO",IF(AND(N2195="REALIZADO",M2195="PENDENTE"),"🟡 EMBARCADO SEM FATURAR",IF(AND(P2195&lt;&gt;"",S2195="",OR(Q2195="",R2195="")),"🟡 PENDÊNCIA SEM RESPONSÁVEL/PRAZO",IF(AND(ISNUMBER(R2195),R2195=TODAY()),"🟡 VENCE HOJE",IF(AND(P2195&lt;&gt;"",S2195=""),"🟡 PENDÊNCIA ABERTA",IF(AND(N(J2195)&gt;0,N(K2195)&lt;J2195),"🟡 FALTA EXECUTAR",IF(OR(M2195="PENDENTE",M2195="PARCIAL"),"🟡 FATURAMENTO PENDENTE","🟡 EMBARQUE PENDENTE")))))))))))</f>
        <v/>
      </c>
      <c r="D2195" s="4" t="n"/>
      <c r="E2195" s="5" t="n"/>
      <c r="F2195" s="5" t="n"/>
      <c r="G2195" s="5" t="n"/>
      <c r="H2195" s="5" t="n"/>
      <c r="I2195" s="5" t="n"/>
      <c r="J2195" s="6" t="n"/>
      <c r="K2195" s="6" t="n"/>
      <c r="L2195" s="7">
        <f>IF(OR(D2195="",N(J2195)=0),"",MIN(1,N(K2195)/J2195))</f>
        <v/>
      </c>
      <c r="M2195" s="5" t="n"/>
      <c r="N2195" s="5" t="n"/>
      <c r="O2195" s="5" t="n"/>
      <c r="P2195" s="5" t="n"/>
      <c r="Q2195" s="5" t="n"/>
      <c r="R2195" s="4" t="n"/>
      <c r="S2195" s="4" t="n"/>
      <c r="T2195" s="5" t="n"/>
      <c r="U2195" s="8">
        <f>IF(AND(V2195=1,D2195&lt;&gt;""),IF(D2195&gt;=corte,TODAY()-D2195,""),"")</f>
        <v/>
      </c>
      <c r="V2195" s="8">
        <f>IF(D2195="",0,IF(OR(AND(P2195&lt;&gt;"",S2195=""),AND(N(J2195)&gt;0,N(K2195)&lt;J2195),OR(M2195="PENDENTE",M2195="PARCIAL"),OR(N2195="PENDENTE",N2195="PARCIAL")),1,0))</f>
        <v/>
      </c>
      <c r="W2195" s="8">
        <f>IF(AND(V2195=1,D2195&lt;&gt;""),IF(D2195&gt;=corte,(B2195="CRÍTICO")*1E9+(100000-D2195)*10000+10000-ROW(),""),"")</f>
        <v/>
      </c>
      <c r="X2195" s="8">
        <f>IF(AND(V2195=1,D2195=pas_data,E2195=pas_turno),10000-ROW(),"")</f>
        <v/>
      </c>
    </row>
    <row r="2196">
      <c r="A2196" s="3">
        <f>IF(D2196="","","TT-"&amp;TEXT(ROW()-1,"00000"))</f>
        <v/>
      </c>
      <c r="B2196" s="3">
        <f>IF(D2196="","",IF(V2196=0,"CONCLUÍDO",IF(D2196&lt;corte,"HISTÓRICO",IF(OR(AND(ISNUMBER(R2196),R2196&lt;TODAY()),AND(OR(N2196="PENDENTE",N2196="PARCIAL"),D2196&lt;TODAY()-1)),"CRÍTICO",IF(OR(AND(P2196&lt;&gt;"",S2196=""),AND(N2196="REALIZADO",M2196="PENDENTE"),AND(ISNUMBER(R2196),R2196=TODAY())),"ATENÇÃO",IF(N(K2196)=0,"PENDENTE","EM ANDAMENTO"))))))</f>
        <v/>
      </c>
      <c r="C2196" s="3">
        <f>IF(D2196="","",IF(V2196=0,"🟢 OK",IF(D2196&lt;corte,"⚪ HISTÓRICO (sem baixa)",IF(AND(ISNUMBER(R2196),R2196&lt;TODAY()),"🔴 PRAZO VENCIDO",IF(AND(OR(N2196="PENDENTE",N2196="PARCIAL"),D2196&lt;TODAY()-1),"🔴 EMBARQUE ATRASADO",IF(AND(N2196="REALIZADO",M2196="PENDENTE"),"🟡 EMBARCADO SEM FATURAR",IF(AND(P2196&lt;&gt;"",S2196="",OR(Q2196="",R2196="")),"🟡 PENDÊNCIA SEM RESPONSÁVEL/PRAZO",IF(AND(ISNUMBER(R2196),R2196=TODAY()),"🟡 VENCE HOJE",IF(AND(P2196&lt;&gt;"",S2196=""),"🟡 PENDÊNCIA ABERTA",IF(AND(N(J2196)&gt;0,N(K2196)&lt;J2196),"🟡 FALTA EXECUTAR",IF(OR(M2196="PENDENTE",M2196="PARCIAL"),"🟡 FATURAMENTO PENDENTE","🟡 EMBARQUE PENDENTE")))))))))))</f>
        <v/>
      </c>
      <c r="D2196" s="4" t="n"/>
      <c r="E2196" s="5" t="n"/>
      <c r="F2196" s="5" t="n"/>
      <c r="G2196" s="5" t="n"/>
      <c r="H2196" s="5" t="n"/>
      <c r="I2196" s="5" t="n"/>
      <c r="J2196" s="6" t="n"/>
      <c r="K2196" s="6" t="n"/>
      <c r="L2196" s="7">
        <f>IF(OR(D2196="",N(J2196)=0),"",MIN(1,N(K2196)/J2196))</f>
        <v/>
      </c>
      <c r="M2196" s="5" t="n"/>
      <c r="N2196" s="5" t="n"/>
      <c r="O2196" s="5" t="n"/>
      <c r="P2196" s="5" t="n"/>
      <c r="Q2196" s="5" t="n"/>
      <c r="R2196" s="4" t="n"/>
      <c r="S2196" s="4" t="n"/>
      <c r="T2196" s="5" t="n"/>
      <c r="U2196" s="8">
        <f>IF(AND(V2196=1,D2196&lt;&gt;""),IF(D2196&gt;=corte,TODAY()-D2196,""),"")</f>
        <v/>
      </c>
      <c r="V2196" s="8">
        <f>IF(D2196="",0,IF(OR(AND(P2196&lt;&gt;"",S2196=""),AND(N(J2196)&gt;0,N(K2196)&lt;J2196),OR(M2196="PENDENTE",M2196="PARCIAL"),OR(N2196="PENDENTE",N2196="PARCIAL")),1,0))</f>
        <v/>
      </c>
      <c r="W2196" s="8">
        <f>IF(AND(V2196=1,D2196&lt;&gt;""),IF(D2196&gt;=corte,(B2196="CRÍTICO")*1E9+(100000-D2196)*10000+10000-ROW(),""),"")</f>
        <v/>
      </c>
      <c r="X2196" s="8">
        <f>IF(AND(V2196=1,D2196=pas_data,E2196=pas_turno),10000-ROW(),"")</f>
        <v/>
      </c>
    </row>
    <row r="2197">
      <c r="A2197" s="3">
        <f>IF(D2197="","","TT-"&amp;TEXT(ROW()-1,"00000"))</f>
        <v/>
      </c>
      <c r="B2197" s="3">
        <f>IF(D2197="","",IF(V2197=0,"CONCLUÍDO",IF(D2197&lt;corte,"HISTÓRICO",IF(OR(AND(ISNUMBER(R2197),R2197&lt;TODAY()),AND(OR(N2197="PENDENTE",N2197="PARCIAL"),D2197&lt;TODAY()-1)),"CRÍTICO",IF(OR(AND(P2197&lt;&gt;"",S2197=""),AND(N2197="REALIZADO",M2197="PENDENTE"),AND(ISNUMBER(R2197),R2197=TODAY())),"ATENÇÃO",IF(N(K2197)=0,"PENDENTE","EM ANDAMENTO"))))))</f>
        <v/>
      </c>
      <c r="C2197" s="3">
        <f>IF(D2197="","",IF(V2197=0,"🟢 OK",IF(D2197&lt;corte,"⚪ HISTÓRICO (sem baixa)",IF(AND(ISNUMBER(R2197),R2197&lt;TODAY()),"🔴 PRAZO VENCIDO",IF(AND(OR(N2197="PENDENTE",N2197="PARCIAL"),D2197&lt;TODAY()-1),"🔴 EMBARQUE ATRASADO",IF(AND(N2197="REALIZADO",M2197="PENDENTE"),"🟡 EMBARCADO SEM FATURAR",IF(AND(P2197&lt;&gt;"",S2197="",OR(Q2197="",R2197="")),"🟡 PENDÊNCIA SEM RESPONSÁVEL/PRAZO",IF(AND(ISNUMBER(R2197),R2197=TODAY()),"🟡 VENCE HOJE",IF(AND(P2197&lt;&gt;"",S2197=""),"🟡 PENDÊNCIA ABERTA",IF(AND(N(J2197)&gt;0,N(K2197)&lt;J2197),"🟡 FALTA EXECUTAR",IF(OR(M2197="PENDENTE",M2197="PARCIAL"),"🟡 FATURAMENTO PENDENTE","🟡 EMBARQUE PENDENTE")))))))))))</f>
        <v/>
      </c>
      <c r="D2197" s="4" t="n"/>
      <c r="E2197" s="5" t="n"/>
      <c r="F2197" s="5" t="n"/>
      <c r="G2197" s="5" t="n"/>
      <c r="H2197" s="5" t="n"/>
      <c r="I2197" s="5" t="n"/>
      <c r="J2197" s="6" t="n"/>
      <c r="K2197" s="6" t="n"/>
      <c r="L2197" s="7">
        <f>IF(OR(D2197="",N(J2197)=0),"",MIN(1,N(K2197)/J2197))</f>
        <v/>
      </c>
      <c r="M2197" s="5" t="n"/>
      <c r="N2197" s="5" t="n"/>
      <c r="O2197" s="5" t="n"/>
      <c r="P2197" s="5" t="n"/>
      <c r="Q2197" s="5" t="n"/>
      <c r="R2197" s="4" t="n"/>
      <c r="S2197" s="4" t="n"/>
      <c r="T2197" s="5" t="n"/>
      <c r="U2197" s="8">
        <f>IF(AND(V2197=1,D2197&lt;&gt;""),IF(D2197&gt;=corte,TODAY()-D2197,""),"")</f>
        <v/>
      </c>
      <c r="V2197" s="8">
        <f>IF(D2197="",0,IF(OR(AND(P2197&lt;&gt;"",S2197=""),AND(N(J2197)&gt;0,N(K2197)&lt;J2197),OR(M2197="PENDENTE",M2197="PARCIAL"),OR(N2197="PENDENTE",N2197="PARCIAL")),1,0))</f>
        <v/>
      </c>
      <c r="W2197" s="8">
        <f>IF(AND(V2197=1,D2197&lt;&gt;""),IF(D2197&gt;=corte,(B2197="CRÍTICO")*1E9+(100000-D2197)*10000+10000-ROW(),""),"")</f>
        <v/>
      </c>
      <c r="X2197" s="8">
        <f>IF(AND(V2197=1,D2197=pas_data,E2197=pas_turno),10000-ROW(),"")</f>
        <v/>
      </c>
    </row>
    <row r="2198">
      <c r="A2198" s="3">
        <f>IF(D2198="","","TT-"&amp;TEXT(ROW()-1,"00000"))</f>
        <v/>
      </c>
      <c r="B2198" s="3">
        <f>IF(D2198="","",IF(V2198=0,"CONCLUÍDO",IF(D2198&lt;corte,"HISTÓRICO",IF(OR(AND(ISNUMBER(R2198),R2198&lt;TODAY()),AND(OR(N2198="PENDENTE",N2198="PARCIAL"),D2198&lt;TODAY()-1)),"CRÍTICO",IF(OR(AND(P2198&lt;&gt;"",S2198=""),AND(N2198="REALIZADO",M2198="PENDENTE"),AND(ISNUMBER(R2198),R2198=TODAY())),"ATENÇÃO",IF(N(K2198)=0,"PENDENTE","EM ANDAMENTO"))))))</f>
        <v/>
      </c>
      <c r="C2198" s="3">
        <f>IF(D2198="","",IF(V2198=0,"🟢 OK",IF(D2198&lt;corte,"⚪ HISTÓRICO (sem baixa)",IF(AND(ISNUMBER(R2198),R2198&lt;TODAY()),"🔴 PRAZO VENCIDO",IF(AND(OR(N2198="PENDENTE",N2198="PARCIAL"),D2198&lt;TODAY()-1),"🔴 EMBARQUE ATRASADO",IF(AND(N2198="REALIZADO",M2198="PENDENTE"),"🟡 EMBARCADO SEM FATURAR",IF(AND(P2198&lt;&gt;"",S2198="",OR(Q2198="",R2198="")),"🟡 PENDÊNCIA SEM RESPONSÁVEL/PRAZO",IF(AND(ISNUMBER(R2198),R2198=TODAY()),"🟡 VENCE HOJE",IF(AND(P2198&lt;&gt;"",S2198=""),"🟡 PENDÊNCIA ABERTA",IF(AND(N(J2198)&gt;0,N(K2198)&lt;J2198),"🟡 FALTA EXECUTAR",IF(OR(M2198="PENDENTE",M2198="PARCIAL"),"🟡 FATURAMENTO PENDENTE","🟡 EMBARQUE PENDENTE")))))))))))</f>
        <v/>
      </c>
      <c r="D2198" s="4" t="n"/>
      <c r="E2198" s="5" t="n"/>
      <c r="F2198" s="5" t="n"/>
      <c r="G2198" s="5" t="n"/>
      <c r="H2198" s="5" t="n"/>
      <c r="I2198" s="5" t="n"/>
      <c r="J2198" s="6" t="n"/>
      <c r="K2198" s="6" t="n"/>
      <c r="L2198" s="7">
        <f>IF(OR(D2198="",N(J2198)=0),"",MIN(1,N(K2198)/J2198))</f>
        <v/>
      </c>
      <c r="M2198" s="5" t="n"/>
      <c r="N2198" s="5" t="n"/>
      <c r="O2198" s="5" t="n"/>
      <c r="P2198" s="5" t="n"/>
      <c r="Q2198" s="5" t="n"/>
      <c r="R2198" s="4" t="n"/>
      <c r="S2198" s="4" t="n"/>
      <c r="T2198" s="5" t="n"/>
      <c r="U2198" s="8">
        <f>IF(AND(V2198=1,D2198&lt;&gt;""),IF(D2198&gt;=corte,TODAY()-D2198,""),"")</f>
        <v/>
      </c>
      <c r="V2198" s="8">
        <f>IF(D2198="",0,IF(OR(AND(P2198&lt;&gt;"",S2198=""),AND(N(J2198)&gt;0,N(K2198)&lt;J2198),OR(M2198="PENDENTE",M2198="PARCIAL"),OR(N2198="PENDENTE",N2198="PARCIAL")),1,0))</f>
        <v/>
      </c>
      <c r="W2198" s="8">
        <f>IF(AND(V2198=1,D2198&lt;&gt;""),IF(D2198&gt;=corte,(B2198="CRÍTICO")*1E9+(100000-D2198)*10000+10000-ROW(),""),"")</f>
        <v/>
      </c>
      <c r="X2198" s="8">
        <f>IF(AND(V2198=1,D2198=pas_data,E2198=pas_turno),10000-ROW(),"")</f>
        <v/>
      </c>
    </row>
    <row r="2199">
      <c r="A2199" s="3">
        <f>IF(D2199="","","TT-"&amp;TEXT(ROW()-1,"00000"))</f>
        <v/>
      </c>
      <c r="B2199" s="3">
        <f>IF(D2199="","",IF(V2199=0,"CONCLUÍDO",IF(D2199&lt;corte,"HISTÓRICO",IF(OR(AND(ISNUMBER(R2199),R2199&lt;TODAY()),AND(OR(N2199="PENDENTE",N2199="PARCIAL"),D2199&lt;TODAY()-1)),"CRÍTICO",IF(OR(AND(P2199&lt;&gt;"",S2199=""),AND(N2199="REALIZADO",M2199="PENDENTE"),AND(ISNUMBER(R2199),R2199=TODAY())),"ATENÇÃO",IF(N(K2199)=0,"PENDENTE","EM ANDAMENTO"))))))</f>
        <v/>
      </c>
      <c r="C2199" s="3">
        <f>IF(D2199="","",IF(V2199=0,"🟢 OK",IF(D2199&lt;corte,"⚪ HISTÓRICO (sem baixa)",IF(AND(ISNUMBER(R2199),R2199&lt;TODAY()),"🔴 PRAZO VENCIDO",IF(AND(OR(N2199="PENDENTE",N2199="PARCIAL"),D2199&lt;TODAY()-1),"🔴 EMBARQUE ATRASADO",IF(AND(N2199="REALIZADO",M2199="PENDENTE"),"🟡 EMBARCADO SEM FATURAR",IF(AND(P2199&lt;&gt;"",S2199="",OR(Q2199="",R2199="")),"🟡 PENDÊNCIA SEM RESPONSÁVEL/PRAZO",IF(AND(ISNUMBER(R2199),R2199=TODAY()),"🟡 VENCE HOJE",IF(AND(P2199&lt;&gt;"",S2199=""),"🟡 PENDÊNCIA ABERTA",IF(AND(N(J2199)&gt;0,N(K2199)&lt;J2199),"🟡 FALTA EXECUTAR",IF(OR(M2199="PENDENTE",M2199="PARCIAL"),"🟡 FATURAMENTO PENDENTE","🟡 EMBARQUE PENDENTE")))))))))))</f>
        <v/>
      </c>
      <c r="D2199" s="4" t="n"/>
      <c r="E2199" s="5" t="n"/>
      <c r="F2199" s="5" t="n"/>
      <c r="G2199" s="5" t="n"/>
      <c r="H2199" s="5" t="n"/>
      <c r="I2199" s="5" t="n"/>
      <c r="J2199" s="6" t="n"/>
      <c r="K2199" s="6" t="n"/>
      <c r="L2199" s="7">
        <f>IF(OR(D2199="",N(J2199)=0),"",MIN(1,N(K2199)/J2199))</f>
        <v/>
      </c>
      <c r="M2199" s="5" t="n"/>
      <c r="N2199" s="5" t="n"/>
      <c r="O2199" s="5" t="n"/>
      <c r="P2199" s="5" t="n"/>
      <c r="Q2199" s="5" t="n"/>
      <c r="R2199" s="4" t="n"/>
      <c r="S2199" s="4" t="n"/>
      <c r="T2199" s="5" t="n"/>
      <c r="U2199" s="8">
        <f>IF(AND(V2199=1,D2199&lt;&gt;""),IF(D2199&gt;=corte,TODAY()-D2199,""),"")</f>
        <v/>
      </c>
      <c r="V2199" s="8">
        <f>IF(D2199="",0,IF(OR(AND(P2199&lt;&gt;"",S2199=""),AND(N(J2199)&gt;0,N(K2199)&lt;J2199),OR(M2199="PENDENTE",M2199="PARCIAL"),OR(N2199="PENDENTE",N2199="PARCIAL")),1,0))</f>
        <v/>
      </c>
      <c r="W2199" s="8">
        <f>IF(AND(V2199=1,D2199&lt;&gt;""),IF(D2199&gt;=corte,(B2199="CRÍTICO")*1E9+(100000-D2199)*10000+10000-ROW(),""),"")</f>
        <v/>
      </c>
      <c r="X2199" s="8">
        <f>IF(AND(V2199=1,D2199=pas_data,E2199=pas_turno),10000-ROW(),"")</f>
        <v/>
      </c>
    </row>
    <row r="2200">
      <c r="A2200" s="3">
        <f>IF(D2200="","","TT-"&amp;TEXT(ROW()-1,"00000"))</f>
        <v/>
      </c>
      <c r="B2200" s="3">
        <f>IF(D2200="","",IF(V2200=0,"CONCLUÍDO",IF(D2200&lt;corte,"HISTÓRICO",IF(OR(AND(ISNUMBER(R2200),R2200&lt;TODAY()),AND(OR(N2200="PENDENTE",N2200="PARCIAL"),D2200&lt;TODAY()-1)),"CRÍTICO",IF(OR(AND(P2200&lt;&gt;"",S2200=""),AND(N2200="REALIZADO",M2200="PENDENTE"),AND(ISNUMBER(R2200),R2200=TODAY())),"ATENÇÃO",IF(N(K2200)=0,"PENDENTE","EM ANDAMENTO"))))))</f>
        <v/>
      </c>
      <c r="C2200" s="3">
        <f>IF(D2200="","",IF(V2200=0,"🟢 OK",IF(D2200&lt;corte,"⚪ HISTÓRICO (sem baixa)",IF(AND(ISNUMBER(R2200),R2200&lt;TODAY()),"🔴 PRAZO VENCIDO",IF(AND(OR(N2200="PENDENTE",N2200="PARCIAL"),D2200&lt;TODAY()-1),"🔴 EMBARQUE ATRASADO",IF(AND(N2200="REALIZADO",M2200="PENDENTE"),"🟡 EMBARCADO SEM FATURAR",IF(AND(P2200&lt;&gt;"",S2200="",OR(Q2200="",R2200="")),"🟡 PENDÊNCIA SEM RESPONSÁVEL/PRAZO",IF(AND(ISNUMBER(R2200),R2200=TODAY()),"🟡 VENCE HOJE",IF(AND(P2200&lt;&gt;"",S2200=""),"🟡 PENDÊNCIA ABERTA",IF(AND(N(J2200)&gt;0,N(K2200)&lt;J2200),"🟡 FALTA EXECUTAR",IF(OR(M2200="PENDENTE",M2200="PARCIAL"),"🟡 FATURAMENTO PENDENTE","🟡 EMBARQUE PENDENTE")))))))))))</f>
        <v/>
      </c>
      <c r="D2200" s="4" t="n"/>
      <c r="E2200" s="5" t="n"/>
      <c r="F2200" s="5" t="n"/>
      <c r="G2200" s="5" t="n"/>
      <c r="H2200" s="5" t="n"/>
      <c r="I2200" s="5" t="n"/>
      <c r="J2200" s="6" t="n"/>
      <c r="K2200" s="6" t="n"/>
      <c r="L2200" s="7">
        <f>IF(OR(D2200="",N(J2200)=0),"",MIN(1,N(K2200)/J2200))</f>
        <v/>
      </c>
      <c r="M2200" s="5" t="n"/>
      <c r="N2200" s="5" t="n"/>
      <c r="O2200" s="5" t="n"/>
      <c r="P2200" s="5" t="n"/>
      <c r="Q2200" s="5" t="n"/>
      <c r="R2200" s="4" t="n"/>
      <c r="S2200" s="4" t="n"/>
      <c r="T2200" s="5" t="n"/>
      <c r="U2200" s="8">
        <f>IF(AND(V2200=1,D2200&lt;&gt;""),IF(D2200&gt;=corte,TODAY()-D2200,""),"")</f>
        <v/>
      </c>
      <c r="V2200" s="8">
        <f>IF(D2200="",0,IF(OR(AND(P2200&lt;&gt;"",S2200=""),AND(N(J2200)&gt;0,N(K2200)&lt;J2200),OR(M2200="PENDENTE",M2200="PARCIAL"),OR(N2200="PENDENTE",N2200="PARCIAL")),1,0))</f>
        <v/>
      </c>
      <c r="W2200" s="8">
        <f>IF(AND(V2200=1,D2200&lt;&gt;""),IF(D2200&gt;=corte,(B2200="CRÍTICO")*1E9+(100000-D2200)*10000+10000-ROW(),""),"")</f>
        <v/>
      </c>
      <c r="X2200" s="8">
        <f>IF(AND(V2200=1,D2200=pas_data,E2200=pas_turno),10000-ROW(),"")</f>
        <v/>
      </c>
    </row>
    <row r="2201">
      <c r="A2201" s="3">
        <f>IF(D2201="","","TT-"&amp;TEXT(ROW()-1,"00000"))</f>
        <v/>
      </c>
      <c r="B2201" s="3">
        <f>IF(D2201="","",IF(V2201=0,"CONCLUÍDO",IF(D2201&lt;corte,"HISTÓRICO",IF(OR(AND(ISNUMBER(R2201),R2201&lt;TODAY()),AND(OR(N2201="PENDENTE",N2201="PARCIAL"),D2201&lt;TODAY()-1)),"CRÍTICO",IF(OR(AND(P2201&lt;&gt;"",S2201=""),AND(N2201="REALIZADO",M2201="PENDENTE"),AND(ISNUMBER(R2201),R2201=TODAY())),"ATENÇÃO",IF(N(K2201)=0,"PENDENTE","EM ANDAMENTO"))))))</f>
        <v/>
      </c>
      <c r="C2201" s="3">
        <f>IF(D2201="","",IF(V2201=0,"🟢 OK",IF(D2201&lt;corte,"⚪ HISTÓRICO (sem baixa)",IF(AND(ISNUMBER(R2201),R2201&lt;TODAY()),"🔴 PRAZO VENCIDO",IF(AND(OR(N2201="PENDENTE",N2201="PARCIAL"),D2201&lt;TODAY()-1),"🔴 EMBARQUE ATRASADO",IF(AND(N2201="REALIZADO",M2201="PENDENTE"),"🟡 EMBARCADO SEM FATURAR",IF(AND(P2201&lt;&gt;"",S2201="",OR(Q2201="",R2201="")),"🟡 PENDÊNCIA SEM RESPONSÁVEL/PRAZO",IF(AND(ISNUMBER(R2201),R2201=TODAY()),"🟡 VENCE HOJE",IF(AND(P2201&lt;&gt;"",S2201=""),"🟡 PENDÊNCIA ABERTA",IF(AND(N(J2201)&gt;0,N(K2201)&lt;J2201),"🟡 FALTA EXECUTAR",IF(OR(M2201="PENDENTE",M2201="PARCIAL"),"🟡 FATURAMENTO PENDENTE","🟡 EMBARQUE PENDENTE")))))))))))</f>
        <v/>
      </c>
      <c r="D2201" s="4" t="n"/>
      <c r="E2201" s="5" t="n"/>
      <c r="F2201" s="5" t="n"/>
      <c r="G2201" s="5" t="n"/>
      <c r="H2201" s="5" t="n"/>
      <c r="I2201" s="5" t="n"/>
      <c r="J2201" s="6" t="n"/>
      <c r="K2201" s="6" t="n"/>
      <c r="L2201" s="7">
        <f>IF(OR(D2201="",N(J2201)=0),"",MIN(1,N(K2201)/J2201))</f>
        <v/>
      </c>
      <c r="M2201" s="5" t="n"/>
      <c r="N2201" s="5" t="n"/>
      <c r="O2201" s="5" t="n"/>
      <c r="P2201" s="5" t="n"/>
      <c r="Q2201" s="5" t="n"/>
      <c r="R2201" s="4" t="n"/>
      <c r="S2201" s="4" t="n"/>
      <c r="T2201" s="5" t="n"/>
      <c r="U2201" s="8">
        <f>IF(AND(V2201=1,D2201&lt;&gt;""),IF(D2201&gt;=corte,TODAY()-D2201,""),"")</f>
        <v/>
      </c>
      <c r="V2201" s="8">
        <f>IF(D2201="",0,IF(OR(AND(P2201&lt;&gt;"",S2201=""),AND(N(J2201)&gt;0,N(K2201)&lt;J2201),OR(M2201="PENDENTE",M2201="PARCIAL"),OR(N2201="PENDENTE",N2201="PARCIAL")),1,0))</f>
        <v/>
      </c>
      <c r="W2201" s="8">
        <f>IF(AND(V2201=1,D2201&lt;&gt;""),IF(D2201&gt;=corte,(B2201="CRÍTICO")*1E9+(100000-D2201)*10000+10000-ROW(),""),"")</f>
        <v/>
      </c>
      <c r="X2201" s="8">
        <f>IF(AND(V2201=1,D2201=pas_data,E2201=pas_turno),10000-ROW(),"")</f>
        <v/>
      </c>
    </row>
    <row r="2202">
      <c r="A2202" s="3">
        <f>IF(D2202="","","TT-"&amp;TEXT(ROW()-1,"00000"))</f>
        <v/>
      </c>
      <c r="B2202" s="3">
        <f>IF(D2202="","",IF(V2202=0,"CONCLUÍDO",IF(D2202&lt;corte,"HISTÓRICO",IF(OR(AND(ISNUMBER(R2202),R2202&lt;TODAY()),AND(OR(N2202="PENDENTE",N2202="PARCIAL"),D2202&lt;TODAY()-1)),"CRÍTICO",IF(OR(AND(P2202&lt;&gt;"",S2202=""),AND(N2202="REALIZADO",M2202="PENDENTE"),AND(ISNUMBER(R2202),R2202=TODAY())),"ATENÇÃO",IF(N(K2202)=0,"PENDENTE","EM ANDAMENTO"))))))</f>
        <v/>
      </c>
      <c r="C2202" s="3">
        <f>IF(D2202="","",IF(V2202=0,"🟢 OK",IF(D2202&lt;corte,"⚪ HISTÓRICO (sem baixa)",IF(AND(ISNUMBER(R2202),R2202&lt;TODAY()),"🔴 PRAZO VENCIDO",IF(AND(OR(N2202="PENDENTE",N2202="PARCIAL"),D2202&lt;TODAY()-1),"🔴 EMBARQUE ATRASADO",IF(AND(N2202="REALIZADO",M2202="PENDENTE"),"🟡 EMBARCADO SEM FATURAR",IF(AND(P2202&lt;&gt;"",S2202="",OR(Q2202="",R2202="")),"🟡 PENDÊNCIA SEM RESPONSÁVEL/PRAZO",IF(AND(ISNUMBER(R2202),R2202=TODAY()),"🟡 VENCE HOJE",IF(AND(P2202&lt;&gt;"",S2202=""),"🟡 PENDÊNCIA ABERTA",IF(AND(N(J2202)&gt;0,N(K2202)&lt;J2202),"🟡 FALTA EXECUTAR",IF(OR(M2202="PENDENTE",M2202="PARCIAL"),"🟡 FATURAMENTO PENDENTE","🟡 EMBARQUE PENDENTE")))))))))))</f>
        <v/>
      </c>
      <c r="D2202" s="4" t="n"/>
      <c r="E2202" s="5" t="n"/>
      <c r="F2202" s="5" t="n"/>
      <c r="G2202" s="5" t="n"/>
      <c r="H2202" s="5" t="n"/>
      <c r="I2202" s="5" t="n"/>
      <c r="J2202" s="6" t="n"/>
      <c r="K2202" s="6" t="n"/>
      <c r="L2202" s="7">
        <f>IF(OR(D2202="",N(J2202)=0),"",MIN(1,N(K2202)/J2202))</f>
        <v/>
      </c>
      <c r="M2202" s="5" t="n"/>
      <c r="N2202" s="5" t="n"/>
      <c r="O2202" s="5" t="n"/>
      <c r="P2202" s="5" t="n"/>
      <c r="Q2202" s="5" t="n"/>
      <c r="R2202" s="4" t="n"/>
      <c r="S2202" s="4" t="n"/>
      <c r="T2202" s="5" t="n"/>
      <c r="U2202" s="8">
        <f>IF(AND(V2202=1,D2202&lt;&gt;""),IF(D2202&gt;=corte,TODAY()-D2202,""),"")</f>
        <v/>
      </c>
      <c r="V2202" s="8">
        <f>IF(D2202="",0,IF(OR(AND(P2202&lt;&gt;"",S2202=""),AND(N(J2202)&gt;0,N(K2202)&lt;J2202),OR(M2202="PENDENTE",M2202="PARCIAL"),OR(N2202="PENDENTE",N2202="PARCIAL")),1,0))</f>
        <v/>
      </c>
      <c r="W2202" s="8">
        <f>IF(AND(V2202=1,D2202&lt;&gt;""),IF(D2202&gt;=corte,(B2202="CRÍTICO")*1E9+(100000-D2202)*10000+10000-ROW(),""),"")</f>
        <v/>
      </c>
      <c r="X2202" s="8">
        <f>IF(AND(V2202=1,D2202=pas_data,E2202=pas_turno),10000-ROW(),"")</f>
        <v/>
      </c>
    </row>
    <row r="2203">
      <c r="A2203" s="3">
        <f>IF(D2203="","","TT-"&amp;TEXT(ROW()-1,"00000"))</f>
        <v/>
      </c>
      <c r="B2203" s="3">
        <f>IF(D2203="","",IF(V2203=0,"CONCLUÍDO",IF(D2203&lt;corte,"HISTÓRICO",IF(OR(AND(ISNUMBER(R2203),R2203&lt;TODAY()),AND(OR(N2203="PENDENTE",N2203="PARCIAL"),D2203&lt;TODAY()-1)),"CRÍTICO",IF(OR(AND(P2203&lt;&gt;"",S2203=""),AND(N2203="REALIZADO",M2203="PENDENTE"),AND(ISNUMBER(R2203),R2203=TODAY())),"ATENÇÃO",IF(N(K2203)=0,"PENDENTE","EM ANDAMENTO"))))))</f>
        <v/>
      </c>
      <c r="C2203" s="3">
        <f>IF(D2203="","",IF(V2203=0,"🟢 OK",IF(D2203&lt;corte,"⚪ HISTÓRICO (sem baixa)",IF(AND(ISNUMBER(R2203),R2203&lt;TODAY()),"🔴 PRAZO VENCIDO",IF(AND(OR(N2203="PENDENTE",N2203="PARCIAL"),D2203&lt;TODAY()-1),"🔴 EMBARQUE ATRASADO",IF(AND(N2203="REALIZADO",M2203="PENDENTE"),"🟡 EMBARCADO SEM FATURAR",IF(AND(P2203&lt;&gt;"",S2203="",OR(Q2203="",R2203="")),"🟡 PENDÊNCIA SEM RESPONSÁVEL/PRAZO",IF(AND(ISNUMBER(R2203),R2203=TODAY()),"🟡 VENCE HOJE",IF(AND(P2203&lt;&gt;"",S2203=""),"🟡 PENDÊNCIA ABERTA",IF(AND(N(J2203)&gt;0,N(K2203)&lt;J2203),"🟡 FALTA EXECUTAR",IF(OR(M2203="PENDENTE",M2203="PARCIAL"),"🟡 FATURAMENTO PENDENTE","🟡 EMBARQUE PENDENTE")))))))))))</f>
        <v/>
      </c>
      <c r="D2203" s="4" t="n"/>
      <c r="E2203" s="5" t="n"/>
      <c r="F2203" s="5" t="n"/>
      <c r="G2203" s="5" t="n"/>
      <c r="H2203" s="5" t="n"/>
      <c r="I2203" s="5" t="n"/>
      <c r="J2203" s="6" t="n"/>
      <c r="K2203" s="6" t="n"/>
      <c r="L2203" s="7">
        <f>IF(OR(D2203="",N(J2203)=0),"",MIN(1,N(K2203)/J2203))</f>
        <v/>
      </c>
      <c r="M2203" s="5" t="n"/>
      <c r="N2203" s="5" t="n"/>
      <c r="O2203" s="5" t="n"/>
      <c r="P2203" s="5" t="n"/>
      <c r="Q2203" s="5" t="n"/>
      <c r="R2203" s="4" t="n"/>
      <c r="S2203" s="4" t="n"/>
      <c r="T2203" s="5" t="n"/>
      <c r="U2203" s="8">
        <f>IF(AND(V2203=1,D2203&lt;&gt;""),IF(D2203&gt;=corte,TODAY()-D2203,""),"")</f>
        <v/>
      </c>
      <c r="V2203" s="8">
        <f>IF(D2203="",0,IF(OR(AND(P2203&lt;&gt;"",S2203=""),AND(N(J2203)&gt;0,N(K2203)&lt;J2203),OR(M2203="PENDENTE",M2203="PARCIAL"),OR(N2203="PENDENTE",N2203="PARCIAL")),1,0))</f>
        <v/>
      </c>
      <c r="W2203" s="8">
        <f>IF(AND(V2203=1,D2203&lt;&gt;""),IF(D2203&gt;=corte,(B2203="CRÍTICO")*1E9+(100000-D2203)*10000+10000-ROW(),""),"")</f>
        <v/>
      </c>
      <c r="X2203" s="8">
        <f>IF(AND(V2203=1,D2203=pas_data,E2203=pas_turno),10000-ROW(),"")</f>
        <v/>
      </c>
    </row>
    <row r="2204">
      <c r="A2204" s="3">
        <f>IF(D2204="","","TT-"&amp;TEXT(ROW()-1,"00000"))</f>
        <v/>
      </c>
      <c r="B2204" s="3">
        <f>IF(D2204="","",IF(V2204=0,"CONCLUÍDO",IF(D2204&lt;corte,"HISTÓRICO",IF(OR(AND(ISNUMBER(R2204),R2204&lt;TODAY()),AND(OR(N2204="PENDENTE",N2204="PARCIAL"),D2204&lt;TODAY()-1)),"CRÍTICO",IF(OR(AND(P2204&lt;&gt;"",S2204=""),AND(N2204="REALIZADO",M2204="PENDENTE"),AND(ISNUMBER(R2204),R2204=TODAY())),"ATENÇÃO",IF(N(K2204)=0,"PENDENTE","EM ANDAMENTO"))))))</f>
        <v/>
      </c>
      <c r="C2204" s="3">
        <f>IF(D2204="","",IF(V2204=0,"🟢 OK",IF(D2204&lt;corte,"⚪ HISTÓRICO (sem baixa)",IF(AND(ISNUMBER(R2204),R2204&lt;TODAY()),"🔴 PRAZO VENCIDO",IF(AND(OR(N2204="PENDENTE",N2204="PARCIAL"),D2204&lt;TODAY()-1),"🔴 EMBARQUE ATRASADO",IF(AND(N2204="REALIZADO",M2204="PENDENTE"),"🟡 EMBARCADO SEM FATURAR",IF(AND(P2204&lt;&gt;"",S2204="",OR(Q2204="",R2204="")),"🟡 PENDÊNCIA SEM RESPONSÁVEL/PRAZO",IF(AND(ISNUMBER(R2204),R2204=TODAY()),"🟡 VENCE HOJE",IF(AND(P2204&lt;&gt;"",S2204=""),"🟡 PENDÊNCIA ABERTA",IF(AND(N(J2204)&gt;0,N(K2204)&lt;J2204),"🟡 FALTA EXECUTAR",IF(OR(M2204="PENDENTE",M2204="PARCIAL"),"🟡 FATURAMENTO PENDENTE","🟡 EMBARQUE PENDENTE")))))))))))</f>
        <v/>
      </c>
      <c r="D2204" s="4" t="n"/>
      <c r="E2204" s="5" t="n"/>
      <c r="F2204" s="5" t="n"/>
      <c r="G2204" s="5" t="n"/>
      <c r="H2204" s="5" t="n"/>
      <c r="I2204" s="5" t="n"/>
      <c r="J2204" s="6" t="n"/>
      <c r="K2204" s="6" t="n"/>
      <c r="L2204" s="7">
        <f>IF(OR(D2204="",N(J2204)=0),"",MIN(1,N(K2204)/J2204))</f>
        <v/>
      </c>
      <c r="M2204" s="5" t="n"/>
      <c r="N2204" s="5" t="n"/>
      <c r="O2204" s="5" t="n"/>
      <c r="P2204" s="5" t="n"/>
      <c r="Q2204" s="5" t="n"/>
      <c r="R2204" s="4" t="n"/>
      <c r="S2204" s="4" t="n"/>
      <c r="T2204" s="5" t="n"/>
      <c r="U2204" s="8">
        <f>IF(AND(V2204=1,D2204&lt;&gt;""),IF(D2204&gt;=corte,TODAY()-D2204,""),"")</f>
        <v/>
      </c>
      <c r="V2204" s="8">
        <f>IF(D2204="",0,IF(OR(AND(P2204&lt;&gt;"",S2204=""),AND(N(J2204)&gt;0,N(K2204)&lt;J2204),OR(M2204="PENDENTE",M2204="PARCIAL"),OR(N2204="PENDENTE",N2204="PARCIAL")),1,0))</f>
        <v/>
      </c>
      <c r="W2204" s="8">
        <f>IF(AND(V2204=1,D2204&lt;&gt;""),IF(D2204&gt;=corte,(B2204="CRÍTICO")*1E9+(100000-D2204)*10000+10000-ROW(),""),"")</f>
        <v/>
      </c>
      <c r="X2204" s="8">
        <f>IF(AND(V2204=1,D2204=pas_data,E2204=pas_turno),10000-ROW(),"")</f>
        <v/>
      </c>
    </row>
    <row r="2205">
      <c r="A2205" s="3">
        <f>IF(D2205="","","TT-"&amp;TEXT(ROW()-1,"00000"))</f>
        <v/>
      </c>
      <c r="B2205" s="3">
        <f>IF(D2205="","",IF(V2205=0,"CONCLUÍDO",IF(D2205&lt;corte,"HISTÓRICO",IF(OR(AND(ISNUMBER(R2205),R2205&lt;TODAY()),AND(OR(N2205="PENDENTE",N2205="PARCIAL"),D2205&lt;TODAY()-1)),"CRÍTICO",IF(OR(AND(P2205&lt;&gt;"",S2205=""),AND(N2205="REALIZADO",M2205="PENDENTE"),AND(ISNUMBER(R2205),R2205=TODAY())),"ATENÇÃO",IF(N(K2205)=0,"PENDENTE","EM ANDAMENTO"))))))</f>
        <v/>
      </c>
      <c r="C2205" s="3">
        <f>IF(D2205="","",IF(V2205=0,"🟢 OK",IF(D2205&lt;corte,"⚪ HISTÓRICO (sem baixa)",IF(AND(ISNUMBER(R2205),R2205&lt;TODAY()),"🔴 PRAZO VENCIDO",IF(AND(OR(N2205="PENDENTE",N2205="PARCIAL"),D2205&lt;TODAY()-1),"🔴 EMBARQUE ATRASADO",IF(AND(N2205="REALIZADO",M2205="PENDENTE"),"🟡 EMBARCADO SEM FATURAR",IF(AND(P2205&lt;&gt;"",S2205="",OR(Q2205="",R2205="")),"🟡 PENDÊNCIA SEM RESPONSÁVEL/PRAZO",IF(AND(ISNUMBER(R2205),R2205=TODAY()),"🟡 VENCE HOJE",IF(AND(P2205&lt;&gt;"",S2205=""),"🟡 PENDÊNCIA ABERTA",IF(AND(N(J2205)&gt;0,N(K2205)&lt;J2205),"🟡 FALTA EXECUTAR",IF(OR(M2205="PENDENTE",M2205="PARCIAL"),"🟡 FATURAMENTO PENDENTE","🟡 EMBARQUE PENDENTE")))))))))))</f>
        <v/>
      </c>
      <c r="D2205" s="4" t="n"/>
      <c r="E2205" s="5" t="n"/>
      <c r="F2205" s="5" t="n"/>
      <c r="G2205" s="5" t="n"/>
      <c r="H2205" s="5" t="n"/>
      <c r="I2205" s="5" t="n"/>
      <c r="J2205" s="6" t="n"/>
      <c r="K2205" s="6" t="n"/>
      <c r="L2205" s="7">
        <f>IF(OR(D2205="",N(J2205)=0),"",MIN(1,N(K2205)/J2205))</f>
        <v/>
      </c>
      <c r="M2205" s="5" t="n"/>
      <c r="N2205" s="5" t="n"/>
      <c r="O2205" s="5" t="n"/>
      <c r="P2205" s="5" t="n"/>
      <c r="Q2205" s="5" t="n"/>
      <c r="R2205" s="4" t="n"/>
      <c r="S2205" s="4" t="n"/>
      <c r="T2205" s="5" t="n"/>
      <c r="U2205" s="8">
        <f>IF(AND(V2205=1,D2205&lt;&gt;""),IF(D2205&gt;=corte,TODAY()-D2205,""),"")</f>
        <v/>
      </c>
      <c r="V2205" s="8">
        <f>IF(D2205="",0,IF(OR(AND(P2205&lt;&gt;"",S2205=""),AND(N(J2205)&gt;0,N(K2205)&lt;J2205),OR(M2205="PENDENTE",M2205="PARCIAL"),OR(N2205="PENDENTE",N2205="PARCIAL")),1,0))</f>
        <v/>
      </c>
      <c r="W2205" s="8">
        <f>IF(AND(V2205=1,D2205&lt;&gt;""),IF(D2205&gt;=corte,(B2205="CRÍTICO")*1E9+(100000-D2205)*10000+10000-ROW(),""),"")</f>
        <v/>
      </c>
      <c r="X2205" s="8">
        <f>IF(AND(V2205=1,D2205=pas_data,E2205=pas_turno),10000-ROW(),"")</f>
        <v/>
      </c>
    </row>
    <row r="2206">
      <c r="A2206" s="3">
        <f>IF(D2206="","","TT-"&amp;TEXT(ROW()-1,"00000"))</f>
        <v/>
      </c>
      <c r="B2206" s="3">
        <f>IF(D2206="","",IF(V2206=0,"CONCLUÍDO",IF(D2206&lt;corte,"HISTÓRICO",IF(OR(AND(ISNUMBER(R2206),R2206&lt;TODAY()),AND(OR(N2206="PENDENTE",N2206="PARCIAL"),D2206&lt;TODAY()-1)),"CRÍTICO",IF(OR(AND(P2206&lt;&gt;"",S2206=""),AND(N2206="REALIZADO",M2206="PENDENTE"),AND(ISNUMBER(R2206),R2206=TODAY())),"ATENÇÃO",IF(N(K2206)=0,"PENDENTE","EM ANDAMENTO"))))))</f>
        <v/>
      </c>
      <c r="C2206" s="3">
        <f>IF(D2206="","",IF(V2206=0,"🟢 OK",IF(D2206&lt;corte,"⚪ HISTÓRICO (sem baixa)",IF(AND(ISNUMBER(R2206),R2206&lt;TODAY()),"🔴 PRAZO VENCIDO",IF(AND(OR(N2206="PENDENTE",N2206="PARCIAL"),D2206&lt;TODAY()-1),"🔴 EMBARQUE ATRASADO",IF(AND(N2206="REALIZADO",M2206="PENDENTE"),"🟡 EMBARCADO SEM FATURAR",IF(AND(P2206&lt;&gt;"",S2206="",OR(Q2206="",R2206="")),"🟡 PENDÊNCIA SEM RESPONSÁVEL/PRAZO",IF(AND(ISNUMBER(R2206),R2206=TODAY()),"🟡 VENCE HOJE",IF(AND(P2206&lt;&gt;"",S2206=""),"🟡 PENDÊNCIA ABERTA",IF(AND(N(J2206)&gt;0,N(K2206)&lt;J2206),"🟡 FALTA EXECUTAR",IF(OR(M2206="PENDENTE",M2206="PARCIAL"),"🟡 FATURAMENTO PENDENTE","🟡 EMBARQUE PENDENTE")))))))))))</f>
        <v/>
      </c>
      <c r="D2206" s="4" t="n"/>
      <c r="E2206" s="5" t="n"/>
      <c r="F2206" s="5" t="n"/>
      <c r="G2206" s="5" t="n"/>
      <c r="H2206" s="5" t="n"/>
      <c r="I2206" s="5" t="n"/>
      <c r="J2206" s="6" t="n"/>
      <c r="K2206" s="6" t="n"/>
      <c r="L2206" s="7">
        <f>IF(OR(D2206="",N(J2206)=0),"",MIN(1,N(K2206)/J2206))</f>
        <v/>
      </c>
      <c r="M2206" s="5" t="n"/>
      <c r="N2206" s="5" t="n"/>
      <c r="O2206" s="5" t="n"/>
      <c r="P2206" s="5" t="n"/>
      <c r="Q2206" s="5" t="n"/>
      <c r="R2206" s="4" t="n"/>
      <c r="S2206" s="4" t="n"/>
      <c r="T2206" s="5" t="n"/>
      <c r="U2206" s="8">
        <f>IF(AND(V2206=1,D2206&lt;&gt;""),IF(D2206&gt;=corte,TODAY()-D2206,""),"")</f>
        <v/>
      </c>
      <c r="V2206" s="8">
        <f>IF(D2206="",0,IF(OR(AND(P2206&lt;&gt;"",S2206=""),AND(N(J2206)&gt;0,N(K2206)&lt;J2206),OR(M2206="PENDENTE",M2206="PARCIAL"),OR(N2206="PENDENTE",N2206="PARCIAL")),1,0))</f>
        <v/>
      </c>
      <c r="W2206" s="8">
        <f>IF(AND(V2206=1,D2206&lt;&gt;""),IF(D2206&gt;=corte,(B2206="CRÍTICO")*1E9+(100000-D2206)*10000+10000-ROW(),""),"")</f>
        <v/>
      </c>
      <c r="X2206" s="8">
        <f>IF(AND(V2206=1,D2206=pas_data,E2206=pas_turno),10000-ROW(),"")</f>
        <v/>
      </c>
    </row>
    <row r="2207">
      <c r="A2207" s="3">
        <f>IF(D2207="","","TT-"&amp;TEXT(ROW()-1,"00000"))</f>
        <v/>
      </c>
      <c r="B2207" s="3">
        <f>IF(D2207="","",IF(V2207=0,"CONCLUÍDO",IF(D2207&lt;corte,"HISTÓRICO",IF(OR(AND(ISNUMBER(R2207),R2207&lt;TODAY()),AND(OR(N2207="PENDENTE",N2207="PARCIAL"),D2207&lt;TODAY()-1)),"CRÍTICO",IF(OR(AND(P2207&lt;&gt;"",S2207=""),AND(N2207="REALIZADO",M2207="PENDENTE"),AND(ISNUMBER(R2207),R2207=TODAY())),"ATENÇÃO",IF(N(K2207)=0,"PENDENTE","EM ANDAMENTO"))))))</f>
        <v/>
      </c>
      <c r="C2207" s="3">
        <f>IF(D2207="","",IF(V2207=0,"🟢 OK",IF(D2207&lt;corte,"⚪ HISTÓRICO (sem baixa)",IF(AND(ISNUMBER(R2207),R2207&lt;TODAY()),"🔴 PRAZO VENCIDO",IF(AND(OR(N2207="PENDENTE",N2207="PARCIAL"),D2207&lt;TODAY()-1),"🔴 EMBARQUE ATRASADO",IF(AND(N2207="REALIZADO",M2207="PENDENTE"),"🟡 EMBARCADO SEM FATURAR",IF(AND(P2207&lt;&gt;"",S2207="",OR(Q2207="",R2207="")),"🟡 PENDÊNCIA SEM RESPONSÁVEL/PRAZO",IF(AND(ISNUMBER(R2207),R2207=TODAY()),"🟡 VENCE HOJE",IF(AND(P2207&lt;&gt;"",S2207=""),"🟡 PENDÊNCIA ABERTA",IF(AND(N(J2207)&gt;0,N(K2207)&lt;J2207),"🟡 FALTA EXECUTAR",IF(OR(M2207="PENDENTE",M2207="PARCIAL"),"🟡 FATURAMENTO PENDENTE","🟡 EMBARQUE PENDENTE")))))))))))</f>
        <v/>
      </c>
      <c r="D2207" s="4" t="n"/>
      <c r="E2207" s="5" t="n"/>
      <c r="F2207" s="5" t="n"/>
      <c r="G2207" s="5" t="n"/>
      <c r="H2207" s="5" t="n"/>
      <c r="I2207" s="5" t="n"/>
      <c r="J2207" s="6" t="n"/>
      <c r="K2207" s="6" t="n"/>
      <c r="L2207" s="7">
        <f>IF(OR(D2207="",N(J2207)=0),"",MIN(1,N(K2207)/J2207))</f>
        <v/>
      </c>
      <c r="M2207" s="5" t="n"/>
      <c r="N2207" s="5" t="n"/>
      <c r="O2207" s="5" t="n"/>
      <c r="P2207" s="5" t="n"/>
      <c r="Q2207" s="5" t="n"/>
      <c r="R2207" s="4" t="n"/>
      <c r="S2207" s="4" t="n"/>
      <c r="T2207" s="5" t="n"/>
      <c r="U2207" s="8">
        <f>IF(AND(V2207=1,D2207&lt;&gt;""),IF(D2207&gt;=corte,TODAY()-D2207,""),"")</f>
        <v/>
      </c>
      <c r="V2207" s="8">
        <f>IF(D2207="",0,IF(OR(AND(P2207&lt;&gt;"",S2207=""),AND(N(J2207)&gt;0,N(K2207)&lt;J2207),OR(M2207="PENDENTE",M2207="PARCIAL"),OR(N2207="PENDENTE",N2207="PARCIAL")),1,0))</f>
        <v/>
      </c>
      <c r="W2207" s="8">
        <f>IF(AND(V2207=1,D2207&lt;&gt;""),IF(D2207&gt;=corte,(B2207="CRÍTICO")*1E9+(100000-D2207)*10000+10000-ROW(),""),"")</f>
        <v/>
      </c>
      <c r="X2207" s="8">
        <f>IF(AND(V2207=1,D2207=pas_data,E2207=pas_turno),10000-ROW(),"")</f>
        <v/>
      </c>
    </row>
    <row r="2208">
      <c r="A2208" s="3">
        <f>IF(D2208="","","TT-"&amp;TEXT(ROW()-1,"00000"))</f>
        <v/>
      </c>
      <c r="B2208" s="3">
        <f>IF(D2208="","",IF(V2208=0,"CONCLUÍDO",IF(D2208&lt;corte,"HISTÓRICO",IF(OR(AND(ISNUMBER(R2208),R2208&lt;TODAY()),AND(OR(N2208="PENDENTE",N2208="PARCIAL"),D2208&lt;TODAY()-1)),"CRÍTICO",IF(OR(AND(P2208&lt;&gt;"",S2208=""),AND(N2208="REALIZADO",M2208="PENDENTE"),AND(ISNUMBER(R2208),R2208=TODAY())),"ATENÇÃO",IF(N(K2208)=0,"PENDENTE","EM ANDAMENTO"))))))</f>
        <v/>
      </c>
      <c r="C2208" s="3">
        <f>IF(D2208="","",IF(V2208=0,"🟢 OK",IF(D2208&lt;corte,"⚪ HISTÓRICO (sem baixa)",IF(AND(ISNUMBER(R2208),R2208&lt;TODAY()),"🔴 PRAZO VENCIDO",IF(AND(OR(N2208="PENDENTE",N2208="PARCIAL"),D2208&lt;TODAY()-1),"🔴 EMBARQUE ATRASADO",IF(AND(N2208="REALIZADO",M2208="PENDENTE"),"🟡 EMBARCADO SEM FATURAR",IF(AND(P2208&lt;&gt;"",S2208="",OR(Q2208="",R2208="")),"🟡 PENDÊNCIA SEM RESPONSÁVEL/PRAZO",IF(AND(ISNUMBER(R2208),R2208=TODAY()),"🟡 VENCE HOJE",IF(AND(P2208&lt;&gt;"",S2208=""),"🟡 PENDÊNCIA ABERTA",IF(AND(N(J2208)&gt;0,N(K2208)&lt;J2208),"🟡 FALTA EXECUTAR",IF(OR(M2208="PENDENTE",M2208="PARCIAL"),"🟡 FATURAMENTO PENDENTE","🟡 EMBARQUE PENDENTE")))))))))))</f>
        <v/>
      </c>
      <c r="D2208" s="4" t="n"/>
      <c r="E2208" s="5" t="n"/>
      <c r="F2208" s="5" t="n"/>
      <c r="G2208" s="5" t="n"/>
      <c r="H2208" s="5" t="n"/>
      <c r="I2208" s="5" t="n"/>
      <c r="J2208" s="6" t="n"/>
      <c r="K2208" s="6" t="n"/>
      <c r="L2208" s="7">
        <f>IF(OR(D2208="",N(J2208)=0),"",MIN(1,N(K2208)/J2208))</f>
        <v/>
      </c>
      <c r="M2208" s="5" t="n"/>
      <c r="N2208" s="5" t="n"/>
      <c r="O2208" s="5" t="n"/>
      <c r="P2208" s="5" t="n"/>
      <c r="Q2208" s="5" t="n"/>
      <c r="R2208" s="4" t="n"/>
      <c r="S2208" s="4" t="n"/>
      <c r="T2208" s="5" t="n"/>
      <c r="U2208" s="8">
        <f>IF(AND(V2208=1,D2208&lt;&gt;""),IF(D2208&gt;=corte,TODAY()-D2208,""),"")</f>
        <v/>
      </c>
      <c r="V2208" s="8">
        <f>IF(D2208="",0,IF(OR(AND(P2208&lt;&gt;"",S2208=""),AND(N(J2208)&gt;0,N(K2208)&lt;J2208),OR(M2208="PENDENTE",M2208="PARCIAL"),OR(N2208="PENDENTE",N2208="PARCIAL")),1,0))</f>
        <v/>
      </c>
      <c r="W2208" s="8">
        <f>IF(AND(V2208=1,D2208&lt;&gt;""),IF(D2208&gt;=corte,(B2208="CRÍTICO")*1E9+(100000-D2208)*10000+10000-ROW(),""),"")</f>
        <v/>
      </c>
      <c r="X2208" s="8">
        <f>IF(AND(V2208=1,D2208=pas_data,E2208=pas_turno),10000-ROW(),"")</f>
        <v/>
      </c>
    </row>
    <row r="2209">
      <c r="A2209" s="3">
        <f>IF(D2209="","","TT-"&amp;TEXT(ROW()-1,"00000"))</f>
        <v/>
      </c>
      <c r="B2209" s="3">
        <f>IF(D2209="","",IF(V2209=0,"CONCLUÍDO",IF(D2209&lt;corte,"HISTÓRICO",IF(OR(AND(ISNUMBER(R2209),R2209&lt;TODAY()),AND(OR(N2209="PENDENTE",N2209="PARCIAL"),D2209&lt;TODAY()-1)),"CRÍTICO",IF(OR(AND(P2209&lt;&gt;"",S2209=""),AND(N2209="REALIZADO",M2209="PENDENTE"),AND(ISNUMBER(R2209),R2209=TODAY())),"ATENÇÃO",IF(N(K2209)=0,"PENDENTE","EM ANDAMENTO"))))))</f>
        <v/>
      </c>
      <c r="C2209" s="3">
        <f>IF(D2209="","",IF(V2209=0,"🟢 OK",IF(D2209&lt;corte,"⚪ HISTÓRICO (sem baixa)",IF(AND(ISNUMBER(R2209),R2209&lt;TODAY()),"🔴 PRAZO VENCIDO",IF(AND(OR(N2209="PENDENTE",N2209="PARCIAL"),D2209&lt;TODAY()-1),"🔴 EMBARQUE ATRASADO",IF(AND(N2209="REALIZADO",M2209="PENDENTE"),"🟡 EMBARCADO SEM FATURAR",IF(AND(P2209&lt;&gt;"",S2209="",OR(Q2209="",R2209="")),"🟡 PENDÊNCIA SEM RESPONSÁVEL/PRAZO",IF(AND(ISNUMBER(R2209),R2209=TODAY()),"🟡 VENCE HOJE",IF(AND(P2209&lt;&gt;"",S2209=""),"🟡 PENDÊNCIA ABERTA",IF(AND(N(J2209)&gt;0,N(K2209)&lt;J2209),"🟡 FALTA EXECUTAR",IF(OR(M2209="PENDENTE",M2209="PARCIAL"),"🟡 FATURAMENTO PENDENTE","🟡 EMBARQUE PENDENTE")))))))))))</f>
        <v/>
      </c>
      <c r="D2209" s="4" t="n"/>
      <c r="E2209" s="5" t="n"/>
      <c r="F2209" s="5" t="n"/>
      <c r="G2209" s="5" t="n"/>
      <c r="H2209" s="5" t="n"/>
      <c r="I2209" s="5" t="n"/>
      <c r="J2209" s="6" t="n"/>
      <c r="K2209" s="6" t="n"/>
      <c r="L2209" s="7">
        <f>IF(OR(D2209="",N(J2209)=0),"",MIN(1,N(K2209)/J2209))</f>
        <v/>
      </c>
      <c r="M2209" s="5" t="n"/>
      <c r="N2209" s="5" t="n"/>
      <c r="O2209" s="5" t="n"/>
      <c r="P2209" s="5" t="n"/>
      <c r="Q2209" s="5" t="n"/>
      <c r="R2209" s="4" t="n"/>
      <c r="S2209" s="4" t="n"/>
      <c r="T2209" s="5" t="n"/>
      <c r="U2209" s="8">
        <f>IF(AND(V2209=1,D2209&lt;&gt;""),IF(D2209&gt;=corte,TODAY()-D2209,""),"")</f>
        <v/>
      </c>
      <c r="V2209" s="8">
        <f>IF(D2209="",0,IF(OR(AND(P2209&lt;&gt;"",S2209=""),AND(N(J2209)&gt;0,N(K2209)&lt;J2209),OR(M2209="PENDENTE",M2209="PARCIAL"),OR(N2209="PENDENTE",N2209="PARCIAL")),1,0))</f>
        <v/>
      </c>
      <c r="W2209" s="8">
        <f>IF(AND(V2209=1,D2209&lt;&gt;""),IF(D2209&gt;=corte,(B2209="CRÍTICO")*1E9+(100000-D2209)*10000+10000-ROW(),""),"")</f>
        <v/>
      </c>
      <c r="X2209" s="8">
        <f>IF(AND(V2209=1,D2209=pas_data,E2209=pas_turno),10000-ROW(),"")</f>
        <v/>
      </c>
    </row>
    <row r="2210">
      <c r="A2210" s="3">
        <f>IF(D2210="","","TT-"&amp;TEXT(ROW()-1,"00000"))</f>
        <v/>
      </c>
      <c r="B2210" s="3">
        <f>IF(D2210="","",IF(V2210=0,"CONCLUÍDO",IF(D2210&lt;corte,"HISTÓRICO",IF(OR(AND(ISNUMBER(R2210),R2210&lt;TODAY()),AND(OR(N2210="PENDENTE",N2210="PARCIAL"),D2210&lt;TODAY()-1)),"CRÍTICO",IF(OR(AND(P2210&lt;&gt;"",S2210=""),AND(N2210="REALIZADO",M2210="PENDENTE"),AND(ISNUMBER(R2210),R2210=TODAY())),"ATENÇÃO",IF(N(K2210)=0,"PENDENTE","EM ANDAMENTO"))))))</f>
        <v/>
      </c>
      <c r="C2210" s="3">
        <f>IF(D2210="","",IF(V2210=0,"🟢 OK",IF(D2210&lt;corte,"⚪ HISTÓRICO (sem baixa)",IF(AND(ISNUMBER(R2210),R2210&lt;TODAY()),"🔴 PRAZO VENCIDO",IF(AND(OR(N2210="PENDENTE",N2210="PARCIAL"),D2210&lt;TODAY()-1),"🔴 EMBARQUE ATRASADO",IF(AND(N2210="REALIZADO",M2210="PENDENTE"),"🟡 EMBARCADO SEM FATURAR",IF(AND(P2210&lt;&gt;"",S2210="",OR(Q2210="",R2210="")),"🟡 PENDÊNCIA SEM RESPONSÁVEL/PRAZO",IF(AND(ISNUMBER(R2210),R2210=TODAY()),"🟡 VENCE HOJE",IF(AND(P2210&lt;&gt;"",S2210=""),"🟡 PENDÊNCIA ABERTA",IF(AND(N(J2210)&gt;0,N(K2210)&lt;J2210),"🟡 FALTA EXECUTAR",IF(OR(M2210="PENDENTE",M2210="PARCIAL"),"🟡 FATURAMENTO PENDENTE","🟡 EMBARQUE PENDENTE")))))))))))</f>
        <v/>
      </c>
      <c r="D2210" s="4" t="n"/>
      <c r="E2210" s="5" t="n"/>
      <c r="F2210" s="5" t="n"/>
      <c r="G2210" s="5" t="n"/>
      <c r="H2210" s="5" t="n"/>
      <c r="I2210" s="5" t="n"/>
      <c r="J2210" s="6" t="n"/>
      <c r="K2210" s="6" t="n"/>
      <c r="L2210" s="7">
        <f>IF(OR(D2210="",N(J2210)=0),"",MIN(1,N(K2210)/J2210))</f>
        <v/>
      </c>
      <c r="M2210" s="5" t="n"/>
      <c r="N2210" s="5" t="n"/>
      <c r="O2210" s="5" t="n"/>
      <c r="P2210" s="5" t="n"/>
      <c r="Q2210" s="5" t="n"/>
      <c r="R2210" s="4" t="n"/>
      <c r="S2210" s="4" t="n"/>
      <c r="T2210" s="5" t="n"/>
      <c r="U2210" s="8">
        <f>IF(AND(V2210=1,D2210&lt;&gt;""),IF(D2210&gt;=corte,TODAY()-D2210,""),"")</f>
        <v/>
      </c>
      <c r="V2210" s="8">
        <f>IF(D2210="",0,IF(OR(AND(P2210&lt;&gt;"",S2210=""),AND(N(J2210)&gt;0,N(K2210)&lt;J2210),OR(M2210="PENDENTE",M2210="PARCIAL"),OR(N2210="PENDENTE",N2210="PARCIAL")),1,0))</f>
        <v/>
      </c>
      <c r="W2210" s="8">
        <f>IF(AND(V2210=1,D2210&lt;&gt;""),IF(D2210&gt;=corte,(B2210="CRÍTICO")*1E9+(100000-D2210)*10000+10000-ROW(),""),"")</f>
        <v/>
      </c>
      <c r="X2210" s="8">
        <f>IF(AND(V2210=1,D2210=pas_data,E2210=pas_turno),10000-ROW(),"")</f>
        <v/>
      </c>
    </row>
    <row r="2211">
      <c r="A2211" s="3">
        <f>IF(D2211="","","TT-"&amp;TEXT(ROW()-1,"00000"))</f>
        <v/>
      </c>
      <c r="B2211" s="3">
        <f>IF(D2211="","",IF(V2211=0,"CONCLUÍDO",IF(D2211&lt;corte,"HISTÓRICO",IF(OR(AND(ISNUMBER(R2211),R2211&lt;TODAY()),AND(OR(N2211="PENDENTE",N2211="PARCIAL"),D2211&lt;TODAY()-1)),"CRÍTICO",IF(OR(AND(P2211&lt;&gt;"",S2211=""),AND(N2211="REALIZADO",M2211="PENDENTE"),AND(ISNUMBER(R2211),R2211=TODAY())),"ATENÇÃO",IF(N(K2211)=0,"PENDENTE","EM ANDAMENTO"))))))</f>
        <v/>
      </c>
      <c r="C2211" s="3">
        <f>IF(D2211="","",IF(V2211=0,"🟢 OK",IF(D2211&lt;corte,"⚪ HISTÓRICO (sem baixa)",IF(AND(ISNUMBER(R2211),R2211&lt;TODAY()),"🔴 PRAZO VENCIDO",IF(AND(OR(N2211="PENDENTE",N2211="PARCIAL"),D2211&lt;TODAY()-1),"🔴 EMBARQUE ATRASADO",IF(AND(N2211="REALIZADO",M2211="PENDENTE"),"🟡 EMBARCADO SEM FATURAR",IF(AND(P2211&lt;&gt;"",S2211="",OR(Q2211="",R2211="")),"🟡 PENDÊNCIA SEM RESPONSÁVEL/PRAZO",IF(AND(ISNUMBER(R2211),R2211=TODAY()),"🟡 VENCE HOJE",IF(AND(P2211&lt;&gt;"",S2211=""),"🟡 PENDÊNCIA ABERTA",IF(AND(N(J2211)&gt;0,N(K2211)&lt;J2211),"🟡 FALTA EXECUTAR",IF(OR(M2211="PENDENTE",M2211="PARCIAL"),"🟡 FATURAMENTO PENDENTE","🟡 EMBARQUE PENDENTE")))))))))))</f>
        <v/>
      </c>
      <c r="D2211" s="4" t="n"/>
      <c r="E2211" s="5" t="n"/>
      <c r="F2211" s="5" t="n"/>
      <c r="G2211" s="5" t="n"/>
      <c r="H2211" s="5" t="n"/>
      <c r="I2211" s="5" t="n"/>
      <c r="J2211" s="6" t="n"/>
      <c r="K2211" s="6" t="n"/>
      <c r="L2211" s="7">
        <f>IF(OR(D2211="",N(J2211)=0),"",MIN(1,N(K2211)/J2211))</f>
        <v/>
      </c>
      <c r="M2211" s="5" t="n"/>
      <c r="N2211" s="5" t="n"/>
      <c r="O2211" s="5" t="n"/>
      <c r="P2211" s="5" t="n"/>
      <c r="Q2211" s="5" t="n"/>
      <c r="R2211" s="4" t="n"/>
      <c r="S2211" s="4" t="n"/>
      <c r="T2211" s="5" t="n"/>
      <c r="U2211" s="8">
        <f>IF(AND(V2211=1,D2211&lt;&gt;""),IF(D2211&gt;=corte,TODAY()-D2211,""),"")</f>
        <v/>
      </c>
      <c r="V2211" s="8">
        <f>IF(D2211="",0,IF(OR(AND(P2211&lt;&gt;"",S2211=""),AND(N(J2211)&gt;0,N(K2211)&lt;J2211),OR(M2211="PENDENTE",M2211="PARCIAL"),OR(N2211="PENDENTE",N2211="PARCIAL")),1,0))</f>
        <v/>
      </c>
      <c r="W2211" s="8">
        <f>IF(AND(V2211=1,D2211&lt;&gt;""),IF(D2211&gt;=corte,(B2211="CRÍTICO")*1E9+(100000-D2211)*10000+10000-ROW(),""),"")</f>
        <v/>
      </c>
      <c r="X2211" s="8">
        <f>IF(AND(V2211=1,D2211=pas_data,E2211=pas_turno),10000-ROW(),"")</f>
        <v/>
      </c>
    </row>
    <row r="2212">
      <c r="A2212" s="3">
        <f>IF(D2212="","","TT-"&amp;TEXT(ROW()-1,"00000"))</f>
        <v/>
      </c>
      <c r="B2212" s="3">
        <f>IF(D2212="","",IF(V2212=0,"CONCLUÍDO",IF(D2212&lt;corte,"HISTÓRICO",IF(OR(AND(ISNUMBER(R2212),R2212&lt;TODAY()),AND(OR(N2212="PENDENTE",N2212="PARCIAL"),D2212&lt;TODAY()-1)),"CRÍTICO",IF(OR(AND(P2212&lt;&gt;"",S2212=""),AND(N2212="REALIZADO",M2212="PENDENTE"),AND(ISNUMBER(R2212),R2212=TODAY())),"ATENÇÃO",IF(N(K2212)=0,"PENDENTE","EM ANDAMENTO"))))))</f>
        <v/>
      </c>
      <c r="C2212" s="3">
        <f>IF(D2212="","",IF(V2212=0,"🟢 OK",IF(D2212&lt;corte,"⚪ HISTÓRICO (sem baixa)",IF(AND(ISNUMBER(R2212),R2212&lt;TODAY()),"🔴 PRAZO VENCIDO",IF(AND(OR(N2212="PENDENTE",N2212="PARCIAL"),D2212&lt;TODAY()-1),"🔴 EMBARQUE ATRASADO",IF(AND(N2212="REALIZADO",M2212="PENDENTE"),"🟡 EMBARCADO SEM FATURAR",IF(AND(P2212&lt;&gt;"",S2212="",OR(Q2212="",R2212="")),"🟡 PENDÊNCIA SEM RESPONSÁVEL/PRAZO",IF(AND(ISNUMBER(R2212),R2212=TODAY()),"🟡 VENCE HOJE",IF(AND(P2212&lt;&gt;"",S2212=""),"🟡 PENDÊNCIA ABERTA",IF(AND(N(J2212)&gt;0,N(K2212)&lt;J2212),"🟡 FALTA EXECUTAR",IF(OR(M2212="PENDENTE",M2212="PARCIAL"),"🟡 FATURAMENTO PENDENTE","🟡 EMBARQUE PENDENTE")))))))))))</f>
        <v/>
      </c>
      <c r="D2212" s="4" t="n"/>
      <c r="E2212" s="5" t="n"/>
      <c r="F2212" s="5" t="n"/>
      <c r="G2212" s="5" t="n"/>
      <c r="H2212" s="5" t="n"/>
      <c r="I2212" s="5" t="n"/>
      <c r="J2212" s="6" t="n"/>
      <c r="K2212" s="6" t="n"/>
      <c r="L2212" s="7">
        <f>IF(OR(D2212="",N(J2212)=0),"",MIN(1,N(K2212)/J2212))</f>
        <v/>
      </c>
      <c r="M2212" s="5" t="n"/>
      <c r="N2212" s="5" t="n"/>
      <c r="O2212" s="5" t="n"/>
      <c r="P2212" s="5" t="n"/>
      <c r="Q2212" s="5" t="n"/>
      <c r="R2212" s="4" t="n"/>
      <c r="S2212" s="4" t="n"/>
      <c r="T2212" s="5" t="n"/>
      <c r="U2212" s="8">
        <f>IF(AND(V2212=1,D2212&lt;&gt;""),IF(D2212&gt;=corte,TODAY()-D2212,""),"")</f>
        <v/>
      </c>
      <c r="V2212" s="8">
        <f>IF(D2212="",0,IF(OR(AND(P2212&lt;&gt;"",S2212=""),AND(N(J2212)&gt;0,N(K2212)&lt;J2212),OR(M2212="PENDENTE",M2212="PARCIAL"),OR(N2212="PENDENTE",N2212="PARCIAL")),1,0))</f>
        <v/>
      </c>
      <c r="W2212" s="8">
        <f>IF(AND(V2212=1,D2212&lt;&gt;""),IF(D2212&gt;=corte,(B2212="CRÍTICO")*1E9+(100000-D2212)*10000+10000-ROW(),""),"")</f>
        <v/>
      </c>
      <c r="X2212" s="8">
        <f>IF(AND(V2212=1,D2212=pas_data,E2212=pas_turno),10000-ROW(),"")</f>
        <v/>
      </c>
    </row>
    <row r="2213">
      <c r="A2213" s="3">
        <f>IF(D2213="","","TT-"&amp;TEXT(ROW()-1,"00000"))</f>
        <v/>
      </c>
      <c r="B2213" s="3">
        <f>IF(D2213="","",IF(V2213=0,"CONCLUÍDO",IF(D2213&lt;corte,"HISTÓRICO",IF(OR(AND(ISNUMBER(R2213),R2213&lt;TODAY()),AND(OR(N2213="PENDENTE",N2213="PARCIAL"),D2213&lt;TODAY()-1)),"CRÍTICO",IF(OR(AND(P2213&lt;&gt;"",S2213=""),AND(N2213="REALIZADO",M2213="PENDENTE"),AND(ISNUMBER(R2213),R2213=TODAY())),"ATENÇÃO",IF(N(K2213)=0,"PENDENTE","EM ANDAMENTO"))))))</f>
        <v/>
      </c>
      <c r="C2213" s="3">
        <f>IF(D2213="","",IF(V2213=0,"🟢 OK",IF(D2213&lt;corte,"⚪ HISTÓRICO (sem baixa)",IF(AND(ISNUMBER(R2213),R2213&lt;TODAY()),"🔴 PRAZO VENCIDO",IF(AND(OR(N2213="PENDENTE",N2213="PARCIAL"),D2213&lt;TODAY()-1),"🔴 EMBARQUE ATRASADO",IF(AND(N2213="REALIZADO",M2213="PENDENTE"),"🟡 EMBARCADO SEM FATURAR",IF(AND(P2213&lt;&gt;"",S2213="",OR(Q2213="",R2213="")),"🟡 PENDÊNCIA SEM RESPONSÁVEL/PRAZO",IF(AND(ISNUMBER(R2213),R2213=TODAY()),"🟡 VENCE HOJE",IF(AND(P2213&lt;&gt;"",S2213=""),"🟡 PENDÊNCIA ABERTA",IF(AND(N(J2213)&gt;0,N(K2213)&lt;J2213),"🟡 FALTA EXECUTAR",IF(OR(M2213="PENDENTE",M2213="PARCIAL"),"🟡 FATURAMENTO PENDENTE","🟡 EMBARQUE PENDENTE")))))))))))</f>
        <v/>
      </c>
      <c r="D2213" s="4" t="n"/>
      <c r="E2213" s="5" t="n"/>
      <c r="F2213" s="5" t="n"/>
      <c r="G2213" s="5" t="n"/>
      <c r="H2213" s="5" t="n"/>
      <c r="I2213" s="5" t="n"/>
      <c r="J2213" s="6" t="n"/>
      <c r="K2213" s="6" t="n"/>
      <c r="L2213" s="7">
        <f>IF(OR(D2213="",N(J2213)=0),"",MIN(1,N(K2213)/J2213))</f>
        <v/>
      </c>
      <c r="M2213" s="5" t="n"/>
      <c r="N2213" s="5" t="n"/>
      <c r="O2213" s="5" t="n"/>
      <c r="P2213" s="5" t="n"/>
      <c r="Q2213" s="5" t="n"/>
      <c r="R2213" s="4" t="n"/>
      <c r="S2213" s="4" t="n"/>
      <c r="T2213" s="5" t="n"/>
      <c r="U2213" s="8">
        <f>IF(AND(V2213=1,D2213&lt;&gt;""),IF(D2213&gt;=corte,TODAY()-D2213,""),"")</f>
        <v/>
      </c>
      <c r="V2213" s="8">
        <f>IF(D2213="",0,IF(OR(AND(P2213&lt;&gt;"",S2213=""),AND(N(J2213)&gt;0,N(K2213)&lt;J2213),OR(M2213="PENDENTE",M2213="PARCIAL"),OR(N2213="PENDENTE",N2213="PARCIAL")),1,0))</f>
        <v/>
      </c>
      <c r="W2213" s="8">
        <f>IF(AND(V2213=1,D2213&lt;&gt;""),IF(D2213&gt;=corte,(B2213="CRÍTICO")*1E9+(100000-D2213)*10000+10000-ROW(),""),"")</f>
        <v/>
      </c>
      <c r="X2213" s="8">
        <f>IF(AND(V2213=1,D2213=pas_data,E2213=pas_turno),10000-ROW(),"")</f>
        <v/>
      </c>
    </row>
    <row r="2214">
      <c r="A2214" s="3">
        <f>IF(D2214="","","TT-"&amp;TEXT(ROW()-1,"00000"))</f>
        <v/>
      </c>
      <c r="B2214" s="3">
        <f>IF(D2214="","",IF(V2214=0,"CONCLUÍDO",IF(D2214&lt;corte,"HISTÓRICO",IF(OR(AND(ISNUMBER(R2214),R2214&lt;TODAY()),AND(OR(N2214="PENDENTE",N2214="PARCIAL"),D2214&lt;TODAY()-1)),"CRÍTICO",IF(OR(AND(P2214&lt;&gt;"",S2214=""),AND(N2214="REALIZADO",M2214="PENDENTE"),AND(ISNUMBER(R2214),R2214=TODAY())),"ATENÇÃO",IF(N(K2214)=0,"PENDENTE","EM ANDAMENTO"))))))</f>
        <v/>
      </c>
      <c r="C2214" s="3">
        <f>IF(D2214="","",IF(V2214=0,"🟢 OK",IF(D2214&lt;corte,"⚪ HISTÓRICO (sem baixa)",IF(AND(ISNUMBER(R2214),R2214&lt;TODAY()),"🔴 PRAZO VENCIDO",IF(AND(OR(N2214="PENDENTE",N2214="PARCIAL"),D2214&lt;TODAY()-1),"🔴 EMBARQUE ATRASADO",IF(AND(N2214="REALIZADO",M2214="PENDENTE"),"🟡 EMBARCADO SEM FATURAR",IF(AND(P2214&lt;&gt;"",S2214="",OR(Q2214="",R2214="")),"🟡 PENDÊNCIA SEM RESPONSÁVEL/PRAZO",IF(AND(ISNUMBER(R2214),R2214=TODAY()),"🟡 VENCE HOJE",IF(AND(P2214&lt;&gt;"",S2214=""),"🟡 PENDÊNCIA ABERTA",IF(AND(N(J2214)&gt;0,N(K2214)&lt;J2214),"🟡 FALTA EXECUTAR",IF(OR(M2214="PENDENTE",M2214="PARCIAL"),"🟡 FATURAMENTO PENDENTE","🟡 EMBARQUE PENDENTE")))))))))))</f>
        <v/>
      </c>
      <c r="D2214" s="4" t="n"/>
      <c r="E2214" s="5" t="n"/>
      <c r="F2214" s="5" t="n"/>
      <c r="G2214" s="5" t="n"/>
      <c r="H2214" s="5" t="n"/>
      <c r="I2214" s="5" t="n"/>
      <c r="J2214" s="6" t="n"/>
      <c r="K2214" s="6" t="n"/>
      <c r="L2214" s="7">
        <f>IF(OR(D2214="",N(J2214)=0),"",MIN(1,N(K2214)/J2214))</f>
        <v/>
      </c>
      <c r="M2214" s="5" t="n"/>
      <c r="N2214" s="5" t="n"/>
      <c r="O2214" s="5" t="n"/>
      <c r="P2214" s="5" t="n"/>
      <c r="Q2214" s="5" t="n"/>
      <c r="R2214" s="4" t="n"/>
      <c r="S2214" s="4" t="n"/>
      <c r="T2214" s="5" t="n"/>
      <c r="U2214" s="8">
        <f>IF(AND(V2214=1,D2214&lt;&gt;""),IF(D2214&gt;=corte,TODAY()-D2214,""),"")</f>
        <v/>
      </c>
      <c r="V2214" s="8">
        <f>IF(D2214="",0,IF(OR(AND(P2214&lt;&gt;"",S2214=""),AND(N(J2214)&gt;0,N(K2214)&lt;J2214),OR(M2214="PENDENTE",M2214="PARCIAL"),OR(N2214="PENDENTE",N2214="PARCIAL")),1,0))</f>
        <v/>
      </c>
      <c r="W2214" s="8">
        <f>IF(AND(V2214=1,D2214&lt;&gt;""),IF(D2214&gt;=corte,(B2214="CRÍTICO")*1E9+(100000-D2214)*10000+10000-ROW(),""),"")</f>
        <v/>
      </c>
      <c r="X2214" s="8">
        <f>IF(AND(V2214=1,D2214=pas_data,E2214=pas_turno),10000-ROW(),"")</f>
        <v/>
      </c>
    </row>
    <row r="2215">
      <c r="A2215" s="3">
        <f>IF(D2215="","","TT-"&amp;TEXT(ROW()-1,"00000"))</f>
        <v/>
      </c>
      <c r="B2215" s="3">
        <f>IF(D2215="","",IF(V2215=0,"CONCLUÍDO",IF(D2215&lt;corte,"HISTÓRICO",IF(OR(AND(ISNUMBER(R2215),R2215&lt;TODAY()),AND(OR(N2215="PENDENTE",N2215="PARCIAL"),D2215&lt;TODAY()-1)),"CRÍTICO",IF(OR(AND(P2215&lt;&gt;"",S2215=""),AND(N2215="REALIZADO",M2215="PENDENTE"),AND(ISNUMBER(R2215),R2215=TODAY())),"ATENÇÃO",IF(N(K2215)=0,"PENDENTE","EM ANDAMENTO"))))))</f>
        <v/>
      </c>
      <c r="C2215" s="3">
        <f>IF(D2215="","",IF(V2215=0,"🟢 OK",IF(D2215&lt;corte,"⚪ HISTÓRICO (sem baixa)",IF(AND(ISNUMBER(R2215),R2215&lt;TODAY()),"🔴 PRAZO VENCIDO",IF(AND(OR(N2215="PENDENTE",N2215="PARCIAL"),D2215&lt;TODAY()-1),"🔴 EMBARQUE ATRASADO",IF(AND(N2215="REALIZADO",M2215="PENDENTE"),"🟡 EMBARCADO SEM FATURAR",IF(AND(P2215&lt;&gt;"",S2215="",OR(Q2215="",R2215="")),"🟡 PENDÊNCIA SEM RESPONSÁVEL/PRAZO",IF(AND(ISNUMBER(R2215),R2215=TODAY()),"🟡 VENCE HOJE",IF(AND(P2215&lt;&gt;"",S2215=""),"🟡 PENDÊNCIA ABERTA",IF(AND(N(J2215)&gt;0,N(K2215)&lt;J2215),"🟡 FALTA EXECUTAR",IF(OR(M2215="PENDENTE",M2215="PARCIAL"),"🟡 FATURAMENTO PENDENTE","🟡 EMBARQUE PENDENTE")))))))))))</f>
        <v/>
      </c>
      <c r="D2215" s="4" t="n"/>
      <c r="E2215" s="5" t="n"/>
      <c r="F2215" s="5" t="n"/>
      <c r="G2215" s="5" t="n"/>
      <c r="H2215" s="5" t="n"/>
      <c r="I2215" s="5" t="n"/>
      <c r="J2215" s="6" t="n"/>
      <c r="K2215" s="6" t="n"/>
      <c r="L2215" s="7">
        <f>IF(OR(D2215="",N(J2215)=0),"",MIN(1,N(K2215)/J2215))</f>
        <v/>
      </c>
      <c r="M2215" s="5" t="n"/>
      <c r="N2215" s="5" t="n"/>
      <c r="O2215" s="5" t="n"/>
      <c r="P2215" s="5" t="n"/>
      <c r="Q2215" s="5" t="n"/>
      <c r="R2215" s="4" t="n"/>
      <c r="S2215" s="4" t="n"/>
      <c r="T2215" s="5" t="n"/>
      <c r="U2215" s="8">
        <f>IF(AND(V2215=1,D2215&lt;&gt;""),IF(D2215&gt;=corte,TODAY()-D2215,""),"")</f>
        <v/>
      </c>
      <c r="V2215" s="8">
        <f>IF(D2215="",0,IF(OR(AND(P2215&lt;&gt;"",S2215=""),AND(N(J2215)&gt;0,N(K2215)&lt;J2215),OR(M2215="PENDENTE",M2215="PARCIAL"),OR(N2215="PENDENTE",N2215="PARCIAL")),1,0))</f>
        <v/>
      </c>
      <c r="W2215" s="8">
        <f>IF(AND(V2215=1,D2215&lt;&gt;""),IF(D2215&gt;=corte,(B2215="CRÍTICO")*1E9+(100000-D2215)*10000+10000-ROW(),""),"")</f>
        <v/>
      </c>
      <c r="X2215" s="8">
        <f>IF(AND(V2215=1,D2215=pas_data,E2215=pas_turno),10000-ROW(),"")</f>
        <v/>
      </c>
    </row>
    <row r="2216">
      <c r="A2216" s="3">
        <f>IF(D2216="","","TT-"&amp;TEXT(ROW()-1,"00000"))</f>
        <v/>
      </c>
      <c r="B2216" s="3">
        <f>IF(D2216="","",IF(V2216=0,"CONCLUÍDO",IF(D2216&lt;corte,"HISTÓRICO",IF(OR(AND(ISNUMBER(R2216),R2216&lt;TODAY()),AND(OR(N2216="PENDENTE",N2216="PARCIAL"),D2216&lt;TODAY()-1)),"CRÍTICO",IF(OR(AND(P2216&lt;&gt;"",S2216=""),AND(N2216="REALIZADO",M2216="PENDENTE"),AND(ISNUMBER(R2216),R2216=TODAY())),"ATENÇÃO",IF(N(K2216)=0,"PENDENTE","EM ANDAMENTO"))))))</f>
        <v/>
      </c>
      <c r="C2216" s="3">
        <f>IF(D2216="","",IF(V2216=0,"🟢 OK",IF(D2216&lt;corte,"⚪ HISTÓRICO (sem baixa)",IF(AND(ISNUMBER(R2216),R2216&lt;TODAY()),"🔴 PRAZO VENCIDO",IF(AND(OR(N2216="PENDENTE",N2216="PARCIAL"),D2216&lt;TODAY()-1),"🔴 EMBARQUE ATRASADO",IF(AND(N2216="REALIZADO",M2216="PENDENTE"),"🟡 EMBARCADO SEM FATURAR",IF(AND(P2216&lt;&gt;"",S2216="",OR(Q2216="",R2216="")),"🟡 PENDÊNCIA SEM RESPONSÁVEL/PRAZO",IF(AND(ISNUMBER(R2216),R2216=TODAY()),"🟡 VENCE HOJE",IF(AND(P2216&lt;&gt;"",S2216=""),"🟡 PENDÊNCIA ABERTA",IF(AND(N(J2216)&gt;0,N(K2216)&lt;J2216),"🟡 FALTA EXECUTAR",IF(OR(M2216="PENDENTE",M2216="PARCIAL"),"🟡 FATURAMENTO PENDENTE","🟡 EMBARQUE PENDENTE")))))))))))</f>
        <v/>
      </c>
      <c r="D2216" s="4" t="n"/>
      <c r="E2216" s="5" t="n"/>
      <c r="F2216" s="5" t="n"/>
      <c r="G2216" s="5" t="n"/>
      <c r="H2216" s="5" t="n"/>
      <c r="I2216" s="5" t="n"/>
      <c r="J2216" s="6" t="n"/>
      <c r="K2216" s="6" t="n"/>
      <c r="L2216" s="7">
        <f>IF(OR(D2216="",N(J2216)=0),"",MIN(1,N(K2216)/J2216))</f>
        <v/>
      </c>
      <c r="M2216" s="5" t="n"/>
      <c r="N2216" s="5" t="n"/>
      <c r="O2216" s="5" t="n"/>
      <c r="P2216" s="5" t="n"/>
      <c r="Q2216" s="5" t="n"/>
      <c r="R2216" s="4" t="n"/>
      <c r="S2216" s="4" t="n"/>
      <c r="T2216" s="5" t="n"/>
      <c r="U2216" s="8">
        <f>IF(AND(V2216=1,D2216&lt;&gt;""),IF(D2216&gt;=corte,TODAY()-D2216,""),"")</f>
        <v/>
      </c>
      <c r="V2216" s="8">
        <f>IF(D2216="",0,IF(OR(AND(P2216&lt;&gt;"",S2216=""),AND(N(J2216)&gt;0,N(K2216)&lt;J2216),OR(M2216="PENDENTE",M2216="PARCIAL"),OR(N2216="PENDENTE",N2216="PARCIAL")),1,0))</f>
        <v/>
      </c>
      <c r="W2216" s="8">
        <f>IF(AND(V2216=1,D2216&lt;&gt;""),IF(D2216&gt;=corte,(B2216="CRÍTICO")*1E9+(100000-D2216)*10000+10000-ROW(),""),"")</f>
        <v/>
      </c>
      <c r="X2216" s="8">
        <f>IF(AND(V2216=1,D2216=pas_data,E2216=pas_turno),10000-ROW(),"")</f>
        <v/>
      </c>
    </row>
    <row r="2217">
      <c r="A2217" s="3">
        <f>IF(D2217="","","TT-"&amp;TEXT(ROW()-1,"00000"))</f>
        <v/>
      </c>
      <c r="B2217" s="3">
        <f>IF(D2217="","",IF(V2217=0,"CONCLUÍDO",IF(D2217&lt;corte,"HISTÓRICO",IF(OR(AND(ISNUMBER(R2217),R2217&lt;TODAY()),AND(OR(N2217="PENDENTE",N2217="PARCIAL"),D2217&lt;TODAY()-1)),"CRÍTICO",IF(OR(AND(P2217&lt;&gt;"",S2217=""),AND(N2217="REALIZADO",M2217="PENDENTE"),AND(ISNUMBER(R2217),R2217=TODAY())),"ATENÇÃO",IF(N(K2217)=0,"PENDENTE","EM ANDAMENTO"))))))</f>
        <v/>
      </c>
      <c r="C2217" s="3">
        <f>IF(D2217="","",IF(V2217=0,"🟢 OK",IF(D2217&lt;corte,"⚪ HISTÓRICO (sem baixa)",IF(AND(ISNUMBER(R2217),R2217&lt;TODAY()),"🔴 PRAZO VENCIDO",IF(AND(OR(N2217="PENDENTE",N2217="PARCIAL"),D2217&lt;TODAY()-1),"🔴 EMBARQUE ATRASADO",IF(AND(N2217="REALIZADO",M2217="PENDENTE"),"🟡 EMBARCADO SEM FATURAR",IF(AND(P2217&lt;&gt;"",S2217="",OR(Q2217="",R2217="")),"🟡 PENDÊNCIA SEM RESPONSÁVEL/PRAZO",IF(AND(ISNUMBER(R2217),R2217=TODAY()),"🟡 VENCE HOJE",IF(AND(P2217&lt;&gt;"",S2217=""),"🟡 PENDÊNCIA ABERTA",IF(AND(N(J2217)&gt;0,N(K2217)&lt;J2217),"🟡 FALTA EXECUTAR",IF(OR(M2217="PENDENTE",M2217="PARCIAL"),"🟡 FATURAMENTO PENDENTE","🟡 EMBARQUE PENDENTE")))))))))))</f>
        <v/>
      </c>
      <c r="D2217" s="4" t="n"/>
      <c r="E2217" s="5" t="n"/>
      <c r="F2217" s="5" t="n"/>
      <c r="G2217" s="5" t="n"/>
      <c r="H2217" s="5" t="n"/>
      <c r="I2217" s="5" t="n"/>
      <c r="J2217" s="6" t="n"/>
      <c r="K2217" s="6" t="n"/>
      <c r="L2217" s="7">
        <f>IF(OR(D2217="",N(J2217)=0),"",MIN(1,N(K2217)/J2217))</f>
        <v/>
      </c>
      <c r="M2217" s="5" t="n"/>
      <c r="N2217" s="5" t="n"/>
      <c r="O2217" s="5" t="n"/>
      <c r="P2217" s="5" t="n"/>
      <c r="Q2217" s="5" t="n"/>
      <c r="R2217" s="4" t="n"/>
      <c r="S2217" s="4" t="n"/>
      <c r="T2217" s="5" t="n"/>
      <c r="U2217" s="8">
        <f>IF(AND(V2217=1,D2217&lt;&gt;""),IF(D2217&gt;=corte,TODAY()-D2217,""),"")</f>
        <v/>
      </c>
      <c r="V2217" s="8">
        <f>IF(D2217="",0,IF(OR(AND(P2217&lt;&gt;"",S2217=""),AND(N(J2217)&gt;0,N(K2217)&lt;J2217),OR(M2217="PENDENTE",M2217="PARCIAL"),OR(N2217="PENDENTE",N2217="PARCIAL")),1,0))</f>
        <v/>
      </c>
      <c r="W2217" s="8">
        <f>IF(AND(V2217=1,D2217&lt;&gt;""),IF(D2217&gt;=corte,(B2217="CRÍTICO")*1E9+(100000-D2217)*10000+10000-ROW(),""),"")</f>
        <v/>
      </c>
      <c r="X2217" s="8">
        <f>IF(AND(V2217=1,D2217=pas_data,E2217=pas_turno),10000-ROW(),"")</f>
        <v/>
      </c>
    </row>
    <row r="2218">
      <c r="A2218" s="3">
        <f>IF(D2218="","","TT-"&amp;TEXT(ROW()-1,"00000"))</f>
        <v/>
      </c>
      <c r="B2218" s="3">
        <f>IF(D2218="","",IF(V2218=0,"CONCLUÍDO",IF(D2218&lt;corte,"HISTÓRICO",IF(OR(AND(ISNUMBER(R2218),R2218&lt;TODAY()),AND(OR(N2218="PENDENTE",N2218="PARCIAL"),D2218&lt;TODAY()-1)),"CRÍTICO",IF(OR(AND(P2218&lt;&gt;"",S2218=""),AND(N2218="REALIZADO",M2218="PENDENTE"),AND(ISNUMBER(R2218),R2218=TODAY())),"ATENÇÃO",IF(N(K2218)=0,"PENDENTE","EM ANDAMENTO"))))))</f>
        <v/>
      </c>
      <c r="C2218" s="3">
        <f>IF(D2218="","",IF(V2218=0,"🟢 OK",IF(D2218&lt;corte,"⚪ HISTÓRICO (sem baixa)",IF(AND(ISNUMBER(R2218),R2218&lt;TODAY()),"🔴 PRAZO VENCIDO",IF(AND(OR(N2218="PENDENTE",N2218="PARCIAL"),D2218&lt;TODAY()-1),"🔴 EMBARQUE ATRASADO",IF(AND(N2218="REALIZADO",M2218="PENDENTE"),"🟡 EMBARCADO SEM FATURAR",IF(AND(P2218&lt;&gt;"",S2218="",OR(Q2218="",R2218="")),"🟡 PENDÊNCIA SEM RESPONSÁVEL/PRAZO",IF(AND(ISNUMBER(R2218),R2218=TODAY()),"🟡 VENCE HOJE",IF(AND(P2218&lt;&gt;"",S2218=""),"🟡 PENDÊNCIA ABERTA",IF(AND(N(J2218)&gt;0,N(K2218)&lt;J2218),"🟡 FALTA EXECUTAR",IF(OR(M2218="PENDENTE",M2218="PARCIAL"),"🟡 FATURAMENTO PENDENTE","🟡 EMBARQUE PENDENTE")))))))))))</f>
        <v/>
      </c>
      <c r="D2218" s="4" t="n"/>
      <c r="E2218" s="5" t="n"/>
      <c r="F2218" s="5" t="n"/>
      <c r="G2218" s="5" t="n"/>
      <c r="H2218" s="5" t="n"/>
      <c r="I2218" s="5" t="n"/>
      <c r="J2218" s="6" t="n"/>
      <c r="K2218" s="6" t="n"/>
      <c r="L2218" s="7">
        <f>IF(OR(D2218="",N(J2218)=0),"",MIN(1,N(K2218)/J2218))</f>
        <v/>
      </c>
      <c r="M2218" s="5" t="n"/>
      <c r="N2218" s="5" t="n"/>
      <c r="O2218" s="5" t="n"/>
      <c r="P2218" s="5" t="n"/>
      <c r="Q2218" s="5" t="n"/>
      <c r="R2218" s="4" t="n"/>
      <c r="S2218" s="4" t="n"/>
      <c r="T2218" s="5" t="n"/>
      <c r="U2218" s="8">
        <f>IF(AND(V2218=1,D2218&lt;&gt;""),IF(D2218&gt;=corte,TODAY()-D2218,""),"")</f>
        <v/>
      </c>
      <c r="V2218" s="8">
        <f>IF(D2218="",0,IF(OR(AND(P2218&lt;&gt;"",S2218=""),AND(N(J2218)&gt;0,N(K2218)&lt;J2218),OR(M2218="PENDENTE",M2218="PARCIAL"),OR(N2218="PENDENTE",N2218="PARCIAL")),1,0))</f>
        <v/>
      </c>
      <c r="W2218" s="8">
        <f>IF(AND(V2218=1,D2218&lt;&gt;""),IF(D2218&gt;=corte,(B2218="CRÍTICO")*1E9+(100000-D2218)*10000+10000-ROW(),""),"")</f>
        <v/>
      </c>
      <c r="X2218" s="8">
        <f>IF(AND(V2218=1,D2218=pas_data,E2218=pas_turno),10000-ROW(),"")</f>
        <v/>
      </c>
    </row>
    <row r="2219">
      <c r="A2219" s="3">
        <f>IF(D2219="","","TT-"&amp;TEXT(ROW()-1,"00000"))</f>
        <v/>
      </c>
      <c r="B2219" s="3">
        <f>IF(D2219="","",IF(V2219=0,"CONCLUÍDO",IF(D2219&lt;corte,"HISTÓRICO",IF(OR(AND(ISNUMBER(R2219),R2219&lt;TODAY()),AND(OR(N2219="PENDENTE",N2219="PARCIAL"),D2219&lt;TODAY()-1)),"CRÍTICO",IF(OR(AND(P2219&lt;&gt;"",S2219=""),AND(N2219="REALIZADO",M2219="PENDENTE"),AND(ISNUMBER(R2219),R2219=TODAY())),"ATENÇÃO",IF(N(K2219)=0,"PENDENTE","EM ANDAMENTO"))))))</f>
        <v/>
      </c>
      <c r="C2219" s="3">
        <f>IF(D2219="","",IF(V2219=0,"🟢 OK",IF(D2219&lt;corte,"⚪ HISTÓRICO (sem baixa)",IF(AND(ISNUMBER(R2219),R2219&lt;TODAY()),"🔴 PRAZO VENCIDO",IF(AND(OR(N2219="PENDENTE",N2219="PARCIAL"),D2219&lt;TODAY()-1),"🔴 EMBARQUE ATRASADO",IF(AND(N2219="REALIZADO",M2219="PENDENTE"),"🟡 EMBARCADO SEM FATURAR",IF(AND(P2219&lt;&gt;"",S2219="",OR(Q2219="",R2219="")),"🟡 PENDÊNCIA SEM RESPONSÁVEL/PRAZO",IF(AND(ISNUMBER(R2219),R2219=TODAY()),"🟡 VENCE HOJE",IF(AND(P2219&lt;&gt;"",S2219=""),"🟡 PENDÊNCIA ABERTA",IF(AND(N(J2219)&gt;0,N(K2219)&lt;J2219),"🟡 FALTA EXECUTAR",IF(OR(M2219="PENDENTE",M2219="PARCIAL"),"🟡 FATURAMENTO PENDENTE","🟡 EMBARQUE PENDENTE")))))))))))</f>
        <v/>
      </c>
      <c r="D2219" s="4" t="n"/>
      <c r="E2219" s="5" t="n"/>
      <c r="F2219" s="5" t="n"/>
      <c r="G2219" s="5" t="n"/>
      <c r="H2219" s="5" t="n"/>
      <c r="I2219" s="5" t="n"/>
      <c r="J2219" s="6" t="n"/>
      <c r="K2219" s="6" t="n"/>
      <c r="L2219" s="7">
        <f>IF(OR(D2219="",N(J2219)=0),"",MIN(1,N(K2219)/J2219))</f>
        <v/>
      </c>
      <c r="M2219" s="5" t="n"/>
      <c r="N2219" s="5" t="n"/>
      <c r="O2219" s="5" t="n"/>
      <c r="P2219" s="5" t="n"/>
      <c r="Q2219" s="5" t="n"/>
      <c r="R2219" s="4" t="n"/>
      <c r="S2219" s="4" t="n"/>
      <c r="T2219" s="5" t="n"/>
      <c r="U2219" s="8">
        <f>IF(AND(V2219=1,D2219&lt;&gt;""),IF(D2219&gt;=corte,TODAY()-D2219,""),"")</f>
        <v/>
      </c>
      <c r="V2219" s="8">
        <f>IF(D2219="",0,IF(OR(AND(P2219&lt;&gt;"",S2219=""),AND(N(J2219)&gt;0,N(K2219)&lt;J2219),OR(M2219="PENDENTE",M2219="PARCIAL"),OR(N2219="PENDENTE",N2219="PARCIAL")),1,0))</f>
        <v/>
      </c>
      <c r="W2219" s="8">
        <f>IF(AND(V2219=1,D2219&lt;&gt;""),IF(D2219&gt;=corte,(B2219="CRÍTICO")*1E9+(100000-D2219)*10000+10000-ROW(),""),"")</f>
        <v/>
      </c>
      <c r="X2219" s="8">
        <f>IF(AND(V2219=1,D2219=pas_data,E2219=pas_turno),10000-ROW(),"")</f>
        <v/>
      </c>
    </row>
    <row r="2220">
      <c r="A2220" s="3">
        <f>IF(D2220="","","TT-"&amp;TEXT(ROW()-1,"00000"))</f>
        <v/>
      </c>
      <c r="B2220" s="3">
        <f>IF(D2220="","",IF(V2220=0,"CONCLUÍDO",IF(D2220&lt;corte,"HISTÓRICO",IF(OR(AND(ISNUMBER(R2220),R2220&lt;TODAY()),AND(OR(N2220="PENDENTE",N2220="PARCIAL"),D2220&lt;TODAY()-1)),"CRÍTICO",IF(OR(AND(P2220&lt;&gt;"",S2220=""),AND(N2220="REALIZADO",M2220="PENDENTE"),AND(ISNUMBER(R2220),R2220=TODAY())),"ATENÇÃO",IF(N(K2220)=0,"PENDENTE","EM ANDAMENTO"))))))</f>
        <v/>
      </c>
      <c r="C2220" s="3">
        <f>IF(D2220="","",IF(V2220=0,"🟢 OK",IF(D2220&lt;corte,"⚪ HISTÓRICO (sem baixa)",IF(AND(ISNUMBER(R2220),R2220&lt;TODAY()),"🔴 PRAZO VENCIDO",IF(AND(OR(N2220="PENDENTE",N2220="PARCIAL"),D2220&lt;TODAY()-1),"🔴 EMBARQUE ATRASADO",IF(AND(N2220="REALIZADO",M2220="PENDENTE"),"🟡 EMBARCADO SEM FATURAR",IF(AND(P2220&lt;&gt;"",S2220="",OR(Q2220="",R2220="")),"🟡 PENDÊNCIA SEM RESPONSÁVEL/PRAZO",IF(AND(ISNUMBER(R2220),R2220=TODAY()),"🟡 VENCE HOJE",IF(AND(P2220&lt;&gt;"",S2220=""),"🟡 PENDÊNCIA ABERTA",IF(AND(N(J2220)&gt;0,N(K2220)&lt;J2220),"🟡 FALTA EXECUTAR",IF(OR(M2220="PENDENTE",M2220="PARCIAL"),"🟡 FATURAMENTO PENDENTE","🟡 EMBARQUE PENDENTE")))))))))))</f>
        <v/>
      </c>
      <c r="D2220" s="4" t="n"/>
      <c r="E2220" s="5" t="n"/>
      <c r="F2220" s="5" t="n"/>
      <c r="G2220" s="5" t="n"/>
      <c r="H2220" s="5" t="n"/>
      <c r="I2220" s="5" t="n"/>
      <c r="J2220" s="6" t="n"/>
      <c r="K2220" s="6" t="n"/>
      <c r="L2220" s="7">
        <f>IF(OR(D2220="",N(J2220)=0),"",MIN(1,N(K2220)/J2220))</f>
        <v/>
      </c>
      <c r="M2220" s="5" t="n"/>
      <c r="N2220" s="5" t="n"/>
      <c r="O2220" s="5" t="n"/>
      <c r="P2220" s="5" t="n"/>
      <c r="Q2220" s="5" t="n"/>
      <c r="R2220" s="4" t="n"/>
      <c r="S2220" s="4" t="n"/>
      <c r="T2220" s="5" t="n"/>
      <c r="U2220" s="8">
        <f>IF(AND(V2220=1,D2220&lt;&gt;""),IF(D2220&gt;=corte,TODAY()-D2220,""),"")</f>
        <v/>
      </c>
      <c r="V2220" s="8">
        <f>IF(D2220="",0,IF(OR(AND(P2220&lt;&gt;"",S2220=""),AND(N(J2220)&gt;0,N(K2220)&lt;J2220),OR(M2220="PENDENTE",M2220="PARCIAL"),OR(N2220="PENDENTE",N2220="PARCIAL")),1,0))</f>
        <v/>
      </c>
      <c r="W2220" s="8">
        <f>IF(AND(V2220=1,D2220&lt;&gt;""),IF(D2220&gt;=corte,(B2220="CRÍTICO")*1E9+(100000-D2220)*10000+10000-ROW(),""),"")</f>
        <v/>
      </c>
      <c r="X2220" s="8">
        <f>IF(AND(V2220=1,D2220=pas_data,E2220=pas_turno),10000-ROW(),"")</f>
        <v/>
      </c>
    </row>
    <row r="2221">
      <c r="A2221" s="3">
        <f>IF(D2221="","","TT-"&amp;TEXT(ROW()-1,"00000"))</f>
        <v/>
      </c>
      <c r="B2221" s="3">
        <f>IF(D2221="","",IF(V2221=0,"CONCLUÍDO",IF(D2221&lt;corte,"HISTÓRICO",IF(OR(AND(ISNUMBER(R2221),R2221&lt;TODAY()),AND(OR(N2221="PENDENTE",N2221="PARCIAL"),D2221&lt;TODAY()-1)),"CRÍTICO",IF(OR(AND(P2221&lt;&gt;"",S2221=""),AND(N2221="REALIZADO",M2221="PENDENTE"),AND(ISNUMBER(R2221),R2221=TODAY())),"ATENÇÃO",IF(N(K2221)=0,"PENDENTE","EM ANDAMENTO"))))))</f>
        <v/>
      </c>
      <c r="C2221" s="3">
        <f>IF(D2221="","",IF(V2221=0,"🟢 OK",IF(D2221&lt;corte,"⚪ HISTÓRICO (sem baixa)",IF(AND(ISNUMBER(R2221),R2221&lt;TODAY()),"🔴 PRAZO VENCIDO",IF(AND(OR(N2221="PENDENTE",N2221="PARCIAL"),D2221&lt;TODAY()-1),"🔴 EMBARQUE ATRASADO",IF(AND(N2221="REALIZADO",M2221="PENDENTE"),"🟡 EMBARCADO SEM FATURAR",IF(AND(P2221&lt;&gt;"",S2221="",OR(Q2221="",R2221="")),"🟡 PENDÊNCIA SEM RESPONSÁVEL/PRAZO",IF(AND(ISNUMBER(R2221),R2221=TODAY()),"🟡 VENCE HOJE",IF(AND(P2221&lt;&gt;"",S2221=""),"🟡 PENDÊNCIA ABERTA",IF(AND(N(J2221)&gt;0,N(K2221)&lt;J2221),"🟡 FALTA EXECUTAR",IF(OR(M2221="PENDENTE",M2221="PARCIAL"),"🟡 FATURAMENTO PENDENTE","🟡 EMBARQUE PENDENTE")))))))))))</f>
        <v/>
      </c>
      <c r="D2221" s="4" t="n"/>
      <c r="E2221" s="5" t="n"/>
      <c r="F2221" s="5" t="n"/>
      <c r="G2221" s="5" t="n"/>
      <c r="H2221" s="5" t="n"/>
      <c r="I2221" s="5" t="n"/>
      <c r="J2221" s="6" t="n"/>
      <c r="K2221" s="6" t="n"/>
      <c r="L2221" s="7">
        <f>IF(OR(D2221="",N(J2221)=0),"",MIN(1,N(K2221)/J2221))</f>
        <v/>
      </c>
      <c r="M2221" s="5" t="n"/>
      <c r="N2221" s="5" t="n"/>
      <c r="O2221" s="5" t="n"/>
      <c r="P2221" s="5" t="n"/>
      <c r="Q2221" s="5" t="n"/>
      <c r="R2221" s="4" t="n"/>
      <c r="S2221" s="4" t="n"/>
      <c r="T2221" s="5" t="n"/>
      <c r="U2221" s="8">
        <f>IF(AND(V2221=1,D2221&lt;&gt;""),IF(D2221&gt;=corte,TODAY()-D2221,""),"")</f>
        <v/>
      </c>
      <c r="V2221" s="8">
        <f>IF(D2221="",0,IF(OR(AND(P2221&lt;&gt;"",S2221=""),AND(N(J2221)&gt;0,N(K2221)&lt;J2221),OR(M2221="PENDENTE",M2221="PARCIAL"),OR(N2221="PENDENTE",N2221="PARCIAL")),1,0))</f>
        <v/>
      </c>
      <c r="W2221" s="8">
        <f>IF(AND(V2221=1,D2221&lt;&gt;""),IF(D2221&gt;=corte,(B2221="CRÍTICO")*1E9+(100000-D2221)*10000+10000-ROW(),""),"")</f>
        <v/>
      </c>
      <c r="X2221" s="8">
        <f>IF(AND(V2221=1,D2221=pas_data,E2221=pas_turno),10000-ROW(),"")</f>
        <v/>
      </c>
    </row>
    <row r="2222">
      <c r="A2222" s="3">
        <f>IF(D2222="","","TT-"&amp;TEXT(ROW()-1,"00000"))</f>
        <v/>
      </c>
      <c r="B2222" s="3">
        <f>IF(D2222="","",IF(V2222=0,"CONCLUÍDO",IF(D2222&lt;corte,"HISTÓRICO",IF(OR(AND(ISNUMBER(R2222),R2222&lt;TODAY()),AND(OR(N2222="PENDENTE",N2222="PARCIAL"),D2222&lt;TODAY()-1)),"CRÍTICO",IF(OR(AND(P2222&lt;&gt;"",S2222=""),AND(N2222="REALIZADO",M2222="PENDENTE"),AND(ISNUMBER(R2222),R2222=TODAY())),"ATENÇÃO",IF(N(K2222)=0,"PENDENTE","EM ANDAMENTO"))))))</f>
        <v/>
      </c>
      <c r="C2222" s="3">
        <f>IF(D2222="","",IF(V2222=0,"🟢 OK",IF(D2222&lt;corte,"⚪ HISTÓRICO (sem baixa)",IF(AND(ISNUMBER(R2222),R2222&lt;TODAY()),"🔴 PRAZO VENCIDO",IF(AND(OR(N2222="PENDENTE",N2222="PARCIAL"),D2222&lt;TODAY()-1),"🔴 EMBARQUE ATRASADO",IF(AND(N2222="REALIZADO",M2222="PENDENTE"),"🟡 EMBARCADO SEM FATURAR",IF(AND(P2222&lt;&gt;"",S2222="",OR(Q2222="",R2222="")),"🟡 PENDÊNCIA SEM RESPONSÁVEL/PRAZO",IF(AND(ISNUMBER(R2222),R2222=TODAY()),"🟡 VENCE HOJE",IF(AND(P2222&lt;&gt;"",S2222=""),"🟡 PENDÊNCIA ABERTA",IF(AND(N(J2222)&gt;0,N(K2222)&lt;J2222),"🟡 FALTA EXECUTAR",IF(OR(M2222="PENDENTE",M2222="PARCIAL"),"🟡 FATURAMENTO PENDENTE","🟡 EMBARQUE PENDENTE")))))))))))</f>
        <v/>
      </c>
      <c r="D2222" s="4" t="n"/>
      <c r="E2222" s="5" t="n"/>
      <c r="F2222" s="5" t="n"/>
      <c r="G2222" s="5" t="n"/>
      <c r="H2222" s="5" t="n"/>
      <c r="I2222" s="5" t="n"/>
      <c r="J2222" s="6" t="n"/>
      <c r="K2222" s="6" t="n"/>
      <c r="L2222" s="7">
        <f>IF(OR(D2222="",N(J2222)=0),"",MIN(1,N(K2222)/J2222))</f>
        <v/>
      </c>
      <c r="M2222" s="5" t="n"/>
      <c r="N2222" s="5" t="n"/>
      <c r="O2222" s="5" t="n"/>
      <c r="P2222" s="5" t="n"/>
      <c r="Q2222" s="5" t="n"/>
      <c r="R2222" s="4" t="n"/>
      <c r="S2222" s="4" t="n"/>
      <c r="T2222" s="5" t="n"/>
      <c r="U2222" s="8">
        <f>IF(AND(V2222=1,D2222&lt;&gt;""),IF(D2222&gt;=corte,TODAY()-D2222,""),"")</f>
        <v/>
      </c>
      <c r="V2222" s="8">
        <f>IF(D2222="",0,IF(OR(AND(P2222&lt;&gt;"",S2222=""),AND(N(J2222)&gt;0,N(K2222)&lt;J2222),OR(M2222="PENDENTE",M2222="PARCIAL"),OR(N2222="PENDENTE",N2222="PARCIAL")),1,0))</f>
        <v/>
      </c>
      <c r="W2222" s="8">
        <f>IF(AND(V2222=1,D2222&lt;&gt;""),IF(D2222&gt;=corte,(B2222="CRÍTICO")*1E9+(100000-D2222)*10000+10000-ROW(),""),"")</f>
        <v/>
      </c>
      <c r="X2222" s="8">
        <f>IF(AND(V2222=1,D2222=pas_data,E2222=pas_turno),10000-ROW(),"")</f>
        <v/>
      </c>
    </row>
    <row r="2223">
      <c r="A2223" s="3">
        <f>IF(D2223="","","TT-"&amp;TEXT(ROW()-1,"00000"))</f>
        <v/>
      </c>
      <c r="B2223" s="3">
        <f>IF(D2223="","",IF(V2223=0,"CONCLUÍDO",IF(D2223&lt;corte,"HISTÓRICO",IF(OR(AND(ISNUMBER(R2223),R2223&lt;TODAY()),AND(OR(N2223="PENDENTE",N2223="PARCIAL"),D2223&lt;TODAY()-1)),"CRÍTICO",IF(OR(AND(P2223&lt;&gt;"",S2223=""),AND(N2223="REALIZADO",M2223="PENDENTE"),AND(ISNUMBER(R2223),R2223=TODAY())),"ATENÇÃO",IF(N(K2223)=0,"PENDENTE","EM ANDAMENTO"))))))</f>
        <v/>
      </c>
      <c r="C2223" s="3">
        <f>IF(D2223="","",IF(V2223=0,"🟢 OK",IF(D2223&lt;corte,"⚪ HISTÓRICO (sem baixa)",IF(AND(ISNUMBER(R2223),R2223&lt;TODAY()),"🔴 PRAZO VENCIDO",IF(AND(OR(N2223="PENDENTE",N2223="PARCIAL"),D2223&lt;TODAY()-1),"🔴 EMBARQUE ATRASADO",IF(AND(N2223="REALIZADO",M2223="PENDENTE"),"🟡 EMBARCADO SEM FATURAR",IF(AND(P2223&lt;&gt;"",S2223="",OR(Q2223="",R2223="")),"🟡 PENDÊNCIA SEM RESPONSÁVEL/PRAZO",IF(AND(ISNUMBER(R2223),R2223=TODAY()),"🟡 VENCE HOJE",IF(AND(P2223&lt;&gt;"",S2223=""),"🟡 PENDÊNCIA ABERTA",IF(AND(N(J2223)&gt;0,N(K2223)&lt;J2223),"🟡 FALTA EXECUTAR",IF(OR(M2223="PENDENTE",M2223="PARCIAL"),"🟡 FATURAMENTO PENDENTE","🟡 EMBARQUE PENDENTE")))))))))))</f>
        <v/>
      </c>
      <c r="D2223" s="4" t="n"/>
      <c r="E2223" s="5" t="n"/>
      <c r="F2223" s="5" t="n"/>
      <c r="G2223" s="5" t="n"/>
      <c r="H2223" s="5" t="n"/>
      <c r="I2223" s="5" t="n"/>
      <c r="J2223" s="6" t="n"/>
      <c r="K2223" s="6" t="n"/>
      <c r="L2223" s="7">
        <f>IF(OR(D2223="",N(J2223)=0),"",MIN(1,N(K2223)/J2223))</f>
        <v/>
      </c>
      <c r="M2223" s="5" t="n"/>
      <c r="N2223" s="5" t="n"/>
      <c r="O2223" s="5" t="n"/>
      <c r="P2223" s="5" t="n"/>
      <c r="Q2223" s="5" t="n"/>
      <c r="R2223" s="4" t="n"/>
      <c r="S2223" s="4" t="n"/>
      <c r="T2223" s="5" t="n"/>
      <c r="U2223" s="8">
        <f>IF(AND(V2223=1,D2223&lt;&gt;""),IF(D2223&gt;=corte,TODAY()-D2223,""),"")</f>
        <v/>
      </c>
      <c r="V2223" s="8">
        <f>IF(D2223="",0,IF(OR(AND(P2223&lt;&gt;"",S2223=""),AND(N(J2223)&gt;0,N(K2223)&lt;J2223),OR(M2223="PENDENTE",M2223="PARCIAL"),OR(N2223="PENDENTE",N2223="PARCIAL")),1,0))</f>
        <v/>
      </c>
      <c r="W2223" s="8">
        <f>IF(AND(V2223=1,D2223&lt;&gt;""),IF(D2223&gt;=corte,(B2223="CRÍTICO")*1E9+(100000-D2223)*10000+10000-ROW(),""),"")</f>
        <v/>
      </c>
      <c r="X2223" s="8">
        <f>IF(AND(V2223=1,D2223=pas_data,E2223=pas_turno),10000-ROW(),"")</f>
        <v/>
      </c>
    </row>
    <row r="2224">
      <c r="A2224" s="3">
        <f>IF(D2224="","","TT-"&amp;TEXT(ROW()-1,"00000"))</f>
        <v/>
      </c>
      <c r="B2224" s="3">
        <f>IF(D2224="","",IF(V2224=0,"CONCLUÍDO",IF(D2224&lt;corte,"HISTÓRICO",IF(OR(AND(ISNUMBER(R2224),R2224&lt;TODAY()),AND(OR(N2224="PENDENTE",N2224="PARCIAL"),D2224&lt;TODAY()-1)),"CRÍTICO",IF(OR(AND(P2224&lt;&gt;"",S2224=""),AND(N2224="REALIZADO",M2224="PENDENTE"),AND(ISNUMBER(R2224),R2224=TODAY())),"ATENÇÃO",IF(N(K2224)=0,"PENDENTE","EM ANDAMENTO"))))))</f>
        <v/>
      </c>
      <c r="C2224" s="3">
        <f>IF(D2224="","",IF(V2224=0,"🟢 OK",IF(D2224&lt;corte,"⚪ HISTÓRICO (sem baixa)",IF(AND(ISNUMBER(R2224),R2224&lt;TODAY()),"🔴 PRAZO VENCIDO",IF(AND(OR(N2224="PENDENTE",N2224="PARCIAL"),D2224&lt;TODAY()-1),"🔴 EMBARQUE ATRASADO",IF(AND(N2224="REALIZADO",M2224="PENDENTE"),"🟡 EMBARCADO SEM FATURAR",IF(AND(P2224&lt;&gt;"",S2224="",OR(Q2224="",R2224="")),"🟡 PENDÊNCIA SEM RESPONSÁVEL/PRAZO",IF(AND(ISNUMBER(R2224),R2224=TODAY()),"🟡 VENCE HOJE",IF(AND(P2224&lt;&gt;"",S2224=""),"🟡 PENDÊNCIA ABERTA",IF(AND(N(J2224)&gt;0,N(K2224)&lt;J2224),"🟡 FALTA EXECUTAR",IF(OR(M2224="PENDENTE",M2224="PARCIAL"),"🟡 FATURAMENTO PENDENTE","🟡 EMBARQUE PENDENTE")))))))))))</f>
        <v/>
      </c>
      <c r="D2224" s="4" t="n"/>
      <c r="E2224" s="5" t="n"/>
      <c r="F2224" s="5" t="n"/>
      <c r="G2224" s="5" t="n"/>
      <c r="H2224" s="5" t="n"/>
      <c r="I2224" s="5" t="n"/>
      <c r="J2224" s="6" t="n"/>
      <c r="K2224" s="6" t="n"/>
      <c r="L2224" s="7">
        <f>IF(OR(D2224="",N(J2224)=0),"",MIN(1,N(K2224)/J2224))</f>
        <v/>
      </c>
      <c r="M2224" s="5" t="n"/>
      <c r="N2224" s="5" t="n"/>
      <c r="O2224" s="5" t="n"/>
      <c r="P2224" s="5" t="n"/>
      <c r="Q2224" s="5" t="n"/>
      <c r="R2224" s="4" t="n"/>
      <c r="S2224" s="4" t="n"/>
      <c r="T2224" s="5" t="n"/>
      <c r="U2224" s="8">
        <f>IF(AND(V2224=1,D2224&lt;&gt;""),IF(D2224&gt;=corte,TODAY()-D2224,""),"")</f>
        <v/>
      </c>
      <c r="V2224" s="8">
        <f>IF(D2224="",0,IF(OR(AND(P2224&lt;&gt;"",S2224=""),AND(N(J2224)&gt;0,N(K2224)&lt;J2224),OR(M2224="PENDENTE",M2224="PARCIAL"),OR(N2224="PENDENTE",N2224="PARCIAL")),1,0))</f>
        <v/>
      </c>
      <c r="W2224" s="8">
        <f>IF(AND(V2224=1,D2224&lt;&gt;""),IF(D2224&gt;=corte,(B2224="CRÍTICO")*1E9+(100000-D2224)*10000+10000-ROW(),""),"")</f>
        <v/>
      </c>
      <c r="X2224" s="8">
        <f>IF(AND(V2224=1,D2224=pas_data,E2224=pas_turno),10000-ROW(),"")</f>
        <v/>
      </c>
    </row>
    <row r="2225">
      <c r="A2225" s="3">
        <f>IF(D2225="","","TT-"&amp;TEXT(ROW()-1,"00000"))</f>
        <v/>
      </c>
      <c r="B2225" s="3">
        <f>IF(D2225="","",IF(V2225=0,"CONCLUÍDO",IF(D2225&lt;corte,"HISTÓRICO",IF(OR(AND(ISNUMBER(R2225),R2225&lt;TODAY()),AND(OR(N2225="PENDENTE",N2225="PARCIAL"),D2225&lt;TODAY()-1)),"CRÍTICO",IF(OR(AND(P2225&lt;&gt;"",S2225=""),AND(N2225="REALIZADO",M2225="PENDENTE"),AND(ISNUMBER(R2225),R2225=TODAY())),"ATENÇÃO",IF(N(K2225)=0,"PENDENTE","EM ANDAMENTO"))))))</f>
        <v/>
      </c>
      <c r="C2225" s="3">
        <f>IF(D2225="","",IF(V2225=0,"🟢 OK",IF(D2225&lt;corte,"⚪ HISTÓRICO (sem baixa)",IF(AND(ISNUMBER(R2225),R2225&lt;TODAY()),"🔴 PRAZO VENCIDO",IF(AND(OR(N2225="PENDENTE",N2225="PARCIAL"),D2225&lt;TODAY()-1),"🔴 EMBARQUE ATRASADO",IF(AND(N2225="REALIZADO",M2225="PENDENTE"),"🟡 EMBARCADO SEM FATURAR",IF(AND(P2225&lt;&gt;"",S2225="",OR(Q2225="",R2225="")),"🟡 PENDÊNCIA SEM RESPONSÁVEL/PRAZO",IF(AND(ISNUMBER(R2225),R2225=TODAY()),"🟡 VENCE HOJE",IF(AND(P2225&lt;&gt;"",S2225=""),"🟡 PENDÊNCIA ABERTA",IF(AND(N(J2225)&gt;0,N(K2225)&lt;J2225),"🟡 FALTA EXECUTAR",IF(OR(M2225="PENDENTE",M2225="PARCIAL"),"🟡 FATURAMENTO PENDENTE","🟡 EMBARQUE PENDENTE")))))))))))</f>
        <v/>
      </c>
      <c r="D2225" s="4" t="n"/>
      <c r="E2225" s="5" t="n"/>
      <c r="F2225" s="5" t="n"/>
      <c r="G2225" s="5" t="n"/>
      <c r="H2225" s="5" t="n"/>
      <c r="I2225" s="5" t="n"/>
      <c r="J2225" s="6" t="n"/>
      <c r="K2225" s="6" t="n"/>
      <c r="L2225" s="7">
        <f>IF(OR(D2225="",N(J2225)=0),"",MIN(1,N(K2225)/J2225))</f>
        <v/>
      </c>
      <c r="M2225" s="5" t="n"/>
      <c r="N2225" s="5" t="n"/>
      <c r="O2225" s="5" t="n"/>
      <c r="P2225" s="5" t="n"/>
      <c r="Q2225" s="5" t="n"/>
      <c r="R2225" s="4" t="n"/>
      <c r="S2225" s="4" t="n"/>
      <c r="T2225" s="5" t="n"/>
      <c r="U2225" s="8">
        <f>IF(AND(V2225=1,D2225&lt;&gt;""),IF(D2225&gt;=corte,TODAY()-D2225,""),"")</f>
        <v/>
      </c>
      <c r="V2225" s="8">
        <f>IF(D2225="",0,IF(OR(AND(P2225&lt;&gt;"",S2225=""),AND(N(J2225)&gt;0,N(K2225)&lt;J2225),OR(M2225="PENDENTE",M2225="PARCIAL"),OR(N2225="PENDENTE",N2225="PARCIAL")),1,0))</f>
        <v/>
      </c>
      <c r="W2225" s="8">
        <f>IF(AND(V2225=1,D2225&lt;&gt;""),IF(D2225&gt;=corte,(B2225="CRÍTICO")*1E9+(100000-D2225)*10000+10000-ROW(),""),"")</f>
        <v/>
      </c>
      <c r="X2225" s="8">
        <f>IF(AND(V2225=1,D2225=pas_data,E2225=pas_turno),10000-ROW(),"")</f>
        <v/>
      </c>
    </row>
    <row r="2226">
      <c r="A2226" s="3">
        <f>IF(D2226="","","TT-"&amp;TEXT(ROW()-1,"00000"))</f>
        <v/>
      </c>
      <c r="B2226" s="3">
        <f>IF(D2226="","",IF(V2226=0,"CONCLUÍDO",IF(D2226&lt;corte,"HISTÓRICO",IF(OR(AND(ISNUMBER(R2226),R2226&lt;TODAY()),AND(OR(N2226="PENDENTE",N2226="PARCIAL"),D2226&lt;TODAY()-1)),"CRÍTICO",IF(OR(AND(P2226&lt;&gt;"",S2226=""),AND(N2226="REALIZADO",M2226="PENDENTE"),AND(ISNUMBER(R2226),R2226=TODAY())),"ATENÇÃO",IF(N(K2226)=0,"PENDENTE","EM ANDAMENTO"))))))</f>
        <v/>
      </c>
      <c r="C2226" s="3">
        <f>IF(D2226="","",IF(V2226=0,"🟢 OK",IF(D2226&lt;corte,"⚪ HISTÓRICO (sem baixa)",IF(AND(ISNUMBER(R2226),R2226&lt;TODAY()),"🔴 PRAZO VENCIDO",IF(AND(OR(N2226="PENDENTE",N2226="PARCIAL"),D2226&lt;TODAY()-1),"🔴 EMBARQUE ATRASADO",IF(AND(N2226="REALIZADO",M2226="PENDENTE"),"🟡 EMBARCADO SEM FATURAR",IF(AND(P2226&lt;&gt;"",S2226="",OR(Q2226="",R2226="")),"🟡 PENDÊNCIA SEM RESPONSÁVEL/PRAZO",IF(AND(ISNUMBER(R2226),R2226=TODAY()),"🟡 VENCE HOJE",IF(AND(P2226&lt;&gt;"",S2226=""),"🟡 PENDÊNCIA ABERTA",IF(AND(N(J2226)&gt;0,N(K2226)&lt;J2226),"🟡 FALTA EXECUTAR",IF(OR(M2226="PENDENTE",M2226="PARCIAL"),"🟡 FATURAMENTO PENDENTE","🟡 EMBARQUE PENDENTE")))))))))))</f>
        <v/>
      </c>
      <c r="D2226" s="4" t="n"/>
      <c r="E2226" s="5" t="n"/>
      <c r="F2226" s="5" t="n"/>
      <c r="G2226" s="5" t="n"/>
      <c r="H2226" s="5" t="n"/>
      <c r="I2226" s="5" t="n"/>
      <c r="J2226" s="6" t="n"/>
      <c r="K2226" s="6" t="n"/>
      <c r="L2226" s="7">
        <f>IF(OR(D2226="",N(J2226)=0),"",MIN(1,N(K2226)/J2226))</f>
        <v/>
      </c>
      <c r="M2226" s="5" t="n"/>
      <c r="N2226" s="5" t="n"/>
      <c r="O2226" s="5" t="n"/>
      <c r="P2226" s="5" t="n"/>
      <c r="Q2226" s="5" t="n"/>
      <c r="R2226" s="4" t="n"/>
      <c r="S2226" s="4" t="n"/>
      <c r="T2226" s="5" t="n"/>
      <c r="U2226" s="8">
        <f>IF(AND(V2226=1,D2226&lt;&gt;""),IF(D2226&gt;=corte,TODAY()-D2226,""),"")</f>
        <v/>
      </c>
      <c r="V2226" s="8">
        <f>IF(D2226="",0,IF(OR(AND(P2226&lt;&gt;"",S2226=""),AND(N(J2226)&gt;0,N(K2226)&lt;J2226),OR(M2226="PENDENTE",M2226="PARCIAL"),OR(N2226="PENDENTE",N2226="PARCIAL")),1,0))</f>
        <v/>
      </c>
      <c r="W2226" s="8">
        <f>IF(AND(V2226=1,D2226&lt;&gt;""),IF(D2226&gt;=corte,(B2226="CRÍTICO")*1E9+(100000-D2226)*10000+10000-ROW(),""),"")</f>
        <v/>
      </c>
      <c r="X2226" s="8">
        <f>IF(AND(V2226=1,D2226=pas_data,E2226=pas_turno),10000-ROW(),"")</f>
        <v/>
      </c>
    </row>
    <row r="2227">
      <c r="A2227" s="3">
        <f>IF(D2227="","","TT-"&amp;TEXT(ROW()-1,"00000"))</f>
        <v/>
      </c>
      <c r="B2227" s="3">
        <f>IF(D2227="","",IF(V2227=0,"CONCLUÍDO",IF(D2227&lt;corte,"HISTÓRICO",IF(OR(AND(ISNUMBER(R2227),R2227&lt;TODAY()),AND(OR(N2227="PENDENTE",N2227="PARCIAL"),D2227&lt;TODAY()-1)),"CRÍTICO",IF(OR(AND(P2227&lt;&gt;"",S2227=""),AND(N2227="REALIZADO",M2227="PENDENTE"),AND(ISNUMBER(R2227),R2227=TODAY())),"ATENÇÃO",IF(N(K2227)=0,"PENDENTE","EM ANDAMENTO"))))))</f>
        <v/>
      </c>
      <c r="C2227" s="3">
        <f>IF(D2227="","",IF(V2227=0,"🟢 OK",IF(D2227&lt;corte,"⚪ HISTÓRICO (sem baixa)",IF(AND(ISNUMBER(R2227),R2227&lt;TODAY()),"🔴 PRAZO VENCIDO",IF(AND(OR(N2227="PENDENTE",N2227="PARCIAL"),D2227&lt;TODAY()-1),"🔴 EMBARQUE ATRASADO",IF(AND(N2227="REALIZADO",M2227="PENDENTE"),"🟡 EMBARCADO SEM FATURAR",IF(AND(P2227&lt;&gt;"",S2227="",OR(Q2227="",R2227="")),"🟡 PENDÊNCIA SEM RESPONSÁVEL/PRAZO",IF(AND(ISNUMBER(R2227),R2227=TODAY()),"🟡 VENCE HOJE",IF(AND(P2227&lt;&gt;"",S2227=""),"🟡 PENDÊNCIA ABERTA",IF(AND(N(J2227)&gt;0,N(K2227)&lt;J2227),"🟡 FALTA EXECUTAR",IF(OR(M2227="PENDENTE",M2227="PARCIAL"),"🟡 FATURAMENTO PENDENTE","🟡 EMBARQUE PENDENTE")))))))))))</f>
        <v/>
      </c>
      <c r="D2227" s="4" t="n"/>
      <c r="E2227" s="5" t="n"/>
      <c r="F2227" s="5" t="n"/>
      <c r="G2227" s="5" t="n"/>
      <c r="H2227" s="5" t="n"/>
      <c r="I2227" s="5" t="n"/>
      <c r="J2227" s="6" t="n"/>
      <c r="K2227" s="6" t="n"/>
      <c r="L2227" s="7">
        <f>IF(OR(D2227="",N(J2227)=0),"",MIN(1,N(K2227)/J2227))</f>
        <v/>
      </c>
      <c r="M2227" s="5" t="n"/>
      <c r="N2227" s="5" t="n"/>
      <c r="O2227" s="5" t="n"/>
      <c r="P2227" s="5" t="n"/>
      <c r="Q2227" s="5" t="n"/>
      <c r="R2227" s="4" t="n"/>
      <c r="S2227" s="4" t="n"/>
      <c r="T2227" s="5" t="n"/>
      <c r="U2227" s="8">
        <f>IF(AND(V2227=1,D2227&lt;&gt;""),IF(D2227&gt;=corte,TODAY()-D2227,""),"")</f>
        <v/>
      </c>
      <c r="V2227" s="8">
        <f>IF(D2227="",0,IF(OR(AND(P2227&lt;&gt;"",S2227=""),AND(N(J2227)&gt;0,N(K2227)&lt;J2227),OR(M2227="PENDENTE",M2227="PARCIAL"),OR(N2227="PENDENTE",N2227="PARCIAL")),1,0))</f>
        <v/>
      </c>
      <c r="W2227" s="8">
        <f>IF(AND(V2227=1,D2227&lt;&gt;""),IF(D2227&gt;=corte,(B2227="CRÍTICO")*1E9+(100000-D2227)*10000+10000-ROW(),""),"")</f>
        <v/>
      </c>
      <c r="X2227" s="8">
        <f>IF(AND(V2227=1,D2227=pas_data,E2227=pas_turno),10000-ROW(),"")</f>
        <v/>
      </c>
    </row>
    <row r="2228">
      <c r="A2228" s="3">
        <f>IF(D2228="","","TT-"&amp;TEXT(ROW()-1,"00000"))</f>
        <v/>
      </c>
      <c r="B2228" s="3">
        <f>IF(D2228="","",IF(V2228=0,"CONCLUÍDO",IF(D2228&lt;corte,"HISTÓRICO",IF(OR(AND(ISNUMBER(R2228),R2228&lt;TODAY()),AND(OR(N2228="PENDENTE",N2228="PARCIAL"),D2228&lt;TODAY()-1)),"CRÍTICO",IF(OR(AND(P2228&lt;&gt;"",S2228=""),AND(N2228="REALIZADO",M2228="PENDENTE"),AND(ISNUMBER(R2228),R2228=TODAY())),"ATENÇÃO",IF(N(K2228)=0,"PENDENTE","EM ANDAMENTO"))))))</f>
        <v/>
      </c>
      <c r="C2228" s="3">
        <f>IF(D2228="","",IF(V2228=0,"🟢 OK",IF(D2228&lt;corte,"⚪ HISTÓRICO (sem baixa)",IF(AND(ISNUMBER(R2228),R2228&lt;TODAY()),"🔴 PRAZO VENCIDO",IF(AND(OR(N2228="PENDENTE",N2228="PARCIAL"),D2228&lt;TODAY()-1),"🔴 EMBARQUE ATRASADO",IF(AND(N2228="REALIZADO",M2228="PENDENTE"),"🟡 EMBARCADO SEM FATURAR",IF(AND(P2228&lt;&gt;"",S2228="",OR(Q2228="",R2228="")),"🟡 PENDÊNCIA SEM RESPONSÁVEL/PRAZO",IF(AND(ISNUMBER(R2228),R2228=TODAY()),"🟡 VENCE HOJE",IF(AND(P2228&lt;&gt;"",S2228=""),"🟡 PENDÊNCIA ABERTA",IF(AND(N(J2228)&gt;0,N(K2228)&lt;J2228),"🟡 FALTA EXECUTAR",IF(OR(M2228="PENDENTE",M2228="PARCIAL"),"🟡 FATURAMENTO PENDENTE","🟡 EMBARQUE PENDENTE")))))))))))</f>
        <v/>
      </c>
      <c r="D2228" s="4" t="n"/>
      <c r="E2228" s="5" t="n"/>
      <c r="F2228" s="5" t="n"/>
      <c r="G2228" s="5" t="n"/>
      <c r="H2228" s="5" t="n"/>
      <c r="I2228" s="5" t="n"/>
      <c r="J2228" s="6" t="n"/>
      <c r="K2228" s="6" t="n"/>
      <c r="L2228" s="7">
        <f>IF(OR(D2228="",N(J2228)=0),"",MIN(1,N(K2228)/J2228))</f>
        <v/>
      </c>
      <c r="M2228" s="5" t="n"/>
      <c r="N2228" s="5" t="n"/>
      <c r="O2228" s="5" t="n"/>
      <c r="P2228" s="5" t="n"/>
      <c r="Q2228" s="5" t="n"/>
      <c r="R2228" s="4" t="n"/>
      <c r="S2228" s="4" t="n"/>
      <c r="T2228" s="5" t="n"/>
      <c r="U2228" s="8">
        <f>IF(AND(V2228=1,D2228&lt;&gt;""),IF(D2228&gt;=corte,TODAY()-D2228,""),"")</f>
        <v/>
      </c>
      <c r="V2228" s="8">
        <f>IF(D2228="",0,IF(OR(AND(P2228&lt;&gt;"",S2228=""),AND(N(J2228)&gt;0,N(K2228)&lt;J2228),OR(M2228="PENDENTE",M2228="PARCIAL"),OR(N2228="PENDENTE",N2228="PARCIAL")),1,0))</f>
        <v/>
      </c>
      <c r="W2228" s="8">
        <f>IF(AND(V2228=1,D2228&lt;&gt;""),IF(D2228&gt;=corte,(B2228="CRÍTICO")*1E9+(100000-D2228)*10000+10000-ROW(),""),"")</f>
        <v/>
      </c>
      <c r="X2228" s="8">
        <f>IF(AND(V2228=1,D2228=pas_data,E2228=pas_turno),10000-ROW(),"")</f>
        <v/>
      </c>
    </row>
    <row r="2229">
      <c r="A2229" s="3">
        <f>IF(D2229="","","TT-"&amp;TEXT(ROW()-1,"00000"))</f>
        <v/>
      </c>
      <c r="B2229" s="3">
        <f>IF(D2229="","",IF(V2229=0,"CONCLUÍDO",IF(D2229&lt;corte,"HISTÓRICO",IF(OR(AND(ISNUMBER(R2229),R2229&lt;TODAY()),AND(OR(N2229="PENDENTE",N2229="PARCIAL"),D2229&lt;TODAY()-1)),"CRÍTICO",IF(OR(AND(P2229&lt;&gt;"",S2229=""),AND(N2229="REALIZADO",M2229="PENDENTE"),AND(ISNUMBER(R2229),R2229=TODAY())),"ATENÇÃO",IF(N(K2229)=0,"PENDENTE","EM ANDAMENTO"))))))</f>
        <v/>
      </c>
      <c r="C2229" s="3">
        <f>IF(D2229="","",IF(V2229=0,"🟢 OK",IF(D2229&lt;corte,"⚪ HISTÓRICO (sem baixa)",IF(AND(ISNUMBER(R2229),R2229&lt;TODAY()),"🔴 PRAZO VENCIDO",IF(AND(OR(N2229="PENDENTE",N2229="PARCIAL"),D2229&lt;TODAY()-1),"🔴 EMBARQUE ATRASADO",IF(AND(N2229="REALIZADO",M2229="PENDENTE"),"🟡 EMBARCADO SEM FATURAR",IF(AND(P2229&lt;&gt;"",S2229="",OR(Q2229="",R2229="")),"🟡 PENDÊNCIA SEM RESPONSÁVEL/PRAZO",IF(AND(ISNUMBER(R2229),R2229=TODAY()),"🟡 VENCE HOJE",IF(AND(P2229&lt;&gt;"",S2229=""),"🟡 PENDÊNCIA ABERTA",IF(AND(N(J2229)&gt;0,N(K2229)&lt;J2229),"🟡 FALTA EXECUTAR",IF(OR(M2229="PENDENTE",M2229="PARCIAL"),"🟡 FATURAMENTO PENDENTE","🟡 EMBARQUE PENDENTE")))))))))))</f>
        <v/>
      </c>
      <c r="D2229" s="4" t="n"/>
      <c r="E2229" s="5" t="n"/>
      <c r="F2229" s="5" t="n"/>
      <c r="G2229" s="5" t="n"/>
      <c r="H2229" s="5" t="n"/>
      <c r="I2229" s="5" t="n"/>
      <c r="J2229" s="6" t="n"/>
      <c r="K2229" s="6" t="n"/>
      <c r="L2229" s="7">
        <f>IF(OR(D2229="",N(J2229)=0),"",MIN(1,N(K2229)/J2229))</f>
        <v/>
      </c>
      <c r="M2229" s="5" t="n"/>
      <c r="N2229" s="5" t="n"/>
      <c r="O2229" s="5" t="n"/>
      <c r="P2229" s="5" t="n"/>
      <c r="Q2229" s="5" t="n"/>
      <c r="R2229" s="4" t="n"/>
      <c r="S2229" s="4" t="n"/>
      <c r="T2229" s="5" t="n"/>
      <c r="U2229" s="8">
        <f>IF(AND(V2229=1,D2229&lt;&gt;""),IF(D2229&gt;=corte,TODAY()-D2229,""),"")</f>
        <v/>
      </c>
      <c r="V2229" s="8">
        <f>IF(D2229="",0,IF(OR(AND(P2229&lt;&gt;"",S2229=""),AND(N(J2229)&gt;0,N(K2229)&lt;J2229),OR(M2229="PENDENTE",M2229="PARCIAL"),OR(N2229="PENDENTE",N2229="PARCIAL")),1,0))</f>
        <v/>
      </c>
      <c r="W2229" s="8">
        <f>IF(AND(V2229=1,D2229&lt;&gt;""),IF(D2229&gt;=corte,(B2229="CRÍTICO")*1E9+(100000-D2229)*10000+10000-ROW(),""),"")</f>
        <v/>
      </c>
      <c r="X2229" s="8">
        <f>IF(AND(V2229=1,D2229=pas_data,E2229=pas_turno),10000-ROW(),"")</f>
        <v/>
      </c>
    </row>
    <row r="2230">
      <c r="A2230" s="3">
        <f>IF(D2230="","","TT-"&amp;TEXT(ROW()-1,"00000"))</f>
        <v/>
      </c>
      <c r="B2230" s="3">
        <f>IF(D2230="","",IF(V2230=0,"CONCLUÍDO",IF(D2230&lt;corte,"HISTÓRICO",IF(OR(AND(ISNUMBER(R2230),R2230&lt;TODAY()),AND(OR(N2230="PENDENTE",N2230="PARCIAL"),D2230&lt;TODAY()-1)),"CRÍTICO",IF(OR(AND(P2230&lt;&gt;"",S2230=""),AND(N2230="REALIZADO",M2230="PENDENTE"),AND(ISNUMBER(R2230),R2230=TODAY())),"ATENÇÃO",IF(N(K2230)=0,"PENDENTE","EM ANDAMENTO"))))))</f>
        <v/>
      </c>
      <c r="C2230" s="3">
        <f>IF(D2230="","",IF(V2230=0,"🟢 OK",IF(D2230&lt;corte,"⚪ HISTÓRICO (sem baixa)",IF(AND(ISNUMBER(R2230),R2230&lt;TODAY()),"🔴 PRAZO VENCIDO",IF(AND(OR(N2230="PENDENTE",N2230="PARCIAL"),D2230&lt;TODAY()-1),"🔴 EMBARQUE ATRASADO",IF(AND(N2230="REALIZADO",M2230="PENDENTE"),"🟡 EMBARCADO SEM FATURAR",IF(AND(P2230&lt;&gt;"",S2230="",OR(Q2230="",R2230="")),"🟡 PENDÊNCIA SEM RESPONSÁVEL/PRAZO",IF(AND(ISNUMBER(R2230),R2230=TODAY()),"🟡 VENCE HOJE",IF(AND(P2230&lt;&gt;"",S2230=""),"🟡 PENDÊNCIA ABERTA",IF(AND(N(J2230)&gt;0,N(K2230)&lt;J2230),"🟡 FALTA EXECUTAR",IF(OR(M2230="PENDENTE",M2230="PARCIAL"),"🟡 FATURAMENTO PENDENTE","🟡 EMBARQUE PENDENTE")))))))))))</f>
        <v/>
      </c>
      <c r="D2230" s="4" t="n"/>
      <c r="E2230" s="5" t="n"/>
      <c r="F2230" s="5" t="n"/>
      <c r="G2230" s="5" t="n"/>
      <c r="H2230" s="5" t="n"/>
      <c r="I2230" s="5" t="n"/>
      <c r="J2230" s="6" t="n"/>
      <c r="K2230" s="6" t="n"/>
      <c r="L2230" s="7">
        <f>IF(OR(D2230="",N(J2230)=0),"",MIN(1,N(K2230)/J2230))</f>
        <v/>
      </c>
      <c r="M2230" s="5" t="n"/>
      <c r="N2230" s="5" t="n"/>
      <c r="O2230" s="5" t="n"/>
      <c r="P2230" s="5" t="n"/>
      <c r="Q2230" s="5" t="n"/>
      <c r="R2230" s="4" t="n"/>
      <c r="S2230" s="4" t="n"/>
      <c r="T2230" s="5" t="n"/>
      <c r="U2230" s="8">
        <f>IF(AND(V2230=1,D2230&lt;&gt;""),IF(D2230&gt;=corte,TODAY()-D2230,""),"")</f>
        <v/>
      </c>
      <c r="V2230" s="8">
        <f>IF(D2230="",0,IF(OR(AND(P2230&lt;&gt;"",S2230=""),AND(N(J2230)&gt;0,N(K2230)&lt;J2230),OR(M2230="PENDENTE",M2230="PARCIAL"),OR(N2230="PENDENTE",N2230="PARCIAL")),1,0))</f>
        <v/>
      </c>
      <c r="W2230" s="8">
        <f>IF(AND(V2230=1,D2230&lt;&gt;""),IF(D2230&gt;=corte,(B2230="CRÍTICO")*1E9+(100000-D2230)*10000+10000-ROW(),""),"")</f>
        <v/>
      </c>
      <c r="X2230" s="8">
        <f>IF(AND(V2230=1,D2230=pas_data,E2230=pas_turno),10000-ROW(),"")</f>
        <v/>
      </c>
    </row>
    <row r="2231">
      <c r="A2231" s="3">
        <f>IF(D2231="","","TT-"&amp;TEXT(ROW()-1,"00000"))</f>
        <v/>
      </c>
      <c r="B2231" s="3">
        <f>IF(D2231="","",IF(V2231=0,"CONCLUÍDO",IF(D2231&lt;corte,"HISTÓRICO",IF(OR(AND(ISNUMBER(R2231),R2231&lt;TODAY()),AND(OR(N2231="PENDENTE",N2231="PARCIAL"),D2231&lt;TODAY()-1)),"CRÍTICO",IF(OR(AND(P2231&lt;&gt;"",S2231=""),AND(N2231="REALIZADO",M2231="PENDENTE"),AND(ISNUMBER(R2231),R2231=TODAY())),"ATENÇÃO",IF(N(K2231)=0,"PENDENTE","EM ANDAMENTO"))))))</f>
        <v/>
      </c>
      <c r="C2231" s="3">
        <f>IF(D2231="","",IF(V2231=0,"🟢 OK",IF(D2231&lt;corte,"⚪ HISTÓRICO (sem baixa)",IF(AND(ISNUMBER(R2231),R2231&lt;TODAY()),"🔴 PRAZO VENCIDO",IF(AND(OR(N2231="PENDENTE",N2231="PARCIAL"),D2231&lt;TODAY()-1),"🔴 EMBARQUE ATRASADO",IF(AND(N2231="REALIZADO",M2231="PENDENTE"),"🟡 EMBARCADO SEM FATURAR",IF(AND(P2231&lt;&gt;"",S2231="",OR(Q2231="",R2231="")),"🟡 PENDÊNCIA SEM RESPONSÁVEL/PRAZO",IF(AND(ISNUMBER(R2231),R2231=TODAY()),"🟡 VENCE HOJE",IF(AND(P2231&lt;&gt;"",S2231=""),"🟡 PENDÊNCIA ABERTA",IF(AND(N(J2231)&gt;0,N(K2231)&lt;J2231),"🟡 FALTA EXECUTAR",IF(OR(M2231="PENDENTE",M2231="PARCIAL"),"🟡 FATURAMENTO PENDENTE","🟡 EMBARQUE PENDENTE")))))))))))</f>
        <v/>
      </c>
      <c r="D2231" s="4" t="n"/>
      <c r="E2231" s="5" t="n"/>
      <c r="F2231" s="5" t="n"/>
      <c r="G2231" s="5" t="n"/>
      <c r="H2231" s="5" t="n"/>
      <c r="I2231" s="5" t="n"/>
      <c r="J2231" s="6" t="n"/>
      <c r="K2231" s="6" t="n"/>
      <c r="L2231" s="7">
        <f>IF(OR(D2231="",N(J2231)=0),"",MIN(1,N(K2231)/J2231))</f>
        <v/>
      </c>
      <c r="M2231" s="5" t="n"/>
      <c r="N2231" s="5" t="n"/>
      <c r="O2231" s="5" t="n"/>
      <c r="P2231" s="5" t="n"/>
      <c r="Q2231" s="5" t="n"/>
      <c r="R2231" s="4" t="n"/>
      <c r="S2231" s="4" t="n"/>
      <c r="T2231" s="5" t="n"/>
      <c r="U2231" s="8">
        <f>IF(AND(V2231=1,D2231&lt;&gt;""),IF(D2231&gt;=corte,TODAY()-D2231,""),"")</f>
        <v/>
      </c>
      <c r="V2231" s="8">
        <f>IF(D2231="",0,IF(OR(AND(P2231&lt;&gt;"",S2231=""),AND(N(J2231)&gt;0,N(K2231)&lt;J2231),OR(M2231="PENDENTE",M2231="PARCIAL"),OR(N2231="PENDENTE",N2231="PARCIAL")),1,0))</f>
        <v/>
      </c>
      <c r="W2231" s="8">
        <f>IF(AND(V2231=1,D2231&lt;&gt;""),IF(D2231&gt;=corte,(B2231="CRÍTICO")*1E9+(100000-D2231)*10000+10000-ROW(),""),"")</f>
        <v/>
      </c>
      <c r="X2231" s="8">
        <f>IF(AND(V2231=1,D2231=pas_data,E2231=pas_turno),10000-ROW(),"")</f>
        <v/>
      </c>
    </row>
    <row r="2232">
      <c r="A2232" s="3">
        <f>IF(D2232="","","TT-"&amp;TEXT(ROW()-1,"00000"))</f>
        <v/>
      </c>
      <c r="B2232" s="3">
        <f>IF(D2232="","",IF(V2232=0,"CONCLUÍDO",IF(D2232&lt;corte,"HISTÓRICO",IF(OR(AND(ISNUMBER(R2232),R2232&lt;TODAY()),AND(OR(N2232="PENDENTE",N2232="PARCIAL"),D2232&lt;TODAY()-1)),"CRÍTICO",IF(OR(AND(P2232&lt;&gt;"",S2232=""),AND(N2232="REALIZADO",M2232="PENDENTE"),AND(ISNUMBER(R2232),R2232=TODAY())),"ATENÇÃO",IF(N(K2232)=0,"PENDENTE","EM ANDAMENTO"))))))</f>
        <v/>
      </c>
      <c r="C2232" s="3">
        <f>IF(D2232="","",IF(V2232=0,"🟢 OK",IF(D2232&lt;corte,"⚪ HISTÓRICO (sem baixa)",IF(AND(ISNUMBER(R2232),R2232&lt;TODAY()),"🔴 PRAZO VENCIDO",IF(AND(OR(N2232="PENDENTE",N2232="PARCIAL"),D2232&lt;TODAY()-1),"🔴 EMBARQUE ATRASADO",IF(AND(N2232="REALIZADO",M2232="PENDENTE"),"🟡 EMBARCADO SEM FATURAR",IF(AND(P2232&lt;&gt;"",S2232="",OR(Q2232="",R2232="")),"🟡 PENDÊNCIA SEM RESPONSÁVEL/PRAZO",IF(AND(ISNUMBER(R2232),R2232=TODAY()),"🟡 VENCE HOJE",IF(AND(P2232&lt;&gt;"",S2232=""),"🟡 PENDÊNCIA ABERTA",IF(AND(N(J2232)&gt;0,N(K2232)&lt;J2232),"🟡 FALTA EXECUTAR",IF(OR(M2232="PENDENTE",M2232="PARCIAL"),"🟡 FATURAMENTO PENDENTE","🟡 EMBARQUE PENDENTE")))))))))))</f>
        <v/>
      </c>
      <c r="D2232" s="4" t="n"/>
      <c r="E2232" s="5" t="n"/>
      <c r="F2232" s="5" t="n"/>
      <c r="G2232" s="5" t="n"/>
      <c r="H2232" s="5" t="n"/>
      <c r="I2232" s="5" t="n"/>
      <c r="J2232" s="6" t="n"/>
      <c r="K2232" s="6" t="n"/>
      <c r="L2232" s="7">
        <f>IF(OR(D2232="",N(J2232)=0),"",MIN(1,N(K2232)/J2232))</f>
        <v/>
      </c>
      <c r="M2232" s="5" t="n"/>
      <c r="N2232" s="5" t="n"/>
      <c r="O2232" s="5" t="n"/>
      <c r="P2232" s="5" t="n"/>
      <c r="Q2232" s="5" t="n"/>
      <c r="R2232" s="4" t="n"/>
      <c r="S2232" s="4" t="n"/>
      <c r="T2232" s="5" t="n"/>
      <c r="U2232" s="8">
        <f>IF(AND(V2232=1,D2232&lt;&gt;""),IF(D2232&gt;=corte,TODAY()-D2232,""),"")</f>
        <v/>
      </c>
      <c r="V2232" s="8">
        <f>IF(D2232="",0,IF(OR(AND(P2232&lt;&gt;"",S2232=""),AND(N(J2232)&gt;0,N(K2232)&lt;J2232),OR(M2232="PENDENTE",M2232="PARCIAL"),OR(N2232="PENDENTE",N2232="PARCIAL")),1,0))</f>
        <v/>
      </c>
      <c r="W2232" s="8">
        <f>IF(AND(V2232=1,D2232&lt;&gt;""),IF(D2232&gt;=corte,(B2232="CRÍTICO")*1E9+(100000-D2232)*10000+10000-ROW(),""),"")</f>
        <v/>
      </c>
      <c r="X2232" s="8">
        <f>IF(AND(V2232=1,D2232=pas_data,E2232=pas_turno),10000-ROW(),"")</f>
        <v/>
      </c>
    </row>
    <row r="2233">
      <c r="A2233" s="3">
        <f>IF(D2233="","","TT-"&amp;TEXT(ROW()-1,"00000"))</f>
        <v/>
      </c>
      <c r="B2233" s="3">
        <f>IF(D2233="","",IF(V2233=0,"CONCLUÍDO",IF(D2233&lt;corte,"HISTÓRICO",IF(OR(AND(ISNUMBER(R2233),R2233&lt;TODAY()),AND(OR(N2233="PENDENTE",N2233="PARCIAL"),D2233&lt;TODAY()-1)),"CRÍTICO",IF(OR(AND(P2233&lt;&gt;"",S2233=""),AND(N2233="REALIZADO",M2233="PENDENTE"),AND(ISNUMBER(R2233),R2233=TODAY())),"ATENÇÃO",IF(N(K2233)=0,"PENDENTE","EM ANDAMENTO"))))))</f>
        <v/>
      </c>
      <c r="C2233" s="3">
        <f>IF(D2233="","",IF(V2233=0,"🟢 OK",IF(D2233&lt;corte,"⚪ HISTÓRICO (sem baixa)",IF(AND(ISNUMBER(R2233),R2233&lt;TODAY()),"🔴 PRAZO VENCIDO",IF(AND(OR(N2233="PENDENTE",N2233="PARCIAL"),D2233&lt;TODAY()-1),"🔴 EMBARQUE ATRASADO",IF(AND(N2233="REALIZADO",M2233="PENDENTE"),"🟡 EMBARCADO SEM FATURAR",IF(AND(P2233&lt;&gt;"",S2233="",OR(Q2233="",R2233="")),"🟡 PENDÊNCIA SEM RESPONSÁVEL/PRAZO",IF(AND(ISNUMBER(R2233),R2233=TODAY()),"🟡 VENCE HOJE",IF(AND(P2233&lt;&gt;"",S2233=""),"🟡 PENDÊNCIA ABERTA",IF(AND(N(J2233)&gt;0,N(K2233)&lt;J2233),"🟡 FALTA EXECUTAR",IF(OR(M2233="PENDENTE",M2233="PARCIAL"),"🟡 FATURAMENTO PENDENTE","🟡 EMBARQUE PENDENTE")))))))))))</f>
        <v/>
      </c>
      <c r="D2233" s="4" t="n"/>
      <c r="E2233" s="5" t="n"/>
      <c r="F2233" s="5" t="n"/>
      <c r="G2233" s="5" t="n"/>
      <c r="H2233" s="5" t="n"/>
      <c r="I2233" s="5" t="n"/>
      <c r="J2233" s="6" t="n"/>
      <c r="K2233" s="6" t="n"/>
      <c r="L2233" s="7">
        <f>IF(OR(D2233="",N(J2233)=0),"",MIN(1,N(K2233)/J2233))</f>
        <v/>
      </c>
      <c r="M2233" s="5" t="n"/>
      <c r="N2233" s="5" t="n"/>
      <c r="O2233" s="5" t="n"/>
      <c r="P2233" s="5" t="n"/>
      <c r="Q2233" s="5" t="n"/>
      <c r="R2233" s="4" t="n"/>
      <c r="S2233" s="4" t="n"/>
      <c r="T2233" s="5" t="n"/>
      <c r="U2233" s="8">
        <f>IF(AND(V2233=1,D2233&lt;&gt;""),IF(D2233&gt;=corte,TODAY()-D2233,""),"")</f>
        <v/>
      </c>
      <c r="V2233" s="8">
        <f>IF(D2233="",0,IF(OR(AND(P2233&lt;&gt;"",S2233=""),AND(N(J2233)&gt;0,N(K2233)&lt;J2233),OR(M2233="PENDENTE",M2233="PARCIAL"),OR(N2233="PENDENTE",N2233="PARCIAL")),1,0))</f>
        <v/>
      </c>
      <c r="W2233" s="8">
        <f>IF(AND(V2233=1,D2233&lt;&gt;""),IF(D2233&gt;=corte,(B2233="CRÍTICO")*1E9+(100000-D2233)*10000+10000-ROW(),""),"")</f>
        <v/>
      </c>
      <c r="X2233" s="8">
        <f>IF(AND(V2233=1,D2233=pas_data,E2233=pas_turno),10000-ROW(),"")</f>
        <v/>
      </c>
    </row>
    <row r="2234">
      <c r="A2234" s="3">
        <f>IF(D2234="","","TT-"&amp;TEXT(ROW()-1,"00000"))</f>
        <v/>
      </c>
      <c r="B2234" s="3">
        <f>IF(D2234="","",IF(V2234=0,"CONCLUÍDO",IF(D2234&lt;corte,"HISTÓRICO",IF(OR(AND(ISNUMBER(R2234),R2234&lt;TODAY()),AND(OR(N2234="PENDENTE",N2234="PARCIAL"),D2234&lt;TODAY()-1)),"CRÍTICO",IF(OR(AND(P2234&lt;&gt;"",S2234=""),AND(N2234="REALIZADO",M2234="PENDENTE"),AND(ISNUMBER(R2234),R2234=TODAY())),"ATENÇÃO",IF(N(K2234)=0,"PENDENTE","EM ANDAMENTO"))))))</f>
        <v/>
      </c>
      <c r="C2234" s="3">
        <f>IF(D2234="","",IF(V2234=0,"🟢 OK",IF(D2234&lt;corte,"⚪ HISTÓRICO (sem baixa)",IF(AND(ISNUMBER(R2234),R2234&lt;TODAY()),"🔴 PRAZO VENCIDO",IF(AND(OR(N2234="PENDENTE",N2234="PARCIAL"),D2234&lt;TODAY()-1),"🔴 EMBARQUE ATRASADO",IF(AND(N2234="REALIZADO",M2234="PENDENTE"),"🟡 EMBARCADO SEM FATURAR",IF(AND(P2234&lt;&gt;"",S2234="",OR(Q2234="",R2234="")),"🟡 PENDÊNCIA SEM RESPONSÁVEL/PRAZO",IF(AND(ISNUMBER(R2234),R2234=TODAY()),"🟡 VENCE HOJE",IF(AND(P2234&lt;&gt;"",S2234=""),"🟡 PENDÊNCIA ABERTA",IF(AND(N(J2234)&gt;0,N(K2234)&lt;J2234),"🟡 FALTA EXECUTAR",IF(OR(M2234="PENDENTE",M2234="PARCIAL"),"🟡 FATURAMENTO PENDENTE","🟡 EMBARQUE PENDENTE")))))))))))</f>
        <v/>
      </c>
      <c r="D2234" s="4" t="n"/>
      <c r="E2234" s="5" t="n"/>
      <c r="F2234" s="5" t="n"/>
      <c r="G2234" s="5" t="n"/>
      <c r="H2234" s="5" t="n"/>
      <c r="I2234" s="5" t="n"/>
      <c r="J2234" s="6" t="n"/>
      <c r="K2234" s="6" t="n"/>
      <c r="L2234" s="7">
        <f>IF(OR(D2234="",N(J2234)=0),"",MIN(1,N(K2234)/J2234))</f>
        <v/>
      </c>
      <c r="M2234" s="5" t="n"/>
      <c r="N2234" s="5" t="n"/>
      <c r="O2234" s="5" t="n"/>
      <c r="P2234" s="5" t="n"/>
      <c r="Q2234" s="5" t="n"/>
      <c r="R2234" s="4" t="n"/>
      <c r="S2234" s="4" t="n"/>
      <c r="T2234" s="5" t="n"/>
      <c r="U2234" s="8">
        <f>IF(AND(V2234=1,D2234&lt;&gt;""),IF(D2234&gt;=corte,TODAY()-D2234,""),"")</f>
        <v/>
      </c>
      <c r="V2234" s="8">
        <f>IF(D2234="",0,IF(OR(AND(P2234&lt;&gt;"",S2234=""),AND(N(J2234)&gt;0,N(K2234)&lt;J2234),OR(M2234="PENDENTE",M2234="PARCIAL"),OR(N2234="PENDENTE",N2234="PARCIAL")),1,0))</f>
        <v/>
      </c>
      <c r="W2234" s="8">
        <f>IF(AND(V2234=1,D2234&lt;&gt;""),IF(D2234&gt;=corte,(B2234="CRÍTICO")*1E9+(100000-D2234)*10000+10000-ROW(),""),"")</f>
        <v/>
      </c>
      <c r="X2234" s="8">
        <f>IF(AND(V2234=1,D2234=pas_data,E2234=pas_turno),10000-ROW(),"")</f>
        <v/>
      </c>
    </row>
    <row r="2235">
      <c r="A2235" s="3">
        <f>IF(D2235="","","TT-"&amp;TEXT(ROW()-1,"00000"))</f>
        <v/>
      </c>
      <c r="B2235" s="3">
        <f>IF(D2235="","",IF(V2235=0,"CONCLUÍDO",IF(D2235&lt;corte,"HISTÓRICO",IF(OR(AND(ISNUMBER(R2235),R2235&lt;TODAY()),AND(OR(N2235="PENDENTE",N2235="PARCIAL"),D2235&lt;TODAY()-1)),"CRÍTICO",IF(OR(AND(P2235&lt;&gt;"",S2235=""),AND(N2235="REALIZADO",M2235="PENDENTE"),AND(ISNUMBER(R2235),R2235=TODAY())),"ATENÇÃO",IF(N(K2235)=0,"PENDENTE","EM ANDAMENTO"))))))</f>
        <v/>
      </c>
      <c r="C2235" s="3">
        <f>IF(D2235="","",IF(V2235=0,"🟢 OK",IF(D2235&lt;corte,"⚪ HISTÓRICO (sem baixa)",IF(AND(ISNUMBER(R2235),R2235&lt;TODAY()),"🔴 PRAZO VENCIDO",IF(AND(OR(N2235="PENDENTE",N2235="PARCIAL"),D2235&lt;TODAY()-1),"🔴 EMBARQUE ATRASADO",IF(AND(N2235="REALIZADO",M2235="PENDENTE"),"🟡 EMBARCADO SEM FATURAR",IF(AND(P2235&lt;&gt;"",S2235="",OR(Q2235="",R2235="")),"🟡 PENDÊNCIA SEM RESPONSÁVEL/PRAZO",IF(AND(ISNUMBER(R2235),R2235=TODAY()),"🟡 VENCE HOJE",IF(AND(P2235&lt;&gt;"",S2235=""),"🟡 PENDÊNCIA ABERTA",IF(AND(N(J2235)&gt;0,N(K2235)&lt;J2235),"🟡 FALTA EXECUTAR",IF(OR(M2235="PENDENTE",M2235="PARCIAL"),"🟡 FATURAMENTO PENDENTE","🟡 EMBARQUE PENDENTE")))))))))))</f>
        <v/>
      </c>
      <c r="D2235" s="4" t="n"/>
      <c r="E2235" s="5" t="n"/>
      <c r="F2235" s="5" t="n"/>
      <c r="G2235" s="5" t="n"/>
      <c r="H2235" s="5" t="n"/>
      <c r="I2235" s="5" t="n"/>
      <c r="J2235" s="6" t="n"/>
      <c r="K2235" s="6" t="n"/>
      <c r="L2235" s="7">
        <f>IF(OR(D2235="",N(J2235)=0),"",MIN(1,N(K2235)/J2235))</f>
        <v/>
      </c>
      <c r="M2235" s="5" t="n"/>
      <c r="N2235" s="5" t="n"/>
      <c r="O2235" s="5" t="n"/>
      <c r="P2235" s="5" t="n"/>
      <c r="Q2235" s="5" t="n"/>
      <c r="R2235" s="4" t="n"/>
      <c r="S2235" s="4" t="n"/>
      <c r="T2235" s="5" t="n"/>
      <c r="U2235" s="8">
        <f>IF(AND(V2235=1,D2235&lt;&gt;""),IF(D2235&gt;=corte,TODAY()-D2235,""),"")</f>
        <v/>
      </c>
      <c r="V2235" s="8">
        <f>IF(D2235="",0,IF(OR(AND(P2235&lt;&gt;"",S2235=""),AND(N(J2235)&gt;0,N(K2235)&lt;J2235),OR(M2235="PENDENTE",M2235="PARCIAL"),OR(N2235="PENDENTE",N2235="PARCIAL")),1,0))</f>
        <v/>
      </c>
      <c r="W2235" s="8">
        <f>IF(AND(V2235=1,D2235&lt;&gt;""),IF(D2235&gt;=corte,(B2235="CRÍTICO")*1E9+(100000-D2235)*10000+10000-ROW(),""),"")</f>
        <v/>
      </c>
      <c r="X2235" s="8">
        <f>IF(AND(V2235=1,D2235=pas_data,E2235=pas_turno),10000-ROW(),"")</f>
        <v/>
      </c>
    </row>
    <row r="2236">
      <c r="A2236" s="3">
        <f>IF(D2236="","","TT-"&amp;TEXT(ROW()-1,"00000"))</f>
        <v/>
      </c>
      <c r="B2236" s="3">
        <f>IF(D2236="","",IF(V2236=0,"CONCLUÍDO",IF(D2236&lt;corte,"HISTÓRICO",IF(OR(AND(ISNUMBER(R2236),R2236&lt;TODAY()),AND(OR(N2236="PENDENTE",N2236="PARCIAL"),D2236&lt;TODAY()-1)),"CRÍTICO",IF(OR(AND(P2236&lt;&gt;"",S2236=""),AND(N2236="REALIZADO",M2236="PENDENTE"),AND(ISNUMBER(R2236),R2236=TODAY())),"ATENÇÃO",IF(N(K2236)=0,"PENDENTE","EM ANDAMENTO"))))))</f>
        <v/>
      </c>
      <c r="C2236" s="3">
        <f>IF(D2236="","",IF(V2236=0,"🟢 OK",IF(D2236&lt;corte,"⚪ HISTÓRICO (sem baixa)",IF(AND(ISNUMBER(R2236),R2236&lt;TODAY()),"🔴 PRAZO VENCIDO",IF(AND(OR(N2236="PENDENTE",N2236="PARCIAL"),D2236&lt;TODAY()-1),"🔴 EMBARQUE ATRASADO",IF(AND(N2236="REALIZADO",M2236="PENDENTE"),"🟡 EMBARCADO SEM FATURAR",IF(AND(P2236&lt;&gt;"",S2236="",OR(Q2236="",R2236="")),"🟡 PENDÊNCIA SEM RESPONSÁVEL/PRAZO",IF(AND(ISNUMBER(R2236),R2236=TODAY()),"🟡 VENCE HOJE",IF(AND(P2236&lt;&gt;"",S2236=""),"🟡 PENDÊNCIA ABERTA",IF(AND(N(J2236)&gt;0,N(K2236)&lt;J2236),"🟡 FALTA EXECUTAR",IF(OR(M2236="PENDENTE",M2236="PARCIAL"),"🟡 FATURAMENTO PENDENTE","🟡 EMBARQUE PENDENTE")))))))))))</f>
        <v/>
      </c>
      <c r="D2236" s="4" t="n"/>
      <c r="E2236" s="5" t="n"/>
      <c r="F2236" s="5" t="n"/>
      <c r="G2236" s="5" t="n"/>
      <c r="H2236" s="5" t="n"/>
      <c r="I2236" s="5" t="n"/>
      <c r="J2236" s="6" t="n"/>
      <c r="K2236" s="6" t="n"/>
      <c r="L2236" s="7">
        <f>IF(OR(D2236="",N(J2236)=0),"",MIN(1,N(K2236)/J2236))</f>
        <v/>
      </c>
      <c r="M2236" s="5" t="n"/>
      <c r="N2236" s="5" t="n"/>
      <c r="O2236" s="5" t="n"/>
      <c r="P2236" s="5" t="n"/>
      <c r="Q2236" s="5" t="n"/>
      <c r="R2236" s="4" t="n"/>
      <c r="S2236" s="4" t="n"/>
      <c r="T2236" s="5" t="n"/>
      <c r="U2236" s="8">
        <f>IF(AND(V2236=1,D2236&lt;&gt;""),IF(D2236&gt;=corte,TODAY()-D2236,""),"")</f>
        <v/>
      </c>
      <c r="V2236" s="8">
        <f>IF(D2236="",0,IF(OR(AND(P2236&lt;&gt;"",S2236=""),AND(N(J2236)&gt;0,N(K2236)&lt;J2236),OR(M2236="PENDENTE",M2236="PARCIAL"),OR(N2236="PENDENTE",N2236="PARCIAL")),1,0))</f>
        <v/>
      </c>
      <c r="W2236" s="8">
        <f>IF(AND(V2236=1,D2236&lt;&gt;""),IF(D2236&gt;=corte,(B2236="CRÍTICO")*1E9+(100000-D2236)*10000+10000-ROW(),""),"")</f>
        <v/>
      </c>
      <c r="X2236" s="8">
        <f>IF(AND(V2236=1,D2236=pas_data,E2236=pas_turno),10000-ROW(),"")</f>
        <v/>
      </c>
    </row>
    <row r="2237">
      <c r="A2237" s="3">
        <f>IF(D2237="","","TT-"&amp;TEXT(ROW()-1,"00000"))</f>
        <v/>
      </c>
      <c r="B2237" s="3">
        <f>IF(D2237="","",IF(V2237=0,"CONCLUÍDO",IF(D2237&lt;corte,"HISTÓRICO",IF(OR(AND(ISNUMBER(R2237),R2237&lt;TODAY()),AND(OR(N2237="PENDENTE",N2237="PARCIAL"),D2237&lt;TODAY()-1)),"CRÍTICO",IF(OR(AND(P2237&lt;&gt;"",S2237=""),AND(N2237="REALIZADO",M2237="PENDENTE"),AND(ISNUMBER(R2237),R2237=TODAY())),"ATENÇÃO",IF(N(K2237)=0,"PENDENTE","EM ANDAMENTO"))))))</f>
        <v/>
      </c>
      <c r="C2237" s="3">
        <f>IF(D2237="","",IF(V2237=0,"🟢 OK",IF(D2237&lt;corte,"⚪ HISTÓRICO (sem baixa)",IF(AND(ISNUMBER(R2237),R2237&lt;TODAY()),"🔴 PRAZO VENCIDO",IF(AND(OR(N2237="PENDENTE",N2237="PARCIAL"),D2237&lt;TODAY()-1),"🔴 EMBARQUE ATRASADO",IF(AND(N2237="REALIZADO",M2237="PENDENTE"),"🟡 EMBARCADO SEM FATURAR",IF(AND(P2237&lt;&gt;"",S2237="",OR(Q2237="",R2237="")),"🟡 PENDÊNCIA SEM RESPONSÁVEL/PRAZO",IF(AND(ISNUMBER(R2237),R2237=TODAY()),"🟡 VENCE HOJE",IF(AND(P2237&lt;&gt;"",S2237=""),"🟡 PENDÊNCIA ABERTA",IF(AND(N(J2237)&gt;0,N(K2237)&lt;J2237),"🟡 FALTA EXECUTAR",IF(OR(M2237="PENDENTE",M2237="PARCIAL"),"🟡 FATURAMENTO PENDENTE","🟡 EMBARQUE PENDENTE")))))))))))</f>
        <v/>
      </c>
      <c r="D2237" s="4" t="n"/>
      <c r="E2237" s="5" t="n"/>
      <c r="F2237" s="5" t="n"/>
      <c r="G2237" s="5" t="n"/>
      <c r="H2237" s="5" t="n"/>
      <c r="I2237" s="5" t="n"/>
      <c r="J2237" s="6" t="n"/>
      <c r="K2237" s="6" t="n"/>
      <c r="L2237" s="7">
        <f>IF(OR(D2237="",N(J2237)=0),"",MIN(1,N(K2237)/J2237))</f>
        <v/>
      </c>
      <c r="M2237" s="5" t="n"/>
      <c r="N2237" s="5" t="n"/>
      <c r="O2237" s="5" t="n"/>
      <c r="P2237" s="5" t="n"/>
      <c r="Q2237" s="5" t="n"/>
      <c r="R2237" s="4" t="n"/>
      <c r="S2237" s="4" t="n"/>
      <c r="T2237" s="5" t="n"/>
      <c r="U2237" s="8">
        <f>IF(AND(V2237=1,D2237&lt;&gt;""),IF(D2237&gt;=corte,TODAY()-D2237,""),"")</f>
        <v/>
      </c>
      <c r="V2237" s="8">
        <f>IF(D2237="",0,IF(OR(AND(P2237&lt;&gt;"",S2237=""),AND(N(J2237)&gt;0,N(K2237)&lt;J2237),OR(M2237="PENDENTE",M2237="PARCIAL"),OR(N2237="PENDENTE",N2237="PARCIAL")),1,0))</f>
        <v/>
      </c>
      <c r="W2237" s="8">
        <f>IF(AND(V2237=1,D2237&lt;&gt;""),IF(D2237&gt;=corte,(B2237="CRÍTICO")*1E9+(100000-D2237)*10000+10000-ROW(),""),"")</f>
        <v/>
      </c>
      <c r="X2237" s="8">
        <f>IF(AND(V2237=1,D2237=pas_data,E2237=pas_turno),10000-ROW(),"")</f>
        <v/>
      </c>
    </row>
    <row r="2238">
      <c r="A2238" s="3">
        <f>IF(D2238="","","TT-"&amp;TEXT(ROW()-1,"00000"))</f>
        <v/>
      </c>
      <c r="B2238" s="3">
        <f>IF(D2238="","",IF(V2238=0,"CONCLUÍDO",IF(D2238&lt;corte,"HISTÓRICO",IF(OR(AND(ISNUMBER(R2238),R2238&lt;TODAY()),AND(OR(N2238="PENDENTE",N2238="PARCIAL"),D2238&lt;TODAY()-1)),"CRÍTICO",IF(OR(AND(P2238&lt;&gt;"",S2238=""),AND(N2238="REALIZADO",M2238="PENDENTE"),AND(ISNUMBER(R2238),R2238=TODAY())),"ATENÇÃO",IF(N(K2238)=0,"PENDENTE","EM ANDAMENTO"))))))</f>
        <v/>
      </c>
      <c r="C2238" s="3">
        <f>IF(D2238="","",IF(V2238=0,"🟢 OK",IF(D2238&lt;corte,"⚪ HISTÓRICO (sem baixa)",IF(AND(ISNUMBER(R2238),R2238&lt;TODAY()),"🔴 PRAZO VENCIDO",IF(AND(OR(N2238="PENDENTE",N2238="PARCIAL"),D2238&lt;TODAY()-1),"🔴 EMBARQUE ATRASADO",IF(AND(N2238="REALIZADO",M2238="PENDENTE"),"🟡 EMBARCADO SEM FATURAR",IF(AND(P2238&lt;&gt;"",S2238="",OR(Q2238="",R2238="")),"🟡 PENDÊNCIA SEM RESPONSÁVEL/PRAZO",IF(AND(ISNUMBER(R2238),R2238=TODAY()),"🟡 VENCE HOJE",IF(AND(P2238&lt;&gt;"",S2238=""),"🟡 PENDÊNCIA ABERTA",IF(AND(N(J2238)&gt;0,N(K2238)&lt;J2238),"🟡 FALTA EXECUTAR",IF(OR(M2238="PENDENTE",M2238="PARCIAL"),"🟡 FATURAMENTO PENDENTE","🟡 EMBARQUE PENDENTE")))))))))))</f>
        <v/>
      </c>
      <c r="D2238" s="4" t="n"/>
      <c r="E2238" s="5" t="n"/>
      <c r="F2238" s="5" t="n"/>
      <c r="G2238" s="5" t="n"/>
      <c r="H2238" s="5" t="n"/>
      <c r="I2238" s="5" t="n"/>
      <c r="J2238" s="6" t="n"/>
      <c r="K2238" s="6" t="n"/>
      <c r="L2238" s="7">
        <f>IF(OR(D2238="",N(J2238)=0),"",MIN(1,N(K2238)/J2238))</f>
        <v/>
      </c>
      <c r="M2238" s="5" t="n"/>
      <c r="N2238" s="5" t="n"/>
      <c r="O2238" s="5" t="n"/>
      <c r="P2238" s="5" t="n"/>
      <c r="Q2238" s="5" t="n"/>
      <c r="R2238" s="4" t="n"/>
      <c r="S2238" s="4" t="n"/>
      <c r="T2238" s="5" t="n"/>
      <c r="U2238" s="8">
        <f>IF(AND(V2238=1,D2238&lt;&gt;""),IF(D2238&gt;=corte,TODAY()-D2238,""),"")</f>
        <v/>
      </c>
      <c r="V2238" s="8">
        <f>IF(D2238="",0,IF(OR(AND(P2238&lt;&gt;"",S2238=""),AND(N(J2238)&gt;0,N(K2238)&lt;J2238),OR(M2238="PENDENTE",M2238="PARCIAL"),OR(N2238="PENDENTE",N2238="PARCIAL")),1,0))</f>
        <v/>
      </c>
      <c r="W2238" s="8">
        <f>IF(AND(V2238=1,D2238&lt;&gt;""),IF(D2238&gt;=corte,(B2238="CRÍTICO")*1E9+(100000-D2238)*10000+10000-ROW(),""),"")</f>
        <v/>
      </c>
      <c r="X2238" s="8">
        <f>IF(AND(V2238=1,D2238=pas_data,E2238=pas_turno),10000-ROW(),"")</f>
        <v/>
      </c>
    </row>
    <row r="2239">
      <c r="A2239" s="3">
        <f>IF(D2239="","","TT-"&amp;TEXT(ROW()-1,"00000"))</f>
        <v/>
      </c>
      <c r="B2239" s="3">
        <f>IF(D2239="","",IF(V2239=0,"CONCLUÍDO",IF(D2239&lt;corte,"HISTÓRICO",IF(OR(AND(ISNUMBER(R2239),R2239&lt;TODAY()),AND(OR(N2239="PENDENTE",N2239="PARCIAL"),D2239&lt;TODAY()-1)),"CRÍTICO",IF(OR(AND(P2239&lt;&gt;"",S2239=""),AND(N2239="REALIZADO",M2239="PENDENTE"),AND(ISNUMBER(R2239),R2239=TODAY())),"ATENÇÃO",IF(N(K2239)=0,"PENDENTE","EM ANDAMENTO"))))))</f>
        <v/>
      </c>
      <c r="C2239" s="3">
        <f>IF(D2239="","",IF(V2239=0,"🟢 OK",IF(D2239&lt;corte,"⚪ HISTÓRICO (sem baixa)",IF(AND(ISNUMBER(R2239),R2239&lt;TODAY()),"🔴 PRAZO VENCIDO",IF(AND(OR(N2239="PENDENTE",N2239="PARCIAL"),D2239&lt;TODAY()-1),"🔴 EMBARQUE ATRASADO",IF(AND(N2239="REALIZADO",M2239="PENDENTE"),"🟡 EMBARCADO SEM FATURAR",IF(AND(P2239&lt;&gt;"",S2239="",OR(Q2239="",R2239="")),"🟡 PENDÊNCIA SEM RESPONSÁVEL/PRAZO",IF(AND(ISNUMBER(R2239),R2239=TODAY()),"🟡 VENCE HOJE",IF(AND(P2239&lt;&gt;"",S2239=""),"🟡 PENDÊNCIA ABERTA",IF(AND(N(J2239)&gt;0,N(K2239)&lt;J2239),"🟡 FALTA EXECUTAR",IF(OR(M2239="PENDENTE",M2239="PARCIAL"),"🟡 FATURAMENTO PENDENTE","🟡 EMBARQUE PENDENTE")))))))))))</f>
        <v/>
      </c>
      <c r="D2239" s="4" t="n"/>
      <c r="E2239" s="5" t="n"/>
      <c r="F2239" s="5" t="n"/>
      <c r="G2239" s="5" t="n"/>
      <c r="H2239" s="5" t="n"/>
      <c r="I2239" s="5" t="n"/>
      <c r="J2239" s="6" t="n"/>
      <c r="K2239" s="6" t="n"/>
      <c r="L2239" s="7">
        <f>IF(OR(D2239="",N(J2239)=0),"",MIN(1,N(K2239)/J2239))</f>
        <v/>
      </c>
      <c r="M2239" s="5" t="n"/>
      <c r="N2239" s="5" t="n"/>
      <c r="O2239" s="5" t="n"/>
      <c r="P2239" s="5" t="n"/>
      <c r="Q2239" s="5" t="n"/>
      <c r="R2239" s="4" t="n"/>
      <c r="S2239" s="4" t="n"/>
      <c r="T2239" s="5" t="n"/>
      <c r="U2239" s="8">
        <f>IF(AND(V2239=1,D2239&lt;&gt;""),IF(D2239&gt;=corte,TODAY()-D2239,""),"")</f>
        <v/>
      </c>
      <c r="V2239" s="8">
        <f>IF(D2239="",0,IF(OR(AND(P2239&lt;&gt;"",S2239=""),AND(N(J2239)&gt;0,N(K2239)&lt;J2239),OR(M2239="PENDENTE",M2239="PARCIAL"),OR(N2239="PENDENTE",N2239="PARCIAL")),1,0))</f>
        <v/>
      </c>
      <c r="W2239" s="8">
        <f>IF(AND(V2239=1,D2239&lt;&gt;""),IF(D2239&gt;=corte,(B2239="CRÍTICO")*1E9+(100000-D2239)*10000+10000-ROW(),""),"")</f>
        <v/>
      </c>
      <c r="X2239" s="8">
        <f>IF(AND(V2239=1,D2239=pas_data,E2239=pas_turno),10000-ROW(),"")</f>
        <v/>
      </c>
    </row>
    <row r="2240">
      <c r="A2240" s="3">
        <f>IF(D2240="","","TT-"&amp;TEXT(ROW()-1,"00000"))</f>
        <v/>
      </c>
      <c r="B2240" s="3">
        <f>IF(D2240="","",IF(V2240=0,"CONCLUÍDO",IF(D2240&lt;corte,"HISTÓRICO",IF(OR(AND(ISNUMBER(R2240),R2240&lt;TODAY()),AND(OR(N2240="PENDENTE",N2240="PARCIAL"),D2240&lt;TODAY()-1)),"CRÍTICO",IF(OR(AND(P2240&lt;&gt;"",S2240=""),AND(N2240="REALIZADO",M2240="PENDENTE"),AND(ISNUMBER(R2240),R2240=TODAY())),"ATENÇÃO",IF(N(K2240)=0,"PENDENTE","EM ANDAMENTO"))))))</f>
        <v/>
      </c>
      <c r="C2240" s="3">
        <f>IF(D2240="","",IF(V2240=0,"🟢 OK",IF(D2240&lt;corte,"⚪ HISTÓRICO (sem baixa)",IF(AND(ISNUMBER(R2240),R2240&lt;TODAY()),"🔴 PRAZO VENCIDO",IF(AND(OR(N2240="PENDENTE",N2240="PARCIAL"),D2240&lt;TODAY()-1),"🔴 EMBARQUE ATRASADO",IF(AND(N2240="REALIZADO",M2240="PENDENTE"),"🟡 EMBARCADO SEM FATURAR",IF(AND(P2240&lt;&gt;"",S2240="",OR(Q2240="",R2240="")),"🟡 PENDÊNCIA SEM RESPONSÁVEL/PRAZO",IF(AND(ISNUMBER(R2240),R2240=TODAY()),"🟡 VENCE HOJE",IF(AND(P2240&lt;&gt;"",S2240=""),"🟡 PENDÊNCIA ABERTA",IF(AND(N(J2240)&gt;0,N(K2240)&lt;J2240),"🟡 FALTA EXECUTAR",IF(OR(M2240="PENDENTE",M2240="PARCIAL"),"🟡 FATURAMENTO PENDENTE","🟡 EMBARQUE PENDENTE")))))))))))</f>
        <v/>
      </c>
      <c r="D2240" s="4" t="n"/>
      <c r="E2240" s="5" t="n"/>
      <c r="F2240" s="5" t="n"/>
      <c r="G2240" s="5" t="n"/>
      <c r="H2240" s="5" t="n"/>
      <c r="I2240" s="5" t="n"/>
      <c r="J2240" s="6" t="n"/>
      <c r="K2240" s="6" t="n"/>
      <c r="L2240" s="7">
        <f>IF(OR(D2240="",N(J2240)=0),"",MIN(1,N(K2240)/J2240))</f>
        <v/>
      </c>
      <c r="M2240" s="5" t="n"/>
      <c r="N2240" s="5" t="n"/>
      <c r="O2240" s="5" t="n"/>
      <c r="P2240" s="5" t="n"/>
      <c r="Q2240" s="5" t="n"/>
      <c r="R2240" s="4" t="n"/>
      <c r="S2240" s="4" t="n"/>
      <c r="T2240" s="5" t="n"/>
      <c r="U2240" s="8">
        <f>IF(AND(V2240=1,D2240&lt;&gt;""),IF(D2240&gt;=corte,TODAY()-D2240,""),"")</f>
        <v/>
      </c>
      <c r="V2240" s="8">
        <f>IF(D2240="",0,IF(OR(AND(P2240&lt;&gt;"",S2240=""),AND(N(J2240)&gt;0,N(K2240)&lt;J2240),OR(M2240="PENDENTE",M2240="PARCIAL"),OR(N2240="PENDENTE",N2240="PARCIAL")),1,0))</f>
        <v/>
      </c>
      <c r="W2240" s="8">
        <f>IF(AND(V2240=1,D2240&lt;&gt;""),IF(D2240&gt;=corte,(B2240="CRÍTICO")*1E9+(100000-D2240)*10000+10000-ROW(),""),"")</f>
        <v/>
      </c>
      <c r="X2240" s="8">
        <f>IF(AND(V2240=1,D2240=pas_data,E2240=pas_turno),10000-ROW(),"")</f>
        <v/>
      </c>
    </row>
    <row r="2241">
      <c r="A2241" s="3">
        <f>IF(D2241="","","TT-"&amp;TEXT(ROW()-1,"00000"))</f>
        <v/>
      </c>
      <c r="B2241" s="3">
        <f>IF(D2241="","",IF(V2241=0,"CONCLUÍDO",IF(D2241&lt;corte,"HISTÓRICO",IF(OR(AND(ISNUMBER(R2241),R2241&lt;TODAY()),AND(OR(N2241="PENDENTE",N2241="PARCIAL"),D2241&lt;TODAY()-1)),"CRÍTICO",IF(OR(AND(P2241&lt;&gt;"",S2241=""),AND(N2241="REALIZADO",M2241="PENDENTE"),AND(ISNUMBER(R2241),R2241=TODAY())),"ATENÇÃO",IF(N(K2241)=0,"PENDENTE","EM ANDAMENTO"))))))</f>
        <v/>
      </c>
      <c r="C2241" s="3">
        <f>IF(D2241="","",IF(V2241=0,"🟢 OK",IF(D2241&lt;corte,"⚪ HISTÓRICO (sem baixa)",IF(AND(ISNUMBER(R2241),R2241&lt;TODAY()),"🔴 PRAZO VENCIDO",IF(AND(OR(N2241="PENDENTE",N2241="PARCIAL"),D2241&lt;TODAY()-1),"🔴 EMBARQUE ATRASADO",IF(AND(N2241="REALIZADO",M2241="PENDENTE"),"🟡 EMBARCADO SEM FATURAR",IF(AND(P2241&lt;&gt;"",S2241="",OR(Q2241="",R2241="")),"🟡 PENDÊNCIA SEM RESPONSÁVEL/PRAZO",IF(AND(ISNUMBER(R2241),R2241=TODAY()),"🟡 VENCE HOJE",IF(AND(P2241&lt;&gt;"",S2241=""),"🟡 PENDÊNCIA ABERTA",IF(AND(N(J2241)&gt;0,N(K2241)&lt;J2241),"🟡 FALTA EXECUTAR",IF(OR(M2241="PENDENTE",M2241="PARCIAL"),"🟡 FATURAMENTO PENDENTE","🟡 EMBARQUE PENDENTE")))))))))))</f>
        <v/>
      </c>
      <c r="D2241" s="4" t="n"/>
      <c r="E2241" s="5" t="n"/>
      <c r="F2241" s="5" t="n"/>
      <c r="G2241" s="5" t="n"/>
      <c r="H2241" s="5" t="n"/>
      <c r="I2241" s="5" t="n"/>
      <c r="J2241" s="6" t="n"/>
      <c r="K2241" s="6" t="n"/>
      <c r="L2241" s="7">
        <f>IF(OR(D2241="",N(J2241)=0),"",MIN(1,N(K2241)/J2241))</f>
        <v/>
      </c>
      <c r="M2241" s="5" t="n"/>
      <c r="N2241" s="5" t="n"/>
      <c r="O2241" s="5" t="n"/>
      <c r="P2241" s="5" t="n"/>
      <c r="Q2241" s="5" t="n"/>
      <c r="R2241" s="4" t="n"/>
      <c r="S2241" s="4" t="n"/>
      <c r="T2241" s="5" t="n"/>
      <c r="U2241" s="8">
        <f>IF(AND(V2241=1,D2241&lt;&gt;""),IF(D2241&gt;=corte,TODAY()-D2241,""),"")</f>
        <v/>
      </c>
      <c r="V2241" s="8">
        <f>IF(D2241="",0,IF(OR(AND(P2241&lt;&gt;"",S2241=""),AND(N(J2241)&gt;0,N(K2241)&lt;J2241),OR(M2241="PENDENTE",M2241="PARCIAL"),OR(N2241="PENDENTE",N2241="PARCIAL")),1,0))</f>
        <v/>
      </c>
      <c r="W2241" s="8">
        <f>IF(AND(V2241=1,D2241&lt;&gt;""),IF(D2241&gt;=corte,(B2241="CRÍTICO")*1E9+(100000-D2241)*10000+10000-ROW(),""),"")</f>
        <v/>
      </c>
      <c r="X2241" s="8">
        <f>IF(AND(V2241=1,D2241=pas_data,E2241=pas_turno),10000-ROW(),"")</f>
        <v/>
      </c>
    </row>
    <row r="2242">
      <c r="A2242" s="3">
        <f>IF(D2242="","","TT-"&amp;TEXT(ROW()-1,"00000"))</f>
        <v/>
      </c>
      <c r="B2242" s="3">
        <f>IF(D2242="","",IF(V2242=0,"CONCLUÍDO",IF(D2242&lt;corte,"HISTÓRICO",IF(OR(AND(ISNUMBER(R2242),R2242&lt;TODAY()),AND(OR(N2242="PENDENTE",N2242="PARCIAL"),D2242&lt;TODAY()-1)),"CRÍTICO",IF(OR(AND(P2242&lt;&gt;"",S2242=""),AND(N2242="REALIZADO",M2242="PENDENTE"),AND(ISNUMBER(R2242),R2242=TODAY())),"ATENÇÃO",IF(N(K2242)=0,"PENDENTE","EM ANDAMENTO"))))))</f>
        <v/>
      </c>
      <c r="C2242" s="3">
        <f>IF(D2242="","",IF(V2242=0,"🟢 OK",IF(D2242&lt;corte,"⚪ HISTÓRICO (sem baixa)",IF(AND(ISNUMBER(R2242),R2242&lt;TODAY()),"🔴 PRAZO VENCIDO",IF(AND(OR(N2242="PENDENTE",N2242="PARCIAL"),D2242&lt;TODAY()-1),"🔴 EMBARQUE ATRASADO",IF(AND(N2242="REALIZADO",M2242="PENDENTE"),"🟡 EMBARCADO SEM FATURAR",IF(AND(P2242&lt;&gt;"",S2242="",OR(Q2242="",R2242="")),"🟡 PENDÊNCIA SEM RESPONSÁVEL/PRAZO",IF(AND(ISNUMBER(R2242),R2242=TODAY()),"🟡 VENCE HOJE",IF(AND(P2242&lt;&gt;"",S2242=""),"🟡 PENDÊNCIA ABERTA",IF(AND(N(J2242)&gt;0,N(K2242)&lt;J2242),"🟡 FALTA EXECUTAR",IF(OR(M2242="PENDENTE",M2242="PARCIAL"),"🟡 FATURAMENTO PENDENTE","🟡 EMBARQUE PENDENTE")))))))))))</f>
        <v/>
      </c>
      <c r="D2242" s="4" t="n"/>
      <c r="E2242" s="5" t="n"/>
      <c r="F2242" s="5" t="n"/>
      <c r="G2242" s="5" t="n"/>
      <c r="H2242" s="5" t="n"/>
      <c r="I2242" s="5" t="n"/>
      <c r="J2242" s="6" t="n"/>
      <c r="K2242" s="6" t="n"/>
      <c r="L2242" s="7">
        <f>IF(OR(D2242="",N(J2242)=0),"",MIN(1,N(K2242)/J2242))</f>
        <v/>
      </c>
      <c r="M2242" s="5" t="n"/>
      <c r="N2242" s="5" t="n"/>
      <c r="O2242" s="5" t="n"/>
      <c r="P2242" s="5" t="n"/>
      <c r="Q2242" s="5" t="n"/>
      <c r="R2242" s="4" t="n"/>
      <c r="S2242" s="4" t="n"/>
      <c r="T2242" s="5" t="n"/>
      <c r="U2242" s="8">
        <f>IF(AND(V2242=1,D2242&lt;&gt;""),IF(D2242&gt;=corte,TODAY()-D2242,""),"")</f>
        <v/>
      </c>
      <c r="V2242" s="8">
        <f>IF(D2242="",0,IF(OR(AND(P2242&lt;&gt;"",S2242=""),AND(N(J2242)&gt;0,N(K2242)&lt;J2242),OR(M2242="PENDENTE",M2242="PARCIAL"),OR(N2242="PENDENTE",N2242="PARCIAL")),1,0))</f>
        <v/>
      </c>
      <c r="W2242" s="8">
        <f>IF(AND(V2242=1,D2242&lt;&gt;""),IF(D2242&gt;=corte,(B2242="CRÍTICO")*1E9+(100000-D2242)*10000+10000-ROW(),""),"")</f>
        <v/>
      </c>
      <c r="X2242" s="8">
        <f>IF(AND(V2242=1,D2242=pas_data,E2242=pas_turno),10000-ROW(),"")</f>
        <v/>
      </c>
    </row>
    <row r="2243">
      <c r="A2243" s="3">
        <f>IF(D2243="","","TT-"&amp;TEXT(ROW()-1,"00000"))</f>
        <v/>
      </c>
      <c r="B2243" s="3">
        <f>IF(D2243="","",IF(V2243=0,"CONCLUÍDO",IF(D2243&lt;corte,"HISTÓRICO",IF(OR(AND(ISNUMBER(R2243),R2243&lt;TODAY()),AND(OR(N2243="PENDENTE",N2243="PARCIAL"),D2243&lt;TODAY()-1)),"CRÍTICO",IF(OR(AND(P2243&lt;&gt;"",S2243=""),AND(N2243="REALIZADO",M2243="PENDENTE"),AND(ISNUMBER(R2243),R2243=TODAY())),"ATENÇÃO",IF(N(K2243)=0,"PENDENTE","EM ANDAMENTO"))))))</f>
        <v/>
      </c>
      <c r="C2243" s="3">
        <f>IF(D2243="","",IF(V2243=0,"🟢 OK",IF(D2243&lt;corte,"⚪ HISTÓRICO (sem baixa)",IF(AND(ISNUMBER(R2243),R2243&lt;TODAY()),"🔴 PRAZO VENCIDO",IF(AND(OR(N2243="PENDENTE",N2243="PARCIAL"),D2243&lt;TODAY()-1),"🔴 EMBARQUE ATRASADO",IF(AND(N2243="REALIZADO",M2243="PENDENTE"),"🟡 EMBARCADO SEM FATURAR",IF(AND(P2243&lt;&gt;"",S2243="",OR(Q2243="",R2243="")),"🟡 PENDÊNCIA SEM RESPONSÁVEL/PRAZO",IF(AND(ISNUMBER(R2243),R2243=TODAY()),"🟡 VENCE HOJE",IF(AND(P2243&lt;&gt;"",S2243=""),"🟡 PENDÊNCIA ABERTA",IF(AND(N(J2243)&gt;0,N(K2243)&lt;J2243),"🟡 FALTA EXECUTAR",IF(OR(M2243="PENDENTE",M2243="PARCIAL"),"🟡 FATURAMENTO PENDENTE","🟡 EMBARQUE PENDENTE")))))))))))</f>
        <v/>
      </c>
      <c r="D2243" s="4" t="n"/>
      <c r="E2243" s="5" t="n"/>
      <c r="F2243" s="5" t="n"/>
      <c r="G2243" s="5" t="n"/>
      <c r="H2243" s="5" t="n"/>
      <c r="I2243" s="5" t="n"/>
      <c r="J2243" s="6" t="n"/>
      <c r="K2243" s="6" t="n"/>
      <c r="L2243" s="7">
        <f>IF(OR(D2243="",N(J2243)=0),"",MIN(1,N(K2243)/J2243))</f>
        <v/>
      </c>
      <c r="M2243" s="5" t="n"/>
      <c r="N2243" s="5" t="n"/>
      <c r="O2243" s="5" t="n"/>
      <c r="P2243" s="5" t="n"/>
      <c r="Q2243" s="5" t="n"/>
      <c r="R2243" s="4" t="n"/>
      <c r="S2243" s="4" t="n"/>
      <c r="T2243" s="5" t="n"/>
      <c r="U2243" s="8">
        <f>IF(AND(V2243=1,D2243&lt;&gt;""),IF(D2243&gt;=corte,TODAY()-D2243,""),"")</f>
        <v/>
      </c>
      <c r="V2243" s="8">
        <f>IF(D2243="",0,IF(OR(AND(P2243&lt;&gt;"",S2243=""),AND(N(J2243)&gt;0,N(K2243)&lt;J2243),OR(M2243="PENDENTE",M2243="PARCIAL"),OR(N2243="PENDENTE",N2243="PARCIAL")),1,0))</f>
        <v/>
      </c>
      <c r="W2243" s="8">
        <f>IF(AND(V2243=1,D2243&lt;&gt;""),IF(D2243&gt;=corte,(B2243="CRÍTICO")*1E9+(100000-D2243)*10000+10000-ROW(),""),"")</f>
        <v/>
      </c>
      <c r="X2243" s="8">
        <f>IF(AND(V2243=1,D2243=pas_data,E2243=pas_turno),10000-ROW(),"")</f>
        <v/>
      </c>
    </row>
    <row r="2244">
      <c r="A2244" s="3">
        <f>IF(D2244="","","TT-"&amp;TEXT(ROW()-1,"00000"))</f>
        <v/>
      </c>
      <c r="B2244" s="3">
        <f>IF(D2244="","",IF(V2244=0,"CONCLUÍDO",IF(D2244&lt;corte,"HISTÓRICO",IF(OR(AND(ISNUMBER(R2244),R2244&lt;TODAY()),AND(OR(N2244="PENDENTE",N2244="PARCIAL"),D2244&lt;TODAY()-1)),"CRÍTICO",IF(OR(AND(P2244&lt;&gt;"",S2244=""),AND(N2244="REALIZADO",M2244="PENDENTE"),AND(ISNUMBER(R2244),R2244=TODAY())),"ATENÇÃO",IF(N(K2244)=0,"PENDENTE","EM ANDAMENTO"))))))</f>
        <v/>
      </c>
      <c r="C2244" s="3">
        <f>IF(D2244="","",IF(V2244=0,"🟢 OK",IF(D2244&lt;corte,"⚪ HISTÓRICO (sem baixa)",IF(AND(ISNUMBER(R2244),R2244&lt;TODAY()),"🔴 PRAZO VENCIDO",IF(AND(OR(N2244="PENDENTE",N2244="PARCIAL"),D2244&lt;TODAY()-1),"🔴 EMBARQUE ATRASADO",IF(AND(N2244="REALIZADO",M2244="PENDENTE"),"🟡 EMBARCADO SEM FATURAR",IF(AND(P2244&lt;&gt;"",S2244="",OR(Q2244="",R2244="")),"🟡 PENDÊNCIA SEM RESPONSÁVEL/PRAZO",IF(AND(ISNUMBER(R2244),R2244=TODAY()),"🟡 VENCE HOJE",IF(AND(P2244&lt;&gt;"",S2244=""),"🟡 PENDÊNCIA ABERTA",IF(AND(N(J2244)&gt;0,N(K2244)&lt;J2244),"🟡 FALTA EXECUTAR",IF(OR(M2244="PENDENTE",M2244="PARCIAL"),"🟡 FATURAMENTO PENDENTE","🟡 EMBARQUE PENDENTE")))))))))))</f>
        <v/>
      </c>
      <c r="D2244" s="4" t="n"/>
      <c r="E2244" s="5" t="n"/>
      <c r="F2244" s="5" t="n"/>
      <c r="G2244" s="5" t="n"/>
      <c r="H2244" s="5" t="n"/>
      <c r="I2244" s="5" t="n"/>
      <c r="J2244" s="6" t="n"/>
      <c r="K2244" s="6" t="n"/>
      <c r="L2244" s="7">
        <f>IF(OR(D2244="",N(J2244)=0),"",MIN(1,N(K2244)/J2244))</f>
        <v/>
      </c>
      <c r="M2244" s="5" t="n"/>
      <c r="N2244" s="5" t="n"/>
      <c r="O2244" s="5" t="n"/>
      <c r="P2244" s="5" t="n"/>
      <c r="Q2244" s="5" t="n"/>
      <c r="R2244" s="4" t="n"/>
      <c r="S2244" s="4" t="n"/>
      <c r="T2244" s="5" t="n"/>
      <c r="U2244" s="8">
        <f>IF(AND(V2244=1,D2244&lt;&gt;""),IF(D2244&gt;=corte,TODAY()-D2244,""),"")</f>
        <v/>
      </c>
      <c r="V2244" s="8">
        <f>IF(D2244="",0,IF(OR(AND(P2244&lt;&gt;"",S2244=""),AND(N(J2244)&gt;0,N(K2244)&lt;J2244),OR(M2244="PENDENTE",M2244="PARCIAL"),OR(N2244="PENDENTE",N2244="PARCIAL")),1,0))</f>
        <v/>
      </c>
      <c r="W2244" s="8">
        <f>IF(AND(V2244=1,D2244&lt;&gt;""),IF(D2244&gt;=corte,(B2244="CRÍTICO")*1E9+(100000-D2244)*10000+10000-ROW(),""),"")</f>
        <v/>
      </c>
      <c r="X2244" s="8">
        <f>IF(AND(V2244=1,D2244=pas_data,E2244=pas_turno),10000-ROW(),"")</f>
        <v/>
      </c>
    </row>
    <row r="2245">
      <c r="A2245" s="3">
        <f>IF(D2245="","","TT-"&amp;TEXT(ROW()-1,"00000"))</f>
        <v/>
      </c>
      <c r="B2245" s="3">
        <f>IF(D2245="","",IF(V2245=0,"CONCLUÍDO",IF(D2245&lt;corte,"HISTÓRICO",IF(OR(AND(ISNUMBER(R2245),R2245&lt;TODAY()),AND(OR(N2245="PENDENTE",N2245="PARCIAL"),D2245&lt;TODAY()-1)),"CRÍTICO",IF(OR(AND(P2245&lt;&gt;"",S2245=""),AND(N2245="REALIZADO",M2245="PENDENTE"),AND(ISNUMBER(R2245),R2245=TODAY())),"ATENÇÃO",IF(N(K2245)=0,"PENDENTE","EM ANDAMENTO"))))))</f>
        <v/>
      </c>
      <c r="C2245" s="3">
        <f>IF(D2245="","",IF(V2245=0,"🟢 OK",IF(D2245&lt;corte,"⚪ HISTÓRICO (sem baixa)",IF(AND(ISNUMBER(R2245),R2245&lt;TODAY()),"🔴 PRAZO VENCIDO",IF(AND(OR(N2245="PENDENTE",N2245="PARCIAL"),D2245&lt;TODAY()-1),"🔴 EMBARQUE ATRASADO",IF(AND(N2245="REALIZADO",M2245="PENDENTE"),"🟡 EMBARCADO SEM FATURAR",IF(AND(P2245&lt;&gt;"",S2245="",OR(Q2245="",R2245="")),"🟡 PENDÊNCIA SEM RESPONSÁVEL/PRAZO",IF(AND(ISNUMBER(R2245),R2245=TODAY()),"🟡 VENCE HOJE",IF(AND(P2245&lt;&gt;"",S2245=""),"🟡 PENDÊNCIA ABERTA",IF(AND(N(J2245)&gt;0,N(K2245)&lt;J2245),"🟡 FALTA EXECUTAR",IF(OR(M2245="PENDENTE",M2245="PARCIAL"),"🟡 FATURAMENTO PENDENTE","🟡 EMBARQUE PENDENTE")))))))))))</f>
        <v/>
      </c>
      <c r="D2245" s="4" t="n"/>
      <c r="E2245" s="5" t="n"/>
      <c r="F2245" s="5" t="n"/>
      <c r="G2245" s="5" t="n"/>
      <c r="H2245" s="5" t="n"/>
      <c r="I2245" s="5" t="n"/>
      <c r="J2245" s="6" t="n"/>
      <c r="K2245" s="6" t="n"/>
      <c r="L2245" s="7">
        <f>IF(OR(D2245="",N(J2245)=0),"",MIN(1,N(K2245)/J2245))</f>
        <v/>
      </c>
      <c r="M2245" s="5" t="n"/>
      <c r="N2245" s="5" t="n"/>
      <c r="O2245" s="5" t="n"/>
      <c r="P2245" s="5" t="n"/>
      <c r="Q2245" s="5" t="n"/>
      <c r="R2245" s="4" t="n"/>
      <c r="S2245" s="4" t="n"/>
      <c r="T2245" s="5" t="n"/>
      <c r="U2245" s="8">
        <f>IF(AND(V2245=1,D2245&lt;&gt;""),IF(D2245&gt;=corte,TODAY()-D2245,""),"")</f>
        <v/>
      </c>
      <c r="V2245" s="8">
        <f>IF(D2245="",0,IF(OR(AND(P2245&lt;&gt;"",S2245=""),AND(N(J2245)&gt;0,N(K2245)&lt;J2245),OR(M2245="PENDENTE",M2245="PARCIAL"),OR(N2245="PENDENTE",N2245="PARCIAL")),1,0))</f>
        <v/>
      </c>
      <c r="W2245" s="8">
        <f>IF(AND(V2245=1,D2245&lt;&gt;""),IF(D2245&gt;=corte,(B2245="CRÍTICO")*1E9+(100000-D2245)*10000+10000-ROW(),""),"")</f>
        <v/>
      </c>
      <c r="X2245" s="8">
        <f>IF(AND(V2245=1,D2245=pas_data,E2245=pas_turno),10000-ROW(),"")</f>
        <v/>
      </c>
    </row>
    <row r="2246">
      <c r="A2246" s="3">
        <f>IF(D2246="","","TT-"&amp;TEXT(ROW()-1,"00000"))</f>
        <v/>
      </c>
      <c r="B2246" s="3">
        <f>IF(D2246="","",IF(V2246=0,"CONCLUÍDO",IF(D2246&lt;corte,"HISTÓRICO",IF(OR(AND(ISNUMBER(R2246),R2246&lt;TODAY()),AND(OR(N2246="PENDENTE",N2246="PARCIAL"),D2246&lt;TODAY()-1)),"CRÍTICO",IF(OR(AND(P2246&lt;&gt;"",S2246=""),AND(N2246="REALIZADO",M2246="PENDENTE"),AND(ISNUMBER(R2246),R2246=TODAY())),"ATENÇÃO",IF(N(K2246)=0,"PENDENTE","EM ANDAMENTO"))))))</f>
        <v/>
      </c>
      <c r="C2246" s="3">
        <f>IF(D2246="","",IF(V2246=0,"🟢 OK",IF(D2246&lt;corte,"⚪ HISTÓRICO (sem baixa)",IF(AND(ISNUMBER(R2246),R2246&lt;TODAY()),"🔴 PRAZO VENCIDO",IF(AND(OR(N2246="PENDENTE",N2246="PARCIAL"),D2246&lt;TODAY()-1),"🔴 EMBARQUE ATRASADO",IF(AND(N2246="REALIZADO",M2246="PENDENTE"),"🟡 EMBARCADO SEM FATURAR",IF(AND(P2246&lt;&gt;"",S2246="",OR(Q2246="",R2246="")),"🟡 PENDÊNCIA SEM RESPONSÁVEL/PRAZO",IF(AND(ISNUMBER(R2246),R2246=TODAY()),"🟡 VENCE HOJE",IF(AND(P2246&lt;&gt;"",S2246=""),"🟡 PENDÊNCIA ABERTA",IF(AND(N(J2246)&gt;0,N(K2246)&lt;J2246),"🟡 FALTA EXECUTAR",IF(OR(M2246="PENDENTE",M2246="PARCIAL"),"🟡 FATURAMENTO PENDENTE","🟡 EMBARQUE PENDENTE")))))))))))</f>
        <v/>
      </c>
      <c r="D2246" s="4" t="n"/>
      <c r="E2246" s="5" t="n"/>
      <c r="F2246" s="5" t="n"/>
      <c r="G2246" s="5" t="n"/>
      <c r="H2246" s="5" t="n"/>
      <c r="I2246" s="5" t="n"/>
      <c r="J2246" s="6" t="n"/>
      <c r="K2246" s="6" t="n"/>
      <c r="L2246" s="7">
        <f>IF(OR(D2246="",N(J2246)=0),"",MIN(1,N(K2246)/J2246))</f>
        <v/>
      </c>
      <c r="M2246" s="5" t="n"/>
      <c r="N2246" s="5" t="n"/>
      <c r="O2246" s="5" t="n"/>
      <c r="P2246" s="5" t="n"/>
      <c r="Q2246" s="5" t="n"/>
      <c r="R2246" s="4" t="n"/>
      <c r="S2246" s="4" t="n"/>
      <c r="T2246" s="5" t="n"/>
      <c r="U2246" s="8">
        <f>IF(AND(V2246=1,D2246&lt;&gt;""),IF(D2246&gt;=corte,TODAY()-D2246,""),"")</f>
        <v/>
      </c>
      <c r="V2246" s="8">
        <f>IF(D2246="",0,IF(OR(AND(P2246&lt;&gt;"",S2246=""),AND(N(J2246)&gt;0,N(K2246)&lt;J2246),OR(M2246="PENDENTE",M2246="PARCIAL"),OR(N2246="PENDENTE",N2246="PARCIAL")),1,0))</f>
        <v/>
      </c>
      <c r="W2246" s="8">
        <f>IF(AND(V2246=1,D2246&lt;&gt;""),IF(D2246&gt;=corte,(B2246="CRÍTICO")*1E9+(100000-D2246)*10000+10000-ROW(),""),"")</f>
        <v/>
      </c>
      <c r="X2246" s="8">
        <f>IF(AND(V2246=1,D2246=pas_data,E2246=pas_turno),10000-ROW(),"")</f>
        <v/>
      </c>
    </row>
    <row r="2247">
      <c r="A2247" s="3">
        <f>IF(D2247="","","TT-"&amp;TEXT(ROW()-1,"00000"))</f>
        <v/>
      </c>
      <c r="B2247" s="3">
        <f>IF(D2247="","",IF(V2247=0,"CONCLUÍDO",IF(D2247&lt;corte,"HISTÓRICO",IF(OR(AND(ISNUMBER(R2247),R2247&lt;TODAY()),AND(OR(N2247="PENDENTE",N2247="PARCIAL"),D2247&lt;TODAY()-1)),"CRÍTICO",IF(OR(AND(P2247&lt;&gt;"",S2247=""),AND(N2247="REALIZADO",M2247="PENDENTE"),AND(ISNUMBER(R2247),R2247=TODAY())),"ATENÇÃO",IF(N(K2247)=0,"PENDENTE","EM ANDAMENTO"))))))</f>
        <v/>
      </c>
      <c r="C2247" s="3">
        <f>IF(D2247="","",IF(V2247=0,"🟢 OK",IF(D2247&lt;corte,"⚪ HISTÓRICO (sem baixa)",IF(AND(ISNUMBER(R2247),R2247&lt;TODAY()),"🔴 PRAZO VENCIDO",IF(AND(OR(N2247="PENDENTE",N2247="PARCIAL"),D2247&lt;TODAY()-1),"🔴 EMBARQUE ATRASADO",IF(AND(N2247="REALIZADO",M2247="PENDENTE"),"🟡 EMBARCADO SEM FATURAR",IF(AND(P2247&lt;&gt;"",S2247="",OR(Q2247="",R2247="")),"🟡 PENDÊNCIA SEM RESPONSÁVEL/PRAZO",IF(AND(ISNUMBER(R2247),R2247=TODAY()),"🟡 VENCE HOJE",IF(AND(P2247&lt;&gt;"",S2247=""),"🟡 PENDÊNCIA ABERTA",IF(AND(N(J2247)&gt;0,N(K2247)&lt;J2247),"🟡 FALTA EXECUTAR",IF(OR(M2247="PENDENTE",M2247="PARCIAL"),"🟡 FATURAMENTO PENDENTE","🟡 EMBARQUE PENDENTE")))))))))))</f>
        <v/>
      </c>
      <c r="D2247" s="4" t="n"/>
      <c r="E2247" s="5" t="n"/>
      <c r="F2247" s="5" t="n"/>
      <c r="G2247" s="5" t="n"/>
      <c r="H2247" s="5" t="n"/>
      <c r="I2247" s="5" t="n"/>
      <c r="J2247" s="6" t="n"/>
      <c r="K2247" s="6" t="n"/>
      <c r="L2247" s="7">
        <f>IF(OR(D2247="",N(J2247)=0),"",MIN(1,N(K2247)/J2247))</f>
        <v/>
      </c>
      <c r="M2247" s="5" t="n"/>
      <c r="N2247" s="5" t="n"/>
      <c r="O2247" s="5" t="n"/>
      <c r="P2247" s="5" t="n"/>
      <c r="Q2247" s="5" t="n"/>
      <c r="R2247" s="4" t="n"/>
      <c r="S2247" s="4" t="n"/>
      <c r="T2247" s="5" t="n"/>
      <c r="U2247" s="8">
        <f>IF(AND(V2247=1,D2247&lt;&gt;""),IF(D2247&gt;=corte,TODAY()-D2247,""),"")</f>
        <v/>
      </c>
      <c r="V2247" s="8">
        <f>IF(D2247="",0,IF(OR(AND(P2247&lt;&gt;"",S2247=""),AND(N(J2247)&gt;0,N(K2247)&lt;J2247),OR(M2247="PENDENTE",M2247="PARCIAL"),OR(N2247="PENDENTE",N2247="PARCIAL")),1,0))</f>
        <v/>
      </c>
      <c r="W2247" s="8">
        <f>IF(AND(V2247=1,D2247&lt;&gt;""),IF(D2247&gt;=corte,(B2247="CRÍTICO")*1E9+(100000-D2247)*10000+10000-ROW(),""),"")</f>
        <v/>
      </c>
      <c r="X2247" s="8">
        <f>IF(AND(V2247=1,D2247=pas_data,E2247=pas_turno),10000-ROW(),"")</f>
        <v/>
      </c>
    </row>
    <row r="2248">
      <c r="A2248" s="3">
        <f>IF(D2248="","","TT-"&amp;TEXT(ROW()-1,"00000"))</f>
        <v/>
      </c>
      <c r="B2248" s="3">
        <f>IF(D2248="","",IF(V2248=0,"CONCLUÍDO",IF(D2248&lt;corte,"HISTÓRICO",IF(OR(AND(ISNUMBER(R2248),R2248&lt;TODAY()),AND(OR(N2248="PENDENTE",N2248="PARCIAL"),D2248&lt;TODAY()-1)),"CRÍTICO",IF(OR(AND(P2248&lt;&gt;"",S2248=""),AND(N2248="REALIZADO",M2248="PENDENTE"),AND(ISNUMBER(R2248),R2248=TODAY())),"ATENÇÃO",IF(N(K2248)=0,"PENDENTE","EM ANDAMENTO"))))))</f>
        <v/>
      </c>
      <c r="C2248" s="3">
        <f>IF(D2248="","",IF(V2248=0,"🟢 OK",IF(D2248&lt;corte,"⚪ HISTÓRICO (sem baixa)",IF(AND(ISNUMBER(R2248),R2248&lt;TODAY()),"🔴 PRAZO VENCIDO",IF(AND(OR(N2248="PENDENTE",N2248="PARCIAL"),D2248&lt;TODAY()-1),"🔴 EMBARQUE ATRASADO",IF(AND(N2248="REALIZADO",M2248="PENDENTE"),"🟡 EMBARCADO SEM FATURAR",IF(AND(P2248&lt;&gt;"",S2248="",OR(Q2248="",R2248="")),"🟡 PENDÊNCIA SEM RESPONSÁVEL/PRAZO",IF(AND(ISNUMBER(R2248),R2248=TODAY()),"🟡 VENCE HOJE",IF(AND(P2248&lt;&gt;"",S2248=""),"🟡 PENDÊNCIA ABERTA",IF(AND(N(J2248)&gt;0,N(K2248)&lt;J2248),"🟡 FALTA EXECUTAR",IF(OR(M2248="PENDENTE",M2248="PARCIAL"),"🟡 FATURAMENTO PENDENTE","🟡 EMBARQUE PENDENTE")))))))))))</f>
        <v/>
      </c>
      <c r="D2248" s="4" t="n"/>
      <c r="E2248" s="5" t="n"/>
      <c r="F2248" s="5" t="n"/>
      <c r="G2248" s="5" t="n"/>
      <c r="H2248" s="5" t="n"/>
      <c r="I2248" s="5" t="n"/>
      <c r="J2248" s="6" t="n"/>
      <c r="K2248" s="6" t="n"/>
      <c r="L2248" s="7">
        <f>IF(OR(D2248="",N(J2248)=0),"",MIN(1,N(K2248)/J2248))</f>
        <v/>
      </c>
      <c r="M2248" s="5" t="n"/>
      <c r="N2248" s="5" t="n"/>
      <c r="O2248" s="5" t="n"/>
      <c r="P2248" s="5" t="n"/>
      <c r="Q2248" s="5" t="n"/>
      <c r="R2248" s="4" t="n"/>
      <c r="S2248" s="4" t="n"/>
      <c r="T2248" s="5" t="n"/>
      <c r="U2248" s="8">
        <f>IF(AND(V2248=1,D2248&lt;&gt;""),IF(D2248&gt;=corte,TODAY()-D2248,""),"")</f>
        <v/>
      </c>
      <c r="V2248" s="8">
        <f>IF(D2248="",0,IF(OR(AND(P2248&lt;&gt;"",S2248=""),AND(N(J2248)&gt;0,N(K2248)&lt;J2248),OR(M2248="PENDENTE",M2248="PARCIAL"),OR(N2248="PENDENTE",N2248="PARCIAL")),1,0))</f>
        <v/>
      </c>
      <c r="W2248" s="8">
        <f>IF(AND(V2248=1,D2248&lt;&gt;""),IF(D2248&gt;=corte,(B2248="CRÍTICO")*1E9+(100000-D2248)*10000+10000-ROW(),""),"")</f>
        <v/>
      </c>
      <c r="X2248" s="8">
        <f>IF(AND(V2248=1,D2248=pas_data,E2248=pas_turno),10000-ROW(),"")</f>
        <v/>
      </c>
    </row>
    <row r="2249">
      <c r="A2249" s="3">
        <f>IF(D2249="","","TT-"&amp;TEXT(ROW()-1,"00000"))</f>
        <v/>
      </c>
      <c r="B2249" s="3">
        <f>IF(D2249="","",IF(V2249=0,"CONCLUÍDO",IF(D2249&lt;corte,"HISTÓRICO",IF(OR(AND(ISNUMBER(R2249),R2249&lt;TODAY()),AND(OR(N2249="PENDENTE",N2249="PARCIAL"),D2249&lt;TODAY()-1)),"CRÍTICO",IF(OR(AND(P2249&lt;&gt;"",S2249=""),AND(N2249="REALIZADO",M2249="PENDENTE"),AND(ISNUMBER(R2249),R2249=TODAY())),"ATENÇÃO",IF(N(K2249)=0,"PENDENTE","EM ANDAMENTO"))))))</f>
        <v/>
      </c>
      <c r="C2249" s="3">
        <f>IF(D2249="","",IF(V2249=0,"🟢 OK",IF(D2249&lt;corte,"⚪ HISTÓRICO (sem baixa)",IF(AND(ISNUMBER(R2249),R2249&lt;TODAY()),"🔴 PRAZO VENCIDO",IF(AND(OR(N2249="PENDENTE",N2249="PARCIAL"),D2249&lt;TODAY()-1),"🔴 EMBARQUE ATRASADO",IF(AND(N2249="REALIZADO",M2249="PENDENTE"),"🟡 EMBARCADO SEM FATURAR",IF(AND(P2249&lt;&gt;"",S2249="",OR(Q2249="",R2249="")),"🟡 PENDÊNCIA SEM RESPONSÁVEL/PRAZO",IF(AND(ISNUMBER(R2249),R2249=TODAY()),"🟡 VENCE HOJE",IF(AND(P2249&lt;&gt;"",S2249=""),"🟡 PENDÊNCIA ABERTA",IF(AND(N(J2249)&gt;0,N(K2249)&lt;J2249),"🟡 FALTA EXECUTAR",IF(OR(M2249="PENDENTE",M2249="PARCIAL"),"🟡 FATURAMENTO PENDENTE","🟡 EMBARQUE PENDENTE")))))))))))</f>
        <v/>
      </c>
      <c r="D2249" s="4" t="n"/>
      <c r="E2249" s="5" t="n"/>
      <c r="F2249" s="5" t="n"/>
      <c r="G2249" s="5" t="n"/>
      <c r="H2249" s="5" t="n"/>
      <c r="I2249" s="5" t="n"/>
      <c r="J2249" s="6" t="n"/>
      <c r="K2249" s="6" t="n"/>
      <c r="L2249" s="7">
        <f>IF(OR(D2249="",N(J2249)=0),"",MIN(1,N(K2249)/J2249))</f>
        <v/>
      </c>
      <c r="M2249" s="5" t="n"/>
      <c r="N2249" s="5" t="n"/>
      <c r="O2249" s="5" t="n"/>
      <c r="P2249" s="5" t="n"/>
      <c r="Q2249" s="5" t="n"/>
      <c r="R2249" s="4" t="n"/>
      <c r="S2249" s="4" t="n"/>
      <c r="T2249" s="5" t="n"/>
      <c r="U2249" s="8">
        <f>IF(AND(V2249=1,D2249&lt;&gt;""),IF(D2249&gt;=corte,TODAY()-D2249,""),"")</f>
        <v/>
      </c>
      <c r="V2249" s="8">
        <f>IF(D2249="",0,IF(OR(AND(P2249&lt;&gt;"",S2249=""),AND(N(J2249)&gt;0,N(K2249)&lt;J2249),OR(M2249="PENDENTE",M2249="PARCIAL"),OR(N2249="PENDENTE",N2249="PARCIAL")),1,0))</f>
        <v/>
      </c>
      <c r="W2249" s="8">
        <f>IF(AND(V2249=1,D2249&lt;&gt;""),IF(D2249&gt;=corte,(B2249="CRÍTICO")*1E9+(100000-D2249)*10000+10000-ROW(),""),"")</f>
        <v/>
      </c>
      <c r="X2249" s="8">
        <f>IF(AND(V2249=1,D2249=pas_data,E2249=pas_turno),10000-ROW(),"")</f>
        <v/>
      </c>
    </row>
    <row r="2250">
      <c r="A2250" s="3">
        <f>IF(D2250="","","TT-"&amp;TEXT(ROW()-1,"00000"))</f>
        <v/>
      </c>
      <c r="B2250" s="3">
        <f>IF(D2250="","",IF(V2250=0,"CONCLUÍDO",IF(D2250&lt;corte,"HISTÓRICO",IF(OR(AND(ISNUMBER(R2250),R2250&lt;TODAY()),AND(OR(N2250="PENDENTE",N2250="PARCIAL"),D2250&lt;TODAY()-1)),"CRÍTICO",IF(OR(AND(P2250&lt;&gt;"",S2250=""),AND(N2250="REALIZADO",M2250="PENDENTE"),AND(ISNUMBER(R2250),R2250=TODAY())),"ATENÇÃO",IF(N(K2250)=0,"PENDENTE","EM ANDAMENTO"))))))</f>
        <v/>
      </c>
      <c r="C2250" s="3">
        <f>IF(D2250="","",IF(V2250=0,"🟢 OK",IF(D2250&lt;corte,"⚪ HISTÓRICO (sem baixa)",IF(AND(ISNUMBER(R2250),R2250&lt;TODAY()),"🔴 PRAZO VENCIDO",IF(AND(OR(N2250="PENDENTE",N2250="PARCIAL"),D2250&lt;TODAY()-1),"🔴 EMBARQUE ATRASADO",IF(AND(N2250="REALIZADO",M2250="PENDENTE"),"🟡 EMBARCADO SEM FATURAR",IF(AND(P2250&lt;&gt;"",S2250="",OR(Q2250="",R2250="")),"🟡 PENDÊNCIA SEM RESPONSÁVEL/PRAZO",IF(AND(ISNUMBER(R2250),R2250=TODAY()),"🟡 VENCE HOJE",IF(AND(P2250&lt;&gt;"",S2250=""),"🟡 PENDÊNCIA ABERTA",IF(AND(N(J2250)&gt;0,N(K2250)&lt;J2250),"🟡 FALTA EXECUTAR",IF(OR(M2250="PENDENTE",M2250="PARCIAL"),"🟡 FATURAMENTO PENDENTE","🟡 EMBARQUE PENDENTE")))))))))))</f>
        <v/>
      </c>
      <c r="D2250" s="4" t="n"/>
      <c r="E2250" s="5" t="n"/>
      <c r="F2250" s="5" t="n"/>
      <c r="G2250" s="5" t="n"/>
      <c r="H2250" s="5" t="n"/>
      <c r="I2250" s="5" t="n"/>
      <c r="J2250" s="6" t="n"/>
      <c r="K2250" s="6" t="n"/>
      <c r="L2250" s="7">
        <f>IF(OR(D2250="",N(J2250)=0),"",MIN(1,N(K2250)/J2250))</f>
        <v/>
      </c>
      <c r="M2250" s="5" t="n"/>
      <c r="N2250" s="5" t="n"/>
      <c r="O2250" s="5" t="n"/>
      <c r="P2250" s="5" t="n"/>
      <c r="Q2250" s="5" t="n"/>
      <c r="R2250" s="4" t="n"/>
      <c r="S2250" s="4" t="n"/>
      <c r="T2250" s="5" t="n"/>
      <c r="U2250" s="8">
        <f>IF(AND(V2250=1,D2250&lt;&gt;""),IF(D2250&gt;=corte,TODAY()-D2250,""),"")</f>
        <v/>
      </c>
      <c r="V2250" s="8">
        <f>IF(D2250="",0,IF(OR(AND(P2250&lt;&gt;"",S2250=""),AND(N(J2250)&gt;0,N(K2250)&lt;J2250),OR(M2250="PENDENTE",M2250="PARCIAL"),OR(N2250="PENDENTE",N2250="PARCIAL")),1,0))</f>
        <v/>
      </c>
      <c r="W2250" s="8">
        <f>IF(AND(V2250=1,D2250&lt;&gt;""),IF(D2250&gt;=corte,(B2250="CRÍTICO")*1E9+(100000-D2250)*10000+10000-ROW(),""),"")</f>
        <v/>
      </c>
      <c r="X2250" s="8">
        <f>IF(AND(V2250=1,D2250=pas_data,E2250=pas_turno),10000-ROW(),"")</f>
        <v/>
      </c>
    </row>
    <row r="2251">
      <c r="A2251" s="3">
        <f>IF(D2251="","","TT-"&amp;TEXT(ROW()-1,"00000"))</f>
        <v/>
      </c>
      <c r="B2251" s="3">
        <f>IF(D2251="","",IF(V2251=0,"CONCLUÍDO",IF(D2251&lt;corte,"HISTÓRICO",IF(OR(AND(ISNUMBER(R2251),R2251&lt;TODAY()),AND(OR(N2251="PENDENTE",N2251="PARCIAL"),D2251&lt;TODAY()-1)),"CRÍTICO",IF(OR(AND(P2251&lt;&gt;"",S2251=""),AND(N2251="REALIZADO",M2251="PENDENTE"),AND(ISNUMBER(R2251),R2251=TODAY())),"ATENÇÃO",IF(N(K2251)=0,"PENDENTE","EM ANDAMENTO"))))))</f>
        <v/>
      </c>
      <c r="C2251" s="3">
        <f>IF(D2251="","",IF(V2251=0,"🟢 OK",IF(D2251&lt;corte,"⚪ HISTÓRICO (sem baixa)",IF(AND(ISNUMBER(R2251),R2251&lt;TODAY()),"🔴 PRAZO VENCIDO",IF(AND(OR(N2251="PENDENTE",N2251="PARCIAL"),D2251&lt;TODAY()-1),"🔴 EMBARQUE ATRASADO",IF(AND(N2251="REALIZADO",M2251="PENDENTE"),"🟡 EMBARCADO SEM FATURAR",IF(AND(P2251&lt;&gt;"",S2251="",OR(Q2251="",R2251="")),"🟡 PENDÊNCIA SEM RESPONSÁVEL/PRAZO",IF(AND(ISNUMBER(R2251),R2251=TODAY()),"🟡 VENCE HOJE",IF(AND(P2251&lt;&gt;"",S2251=""),"🟡 PENDÊNCIA ABERTA",IF(AND(N(J2251)&gt;0,N(K2251)&lt;J2251),"🟡 FALTA EXECUTAR",IF(OR(M2251="PENDENTE",M2251="PARCIAL"),"🟡 FATURAMENTO PENDENTE","🟡 EMBARQUE PENDENTE")))))))))))</f>
        <v/>
      </c>
      <c r="D2251" s="4" t="n"/>
      <c r="E2251" s="5" t="n"/>
      <c r="F2251" s="5" t="n"/>
      <c r="G2251" s="5" t="n"/>
      <c r="H2251" s="5" t="n"/>
      <c r="I2251" s="5" t="n"/>
      <c r="J2251" s="6" t="n"/>
      <c r="K2251" s="6" t="n"/>
      <c r="L2251" s="7">
        <f>IF(OR(D2251="",N(J2251)=0),"",MIN(1,N(K2251)/J2251))</f>
        <v/>
      </c>
      <c r="M2251" s="5" t="n"/>
      <c r="N2251" s="5" t="n"/>
      <c r="O2251" s="5" t="n"/>
      <c r="P2251" s="5" t="n"/>
      <c r="Q2251" s="5" t="n"/>
      <c r="R2251" s="4" t="n"/>
      <c r="S2251" s="4" t="n"/>
      <c r="T2251" s="5" t="n"/>
      <c r="U2251" s="8">
        <f>IF(AND(V2251=1,D2251&lt;&gt;""),IF(D2251&gt;=corte,TODAY()-D2251,""),"")</f>
        <v/>
      </c>
      <c r="V2251" s="8">
        <f>IF(D2251="",0,IF(OR(AND(P2251&lt;&gt;"",S2251=""),AND(N(J2251)&gt;0,N(K2251)&lt;J2251),OR(M2251="PENDENTE",M2251="PARCIAL"),OR(N2251="PENDENTE",N2251="PARCIAL")),1,0))</f>
        <v/>
      </c>
      <c r="W2251" s="8">
        <f>IF(AND(V2251=1,D2251&lt;&gt;""),IF(D2251&gt;=corte,(B2251="CRÍTICO")*1E9+(100000-D2251)*10000+10000-ROW(),""),"")</f>
        <v/>
      </c>
      <c r="X2251" s="8">
        <f>IF(AND(V2251=1,D2251=pas_data,E2251=pas_turno),10000-ROW(),"")</f>
        <v/>
      </c>
    </row>
    <row r="2252">
      <c r="A2252" s="3">
        <f>IF(D2252="","","TT-"&amp;TEXT(ROW()-1,"00000"))</f>
        <v/>
      </c>
      <c r="B2252" s="3">
        <f>IF(D2252="","",IF(V2252=0,"CONCLUÍDO",IF(D2252&lt;corte,"HISTÓRICO",IF(OR(AND(ISNUMBER(R2252),R2252&lt;TODAY()),AND(OR(N2252="PENDENTE",N2252="PARCIAL"),D2252&lt;TODAY()-1)),"CRÍTICO",IF(OR(AND(P2252&lt;&gt;"",S2252=""),AND(N2252="REALIZADO",M2252="PENDENTE"),AND(ISNUMBER(R2252),R2252=TODAY())),"ATENÇÃO",IF(N(K2252)=0,"PENDENTE","EM ANDAMENTO"))))))</f>
        <v/>
      </c>
      <c r="C2252" s="3">
        <f>IF(D2252="","",IF(V2252=0,"🟢 OK",IF(D2252&lt;corte,"⚪ HISTÓRICO (sem baixa)",IF(AND(ISNUMBER(R2252),R2252&lt;TODAY()),"🔴 PRAZO VENCIDO",IF(AND(OR(N2252="PENDENTE",N2252="PARCIAL"),D2252&lt;TODAY()-1),"🔴 EMBARQUE ATRASADO",IF(AND(N2252="REALIZADO",M2252="PENDENTE"),"🟡 EMBARCADO SEM FATURAR",IF(AND(P2252&lt;&gt;"",S2252="",OR(Q2252="",R2252="")),"🟡 PENDÊNCIA SEM RESPONSÁVEL/PRAZO",IF(AND(ISNUMBER(R2252),R2252=TODAY()),"🟡 VENCE HOJE",IF(AND(P2252&lt;&gt;"",S2252=""),"🟡 PENDÊNCIA ABERTA",IF(AND(N(J2252)&gt;0,N(K2252)&lt;J2252),"🟡 FALTA EXECUTAR",IF(OR(M2252="PENDENTE",M2252="PARCIAL"),"🟡 FATURAMENTO PENDENTE","🟡 EMBARQUE PENDENTE")))))))))))</f>
        <v/>
      </c>
      <c r="D2252" s="4" t="n"/>
      <c r="E2252" s="5" t="n"/>
      <c r="F2252" s="5" t="n"/>
      <c r="G2252" s="5" t="n"/>
      <c r="H2252" s="5" t="n"/>
      <c r="I2252" s="5" t="n"/>
      <c r="J2252" s="6" t="n"/>
      <c r="K2252" s="6" t="n"/>
      <c r="L2252" s="7">
        <f>IF(OR(D2252="",N(J2252)=0),"",MIN(1,N(K2252)/J2252))</f>
        <v/>
      </c>
      <c r="M2252" s="5" t="n"/>
      <c r="N2252" s="5" t="n"/>
      <c r="O2252" s="5" t="n"/>
      <c r="P2252" s="5" t="n"/>
      <c r="Q2252" s="5" t="n"/>
      <c r="R2252" s="4" t="n"/>
      <c r="S2252" s="4" t="n"/>
      <c r="T2252" s="5" t="n"/>
      <c r="U2252" s="8">
        <f>IF(AND(V2252=1,D2252&lt;&gt;""),IF(D2252&gt;=corte,TODAY()-D2252,""),"")</f>
        <v/>
      </c>
      <c r="V2252" s="8">
        <f>IF(D2252="",0,IF(OR(AND(P2252&lt;&gt;"",S2252=""),AND(N(J2252)&gt;0,N(K2252)&lt;J2252),OR(M2252="PENDENTE",M2252="PARCIAL"),OR(N2252="PENDENTE",N2252="PARCIAL")),1,0))</f>
        <v/>
      </c>
      <c r="W2252" s="8">
        <f>IF(AND(V2252=1,D2252&lt;&gt;""),IF(D2252&gt;=corte,(B2252="CRÍTICO")*1E9+(100000-D2252)*10000+10000-ROW(),""),"")</f>
        <v/>
      </c>
      <c r="X2252" s="8">
        <f>IF(AND(V2252=1,D2252=pas_data,E2252=pas_turno),10000-ROW(),"")</f>
        <v/>
      </c>
    </row>
    <row r="2253">
      <c r="A2253" s="3">
        <f>IF(D2253="","","TT-"&amp;TEXT(ROW()-1,"00000"))</f>
        <v/>
      </c>
      <c r="B2253" s="3">
        <f>IF(D2253="","",IF(V2253=0,"CONCLUÍDO",IF(D2253&lt;corte,"HISTÓRICO",IF(OR(AND(ISNUMBER(R2253),R2253&lt;TODAY()),AND(OR(N2253="PENDENTE",N2253="PARCIAL"),D2253&lt;TODAY()-1)),"CRÍTICO",IF(OR(AND(P2253&lt;&gt;"",S2253=""),AND(N2253="REALIZADO",M2253="PENDENTE"),AND(ISNUMBER(R2253),R2253=TODAY())),"ATENÇÃO",IF(N(K2253)=0,"PENDENTE","EM ANDAMENTO"))))))</f>
        <v/>
      </c>
      <c r="C2253" s="3">
        <f>IF(D2253="","",IF(V2253=0,"🟢 OK",IF(D2253&lt;corte,"⚪ HISTÓRICO (sem baixa)",IF(AND(ISNUMBER(R2253),R2253&lt;TODAY()),"🔴 PRAZO VENCIDO",IF(AND(OR(N2253="PENDENTE",N2253="PARCIAL"),D2253&lt;TODAY()-1),"🔴 EMBARQUE ATRASADO",IF(AND(N2253="REALIZADO",M2253="PENDENTE"),"🟡 EMBARCADO SEM FATURAR",IF(AND(P2253&lt;&gt;"",S2253="",OR(Q2253="",R2253="")),"🟡 PENDÊNCIA SEM RESPONSÁVEL/PRAZO",IF(AND(ISNUMBER(R2253),R2253=TODAY()),"🟡 VENCE HOJE",IF(AND(P2253&lt;&gt;"",S2253=""),"🟡 PENDÊNCIA ABERTA",IF(AND(N(J2253)&gt;0,N(K2253)&lt;J2253),"🟡 FALTA EXECUTAR",IF(OR(M2253="PENDENTE",M2253="PARCIAL"),"🟡 FATURAMENTO PENDENTE","🟡 EMBARQUE PENDENTE")))))))))))</f>
        <v/>
      </c>
      <c r="D2253" s="4" t="n"/>
      <c r="E2253" s="5" t="n"/>
      <c r="F2253" s="5" t="n"/>
      <c r="G2253" s="5" t="n"/>
      <c r="H2253" s="5" t="n"/>
      <c r="I2253" s="5" t="n"/>
      <c r="J2253" s="6" t="n"/>
      <c r="K2253" s="6" t="n"/>
      <c r="L2253" s="7">
        <f>IF(OR(D2253="",N(J2253)=0),"",MIN(1,N(K2253)/J2253))</f>
        <v/>
      </c>
      <c r="M2253" s="5" t="n"/>
      <c r="N2253" s="5" t="n"/>
      <c r="O2253" s="5" t="n"/>
      <c r="P2253" s="5" t="n"/>
      <c r="Q2253" s="5" t="n"/>
      <c r="R2253" s="4" t="n"/>
      <c r="S2253" s="4" t="n"/>
      <c r="T2253" s="5" t="n"/>
      <c r="U2253" s="8">
        <f>IF(AND(V2253=1,D2253&lt;&gt;""),IF(D2253&gt;=corte,TODAY()-D2253,""),"")</f>
        <v/>
      </c>
      <c r="V2253" s="8">
        <f>IF(D2253="",0,IF(OR(AND(P2253&lt;&gt;"",S2253=""),AND(N(J2253)&gt;0,N(K2253)&lt;J2253),OR(M2253="PENDENTE",M2253="PARCIAL"),OR(N2253="PENDENTE",N2253="PARCIAL")),1,0))</f>
        <v/>
      </c>
      <c r="W2253" s="8">
        <f>IF(AND(V2253=1,D2253&lt;&gt;""),IF(D2253&gt;=corte,(B2253="CRÍTICO")*1E9+(100000-D2253)*10000+10000-ROW(),""),"")</f>
        <v/>
      </c>
      <c r="X2253" s="8">
        <f>IF(AND(V2253=1,D2253=pas_data,E2253=pas_turno),10000-ROW(),"")</f>
        <v/>
      </c>
    </row>
    <row r="2254">
      <c r="A2254" s="3">
        <f>IF(D2254="","","TT-"&amp;TEXT(ROW()-1,"00000"))</f>
        <v/>
      </c>
      <c r="B2254" s="3">
        <f>IF(D2254="","",IF(V2254=0,"CONCLUÍDO",IF(D2254&lt;corte,"HISTÓRICO",IF(OR(AND(ISNUMBER(R2254),R2254&lt;TODAY()),AND(OR(N2254="PENDENTE",N2254="PARCIAL"),D2254&lt;TODAY()-1)),"CRÍTICO",IF(OR(AND(P2254&lt;&gt;"",S2254=""),AND(N2254="REALIZADO",M2254="PENDENTE"),AND(ISNUMBER(R2254),R2254=TODAY())),"ATENÇÃO",IF(N(K2254)=0,"PENDENTE","EM ANDAMENTO"))))))</f>
        <v/>
      </c>
      <c r="C2254" s="3">
        <f>IF(D2254="","",IF(V2254=0,"🟢 OK",IF(D2254&lt;corte,"⚪ HISTÓRICO (sem baixa)",IF(AND(ISNUMBER(R2254),R2254&lt;TODAY()),"🔴 PRAZO VENCIDO",IF(AND(OR(N2254="PENDENTE",N2254="PARCIAL"),D2254&lt;TODAY()-1),"🔴 EMBARQUE ATRASADO",IF(AND(N2254="REALIZADO",M2254="PENDENTE"),"🟡 EMBARCADO SEM FATURAR",IF(AND(P2254&lt;&gt;"",S2254="",OR(Q2254="",R2254="")),"🟡 PENDÊNCIA SEM RESPONSÁVEL/PRAZO",IF(AND(ISNUMBER(R2254),R2254=TODAY()),"🟡 VENCE HOJE",IF(AND(P2254&lt;&gt;"",S2254=""),"🟡 PENDÊNCIA ABERTA",IF(AND(N(J2254)&gt;0,N(K2254)&lt;J2254),"🟡 FALTA EXECUTAR",IF(OR(M2254="PENDENTE",M2254="PARCIAL"),"🟡 FATURAMENTO PENDENTE","🟡 EMBARQUE PENDENTE")))))))))))</f>
        <v/>
      </c>
      <c r="D2254" s="4" t="n"/>
      <c r="E2254" s="5" t="n"/>
      <c r="F2254" s="5" t="n"/>
      <c r="G2254" s="5" t="n"/>
      <c r="H2254" s="5" t="n"/>
      <c r="I2254" s="5" t="n"/>
      <c r="J2254" s="6" t="n"/>
      <c r="K2254" s="6" t="n"/>
      <c r="L2254" s="7">
        <f>IF(OR(D2254="",N(J2254)=0),"",MIN(1,N(K2254)/J2254))</f>
        <v/>
      </c>
      <c r="M2254" s="5" t="n"/>
      <c r="N2254" s="5" t="n"/>
      <c r="O2254" s="5" t="n"/>
      <c r="P2254" s="5" t="n"/>
      <c r="Q2254" s="5" t="n"/>
      <c r="R2254" s="4" t="n"/>
      <c r="S2254" s="4" t="n"/>
      <c r="T2254" s="5" t="n"/>
      <c r="U2254" s="8">
        <f>IF(AND(V2254=1,D2254&lt;&gt;""),IF(D2254&gt;=corte,TODAY()-D2254,""),"")</f>
        <v/>
      </c>
      <c r="V2254" s="8">
        <f>IF(D2254="",0,IF(OR(AND(P2254&lt;&gt;"",S2254=""),AND(N(J2254)&gt;0,N(K2254)&lt;J2254),OR(M2254="PENDENTE",M2254="PARCIAL"),OR(N2254="PENDENTE",N2254="PARCIAL")),1,0))</f>
        <v/>
      </c>
      <c r="W2254" s="8">
        <f>IF(AND(V2254=1,D2254&lt;&gt;""),IF(D2254&gt;=corte,(B2254="CRÍTICO")*1E9+(100000-D2254)*10000+10000-ROW(),""),"")</f>
        <v/>
      </c>
      <c r="X2254" s="8">
        <f>IF(AND(V2254=1,D2254=pas_data,E2254=pas_turno),10000-ROW(),"")</f>
        <v/>
      </c>
    </row>
    <row r="2255">
      <c r="A2255" s="3">
        <f>IF(D2255="","","TT-"&amp;TEXT(ROW()-1,"00000"))</f>
        <v/>
      </c>
      <c r="B2255" s="3">
        <f>IF(D2255="","",IF(V2255=0,"CONCLUÍDO",IF(D2255&lt;corte,"HISTÓRICO",IF(OR(AND(ISNUMBER(R2255),R2255&lt;TODAY()),AND(OR(N2255="PENDENTE",N2255="PARCIAL"),D2255&lt;TODAY()-1)),"CRÍTICO",IF(OR(AND(P2255&lt;&gt;"",S2255=""),AND(N2255="REALIZADO",M2255="PENDENTE"),AND(ISNUMBER(R2255),R2255=TODAY())),"ATENÇÃO",IF(N(K2255)=0,"PENDENTE","EM ANDAMENTO"))))))</f>
        <v/>
      </c>
      <c r="C2255" s="3">
        <f>IF(D2255="","",IF(V2255=0,"🟢 OK",IF(D2255&lt;corte,"⚪ HISTÓRICO (sem baixa)",IF(AND(ISNUMBER(R2255),R2255&lt;TODAY()),"🔴 PRAZO VENCIDO",IF(AND(OR(N2255="PENDENTE",N2255="PARCIAL"),D2255&lt;TODAY()-1),"🔴 EMBARQUE ATRASADO",IF(AND(N2255="REALIZADO",M2255="PENDENTE"),"🟡 EMBARCADO SEM FATURAR",IF(AND(P2255&lt;&gt;"",S2255="",OR(Q2255="",R2255="")),"🟡 PENDÊNCIA SEM RESPONSÁVEL/PRAZO",IF(AND(ISNUMBER(R2255),R2255=TODAY()),"🟡 VENCE HOJE",IF(AND(P2255&lt;&gt;"",S2255=""),"🟡 PENDÊNCIA ABERTA",IF(AND(N(J2255)&gt;0,N(K2255)&lt;J2255),"🟡 FALTA EXECUTAR",IF(OR(M2255="PENDENTE",M2255="PARCIAL"),"🟡 FATURAMENTO PENDENTE","🟡 EMBARQUE PENDENTE")))))))))))</f>
        <v/>
      </c>
      <c r="D2255" s="4" t="n"/>
      <c r="E2255" s="5" t="n"/>
      <c r="F2255" s="5" t="n"/>
      <c r="G2255" s="5" t="n"/>
      <c r="H2255" s="5" t="n"/>
      <c r="I2255" s="5" t="n"/>
      <c r="J2255" s="6" t="n"/>
      <c r="K2255" s="6" t="n"/>
      <c r="L2255" s="7">
        <f>IF(OR(D2255="",N(J2255)=0),"",MIN(1,N(K2255)/J2255))</f>
        <v/>
      </c>
      <c r="M2255" s="5" t="n"/>
      <c r="N2255" s="5" t="n"/>
      <c r="O2255" s="5" t="n"/>
      <c r="P2255" s="5" t="n"/>
      <c r="Q2255" s="5" t="n"/>
      <c r="R2255" s="4" t="n"/>
      <c r="S2255" s="4" t="n"/>
      <c r="T2255" s="5" t="n"/>
      <c r="U2255" s="8">
        <f>IF(AND(V2255=1,D2255&lt;&gt;""),IF(D2255&gt;=corte,TODAY()-D2255,""),"")</f>
        <v/>
      </c>
      <c r="V2255" s="8">
        <f>IF(D2255="",0,IF(OR(AND(P2255&lt;&gt;"",S2255=""),AND(N(J2255)&gt;0,N(K2255)&lt;J2255),OR(M2255="PENDENTE",M2255="PARCIAL"),OR(N2255="PENDENTE",N2255="PARCIAL")),1,0))</f>
        <v/>
      </c>
      <c r="W2255" s="8">
        <f>IF(AND(V2255=1,D2255&lt;&gt;""),IF(D2255&gt;=corte,(B2255="CRÍTICO")*1E9+(100000-D2255)*10000+10000-ROW(),""),"")</f>
        <v/>
      </c>
      <c r="X2255" s="8">
        <f>IF(AND(V2255=1,D2255=pas_data,E2255=pas_turno),10000-ROW(),"")</f>
        <v/>
      </c>
    </row>
    <row r="2256">
      <c r="A2256" s="3">
        <f>IF(D2256="","","TT-"&amp;TEXT(ROW()-1,"00000"))</f>
        <v/>
      </c>
      <c r="B2256" s="3">
        <f>IF(D2256="","",IF(V2256=0,"CONCLUÍDO",IF(D2256&lt;corte,"HISTÓRICO",IF(OR(AND(ISNUMBER(R2256),R2256&lt;TODAY()),AND(OR(N2256="PENDENTE",N2256="PARCIAL"),D2256&lt;TODAY()-1)),"CRÍTICO",IF(OR(AND(P2256&lt;&gt;"",S2256=""),AND(N2256="REALIZADO",M2256="PENDENTE"),AND(ISNUMBER(R2256),R2256=TODAY())),"ATENÇÃO",IF(N(K2256)=0,"PENDENTE","EM ANDAMENTO"))))))</f>
        <v/>
      </c>
      <c r="C2256" s="3">
        <f>IF(D2256="","",IF(V2256=0,"🟢 OK",IF(D2256&lt;corte,"⚪ HISTÓRICO (sem baixa)",IF(AND(ISNUMBER(R2256),R2256&lt;TODAY()),"🔴 PRAZO VENCIDO",IF(AND(OR(N2256="PENDENTE",N2256="PARCIAL"),D2256&lt;TODAY()-1),"🔴 EMBARQUE ATRASADO",IF(AND(N2256="REALIZADO",M2256="PENDENTE"),"🟡 EMBARCADO SEM FATURAR",IF(AND(P2256&lt;&gt;"",S2256="",OR(Q2256="",R2256="")),"🟡 PENDÊNCIA SEM RESPONSÁVEL/PRAZO",IF(AND(ISNUMBER(R2256),R2256=TODAY()),"🟡 VENCE HOJE",IF(AND(P2256&lt;&gt;"",S2256=""),"🟡 PENDÊNCIA ABERTA",IF(AND(N(J2256)&gt;0,N(K2256)&lt;J2256),"🟡 FALTA EXECUTAR",IF(OR(M2256="PENDENTE",M2256="PARCIAL"),"🟡 FATURAMENTO PENDENTE","🟡 EMBARQUE PENDENTE")))))))))))</f>
        <v/>
      </c>
      <c r="D2256" s="4" t="n"/>
      <c r="E2256" s="5" t="n"/>
      <c r="F2256" s="5" t="n"/>
      <c r="G2256" s="5" t="n"/>
      <c r="H2256" s="5" t="n"/>
      <c r="I2256" s="5" t="n"/>
      <c r="J2256" s="6" t="n"/>
      <c r="K2256" s="6" t="n"/>
      <c r="L2256" s="7">
        <f>IF(OR(D2256="",N(J2256)=0),"",MIN(1,N(K2256)/J2256))</f>
        <v/>
      </c>
      <c r="M2256" s="5" t="n"/>
      <c r="N2256" s="5" t="n"/>
      <c r="O2256" s="5" t="n"/>
      <c r="P2256" s="5" t="n"/>
      <c r="Q2256" s="5" t="n"/>
      <c r="R2256" s="4" t="n"/>
      <c r="S2256" s="4" t="n"/>
      <c r="T2256" s="5" t="n"/>
      <c r="U2256" s="8">
        <f>IF(AND(V2256=1,D2256&lt;&gt;""),IF(D2256&gt;=corte,TODAY()-D2256,""),"")</f>
        <v/>
      </c>
      <c r="V2256" s="8">
        <f>IF(D2256="",0,IF(OR(AND(P2256&lt;&gt;"",S2256=""),AND(N(J2256)&gt;0,N(K2256)&lt;J2256),OR(M2256="PENDENTE",M2256="PARCIAL"),OR(N2256="PENDENTE",N2256="PARCIAL")),1,0))</f>
        <v/>
      </c>
      <c r="W2256" s="8">
        <f>IF(AND(V2256=1,D2256&lt;&gt;""),IF(D2256&gt;=corte,(B2256="CRÍTICO")*1E9+(100000-D2256)*10000+10000-ROW(),""),"")</f>
        <v/>
      </c>
      <c r="X2256" s="8">
        <f>IF(AND(V2256=1,D2256=pas_data,E2256=pas_turno),10000-ROW(),"")</f>
        <v/>
      </c>
    </row>
    <row r="2257">
      <c r="A2257" s="3">
        <f>IF(D2257="","","TT-"&amp;TEXT(ROW()-1,"00000"))</f>
        <v/>
      </c>
      <c r="B2257" s="3">
        <f>IF(D2257="","",IF(V2257=0,"CONCLUÍDO",IF(D2257&lt;corte,"HISTÓRICO",IF(OR(AND(ISNUMBER(R2257),R2257&lt;TODAY()),AND(OR(N2257="PENDENTE",N2257="PARCIAL"),D2257&lt;TODAY()-1)),"CRÍTICO",IF(OR(AND(P2257&lt;&gt;"",S2257=""),AND(N2257="REALIZADO",M2257="PENDENTE"),AND(ISNUMBER(R2257),R2257=TODAY())),"ATENÇÃO",IF(N(K2257)=0,"PENDENTE","EM ANDAMENTO"))))))</f>
        <v/>
      </c>
      <c r="C2257" s="3">
        <f>IF(D2257="","",IF(V2257=0,"🟢 OK",IF(D2257&lt;corte,"⚪ HISTÓRICO (sem baixa)",IF(AND(ISNUMBER(R2257),R2257&lt;TODAY()),"🔴 PRAZO VENCIDO",IF(AND(OR(N2257="PENDENTE",N2257="PARCIAL"),D2257&lt;TODAY()-1),"🔴 EMBARQUE ATRASADO",IF(AND(N2257="REALIZADO",M2257="PENDENTE"),"🟡 EMBARCADO SEM FATURAR",IF(AND(P2257&lt;&gt;"",S2257="",OR(Q2257="",R2257="")),"🟡 PENDÊNCIA SEM RESPONSÁVEL/PRAZO",IF(AND(ISNUMBER(R2257),R2257=TODAY()),"🟡 VENCE HOJE",IF(AND(P2257&lt;&gt;"",S2257=""),"🟡 PENDÊNCIA ABERTA",IF(AND(N(J2257)&gt;0,N(K2257)&lt;J2257),"🟡 FALTA EXECUTAR",IF(OR(M2257="PENDENTE",M2257="PARCIAL"),"🟡 FATURAMENTO PENDENTE","🟡 EMBARQUE PENDENTE")))))))))))</f>
        <v/>
      </c>
      <c r="D2257" s="4" t="n"/>
      <c r="E2257" s="5" t="n"/>
      <c r="F2257" s="5" t="n"/>
      <c r="G2257" s="5" t="n"/>
      <c r="H2257" s="5" t="n"/>
      <c r="I2257" s="5" t="n"/>
      <c r="J2257" s="6" t="n"/>
      <c r="K2257" s="6" t="n"/>
      <c r="L2257" s="7">
        <f>IF(OR(D2257="",N(J2257)=0),"",MIN(1,N(K2257)/J2257))</f>
        <v/>
      </c>
      <c r="M2257" s="5" t="n"/>
      <c r="N2257" s="5" t="n"/>
      <c r="O2257" s="5" t="n"/>
      <c r="P2257" s="5" t="n"/>
      <c r="Q2257" s="5" t="n"/>
      <c r="R2257" s="4" t="n"/>
      <c r="S2257" s="4" t="n"/>
      <c r="T2257" s="5" t="n"/>
      <c r="U2257" s="8">
        <f>IF(AND(V2257=1,D2257&lt;&gt;""),IF(D2257&gt;=corte,TODAY()-D2257,""),"")</f>
        <v/>
      </c>
      <c r="V2257" s="8">
        <f>IF(D2257="",0,IF(OR(AND(P2257&lt;&gt;"",S2257=""),AND(N(J2257)&gt;0,N(K2257)&lt;J2257),OR(M2257="PENDENTE",M2257="PARCIAL"),OR(N2257="PENDENTE",N2257="PARCIAL")),1,0))</f>
        <v/>
      </c>
      <c r="W2257" s="8">
        <f>IF(AND(V2257=1,D2257&lt;&gt;""),IF(D2257&gt;=corte,(B2257="CRÍTICO")*1E9+(100000-D2257)*10000+10000-ROW(),""),"")</f>
        <v/>
      </c>
      <c r="X2257" s="8">
        <f>IF(AND(V2257=1,D2257=pas_data,E2257=pas_turno),10000-ROW(),"")</f>
        <v/>
      </c>
    </row>
    <row r="2258">
      <c r="A2258" s="3">
        <f>IF(D2258="","","TT-"&amp;TEXT(ROW()-1,"00000"))</f>
        <v/>
      </c>
      <c r="B2258" s="3">
        <f>IF(D2258="","",IF(V2258=0,"CONCLUÍDO",IF(D2258&lt;corte,"HISTÓRICO",IF(OR(AND(ISNUMBER(R2258),R2258&lt;TODAY()),AND(OR(N2258="PENDENTE",N2258="PARCIAL"),D2258&lt;TODAY()-1)),"CRÍTICO",IF(OR(AND(P2258&lt;&gt;"",S2258=""),AND(N2258="REALIZADO",M2258="PENDENTE"),AND(ISNUMBER(R2258),R2258=TODAY())),"ATENÇÃO",IF(N(K2258)=0,"PENDENTE","EM ANDAMENTO"))))))</f>
        <v/>
      </c>
      <c r="C2258" s="3">
        <f>IF(D2258="","",IF(V2258=0,"🟢 OK",IF(D2258&lt;corte,"⚪ HISTÓRICO (sem baixa)",IF(AND(ISNUMBER(R2258),R2258&lt;TODAY()),"🔴 PRAZO VENCIDO",IF(AND(OR(N2258="PENDENTE",N2258="PARCIAL"),D2258&lt;TODAY()-1),"🔴 EMBARQUE ATRASADO",IF(AND(N2258="REALIZADO",M2258="PENDENTE"),"🟡 EMBARCADO SEM FATURAR",IF(AND(P2258&lt;&gt;"",S2258="",OR(Q2258="",R2258="")),"🟡 PENDÊNCIA SEM RESPONSÁVEL/PRAZO",IF(AND(ISNUMBER(R2258),R2258=TODAY()),"🟡 VENCE HOJE",IF(AND(P2258&lt;&gt;"",S2258=""),"🟡 PENDÊNCIA ABERTA",IF(AND(N(J2258)&gt;0,N(K2258)&lt;J2258),"🟡 FALTA EXECUTAR",IF(OR(M2258="PENDENTE",M2258="PARCIAL"),"🟡 FATURAMENTO PENDENTE","🟡 EMBARQUE PENDENTE")))))))))))</f>
        <v/>
      </c>
      <c r="D2258" s="4" t="n"/>
      <c r="E2258" s="5" t="n"/>
      <c r="F2258" s="5" t="n"/>
      <c r="G2258" s="5" t="n"/>
      <c r="H2258" s="5" t="n"/>
      <c r="I2258" s="5" t="n"/>
      <c r="J2258" s="6" t="n"/>
      <c r="K2258" s="6" t="n"/>
      <c r="L2258" s="7">
        <f>IF(OR(D2258="",N(J2258)=0),"",MIN(1,N(K2258)/J2258))</f>
        <v/>
      </c>
      <c r="M2258" s="5" t="n"/>
      <c r="N2258" s="5" t="n"/>
      <c r="O2258" s="5" t="n"/>
      <c r="P2258" s="5" t="n"/>
      <c r="Q2258" s="5" t="n"/>
      <c r="R2258" s="4" t="n"/>
      <c r="S2258" s="4" t="n"/>
      <c r="T2258" s="5" t="n"/>
      <c r="U2258" s="8">
        <f>IF(AND(V2258=1,D2258&lt;&gt;""),IF(D2258&gt;=corte,TODAY()-D2258,""),"")</f>
        <v/>
      </c>
      <c r="V2258" s="8">
        <f>IF(D2258="",0,IF(OR(AND(P2258&lt;&gt;"",S2258=""),AND(N(J2258)&gt;0,N(K2258)&lt;J2258),OR(M2258="PENDENTE",M2258="PARCIAL"),OR(N2258="PENDENTE",N2258="PARCIAL")),1,0))</f>
        <v/>
      </c>
      <c r="W2258" s="8">
        <f>IF(AND(V2258=1,D2258&lt;&gt;""),IF(D2258&gt;=corte,(B2258="CRÍTICO")*1E9+(100000-D2258)*10000+10000-ROW(),""),"")</f>
        <v/>
      </c>
      <c r="X2258" s="8">
        <f>IF(AND(V2258=1,D2258=pas_data,E2258=pas_turno),10000-ROW(),"")</f>
        <v/>
      </c>
    </row>
    <row r="2259">
      <c r="A2259" s="3">
        <f>IF(D2259="","","TT-"&amp;TEXT(ROW()-1,"00000"))</f>
        <v/>
      </c>
      <c r="B2259" s="3">
        <f>IF(D2259="","",IF(V2259=0,"CONCLUÍDO",IF(D2259&lt;corte,"HISTÓRICO",IF(OR(AND(ISNUMBER(R2259),R2259&lt;TODAY()),AND(OR(N2259="PENDENTE",N2259="PARCIAL"),D2259&lt;TODAY()-1)),"CRÍTICO",IF(OR(AND(P2259&lt;&gt;"",S2259=""),AND(N2259="REALIZADO",M2259="PENDENTE"),AND(ISNUMBER(R2259),R2259=TODAY())),"ATENÇÃO",IF(N(K2259)=0,"PENDENTE","EM ANDAMENTO"))))))</f>
        <v/>
      </c>
      <c r="C2259" s="3">
        <f>IF(D2259="","",IF(V2259=0,"🟢 OK",IF(D2259&lt;corte,"⚪ HISTÓRICO (sem baixa)",IF(AND(ISNUMBER(R2259),R2259&lt;TODAY()),"🔴 PRAZO VENCIDO",IF(AND(OR(N2259="PENDENTE",N2259="PARCIAL"),D2259&lt;TODAY()-1),"🔴 EMBARQUE ATRASADO",IF(AND(N2259="REALIZADO",M2259="PENDENTE"),"🟡 EMBARCADO SEM FATURAR",IF(AND(P2259&lt;&gt;"",S2259="",OR(Q2259="",R2259="")),"🟡 PENDÊNCIA SEM RESPONSÁVEL/PRAZO",IF(AND(ISNUMBER(R2259),R2259=TODAY()),"🟡 VENCE HOJE",IF(AND(P2259&lt;&gt;"",S2259=""),"🟡 PENDÊNCIA ABERTA",IF(AND(N(J2259)&gt;0,N(K2259)&lt;J2259),"🟡 FALTA EXECUTAR",IF(OR(M2259="PENDENTE",M2259="PARCIAL"),"🟡 FATURAMENTO PENDENTE","🟡 EMBARQUE PENDENTE")))))))))))</f>
        <v/>
      </c>
      <c r="D2259" s="4" t="n"/>
      <c r="E2259" s="5" t="n"/>
      <c r="F2259" s="5" t="n"/>
      <c r="G2259" s="5" t="n"/>
      <c r="H2259" s="5" t="n"/>
      <c r="I2259" s="5" t="n"/>
      <c r="J2259" s="6" t="n"/>
      <c r="K2259" s="6" t="n"/>
      <c r="L2259" s="7">
        <f>IF(OR(D2259="",N(J2259)=0),"",MIN(1,N(K2259)/J2259))</f>
        <v/>
      </c>
      <c r="M2259" s="5" t="n"/>
      <c r="N2259" s="5" t="n"/>
      <c r="O2259" s="5" t="n"/>
      <c r="P2259" s="5" t="n"/>
      <c r="Q2259" s="5" t="n"/>
      <c r="R2259" s="4" t="n"/>
      <c r="S2259" s="4" t="n"/>
      <c r="T2259" s="5" t="n"/>
      <c r="U2259" s="8">
        <f>IF(AND(V2259=1,D2259&lt;&gt;""),IF(D2259&gt;=corte,TODAY()-D2259,""),"")</f>
        <v/>
      </c>
      <c r="V2259" s="8">
        <f>IF(D2259="",0,IF(OR(AND(P2259&lt;&gt;"",S2259=""),AND(N(J2259)&gt;0,N(K2259)&lt;J2259),OR(M2259="PENDENTE",M2259="PARCIAL"),OR(N2259="PENDENTE",N2259="PARCIAL")),1,0))</f>
        <v/>
      </c>
      <c r="W2259" s="8">
        <f>IF(AND(V2259=1,D2259&lt;&gt;""),IF(D2259&gt;=corte,(B2259="CRÍTICO")*1E9+(100000-D2259)*10000+10000-ROW(),""),"")</f>
        <v/>
      </c>
      <c r="X2259" s="8">
        <f>IF(AND(V2259=1,D2259=pas_data,E2259=pas_turno),10000-ROW(),"")</f>
        <v/>
      </c>
    </row>
    <row r="2260">
      <c r="A2260" s="3">
        <f>IF(D2260="","","TT-"&amp;TEXT(ROW()-1,"00000"))</f>
        <v/>
      </c>
      <c r="B2260" s="3">
        <f>IF(D2260="","",IF(V2260=0,"CONCLUÍDO",IF(D2260&lt;corte,"HISTÓRICO",IF(OR(AND(ISNUMBER(R2260),R2260&lt;TODAY()),AND(OR(N2260="PENDENTE",N2260="PARCIAL"),D2260&lt;TODAY()-1)),"CRÍTICO",IF(OR(AND(P2260&lt;&gt;"",S2260=""),AND(N2260="REALIZADO",M2260="PENDENTE"),AND(ISNUMBER(R2260),R2260=TODAY())),"ATENÇÃO",IF(N(K2260)=0,"PENDENTE","EM ANDAMENTO"))))))</f>
        <v/>
      </c>
      <c r="C2260" s="3">
        <f>IF(D2260="","",IF(V2260=0,"🟢 OK",IF(D2260&lt;corte,"⚪ HISTÓRICO (sem baixa)",IF(AND(ISNUMBER(R2260),R2260&lt;TODAY()),"🔴 PRAZO VENCIDO",IF(AND(OR(N2260="PENDENTE",N2260="PARCIAL"),D2260&lt;TODAY()-1),"🔴 EMBARQUE ATRASADO",IF(AND(N2260="REALIZADO",M2260="PENDENTE"),"🟡 EMBARCADO SEM FATURAR",IF(AND(P2260&lt;&gt;"",S2260="",OR(Q2260="",R2260="")),"🟡 PENDÊNCIA SEM RESPONSÁVEL/PRAZO",IF(AND(ISNUMBER(R2260),R2260=TODAY()),"🟡 VENCE HOJE",IF(AND(P2260&lt;&gt;"",S2260=""),"🟡 PENDÊNCIA ABERTA",IF(AND(N(J2260)&gt;0,N(K2260)&lt;J2260),"🟡 FALTA EXECUTAR",IF(OR(M2260="PENDENTE",M2260="PARCIAL"),"🟡 FATURAMENTO PENDENTE","🟡 EMBARQUE PENDENTE")))))))))))</f>
        <v/>
      </c>
      <c r="D2260" s="4" t="n"/>
      <c r="E2260" s="5" t="n"/>
      <c r="F2260" s="5" t="n"/>
      <c r="G2260" s="5" t="n"/>
      <c r="H2260" s="5" t="n"/>
      <c r="I2260" s="5" t="n"/>
      <c r="J2260" s="6" t="n"/>
      <c r="K2260" s="6" t="n"/>
      <c r="L2260" s="7">
        <f>IF(OR(D2260="",N(J2260)=0),"",MIN(1,N(K2260)/J2260))</f>
        <v/>
      </c>
      <c r="M2260" s="5" t="n"/>
      <c r="N2260" s="5" t="n"/>
      <c r="O2260" s="5" t="n"/>
      <c r="P2260" s="5" t="n"/>
      <c r="Q2260" s="5" t="n"/>
      <c r="R2260" s="4" t="n"/>
      <c r="S2260" s="4" t="n"/>
      <c r="T2260" s="5" t="n"/>
      <c r="U2260" s="8">
        <f>IF(AND(V2260=1,D2260&lt;&gt;""),IF(D2260&gt;=corte,TODAY()-D2260,""),"")</f>
        <v/>
      </c>
      <c r="V2260" s="8">
        <f>IF(D2260="",0,IF(OR(AND(P2260&lt;&gt;"",S2260=""),AND(N(J2260)&gt;0,N(K2260)&lt;J2260),OR(M2260="PENDENTE",M2260="PARCIAL"),OR(N2260="PENDENTE",N2260="PARCIAL")),1,0))</f>
        <v/>
      </c>
      <c r="W2260" s="8">
        <f>IF(AND(V2260=1,D2260&lt;&gt;""),IF(D2260&gt;=corte,(B2260="CRÍTICO")*1E9+(100000-D2260)*10000+10000-ROW(),""),"")</f>
        <v/>
      </c>
      <c r="X2260" s="8">
        <f>IF(AND(V2260=1,D2260=pas_data,E2260=pas_turno),10000-ROW(),"")</f>
        <v/>
      </c>
    </row>
    <row r="2261">
      <c r="A2261" s="3">
        <f>IF(D2261="","","TT-"&amp;TEXT(ROW()-1,"00000"))</f>
        <v/>
      </c>
      <c r="B2261" s="3">
        <f>IF(D2261="","",IF(V2261=0,"CONCLUÍDO",IF(D2261&lt;corte,"HISTÓRICO",IF(OR(AND(ISNUMBER(R2261),R2261&lt;TODAY()),AND(OR(N2261="PENDENTE",N2261="PARCIAL"),D2261&lt;TODAY()-1)),"CRÍTICO",IF(OR(AND(P2261&lt;&gt;"",S2261=""),AND(N2261="REALIZADO",M2261="PENDENTE"),AND(ISNUMBER(R2261),R2261=TODAY())),"ATENÇÃO",IF(N(K2261)=0,"PENDENTE","EM ANDAMENTO"))))))</f>
        <v/>
      </c>
      <c r="C2261" s="3">
        <f>IF(D2261="","",IF(V2261=0,"🟢 OK",IF(D2261&lt;corte,"⚪ HISTÓRICO (sem baixa)",IF(AND(ISNUMBER(R2261),R2261&lt;TODAY()),"🔴 PRAZO VENCIDO",IF(AND(OR(N2261="PENDENTE",N2261="PARCIAL"),D2261&lt;TODAY()-1),"🔴 EMBARQUE ATRASADO",IF(AND(N2261="REALIZADO",M2261="PENDENTE"),"🟡 EMBARCADO SEM FATURAR",IF(AND(P2261&lt;&gt;"",S2261="",OR(Q2261="",R2261="")),"🟡 PENDÊNCIA SEM RESPONSÁVEL/PRAZO",IF(AND(ISNUMBER(R2261),R2261=TODAY()),"🟡 VENCE HOJE",IF(AND(P2261&lt;&gt;"",S2261=""),"🟡 PENDÊNCIA ABERTA",IF(AND(N(J2261)&gt;0,N(K2261)&lt;J2261),"🟡 FALTA EXECUTAR",IF(OR(M2261="PENDENTE",M2261="PARCIAL"),"🟡 FATURAMENTO PENDENTE","🟡 EMBARQUE PENDENTE")))))))))))</f>
        <v/>
      </c>
      <c r="D2261" s="4" t="n"/>
      <c r="E2261" s="5" t="n"/>
      <c r="F2261" s="5" t="n"/>
      <c r="G2261" s="5" t="n"/>
      <c r="H2261" s="5" t="n"/>
      <c r="I2261" s="5" t="n"/>
      <c r="J2261" s="6" t="n"/>
      <c r="K2261" s="6" t="n"/>
      <c r="L2261" s="7">
        <f>IF(OR(D2261="",N(J2261)=0),"",MIN(1,N(K2261)/J2261))</f>
        <v/>
      </c>
      <c r="M2261" s="5" t="n"/>
      <c r="N2261" s="5" t="n"/>
      <c r="O2261" s="5" t="n"/>
      <c r="P2261" s="5" t="n"/>
      <c r="Q2261" s="5" t="n"/>
      <c r="R2261" s="4" t="n"/>
      <c r="S2261" s="4" t="n"/>
      <c r="T2261" s="5" t="n"/>
      <c r="U2261" s="8">
        <f>IF(AND(V2261=1,D2261&lt;&gt;""),IF(D2261&gt;=corte,TODAY()-D2261,""),"")</f>
        <v/>
      </c>
      <c r="V2261" s="8">
        <f>IF(D2261="",0,IF(OR(AND(P2261&lt;&gt;"",S2261=""),AND(N(J2261)&gt;0,N(K2261)&lt;J2261),OR(M2261="PENDENTE",M2261="PARCIAL"),OR(N2261="PENDENTE",N2261="PARCIAL")),1,0))</f>
        <v/>
      </c>
      <c r="W2261" s="8">
        <f>IF(AND(V2261=1,D2261&lt;&gt;""),IF(D2261&gt;=corte,(B2261="CRÍTICO")*1E9+(100000-D2261)*10000+10000-ROW(),""),"")</f>
        <v/>
      </c>
      <c r="X2261" s="8">
        <f>IF(AND(V2261=1,D2261=pas_data,E2261=pas_turno),10000-ROW(),"")</f>
        <v/>
      </c>
    </row>
    <row r="2262">
      <c r="A2262" s="3">
        <f>IF(D2262="","","TT-"&amp;TEXT(ROW()-1,"00000"))</f>
        <v/>
      </c>
      <c r="B2262" s="3">
        <f>IF(D2262="","",IF(V2262=0,"CONCLUÍDO",IF(D2262&lt;corte,"HISTÓRICO",IF(OR(AND(ISNUMBER(R2262),R2262&lt;TODAY()),AND(OR(N2262="PENDENTE",N2262="PARCIAL"),D2262&lt;TODAY()-1)),"CRÍTICO",IF(OR(AND(P2262&lt;&gt;"",S2262=""),AND(N2262="REALIZADO",M2262="PENDENTE"),AND(ISNUMBER(R2262),R2262=TODAY())),"ATENÇÃO",IF(N(K2262)=0,"PENDENTE","EM ANDAMENTO"))))))</f>
        <v/>
      </c>
      <c r="C2262" s="3">
        <f>IF(D2262="","",IF(V2262=0,"🟢 OK",IF(D2262&lt;corte,"⚪ HISTÓRICO (sem baixa)",IF(AND(ISNUMBER(R2262),R2262&lt;TODAY()),"🔴 PRAZO VENCIDO",IF(AND(OR(N2262="PENDENTE",N2262="PARCIAL"),D2262&lt;TODAY()-1),"🔴 EMBARQUE ATRASADO",IF(AND(N2262="REALIZADO",M2262="PENDENTE"),"🟡 EMBARCADO SEM FATURAR",IF(AND(P2262&lt;&gt;"",S2262="",OR(Q2262="",R2262="")),"🟡 PENDÊNCIA SEM RESPONSÁVEL/PRAZO",IF(AND(ISNUMBER(R2262),R2262=TODAY()),"🟡 VENCE HOJE",IF(AND(P2262&lt;&gt;"",S2262=""),"🟡 PENDÊNCIA ABERTA",IF(AND(N(J2262)&gt;0,N(K2262)&lt;J2262),"🟡 FALTA EXECUTAR",IF(OR(M2262="PENDENTE",M2262="PARCIAL"),"🟡 FATURAMENTO PENDENTE","🟡 EMBARQUE PENDENTE")))))))))))</f>
        <v/>
      </c>
      <c r="D2262" s="4" t="n"/>
      <c r="E2262" s="5" t="n"/>
      <c r="F2262" s="5" t="n"/>
      <c r="G2262" s="5" t="n"/>
      <c r="H2262" s="5" t="n"/>
      <c r="I2262" s="5" t="n"/>
      <c r="J2262" s="6" t="n"/>
      <c r="K2262" s="6" t="n"/>
      <c r="L2262" s="7">
        <f>IF(OR(D2262="",N(J2262)=0),"",MIN(1,N(K2262)/J2262))</f>
        <v/>
      </c>
      <c r="M2262" s="5" t="n"/>
      <c r="N2262" s="5" t="n"/>
      <c r="O2262" s="5" t="n"/>
      <c r="P2262" s="5" t="n"/>
      <c r="Q2262" s="5" t="n"/>
      <c r="R2262" s="4" t="n"/>
      <c r="S2262" s="4" t="n"/>
      <c r="T2262" s="5" t="n"/>
      <c r="U2262" s="8">
        <f>IF(AND(V2262=1,D2262&lt;&gt;""),IF(D2262&gt;=corte,TODAY()-D2262,""),"")</f>
        <v/>
      </c>
      <c r="V2262" s="8">
        <f>IF(D2262="",0,IF(OR(AND(P2262&lt;&gt;"",S2262=""),AND(N(J2262)&gt;0,N(K2262)&lt;J2262),OR(M2262="PENDENTE",M2262="PARCIAL"),OR(N2262="PENDENTE",N2262="PARCIAL")),1,0))</f>
        <v/>
      </c>
      <c r="W2262" s="8">
        <f>IF(AND(V2262=1,D2262&lt;&gt;""),IF(D2262&gt;=corte,(B2262="CRÍTICO")*1E9+(100000-D2262)*10000+10000-ROW(),""),"")</f>
        <v/>
      </c>
      <c r="X2262" s="8">
        <f>IF(AND(V2262=1,D2262=pas_data,E2262=pas_turno),10000-ROW(),"")</f>
        <v/>
      </c>
    </row>
    <row r="2263">
      <c r="A2263" s="3">
        <f>IF(D2263="","","TT-"&amp;TEXT(ROW()-1,"00000"))</f>
        <v/>
      </c>
      <c r="B2263" s="3">
        <f>IF(D2263="","",IF(V2263=0,"CONCLUÍDO",IF(D2263&lt;corte,"HISTÓRICO",IF(OR(AND(ISNUMBER(R2263),R2263&lt;TODAY()),AND(OR(N2263="PENDENTE",N2263="PARCIAL"),D2263&lt;TODAY()-1)),"CRÍTICO",IF(OR(AND(P2263&lt;&gt;"",S2263=""),AND(N2263="REALIZADO",M2263="PENDENTE"),AND(ISNUMBER(R2263),R2263=TODAY())),"ATENÇÃO",IF(N(K2263)=0,"PENDENTE","EM ANDAMENTO"))))))</f>
        <v/>
      </c>
      <c r="C2263" s="3">
        <f>IF(D2263="","",IF(V2263=0,"🟢 OK",IF(D2263&lt;corte,"⚪ HISTÓRICO (sem baixa)",IF(AND(ISNUMBER(R2263),R2263&lt;TODAY()),"🔴 PRAZO VENCIDO",IF(AND(OR(N2263="PENDENTE",N2263="PARCIAL"),D2263&lt;TODAY()-1),"🔴 EMBARQUE ATRASADO",IF(AND(N2263="REALIZADO",M2263="PENDENTE"),"🟡 EMBARCADO SEM FATURAR",IF(AND(P2263&lt;&gt;"",S2263="",OR(Q2263="",R2263="")),"🟡 PENDÊNCIA SEM RESPONSÁVEL/PRAZO",IF(AND(ISNUMBER(R2263),R2263=TODAY()),"🟡 VENCE HOJE",IF(AND(P2263&lt;&gt;"",S2263=""),"🟡 PENDÊNCIA ABERTA",IF(AND(N(J2263)&gt;0,N(K2263)&lt;J2263),"🟡 FALTA EXECUTAR",IF(OR(M2263="PENDENTE",M2263="PARCIAL"),"🟡 FATURAMENTO PENDENTE","🟡 EMBARQUE PENDENTE")))))))))))</f>
        <v/>
      </c>
      <c r="D2263" s="4" t="n"/>
      <c r="E2263" s="5" t="n"/>
      <c r="F2263" s="5" t="n"/>
      <c r="G2263" s="5" t="n"/>
      <c r="H2263" s="5" t="n"/>
      <c r="I2263" s="5" t="n"/>
      <c r="J2263" s="6" t="n"/>
      <c r="K2263" s="6" t="n"/>
      <c r="L2263" s="7">
        <f>IF(OR(D2263="",N(J2263)=0),"",MIN(1,N(K2263)/J2263))</f>
        <v/>
      </c>
      <c r="M2263" s="5" t="n"/>
      <c r="N2263" s="5" t="n"/>
      <c r="O2263" s="5" t="n"/>
      <c r="P2263" s="5" t="n"/>
      <c r="Q2263" s="5" t="n"/>
      <c r="R2263" s="4" t="n"/>
      <c r="S2263" s="4" t="n"/>
      <c r="T2263" s="5" t="n"/>
      <c r="U2263" s="8">
        <f>IF(AND(V2263=1,D2263&lt;&gt;""),IF(D2263&gt;=corte,TODAY()-D2263,""),"")</f>
        <v/>
      </c>
      <c r="V2263" s="8">
        <f>IF(D2263="",0,IF(OR(AND(P2263&lt;&gt;"",S2263=""),AND(N(J2263)&gt;0,N(K2263)&lt;J2263),OR(M2263="PENDENTE",M2263="PARCIAL"),OR(N2263="PENDENTE",N2263="PARCIAL")),1,0))</f>
        <v/>
      </c>
      <c r="W2263" s="8">
        <f>IF(AND(V2263=1,D2263&lt;&gt;""),IF(D2263&gt;=corte,(B2263="CRÍTICO")*1E9+(100000-D2263)*10000+10000-ROW(),""),"")</f>
        <v/>
      </c>
      <c r="X2263" s="8">
        <f>IF(AND(V2263=1,D2263=pas_data,E2263=pas_turno),10000-ROW(),"")</f>
        <v/>
      </c>
    </row>
    <row r="2264">
      <c r="A2264" s="3">
        <f>IF(D2264="","","TT-"&amp;TEXT(ROW()-1,"00000"))</f>
        <v/>
      </c>
      <c r="B2264" s="3">
        <f>IF(D2264="","",IF(V2264=0,"CONCLUÍDO",IF(D2264&lt;corte,"HISTÓRICO",IF(OR(AND(ISNUMBER(R2264),R2264&lt;TODAY()),AND(OR(N2264="PENDENTE",N2264="PARCIAL"),D2264&lt;TODAY()-1)),"CRÍTICO",IF(OR(AND(P2264&lt;&gt;"",S2264=""),AND(N2264="REALIZADO",M2264="PENDENTE"),AND(ISNUMBER(R2264),R2264=TODAY())),"ATENÇÃO",IF(N(K2264)=0,"PENDENTE","EM ANDAMENTO"))))))</f>
        <v/>
      </c>
      <c r="C2264" s="3">
        <f>IF(D2264="","",IF(V2264=0,"🟢 OK",IF(D2264&lt;corte,"⚪ HISTÓRICO (sem baixa)",IF(AND(ISNUMBER(R2264),R2264&lt;TODAY()),"🔴 PRAZO VENCIDO",IF(AND(OR(N2264="PENDENTE",N2264="PARCIAL"),D2264&lt;TODAY()-1),"🔴 EMBARQUE ATRASADO",IF(AND(N2264="REALIZADO",M2264="PENDENTE"),"🟡 EMBARCADO SEM FATURAR",IF(AND(P2264&lt;&gt;"",S2264="",OR(Q2264="",R2264="")),"🟡 PENDÊNCIA SEM RESPONSÁVEL/PRAZO",IF(AND(ISNUMBER(R2264),R2264=TODAY()),"🟡 VENCE HOJE",IF(AND(P2264&lt;&gt;"",S2264=""),"🟡 PENDÊNCIA ABERTA",IF(AND(N(J2264)&gt;0,N(K2264)&lt;J2264),"🟡 FALTA EXECUTAR",IF(OR(M2264="PENDENTE",M2264="PARCIAL"),"🟡 FATURAMENTO PENDENTE","🟡 EMBARQUE PENDENTE")))))))))))</f>
        <v/>
      </c>
      <c r="D2264" s="4" t="n"/>
      <c r="E2264" s="5" t="n"/>
      <c r="F2264" s="5" t="n"/>
      <c r="G2264" s="5" t="n"/>
      <c r="H2264" s="5" t="n"/>
      <c r="I2264" s="5" t="n"/>
      <c r="J2264" s="6" t="n"/>
      <c r="K2264" s="6" t="n"/>
      <c r="L2264" s="7">
        <f>IF(OR(D2264="",N(J2264)=0),"",MIN(1,N(K2264)/J2264))</f>
        <v/>
      </c>
      <c r="M2264" s="5" t="n"/>
      <c r="N2264" s="5" t="n"/>
      <c r="O2264" s="5" t="n"/>
      <c r="P2264" s="5" t="n"/>
      <c r="Q2264" s="5" t="n"/>
      <c r="R2264" s="4" t="n"/>
      <c r="S2264" s="4" t="n"/>
      <c r="T2264" s="5" t="n"/>
      <c r="U2264" s="8">
        <f>IF(AND(V2264=1,D2264&lt;&gt;""),IF(D2264&gt;=corte,TODAY()-D2264,""),"")</f>
        <v/>
      </c>
      <c r="V2264" s="8">
        <f>IF(D2264="",0,IF(OR(AND(P2264&lt;&gt;"",S2264=""),AND(N(J2264)&gt;0,N(K2264)&lt;J2264),OR(M2264="PENDENTE",M2264="PARCIAL"),OR(N2264="PENDENTE",N2264="PARCIAL")),1,0))</f>
        <v/>
      </c>
      <c r="W2264" s="8">
        <f>IF(AND(V2264=1,D2264&lt;&gt;""),IF(D2264&gt;=corte,(B2264="CRÍTICO")*1E9+(100000-D2264)*10000+10000-ROW(),""),"")</f>
        <v/>
      </c>
      <c r="X2264" s="8">
        <f>IF(AND(V2264=1,D2264=pas_data,E2264=pas_turno),10000-ROW(),"")</f>
        <v/>
      </c>
    </row>
    <row r="2265">
      <c r="A2265" s="3">
        <f>IF(D2265="","","TT-"&amp;TEXT(ROW()-1,"00000"))</f>
        <v/>
      </c>
      <c r="B2265" s="3">
        <f>IF(D2265="","",IF(V2265=0,"CONCLUÍDO",IF(D2265&lt;corte,"HISTÓRICO",IF(OR(AND(ISNUMBER(R2265),R2265&lt;TODAY()),AND(OR(N2265="PENDENTE",N2265="PARCIAL"),D2265&lt;TODAY()-1)),"CRÍTICO",IF(OR(AND(P2265&lt;&gt;"",S2265=""),AND(N2265="REALIZADO",M2265="PENDENTE"),AND(ISNUMBER(R2265),R2265=TODAY())),"ATENÇÃO",IF(N(K2265)=0,"PENDENTE","EM ANDAMENTO"))))))</f>
        <v/>
      </c>
      <c r="C2265" s="3">
        <f>IF(D2265="","",IF(V2265=0,"🟢 OK",IF(D2265&lt;corte,"⚪ HISTÓRICO (sem baixa)",IF(AND(ISNUMBER(R2265),R2265&lt;TODAY()),"🔴 PRAZO VENCIDO",IF(AND(OR(N2265="PENDENTE",N2265="PARCIAL"),D2265&lt;TODAY()-1),"🔴 EMBARQUE ATRASADO",IF(AND(N2265="REALIZADO",M2265="PENDENTE"),"🟡 EMBARCADO SEM FATURAR",IF(AND(P2265&lt;&gt;"",S2265="",OR(Q2265="",R2265="")),"🟡 PENDÊNCIA SEM RESPONSÁVEL/PRAZO",IF(AND(ISNUMBER(R2265),R2265=TODAY()),"🟡 VENCE HOJE",IF(AND(P2265&lt;&gt;"",S2265=""),"🟡 PENDÊNCIA ABERTA",IF(AND(N(J2265)&gt;0,N(K2265)&lt;J2265),"🟡 FALTA EXECUTAR",IF(OR(M2265="PENDENTE",M2265="PARCIAL"),"🟡 FATURAMENTO PENDENTE","🟡 EMBARQUE PENDENTE")))))))))))</f>
        <v/>
      </c>
      <c r="D2265" s="4" t="n"/>
      <c r="E2265" s="5" t="n"/>
      <c r="F2265" s="5" t="n"/>
      <c r="G2265" s="5" t="n"/>
      <c r="H2265" s="5" t="n"/>
      <c r="I2265" s="5" t="n"/>
      <c r="J2265" s="6" t="n"/>
      <c r="K2265" s="6" t="n"/>
      <c r="L2265" s="7">
        <f>IF(OR(D2265="",N(J2265)=0),"",MIN(1,N(K2265)/J2265))</f>
        <v/>
      </c>
      <c r="M2265" s="5" t="n"/>
      <c r="N2265" s="5" t="n"/>
      <c r="O2265" s="5" t="n"/>
      <c r="P2265" s="5" t="n"/>
      <c r="Q2265" s="5" t="n"/>
      <c r="R2265" s="4" t="n"/>
      <c r="S2265" s="4" t="n"/>
      <c r="T2265" s="5" t="n"/>
      <c r="U2265" s="8">
        <f>IF(AND(V2265=1,D2265&lt;&gt;""),IF(D2265&gt;=corte,TODAY()-D2265,""),"")</f>
        <v/>
      </c>
      <c r="V2265" s="8">
        <f>IF(D2265="",0,IF(OR(AND(P2265&lt;&gt;"",S2265=""),AND(N(J2265)&gt;0,N(K2265)&lt;J2265),OR(M2265="PENDENTE",M2265="PARCIAL"),OR(N2265="PENDENTE",N2265="PARCIAL")),1,0))</f>
        <v/>
      </c>
      <c r="W2265" s="8">
        <f>IF(AND(V2265=1,D2265&lt;&gt;""),IF(D2265&gt;=corte,(B2265="CRÍTICO")*1E9+(100000-D2265)*10000+10000-ROW(),""),"")</f>
        <v/>
      </c>
      <c r="X2265" s="8">
        <f>IF(AND(V2265=1,D2265=pas_data,E2265=pas_turno),10000-ROW(),"")</f>
        <v/>
      </c>
    </row>
    <row r="2266">
      <c r="A2266" s="3">
        <f>IF(D2266="","","TT-"&amp;TEXT(ROW()-1,"00000"))</f>
        <v/>
      </c>
      <c r="B2266" s="3">
        <f>IF(D2266="","",IF(V2266=0,"CONCLUÍDO",IF(D2266&lt;corte,"HISTÓRICO",IF(OR(AND(ISNUMBER(R2266),R2266&lt;TODAY()),AND(OR(N2266="PENDENTE",N2266="PARCIAL"),D2266&lt;TODAY()-1)),"CRÍTICO",IF(OR(AND(P2266&lt;&gt;"",S2266=""),AND(N2266="REALIZADO",M2266="PENDENTE"),AND(ISNUMBER(R2266),R2266=TODAY())),"ATENÇÃO",IF(N(K2266)=0,"PENDENTE","EM ANDAMENTO"))))))</f>
        <v/>
      </c>
      <c r="C2266" s="3">
        <f>IF(D2266="","",IF(V2266=0,"🟢 OK",IF(D2266&lt;corte,"⚪ HISTÓRICO (sem baixa)",IF(AND(ISNUMBER(R2266),R2266&lt;TODAY()),"🔴 PRAZO VENCIDO",IF(AND(OR(N2266="PENDENTE",N2266="PARCIAL"),D2266&lt;TODAY()-1),"🔴 EMBARQUE ATRASADO",IF(AND(N2266="REALIZADO",M2266="PENDENTE"),"🟡 EMBARCADO SEM FATURAR",IF(AND(P2266&lt;&gt;"",S2266="",OR(Q2266="",R2266="")),"🟡 PENDÊNCIA SEM RESPONSÁVEL/PRAZO",IF(AND(ISNUMBER(R2266),R2266=TODAY()),"🟡 VENCE HOJE",IF(AND(P2266&lt;&gt;"",S2266=""),"🟡 PENDÊNCIA ABERTA",IF(AND(N(J2266)&gt;0,N(K2266)&lt;J2266),"🟡 FALTA EXECUTAR",IF(OR(M2266="PENDENTE",M2266="PARCIAL"),"🟡 FATURAMENTO PENDENTE","🟡 EMBARQUE PENDENTE")))))))))))</f>
        <v/>
      </c>
      <c r="D2266" s="4" t="n"/>
      <c r="E2266" s="5" t="n"/>
      <c r="F2266" s="5" t="n"/>
      <c r="G2266" s="5" t="n"/>
      <c r="H2266" s="5" t="n"/>
      <c r="I2266" s="5" t="n"/>
      <c r="J2266" s="6" t="n"/>
      <c r="K2266" s="6" t="n"/>
      <c r="L2266" s="7">
        <f>IF(OR(D2266="",N(J2266)=0),"",MIN(1,N(K2266)/J2266))</f>
        <v/>
      </c>
      <c r="M2266" s="5" t="n"/>
      <c r="N2266" s="5" t="n"/>
      <c r="O2266" s="5" t="n"/>
      <c r="P2266" s="5" t="n"/>
      <c r="Q2266" s="5" t="n"/>
      <c r="R2266" s="4" t="n"/>
      <c r="S2266" s="4" t="n"/>
      <c r="T2266" s="5" t="n"/>
      <c r="U2266" s="8">
        <f>IF(AND(V2266=1,D2266&lt;&gt;""),IF(D2266&gt;=corte,TODAY()-D2266,""),"")</f>
        <v/>
      </c>
      <c r="V2266" s="8">
        <f>IF(D2266="",0,IF(OR(AND(P2266&lt;&gt;"",S2266=""),AND(N(J2266)&gt;0,N(K2266)&lt;J2266),OR(M2266="PENDENTE",M2266="PARCIAL"),OR(N2266="PENDENTE",N2266="PARCIAL")),1,0))</f>
        <v/>
      </c>
      <c r="W2266" s="8">
        <f>IF(AND(V2266=1,D2266&lt;&gt;""),IF(D2266&gt;=corte,(B2266="CRÍTICO")*1E9+(100000-D2266)*10000+10000-ROW(),""),"")</f>
        <v/>
      </c>
      <c r="X2266" s="8">
        <f>IF(AND(V2266=1,D2266=pas_data,E2266=pas_turno),10000-ROW(),"")</f>
        <v/>
      </c>
    </row>
    <row r="2267">
      <c r="A2267" s="3">
        <f>IF(D2267="","","TT-"&amp;TEXT(ROW()-1,"00000"))</f>
        <v/>
      </c>
      <c r="B2267" s="3">
        <f>IF(D2267="","",IF(V2267=0,"CONCLUÍDO",IF(D2267&lt;corte,"HISTÓRICO",IF(OR(AND(ISNUMBER(R2267),R2267&lt;TODAY()),AND(OR(N2267="PENDENTE",N2267="PARCIAL"),D2267&lt;TODAY()-1)),"CRÍTICO",IF(OR(AND(P2267&lt;&gt;"",S2267=""),AND(N2267="REALIZADO",M2267="PENDENTE"),AND(ISNUMBER(R2267),R2267=TODAY())),"ATENÇÃO",IF(N(K2267)=0,"PENDENTE","EM ANDAMENTO"))))))</f>
        <v/>
      </c>
      <c r="C2267" s="3">
        <f>IF(D2267="","",IF(V2267=0,"🟢 OK",IF(D2267&lt;corte,"⚪ HISTÓRICO (sem baixa)",IF(AND(ISNUMBER(R2267),R2267&lt;TODAY()),"🔴 PRAZO VENCIDO",IF(AND(OR(N2267="PENDENTE",N2267="PARCIAL"),D2267&lt;TODAY()-1),"🔴 EMBARQUE ATRASADO",IF(AND(N2267="REALIZADO",M2267="PENDENTE"),"🟡 EMBARCADO SEM FATURAR",IF(AND(P2267&lt;&gt;"",S2267="",OR(Q2267="",R2267="")),"🟡 PENDÊNCIA SEM RESPONSÁVEL/PRAZO",IF(AND(ISNUMBER(R2267),R2267=TODAY()),"🟡 VENCE HOJE",IF(AND(P2267&lt;&gt;"",S2267=""),"🟡 PENDÊNCIA ABERTA",IF(AND(N(J2267)&gt;0,N(K2267)&lt;J2267),"🟡 FALTA EXECUTAR",IF(OR(M2267="PENDENTE",M2267="PARCIAL"),"🟡 FATURAMENTO PENDENTE","🟡 EMBARQUE PENDENTE")))))))))))</f>
        <v/>
      </c>
      <c r="D2267" s="4" t="n"/>
      <c r="E2267" s="5" t="n"/>
      <c r="F2267" s="5" t="n"/>
      <c r="G2267" s="5" t="n"/>
      <c r="H2267" s="5" t="n"/>
      <c r="I2267" s="5" t="n"/>
      <c r="J2267" s="6" t="n"/>
      <c r="K2267" s="6" t="n"/>
      <c r="L2267" s="7">
        <f>IF(OR(D2267="",N(J2267)=0),"",MIN(1,N(K2267)/J2267))</f>
        <v/>
      </c>
      <c r="M2267" s="5" t="n"/>
      <c r="N2267" s="5" t="n"/>
      <c r="O2267" s="5" t="n"/>
      <c r="P2267" s="5" t="n"/>
      <c r="Q2267" s="5" t="n"/>
      <c r="R2267" s="4" t="n"/>
      <c r="S2267" s="4" t="n"/>
      <c r="T2267" s="5" t="n"/>
      <c r="U2267" s="8">
        <f>IF(AND(V2267=1,D2267&lt;&gt;""),IF(D2267&gt;=corte,TODAY()-D2267,""),"")</f>
        <v/>
      </c>
      <c r="V2267" s="8">
        <f>IF(D2267="",0,IF(OR(AND(P2267&lt;&gt;"",S2267=""),AND(N(J2267)&gt;0,N(K2267)&lt;J2267),OR(M2267="PENDENTE",M2267="PARCIAL"),OR(N2267="PENDENTE",N2267="PARCIAL")),1,0))</f>
        <v/>
      </c>
      <c r="W2267" s="8">
        <f>IF(AND(V2267=1,D2267&lt;&gt;""),IF(D2267&gt;=corte,(B2267="CRÍTICO")*1E9+(100000-D2267)*10000+10000-ROW(),""),"")</f>
        <v/>
      </c>
      <c r="X2267" s="8">
        <f>IF(AND(V2267=1,D2267=pas_data,E2267=pas_turno),10000-ROW(),"")</f>
        <v/>
      </c>
    </row>
    <row r="2268">
      <c r="A2268" s="3">
        <f>IF(D2268="","","TT-"&amp;TEXT(ROW()-1,"00000"))</f>
        <v/>
      </c>
      <c r="B2268" s="3">
        <f>IF(D2268="","",IF(V2268=0,"CONCLUÍDO",IF(D2268&lt;corte,"HISTÓRICO",IF(OR(AND(ISNUMBER(R2268),R2268&lt;TODAY()),AND(OR(N2268="PENDENTE",N2268="PARCIAL"),D2268&lt;TODAY()-1)),"CRÍTICO",IF(OR(AND(P2268&lt;&gt;"",S2268=""),AND(N2268="REALIZADO",M2268="PENDENTE"),AND(ISNUMBER(R2268),R2268=TODAY())),"ATENÇÃO",IF(N(K2268)=0,"PENDENTE","EM ANDAMENTO"))))))</f>
        <v/>
      </c>
      <c r="C2268" s="3">
        <f>IF(D2268="","",IF(V2268=0,"🟢 OK",IF(D2268&lt;corte,"⚪ HISTÓRICO (sem baixa)",IF(AND(ISNUMBER(R2268),R2268&lt;TODAY()),"🔴 PRAZO VENCIDO",IF(AND(OR(N2268="PENDENTE",N2268="PARCIAL"),D2268&lt;TODAY()-1),"🔴 EMBARQUE ATRASADO",IF(AND(N2268="REALIZADO",M2268="PENDENTE"),"🟡 EMBARCADO SEM FATURAR",IF(AND(P2268&lt;&gt;"",S2268="",OR(Q2268="",R2268="")),"🟡 PENDÊNCIA SEM RESPONSÁVEL/PRAZO",IF(AND(ISNUMBER(R2268),R2268=TODAY()),"🟡 VENCE HOJE",IF(AND(P2268&lt;&gt;"",S2268=""),"🟡 PENDÊNCIA ABERTA",IF(AND(N(J2268)&gt;0,N(K2268)&lt;J2268),"🟡 FALTA EXECUTAR",IF(OR(M2268="PENDENTE",M2268="PARCIAL"),"🟡 FATURAMENTO PENDENTE","🟡 EMBARQUE PENDENTE")))))))))))</f>
        <v/>
      </c>
      <c r="D2268" s="4" t="n"/>
      <c r="E2268" s="5" t="n"/>
      <c r="F2268" s="5" t="n"/>
      <c r="G2268" s="5" t="n"/>
      <c r="H2268" s="5" t="n"/>
      <c r="I2268" s="5" t="n"/>
      <c r="J2268" s="6" t="n"/>
      <c r="K2268" s="6" t="n"/>
      <c r="L2268" s="7">
        <f>IF(OR(D2268="",N(J2268)=0),"",MIN(1,N(K2268)/J2268))</f>
        <v/>
      </c>
      <c r="M2268" s="5" t="n"/>
      <c r="N2268" s="5" t="n"/>
      <c r="O2268" s="5" t="n"/>
      <c r="P2268" s="5" t="n"/>
      <c r="Q2268" s="5" t="n"/>
      <c r="R2268" s="4" t="n"/>
      <c r="S2268" s="4" t="n"/>
      <c r="T2268" s="5" t="n"/>
      <c r="U2268" s="8">
        <f>IF(AND(V2268=1,D2268&lt;&gt;""),IF(D2268&gt;=corte,TODAY()-D2268,""),"")</f>
        <v/>
      </c>
      <c r="V2268" s="8">
        <f>IF(D2268="",0,IF(OR(AND(P2268&lt;&gt;"",S2268=""),AND(N(J2268)&gt;0,N(K2268)&lt;J2268),OR(M2268="PENDENTE",M2268="PARCIAL"),OR(N2268="PENDENTE",N2268="PARCIAL")),1,0))</f>
        <v/>
      </c>
      <c r="W2268" s="8">
        <f>IF(AND(V2268=1,D2268&lt;&gt;""),IF(D2268&gt;=corte,(B2268="CRÍTICO")*1E9+(100000-D2268)*10000+10000-ROW(),""),"")</f>
        <v/>
      </c>
      <c r="X2268" s="8">
        <f>IF(AND(V2268=1,D2268=pas_data,E2268=pas_turno),10000-ROW(),"")</f>
        <v/>
      </c>
    </row>
    <row r="2269">
      <c r="A2269" s="3">
        <f>IF(D2269="","","TT-"&amp;TEXT(ROW()-1,"00000"))</f>
        <v/>
      </c>
      <c r="B2269" s="3">
        <f>IF(D2269="","",IF(V2269=0,"CONCLUÍDO",IF(D2269&lt;corte,"HISTÓRICO",IF(OR(AND(ISNUMBER(R2269),R2269&lt;TODAY()),AND(OR(N2269="PENDENTE",N2269="PARCIAL"),D2269&lt;TODAY()-1)),"CRÍTICO",IF(OR(AND(P2269&lt;&gt;"",S2269=""),AND(N2269="REALIZADO",M2269="PENDENTE"),AND(ISNUMBER(R2269),R2269=TODAY())),"ATENÇÃO",IF(N(K2269)=0,"PENDENTE","EM ANDAMENTO"))))))</f>
        <v/>
      </c>
      <c r="C2269" s="3">
        <f>IF(D2269="","",IF(V2269=0,"🟢 OK",IF(D2269&lt;corte,"⚪ HISTÓRICO (sem baixa)",IF(AND(ISNUMBER(R2269),R2269&lt;TODAY()),"🔴 PRAZO VENCIDO",IF(AND(OR(N2269="PENDENTE",N2269="PARCIAL"),D2269&lt;TODAY()-1),"🔴 EMBARQUE ATRASADO",IF(AND(N2269="REALIZADO",M2269="PENDENTE"),"🟡 EMBARCADO SEM FATURAR",IF(AND(P2269&lt;&gt;"",S2269="",OR(Q2269="",R2269="")),"🟡 PENDÊNCIA SEM RESPONSÁVEL/PRAZO",IF(AND(ISNUMBER(R2269),R2269=TODAY()),"🟡 VENCE HOJE",IF(AND(P2269&lt;&gt;"",S2269=""),"🟡 PENDÊNCIA ABERTA",IF(AND(N(J2269)&gt;0,N(K2269)&lt;J2269),"🟡 FALTA EXECUTAR",IF(OR(M2269="PENDENTE",M2269="PARCIAL"),"🟡 FATURAMENTO PENDENTE","🟡 EMBARQUE PENDENTE")))))))))))</f>
        <v/>
      </c>
      <c r="D2269" s="4" t="n"/>
      <c r="E2269" s="5" t="n"/>
      <c r="F2269" s="5" t="n"/>
      <c r="G2269" s="5" t="n"/>
      <c r="H2269" s="5" t="n"/>
      <c r="I2269" s="5" t="n"/>
      <c r="J2269" s="6" t="n"/>
      <c r="K2269" s="6" t="n"/>
      <c r="L2269" s="7">
        <f>IF(OR(D2269="",N(J2269)=0),"",MIN(1,N(K2269)/J2269))</f>
        <v/>
      </c>
      <c r="M2269" s="5" t="n"/>
      <c r="N2269" s="5" t="n"/>
      <c r="O2269" s="5" t="n"/>
      <c r="P2269" s="5" t="n"/>
      <c r="Q2269" s="5" t="n"/>
      <c r="R2269" s="4" t="n"/>
      <c r="S2269" s="4" t="n"/>
      <c r="T2269" s="5" t="n"/>
      <c r="U2269" s="8">
        <f>IF(AND(V2269=1,D2269&lt;&gt;""),IF(D2269&gt;=corte,TODAY()-D2269,""),"")</f>
        <v/>
      </c>
      <c r="V2269" s="8">
        <f>IF(D2269="",0,IF(OR(AND(P2269&lt;&gt;"",S2269=""),AND(N(J2269)&gt;0,N(K2269)&lt;J2269),OR(M2269="PENDENTE",M2269="PARCIAL"),OR(N2269="PENDENTE",N2269="PARCIAL")),1,0))</f>
        <v/>
      </c>
      <c r="W2269" s="8">
        <f>IF(AND(V2269=1,D2269&lt;&gt;""),IF(D2269&gt;=corte,(B2269="CRÍTICO")*1E9+(100000-D2269)*10000+10000-ROW(),""),"")</f>
        <v/>
      </c>
      <c r="X2269" s="8">
        <f>IF(AND(V2269=1,D2269=pas_data,E2269=pas_turno),10000-ROW(),"")</f>
        <v/>
      </c>
    </row>
    <row r="2270">
      <c r="A2270" s="3">
        <f>IF(D2270="","","TT-"&amp;TEXT(ROW()-1,"00000"))</f>
        <v/>
      </c>
      <c r="B2270" s="3">
        <f>IF(D2270="","",IF(V2270=0,"CONCLUÍDO",IF(D2270&lt;corte,"HISTÓRICO",IF(OR(AND(ISNUMBER(R2270),R2270&lt;TODAY()),AND(OR(N2270="PENDENTE",N2270="PARCIAL"),D2270&lt;TODAY()-1)),"CRÍTICO",IF(OR(AND(P2270&lt;&gt;"",S2270=""),AND(N2270="REALIZADO",M2270="PENDENTE"),AND(ISNUMBER(R2270),R2270=TODAY())),"ATENÇÃO",IF(N(K2270)=0,"PENDENTE","EM ANDAMENTO"))))))</f>
        <v/>
      </c>
      <c r="C2270" s="3">
        <f>IF(D2270="","",IF(V2270=0,"🟢 OK",IF(D2270&lt;corte,"⚪ HISTÓRICO (sem baixa)",IF(AND(ISNUMBER(R2270),R2270&lt;TODAY()),"🔴 PRAZO VENCIDO",IF(AND(OR(N2270="PENDENTE",N2270="PARCIAL"),D2270&lt;TODAY()-1),"🔴 EMBARQUE ATRASADO",IF(AND(N2270="REALIZADO",M2270="PENDENTE"),"🟡 EMBARCADO SEM FATURAR",IF(AND(P2270&lt;&gt;"",S2270="",OR(Q2270="",R2270="")),"🟡 PENDÊNCIA SEM RESPONSÁVEL/PRAZO",IF(AND(ISNUMBER(R2270),R2270=TODAY()),"🟡 VENCE HOJE",IF(AND(P2270&lt;&gt;"",S2270=""),"🟡 PENDÊNCIA ABERTA",IF(AND(N(J2270)&gt;0,N(K2270)&lt;J2270),"🟡 FALTA EXECUTAR",IF(OR(M2270="PENDENTE",M2270="PARCIAL"),"🟡 FATURAMENTO PENDENTE","🟡 EMBARQUE PENDENTE")))))))))))</f>
        <v/>
      </c>
      <c r="D2270" s="4" t="n"/>
      <c r="E2270" s="5" t="n"/>
      <c r="F2270" s="5" t="n"/>
      <c r="G2270" s="5" t="n"/>
      <c r="H2270" s="5" t="n"/>
      <c r="I2270" s="5" t="n"/>
      <c r="J2270" s="6" t="n"/>
      <c r="K2270" s="6" t="n"/>
      <c r="L2270" s="7">
        <f>IF(OR(D2270="",N(J2270)=0),"",MIN(1,N(K2270)/J2270))</f>
        <v/>
      </c>
      <c r="M2270" s="5" t="n"/>
      <c r="N2270" s="5" t="n"/>
      <c r="O2270" s="5" t="n"/>
      <c r="P2270" s="5" t="n"/>
      <c r="Q2270" s="5" t="n"/>
      <c r="R2270" s="4" t="n"/>
      <c r="S2270" s="4" t="n"/>
      <c r="T2270" s="5" t="n"/>
      <c r="U2270" s="8">
        <f>IF(AND(V2270=1,D2270&lt;&gt;""),IF(D2270&gt;=corte,TODAY()-D2270,""),"")</f>
        <v/>
      </c>
      <c r="V2270" s="8">
        <f>IF(D2270="",0,IF(OR(AND(P2270&lt;&gt;"",S2270=""),AND(N(J2270)&gt;0,N(K2270)&lt;J2270),OR(M2270="PENDENTE",M2270="PARCIAL"),OR(N2270="PENDENTE",N2270="PARCIAL")),1,0))</f>
        <v/>
      </c>
      <c r="W2270" s="8">
        <f>IF(AND(V2270=1,D2270&lt;&gt;""),IF(D2270&gt;=corte,(B2270="CRÍTICO")*1E9+(100000-D2270)*10000+10000-ROW(),""),"")</f>
        <v/>
      </c>
      <c r="X2270" s="8">
        <f>IF(AND(V2270=1,D2270=pas_data,E2270=pas_turno),10000-ROW(),"")</f>
        <v/>
      </c>
    </row>
    <row r="2271">
      <c r="A2271" s="3">
        <f>IF(D2271="","","TT-"&amp;TEXT(ROW()-1,"00000"))</f>
        <v/>
      </c>
      <c r="B2271" s="3">
        <f>IF(D2271="","",IF(V2271=0,"CONCLUÍDO",IF(D2271&lt;corte,"HISTÓRICO",IF(OR(AND(ISNUMBER(R2271),R2271&lt;TODAY()),AND(OR(N2271="PENDENTE",N2271="PARCIAL"),D2271&lt;TODAY()-1)),"CRÍTICO",IF(OR(AND(P2271&lt;&gt;"",S2271=""),AND(N2271="REALIZADO",M2271="PENDENTE"),AND(ISNUMBER(R2271),R2271=TODAY())),"ATENÇÃO",IF(N(K2271)=0,"PENDENTE","EM ANDAMENTO"))))))</f>
        <v/>
      </c>
      <c r="C2271" s="3">
        <f>IF(D2271="","",IF(V2271=0,"🟢 OK",IF(D2271&lt;corte,"⚪ HISTÓRICO (sem baixa)",IF(AND(ISNUMBER(R2271),R2271&lt;TODAY()),"🔴 PRAZO VENCIDO",IF(AND(OR(N2271="PENDENTE",N2271="PARCIAL"),D2271&lt;TODAY()-1),"🔴 EMBARQUE ATRASADO",IF(AND(N2271="REALIZADO",M2271="PENDENTE"),"🟡 EMBARCADO SEM FATURAR",IF(AND(P2271&lt;&gt;"",S2271="",OR(Q2271="",R2271="")),"🟡 PENDÊNCIA SEM RESPONSÁVEL/PRAZO",IF(AND(ISNUMBER(R2271),R2271=TODAY()),"🟡 VENCE HOJE",IF(AND(P2271&lt;&gt;"",S2271=""),"🟡 PENDÊNCIA ABERTA",IF(AND(N(J2271)&gt;0,N(K2271)&lt;J2271),"🟡 FALTA EXECUTAR",IF(OR(M2271="PENDENTE",M2271="PARCIAL"),"🟡 FATURAMENTO PENDENTE","🟡 EMBARQUE PENDENTE")))))))))))</f>
        <v/>
      </c>
      <c r="D2271" s="4" t="n"/>
      <c r="E2271" s="5" t="n"/>
      <c r="F2271" s="5" t="n"/>
      <c r="G2271" s="5" t="n"/>
      <c r="H2271" s="5" t="n"/>
      <c r="I2271" s="5" t="n"/>
      <c r="J2271" s="6" t="n"/>
      <c r="K2271" s="6" t="n"/>
      <c r="L2271" s="7">
        <f>IF(OR(D2271="",N(J2271)=0),"",MIN(1,N(K2271)/J2271))</f>
        <v/>
      </c>
      <c r="M2271" s="5" t="n"/>
      <c r="N2271" s="5" t="n"/>
      <c r="O2271" s="5" t="n"/>
      <c r="P2271" s="5" t="n"/>
      <c r="Q2271" s="5" t="n"/>
      <c r="R2271" s="4" t="n"/>
      <c r="S2271" s="4" t="n"/>
      <c r="T2271" s="5" t="n"/>
      <c r="U2271" s="8">
        <f>IF(AND(V2271=1,D2271&lt;&gt;""),IF(D2271&gt;=corte,TODAY()-D2271,""),"")</f>
        <v/>
      </c>
      <c r="V2271" s="8">
        <f>IF(D2271="",0,IF(OR(AND(P2271&lt;&gt;"",S2271=""),AND(N(J2271)&gt;0,N(K2271)&lt;J2271),OR(M2271="PENDENTE",M2271="PARCIAL"),OR(N2271="PENDENTE",N2271="PARCIAL")),1,0))</f>
        <v/>
      </c>
      <c r="W2271" s="8">
        <f>IF(AND(V2271=1,D2271&lt;&gt;""),IF(D2271&gt;=corte,(B2271="CRÍTICO")*1E9+(100000-D2271)*10000+10000-ROW(),""),"")</f>
        <v/>
      </c>
      <c r="X2271" s="8">
        <f>IF(AND(V2271=1,D2271=pas_data,E2271=pas_turno),10000-ROW(),"")</f>
        <v/>
      </c>
    </row>
    <row r="2272">
      <c r="A2272" s="3">
        <f>IF(D2272="","","TT-"&amp;TEXT(ROW()-1,"00000"))</f>
        <v/>
      </c>
      <c r="B2272" s="3">
        <f>IF(D2272="","",IF(V2272=0,"CONCLUÍDO",IF(D2272&lt;corte,"HISTÓRICO",IF(OR(AND(ISNUMBER(R2272),R2272&lt;TODAY()),AND(OR(N2272="PENDENTE",N2272="PARCIAL"),D2272&lt;TODAY()-1)),"CRÍTICO",IF(OR(AND(P2272&lt;&gt;"",S2272=""),AND(N2272="REALIZADO",M2272="PENDENTE"),AND(ISNUMBER(R2272),R2272=TODAY())),"ATENÇÃO",IF(N(K2272)=0,"PENDENTE","EM ANDAMENTO"))))))</f>
        <v/>
      </c>
      <c r="C2272" s="3">
        <f>IF(D2272="","",IF(V2272=0,"🟢 OK",IF(D2272&lt;corte,"⚪ HISTÓRICO (sem baixa)",IF(AND(ISNUMBER(R2272),R2272&lt;TODAY()),"🔴 PRAZO VENCIDO",IF(AND(OR(N2272="PENDENTE",N2272="PARCIAL"),D2272&lt;TODAY()-1),"🔴 EMBARQUE ATRASADO",IF(AND(N2272="REALIZADO",M2272="PENDENTE"),"🟡 EMBARCADO SEM FATURAR",IF(AND(P2272&lt;&gt;"",S2272="",OR(Q2272="",R2272="")),"🟡 PENDÊNCIA SEM RESPONSÁVEL/PRAZO",IF(AND(ISNUMBER(R2272),R2272=TODAY()),"🟡 VENCE HOJE",IF(AND(P2272&lt;&gt;"",S2272=""),"🟡 PENDÊNCIA ABERTA",IF(AND(N(J2272)&gt;0,N(K2272)&lt;J2272),"🟡 FALTA EXECUTAR",IF(OR(M2272="PENDENTE",M2272="PARCIAL"),"🟡 FATURAMENTO PENDENTE","🟡 EMBARQUE PENDENTE")))))))))))</f>
        <v/>
      </c>
      <c r="D2272" s="4" t="n"/>
      <c r="E2272" s="5" t="n"/>
      <c r="F2272" s="5" t="n"/>
      <c r="G2272" s="5" t="n"/>
      <c r="H2272" s="5" t="n"/>
      <c r="I2272" s="5" t="n"/>
      <c r="J2272" s="6" t="n"/>
      <c r="K2272" s="6" t="n"/>
      <c r="L2272" s="7">
        <f>IF(OR(D2272="",N(J2272)=0),"",MIN(1,N(K2272)/J2272))</f>
        <v/>
      </c>
      <c r="M2272" s="5" t="n"/>
      <c r="N2272" s="5" t="n"/>
      <c r="O2272" s="5" t="n"/>
      <c r="P2272" s="5" t="n"/>
      <c r="Q2272" s="5" t="n"/>
      <c r="R2272" s="4" t="n"/>
      <c r="S2272" s="4" t="n"/>
      <c r="T2272" s="5" t="n"/>
      <c r="U2272" s="8">
        <f>IF(AND(V2272=1,D2272&lt;&gt;""),IF(D2272&gt;=corte,TODAY()-D2272,""),"")</f>
        <v/>
      </c>
      <c r="V2272" s="8">
        <f>IF(D2272="",0,IF(OR(AND(P2272&lt;&gt;"",S2272=""),AND(N(J2272)&gt;0,N(K2272)&lt;J2272),OR(M2272="PENDENTE",M2272="PARCIAL"),OR(N2272="PENDENTE",N2272="PARCIAL")),1,0))</f>
        <v/>
      </c>
      <c r="W2272" s="8">
        <f>IF(AND(V2272=1,D2272&lt;&gt;""),IF(D2272&gt;=corte,(B2272="CRÍTICO")*1E9+(100000-D2272)*10000+10000-ROW(),""),"")</f>
        <v/>
      </c>
      <c r="X2272" s="8">
        <f>IF(AND(V2272=1,D2272=pas_data,E2272=pas_turno),10000-ROW(),"")</f>
        <v/>
      </c>
    </row>
    <row r="2273">
      <c r="A2273" s="3">
        <f>IF(D2273="","","TT-"&amp;TEXT(ROW()-1,"00000"))</f>
        <v/>
      </c>
      <c r="B2273" s="3">
        <f>IF(D2273="","",IF(V2273=0,"CONCLUÍDO",IF(D2273&lt;corte,"HISTÓRICO",IF(OR(AND(ISNUMBER(R2273),R2273&lt;TODAY()),AND(OR(N2273="PENDENTE",N2273="PARCIAL"),D2273&lt;TODAY()-1)),"CRÍTICO",IF(OR(AND(P2273&lt;&gt;"",S2273=""),AND(N2273="REALIZADO",M2273="PENDENTE"),AND(ISNUMBER(R2273),R2273=TODAY())),"ATENÇÃO",IF(N(K2273)=0,"PENDENTE","EM ANDAMENTO"))))))</f>
        <v/>
      </c>
      <c r="C2273" s="3">
        <f>IF(D2273="","",IF(V2273=0,"🟢 OK",IF(D2273&lt;corte,"⚪ HISTÓRICO (sem baixa)",IF(AND(ISNUMBER(R2273),R2273&lt;TODAY()),"🔴 PRAZO VENCIDO",IF(AND(OR(N2273="PENDENTE",N2273="PARCIAL"),D2273&lt;TODAY()-1),"🔴 EMBARQUE ATRASADO",IF(AND(N2273="REALIZADO",M2273="PENDENTE"),"🟡 EMBARCADO SEM FATURAR",IF(AND(P2273&lt;&gt;"",S2273="",OR(Q2273="",R2273="")),"🟡 PENDÊNCIA SEM RESPONSÁVEL/PRAZO",IF(AND(ISNUMBER(R2273),R2273=TODAY()),"🟡 VENCE HOJE",IF(AND(P2273&lt;&gt;"",S2273=""),"🟡 PENDÊNCIA ABERTA",IF(AND(N(J2273)&gt;0,N(K2273)&lt;J2273),"🟡 FALTA EXECUTAR",IF(OR(M2273="PENDENTE",M2273="PARCIAL"),"🟡 FATURAMENTO PENDENTE","🟡 EMBARQUE PENDENTE")))))))))))</f>
        <v/>
      </c>
      <c r="D2273" s="4" t="n"/>
      <c r="E2273" s="5" t="n"/>
      <c r="F2273" s="5" t="n"/>
      <c r="G2273" s="5" t="n"/>
      <c r="H2273" s="5" t="n"/>
      <c r="I2273" s="5" t="n"/>
      <c r="J2273" s="6" t="n"/>
      <c r="K2273" s="6" t="n"/>
      <c r="L2273" s="7">
        <f>IF(OR(D2273="",N(J2273)=0),"",MIN(1,N(K2273)/J2273))</f>
        <v/>
      </c>
      <c r="M2273" s="5" t="n"/>
      <c r="N2273" s="5" t="n"/>
      <c r="O2273" s="5" t="n"/>
      <c r="P2273" s="5" t="n"/>
      <c r="Q2273" s="5" t="n"/>
      <c r="R2273" s="4" t="n"/>
      <c r="S2273" s="4" t="n"/>
      <c r="T2273" s="5" t="n"/>
      <c r="U2273" s="8">
        <f>IF(AND(V2273=1,D2273&lt;&gt;""),IF(D2273&gt;=corte,TODAY()-D2273,""),"")</f>
        <v/>
      </c>
      <c r="V2273" s="8">
        <f>IF(D2273="",0,IF(OR(AND(P2273&lt;&gt;"",S2273=""),AND(N(J2273)&gt;0,N(K2273)&lt;J2273),OR(M2273="PENDENTE",M2273="PARCIAL"),OR(N2273="PENDENTE",N2273="PARCIAL")),1,0))</f>
        <v/>
      </c>
      <c r="W2273" s="8">
        <f>IF(AND(V2273=1,D2273&lt;&gt;""),IF(D2273&gt;=corte,(B2273="CRÍTICO")*1E9+(100000-D2273)*10000+10000-ROW(),""),"")</f>
        <v/>
      </c>
      <c r="X2273" s="8">
        <f>IF(AND(V2273=1,D2273=pas_data,E2273=pas_turno),10000-ROW(),"")</f>
        <v/>
      </c>
    </row>
    <row r="2274">
      <c r="A2274" s="3">
        <f>IF(D2274="","","TT-"&amp;TEXT(ROW()-1,"00000"))</f>
        <v/>
      </c>
      <c r="B2274" s="3">
        <f>IF(D2274="","",IF(V2274=0,"CONCLUÍDO",IF(D2274&lt;corte,"HISTÓRICO",IF(OR(AND(ISNUMBER(R2274),R2274&lt;TODAY()),AND(OR(N2274="PENDENTE",N2274="PARCIAL"),D2274&lt;TODAY()-1)),"CRÍTICO",IF(OR(AND(P2274&lt;&gt;"",S2274=""),AND(N2274="REALIZADO",M2274="PENDENTE"),AND(ISNUMBER(R2274),R2274=TODAY())),"ATENÇÃO",IF(N(K2274)=0,"PENDENTE","EM ANDAMENTO"))))))</f>
        <v/>
      </c>
      <c r="C2274" s="3">
        <f>IF(D2274="","",IF(V2274=0,"🟢 OK",IF(D2274&lt;corte,"⚪ HISTÓRICO (sem baixa)",IF(AND(ISNUMBER(R2274),R2274&lt;TODAY()),"🔴 PRAZO VENCIDO",IF(AND(OR(N2274="PENDENTE",N2274="PARCIAL"),D2274&lt;TODAY()-1),"🔴 EMBARQUE ATRASADO",IF(AND(N2274="REALIZADO",M2274="PENDENTE"),"🟡 EMBARCADO SEM FATURAR",IF(AND(P2274&lt;&gt;"",S2274="",OR(Q2274="",R2274="")),"🟡 PENDÊNCIA SEM RESPONSÁVEL/PRAZO",IF(AND(ISNUMBER(R2274),R2274=TODAY()),"🟡 VENCE HOJE",IF(AND(P2274&lt;&gt;"",S2274=""),"🟡 PENDÊNCIA ABERTA",IF(AND(N(J2274)&gt;0,N(K2274)&lt;J2274),"🟡 FALTA EXECUTAR",IF(OR(M2274="PENDENTE",M2274="PARCIAL"),"🟡 FATURAMENTO PENDENTE","🟡 EMBARQUE PENDENTE")))))))))))</f>
        <v/>
      </c>
      <c r="D2274" s="4" t="n"/>
      <c r="E2274" s="5" t="n"/>
      <c r="F2274" s="5" t="n"/>
      <c r="G2274" s="5" t="n"/>
      <c r="H2274" s="5" t="n"/>
      <c r="I2274" s="5" t="n"/>
      <c r="J2274" s="6" t="n"/>
      <c r="K2274" s="6" t="n"/>
      <c r="L2274" s="7">
        <f>IF(OR(D2274="",N(J2274)=0),"",MIN(1,N(K2274)/J2274))</f>
        <v/>
      </c>
      <c r="M2274" s="5" t="n"/>
      <c r="N2274" s="5" t="n"/>
      <c r="O2274" s="5" t="n"/>
      <c r="P2274" s="5" t="n"/>
      <c r="Q2274" s="5" t="n"/>
      <c r="R2274" s="4" t="n"/>
      <c r="S2274" s="4" t="n"/>
      <c r="T2274" s="5" t="n"/>
      <c r="U2274" s="8">
        <f>IF(AND(V2274=1,D2274&lt;&gt;""),IF(D2274&gt;=corte,TODAY()-D2274,""),"")</f>
        <v/>
      </c>
      <c r="V2274" s="8">
        <f>IF(D2274="",0,IF(OR(AND(P2274&lt;&gt;"",S2274=""),AND(N(J2274)&gt;0,N(K2274)&lt;J2274),OR(M2274="PENDENTE",M2274="PARCIAL"),OR(N2274="PENDENTE",N2274="PARCIAL")),1,0))</f>
        <v/>
      </c>
      <c r="W2274" s="8">
        <f>IF(AND(V2274=1,D2274&lt;&gt;""),IF(D2274&gt;=corte,(B2274="CRÍTICO")*1E9+(100000-D2274)*10000+10000-ROW(),""),"")</f>
        <v/>
      </c>
      <c r="X2274" s="8">
        <f>IF(AND(V2274=1,D2274=pas_data,E2274=pas_turno),10000-ROW(),"")</f>
        <v/>
      </c>
    </row>
    <row r="2275">
      <c r="A2275" s="3">
        <f>IF(D2275="","","TT-"&amp;TEXT(ROW()-1,"00000"))</f>
        <v/>
      </c>
      <c r="B2275" s="3">
        <f>IF(D2275="","",IF(V2275=0,"CONCLUÍDO",IF(D2275&lt;corte,"HISTÓRICO",IF(OR(AND(ISNUMBER(R2275),R2275&lt;TODAY()),AND(OR(N2275="PENDENTE",N2275="PARCIAL"),D2275&lt;TODAY()-1)),"CRÍTICO",IF(OR(AND(P2275&lt;&gt;"",S2275=""),AND(N2275="REALIZADO",M2275="PENDENTE"),AND(ISNUMBER(R2275),R2275=TODAY())),"ATENÇÃO",IF(N(K2275)=0,"PENDENTE","EM ANDAMENTO"))))))</f>
        <v/>
      </c>
      <c r="C2275" s="3">
        <f>IF(D2275="","",IF(V2275=0,"🟢 OK",IF(D2275&lt;corte,"⚪ HISTÓRICO (sem baixa)",IF(AND(ISNUMBER(R2275),R2275&lt;TODAY()),"🔴 PRAZO VENCIDO",IF(AND(OR(N2275="PENDENTE",N2275="PARCIAL"),D2275&lt;TODAY()-1),"🔴 EMBARQUE ATRASADO",IF(AND(N2275="REALIZADO",M2275="PENDENTE"),"🟡 EMBARCADO SEM FATURAR",IF(AND(P2275&lt;&gt;"",S2275="",OR(Q2275="",R2275="")),"🟡 PENDÊNCIA SEM RESPONSÁVEL/PRAZO",IF(AND(ISNUMBER(R2275),R2275=TODAY()),"🟡 VENCE HOJE",IF(AND(P2275&lt;&gt;"",S2275=""),"🟡 PENDÊNCIA ABERTA",IF(AND(N(J2275)&gt;0,N(K2275)&lt;J2275),"🟡 FALTA EXECUTAR",IF(OR(M2275="PENDENTE",M2275="PARCIAL"),"🟡 FATURAMENTO PENDENTE","🟡 EMBARQUE PENDENTE")))))))))))</f>
        <v/>
      </c>
      <c r="D2275" s="4" t="n"/>
      <c r="E2275" s="5" t="n"/>
      <c r="F2275" s="5" t="n"/>
      <c r="G2275" s="5" t="n"/>
      <c r="H2275" s="5" t="n"/>
      <c r="I2275" s="5" t="n"/>
      <c r="J2275" s="6" t="n"/>
      <c r="K2275" s="6" t="n"/>
      <c r="L2275" s="7">
        <f>IF(OR(D2275="",N(J2275)=0),"",MIN(1,N(K2275)/J2275))</f>
        <v/>
      </c>
      <c r="M2275" s="5" t="n"/>
      <c r="N2275" s="5" t="n"/>
      <c r="O2275" s="5" t="n"/>
      <c r="P2275" s="5" t="n"/>
      <c r="Q2275" s="5" t="n"/>
      <c r="R2275" s="4" t="n"/>
      <c r="S2275" s="4" t="n"/>
      <c r="T2275" s="5" t="n"/>
      <c r="U2275" s="8">
        <f>IF(AND(V2275=1,D2275&lt;&gt;""),IF(D2275&gt;=corte,TODAY()-D2275,""),"")</f>
        <v/>
      </c>
      <c r="V2275" s="8">
        <f>IF(D2275="",0,IF(OR(AND(P2275&lt;&gt;"",S2275=""),AND(N(J2275)&gt;0,N(K2275)&lt;J2275),OR(M2275="PENDENTE",M2275="PARCIAL"),OR(N2275="PENDENTE",N2275="PARCIAL")),1,0))</f>
        <v/>
      </c>
      <c r="W2275" s="8">
        <f>IF(AND(V2275=1,D2275&lt;&gt;""),IF(D2275&gt;=corte,(B2275="CRÍTICO")*1E9+(100000-D2275)*10000+10000-ROW(),""),"")</f>
        <v/>
      </c>
      <c r="X2275" s="8">
        <f>IF(AND(V2275=1,D2275=pas_data,E2275=pas_turno),10000-ROW(),"")</f>
        <v/>
      </c>
    </row>
    <row r="2276">
      <c r="A2276" s="3">
        <f>IF(D2276="","","TT-"&amp;TEXT(ROW()-1,"00000"))</f>
        <v/>
      </c>
      <c r="B2276" s="3">
        <f>IF(D2276="","",IF(V2276=0,"CONCLUÍDO",IF(D2276&lt;corte,"HISTÓRICO",IF(OR(AND(ISNUMBER(R2276),R2276&lt;TODAY()),AND(OR(N2276="PENDENTE",N2276="PARCIAL"),D2276&lt;TODAY()-1)),"CRÍTICO",IF(OR(AND(P2276&lt;&gt;"",S2276=""),AND(N2276="REALIZADO",M2276="PENDENTE"),AND(ISNUMBER(R2276),R2276=TODAY())),"ATENÇÃO",IF(N(K2276)=0,"PENDENTE","EM ANDAMENTO"))))))</f>
        <v/>
      </c>
      <c r="C2276" s="3">
        <f>IF(D2276="","",IF(V2276=0,"🟢 OK",IF(D2276&lt;corte,"⚪ HISTÓRICO (sem baixa)",IF(AND(ISNUMBER(R2276),R2276&lt;TODAY()),"🔴 PRAZO VENCIDO",IF(AND(OR(N2276="PENDENTE",N2276="PARCIAL"),D2276&lt;TODAY()-1),"🔴 EMBARQUE ATRASADO",IF(AND(N2276="REALIZADO",M2276="PENDENTE"),"🟡 EMBARCADO SEM FATURAR",IF(AND(P2276&lt;&gt;"",S2276="",OR(Q2276="",R2276="")),"🟡 PENDÊNCIA SEM RESPONSÁVEL/PRAZO",IF(AND(ISNUMBER(R2276),R2276=TODAY()),"🟡 VENCE HOJE",IF(AND(P2276&lt;&gt;"",S2276=""),"🟡 PENDÊNCIA ABERTA",IF(AND(N(J2276)&gt;0,N(K2276)&lt;J2276),"🟡 FALTA EXECUTAR",IF(OR(M2276="PENDENTE",M2276="PARCIAL"),"🟡 FATURAMENTO PENDENTE","🟡 EMBARQUE PENDENTE")))))))))))</f>
        <v/>
      </c>
      <c r="D2276" s="4" t="n"/>
      <c r="E2276" s="5" t="n"/>
      <c r="F2276" s="5" t="n"/>
      <c r="G2276" s="5" t="n"/>
      <c r="H2276" s="5" t="n"/>
      <c r="I2276" s="5" t="n"/>
      <c r="J2276" s="6" t="n"/>
      <c r="K2276" s="6" t="n"/>
      <c r="L2276" s="7">
        <f>IF(OR(D2276="",N(J2276)=0),"",MIN(1,N(K2276)/J2276))</f>
        <v/>
      </c>
      <c r="M2276" s="5" t="n"/>
      <c r="N2276" s="5" t="n"/>
      <c r="O2276" s="5" t="n"/>
      <c r="P2276" s="5" t="n"/>
      <c r="Q2276" s="5" t="n"/>
      <c r="R2276" s="4" t="n"/>
      <c r="S2276" s="4" t="n"/>
      <c r="T2276" s="5" t="n"/>
      <c r="U2276" s="8">
        <f>IF(AND(V2276=1,D2276&lt;&gt;""),IF(D2276&gt;=corte,TODAY()-D2276,""),"")</f>
        <v/>
      </c>
      <c r="V2276" s="8">
        <f>IF(D2276="",0,IF(OR(AND(P2276&lt;&gt;"",S2276=""),AND(N(J2276)&gt;0,N(K2276)&lt;J2276),OR(M2276="PENDENTE",M2276="PARCIAL"),OR(N2276="PENDENTE",N2276="PARCIAL")),1,0))</f>
        <v/>
      </c>
      <c r="W2276" s="8">
        <f>IF(AND(V2276=1,D2276&lt;&gt;""),IF(D2276&gt;=corte,(B2276="CRÍTICO")*1E9+(100000-D2276)*10000+10000-ROW(),""),"")</f>
        <v/>
      </c>
      <c r="X2276" s="8">
        <f>IF(AND(V2276=1,D2276=pas_data,E2276=pas_turno),10000-ROW(),"")</f>
        <v/>
      </c>
    </row>
    <row r="2277">
      <c r="A2277" s="3">
        <f>IF(D2277="","","TT-"&amp;TEXT(ROW()-1,"00000"))</f>
        <v/>
      </c>
      <c r="B2277" s="3">
        <f>IF(D2277="","",IF(V2277=0,"CONCLUÍDO",IF(D2277&lt;corte,"HISTÓRICO",IF(OR(AND(ISNUMBER(R2277),R2277&lt;TODAY()),AND(OR(N2277="PENDENTE",N2277="PARCIAL"),D2277&lt;TODAY()-1)),"CRÍTICO",IF(OR(AND(P2277&lt;&gt;"",S2277=""),AND(N2277="REALIZADO",M2277="PENDENTE"),AND(ISNUMBER(R2277),R2277=TODAY())),"ATENÇÃO",IF(N(K2277)=0,"PENDENTE","EM ANDAMENTO"))))))</f>
        <v/>
      </c>
      <c r="C2277" s="3">
        <f>IF(D2277="","",IF(V2277=0,"🟢 OK",IF(D2277&lt;corte,"⚪ HISTÓRICO (sem baixa)",IF(AND(ISNUMBER(R2277),R2277&lt;TODAY()),"🔴 PRAZO VENCIDO",IF(AND(OR(N2277="PENDENTE",N2277="PARCIAL"),D2277&lt;TODAY()-1),"🔴 EMBARQUE ATRASADO",IF(AND(N2277="REALIZADO",M2277="PENDENTE"),"🟡 EMBARCADO SEM FATURAR",IF(AND(P2277&lt;&gt;"",S2277="",OR(Q2277="",R2277="")),"🟡 PENDÊNCIA SEM RESPONSÁVEL/PRAZO",IF(AND(ISNUMBER(R2277),R2277=TODAY()),"🟡 VENCE HOJE",IF(AND(P2277&lt;&gt;"",S2277=""),"🟡 PENDÊNCIA ABERTA",IF(AND(N(J2277)&gt;0,N(K2277)&lt;J2277),"🟡 FALTA EXECUTAR",IF(OR(M2277="PENDENTE",M2277="PARCIAL"),"🟡 FATURAMENTO PENDENTE","🟡 EMBARQUE PENDENTE")))))))))))</f>
        <v/>
      </c>
      <c r="D2277" s="4" t="n"/>
      <c r="E2277" s="5" t="n"/>
      <c r="F2277" s="5" t="n"/>
      <c r="G2277" s="5" t="n"/>
      <c r="H2277" s="5" t="n"/>
      <c r="I2277" s="5" t="n"/>
      <c r="J2277" s="6" t="n"/>
      <c r="K2277" s="6" t="n"/>
      <c r="L2277" s="7">
        <f>IF(OR(D2277="",N(J2277)=0),"",MIN(1,N(K2277)/J2277))</f>
        <v/>
      </c>
      <c r="M2277" s="5" t="n"/>
      <c r="N2277" s="5" t="n"/>
      <c r="O2277" s="5" t="n"/>
      <c r="P2277" s="5" t="n"/>
      <c r="Q2277" s="5" t="n"/>
      <c r="R2277" s="4" t="n"/>
      <c r="S2277" s="4" t="n"/>
      <c r="T2277" s="5" t="n"/>
      <c r="U2277" s="8">
        <f>IF(AND(V2277=1,D2277&lt;&gt;""),IF(D2277&gt;=corte,TODAY()-D2277,""),"")</f>
        <v/>
      </c>
      <c r="V2277" s="8">
        <f>IF(D2277="",0,IF(OR(AND(P2277&lt;&gt;"",S2277=""),AND(N(J2277)&gt;0,N(K2277)&lt;J2277),OR(M2277="PENDENTE",M2277="PARCIAL"),OR(N2277="PENDENTE",N2277="PARCIAL")),1,0))</f>
        <v/>
      </c>
      <c r="W2277" s="8">
        <f>IF(AND(V2277=1,D2277&lt;&gt;""),IF(D2277&gt;=corte,(B2277="CRÍTICO")*1E9+(100000-D2277)*10000+10000-ROW(),""),"")</f>
        <v/>
      </c>
      <c r="X2277" s="8">
        <f>IF(AND(V2277=1,D2277=pas_data,E2277=pas_turno),10000-ROW(),"")</f>
        <v/>
      </c>
    </row>
    <row r="2278">
      <c r="A2278" s="3">
        <f>IF(D2278="","","TT-"&amp;TEXT(ROW()-1,"00000"))</f>
        <v/>
      </c>
      <c r="B2278" s="3">
        <f>IF(D2278="","",IF(V2278=0,"CONCLUÍDO",IF(D2278&lt;corte,"HISTÓRICO",IF(OR(AND(ISNUMBER(R2278),R2278&lt;TODAY()),AND(OR(N2278="PENDENTE",N2278="PARCIAL"),D2278&lt;TODAY()-1)),"CRÍTICO",IF(OR(AND(P2278&lt;&gt;"",S2278=""),AND(N2278="REALIZADO",M2278="PENDENTE"),AND(ISNUMBER(R2278),R2278=TODAY())),"ATENÇÃO",IF(N(K2278)=0,"PENDENTE","EM ANDAMENTO"))))))</f>
        <v/>
      </c>
      <c r="C2278" s="3">
        <f>IF(D2278="","",IF(V2278=0,"🟢 OK",IF(D2278&lt;corte,"⚪ HISTÓRICO (sem baixa)",IF(AND(ISNUMBER(R2278),R2278&lt;TODAY()),"🔴 PRAZO VENCIDO",IF(AND(OR(N2278="PENDENTE",N2278="PARCIAL"),D2278&lt;TODAY()-1),"🔴 EMBARQUE ATRASADO",IF(AND(N2278="REALIZADO",M2278="PENDENTE"),"🟡 EMBARCADO SEM FATURAR",IF(AND(P2278&lt;&gt;"",S2278="",OR(Q2278="",R2278="")),"🟡 PENDÊNCIA SEM RESPONSÁVEL/PRAZO",IF(AND(ISNUMBER(R2278),R2278=TODAY()),"🟡 VENCE HOJE",IF(AND(P2278&lt;&gt;"",S2278=""),"🟡 PENDÊNCIA ABERTA",IF(AND(N(J2278)&gt;0,N(K2278)&lt;J2278),"🟡 FALTA EXECUTAR",IF(OR(M2278="PENDENTE",M2278="PARCIAL"),"🟡 FATURAMENTO PENDENTE","🟡 EMBARQUE PENDENTE")))))))))))</f>
        <v/>
      </c>
      <c r="D2278" s="4" t="n"/>
      <c r="E2278" s="5" t="n"/>
      <c r="F2278" s="5" t="n"/>
      <c r="G2278" s="5" t="n"/>
      <c r="H2278" s="5" t="n"/>
      <c r="I2278" s="5" t="n"/>
      <c r="J2278" s="6" t="n"/>
      <c r="K2278" s="6" t="n"/>
      <c r="L2278" s="7">
        <f>IF(OR(D2278="",N(J2278)=0),"",MIN(1,N(K2278)/J2278))</f>
        <v/>
      </c>
      <c r="M2278" s="5" t="n"/>
      <c r="N2278" s="5" t="n"/>
      <c r="O2278" s="5" t="n"/>
      <c r="P2278" s="5" t="n"/>
      <c r="Q2278" s="5" t="n"/>
      <c r="R2278" s="4" t="n"/>
      <c r="S2278" s="4" t="n"/>
      <c r="T2278" s="5" t="n"/>
      <c r="U2278" s="8">
        <f>IF(AND(V2278=1,D2278&lt;&gt;""),IF(D2278&gt;=corte,TODAY()-D2278,""),"")</f>
        <v/>
      </c>
      <c r="V2278" s="8">
        <f>IF(D2278="",0,IF(OR(AND(P2278&lt;&gt;"",S2278=""),AND(N(J2278)&gt;0,N(K2278)&lt;J2278),OR(M2278="PENDENTE",M2278="PARCIAL"),OR(N2278="PENDENTE",N2278="PARCIAL")),1,0))</f>
        <v/>
      </c>
      <c r="W2278" s="8">
        <f>IF(AND(V2278=1,D2278&lt;&gt;""),IF(D2278&gt;=corte,(B2278="CRÍTICO")*1E9+(100000-D2278)*10000+10000-ROW(),""),"")</f>
        <v/>
      </c>
      <c r="X2278" s="8">
        <f>IF(AND(V2278=1,D2278=pas_data,E2278=pas_turno),10000-ROW(),"")</f>
        <v/>
      </c>
    </row>
    <row r="2279">
      <c r="A2279" s="3">
        <f>IF(D2279="","","TT-"&amp;TEXT(ROW()-1,"00000"))</f>
        <v/>
      </c>
      <c r="B2279" s="3">
        <f>IF(D2279="","",IF(V2279=0,"CONCLUÍDO",IF(D2279&lt;corte,"HISTÓRICO",IF(OR(AND(ISNUMBER(R2279),R2279&lt;TODAY()),AND(OR(N2279="PENDENTE",N2279="PARCIAL"),D2279&lt;TODAY()-1)),"CRÍTICO",IF(OR(AND(P2279&lt;&gt;"",S2279=""),AND(N2279="REALIZADO",M2279="PENDENTE"),AND(ISNUMBER(R2279),R2279=TODAY())),"ATENÇÃO",IF(N(K2279)=0,"PENDENTE","EM ANDAMENTO"))))))</f>
        <v/>
      </c>
      <c r="C2279" s="3">
        <f>IF(D2279="","",IF(V2279=0,"🟢 OK",IF(D2279&lt;corte,"⚪ HISTÓRICO (sem baixa)",IF(AND(ISNUMBER(R2279),R2279&lt;TODAY()),"🔴 PRAZO VENCIDO",IF(AND(OR(N2279="PENDENTE",N2279="PARCIAL"),D2279&lt;TODAY()-1),"🔴 EMBARQUE ATRASADO",IF(AND(N2279="REALIZADO",M2279="PENDENTE"),"🟡 EMBARCADO SEM FATURAR",IF(AND(P2279&lt;&gt;"",S2279="",OR(Q2279="",R2279="")),"🟡 PENDÊNCIA SEM RESPONSÁVEL/PRAZO",IF(AND(ISNUMBER(R2279),R2279=TODAY()),"🟡 VENCE HOJE",IF(AND(P2279&lt;&gt;"",S2279=""),"🟡 PENDÊNCIA ABERTA",IF(AND(N(J2279)&gt;0,N(K2279)&lt;J2279),"🟡 FALTA EXECUTAR",IF(OR(M2279="PENDENTE",M2279="PARCIAL"),"🟡 FATURAMENTO PENDENTE","🟡 EMBARQUE PENDENTE")))))))))))</f>
        <v/>
      </c>
      <c r="D2279" s="4" t="n"/>
      <c r="E2279" s="5" t="n"/>
      <c r="F2279" s="5" t="n"/>
      <c r="G2279" s="5" t="n"/>
      <c r="H2279" s="5" t="n"/>
      <c r="I2279" s="5" t="n"/>
      <c r="J2279" s="6" t="n"/>
      <c r="K2279" s="6" t="n"/>
      <c r="L2279" s="7">
        <f>IF(OR(D2279="",N(J2279)=0),"",MIN(1,N(K2279)/J2279))</f>
        <v/>
      </c>
      <c r="M2279" s="5" t="n"/>
      <c r="N2279" s="5" t="n"/>
      <c r="O2279" s="5" t="n"/>
      <c r="P2279" s="5" t="n"/>
      <c r="Q2279" s="5" t="n"/>
      <c r="R2279" s="4" t="n"/>
      <c r="S2279" s="4" t="n"/>
      <c r="T2279" s="5" t="n"/>
      <c r="U2279" s="8">
        <f>IF(AND(V2279=1,D2279&lt;&gt;""),IF(D2279&gt;=corte,TODAY()-D2279,""),"")</f>
        <v/>
      </c>
      <c r="V2279" s="8">
        <f>IF(D2279="",0,IF(OR(AND(P2279&lt;&gt;"",S2279=""),AND(N(J2279)&gt;0,N(K2279)&lt;J2279),OR(M2279="PENDENTE",M2279="PARCIAL"),OR(N2279="PENDENTE",N2279="PARCIAL")),1,0))</f>
        <v/>
      </c>
      <c r="W2279" s="8">
        <f>IF(AND(V2279=1,D2279&lt;&gt;""),IF(D2279&gt;=corte,(B2279="CRÍTICO")*1E9+(100000-D2279)*10000+10000-ROW(),""),"")</f>
        <v/>
      </c>
      <c r="X2279" s="8">
        <f>IF(AND(V2279=1,D2279=pas_data,E2279=pas_turno),10000-ROW(),"")</f>
        <v/>
      </c>
    </row>
    <row r="2280">
      <c r="A2280" s="3">
        <f>IF(D2280="","","TT-"&amp;TEXT(ROW()-1,"00000"))</f>
        <v/>
      </c>
      <c r="B2280" s="3">
        <f>IF(D2280="","",IF(V2280=0,"CONCLUÍDO",IF(D2280&lt;corte,"HISTÓRICO",IF(OR(AND(ISNUMBER(R2280),R2280&lt;TODAY()),AND(OR(N2280="PENDENTE",N2280="PARCIAL"),D2280&lt;TODAY()-1)),"CRÍTICO",IF(OR(AND(P2280&lt;&gt;"",S2280=""),AND(N2280="REALIZADO",M2280="PENDENTE"),AND(ISNUMBER(R2280),R2280=TODAY())),"ATENÇÃO",IF(N(K2280)=0,"PENDENTE","EM ANDAMENTO"))))))</f>
        <v/>
      </c>
      <c r="C2280" s="3">
        <f>IF(D2280="","",IF(V2280=0,"🟢 OK",IF(D2280&lt;corte,"⚪ HISTÓRICO (sem baixa)",IF(AND(ISNUMBER(R2280),R2280&lt;TODAY()),"🔴 PRAZO VENCIDO",IF(AND(OR(N2280="PENDENTE",N2280="PARCIAL"),D2280&lt;TODAY()-1),"🔴 EMBARQUE ATRASADO",IF(AND(N2280="REALIZADO",M2280="PENDENTE"),"🟡 EMBARCADO SEM FATURAR",IF(AND(P2280&lt;&gt;"",S2280="",OR(Q2280="",R2280="")),"🟡 PENDÊNCIA SEM RESPONSÁVEL/PRAZO",IF(AND(ISNUMBER(R2280),R2280=TODAY()),"🟡 VENCE HOJE",IF(AND(P2280&lt;&gt;"",S2280=""),"🟡 PENDÊNCIA ABERTA",IF(AND(N(J2280)&gt;0,N(K2280)&lt;J2280),"🟡 FALTA EXECUTAR",IF(OR(M2280="PENDENTE",M2280="PARCIAL"),"🟡 FATURAMENTO PENDENTE","🟡 EMBARQUE PENDENTE")))))))))))</f>
        <v/>
      </c>
      <c r="D2280" s="4" t="n"/>
      <c r="E2280" s="5" t="n"/>
      <c r="F2280" s="5" t="n"/>
      <c r="G2280" s="5" t="n"/>
      <c r="H2280" s="5" t="n"/>
      <c r="I2280" s="5" t="n"/>
      <c r="J2280" s="6" t="n"/>
      <c r="K2280" s="6" t="n"/>
      <c r="L2280" s="7">
        <f>IF(OR(D2280="",N(J2280)=0),"",MIN(1,N(K2280)/J2280))</f>
        <v/>
      </c>
      <c r="M2280" s="5" t="n"/>
      <c r="N2280" s="5" t="n"/>
      <c r="O2280" s="5" t="n"/>
      <c r="P2280" s="5" t="n"/>
      <c r="Q2280" s="5" t="n"/>
      <c r="R2280" s="4" t="n"/>
      <c r="S2280" s="4" t="n"/>
      <c r="T2280" s="5" t="n"/>
      <c r="U2280" s="8">
        <f>IF(AND(V2280=1,D2280&lt;&gt;""),IF(D2280&gt;=corte,TODAY()-D2280,""),"")</f>
        <v/>
      </c>
      <c r="V2280" s="8">
        <f>IF(D2280="",0,IF(OR(AND(P2280&lt;&gt;"",S2280=""),AND(N(J2280)&gt;0,N(K2280)&lt;J2280),OR(M2280="PENDENTE",M2280="PARCIAL"),OR(N2280="PENDENTE",N2280="PARCIAL")),1,0))</f>
        <v/>
      </c>
      <c r="W2280" s="8">
        <f>IF(AND(V2280=1,D2280&lt;&gt;""),IF(D2280&gt;=corte,(B2280="CRÍTICO")*1E9+(100000-D2280)*10000+10000-ROW(),""),"")</f>
        <v/>
      </c>
      <c r="X2280" s="8">
        <f>IF(AND(V2280=1,D2280=pas_data,E2280=pas_turno),10000-ROW(),"")</f>
        <v/>
      </c>
    </row>
    <row r="2281">
      <c r="A2281" s="3">
        <f>IF(D2281="","","TT-"&amp;TEXT(ROW()-1,"00000"))</f>
        <v/>
      </c>
      <c r="B2281" s="3">
        <f>IF(D2281="","",IF(V2281=0,"CONCLUÍDO",IF(D2281&lt;corte,"HISTÓRICO",IF(OR(AND(ISNUMBER(R2281),R2281&lt;TODAY()),AND(OR(N2281="PENDENTE",N2281="PARCIAL"),D2281&lt;TODAY()-1)),"CRÍTICO",IF(OR(AND(P2281&lt;&gt;"",S2281=""),AND(N2281="REALIZADO",M2281="PENDENTE"),AND(ISNUMBER(R2281),R2281=TODAY())),"ATENÇÃO",IF(N(K2281)=0,"PENDENTE","EM ANDAMENTO"))))))</f>
        <v/>
      </c>
      <c r="C2281" s="3">
        <f>IF(D2281="","",IF(V2281=0,"🟢 OK",IF(D2281&lt;corte,"⚪ HISTÓRICO (sem baixa)",IF(AND(ISNUMBER(R2281),R2281&lt;TODAY()),"🔴 PRAZO VENCIDO",IF(AND(OR(N2281="PENDENTE",N2281="PARCIAL"),D2281&lt;TODAY()-1),"🔴 EMBARQUE ATRASADO",IF(AND(N2281="REALIZADO",M2281="PENDENTE"),"🟡 EMBARCADO SEM FATURAR",IF(AND(P2281&lt;&gt;"",S2281="",OR(Q2281="",R2281="")),"🟡 PENDÊNCIA SEM RESPONSÁVEL/PRAZO",IF(AND(ISNUMBER(R2281),R2281=TODAY()),"🟡 VENCE HOJE",IF(AND(P2281&lt;&gt;"",S2281=""),"🟡 PENDÊNCIA ABERTA",IF(AND(N(J2281)&gt;0,N(K2281)&lt;J2281),"🟡 FALTA EXECUTAR",IF(OR(M2281="PENDENTE",M2281="PARCIAL"),"🟡 FATURAMENTO PENDENTE","🟡 EMBARQUE PENDENTE")))))))))))</f>
        <v/>
      </c>
      <c r="D2281" s="4" t="n"/>
      <c r="E2281" s="5" t="n"/>
      <c r="F2281" s="5" t="n"/>
      <c r="G2281" s="5" t="n"/>
      <c r="H2281" s="5" t="n"/>
      <c r="I2281" s="5" t="n"/>
      <c r="J2281" s="6" t="n"/>
      <c r="K2281" s="6" t="n"/>
      <c r="L2281" s="7">
        <f>IF(OR(D2281="",N(J2281)=0),"",MIN(1,N(K2281)/J2281))</f>
        <v/>
      </c>
      <c r="M2281" s="5" t="n"/>
      <c r="N2281" s="5" t="n"/>
      <c r="O2281" s="5" t="n"/>
      <c r="P2281" s="5" t="n"/>
      <c r="Q2281" s="5" t="n"/>
      <c r="R2281" s="4" t="n"/>
      <c r="S2281" s="4" t="n"/>
      <c r="T2281" s="5" t="n"/>
      <c r="U2281" s="8">
        <f>IF(AND(V2281=1,D2281&lt;&gt;""),IF(D2281&gt;=corte,TODAY()-D2281,""),"")</f>
        <v/>
      </c>
      <c r="V2281" s="8">
        <f>IF(D2281="",0,IF(OR(AND(P2281&lt;&gt;"",S2281=""),AND(N(J2281)&gt;0,N(K2281)&lt;J2281),OR(M2281="PENDENTE",M2281="PARCIAL"),OR(N2281="PENDENTE",N2281="PARCIAL")),1,0))</f>
        <v/>
      </c>
      <c r="W2281" s="8">
        <f>IF(AND(V2281=1,D2281&lt;&gt;""),IF(D2281&gt;=corte,(B2281="CRÍTICO")*1E9+(100000-D2281)*10000+10000-ROW(),""),"")</f>
        <v/>
      </c>
      <c r="X2281" s="8">
        <f>IF(AND(V2281=1,D2281=pas_data,E2281=pas_turno),10000-ROW(),"")</f>
        <v/>
      </c>
    </row>
    <row r="2282">
      <c r="A2282" s="3">
        <f>IF(D2282="","","TT-"&amp;TEXT(ROW()-1,"00000"))</f>
        <v/>
      </c>
      <c r="B2282" s="3">
        <f>IF(D2282="","",IF(V2282=0,"CONCLUÍDO",IF(D2282&lt;corte,"HISTÓRICO",IF(OR(AND(ISNUMBER(R2282),R2282&lt;TODAY()),AND(OR(N2282="PENDENTE",N2282="PARCIAL"),D2282&lt;TODAY()-1)),"CRÍTICO",IF(OR(AND(P2282&lt;&gt;"",S2282=""),AND(N2282="REALIZADO",M2282="PENDENTE"),AND(ISNUMBER(R2282),R2282=TODAY())),"ATENÇÃO",IF(N(K2282)=0,"PENDENTE","EM ANDAMENTO"))))))</f>
        <v/>
      </c>
      <c r="C2282" s="3">
        <f>IF(D2282="","",IF(V2282=0,"🟢 OK",IF(D2282&lt;corte,"⚪ HISTÓRICO (sem baixa)",IF(AND(ISNUMBER(R2282),R2282&lt;TODAY()),"🔴 PRAZO VENCIDO",IF(AND(OR(N2282="PENDENTE",N2282="PARCIAL"),D2282&lt;TODAY()-1),"🔴 EMBARQUE ATRASADO",IF(AND(N2282="REALIZADO",M2282="PENDENTE"),"🟡 EMBARCADO SEM FATURAR",IF(AND(P2282&lt;&gt;"",S2282="",OR(Q2282="",R2282="")),"🟡 PENDÊNCIA SEM RESPONSÁVEL/PRAZO",IF(AND(ISNUMBER(R2282),R2282=TODAY()),"🟡 VENCE HOJE",IF(AND(P2282&lt;&gt;"",S2282=""),"🟡 PENDÊNCIA ABERTA",IF(AND(N(J2282)&gt;0,N(K2282)&lt;J2282),"🟡 FALTA EXECUTAR",IF(OR(M2282="PENDENTE",M2282="PARCIAL"),"🟡 FATURAMENTO PENDENTE","🟡 EMBARQUE PENDENTE")))))))))))</f>
        <v/>
      </c>
      <c r="D2282" s="4" t="n"/>
      <c r="E2282" s="5" t="n"/>
      <c r="F2282" s="5" t="n"/>
      <c r="G2282" s="5" t="n"/>
      <c r="H2282" s="5" t="n"/>
      <c r="I2282" s="5" t="n"/>
      <c r="J2282" s="6" t="n"/>
      <c r="K2282" s="6" t="n"/>
      <c r="L2282" s="7">
        <f>IF(OR(D2282="",N(J2282)=0),"",MIN(1,N(K2282)/J2282))</f>
        <v/>
      </c>
      <c r="M2282" s="5" t="n"/>
      <c r="N2282" s="5" t="n"/>
      <c r="O2282" s="5" t="n"/>
      <c r="P2282" s="5" t="n"/>
      <c r="Q2282" s="5" t="n"/>
      <c r="R2282" s="4" t="n"/>
      <c r="S2282" s="4" t="n"/>
      <c r="T2282" s="5" t="n"/>
      <c r="U2282" s="8">
        <f>IF(AND(V2282=1,D2282&lt;&gt;""),IF(D2282&gt;=corte,TODAY()-D2282,""),"")</f>
        <v/>
      </c>
      <c r="V2282" s="8">
        <f>IF(D2282="",0,IF(OR(AND(P2282&lt;&gt;"",S2282=""),AND(N(J2282)&gt;0,N(K2282)&lt;J2282),OR(M2282="PENDENTE",M2282="PARCIAL"),OR(N2282="PENDENTE",N2282="PARCIAL")),1,0))</f>
        <v/>
      </c>
      <c r="W2282" s="8">
        <f>IF(AND(V2282=1,D2282&lt;&gt;""),IF(D2282&gt;=corte,(B2282="CRÍTICO")*1E9+(100000-D2282)*10000+10000-ROW(),""),"")</f>
        <v/>
      </c>
      <c r="X2282" s="8">
        <f>IF(AND(V2282=1,D2282=pas_data,E2282=pas_turno),10000-ROW(),"")</f>
        <v/>
      </c>
    </row>
    <row r="2283">
      <c r="A2283" s="3">
        <f>IF(D2283="","","TT-"&amp;TEXT(ROW()-1,"00000"))</f>
        <v/>
      </c>
      <c r="B2283" s="3">
        <f>IF(D2283="","",IF(V2283=0,"CONCLUÍDO",IF(D2283&lt;corte,"HISTÓRICO",IF(OR(AND(ISNUMBER(R2283),R2283&lt;TODAY()),AND(OR(N2283="PENDENTE",N2283="PARCIAL"),D2283&lt;TODAY()-1)),"CRÍTICO",IF(OR(AND(P2283&lt;&gt;"",S2283=""),AND(N2283="REALIZADO",M2283="PENDENTE"),AND(ISNUMBER(R2283),R2283=TODAY())),"ATENÇÃO",IF(N(K2283)=0,"PENDENTE","EM ANDAMENTO"))))))</f>
        <v/>
      </c>
      <c r="C2283" s="3">
        <f>IF(D2283="","",IF(V2283=0,"🟢 OK",IF(D2283&lt;corte,"⚪ HISTÓRICO (sem baixa)",IF(AND(ISNUMBER(R2283),R2283&lt;TODAY()),"🔴 PRAZO VENCIDO",IF(AND(OR(N2283="PENDENTE",N2283="PARCIAL"),D2283&lt;TODAY()-1),"🔴 EMBARQUE ATRASADO",IF(AND(N2283="REALIZADO",M2283="PENDENTE"),"🟡 EMBARCADO SEM FATURAR",IF(AND(P2283&lt;&gt;"",S2283="",OR(Q2283="",R2283="")),"🟡 PENDÊNCIA SEM RESPONSÁVEL/PRAZO",IF(AND(ISNUMBER(R2283),R2283=TODAY()),"🟡 VENCE HOJE",IF(AND(P2283&lt;&gt;"",S2283=""),"🟡 PENDÊNCIA ABERTA",IF(AND(N(J2283)&gt;0,N(K2283)&lt;J2283),"🟡 FALTA EXECUTAR",IF(OR(M2283="PENDENTE",M2283="PARCIAL"),"🟡 FATURAMENTO PENDENTE","🟡 EMBARQUE PENDENTE")))))))))))</f>
        <v/>
      </c>
      <c r="D2283" s="4" t="n"/>
      <c r="E2283" s="5" t="n"/>
      <c r="F2283" s="5" t="n"/>
      <c r="G2283" s="5" t="n"/>
      <c r="H2283" s="5" t="n"/>
      <c r="I2283" s="5" t="n"/>
      <c r="J2283" s="6" t="n"/>
      <c r="K2283" s="6" t="n"/>
      <c r="L2283" s="7">
        <f>IF(OR(D2283="",N(J2283)=0),"",MIN(1,N(K2283)/J2283))</f>
        <v/>
      </c>
      <c r="M2283" s="5" t="n"/>
      <c r="N2283" s="5" t="n"/>
      <c r="O2283" s="5" t="n"/>
      <c r="P2283" s="5" t="n"/>
      <c r="Q2283" s="5" t="n"/>
      <c r="R2283" s="4" t="n"/>
      <c r="S2283" s="4" t="n"/>
      <c r="T2283" s="5" t="n"/>
      <c r="U2283" s="8">
        <f>IF(AND(V2283=1,D2283&lt;&gt;""),IF(D2283&gt;=corte,TODAY()-D2283,""),"")</f>
        <v/>
      </c>
      <c r="V2283" s="8">
        <f>IF(D2283="",0,IF(OR(AND(P2283&lt;&gt;"",S2283=""),AND(N(J2283)&gt;0,N(K2283)&lt;J2283),OR(M2283="PENDENTE",M2283="PARCIAL"),OR(N2283="PENDENTE",N2283="PARCIAL")),1,0))</f>
        <v/>
      </c>
      <c r="W2283" s="8">
        <f>IF(AND(V2283=1,D2283&lt;&gt;""),IF(D2283&gt;=corte,(B2283="CRÍTICO")*1E9+(100000-D2283)*10000+10000-ROW(),""),"")</f>
        <v/>
      </c>
      <c r="X2283" s="8">
        <f>IF(AND(V2283=1,D2283=pas_data,E2283=pas_turno),10000-ROW(),"")</f>
        <v/>
      </c>
    </row>
    <row r="2284">
      <c r="A2284" s="3">
        <f>IF(D2284="","","TT-"&amp;TEXT(ROW()-1,"00000"))</f>
        <v/>
      </c>
      <c r="B2284" s="3">
        <f>IF(D2284="","",IF(V2284=0,"CONCLUÍDO",IF(D2284&lt;corte,"HISTÓRICO",IF(OR(AND(ISNUMBER(R2284),R2284&lt;TODAY()),AND(OR(N2284="PENDENTE",N2284="PARCIAL"),D2284&lt;TODAY()-1)),"CRÍTICO",IF(OR(AND(P2284&lt;&gt;"",S2284=""),AND(N2284="REALIZADO",M2284="PENDENTE"),AND(ISNUMBER(R2284),R2284=TODAY())),"ATENÇÃO",IF(N(K2284)=0,"PENDENTE","EM ANDAMENTO"))))))</f>
        <v/>
      </c>
      <c r="C2284" s="3">
        <f>IF(D2284="","",IF(V2284=0,"🟢 OK",IF(D2284&lt;corte,"⚪ HISTÓRICO (sem baixa)",IF(AND(ISNUMBER(R2284),R2284&lt;TODAY()),"🔴 PRAZO VENCIDO",IF(AND(OR(N2284="PENDENTE",N2284="PARCIAL"),D2284&lt;TODAY()-1),"🔴 EMBARQUE ATRASADO",IF(AND(N2284="REALIZADO",M2284="PENDENTE"),"🟡 EMBARCADO SEM FATURAR",IF(AND(P2284&lt;&gt;"",S2284="",OR(Q2284="",R2284="")),"🟡 PENDÊNCIA SEM RESPONSÁVEL/PRAZO",IF(AND(ISNUMBER(R2284),R2284=TODAY()),"🟡 VENCE HOJE",IF(AND(P2284&lt;&gt;"",S2284=""),"🟡 PENDÊNCIA ABERTA",IF(AND(N(J2284)&gt;0,N(K2284)&lt;J2284),"🟡 FALTA EXECUTAR",IF(OR(M2284="PENDENTE",M2284="PARCIAL"),"🟡 FATURAMENTO PENDENTE","🟡 EMBARQUE PENDENTE")))))))))))</f>
        <v/>
      </c>
      <c r="D2284" s="4" t="n"/>
      <c r="E2284" s="5" t="n"/>
      <c r="F2284" s="5" t="n"/>
      <c r="G2284" s="5" t="n"/>
      <c r="H2284" s="5" t="n"/>
      <c r="I2284" s="5" t="n"/>
      <c r="J2284" s="6" t="n"/>
      <c r="K2284" s="6" t="n"/>
      <c r="L2284" s="7">
        <f>IF(OR(D2284="",N(J2284)=0),"",MIN(1,N(K2284)/J2284))</f>
        <v/>
      </c>
      <c r="M2284" s="5" t="n"/>
      <c r="N2284" s="5" t="n"/>
      <c r="O2284" s="5" t="n"/>
      <c r="P2284" s="5" t="n"/>
      <c r="Q2284" s="5" t="n"/>
      <c r="R2284" s="4" t="n"/>
      <c r="S2284" s="4" t="n"/>
      <c r="T2284" s="5" t="n"/>
      <c r="U2284" s="8">
        <f>IF(AND(V2284=1,D2284&lt;&gt;""),IF(D2284&gt;=corte,TODAY()-D2284,""),"")</f>
        <v/>
      </c>
      <c r="V2284" s="8">
        <f>IF(D2284="",0,IF(OR(AND(P2284&lt;&gt;"",S2284=""),AND(N(J2284)&gt;0,N(K2284)&lt;J2284),OR(M2284="PENDENTE",M2284="PARCIAL"),OR(N2284="PENDENTE",N2284="PARCIAL")),1,0))</f>
        <v/>
      </c>
      <c r="W2284" s="8">
        <f>IF(AND(V2284=1,D2284&lt;&gt;""),IF(D2284&gt;=corte,(B2284="CRÍTICO")*1E9+(100000-D2284)*10000+10000-ROW(),""),"")</f>
        <v/>
      </c>
      <c r="X2284" s="8">
        <f>IF(AND(V2284=1,D2284=pas_data,E2284=pas_turno),10000-ROW(),"")</f>
        <v/>
      </c>
    </row>
    <row r="2285">
      <c r="A2285" s="3">
        <f>IF(D2285="","","TT-"&amp;TEXT(ROW()-1,"00000"))</f>
        <v/>
      </c>
      <c r="B2285" s="3">
        <f>IF(D2285="","",IF(V2285=0,"CONCLUÍDO",IF(D2285&lt;corte,"HISTÓRICO",IF(OR(AND(ISNUMBER(R2285),R2285&lt;TODAY()),AND(OR(N2285="PENDENTE",N2285="PARCIAL"),D2285&lt;TODAY()-1)),"CRÍTICO",IF(OR(AND(P2285&lt;&gt;"",S2285=""),AND(N2285="REALIZADO",M2285="PENDENTE"),AND(ISNUMBER(R2285),R2285=TODAY())),"ATENÇÃO",IF(N(K2285)=0,"PENDENTE","EM ANDAMENTO"))))))</f>
        <v/>
      </c>
      <c r="C2285" s="3">
        <f>IF(D2285="","",IF(V2285=0,"🟢 OK",IF(D2285&lt;corte,"⚪ HISTÓRICO (sem baixa)",IF(AND(ISNUMBER(R2285),R2285&lt;TODAY()),"🔴 PRAZO VENCIDO",IF(AND(OR(N2285="PENDENTE",N2285="PARCIAL"),D2285&lt;TODAY()-1),"🔴 EMBARQUE ATRASADO",IF(AND(N2285="REALIZADO",M2285="PENDENTE"),"🟡 EMBARCADO SEM FATURAR",IF(AND(P2285&lt;&gt;"",S2285="",OR(Q2285="",R2285="")),"🟡 PENDÊNCIA SEM RESPONSÁVEL/PRAZO",IF(AND(ISNUMBER(R2285),R2285=TODAY()),"🟡 VENCE HOJE",IF(AND(P2285&lt;&gt;"",S2285=""),"🟡 PENDÊNCIA ABERTA",IF(AND(N(J2285)&gt;0,N(K2285)&lt;J2285),"🟡 FALTA EXECUTAR",IF(OR(M2285="PENDENTE",M2285="PARCIAL"),"🟡 FATURAMENTO PENDENTE","🟡 EMBARQUE PENDENTE")))))))))))</f>
        <v/>
      </c>
      <c r="D2285" s="4" t="n"/>
      <c r="E2285" s="5" t="n"/>
      <c r="F2285" s="5" t="n"/>
      <c r="G2285" s="5" t="n"/>
      <c r="H2285" s="5" t="n"/>
      <c r="I2285" s="5" t="n"/>
      <c r="J2285" s="6" t="n"/>
      <c r="K2285" s="6" t="n"/>
      <c r="L2285" s="7">
        <f>IF(OR(D2285="",N(J2285)=0),"",MIN(1,N(K2285)/J2285))</f>
        <v/>
      </c>
      <c r="M2285" s="5" t="n"/>
      <c r="N2285" s="5" t="n"/>
      <c r="O2285" s="5" t="n"/>
      <c r="P2285" s="5" t="n"/>
      <c r="Q2285" s="5" t="n"/>
      <c r="R2285" s="4" t="n"/>
      <c r="S2285" s="4" t="n"/>
      <c r="T2285" s="5" t="n"/>
      <c r="U2285" s="8">
        <f>IF(AND(V2285=1,D2285&lt;&gt;""),IF(D2285&gt;=corte,TODAY()-D2285,""),"")</f>
        <v/>
      </c>
      <c r="V2285" s="8">
        <f>IF(D2285="",0,IF(OR(AND(P2285&lt;&gt;"",S2285=""),AND(N(J2285)&gt;0,N(K2285)&lt;J2285),OR(M2285="PENDENTE",M2285="PARCIAL"),OR(N2285="PENDENTE",N2285="PARCIAL")),1,0))</f>
        <v/>
      </c>
      <c r="W2285" s="8">
        <f>IF(AND(V2285=1,D2285&lt;&gt;""),IF(D2285&gt;=corte,(B2285="CRÍTICO")*1E9+(100000-D2285)*10000+10000-ROW(),""),"")</f>
        <v/>
      </c>
      <c r="X2285" s="8">
        <f>IF(AND(V2285=1,D2285=pas_data,E2285=pas_turno),10000-ROW(),"")</f>
        <v/>
      </c>
    </row>
    <row r="2286">
      <c r="A2286" s="3">
        <f>IF(D2286="","","TT-"&amp;TEXT(ROW()-1,"00000"))</f>
        <v/>
      </c>
      <c r="B2286" s="3">
        <f>IF(D2286="","",IF(V2286=0,"CONCLUÍDO",IF(D2286&lt;corte,"HISTÓRICO",IF(OR(AND(ISNUMBER(R2286),R2286&lt;TODAY()),AND(OR(N2286="PENDENTE",N2286="PARCIAL"),D2286&lt;TODAY()-1)),"CRÍTICO",IF(OR(AND(P2286&lt;&gt;"",S2286=""),AND(N2286="REALIZADO",M2286="PENDENTE"),AND(ISNUMBER(R2286),R2286=TODAY())),"ATENÇÃO",IF(N(K2286)=0,"PENDENTE","EM ANDAMENTO"))))))</f>
        <v/>
      </c>
      <c r="C2286" s="3">
        <f>IF(D2286="","",IF(V2286=0,"🟢 OK",IF(D2286&lt;corte,"⚪ HISTÓRICO (sem baixa)",IF(AND(ISNUMBER(R2286),R2286&lt;TODAY()),"🔴 PRAZO VENCIDO",IF(AND(OR(N2286="PENDENTE",N2286="PARCIAL"),D2286&lt;TODAY()-1),"🔴 EMBARQUE ATRASADO",IF(AND(N2286="REALIZADO",M2286="PENDENTE"),"🟡 EMBARCADO SEM FATURAR",IF(AND(P2286&lt;&gt;"",S2286="",OR(Q2286="",R2286="")),"🟡 PENDÊNCIA SEM RESPONSÁVEL/PRAZO",IF(AND(ISNUMBER(R2286),R2286=TODAY()),"🟡 VENCE HOJE",IF(AND(P2286&lt;&gt;"",S2286=""),"🟡 PENDÊNCIA ABERTA",IF(AND(N(J2286)&gt;0,N(K2286)&lt;J2286),"🟡 FALTA EXECUTAR",IF(OR(M2286="PENDENTE",M2286="PARCIAL"),"🟡 FATURAMENTO PENDENTE","🟡 EMBARQUE PENDENTE")))))))))))</f>
        <v/>
      </c>
      <c r="D2286" s="4" t="n"/>
      <c r="E2286" s="5" t="n"/>
      <c r="F2286" s="5" t="n"/>
      <c r="G2286" s="5" t="n"/>
      <c r="H2286" s="5" t="n"/>
      <c r="I2286" s="5" t="n"/>
      <c r="J2286" s="6" t="n"/>
      <c r="K2286" s="6" t="n"/>
      <c r="L2286" s="7">
        <f>IF(OR(D2286="",N(J2286)=0),"",MIN(1,N(K2286)/J2286))</f>
        <v/>
      </c>
      <c r="M2286" s="5" t="n"/>
      <c r="N2286" s="5" t="n"/>
      <c r="O2286" s="5" t="n"/>
      <c r="P2286" s="5" t="n"/>
      <c r="Q2286" s="5" t="n"/>
      <c r="R2286" s="4" t="n"/>
      <c r="S2286" s="4" t="n"/>
      <c r="T2286" s="5" t="n"/>
      <c r="U2286" s="8">
        <f>IF(AND(V2286=1,D2286&lt;&gt;""),IF(D2286&gt;=corte,TODAY()-D2286,""),"")</f>
        <v/>
      </c>
      <c r="V2286" s="8">
        <f>IF(D2286="",0,IF(OR(AND(P2286&lt;&gt;"",S2286=""),AND(N(J2286)&gt;0,N(K2286)&lt;J2286),OR(M2286="PENDENTE",M2286="PARCIAL"),OR(N2286="PENDENTE",N2286="PARCIAL")),1,0))</f>
        <v/>
      </c>
      <c r="W2286" s="8">
        <f>IF(AND(V2286=1,D2286&lt;&gt;""),IF(D2286&gt;=corte,(B2286="CRÍTICO")*1E9+(100000-D2286)*10000+10000-ROW(),""),"")</f>
        <v/>
      </c>
      <c r="X2286" s="8">
        <f>IF(AND(V2286=1,D2286=pas_data,E2286=pas_turno),10000-ROW(),"")</f>
        <v/>
      </c>
    </row>
    <row r="2287">
      <c r="A2287" s="3">
        <f>IF(D2287="","","TT-"&amp;TEXT(ROW()-1,"00000"))</f>
        <v/>
      </c>
      <c r="B2287" s="3">
        <f>IF(D2287="","",IF(V2287=0,"CONCLUÍDO",IF(D2287&lt;corte,"HISTÓRICO",IF(OR(AND(ISNUMBER(R2287),R2287&lt;TODAY()),AND(OR(N2287="PENDENTE",N2287="PARCIAL"),D2287&lt;TODAY()-1)),"CRÍTICO",IF(OR(AND(P2287&lt;&gt;"",S2287=""),AND(N2287="REALIZADO",M2287="PENDENTE"),AND(ISNUMBER(R2287),R2287=TODAY())),"ATENÇÃO",IF(N(K2287)=0,"PENDENTE","EM ANDAMENTO"))))))</f>
        <v/>
      </c>
      <c r="C2287" s="3">
        <f>IF(D2287="","",IF(V2287=0,"🟢 OK",IF(D2287&lt;corte,"⚪ HISTÓRICO (sem baixa)",IF(AND(ISNUMBER(R2287),R2287&lt;TODAY()),"🔴 PRAZO VENCIDO",IF(AND(OR(N2287="PENDENTE",N2287="PARCIAL"),D2287&lt;TODAY()-1),"🔴 EMBARQUE ATRASADO",IF(AND(N2287="REALIZADO",M2287="PENDENTE"),"🟡 EMBARCADO SEM FATURAR",IF(AND(P2287&lt;&gt;"",S2287="",OR(Q2287="",R2287="")),"🟡 PENDÊNCIA SEM RESPONSÁVEL/PRAZO",IF(AND(ISNUMBER(R2287),R2287=TODAY()),"🟡 VENCE HOJE",IF(AND(P2287&lt;&gt;"",S2287=""),"🟡 PENDÊNCIA ABERTA",IF(AND(N(J2287)&gt;0,N(K2287)&lt;J2287),"🟡 FALTA EXECUTAR",IF(OR(M2287="PENDENTE",M2287="PARCIAL"),"🟡 FATURAMENTO PENDENTE","🟡 EMBARQUE PENDENTE")))))))))))</f>
        <v/>
      </c>
      <c r="D2287" s="4" t="n"/>
      <c r="E2287" s="5" t="n"/>
      <c r="F2287" s="5" t="n"/>
      <c r="G2287" s="5" t="n"/>
      <c r="H2287" s="5" t="n"/>
      <c r="I2287" s="5" t="n"/>
      <c r="J2287" s="6" t="n"/>
      <c r="K2287" s="6" t="n"/>
      <c r="L2287" s="7">
        <f>IF(OR(D2287="",N(J2287)=0),"",MIN(1,N(K2287)/J2287))</f>
        <v/>
      </c>
      <c r="M2287" s="5" t="n"/>
      <c r="N2287" s="5" t="n"/>
      <c r="O2287" s="5" t="n"/>
      <c r="P2287" s="5" t="n"/>
      <c r="Q2287" s="5" t="n"/>
      <c r="R2287" s="4" t="n"/>
      <c r="S2287" s="4" t="n"/>
      <c r="T2287" s="5" t="n"/>
      <c r="U2287" s="8">
        <f>IF(AND(V2287=1,D2287&lt;&gt;""),IF(D2287&gt;=corte,TODAY()-D2287,""),"")</f>
        <v/>
      </c>
      <c r="V2287" s="8">
        <f>IF(D2287="",0,IF(OR(AND(P2287&lt;&gt;"",S2287=""),AND(N(J2287)&gt;0,N(K2287)&lt;J2287),OR(M2287="PENDENTE",M2287="PARCIAL"),OR(N2287="PENDENTE",N2287="PARCIAL")),1,0))</f>
        <v/>
      </c>
      <c r="W2287" s="8">
        <f>IF(AND(V2287=1,D2287&lt;&gt;""),IF(D2287&gt;=corte,(B2287="CRÍTICO")*1E9+(100000-D2287)*10000+10000-ROW(),""),"")</f>
        <v/>
      </c>
      <c r="X2287" s="8">
        <f>IF(AND(V2287=1,D2287=pas_data,E2287=pas_turno),10000-ROW(),"")</f>
        <v/>
      </c>
    </row>
    <row r="2288">
      <c r="A2288" s="3">
        <f>IF(D2288="","","TT-"&amp;TEXT(ROW()-1,"00000"))</f>
        <v/>
      </c>
      <c r="B2288" s="3">
        <f>IF(D2288="","",IF(V2288=0,"CONCLUÍDO",IF(D2288&lt;corte,"HISTÓRICO",IF(OR(AND(ISNUMBER(R2288),R2288&lt;TODAY()),AND(OR(N2288="PENDENTE",N2288="PARCIAL"),D2288&lt;TODAY()-1)),"CRÍTICO",IF(OR(AND(P2288&lt;&gt;"",S2288=""),AND(N2288="REALIZADO",M2288="PENDENTE"),AND(ISNUMBER(R2288),R2288=TODAY())),"ATENÇÃO",IF(N(K2288)=0,"PENDENTE","EM ANDAMENTO"))))))</f>
        <v/>
      </c>
      <c r="C2288" s="3">
        <f>IF(D2288="","",IF(V2288=0,"🟢 OK",IF(D2288&lt;corte,"⚪ HISTÓRICO (sem baixa)",IF(AND(ISNUMBER(R2288),R2288&lt;TODAY()),"🔴 PRAZO VENCIDO",IF(AND(OR(N2288="PENDENTE",N2288="PARCIAL"),D2288&lt;TODAY()-1),"🔴 EMBARQUE ATRASADO",IF(AND(N2288="REALIZADO",M2288="PENDENTE"),"🟡 EMBARCADO SEM FATURAR",IF(AND(P2288&lt;&gt;"",S2288="",OR(Q2288="",R2288="")),"🟡 PENDÊNCIA SEM RESPONSÁVEL/PRAZO",IF(AND(ISNUMBER(R2288),R2288=TODAY()),"🟡 VENCE HOJE",IF(AND(P2288&lt;&gt;"",S2288=""),"🟡 PENDÊNCIA ABERTA",IF(AND(N(J2288)&gt;0,N(K2288)&lt;J2288),"🟡 FALTA EXECUTAR",IF(OR(M2288="PENDENTE",M2288="PARCIAL"),"🟡 FATURAMENTO PENDENTE","🟡 EMBARQUE PENDENTE")))))))))))</f>
        <v/>
      </c>
      <c r="D2288" s="4" t="n"/>
      <c r="E2288" s="5" t="n"/>
      <c r="F2288" s="5" t="n"/>
      <c r="G2288" s="5" t="n"/>
      <c r="H2288" s="5" t="n"/>
      <c r="I2288" s="5" t="n"/>
      <c r="J2288" s="6" t="n"/>
      <c r="K2288" s="6" t="n"/>
      <c r="L2288" s="7">
        <f>IF(OR(D2288="",N(J2288)=0),"",MIN(1,N(K2288)/J2288))</f>
        <v/>
      </c>
      <c r="M2288" s="5" t="n"/>
      <c r="N2288" s="5" t="n"/>
      <c r="O2288" s="5" t="n"/>
      <c r="P2288" s="5" t="n"/>
      <c r="Q2288" s="5" t="n"/>
      <c r="R2288" s="4" t="n"/>
      <c r="S2288" s="4" t="n"/>
      <c r="T2288" s="5" t="n"/>
      <c r="U2288" s="8">
        <f>IF(AND(V2288=1,D2288&lt;&gt;""),IF(D2288&gt;=corte,TODAY()-D2288,""),"")</f>
        <v/>
      </c>
      <c r="V2288" s="8">
        <f>IF(D2288="",0,IF(OR(AND(P2288&lt;&gt;"",S2288=""),AND(N(J2288)&gt;0,N(K2288)&lt;J2288),OR(M2288="PENDENTE",M2288="PARCIAL"),OR(N2288="PENDENTE",N2288="PARCIAL")),1,0))</f>
        <v/>
      </c>
      <c r="W2288" s="8">
        <f>IF(AND(V2288=1,D2288&lt;&gt;""),IF(D2288&gt;=corte,(B2288="CRÍTICO")*1E9+(100000-D2288)*10000+10000-ROW(),""),"")</f>
        <v/>
      </c>
      <c r="X2288" s="8">
        <f>IF(AND(V2288=1,D2288=pas_data,E2288=pas_turno),10000-ROW(),"")</f>
        <v/>
      </c>
    </row>
    <row r="2289">
      <c r="A2289" s="3">
        <f>IF(D2289="","","TT-"&amp;TEXT(ROW()-1,"00000"))</f>
        <v/>
      </c>
      <c r="B2289" s="3">
        <f>IF(D2289="","",IF(V2289=0,"CONCLUÍDO",IF(D2289&lt;corte,"HISTÓRICO",IF(OR(AND(ISNUMBER(R2289),R2289&lt;TODAY()),AND(OR(N2289="PENDENTE",N2289="PARCIAL"),D2289&lt;TODAY()-1)),"CRÍTICO",IF(OR(AND(P2289&lt;&gt;"",S2289=""),AND(N2289="REALIZADO",M2289="PENDENTE"),AND(ISNUMBER(R2289),R2289=TODAY())),"ATENÇÃO",IF(N(K2289)=0,"PENDENTE","EM ANDAMENTO"))))))</f>
        <v/>
      </c>
      <c r="C2289" s="3">
        <f>IF(D2289="","",IF(V2289=0,"🟢 OK",IF(D2289&lt;corte,"⚪ HISTÓRICO (sem baixa)",IF(AND(ISNUMBER(R2289),R2289&lt;TODAY()),"🔴 PRAZO VENCIDO",IF(AND(OR(N2289="PENDENTE",N2289="PARCIAL"),D2289&lt;TODAY()-1),"🔴 EMBARQUE ATRASADO",IF(AND(N2289="REALIZADO",M2289="PENDENTE"),"🟡 EMBARCADO SEM FATURAR",IF(AND(P2289&lt;&gt;"",S2289="",OR(Q2289="",R2289="")),"🟡 PENDÊNCIA SEM RESPONSÁVEL/PRAZO",IF(AND(ISNUMBER(R2289),R2289=TODAY()),"🟡 VENCE HOJE",IF(AND(P2289&lt;&gt;"",S2289=""),"🟡 PENDÊNCIA ABERTA",IF(AND(N(J2289)&gt;0,N(K2289)&lt;J2289),"🟡 FALTA EXECUTAR",IF(OR(M2289="PENDENTE",M2289="PARCIAL"),"🟡 FATURAMENTO PENDENTE","🟡 EMBARQUE PENDENTE")))))))))))</f>
        <v/>
      </c>
      <c r="D2289" s="4" t="n"/>
      <c r="E2289" s="5" t="n"/>
      <c r="F2289" s="5" t="n"/>
      <c r="G2289" s="5" t="n"/>
      <c r="H2289" s="5" t="n"/>
      <c r="I2289" s="5" t="n"/>
      <c r="J2289" s="6" t="n"/>
      <c r="K2289" s="6" t="n"/>
      <c r="L2289" s="7">
        <f>IF(OR(D2289="",N(J2289)=0),"",MIN(1,N(K2289)/J2289))</f>
        <v/>
      </c>
      <c r="M2289" s="5" t="n"/>
      <c r="N2289" s="5" t="n"/>
      <c r="O2289" s="5" t="n"/>
      <c r="P2289" s="5" t="n"/>
      <c r="Q2289" s="5" t="n"/>
      <c r="R2289" s="4" t="n"/>
      <c r="S2289" s="4" t="n"/>
      <c r="T2289" s="5" t="n"/>
      <c r="U2289" s="8">
        <f>IF(AND(V2289=1,D2289&lt;&gt;""),IF(D2289&gt;=corte,TODAY()-D2289,""),"")</f>
        <v/>
      </c>
      <c r="V2289" s="8">
        <f>IF(D2289="",0,IF(OR(AND(P2289&lt;&gt;"",S2289=""),AND(N(J2289)&gt;0,N(K2289)&lt;J2289),OR(M2289="PENDENTE",M2289="PARCIAL"),OR(N2289="PENDENTE",N2289="PARCIAL")),1,0))</f>
        <v/>
      </c>
      <c r="W2289" s="8">
        <f>IF(AND(V2289=1,D2289&lt;&gt;""),IF(D2289&gt;=corte,(B2289="CRÍTICO")*1E9+(100000-D2289)*10000+10000-ROW(),""),"")</f>
        <v/>
      </c>
      <c r="X2289" s="8">
        <f>IF(AND(V2289=1,D2289=pas_data,E2289=pas_turno),10000-ROW(),"")</f>
        <v/>
      </c>
    </row>
    <row r="2290">
      <c r="A2290" s="3">
        <f>IF(D2290="","","TT-"&amp;TEXT(ROW()-1,"00000"))</f>
        <v/>
      </c>
      <c r="B2290" s="3">
        <f>IF(D2290="","",IF(V2290=0,"CONCLUÍDO",IF(D2290&lt;corte,"HISTÓRICO",IF(OR(AND(ISNUMBER(R2290),R2290&lt;TODAY()),AND(OR(N2290="PENDENTE",N2290="PARCIAL"),D2290&lt;TODAY()-1)),"CRÍTICO",IF(OR(AND(P2290&lt;&gt;"",S2290=""),AND(N2290="REALIZADO",M2290="PENDENTE"),AND(ISNUMBER(R2290),R2290=TODAY())),"ATENÇÃO",IF(N(K2290)=0,"PENDENTE","EM ANDAMENTO"))))))</f>
        <v/>
      </c>
      <c r="C2290" s="3">
        <f>IF(D2290="","",IF(V2290=0,"🟢 OK",IF(D2290&lt;corte,"⚪ HISTÓRICO (sem baixa)",IF(AND(ISNUMBER(R2290),R2290&lt;TODAY()),"🔴 PRAZO VENCIDO",IF(AND(OR(N2290="PENDENTE",N2290="PARCIAL"),D2290&lt;TODAY()-1),"🔴 EMBARQUE ATRASADO",IF(AND(N2290="REALIZADO",M2290="PENDENTE"),"🟡 EMBARCADO SEM FATURAR",IF(AND(P2290&lt;&gt;"",S2290="",OR(Q2290="",R2290="")),"🟡 PENDÊNCIA SEM RESPONSÁVEL/PRAZO",IF(AND(ISNUMBER(R2290),R2290=TODAY()),"🟡 VENCE HOJE",IF(AND(P2290&lt;&gt;"",S2290=""),"🟡 PENDÊNCIA ABERTA",IF(AND(N(J2290)&gt;0,N(K2290)&lt;J2290),"🟡 FALTA EXECUTAR",IF(OR(M2290="PENDENTE",M2290="PARCIAL"),"🟡 FATURAMENTO PENDENTE","🟡 EMBARQUE PENDENTE")))))))))))</f>
        <v/>
      </c>
      <c r="D2290" s="4" t="n"/>
      <c r="E2290" s="5" t="n"/>
      <c r="F2290" s="5" t="n"/>
      <c r="G2290" s="5" t="n"/>
      <c r="H2290" s="5" t="n"/>
      <c r="I2290" s="5" t="n"/>
      <c r="J2290" s="6" t="n"/>
      <c r="K2290" s="6" t="n"/>
      <c r="L2290" s="7">
        <f>IF(OR(D2290="",N(J2290)=0),"",MIN(1,N(K2290)/J2290))</f>
        <v/>
      </c>
      <c r="M2290" s="5" t="n"/>
      <c r="N2290" s="5" t="n"/>
      <c r="O2290" s="5" t="n"/>
      <c r="P2290" s="5" t="n"/>
      <c r="Q2290" s="5" t="n"/>
      <c r="R2290" s="4" t="n"/>
      <c r="S2290" s="4" t="n"/>
      <c r="T2290" s="5" t="n"/>
      <c r="U2290" s="8">
        <f>IF(AND(V2290=1,D2290&lt;&gt;""),IF(D2290&gt;=corte,TODAY()-D2290,""),"")</f>
        <v/>
      </c>
      <c r="V2290" s="8">
        <f>IF(D2290="",0,IF(OR(AND(P2290&lt;&gt;"",S2290=""),AND(N(J2290)&gt;0,N(K2290)&lt;J2290),OR(M2290="PENDENTE",M2290="PARCIAL"),OR(N2290="PENDENTE",N2290="PARCIAL")),1,0))</f>
        <v/>
      </c>
      <c r="W2290" s="8">
        <f>IF(AND(V2290=1,D2290&lt;&gt;""),IF(D2290&gt;=corte,(B2290="CRÍTICO")*1E9+(100000-D2290)*10000+10000-ROW(),""),"")</f>
        <v/>
      </c>
      <c r="X2290" s="8">
        <f>IF(AND(V2290=1,D2290=pas_data,E2290=pas_turno),10000-ROW(),"")</f>
        <v/>
      </c>
    </row>
    <row r="2291">
      <c r="A2291" s="3">
        <f>IF(D2291="","","TT-"&amp;TEXT(ROW()-1,"00000"))</f>
        <v/>
      </c>
      <c r="B2291" s="3">
        <f>IF(D2291="","",IF(V2291=0,"CONCLUÍDO",IF(D2291&lt;corte,"HISTÓRICO",IF(OR(AND(ISNUMBER(R2291),R2291&lt;TODAY()),AND(OR(N2291="PENDENTE",N2291="PARCIAL"),D2291&lt;TODAY()-1)),"CRÍTICO",IF(OR(AND(P2291&lt;&gt;"",S2291=""),AND(N2291="REALIZADO",M2291="PENDENTE"),AND(ISNUMBER(R2291),R2291=TODAY())),"ATENÇÃO",IF(N(K2291)=0,"PENDENTE","EM ANDAMENTO"))))))</f>
        <v/>
      </c>
      <c r="C2291" s="3">
        <f>IF(D2291="","",IF(V2291=0,"🟢 OK",IF(D2291&lt;corte,"⚪ HISTÓRICO (sem baixa)",IF(AND(ISNUMBER(R2291),R2291&lt;TODAY()),"🔴 PRAZO VENCIDO",IF(AND(OR(N2291="PENDENTE",N2291="PARCIAL"),D2291&lt;TODAY()-1),"🔴 EMBARQUE ATRASADO",IF(AND(N2291="REALIZADO",M2291="PENDENTE"),"🟡 EMBARCADO SEM FATURAR",IF(AND(P2291&lt;&gt;"",S2291="",OR(Q2291="",R2291="")),"🟡 PENDÊNCIA SEM RESPONSÁVEL/PRAZO",IF(AND(ISNUMBER(R2291),R2291=TODAY()),"🟡 VENCE HOJE",IF(AND(P2291&lt;&gt;"",S2291=""),"🟡 PENDÊNCIA ABERTA",IF(AND(N(J2291)&gt;0,N(K2291)&lt;J2291),"🟡 FALTA EXECUTAR",IF(OR(M2291="PENDENTE",M2291="PARCIAL"),"🟡 FATURAMENTO PENDENTE","🟡 EMBARQUE PENDENTE")))))))))))</f>
        <v/>
      </c>
      <c r="D2291" s="4" t="n"/>
      <c r="E2291" s="5" t="n"/>
      <c r="F2291" s="5" t="n"/>
      <c r="G2291" s="5" t="n"/>
      <c r="H2291" s="5" t="n"/>
      <c r="I2291" s="5" t="n"/>
      <c r="J2291" s="6" t="n"/>
      <c r="K2291" s="6" t="n"/>
      <c r="L2291" s="7">
        <f>IF(OR(D2291="",N(J2291)=0),"",MIN(1,N(K2291)/J2291))</f>
        <v/>
      </c>
      <c r="M2291" s="5" t="n"/>
      <c r="N2291" s="5" t="n"/>
      <c r="O2291" s="5" t="n"/>
      <c r="P2291" s="5" t="n"/>
      <c r="Q2291" s="5" t="n"/>
      <c r="R2291" s="4" t="n"/>
      <c r="S2291" s="4" t="n"/>
      <c r="T2291" s="5" t="n"/>
      <c r="U2291" s="8">
        <f>IF(AND(V2291=1,D2291&lt;&gt;""),IF(D2291&gt;=corte,TODAY()-D2291,""),"")</f>
        <v/>
      </c>
      <c r="V2291" s="8">
        <f>IF(D2291="",0,IF(OR(AND(P2291&lt;&gt;"",S2291=""),AND(N(J2291)&gt;0,N(K2291)&lt;J2291),OR(M2291="PENDENTE",M2291="PARCIAL"),OR(N2291="PENDENTE",N2291="PARCIAL")),1,0))</f>
        <v/>
      </c>
      <c r="W2291" s="8">
        <f>IF(AND(V2291=1,D2291&lt;&gt;""),IF(D2291&gt;=corte,(B2291="CRÍTICO")*1E9+(100000-D2291)*10000+10000-ROW(),""),"")</f>
        <v/>
      </c>
      <c r="X2291" s="8">
        <f>IF(AND(V2291=1,D2291=pas_data,E2291=pas_turno),10000-ROW(),"")</f>
        <v/>
      </c>
    </row>
    <row r="2292">
      <c r="A2292" s="3">
        <f>IF(D2292="","","TT-"&amp;TEXT(ROW()-1,"00000"))</f>
        <v/>
      </c>
      <c r="B2292" s="3">
        <f>IF(D2292="","",IF(V2292=0,"CONCLUÍDO",IF(D2292&lt;corte,"HISTÓRICO",IF(OR(AND(ISNUMBER(R2292),R2292&lt;TODAY()),AND(OR(N2292="PENDENTE",N2292="PARCIAL"),D2292&lt;TODAY()-1)),"CRÍTICO",IF(OR(AND(P2292&lt;&gt;"",S2292=""),AND(N2292="REALIZADO",M2292="PENDENTE"),AND(ISNUMBER(R2292),R2292=TODAY())),"ATENÇÃO",IF(N(K2292)=0,"PENDENTE","EM ANDAMENTO"))))))</f>
        <v/>
      </c>
      <c r="C2292" s="3">
        <f>IF(D2292="","",IF(V2292=0,"🟢 OK",IF(D2292&lt;corte,"⚪ HISTÓRICO (sem baixa)",IF(AND(ISNUMBER(R2292),R2292&lt;TODAY()),"🔴 PRAZO VENCIDO",IF(AND(OR(N2292="PENDENTE",N2292="PARCIAL"),D2292&lt;TODAY()-1),"🔴 EMBARQUE ATRASADO",IF(AND(N2292="REALIZADO",M2292="PENDENTE"),"🟡 EMBARCADO SEM FATURAR",IF(AND(P2292&lt;&gt;"",S2292="",OR(Q2292="",R2292="")),"🟡 PENDÊNCIA SEM RESPONSÁVEL/PRAZO",IF(AND(ISNUMBER(R2292),R2292=TODAY()),"🟡 VENCE HOJE",IF(AND(P2292&lt;&gt;"",S2292=""),"🟡 PENDÊNCIA ABERTA",IF(AND(N(J2292)&gt;0,N(K2292)&lt;J2292),"🟡 FALTA EXECUTAR",IF(OR(M2292="PENDENTE",M2292="PARCIAL"),"🟡 FATURAMENTO PENDENTE","🟡 EMBARQUE PENDENTE")))))))))))</f>
        <v/>
      </c>
      <c r="D2292" s="4" t="n"/>
      <c r="E2292" s="5" t="n"/>
      <c r="F2292" s="5" t="n"/>
      <c r="G2292" s="5" t="n"/>
      <c r="H2292" s="5" t="n"/>
      <c r="I2292" s="5" t="n"/>
      <c r="J2292" s="6" t="n"/>
      <c r="K2292" s="6" t="n"/>
      <c r="L2292" s="7">
        <f>IF(OR(D2292="",N(J2292)=0),"",MIN(1,N(K2292)/J2292))</f>
        <v/>
      </c>
      <c r="M2292" s="5" t="n"/>
      <c r="N2292" s="5" t="n"/>
      <c r="O2292" s="5" t="n"/>
      <c r="P2292" s="5" t="n"/>
      <c r="Q2292" s="5" t="n"/>
      <c r="R2292" s="4" t="n"/>
      <c r="S2292" s="4" t="n"/>
      <c r="T2292" s="5" t="n"/>
      <c r="U2292" s="8">
        <f>IF(AND(V2292=1,D2292&lt;&gt;""),IF(D2292&gt;=corte,TODAY()-D2292,""),"")</f>
        <v/>
      </c>
      <c r="V2292" s="8">
        <f>IF(D2292="",0,IF(OR(AND(P2292&lt;&gt;"",S2292=""),AND(N(J2292)&gt;0,N(K2292)&lt;J2292),OR(M2292="PENDENTE",M2292="PARCIAL"),OR(N2292="PENDENTE",N2292="PARCIAL")),1,0))</f>
        <v/>
      </c>
      <c r="W2292" s="8">
        <f>IF(AND(V2292=1,D2292&lt;&gt;""),IF(D2292&gt;=corte,(B2292="CRÍTICO")*1E9+(100000-D2292)*10000+10000-ROW(),""),"")</f>
        <v/>
      </c>
      <c r="X2292" s="8">
        <f>IF(AND(V2292=1,D2292=pas_data,E2292=pas_turno),10000-ROW(),"")</f>
        <v/>
      </c>
    </row>
    <row r="2293">
      <c r="A2293" s="3">
        <f>IF(D2293="","","TT-"&amp;TEXT(ROW()-1,"00000"))</f>
        <v/>
      </c>
      <c r="B2293" s="3">
        <f>IF(D2293="","",IF(V2293=0,"CONCLUÍDO",IF(D2293&lt;corte,"HISTÓRICO",IF(OR(AND(ISNUMBER(R2293),R2293&lt;TODAY()),AND(OR(N2293="PENDENTE",N2293="PARCIAL"),D2293&lt;TODAY()-1)),"CRÍTICO",IF(OR(AND(P2293&lt;&gt;"",S2293=""),AND(N2293="REALIZADO",M2293="PENDENTE"),AND(ISNUMBER(R2293),R2293=TODAY())),"ATENÇÃO",IF(N(K2293)=0,"PENDENTE","EM ANDAMENTO"))))))</f>
        <v/>
      </c>
      <c r="C2293" s="3">
        <f>IF(D2293="","",IF(V2293=0,"🟢 OK",IF(D2293&lt;corte,"⚪ HISTÓRICO (sem baixa)",IF(AND(ISNUMBER(R2293),R2293&lt;TODAY()),"🔴 PRAZO VENCIDO",IF(AND(OR(N2293="PENDENTE",N2293="PARCIAL"),D2293&lt;TODAY()-1),"🔴 EMBARQUE ATRASADO",IF(AND(N2293="REALIZADO",M2293="PENDENTE"),"🟡 EMBARCADO SEM FATURAR",IF(AND(P2293&lt;&gt;"",S2293="",OR(Q2293="",R2293="")),"🟡 PENDÊNCIA SEM RESPONSÁVEL/PRAZO",IF(AND(ISNUMBER(R2293),R2293=TODAY()),"🟡 VENCE HOJE",IF(AND(P2293&lt;&gt;"",S2293=""),"🟡 PENDÊNCIA ABERTA",IF(AND(N(J2293)&gt;0,N(K2293)&lt;J2293),"🟡 FALTA EXECUTAR",IF(OR(M2293="PENDENTE",M2293="PARCIAL"),"🟡 FATURAMENTO PENDENTE","🟡 EMBARQUE PENDENTE")))))))))))</f>
        <v/>
      </c>
      <c r="D2293" s="4" t="n"/>
      <c r="E2293" s="5" t="n"/>
      <c r="F2293" s="5" t="n"/>
      <c r="G2293" s="5" t="n"/>
      <c r="H2293" s="5" t="n"/>
      <c r="I2293" s="5" t="n"/>
      <c r="J2293" s="6" t="n"/>
      <c r="K2293" s="6" t="n"/>
      <c r="L2293" s="7">
        <f>IF(OR(D2293="",N(J2293)=0),"",MIN(1,N(K2293)/J2293))</f>
        <v/>
      </c>
      <c r="M2293" s="5" t="n"/>
      <c r="N2293" s="5" t="n"/>
      <c r="O2293" s="5" t="n"/>
      <c r="P2293" s="5" t="n"/>
      <c r="Q2293" s="5" t="n"/>
      <c r="R2293" s="4" t="n"/>
      <c r="S2293" s="4" t="n"/>
      <c r="T2293" s="5" t="n"/>
      <c r="U2293" s="8">
        <f>IF(AND(V2293=1,D2293&lt;&gt;""),IF(D2293&gt;=corte,TODAY()-D2293,""),"")</f>
        <v/>
      </c>
      <c r="V2293" s="8">
        <f>IF(D2293="",0,IF(OR(AND(P2293&lt;&gt;"",S2293=""),AND(N(J2293)&gt;0,N(K2293)&lt;J2293),OR(M2293="PENDENTE",M2293="PARCIAL"),OR(N2293="PENDENTE",N2293="PARCIAL")),1,0))</f>
        <v/>
      </c>
      <c r="W2293" s="8">
        <f>IF(AND(V2293=1,D2293&lt;&gt;""),IF(D2293&gt;=corte,(B2293="CRÍTICO")*1E9+(100000-D2293)*10000+10000-ROW(),""),"")</f>
        <v/>
      </c>
      <c r="X2293" s="8">
        <f>IF(AND(V2293=1,D2293=pas_data,E2293=pas_turno),10000-ROW(),"")</f>
        <v/>
      </c>
    </row>
    <row r="2294">
      <c r="A2294" s="3">
        <f>IF(D2294="","","TT-"&amp;TEXT(ROW()-1,"00000"))</f>
        <v/>
      </c>
      <c r="B2294" s="3">
        <f>IF(D2294="","",IF(V2294=0,"CONCLUÍDO",IF(D2294&lt;corte,"HISTÓRICO",IF(OR(AND(ISNUMBER(R2294),R2294&lt;TODAY()),AND(OR(N2294="PENDENTE",N2294="PARCIAL"),D2294&lt;TODAY()-1)),"CRÍTICO",IF(OR(AND(P2294&lt;&gt;"",S2294=""),AND(N2294="REALIZADO",M2294="PENDENTE"),AND(ISNUMBER(R2294),R2294=TODAY())),"ATENÇÃO",IF(N(K2294)=0,"PENDENTE","EM ANDAMENTO"))))))</f>
        <v/>
      </c>
      <c r="C2294" s="3">
        <f>IF(D2294="","",IF(V2294=0,"🟢 OK",IF(D2294&lt;corte,"⚪ HISTÓRICO (sem baixa)",IF(AND(ISNUMBER(R2294),R2294&lt;TODAY()),"🔴 PRAZO VENCIDO",IF(AND(OR(N2294="PENDENTE",N2294="PARCIAL"),D2294&lt;TODAY()-1),"🔴 EMBARQUE ATRASADO",IF(AND(N2294="REALIZADO",M2294="PENDENTE"),"🟡 EMBARCADO SEM FATURAR",IF(AND(P2294&lt;&gt;"",S2294="",OR(Q2294="",R2294="")),"🟡 PENDÊNCIA SEM RESPONSÁVEL/PRAZO",IF(AND(ISNUMBER(R2294),R2294=TODAY()),"🟡 VENCE HOJE",IF(AND(P2294&lt;&gt;"",S2294=""),"🟡 PENDÊNCIA ABERTA",IF(AND(N(J2294)&gt;0,N(K2294)&lt;J2294),"🟡 FALTA EXECUTAR",IF(OR(M2294="PENDENTE",M2294="PARCIAL"),"🟡 FATURAMENTO PENDENTE","🟡 EMBARQUE PENDENTE")))))))))))</f>
        <v/>
      </c>
      <c r="D2294" s="4" t="n"/>
      <c r="E2294" s="5" t="n"/>
      <c r="F2294" s="5" t="n"/>
      <c r="G2294" s="5" t="n"/>
      <c r="H2294" s="5" t="n"/>
      <c r="I2294" s="5" t="n"/>
      <c r="J2294" s="6" t="n"/>
      <c r="K2294" s="6" t="n"/>
      <c r="L2294" s="7">
        <f>IF(OR(D2294="",N(J2294)=0),"",MIN(1,N(K2294)/J2294))</f>
        <v/>
      </c>
      <c r="M2294" s="5" t="n"/>
      <c r="N2294" s="5" t="n"/>
      <c r="O2294" s="5" t="n"/>
      <c r="P2294" s="5" t="n"/>
      <c r="Q2294" s="5" t="n"/>
      <c r="R2294" s="4" t="n"/>
      <c r="S2294" s="4" t="n"/>
      <c r="T2294" s="5" t="n"/>
      <c r="U2294" s="8">
        <f>IF(AND(V2294=1,D2294&lt;&gt;""),IF(D2294&gt;=corte,TODAY()-D2294,""),"")</f>
        <v/>
      </c>
      <c r="V2294" s="8">
        <f>IF(D2294="",0,IF(OR(AND(P2294&lt;&gt;"",S2294=""),AND(N(J2294)&gt;0,N(K2294)&lt;J2294),OR(M2294="PENDENTE",M2294="PARCIAL"),OR(N2294="PENDENTE",N2294="PARCIAL")),1,0))</f>
        <v/>
      </c>
      <c r="W2294" s="8">
        <f>IF(AND(V2294=1,D2294&lt;&gt;""),IF(D2294&gt;=corte,(B2294="CRÍTICO")*1E9+(100000-D2294)*10000+10000-ROW(),""),"")</f>
        <v/>
      </c>
      <c r="X2294" s="8">
        <f>IF(AND(V2294=1,D2294=pas_data,E2294=pas_turno),10000-ROW(),"")</f>
        <v/>
      </c>
    </row>
    <row r="2295">
      <c r="A2295" s="3">
        <f>IF(D2295="","","TT-"&amp;TEXT(ROW()-1,"00000"))</f>
        <v/>
      </c>
      <c r="B2295" s="3">
        <f>IF(D2295="","",IF(V2295=0,"CONCLUÍDO",IF(D2295&lt;corte,"HISTÓRICO",IF(OR(AND(ISNUMBER(R2295),R2295&lt;TODAY()),AND(OR(N2295="PENDENTE",N2295="PARCIAL"),D2295&lt;TODAY()-1)),"CRÍTICO",IF(OR(AND(P2295&lt;&gt;"",S2295=""),AND(N2295="REALIZADO",M2295="PENDENTE"),AND(ISNUMBER(R2295),R2295=TODAY())),"ATENÇÃO",IF(N(K2295)=0,"PENDENTE","EM ANDAMENTO"))))))</f>
        <v/>
      </c>
      <c r="C2295" s="3">
        <f>IF(D2295="","",IF(V2295=0,"🟢 OK",IF(D2295&lt;corte,"⚪ HISTÓRICO (sem baixa)",IF(AND(ISNUMBER(R2295),R2295&lt;TODAY()),"🔴 PRAZO VENCIDO",IF(AND(OR(N2295="PENDENTE",N2295="PARCIAL"),D2295&lt;TODAY()-1),"🔴 EMBARQUE ATRASADO",IF(AND(N2295="REALIZADO",M2295="PENDENTE"),"🟡 EMBARCADO SEM FATURAR",IF(AND(P2295&lt;&gt;"",S2295="",OR(Q2295="",R2295="")),"🟡 PENDÊNCIA SEM RESPONSÁVEL/PRAZO",IF(AND(ISNUMBER(R2295),R2295=TODAY()),"🟡 VENCE HOJE",IF(AND(P2295&lt;&gt;"",S2295=""),"🟡 PENDÊNCIA ABERTA",IF(AND(N(J2295)&gt;0,N(K2295)&lt;J2295),"🟡 FALTA EXECUTAR",IF(OR(M2295="PENDENTE",M2295="PARCIAL"),"🟡 FATURAMENTO PENDENTE","🟡 EMBARQUE PENDENTE")))))))))))</f>
        <v/>
      </c>
      <c r="D2295" s="4" t="n"/>
      <c r="E2295" s="5" t="n"/>
      <c r="F2295" s="5" t="n"/>
      <c r="G2295" s="5" t="n"/>
      <c r="H2295" s="5" t="n"/>
      <c r="I2295" s="5" t="n"/>
      <c r="J2295" s="6" t="n"/>
      <c r="K2295" s="6" t="n"/>
      <c r="L2295" s="7">
        <f>IF(OR(D2295="",N(J2295)=0),"",MIN(1,N(K2295)/J2295))</f>
        <v/>
      </c>
      <c r="M2295" s="5" t="n"/>
      <c r="N2295" s="5" t="n"/>
      <c r="O2295" s="5" t="n"/>
      <c r="P2295" s="5" t="n"/>
      <c r="Q2295" s="5" t="n"/>
      <c r="R2295" s="4" t="n"/>
      <c r="S2295" s="4" t="n"/>
      <c r="T2295" s="5" t="n"/>
      <c r="U2295" s="8">
        <f>IF(AND(V2295=1,D2295&lt;&gt;""),IF(D2295&gt;=corte,TODAY()-D2295,""),"")</f>
        <v/>
      </c>
      <c r="V2295" s="8">
        <f>IF(D2295="",0,IF(OR(AND(P2295&lt;&gt;"",S2295=""),AND(N(J2295)&gt;0,N(K2295)&lt;J2295),OR(M2295="PENDENTE",M2295="PARCIAL"),OR(N2295="PENDENTE",N2295="PARCIAL")),1,0))</f>
        <v/>
      </c>
      <c r="W2295" s="8">
        <f>IF(AND(V2295=1,D2295&lt;&gt;""),IF(D2295&gt;=corte,(B2295="CRÍTICO")*1E9+(100000-D2295)*10000+10000-ROW(),""),"")</f>
        <v/>
      </c>
      <c r="X2295" s="8">
        <f>IF(AND(V2295=1,D2295=pas_data,E2295=pas_turno),10000-ROW(),"")</f>
        <v/>
      </c>
    </row>
    <row r="2296">
      <c r="A2296" s="3">
        <f>IF(D2296="","","TT-"&amp;TEXT(ROW()-1,"00000"))</f>
        <v/>
      </c>
      <c r="B2296" s="3">
        <f>IF(D2296="","",IF(V2296=0,"CONCLUÍDO",IF(D2296&lt;corte,"HISTÓRICO",IF(OR(AND(ISNUMBER(R2296),R2296&lt;TODAY()),AND(OR(N2296="PENDENTE",N2296="PARCIAL"),D2296&lt;TODAY()-1)),"CRÍTICO",IF(OR(AND(P2296&lt;&gt;"",S2296=""),AND(N2296="REALIZADO",M2296="PENDENTE"),AND(ISNUMBER(R2296),R2296=TODAY())),"ATENÇÃO",IF(N(K2296)=0,"PENDENTE","EM ANDAMENTO"))))))</f>
        <v/>
      </c>
      <c r="C2296" s="3">
        <f>IF(D2296="","",IF(V2296=0,"🟢 OK",IF(D2296&lt;corte,"⚪ HISTÓRICO (sem baixa)",IF(AND(ISNUMBER(R2296),R2296&lt;TODAY()),"🔴 PRAZO VENCIDO",IF(AND(OR(N2296="PENDENTE",N2296="PARCIAL"),D2296&lt;TODAY()-1),"🔴 EMBARQUE ATRASADO",IF(AND(N2296="REALIZADO",M2296="PENDENTE"),"🟡 EMBARCADO SEM FATURAR",IF(AND(P2296&lt;&gt;"",S2296="",OR(Q2296="",R2296="")),"🟡 PENDÊNCIA SEM RESPONSÁVEL/PRAZO",IF(AND(ISNUMBER(R2296),R2296=TODAY()),"🟡 VENCE HOJE",IF(AND(P2296&lt;&gt;"",S2296=""),"🟡 PENDÊNCIA ABERTA",IF(AND(N(J2296)&gt;0,N(K2296)&lt;J2296),"🟡 FALTA EXECUTAR",IF(OR(M2296="PENDENTE",M2296="PARCIAL"),"🟡 FATURAMENTO PENDENTE","🟡 EMBARQUE PENDENTE")))))))))))</f>
        <v/>
      </c>
      <c r="D2296" s="4" t="n"/>
      <c r="E2296" s="5" t="n"/>
      <c r="F2296" s="5" t="n"/>
      <c r="G2296" s="5" t="n"/>
      <c r="H2296" s="5" t="n"/>
      <c r="I2296" s="5" t="n"/>
      <c r="J2296" s="6" t="n"/>
      <c r="K2296" s="6" t="n"/>
      <c r="L2296" s="7">
        <f>IF(OR(D2296="",N(J2296)=0),"",MIN(1,N(K2296)/J2296))</f>
        <v/>
      </c>
      <c r="M2296" s="5" t="n"/>
      <c r="N2296" s="5" t="n"/>
      <c r="O2296" s="5" t="n"/>
      <c r="P2296" s="5" t="n"/>
      <c r="Q2296" s="5" t="n"/>
      <c r="R2296" s="4" t="n"/>
      <c r="S2296" s="4" t="n"/>
      <c r="T2296" s="5" t="n"/>
      <c r="U2296" s="8">
        <f>IF(AND(V2296=1,D2296&lt;&gt;""),IF(D2296&gt;=corte,TODAY()-D2296,""),"")</f>
        <v/>
      </c>
      <c r="V2296" s="8">
        <f>IF(D2296="",0,IF(OR(AND(P2296&lt;&gt;"",S2296=""),AND(N(J2296)&gt;0,N(K2296)&lt;J2296),OR(M2296="PENDENTE",M2296="PARCIAL"),OR(N2296="PENDENTE",N2296="PARCIAL")),1,0))</f>
        <v/>
      </c>
      <c r="W2296" s="8">
        <f>IF(AND(V2296=1,D2296&lt;&gt;""),IF(D2296&gt;=corte,(B2296="CRÍTICO")*1E9+(100000-D2296)*10000+10000-ROW(),""),"")</f>
        <v/>
      </c>
      <c r="X2296" s="8">
        <f>IF(AND(V2296=1,D2296=pas_data,E2296=pas_turno),10000-ROW(),"")</f>
        <v/>
      </c>
    </row>
    <row r="2297">
      <c r="A2297" s="3">
        <f>IF(D2297="","","TT-"&amp;TEXT(ROW()-1,"00000"))</f>
        <v/>
      </c>
      <c r="B2297" s="3">
        <f>IF(D2297="","",IF(V2297=0,"CONCLUÍDO",IF(D2297&lt;corte,"HISTÓRICO",IF(OR(AND(ISNUMBER(R2297),R2297&lt;TODAY()),AND(OR(N2297="PENDENTE",N2297="PARCIAL"),D2297&lt;TODAY()-1)),"CRÍTICO",IF(OR(AND(P2297&lt;&gt;"",S2297=""),AND(N2297="REALIZADO",M2297="PENDENTE"),AND(ISNUMBER(R2297),R2297=TODAY())),"ATENÇÃO",IF(N(K2297)=0,"PENDENTE","EM ANDAMENTO"))))))</f>
        <v/>
      </c>
      <c r="C2297" s="3">
        <f>IF(D2297="","",IF(V2297=0,"🟢 OK",IF(D2297&lt;corte,"⚪ HISTÓRICO (sem baixa)",IF(AND(ISNUMBER(R2297),R2297&lt;TODAY()),"🔴 PRAZO VENCIDO",IF(AND(OR(N2297="PENDENTE",N2297="PARCIAL"),D2297&lt;TODAY()-1),"🔴 EMBARQUE ATRASADO",IF(AND(N2297="REALIZADO",M2297="PENDENTE"),"🟡 EMBARCADO SEM FATURAR",IF(AND(P2297&lt;&gt;"",S2297="",OR(Q2297="",R2297="")),"🟡 PENDÊNCIA SEM RESPONSÁVEL/PRAZO",IF(AND(ISNUMBER(R2297),R2297=TODAY()),"🟡 VENCE HOJE",IF(AND(P2297&lt;&gt;"",S2297=""),"🟡 PENDÊNCIA ABERTA",IF(AND(N(J2297)&gt;0,N(K2297)&lt;J2297),"🟡 FALTA EXECUTAR",IF(OR(M2297="PENDENTE",M2297="PARCIAL"),"🟡 FATURAMENTO PENDENTE","🟡 EMBARQUE PENDENTE")))))))))))</f>
        <v/>
      </c>
      <c r="D2297" s="4" t="n"/>
      <c r="E2297" s="5" t="n"/>
      <c r="F2297" s="5" t="n"/>
      <c r="G2297" s="5" t="n"/>
      <c r="H2297" s="5" t="n"/>
      <c r="I2297" s="5" t="n"/>
      <c r="J2297" s="6" t="n"/>
      <c r="K2297" s="6" t="n"/>
      <c r="L2297" s="7">
        <f>IF(OR(D2297="",N(J2297)=0),"",MIN(1,N(K2297)/J2297))</f>
        <v/>
      </c>
      <c r="M2297" s="5" t="n"/>
      <c r="N2297" s="5" t="n"/>
      <c r="O2297" s="5" t="n"/>
      <c r="P2297" s="5" t="n"/>
      <c r="Q2297" s="5" t="n"/>
      <c r="R2297" s="4" t="n"/>
      <c r="S2297" s="4" t="n"/>
      <c r="T2297" s="5" t="n"/>
      <c r="U2297" s="8">
        <f>IF(AND(V2297=1,D2297&lt;&gt;""),IF(D2297&gt;=corte,TODAY()-D2297,""),"")</f>
        <v/>
      </c>
      <c r="V2297" s="8">
        <f>IF(D2297="",0,IF(OR(AND(P2297&lt;&gt;"",S2297=""),AND(N(J2297)&gt;0,N(K2297)&lt;J2297),OR(M2297="PENDENTE",M2297="PARCIAL"),OR(N2297="PENDENTE",N2297="PARCIAL")),1,0))</f>
        <v/>
      </c>
      <c r="W2297" s="8">
        <f>IF(AND(V2297=1,D2297&lt;&gt;""),IF(D2297&gt;=corte,(B2297="CRÍTICO")*1E9+(100000-D2297)*10000+10000-ROW(),""),"")</f>
        <v/>
      </c>
      <c r="X2297" s="8">
        <f>IF(AND(V2297=1,D2297=pas_data,E2297=pas_turno),10000-ROW(),"")</f>
        <v/>
      </c>
    </row>
    <row r="2298">
      <c r="A2298" s="3">
        <f>IF(D2298="","","TT-"&amp;TEXT(ROW()-1,"00000"))</f>
        <v/>
      </c>
      <c r="B2298" s="3">
        <f>IF(D2298="","",IF(V2298=0,"CONCLUÍDO",IF(D2298&lt;corte,"HISTÓRICO",IF(OR(AND(ISNUMBER(R2298),R2298&lt;TODAY()),AND(OR(N2298="PENDENTE",N2298="PARCIAL"),D2298&lt;TODAY()-1)),"CRÍTICO",IF(OR(AND(P2298&lt;&gt;"",S2298=""),AND(N2298="REALIZADO",M2298="PENDENTE"),AND(ISNUMBER(R2298),R2298=TODAY())),"ATENÇÃO",IF(N(K2298)=0,"PENDENTE","EM ANDAMENTO"))))))</f>
        <v/>
      </c>
      <c r="C2298" s="3">
        <f>IF(D2298="","",IF(V2298=0,"🟢 OK",IF(D2298&lt;corte,"⚪ HISTÓRICO (sem baixa)",IF(AND(ISNUMBER(R2298),R2298&lt;TODAY()),"🔴 PRAZO VENCIDO",IF(AND(OR(N2298="PENDENTE",N2298="PARCIAL"),D2298&lt;TODAY()-1),"🔴 EMBARQUE ATRASADO",IF(AND(N2298="REALIZADO",M2298="PENDENTE"),"🟡 EMBARCADO SEM FATURAR",IF(AND(P2298&lt;&gt;"",S2298="",OR(Q2298="",R2298="")),"🟡 PENDÊNCIA SEM RESPONSÁVEL/PRAZO",IF(AND(ISNUMBER(R2298),R2298=TODAY()),"🟡 VENCE HOJE",IF(AND(P2298&lt;&gt;"",S2298=""),"🟡 PENDÊNCIA ABERTA",IF(AND(N(J2298)&gt;0,N(K2298)&lt;J2298),"🟡 FALTA EXECUTAR",IF(OR(M2298="PENDENTE",M2298="PARCIAL"),"🟡 FATURAMENTO PENDENTE","🟡 EMBARQUE PENDENTE")))))))))))</f>
        <v/>
      </c>
      <c r="D2298" s="4" t="n"/>
      <c r="E2298" s="5" t="n"/>
      <c r="F2298" s="5" t="n"/>
      <c r="G2298" s="5" t="n"/>
      <c r="H2298" s="5" t="n"/>
      <c r="I2298" s="5" t="n"/>
      <c r="J2298" s="6" t="n"/>
      <c r="K2298" s="6" t="n"/>
      <c r="L2298" s="7">
        <f>IF(OR(D2298="",N(J2298)=0),"",MIN(1,N(K2298)/J2298))</f>
        <v/>
      </c>
      <c r="M2298" s="5" t="n"/>
      <c r="N2298" s="5" t="n"/>
      <c r="O2298" s="5" t="n"/>
      <c r="P2298" s="5" t="n"/>
      <c r="Q2298" s="5" t="n"/>
      <c r="R2298" s="4" t="n"/>
      <c r="S2298" s="4" t="n"/>
      <c r="T2298" s="5" t="n"/>
      <c r="U2298" s="8">
        <f>IF(AND(V2298=1,D2298&lt;&gt;""),IF(D2298&gt;=corte,TODAY()-D2298,""),"")</f>
        <v/>
      </c>
      <c r="V2298" s="8">
        <f>IF(D2298="",0,IF(OR(AND(P2298&lt;&gt;"",S2298=""),AND(N(J2298)&gt;0,N(K2298)&lt;J2298),OR(M2298="PENDENTE",M2298="PARCIAL"),OR(N2298="PENDENTE",N2298="PARCIAL")),1,0))</f>
        <v/>
      </c>
      <c r="W2298" s="8">
        <f>IF(AND(V2298=1,D2298&lt;&gt;""),IF(D2298&gt;=corte,(B2298="CRÍTICO")*1E9+(100000-D2298)*10000+10000-ROW(),""),"")</f>
        <v/>
      </c>
      <c r="X2298" s="8">
        <f>IF(AND(V2298=1,D2298=pas_data,E2298=pas_turno),10000-ROW(),"")</f>
        <v/>
      </c>
    </row>
    <row r="2299">
      <c r="A2299" s="3">
        <f>IF(D2299="","","TT-"&amp;TEXT(ROW()-1,"00000"))</f>
        <v/>
      </c>
      <c r="B2299" s="3">
        <f>IF(D2299="","",IF(V2299=0,"CONCLUÍDO",IF(D2299&lt;corte,"HISTÓRICO",IF(OR(AND(ISNUMBER(R2299),R2299&lt;TODAY()),AND(OR(N2299="PENDENTE",N2299="PARCIAL"),D2299&lt;TODAY()-1)),"CRÍTICO",IF(OR(AND(P2299&lt;&gt;"",S2299=""),AND(N2299="REALIZADO",M2299="PENDENTE"),AND(ISNUMBER(R2299),R2299=TODAY())),"ATENÇÃO",IF(N(K2299)=0,"PENDENTE","EM ANDAMENTO"))))))</f>
        <v/>
      </c>
      <c r="C2299" s="3">
        <f>IF(D2299="","",IF(V2299=0,"🟢 OK",IF(D2299&lt;corte,"⚪ HISTÓRICO (sem baixa)",IF(AND(ISNUMBER(R2299),R2299&lt;TODAY()),"🔴 PRAZO VENCIDO",IF(AND(OR(N2299="PENDENTE",N2299="PARCIAL"),D2299&lt;TODAY()-1),"🔴 EMBARQUE ATRASADO",IF(AND(N2299="REALIZADO",M2299="PENDENTE"),"🟡 EMBARCADO SEM FATURAR",IF(AND(P2299&lt;&gt;"",S2299="",OR(Q2299="",R2299="")),"🟡 PENDÊNCIA SEM RESPONSÁVEL/PRAZO",IF(AND(ISNUMBER(R2299),R2299=TODAY()),"🟡 VENCE HOJE",IF(AND(P2299&lt;&gt;"",S2299=""),"🟡 PENDÊNCIA ABERTA",IF(AND(N(J2299)&gt;0,N(K2299)&lt;J2299),"🟡 FALTA EXECUTAR",IF(OR(M2299="PENDENTE",M2299="PARCIAL"),"🟡 FATURAMENTO PENDENTE","🟡 EMBARQUE PENDENTE")))))))))))</f>
        <v/>
      </c>
      <c r="D2299" s="4" t="n"/>
      <c r="E2299" s="5" t="n"/>
      <c r="F2299" s="5" t="n"/>
      <c r="G2299" s="5" t="n"/>
      <c r="H2299" s="5" t="n"/>
      <c r="I2299" s="5" t="n"/>
      <c r="J2299" s="6" t="n"/>
      <c r="K2299" s="6" t="n"/>
      <c r="L2299" s="7">
        <f>IF(OR(D2299="",N(J2299)=0),"",MIN(1,N(K2299)/J2299))</f>
        <v/>
      </c>
      <c r="M2299" s="5" t="n"/>
      <c r="N2299" s="5" t="n"/>
      <c r="O2299" s="5" t="n"/>
      <c r="P2299" s="5" t="n"/>
      <c r="Q2299" s="5" t="n"/>
      <c r="R2299" s="4" t="n"/>
      <c r="S2299" s="4" t="n"/>
      <c r="T2299" s="5" t="n"/>
      <c r="U2299" s="8">
        <f>IF(AND(V2299=1,D2299&lt;&gt;""),IF(D2299&gt;=corte,TODAY()-D2299,""),"")</f>
        <v/>
      </c>
      <c r="V2299" s="8">
        <f>IF(D2299="",0,IF(OR(AND(P2299&lt;&gt;"",S2299=""),AND(N(J2299)&gt;0,N(K2299)&lt;J2299),OR(M2299="PENDENTE",M2299="PARCIAL"),OR(N2299="PENDENTE",N2299="PARCIAL")),1,0))</f>
        <v/>
      </c>
      <c r="W2299" s="8">
        <f>IF(AND(V2299=1,D2299&lt;&gt;""),IF(D2299&gt;=corte,(B2299="CRÍTICO")*1E9+(100000-D2299)*10000+10000-ROW(),""),"")</f>
        <v/>
      </c>
      <c r="X2299" s="8">
        <f>IF(AND(V2299=1,D2299=pas_data,E2299=pas_turno),10000-ROW(),"")</f>
        <v/>
      </c>
    </row>
    <row r="2300">
      <c r="A2300" s="3">
        <f>IF(D2300="","","TT-"&amp;TEXT(ROW()-1,"00000"))</f>
        <v/>
      </c>
      <c r="B2300" s="3">
        <f>IF(D2300="","",IF(V2300=0,"CONCLUÍDO",IF(D2300&lt;corte,"HISTÓRICO",IF(OR(AND(ISNUMBER(R2300),R2300&lt;TODAY()),AND(OR(N2300="PENDENTE",N2300="PARCIAL"),D2300&lt;TODAY()-1)),"CRÍTICO",IF(OR(AND(P2300&lt;&gt;"",S2300=""),AND(N2300="REALIZADO",M2300="PENDENTE"),AND(ISNUMBER(R2300),R2300=TODAY())),"ATENÇÃO",IF(N(K2300)=0,"PENDENTE","EM ANDAMENTO"))))))</f>
        <v/>
      </c>
      <c r="C2300" s="3">
        <f>IF(D2300="","",IF(V2300=0,"🟢 OK",IF(D2300&lt;corte,"⚪ HISTÓRICO (sem baixa)",IF(AND(ISNUMBER(R2300),R2300&lt;TODAY()),"🔴 PRAZO VENCIDO",IF(AND(OR(N2300="PENDENTE",N2300="PARCIAL"),D2300&lt;TODAY()-1),"🔴 EMBARQUE ATRASADO",IF(AND(N2300="REALIZADO",M2300="PENDENTE"),"🟡 EMBARCADO SEM FATURAR",IF(AND(P2300&lt;&gt;"",S2300="",OR(Q2300="",R2300="")),"🟡 PENDÊNCIA SEM RESPONSÁVEL/PRAZO",IF(AND(ISNUMBER(R2300),R2300=TODAY()),"🟡 VENCE HOJE",IF(AND(P2300&lt;&gt;"",S2300=""),"🟡 PENDÊNCIA ABERTA",IF(AND(N(J2300)&gt;0,N(K2300)&lt;J2300),"🟡 FALTA EXECUTAR",IF(OR(M2300="PENDENTE",M2300="PARCIAL"),"🟡 FATURAMENTO PENDENTE","🟡 EMBARQUE PENDENTE")))))))))))</f>
        <v/>
      </c>
      <c r="D2300" s="4" t="n"/>
      <c r="E2300" s="5" t="n"/>
      <c r="F2300" s="5" t="n"/>
      <c r="G2300" s="5" t="n"/>
      <c r="H2300" s="5" t="n"/>
      <c r="I2300" s="5" t="n"/>
      <c r="J2300" s="6" t="n"/>
      <c r="K2300" s="6" t="n"/>
      <c r="L2300" s="7">
        <f>IF(OR(D2300="",N(J2300)=0),"",MIN(1,N(K2300)/J2300))</f>
        <v/>
      </c>
      <c r="M2300" s="5" t="n"/>
      <c r="N2300" s="5" t="n"/>
      <c r="O2300" s="5" t="n"/>
      <c r="P2300" s="5" t="n"/>
      <c r="Q2300" s="5" t="n"/>
      <c r="R2300" s="4" t="n"/>
      <c r="S2300" s="4" t="n"/>
      <c r="T2300" s="5" t="n"/>
      <c r="U2300" s="8">
        <f>IF(AND(V2300=1,D2300&lt;&gt;""),IF(D2300&gt;=corte,TODAY()-D2300,""),"")</f>
        <v/>
      </c>
      <c r="V2300" s="8">
        <f>IF(D2300="",0,IF(OR(AND(P2300&lt;&gt;"",S2300=""),AND(N(J2300)&gt;0,N(K2300)&lt;J2300),OR(M2300="PENDENTE",M2300="PARCIAL"),OR(N2300="PENDENTE",N2300="PARCIAL")),1,0))</f>
        <v/>
      </c>
      <c r="W2300" s="8">
        <f>IF(AND(V2300=1,D2300&lt;&gt;""),IF(D2300&gt;=corte,(B2300="CRÍTICO")*1E9+(100000-D2300)*10000+10000-ROW(),""),"")</f>
        <v/>
      </c>
      <c r="X2300" s="8">
        <f>IF(AND(V2300=1,D2300=pas_data,E2300=pas_turno),10000-ROW(),"")</f>
        <v/>
      </c>
    </row>
    <row r="2301">
      <c r="A2301" s="3">
        <f>IF(D2301="","","TT-"&amp;TEXT(ROW()-1,"00000"))</f>
        <v/>
      </c>
      <c r="B2301" s="3">
        <f>IF(D2301="","",IF(V2301=0,"CONCLUÍDO",IF(D2301&lt;corte,"HISTÓRICO",IF(OR(AND(ISNUMBER(R2301),R2301&lt;TODAY()),AND(OR(N2301="PENDENTE",N2301="PARCIAL"),D2301&lt;TODAY()-1)),"CRÍTICO",IF(OR(AND(P2301&lt;&gt;"",S2301=""),AND(N2301="REALIZADO",M2301="PENDENTE"),AND(ISNUMBER(R2301),R2301=TODAY())),"ATENÇÃO",IF(N(K2301)=0,"PENDENTE","EM ANDAMENTO"))))))</f>
        <v/>
      </c>
      <c r="C2301" s="3">
        <f>IF(D2301="","",IF(V2301=0,"🟢 OK",IF(D2301&lt;corte,"⚪ HISTÓRICO (sem baixa)",IF(AND(ISNUMBER(R2301),R2301&lt;TODAY()),"🔴 PRAZO VENCIDO",IF(AND(OR(N2301="PENDENTE",N2301="PARCIAL"),D2301&lt;TODAY()-1),"🔴 EMBARQUE ATRASADO",IF(AND(N2301="REALIZADO",M2301="PENDENTE"),"🟡 EMBARCADO SEM FATURAR",IF(AND(P2301&lt;&gt;"",S2301="",OR(Q2301="",R2301="")),"🟡 PENDÊNCIA SEM RESPONSÁVEL/PRAZO",IF(AND(ISNUMBER(R2301),R2301=TODAY()),"🟡 VENCE HOJE",IF(AND(P2301&lt;&gt;"",S2301=""),"🟡 PENDÊNCIA ABERTA",IF(AND(N(J2301)&gt;0,N(K2301)&lt;J2301),"🟡 FALTA EXECUTAR",IF(OR(M2301="PENDENTE",M2301="PARCIAL"),"🟡 FATURAMENTO PENDENTE","🟡 EMBARQUE PENDENTE")))))))))))</f>
        <v/>
      </c>
      <c r="D2301" s="4" t="n"/>
      <c r="E2301" s="5" t="n"/>
      <c r="F2301" s="5" t="n"/>
      <c r="G2301" s="5" t="n"/>
      <c r="H2301" s="5" t="n"/>
      <c r="I2301" s="5" t="n"/>
      <c r="J2301" s="6" t="n"/>
      <c r="K2301" s="6" t="n"/>
      <c r="L2301" s="7">
        <f>IF(OR(D2301="",N(J2301)=0),"",MIN(1,N(K2301)/J2301))</f>
        <v/>
      </c>
      <c r="M2301" s="5" t="n"/>
      <c r="N2301" s="5" t="n"/>
      <c r="O2301" s="5" t="n"/>
      <c r="P2301" s="5" t="n"/>
      <c r="Q2301" s="5" t="n"/>
      <c r="R2301" s="4" t="n"/>
      <c r="S2301" s="4" t="n"/>
      <c r="T2301" s="5" t="n"/>
      <c r="U2301" s="8">
        <f>IF(AND(V2301=1,D2301&lt;&gt;""),IF(D2301&gt;=corte,TODAY()-D2301,""),"")</f>
        <v/>
      </c>
      <c r="V2301" s="8">
        <f>IF(D2301="",0,IF(OR(AND(P2301&lt;&gt;"",S2301=""),AND(N(J2301)&gt;0,N(K2301)&lt;J2301),OR(M2301="PENDENTE",M2301="PARCIAL"),OR(N2301="PENDENTE",N2301="PARCIAL")),1,0))</f>
        <v/>
      </c>
      <c r="W2301" s="8">
        <f>IF(AND(V2301=1,D2301&lt;&gt;""),IF(D2301&gt;=corte,(B2301="CRÍTICO")*1E9+(100000-D2301)*10000+10000-ROW(),""),"")</f>
        <v/>
      </c>
      <c r="X2301" s="8">
        <f>IF(AND(V2301=1,D2301=pas_data,E2301=pas_turno),10000-ROW(),"")</f>
        <v/>
      </c>
    </row>
    <row r="2302">
      <c r="A2302" s="3">
        <f>IF(D2302="","","TT-"&amp;TEXT(ROW()-1,"00000"))</f>
        <v/>
      </c>
      <c r="B2302" s="3">
        <f>IF(D2302="","",IF(V2302=0,"CONCLUÍDO",IF(D2302&lt;corte,"HISTÓRICO",IF(OR(AND(ISNUMBER(R2302),R2302&lt;TODAY()),AND(OR(N2302="PENDENTE",N2302="PARCIAL"),D2302&lt;TODAY()-1)),"CRÍTICO",IF(OR(AND(P2302&lt;&gt;"",S2302=""),AND(N2302="REALIZADO",M2302="PENDENTE"),AND(ISNUMBER(R2302),R2302=TODAY())),"ATENÇÃO",IF(N(K2302)=0,"PENDENTE","EM ANDAMENTO"))))))</f>
        <v/>
      </c>
      <c r="C2302" s="3">
        <f>IF(D2302="","",IF(V2302=0,"🟢 OK",IF(D2302&lt;corte,"⚪ HISTÓRICO (sem baixa)",IF(AND(ISNUMBER(R2302),R2302&lt;TODAY()),"🔴 PRAZO VENCIDO",IF(AND(OR(N2302="PENDENTE",N2302="PARCIAL"),D2302&lt;TODAY()-1),"🔴 EMBARQUE ATRASADO",IF(AND(N2302="REALIZADO",M2302="PENDENTE"),"🟡 EMBARCADO SEM FATURAR",IF(AND(P2302&lt;&gt;"",S2302="",OR(Q2302="",R2302="")),"🟡 PENDÊNCIA SEM RESPONSÁVEL/PRAZO",IF(AND(ISNUMBER(R2302),R2302=TODAY()),"🟡 VENCE HOJE",IF(AND(P2302&lt;&gt;"",S2302=""),"🟡 PENDÊNCIA ABERTA",IF(AND(N(J2302)&gt;0,N(K2302)&lt;J2302),"🟡 FALTA EXECUTAR",IF(OR(M2302="PENDENTE",M2302="PARCIAL"),"🟡 FATURAMENTO PENDENTE","🟡 EMBARQUE PENDENTE")))))))))))</f>
        <v/>
      </c>
      <c r="D2302" s="4" t="n"/>
      <c r="E2302" s="5" t="n"/>
      <c r="F2302" s="5" t="n"/>
      <c r="G2302" s="5" t="n"/>
      <c r="H2302" s="5" t="n"/>
      <c r="I2302" s="5" t="n"/>
      <c r="J2302" s="6" t="n"/>
      <c r="K2302" s="6" t="n"/>
      <c r="L2302" s="7">
        <f>IF(OR(D2302="",N(J2302)=0),"",MIN(1,N(K2302)/J2302))</f>
        <v/>
      </c>
      <c r="M2302" s="5" t="n"/>
      <c r="N2302" s="5" t="n"/>
      <c r="O2302" s="5" t="n"/>
      <c r="P2302" s="5" t="n"/>
      <c r="Q2302" s="5" t="n"/>
      <c r="R2302" s="4" t="n"/>
      <c r="S2302" s="4" t="n"/>
      <c r="T2302" s="5" t="n"/>
      <c r="U2302" s="8">
        <f>IF(AND(V2302=1,D2302&lt;&gt;""),IF(D2302&gt;=corte,TODAY()-D2302,""),"")</f>
        <v/>
      </c>
      <c r="V2302" s="8">
        <f>IF(D2302="",0,IF(OR(AND(P2302&lt;&gt;"",S2302=""),AND(N(J2302)&gt;0,N(K2302)&lt;J2302),OR(M2302="PENDENTE",M2302="PARCIAL"),OR(N2302="PENDENTE",N2302="PARCIAL")),1,0))</f>
        <v/>
      </c>
      <c r="W2302" s="8">
        <f>IF(AND(V2302=1,D2302&lt;&gt;""),IF(D2302&gt;=corte,(B2302="CRÍTICO")*1E9+(100000-D2302)*10000+10000-ROW(),""),"")</f>
        <v/>
      </c>
      <c r="X2302" s="8">
        <f>IF(AND(V2302=1,D2302=pas_data,E2302=pas_turno),10000-ROW(),"")</f>
        <v/>
      </c>
    </row>
    <row r="2303">
      <c r="A2303" s="3">
        <f>IF(D2303="","","TT-"&amp;TEXT(ROW()-1,"00000"))</f>
        <v/>
      </c>
      <c r="B2303" s="3">
        <f>IF(D2303="","",IF(V2303=0,"CONCLUÍDO",IF(D2303&lt;corte,"HISTÓRICO",IF(OR(AND(ISNUMBER(R2303),R2303&lt;TODAY()),AND(OR(N2303="PENDENTE",N2303="PARCIAL"),D2303&lt;TODAY()-1)),"CRÍTICO",IF(OR(AND(P2303&lt;&gt;"",S2303=""),AND(N2303="REALIZADO",M2303="PENDENTE"),AND(ISNUMBER(R2303),R2303=TODAY())),"ATENÇÃO",IF(N(K2303)=0,"PENDENTE","EM ANDAMENTO"))))))</f>
        <v/>
      </c>
      <c r="C2303" s="3">
        <f>IF(D2303="","",IF(V2303=0,"🟢 OK",IF(D2303&lt;corte,"⚪ HISTÓRICO (sem baixa)",IF(AND(ISNUMBER(R2303),R2303&lt;TODAY()),"🔴 PRAZO VENCIDO",IF(AND(OR(N2303="PENDENTE",N2303="PARCIAL"),D2303&lt;TODAY()-1),"🔴 EMBARQUE ATRASADO",IF(AND(N2303="REALIZADO",M2303="PENDENTE"),"🟡 EMBARCADO SEM FATURAR",IF(AND(P2303&lt;&gt;"",S2303="",OR(Q2303="",R2303="")),"🟡 PENDÊNCIA SEM RESPONSÁVEL/PRAZO",IF(AND(ISNUMBER(R2303),R2303=TODAY()),"🟡 VENCE HOJE",IF(AND(P2303&lt;&gt;"",S2303=""),"🟡 PENDÊNCIA ABERTA",IF(AND(N(J2303)&gt;0,N(K2303)&lt;J2303),"🟡 FALTA EXECUTAR",IF(OR(M2303="PENDENTE",M2303="PARCIAL"),"🟡 FATURAMENTO PENDENTE","🟡 EMBARQUE PENDENTE")))))))))))</f>
        <v/>
      </c>
      <c r="D2303" s="4" t="n"/>
      <c r="E2303" s="5" t="n"/>
      <c r="F2303" s="5" t="n"/>
      <c r="G2303" s="5" t="n"/>
      <c r="H2303" s="5" t="n"/>
      <c r="I2303" s="5" t="n"/>
      <c r="J2303" s="6" t="n"/>
      <c r="K2303" s="6" t="n"/>
      <c r="L2303" s="7">
        <f>IF(OR(D2303="",N(J2303)=0),"",MIN(1,N(K2303)/J2303))</f>
        <v/>
      </c>
      <c r="M2303" s="5" t="n"/>
      <c r="N2303" s="5" t="n"/>
      <c r="O2303" s="5" t="n"/>
      <c r="P2303" s="5" t="n"/>
      <c r="Q2303" s="5" t="n"/>
      <c r="R2303" s="4" t="n"/>
      <c r="S2303" s="4" t="n"/>
      <c r="T2303" s="5" t="n"/>
      <c r="U2303" s="8">
        <f>IF(AND(V2303=1,D2303&lt;&gt;""),IF(D2303&gt;=corte,TODAY()-D2303,""),"")</f>
        <v/>
      </c>
      <c r="V2303" s="8">
        <f>IF(D2303="",0,IF(OR(AND(P2303&lt;&gt;"",S2303=""),AND(N(J2303)&gt;0,N(K2303)&lt;J2303),OR(M2303="PENDENTE",M2303="PARCIAL"),OR(N2303="PENDENTE",N2303="PARCIAL")),1,0))</f>
        <v/>
      </c>
      <c r="W2303" s="8">
        <f>IF(AND(V2303=1,D2303&lt;&gt;""),IF(D2303&gt;=corte,(B2303="CRÍTICO")*1E9+(100000-D2303)*10000+10000-ROW(),""),"")</f>
        <v/>
      </c>
      <c r="X2303" s="8">
        <f>IF(AND(V2303=1,D2303=pas_data,E2303=pas_turno),10000-ROW(),"")</f>
        <v/>
      </c>
    </row>
    <row r="2304">
      <c r="A2304" s="3">
        <f>IF(D2304="","","TT-"&amp;TEXT(ROW()-1,"00000"))</f>
        <v/>
      </c>
      <c r="B2304" s="3">
        <f>IF(D2304="","",IF(V2304=0,"CONCLUÍDO",IF(D2304&lt;corte,"HISTÓRICO",IF(OR(AND(ISNUMBER(R2304),R2304&lt;TODAY()),AND(OR(N2304="PENDENTE",N2304="PARCIAL"),D2304&lt;TODAY()-1)),"CRÍTICO",IF(OR(AND(P2304&lt;&gt;"",S2304=""),AND(N2304="REALIZADO",M2304="PENDENTE"),AND(ISNUMBER(R2304),R2304=TODAY())),"ATENÇÃO",IF(N(K2304)=0,"PENDENTE","EM ANDAMENTO"))))))</f>
        <v/>
      </c>
      <c r="C2304" s="3">
        <f>IF(D2304="","",IF(V2304=0,"🟢 OK",IF(D2304&lt;corte,"⚪ HISTÓRICO (sem baixa)",IF(AND(ISNUMBER(R2304),R2304&lt;TODAY()),"🔴 PRAZO VENCIDO",IF(AND(OR(N2304="PENDENTE",N2304="PARCIAL"),D2304&lt;TODAY()-1),"🔴 EMBARQUE ATRASADO",IF(AND(N2304="REALIZADO",M2304="PENDENTE"),"🟡 EMBARCADO SEM FATURAR",IF(AND(P2304&lt;&gt;"",S2304="",OR(Q2304="",R2304="")),"🟡 PENDÊNCIA SEM RESPONSÁVEL/PRAZO",IF(AND(ISNUMBER(R2304),R2304=TODAY()),"🟡 VENCE HOJE",IF(AND(P2304&lt;&gt;"",S2304=""),"🟡 PENDÊNCIA ABERTA",IF(AND(N(J2304)&gt;0,N(K2304)&lt;J2304),"🟡 FALTA EXECUTAR",IF(OR(M2304="PENDENTE",M2304="PARCIAL"),"🟡 FATURAMENTO PENDENTE","🟡 EMBARQUE PENDENTE")))))))))))</f>
        <v/>
      </c>
      <c r="D2304" s="4" t="n"/>
      <c r="E2304" s="5" t="n"/>
      <c r="F2304" s="5" t="n"/>
      <c r="G2304" s="5" t="n"/>
      <c r="H2304" s="5" t="n"/>
      <c r="I2304" s="5" t="n"/>
      <c r="J2304" s="6" t="n"/>
      <c r="K2304" s="6" t="n"/>
      <c r="L2304" s="7">
        <f>IF(OR(D2304="",N(J2304)=0),"",MIN(1,N(K2304)/J2304))</f>
        <v/>
      </c>
      <c r="M2304" s="5" t="n"/>
      <c r="N2304" s="5" t="n"/>
      <c r="O2304" s="5" t="n"/>
      <c r="P2304" s="5" t="n"/>
      <c r="Q2304" s="5" t="n"/>
      <c r="R2304" s="4" t="n"/>
      <c r="S2304" s="4" t="n"/>
      <c r="T2304" s="5" t="n"/>
      <c r="U2304" s="8">
        <f>IF(AND(V2304=1,D2304&lt;&gt;""),IF(D2304&gt;=corte,TODAY()-D2304,""),"")</f>
        <v/>
      </c>
      <c r="V2304" s="8">
        <f>IF(D2304="",0,IF(OR(AND(P2304&lt;&gt;"",S2304=""),AND(N(J2304)&gt;0,N(K2304)&lt;J2304),OR(M2304="PENDENTE",M2304="PARCIAL"),OR(N2304="PENDENTE",N2304="PARCIAL")),1,0))</f>
        <v/>
      </c>
      <c r="W2304" s="8">
        <f>IF(AND(V2304=1,D2304&lt;&gt;""),IF(D2304&gt;=corte,(B2304="CRÍTICO")*1E9+(100000-D2304)*10000+10000-ROW(),""),"")</f>
        <v/>
      </c>
      <c r="X2304" s="8">
        <f>IF(AND(V2304=1,D2304=pas_data,E2304=pas_turno),10000-ROW(),"")</f>
        <v/>
      </c>
    </row>
    <row r="2305">
      <c r="A2305" s="3">
        <f>IF(D2305="","","TT-"&amp;TEXT(ROW()-1,"00000"))</f>
        <v/>
      </c>
      <c r="B2305" s="3">
        <f>IF(D2305="","",IF(V2305=0,"CONCLUÍDO",IF(D2305&lt;corte,"HISTÓRICO",IF(OR(AND(ISNUMBER(R2305),R2305&lt;TODAY()),AND(OR(N2305="PENDENTE",N2305="PARCIAL"),D2305&lt;TODAY()-1)),"CRÍTICO",IF(OR(AND(P2305&lt;&gt;"",S2305=""),AND(N2305="REALIZADO",M2305="PENDENTE"),AND(ISNUMBER(R2305),R2305=TODAY())),"ATENÇÃO",IF(N(K2305)=0,"PENDENTE","EM ANDAMENTO"))))))</f>
        <v/>
      </c>
      <c r="C2305" s="3">
        <f>IF(D2305="","",IF(V2305=0,"🟢 OK",IF(D2305&lt;corte,"⚪ HISTÓRICO (sem baixa)",IF(AND(ISNUMBER(R2305),R2305&lt;TODAY()),"🔴 PRAZO VENCIDO",IF(AND(OR(N2305="PENDENTE",N2305="PARCIAL"),D2305&lt;TODAY()-1),"🔴 EMBARQUE ATRASADO",IF(AND(N2305="REALIZADO",M2305="PENDENTE"),"🟡 EMBARCADO SEM FATURAR",IF(AND(P2305&lt;&gt;"",S2305="",OR(Q2305="",R2305="")),"🟡 PENDÊNCIA SEM RESPONSÁVEL/PRAZO",IF(AND(ISNUMBER(R2305),R2305=TODAY()),"🟡 VENCE HOJE",IF(AND(P2305&lt;&gt;"",S2305=""),"🟡 PENDÊNCIA ABERTA",IF(AND(N(J2305)&gt;0,N(K2305)&lt;J2305),"🟡 FALTA EXECUTAR",IF(OR(M2305="PENDENTE",M2305="PARCIAL"),"🟡 FATURAMENTO PENDENTE","🟡 EMBARQUE PENDENTE")))))))))))</f>
        <v/>
      </c>
      <c r="D2305" s="4" t="n"/>
      <c r="E2305" s="5" t="n"/>
      <c r="F2305" s="5" t="n"/>
      <c r="G2305" s="5" t="n"/>
      <c r="H2305" s="5" t="n"/>
      <c r="I2305" s="5" t="n"/>
      <c r="J2305" s="6" t="n"/>
      <c r="K2305" s="6" t="n"/>
      <c r="L2305" s="7">
        <f>IF(OR(D2305="",N(J2305)=0),"",MIN(1,N(K2305)/J2305))</f>
        <v/>
      </c>
      <c r="M2305" s="5" t="n"/>
      <c r="N2305" s="5" t="n"/>
      <c r="O2305" s="5" t="n"/>
      <c r="P2305" s="5" t="n"/>
      <c r="Q2305" s="5" t="n"/>
      <c r="R2305" s="4" t="n"/>
      <c r="S2305" s="4" t="n"/>
      <c r="T2305" s="5" t="n"/>
      <c r="U2305" s="8">
        <f>IF(AND(V2305=1,D2305&lt;&gt;""),IF(D2305&gt;=corte,TODAY()-D2305,""),"")</f>
        <v/>
      </c>
      <c r="V2305" s="8">
        <f>IF(D2305="",0,IF(OR(AND(P2305&lt;&gt;"",S2305=""),AND(N(J2305)&gt;0,N(K2305)&lt;J2305),OR(M2305="PENDENTE",M2305="PARCIAL"),OR(N2305="PENDENTE",N2305="PARCIAL")),1,0))</f>
        <v/>
      </c>
      <c r="W2305" s="8">
        <f>IF(AND(V2305=1,D2305&lt;&gt;""),IF(D2305&gt;=corte,(B2305="CRÍTICO")*1E9+(100000-D2305)*10000+10000-ROW(),""),"")</f>
        <v/>
      </c>
      <c r="X2305" s="8">
        <f>IF(AND(V2305=1,D2305=pas_data,E2305=pas_turno),10000-ROW(),"")</f>
        <v/>
      </c>
    </row>
    <row r="2306">
      <c r="A2306" s="3">
        <f>IF(D2306="","","TT-"&amp;TEXT(ROW()-1,"00000"))</f>
        <v/>
      </c>
      <c r="B2306" s="3">
        <f>IF(D2306="","",IF(V2306=0,"CONCLUÍDO",IF(D2306&lt;corte,"HISTÓRICO",IF(OR(AND(ISNUMBER(R2306),R2306&lt;TODAY()),AND(OR(N2306="PENDENTE",N2306="PARCIAL"),D2306&lt;TODAY()-1)),"CRÍTICO",IF(OR(AND(P2306&lt;&gt;"",S2306=""),AND(N2306="REALIZADO",M2306="PENDENTE"),AND(ISNUMBER(R2306),R2306=TODAY())),"ATENÇÃO",IF(N(K2306)=0,"PENDENTE","EM ANDAMENTO"))))))</f>
        <v/>
      </c>
      <c r="C2306" s="3">
        <f>IF(D2306="","",IF(V2306=0,"🟢 OK",IF(D2306&lt;corte,"⚪ HISTÓRICO (sem baixa)",IF(AND(ISNUMBER(R2306),R2306&lt;TODAY()),"🔴 PRAZO VENCIDO",IF(AND(OR(N2306="PENDENTE",N2306="PARCIAL"),D2306&lt;TODAY()-1),"🔴 EMBARQUE ATRASADO",IF(AND(N2306="REALIZADO",M2306="PENDENTE"),"🟡 EMBARCADO SEM FATURAR",IF(AND(P2306&lt;&gt;"",S2306="",OR(Q2306="",R2306="")),"🟡 PENDÊNCIA SEM RESPONSÁVEL/PRAZO",IF(AND(ISNUMBER(R2306),R2306=TODAY()),"🟡 VENCE HOJE",IF(AND(P2306&lt;&gt;"",S2306=""),"🟡 PENDÊNCIA ABERTA",IF(AND(N(J2306)&gt;0,N(K2306)&lt;J2306),"🟡 FALTA EXECUTAR",IF(OR(M2306="PENDENTE",M2306="PARCIAL"),"🟡 FATURAMENTO PENDENTE","🟡 EMBARQUE PENDENTE")))))))))))</f>
        <v/>
      </c>
      <c r="D2306" s="4" t="n"/>
      <c r="E2306" s="5" t="n"/>
      <c r="F2306" s="5" t="n"/>
      <c r="G2306" s="5" t="n"/>
      <c r="H2306" s="5" t="n"/>
      <c r="I2306" s="5" t="n"/>
      <c r="J2306" s="6" t="n"/>
      <c r="K2306" s="6" t="n"/>
      <c r="L2306" s="7">
        <f>IF(OR(D2306="",N(J2306)=0),"",MIN(1,N(K2306)/J2306))</f>
        <v/>
      </c>
      <c r="M2306" s="5" t="n"/>
      <c r="N2306" s="5" t="n"/>
      <c r="O2306" s="5" t="n"/>
      <c r="P2306" s="5" t="n"/>
      <c r="Q2306" s="5" t="n"/>
      <c r="R2306" s="4" t="n"/>
      <c r="S2306" s="4" t="n"/>
      <c r="T2306" s="5" t="n"/>
      <c r="U2306" s="8">
        <f>IF(AND(V2306=1,D2306&lt;&gt;""),IF(D2306&gt;=corte,TODAY()-D2306,""),"")</f>
        <v/>
      </c>
      <c r="V2306" s="8">
        <f>IF(D2306="",0,IF(OR(AND(P2306&lt;&gt;"",S2306=""),AND(N(J2306)&gt;0,N(K2306)&lt;J2306),OR(M2306="PENDENTE",M2306="PARCIAL"),OR(N2306="PENDENTE",N2306="PARCIAL")),1,0))</f>
        <v/>
      </c>
      <c r="W2306" s="8">
        <f>IF(AND(V2306=1,D2306&lt;&gt;""),IF(D2306&gt;=corte,(B2306="CRÍTICO")*1E9+(100000-D2306)*10000+10000-ROW(),""),"")</f>
        <v/>
      </c>
      <c r="X2306" s="8">
        <f>IF(AND(V2306=1,D2306=pas_data,E2306=pas_turno),10000-ROW(),"")</f>
        <v/>
      </c>
    </row>
    <row r="2307">
      <c r="A2307" s="3">
        <f>IF(D2307="","","TT-"&amp;TEXT(ROW()-1,"00000"))</f>
        <v/>
      </c>
      <c r="B2307" s="3">
        <f>IF(D2307="","",IF(V2307=0,"CONCLUÍDO",IF(D2307&lt;corte,"HISTÓRICO",IF(OR(AND(ISNUMBER(R2307),R2307&lt;TODAY()),AND(OR(N2307="PENDENTE",N2307="PARCIAL"),D2307&lt;TODAY()-1)),"CRÍTICO",IF(OR(AND(P2307&lt;&gt;"",S2307=""),AND(N2307="REALIZADO",M2307="PENDENTE"),AND(ISNUMBER(R2307),R2307=TODAY())),"ATENÇÃO",IF(N(K2307)=0,"PENDENTE","EM ANDAMENTO"))))))</f>
        <v/>
      </c>
      <c r="C2307" s="3">
        <f>IF(D2307="","",IF(V2307=0,"🟢 OK",IF(D2307&lt;corte,"⚪ HISTÓRICO (sem baixa)",IF(AND(ISNUMBER(R2307),R2307&lt;TODAY()),"🔴 PRAZO VENCIDO",IF(AND(OR(N2307="PENDENTE",N2307="PARCIAL"),D2307&lt;TODAY()-1),"🔴 EMBARQUE ATRASADO",IF(AND(N2307="REALIZADO",M2307="PENDENTE"),"🟡 EMBARCADO SEM FATURAR",IF(AND(P2307&lt;&gt;"",S2307="",OR(Q2307="",R2307="")),"🟡 PENDÊNCIA SEM RESPONSÁVEL/PRAZO",IF(AND(ISNUMBER(R2307),R2307=TODAY()),"🟡 VENCE HOJE",IF(AND(P2307&lt;&gt;"",S2307=""),"🟡 PENDÊNCIA ABERTA",IF(AND(N(J2307)&gt;0,N(K2307)&lt;J2307),"🟡 FALTA EXECUTAR",IF(OR(M2307="PENDENTE",M2307="PARCIAL"),"🟡 FATURAMENTO PENDENTE","🟡 EMBARQUE PENDENTE")))))))))))</f>
        <v/>
      </c>
      <c r="D2307" s="4" t="n"/>
      <c r="E2307" s="5" t="n"/>
      <c r="F2307" s="5" t="n"/>
      <c r="G2307" s="5" t="n"/>
      <c r="H2307" s="5" t="n"/>
      <c r="I2307" s="5" t="n"/>
      <c r="J2307" s="6" t="n"/>
      <c r="K2307" s="6" t="n"/>
      <c r="L2307" s="7">
        <f>IF(OR(D2307="",N(J2307)=0),"",MIN(1,N(K2307)/J2307))</f>
        <v/>
      </c>
      <c r="M2307" s="5" t="n"/>
      <c r="N2307" s="5" t="n"/>
      <c r="O2307" s="5" t="n"/>
      <c r="P2307" s="5" t="n"/>
      <c r="Q2307" s="5" t="n"/>
      <c r="R2307" s="4" t="n"/>
      <c r="S2307" s="4" t="n"/>
      <c r="T2307" s="5" t="n"/>
      <c r="U2307" s="8">
        <f>IF(AND(V2307=1,D2307&lt;&gt;""),IF(D2307&gt;=corte,TODAY()-D2307,""),"")</f>
        <v/>
      </c>
      <c r="V2307" s="8">
        <f>IF(D2307="",0,IF(OR(AND(P2307&lt;&gt;"",S2307=""),AND(N(J2307)&gt;0,N(K2307)&lt;J2307),OR(M2307="PENDENTE",M2307="PARCIAL"),OR(N2307="PENDENTE",N2307="PARCIAL")),1,0))</f>
        <v/>
      </c>
      <c r="W2307" s="8">
        <f>IF(AND(V2307=1,D2307&lt;&gt;""),IF(D2307&gt;=corte,(B2307="CRÍTICO")*1E9+(100000-D2307)*10000+10000-ROW(),""),"")</f>
        <v/>
      </c>
      <c r="X2307" s="8">
        <f>IF(AND(V2307=1,D2307=pas_data,E2307=pas_turno),10000-ROW(),"")</f>
        <v/>
      </c>
    </row>
    <row r="2308">
      <c r="A2308" s="3">
        <f>IF(D2308="","","TT-"&amp;TEXT(ROW()-1,"00000"))</f>
        <v/>
      </c>
      <c r="B2308" s="3">
        <f>IF(D2308="","",IF(V2308=0,"CONCLUÍDO",IF(D2308&lt;corte,"HISTÓRICO",IF(OR(AND(ISNUMBER(R2308),R2308&lt;TODAY()),AND(OR(N2308="PENDENTE",N2308="PARCIAL"),D2308&lt;TODAY()-1)),"CRÍTICO",IF(OR(AND(P2308&lt;&gt;"",S2308=""),AND(N2308="REALIZADO",M2308="PENDENTE"),AND(ISNUMBER(R2308),R2308=TODAY())),"ATENÇÃO",IF(N(K2308)=0,"PENDENTE","EM ANDAMENTO"))))))</f>
        <v/>
      </c>
      <c r="C2308" s="3">
        <f>IF(D2308="","",IF(V2308=0,"🟢 OK",IF(D2308&lt;corte,"⚪ HISTÓRICO (sem baixa)",IF(AND(ISNUMBER(R2308),R2308&lt;TODAY()),"🔴 PRAZO VENCIDO",IF(AND(OR(N2308="PENDENTE",N2308="PARCIAL"),D2308&lt;TODAY()-1),"🔴 EMBARQUE ATRASADO",IF(AND(N2308="REALIZADO",M2308="PENDENTE"),"🟡 EMBARCADO SEM FATURAR",IF(AND(P2308&lt;&gt;"",S2308="",OR(Q2308="",R2308="")),"🟡 PENDÊNCIA SEM RESPONSÁVEL/PRAZO",IF(AND(ISNUMBER(R2308),R2308=TODAY()),"🟡 VENCE HOJE",IF(AND(P2308&lt;&gt;"",S2308=""),"🟡 PENDÊNCIA ABERTA",IF(AND(N(J2308)&gt;0,N(K2308)&lt;J2308),"🟡 FALTA EXECUTAR",IF(OR(M2308="PENDENTE",M2308="PARCIAL"),"🟡 FATURAMENTO PENDENTE","🟡 EMBARQUE PENDENTE")))))))))))</f>
        <v/>
      </c>
      <c r="D2308" s="4" t="n"/>
      <c r="E2308" s="5" t="n"/>
      <c r="F2308" s="5" t="n"/>
      <c r="G2308" s="5" t="n"/>
      <c r="H2308" s="5" t="n"/>
      <c r="I2308" s="5" t="n"/>
      <c r="J2308" s="6" t="n"/>
      <c r="K2308" s="6" t="n"/>
      <c r="L2308" s="7">
        <f>IF(OR(D2308="",N(J2308)=0),"",MIN(1,N(K2308)/J2308))</f>
        <v/>
      </c>
      <c r="M2308" s="5" t="n"/>
      <c r="N2308" s="5" t="n"/>
      <c r="O2308" s="5" t="n"/>
      <c r="P2308" s="5" t="n"/>
      <c r="Q2308" s="5" t="n"/>
      <c r="R2308" s="4" t="n"/>
      <c r="S2308" s="4" t="n"/>
      <c r="T2308" s="5" t="n"/>
      <c r="U2308" s="8">
        <f>IF(AND(V2308=1,D2308&lt;&gt;""),IF(D2308&gt;=corte,TODAY()-D2308,""),"")</f>
        <v/>
      </c>
      <c r="V2308" s="8">
        <f>IF(D2308="",0,IF(OR(AND(P2308&lt;&gt;"",S2308=""),AND(N(J2308)&gt;0,N(K2308)&lt;J2308),OR(M2308="PENDENTE",M2308="PARCIAL"),OR(N2308="PENDENTE",N2308="PARCIAL")),1,0))</f>
        <v/>
      </c>
      <c r="W2308" s="8">
        <f>IF(AND(V2308=1,D2308&lt;&gt;""),IF(D2308&gt;=corte,(B2308="CRÍTICO")*1E9+(100000-D2308)*10000+10000-ROW(),""),"")</f>
        <v/>
      </c>
      <c r="X2308" s="8">
        <f>IF(AND(V2308=1,D2308=pas_data,E2308=pas_turno),10000-ROW(),"")</f>
        <v/>
      </c>
    </row>
    <row r="2309">
      <c r="A2309" s="3">
        <f>IF(D2309="","","TT-"&amp;TEXT(ROW()-1,"00000"))</f>
        <v/>
      </c>
      <c r="B2309" s="3">
        <f>IF(D2309="","",IF(V2309=0,"CONCLUÍDO",IF(D2309&lt;corte,"HISTÓRICO",IF(OR(AND(ISNUMBER(R2309),R2309&lt;TODAY()),AND(OR(N2309="PENDENTE",N2309="PARCIAL"),D2309&lt;TODAY()-1)),"CRÍTICO",IF(OR(AND(P2309&lt;&gt;"",S2309=""),AND(N2309="REALIZADO",M2309="PENDENTE"),AND(ISNUMBER(R2309),R2309=TODAY())),"ATENÇÃO",IF(N(K2309)=0,"PENDENTE","EM ANDAMENTO"))))))</f>
        <v/>
      </c>
      <c r="C2309" s="3">
        <f>IF(D2309="","",IF(V2309=0,"🟢 OK",IF(D2309&lt;corte,"⚪ HISTÓRICO (sem baixa)",IF(AND(ISNUMBER(R2309),R2309&lt;TODAY()),"🔴 PRAZO VENCIDO",IF(AND(OR(N2309="PENDENTE",N2309="PARCIAL"),D2309&lt;TODAY()-1),"🔴 EMBARQUE ATRASADO",IF(AND(N2309="REALIZADO",M2309="PENDENTE"),"🟡 EMBARCADO SEM FATURAR",IF(AND(P2309&lt;&gt;"",S2309="",OR(Q2309="",R2309="")),"🟡 PENDÊNCIA SEM RESPONSÁVEL/PRAZO",IF(AND(ISNUMBER(R2309),R2309=TODAY()),"🟡 VENCE HOJE",IF(AND(P2309&lt;&gt;"",S2309=""),"🟡 PENDÊNCIA ABERTA",IF(AND(N(J2309)&gt;0,N(K2309)&lt;J2309),"🟡 FALTA EXECUTAR",IF(OR(M2309="PENDENTE",M2309="PARCIAL"),"🟡 FATURAMENTO PENDENTE","🟡 EMBARQUE PENDENTE")))))))))))</f>
        <v/>
      </c>
      <c r="D2309" s="4" t="n"/>
      <c r="E2309" s="5" t="n"/>
      <c r="F2309" s="5" t="n"/>
      <c r="G2309" s="5" t="n"/>
      <c r="H2309" s="5" t="n"/>
      <c r="I2309" s="5" t="n"/>
      <c r="J2309" s="6" t="n"/>
      <c r="K2309" s="6" t="n"/>
      <c r="L2309" s="7">
        <f>IF(OR(D2309="",N(J2309)=0),"",MIN(1,N(K2309)/J2309))</f>
        <v/>
      </c>
      <c r="M2309" s="5" t="n"/>
      <c r="N2309" s="5" t="n"/>
      <c r="O2309" s="5" t="n"/>
      <c r="P2309" s="5" t="n"/>
      <c r="Q2309" s="5" t="n"/>
      <c r="R2309" s="4" t="n"/>
      <c r="S2309" s="4" t="n"/>
      <c r="T2309" s="5" t="n"/>
      <c r="U2309" s="8">
        <f>IF(AND(V2309=1,D2309&lt;&gt;""),IF(D2309&gt;=corte,TODAY()-D2309,""),"")</f>
        <v/>
      </c>
      <c r="V2309" s="8">
        <f>IF(D2309="",0,IF(OR(AND(P2309&lt;&gt;"",S2309=""),AND(N(J2309)&gt;0,N(K2309)&lt;J2309),OR(M2309="PENDENTE",M2309="PARCIAL"),OR(N2309="PENDENTE",N2309="PARCIAL")),1,0))</f>
        <v/>
      </c>
      <c r="W2309" s="8">
        <f>IF(AND(V2309=1,D2309&lt;&gt;""),IF(D2309&gt;=corte,(B2309="CRÍTICO")*1E9+(100000-D2309)*10000+10000-ROW(),""),"")</f>
        <v/>
      </c>
      <c r="X2309" s="8">
        <f>IF(AND(V2309=1,D2309=pas_data,E2309=pas_turno),10000-ROW(),"")</f>
        <v/>
      </c>
    </row>
    <row r="2310">
      <c r="A2310" s="3">
        <f>IF(D2310="","","TT-"&amp;TEXT(ROW()-1,"00000"))</f>
        <v/>
      </c>
      <c r="B2310" s="3">
        <f>IF(D2310="","",IF(V2310=0,"CONCLUÍDO",IF(D2310&lt;corte,"HISTÓRICO",IF(OR(AND(ISNUMBER(R2310),R2310&lt;TODAY()),AND(OR(N2310="PENDENTE",N2310="PARCIAL"),D2310&lt;TODAY()-1)),"CRÍTICO",IF(OR(AND(P2310&lt;&gt;"",S2310=""),AND(N2310="REALIZADO",M2310="PENDENTE"),AND(ISNUMBER(R2310),R2310=TODAY())),"ATENÇÃO",IF(N(K2310)=0,"PENDENTE","EM ANDAMENTO"))))))</f>
        <v/>
      </c>
      <c r="C2310" s="3">
        <f>IF(D2310="","",IF(V2310=0,"🟢 OK",IF(D2310&lt;corte,"⚪ HISTÓRICO (sem baixa)",IF(AND(ISNUMBER(R2310),R2310&lt;TODAY()),"🔴 PRAZO VENCIDO",IF(AND(OR(N2310="PENDENTE",N2310="PARCIAL"),D2310&lt;TODAY()-1),"🔴 EMBARQUE ATRASADO",IF(AND(N2310="REALIZADO",M2310="PENDENTE"),"🟡 EMBARCADO SEM FATURAR",IF(AND(P2310&lt;&gt;"",S2310="",OR(Q2310="",R2310="")),"🟡 PENDÊNCIA SEM RESPONSÁVEL/PRAZO",IF(AND(ISNUMBER(R2310),R2310=TODAY()),"🟡 VENCE HOJE",IF(AND(P2310&lt;&gt;"",S2310=""),"🟡 PENDÊNCIA ABERTA",IF(AND(N(J2310)&gt;0,N(K2310)&lt;J2310),"🟡 FALTA EXECUTAR",IF(OR(M2310="PENDENTE",M2310="PARCIAL"),"🟡 FATURAMENTO PENDENTE","🟡 EMBARQUE PENDENTE")))))))))))</f>
        <v/>
      </c>
      <c r="D2310" s="4" t="n"/>
      <c r="E2310" s="5" t="n"/>
      <c r="F2310" s="5" t="n"/>
      <c r="G2310" s="5" t="n"/>
      <c r="H2310" s="5" t="n"/>
      <c r="I2310" s="5" t="n"/>
      <c r="J2310" s="6" t="n"/>
      <c r="K2310" s="6" t="n"/>
      <c r="L2310" s="7">
        <f>IF(OR(D2310="",N(J2310)=0),"",MIN(1,N(K2310)/J2310))</f>
        <v/>
      </c>
      <c r="M2310" s="5" t="n"/>
      <c r="N2310" s="5" t="n"/>
      <c r="O2310" s="5" t="n"/>
      <c r="P2310" s="5" t="n"/>
      <c r="Q2310" s="5" t="n"/>
      <c r="R2310" s="4" t="n"/>
      <c r="S2310" s="4" t="n"/>
      <c r="T2310" s="5" t="n"/>
      <c r="U2310" s="8">
        <f>IF(AND(V2310=1,D2310&lt;&gt;""),IF(D2310&gt;=corte,TODAY()-D2310,""),"")</f>
        <v/>
      </c>
      <c r="V2310" s="8">
        <f>IF(D2310="",0,IF(OR(AND(P2310&lt;&gt;"",S2310=""),AND(N(J2310)&gt;0,N(K2310)&lt;J2310),OR(M2310="PENDENTE",M2310="PARCIAL"),OR(N2310="PENDENTE",N2310="PARCIAL")),1,0))</f>
        <v/>
      </c>
      <c r="W2310" s="8">
        <f>IF(AND(V2310=1,D2310&lt;&gt;""),IF(D2310&gt;=corte,(B2310="CRÍTICO")*1E9+(100000-D2310)*10000+10000-ROW(),""),"")</f>
        <v/>
      </c>
      <c r="X2310" s="8">
        <f>IF(AND(V2310=1,D2310=pas_data,E2310=pas_turno),10000-ROW(),"")</f>
        <v/>
      </c>
    </row>
    <row r="2311">
      <c r="A2311" s="3">
        <f>IF(D2311="","","TT-"&amp;TEXT(ROW()-1,"00000"))</f>
        <v/>
      </c>
      <c r="B2311" s="3">
        <f>IF(D2311="","",IF(V2311=0,"CONCLUÍDO",IF(D2311&lt;corte,"HISTÓRICO",IF(OR(AND(ISNUMBER(R2311),R2311&lt;TODAY()),AND(OR(N2311="PENDENTE",N2311="PARCIAL"),D2311&lt;TODAY()-1)),"CRÍTICO",IF(OR(AND(P2311&lt;&gt;"",S2311=""),AND(N2311="REALIZADO",M2311="PENDENTE"),AND(ISNUMBER(R2311),R2311=TODAY())),"ATENÇÃO",IF(N(K2311)=0,"PENDENTE","EM ANDAMENTO"))))))</f>
        <v/>
      </c>
      <c r="C2311" s="3">
        <f>IF(D2311="","",IF(V2311=0,"🟢 OK",IF(D2311&lt;corte,"⚪ HISTÓRICO (sem baixa)",IF(AND(ISNUMBER(R2311),R2311&lt;TODAY()),"🔴 PRAZO VENCIDO",IF(AND(OR(N2311="PENDENTE",N2311="PARCIAL"),D2311&lt;TODAY()-1),"🔴 EMBARQUE ATRASADO",IF(AND(N2311="REALIZADO",M2311="PENDENTE"),"🟡 EMBARCADO SEM FATURAR",IF(AND(P2311&lt;&gt;"",S2311="",OR(Q2311="",R2311="")),"🟡 PENDÊNCIA SEM RESPONSÁVEL/PRAZO",IF(AND(ISNUMBER(R2311),R2311=TODAY()),"🟡 VENCE HOJE",IF(AND(P2311&lt;&gt;"",S2311=""),"🟡 PENDÊNCIA ABERTA",IF(AND(N(J2311)&gt;0,N(K2311)&lt;J2311),"🟡 FALTA EXECUTAR",IF(OR(M2311="PENDENTE",M2311="PARCIAL"),"🟡 FATURAMENTO PENDENTE","🟡 EMBARQUE PENDENTE")))))))))))</f>
        <v/>
      </c>
      <c r="D2311" s="4" t="n"/>
      <c r="E2311" s="5" t="n"/>
      <c r="F2311" s="5" t="n"/>
      <c r="G2311" s="5" t="n"/>
      <c r="H2311" s="5" t="n"/>
      <c r="I2311" s="5" t="n"/>
      <c r="J2311" s="6" t="n"/>
      <c r="K2311" s="6" t="n"/>
      <c r="L2311" s="7">
        <f>IF(OR(D2311="",N(J2311)=0),"",MIN(1,N(K2311)/J2311))</f>
        <v/>
      </c>
      <c r="M2311" s="5" t="n"/>
      <c r="N2311" s="5" t="n"/>
      <c r="O2311" s="5" t="n"/>
      <c r="P2311" s="5" t="n"/>
      <c r="Q2311" s="5" t="n"/>
      <c r="R2311" s="4" t="n"/>
      <c r="S2311" s="4" t="n"/>
      <c r="T2311" s="5" t="n"/>
      <c r="U2311" s="8">
        <f>IF(AND(V2311=1,D2311&lt;&gt;""),IF(D2311&gt;=corte,TODAY()-D2311,""),"")</f>
        <v/>
      </c>
      <c r="V2311" s="8">
        <f>IF(D2311="",0,IF(OR(AND(P2311&lt;&gt;"",S2311=""),AND(N(J2311)&gt;0,N(K2311)&lt;J2311),OR(M2311="PENDENTE",M2311="PARCIAL"),OR(N2311="PENDENTE",N2311="PARCIAL")),1,0))</f>
        <v/>
      </c>
      <c r="W2311" s="8">
        <f>IF(AND(V2311=1,D2311&lt;&gt;""),IF(D2311&gt;=corte,(B2311="CRÍTICO")*1E9+(100000-D2311)*10000+10000-ROW(),""),"")</f>
        <v/>
      </c>
      <c r="X2311" s="8">
        <f>IF(AND(V2311=1,D2311=pas_data,E2311=pas_turno),10000-ROW(),"")</f>
        <v/>
      </c>
    </row>
    <row r="2312">
      <c r="A2312" s="3">
        <f>IF(D2312="","","TT-"&amp;TEXT(ROW()-1,"00000"))</f>
        <v/>
      </c>
      <c r="B2312" s="3">
        <f>IF(D2312="","",IF(V2312=0,"CONCLUÍDO",IF(D2312&lt;corte,"HISTÓRICO",IF(OR(AND(ISNUMBER(R2312),R2312&lt;TODAY()),AND(OR(N2312="PENDENTE",N2312="PARCIAL"),D2312&lt;TODAY()-1)),"CRÍTICO",IF(OR(AND(P2312&lt;&gt;"",S2312=""),AND(N2312="REALIZADO",M2312="PENDENTE"),AND(ISNUMBER(R2312),R2312=TODAY())),"ATENÇÃO",IF(N(K2312)=0,"PENDENTE","EM ANDAMENTO"))))))</f>
        <v/>
      </c>
      <c r="C2312" s="3">
        <f>IF(D2312="","",IF(V2312=0,"🟢 OK",IF(D2312&lt;corte,"⚪ HISTÓRICO (sem baixa)",IF(AND(ISNUMBER(R2312),R2312&lt;TODAY()),"🔴 PRAZO VENCIDO",IF(AND(OR(N2312="PENDENTE",N2312="PARCIAL"),D2312&lt;TODAY()-1),"🔴 EMBARQUE ATRASADO",IF(AND(N2312="REALIZADO",M2312="PENDENTE"),"🟡 EMBARCADO SEM FATURAR",IF(AND(P2312&lt;&gt;"",S2312="",OR(Q2312="",R2312="")),"🟡 PENDÊNCIA SEM RESPONSÁVEL/PRAZO",IF(AND(ISNUMBER(R2312),R2312=TODAY()),"🟡 VENCE HOJE",IF(AND(P2312&lt;&gt;"",S2312=""),"🟡 PENDÊNCIA ABERTA",IF(AND(N(J2312)&gt;0,N(K2312)&lt;J2312),"🟡 FALTA EXECUTAR",IF(OR(M2312="PENDENTE",M2312="PARCIAL"),"🟡 FATURAMENTO PENDENTE","🟡 EMBARQUE PENDENTE")))))))))))</f>
        <v/>
      </c>
      <c r="D2312" s="4" t="n"/>
      <c r="E2312" s="5" t="n"/>
      <c r="F2312" s="5" t="n"/>
      <c r="G2312" s="5" t="n"/>
      <c r="H2312" s="5" t="n"/>
      <c r="I2312" s="5" t="n"/>
      <c r="J2312" s="6" t="n"/>
      <c r="K2312" s="6" t="n"/>
      <c r="L2312" s="7">
        <f>IF(OR(D2312="",N(J2312)=0),"",MIN(1,N(K2312)/J2312))</f>
        <v/>
      </c>
      <c r="M2312" s="5" t="n"/>
      <c r="N2312" s="5" t="n"/>
      <c r="O2312" s="5" t="n"/>
      <c r="P2312" s="5" t="n"/>
      <c r="Q2312" s="5" t="n"/>
      <c r="R2312" s="4" t="n"/>
      <c r="S2312" s="4" t="n"/>
      <c r="T2312" s="5" t="n"/>
      <c r="U2312" s="8">
        <f>IF(AND(V2312=1,D2312&lt;&gt;""),IF(D2312&gt;=corte,TODAY()-D2312,""),"")</f>
        <v/>
      </c>
      <c r="V2312" s="8">
        <f>IF(D2312="",0,IF(OR(AND(P2312&lt;&gt;"",S2312=""),AND(N(J2312)&gt;0,N(K2312)&lt;J2312),OR(M2312="PENDENTE",M2312="PARCIAL"),OR(N2312="PENDENTE",N2312="PARCIAL")),1,0))</f>
        <v/>
      </c>
      <c r="W2312" s="8">
        <f>IF(AND(V2312=1,D2312&lt;&gt;""),IF(D2312&gt;=corte,(B2312="CRÍTICO")*1E9+(100000-D2312)*10000+10000-ROW(),""),"")</f>
        <v/>
      </c>
      <c r="X2312" s="8">
        <f>IF(AND(V2312=1,D2312=pas_data,E2312=pas_turno),10000-ROW(),"")</f>
        <v/>
      </c>
    </row>
    <row r="2313">
      <c r="A2313" s="3">
        <f>IF(D2313="","","TT-"&amp;TEXT(ROW()-1,"00000"))</f>
        <v/>
      </c>
      <c r="B2313" s="3">
        <f>IF(D2313="","",IF(V2313=0,"CONCLUÍDO",IF(D2313&lt;corte,"HISTÓRICO",IF(OR(AND(ISNUMBER(R2313),R2313&lt;TODAY()),AND(OR(N2313="PENDENTE",N2313="PARCIAL"),D2313&lt;TODAY()-1)),"CRÍTICO",IF(OR(AND(P2313&lt;&gt;"",S2313=""),AND(N2313="REALIZADO",M2313="PENDENTE"),AND(ISNUMBER(R2313),R2313=TODAY())),"ATENÇÃO",IF(N(K2313)=0,"PENDENTE","EM ANDAMENTO"))))))</f>
        <v/>
      </c>
      <c r="C2313" s="3">
        <f>IF(D2313="","",IF(V2313=0,"🟢 OK",IF(D2313&lt;corte,"⚪ HISTÓRICO (sem baixa)",IF(AND(ISNUMBER(R2313),R2313&lt;TODAY()),"🔴 PRAZO VENCIDO",IF(AND(OR(N2313="PENDENTE",N2313="PARCIAL"),D2313&lt;TODAY()-1),"🔴 EMBARQUE ATRASADO",IF(AND(N2313="REALIZADO",M2313="PENDENTE"),"🟡 EMBARCADO SEM FATURAR",IF(AND(P2313&lt;&gt;"",S2313="",OR(Q2313="",R2313="")),"🟡 PENDÊNCIA SEM RESPONSÁVEL/PRAZO",IF(AND(ISNUMBER(R2313),R2313=TODAY()),"🟡 VENCE HOJE",IF(AND(P2313&lt;&gt;"",S2313=""),"🟡 PENDÊNCIA ABERTA",IF(AND(N(J2313)&gt;0,N(K2313)&lt;J2313),"🟡 FALTA EXECUTAR",IF(OR(M2313="PENDENTE",M2313="PARCIAL"),"🟡 FATURAMENTO PENDENTE","🟡 EMBARQUE PENDENTE")))))))))))</f>
        <v/>
      </c>
      <c r="D2313" s="4" t="n"/>
      <c r="E2313" s="5" t="n"/>
      <c r="F2313" s="5" t="n"/>
      <c r="G2313" s="5" t="n"/>
      <c r="H2313" s="5" t="n"/>
      <c r="I2313" s="5" t="n"/>
      <c r="J2313" s="6" t="n"/>
      <c r="K2313" s="6" t="n"/>
      <c r="L2313" s="7">
        <f>IF(OR(D2313="",N(J2313)=0),"",MIN(1,N(K2313)/J2313))</f>
        <v/>
      </c>
      <c r="M2313" s="5" t="n"/>
      <c r="N2313" s="5" t="n"/>
      <c r="O2313" s="5" t="n"/>
      <c r="P2313" s="5" t="n"/>
      <c r="Q2313" s="5" t="n"/>
      <c r="R2313" s="4" t="n"/>
      <c r="S2313" s="4" t="n"/>
      <c r="T2313" s="5" t="n"/>
      <c r="U2313" s="8">
        <f>IF(AND(V2313=1,D2313&lt;&gt;""),IF(D2313&gt;=corte,TODAY()-D2313,""),"")</f>
        <v/>
      </c>
      <c r="V2313" s="8">
        <f>IF(D2313="",0,IF(OR(AND(P2313&lt;&gt;"",S2313=""),AND(N(J2313)&gt;0,N(K2313)&lt;J2313),OR(M2313="PENDENTE",M2313="PARCIAL"),OR(N2313="PENDENTE",N2313="PARCIAL")),1,0))</f>
        <v/>
      </c>
      <c r="W2313" s="8">
        <f>IF(AND(V2313=1,D2313&lt;&gt;""),IF(D2313&gt;=corte,(B2313="CRÍTICO")*1E9+(100000-D2313)*10000+10000-ROW(),""),"")</f>
        <v/>
      </c>
      <c r="X2313" s="8">
        <f>IF(AND(V2313=1,D2313=pas_data,E2313=pas_turno),10000-ROW(),"")</f>
        <v/>
      </c>
    </row>
    <row r="2314">
      <c r="A2314" s="3">
        <f>IF(D2314="","","TT-"&amp;TEXT(ROW()-1,"00000"))</f>
        <v/>
      </c>
      <c r="B2314" s="3">
        <f>IF(D2314="","",IF(V2314=0,"CONCLUÍDO",IF(D2314&lt;corte,"HISTÓRICO",IF(OR(AND(ISNUMBER(R2314),R2314&lt;TODAY()),AND(OR(N2314="PENDENTE",N2314="PARCIAL"),D2314&lt;TODAY()-1)),"CRÍTICO",IF(OR(AND(P2314&lt;&gt;"",S2314=""),AND(N2314="REALIZADO",M2314="PENDENTE"),AND(ISNUMBER(R2314),R2314=TODAY())),"ATENÇÃO",IF(N(K2314)=0,"PENDENTE","EM ANDAMENTO"))))))</f>
        <v/>
      </c>
      <c r="C2314" s="3">
        <f>IF(D2314="","",IF(V2314=0,"🟢 OK",IF(D2314&lt;corte,"⚪ HISTÓRICO (sem baixa)",IF(AND(ISNUMBER(R2314),R2314&lt;TODAY()),"🔴 PRAZO VENCIDO",IF(AND(OR(N2314="PENDENTE",N2314="PARCIAL"),D2314&lt;TODAY()-1),"🔴 EMBARQUE ATRASADO",IF(AND(N2314="REALIZADO",M2314="PENDENTE"),"🟡 EMBARCADO SEM FATURAR",IF(AND(P2314&lt;&gt;"",S2314="",OR(Q2314="",R2314="")),"🟡 PENDÊNCIA SEM RESPONSÁVEL/PRAZO",IF(AND(ISNUMBER(R2314),R2314=TODAY()),"🟡 VENCE HOJE",IF(AND(P2314&lt;&gt;"",S2314=""),"🟡 PENDÊNCIA ABERTA",IF(AND(N(J2314)&gt;0,N(K2314)&lt;J2314),"🟡 FALTA EXECUTAR",IF(OR(M2314="PENDENTE",M2314="PARCIAL"),"🟡 FATURAMENTO PENDENTE","🟡 EMBARQUE PENDENTE")))))))))))</f>
        <v/>
      </c>
      <c r="D2314" s="4" t="n"/>
      <c r="E2314" s="5" t="n"/>
      <c r="F2314" s="5" t="n"/>
      <c r="G2314" s="5" t="n"/>
      <c r="H2314" s="5" t="n"/>
      <c r="I2314" s="5" t="n"/>
      <c r="J2314" s="6" t="n"/>
      <c r="K2314" s="6" t="n"/>
      <c r="L2314" s="7">
        <f>IF(OR(D2314="",N(J2314)=0),"",MIN(1,N(K2314)/J2314))</f>
        <v/>
      </c>
      <c r="M2314" s="5" t="n"/>
      <c r="N2314" s="5" t="n"/>
      <c r="O2314" s="5" t="n"/>
      <c r="P2314" s="5" t="n"/>
      <c r="Q2314" s="5" t="n"/>
      <c r="R2314" s="4" t="n"/>
      <c r="S2314" s="4" t="n"/>
      <c r="T2314" s="5" t="n"/>
      <c r="U2314" s="8">
        <f>IF(AND(V2314=1,D2314&lt;&gt;""),IF(D2314&gt;=corte,TODAY()-D2314,""),"")</f>
        <v/>
      </c>
      <c r="V2314" s="8">
        <f>IF(D2314="",0,IF(OR(AND(P2314&lt;&gt;"",S2314=""),AND(N(J2314)&gt;0,N(K2314)&lt;J2314),OR(M2314="PENDENTE",M2314="PARCIAL"),OR(N2314="PENDENTE",N2314="PARCIAL")),1,0))</f>
        <v/>
      </c>
      <c r="W2314" s="8">
        <f>IF(AND(V2314=1,D2314&lt;&gt;""),IF(D2314&gt;=corte,(B2314="CRÍTICO")*1E9+(100000-D2314)*10000+10000-ROW(),""),"")</f>
        <v/>
      </c>
      <c r="X2314" s="8">
        <f>IF(AND(V2314=1,D2314=pas_data,E2314=pas_turno),10000-ROW(),"")</f>
        <v/>
      </c>
    </row>
    <row r="2315">
      <c r="A2315" s="3">
        <f>IF(D2315="","","TT-"&amp;TEXT(ROW()-1,"00000"))</f>
        <v/>
      </c>
      <c r="B2315" s="3">
        <f>IF(D2315="","",IF(V2315=0,"CONCLUÍDO",IF(D2315&lt;corte,"HISTÓRICO",IF(OR(AND(ISNUMBER(R2315),R2315&lt;TODAY()),AND(OR(N2315="PENDENTE",N2315="PARCIAL"),D2315&lt;TODAY()-1)),"CRÍTICO",IF(OR(AND(P2315&lt;&gt;"",S2315=""),AND(N2315="REALIZADO",M2315="PENDENTE"),AND(ISNUMBER(R2315),R2315=TODAY())),"ATENÇÃO",IF(N(K2315)=0,"PENDENTE","EM ANDAMENTO"))))))</f>
        <v/>
      </c>
      <c r="C2315" s="3">
        <f>IF(D2315="","",IF(V2315=0,"🟢 OK",IF(D2315&lt;corte,"⚪ HISTÓRICO (sem baixa)",IF(AND(ISNUMBER(R2315),R2315&lt;TODAY()),"🔴 PRAZO VENCIDO",IF(AND(OR(N2315="PENDENTE",N2315="PARCIAL"),D2315&lt;TODAY()-1),"🔴 EMBARQUE ATRASADO",IF(AND(N2315="REALIZADO",M2315="PENDENTE"),"🟡 EMBARCADO SEM FATURAR",IF(AND(P2315&lt;&gt;"",S2315="",OR(Q2315="",R2315="")),"🟡 PENDÊNCIA SEM RESPONSÁVEL/PRAZO",IF(AND(ISNUMBER(R2315),R2315=TODAY()),"🟡 VENCE HOJE",IF(AND(P2315&lt;&gt;"",S2315=""),"🟡 PENDÊNCIA ABERTA",IF(AND(N(J2315)&gt;0,N(K2315)&lt;J2315),"🟡 FALTA EXECUTAR",IF(OR(M2315="PENDENTE",M2315="PARCIAL"),"🟡 FATURAMENTO PENDENTE","🟡 EMBARQUE PENDENTE")))))))))))</f>
        <v/>
      </c>
      <c r="D2315" s="4" t="n"/>
      <c r="E2315" s="5" t="n"/>
      <c r="F2315" s="5" t="n"/>
      <c r="G2315" s="5" t="n"/>
      <c r="H2315" s="5" t="n"/>
      <c r="I2315" s="5" t="n"/>
      <c r="J2315" s="6" t="n"/>
      <c r="K2315" s="6" t="n"/>
      <c r="L2315" s="7">
        <f>IF(OR(D2315="",N(J2315)=0),"",MIN(1,N(K2315)/J2315))</f>
        <v/>
      </c>
      <c r="M2315" s="5" t="n"/>
      <c r="N2315" s="5" t="n"/>
      <c r="O2315" s="5" t="n"/>
      <c r="P2315" s="5" t="n"/>
      <c r="Q2315" s="5" t="n"/>
      <c r="R2315" s="4" t="n"/>
      <c r="S2315" s="4" t="n"/>
      <c r="T2315" s="5" t="n"/>
      <c r="U2315" s="8">
        <f>IF(AND(V2315=1,D2315&lt;&gt;""),IF(D2315&gt;=corte,TODAY()-D2315,""),"")</f>
        <v/>
      </c>
      <c r="V2315" s="8">
        <f>IF(D2315="",0,IF(OR(AND(P2315&lt;&gt;"",S2315=""),AND(N(J2315)&gt;0,N(K2315)&lt;J2315),OR(M2315="PENDENTE",M2315="PARCIAL"),OR(N2315="PENDENTE",N2315="PARCIAL")),1,0))</f>
        <v/>
      </c>
      <c r="W2315" s="8">
        <f>IF(AND(V2315=1,D2315&lt;&gt;""),IF(D2315&gt;=corte,(B2315="CRÍTICO")*1E9+(100000-D2315)*10000+10000-ROW(),""),"")</f>
        <v/>
      </c>
      <c r="X2315" s="8">
        <f>IF(AND(V2315=1,D2315=pas_data,E2315=pas_turno),10000-ROW(),"")</f>
        <v/>
      </c>
    </row>
    <row r="2316">
      <c r="A2316" s="3">
        <f>IF(D2316="","","TT-"&amp;TEXT(ROW()-1,"00000"))</f>
        <v/>
      </c>
      <c r="B2316" s="3">
        <f>IF(D2316="","",IF(V2316=0,"CONCLUÍDO",IF(D2316&lt;corte,"HISTÓRICO",IF(OR(AND(ISNUMBER(R2316),R2316&lt;TODAY()),AND(OR(N2316="PENDENTE",N2316="PARCIAL"),D2316&lt;TODAY()-1)),"CRÍTICO",IF(OR(AND(P2316&lt;&gt;"",S2316=""),AND(N2316="REALIZADO",M2316="PENDENTE"),AND(ISNUMBER(R2316),R2316=TODAY())),"ATENÇÃO",IF(N(K2316)=0,"PENDENTE","EM ANDAMENTO"))))))</f>
        <v/>
      </c>
      <c r="C2316" s="3">
        <f>IF(D2316="","",IF(V2316=0,"🟢 OK",IF(D2316&lt;corte,"⚪ HISTÓRICO (sem baixa)",IF(AND(ISNUMBER(R2316),R2316&lt;TODAY()),"🔴 PRAZO VENCIDO",IF(AND(OR(N2316="PENDENTE",N2316="PARCIAL"),D2316&lt;TODAY()-1),"🔴 EMBARQUE ATRASADO",IF(AND(N2316="REALIZADO",M2316="PENDENTE"),"🟡 EMBARCADO SEM FATURAR",IF(AND(P2316&lt;&gt;"",S2316="",OR(Q2316="",R2316="")),"🟡 PENDÊNCIA SEM RESPONSÁVEL/PRAZO",IF(AND(ISNUMBER(R2316),R2316=TODAY()),"🟡 VENCE HOJE",IF(AND(P2316&lt;&gt;"",S2316=""),"🟡 PENDÊNCIA ABERTA",IF(AND(N(J2316)&gt;0,N(K2316)&lt;J2316),"🟡 FALTA EXECUTAR",IF(OR(M2316="PENDENTE",M2316="PARCIAL"),"🟡 FATURAMENTO PENDENTE","🟡 EMBARQUE PENDENTE")))))))))))</f>
        <v/>
      </c>
      <c r="D2316" s="4" t="n"/>
      <c r="E2316" s="5" t="n"/>
      <c r="F2316" s="5" t="n"/>
      <c r="G2316" s="5" t="n"/>
      <c r="H2316" s="5" t="n"/>
      <c r="I2316" s="5" t="n"/>
      <c r="J2316" s="6" t="n"/>
      <c r="K2316" s="6" t="n"/>
      <c r="L2316" s="7">
        <f>IF(OR(D2316="",N(J2316)=0),"",MIN(1,N(K2316)/J2316))</f>
        <v/>
      </c>
      <c r="M2316" s="5" t="n"/>
      <c r="N2316" s="5" t="n"/>
      <c r="O2316" s="5" t="n"/>
      <c r="P2316" s="5" t="n"/>
      <c r="Q2316" s="5" t="n"/>
      <c r="R2316" s="4" t="n"/>
      <c r="S2316" s="4" t="n"/>
      <c r="T2316" s="5" t="n"/>
      <c r="U2316" s="8">
        <f>IF(AND(V2316=1,D2316&lt;&gt;""),IF(D2316&gt;=corte,TODAY()-D2316,""),"")</f>
        <v/>
      </c>
      <c r="V2316" s="8">
        <f>IF(D2316="",0,IF(OR(AND(P2316&lt;&gt;"",S2316=""),AND(N(J2316)&gt;0,N(K2316)&lt;J2316),OR(M2316="PENDENTE",M2316="PARCIAL"),OR(N2316="PENDENTE",N2316="PARCIAL")),1,0))</f>
        <v/>
      </c>
      <c r="W2316" s="8">
        <f>IF(AND(V2316=1,D2316&lt;&gt;""),IF(D2316&gt;=corte,(B2316="CRÍTICO")*1E9+(100000-D2316)*10000+10000-ROW(),""),"")</f>
        <v/>
      </c>
      <c r="X2316" s="8">
        <f>IF(AND(V2316=1,D2316=pas_data,E2316=pas_turno),10000-ROW(),"")</f>
        <v/>
      </c>
    </row>
    <row r="2317">
      <c r="A2317" s="3">
        <f>IF(D2317="","","TT-"&amp;TEXT(ROW()-1,"00000"))</f>
        <v/>
      </c>
      <c r="B2317" s="3">
        <f>IF(D2317="","",IF(V2317=0,"CONCLUÍDO",IF(D2317&lt;corte,"HISTÓRICO",IF(OR(AND(ISNUMBER(R2317),R2317&lt;TODAY()),AND(OR(N2317="PENDENTE",N2317="PARCIAL"),D2317&lt;TODAY()-1)),"CRÍTICO",IF(OR(AND(P2317&lt;&gt;"",S2317=""),AND(N2317="REALIZADO",M2317="PENDENTE"),AND(ISNUMBER(R2317),R2317=TODAY())),"ATENÇÃO",IF(N(K2317)=0,"PENDENTE","EM ANDAMENTO"))))))</f>
        <v/>
      </c>
      <c r="C2317" s="3">
        <f>IF(D2317="","",IF(V2317=0,"🟢 OK",IF(D2317&lt;corte,"⚪ HISTÓRICO (sem baixa)",IF(AND(ISNUMBER(R2317),R2317&lt;TODAY()),"🔴 PRAZO VENCIDO",IF(AND(OR(N2317="PENDENTE",N2317="PARCIAL"),D2317&lt;TODAY()-1),"🔴 EMBARQUE ATRASADO",IF(AND(N2317="REALIZADO",M2317="PENDENTE"),"🟡 EMBARCADO SEM FATURAR",IF(AND(P2317&lt;&gt;"",S2317="",OR(Q2317="",R2317="")),"🟡 PENDÊNCIA SEM RESPONSÁVEL/PRAZO",IF(AND(ISNUMBER(R2317),R2317=TODAY()),"🟡 VENCE HOJE",IF(AND(P2317&lt;&gt;"",S2317=""),"🟡 PENDÊNCIA ABERTA",IF(AND(N(J2317)&gt;0,N(K2317)&lt;J2317),"🟡 FALTA EXECUTAR",IF(OR(M2317="PENDENTE",M2317="PARCIAL"),"🟡 FATURAMENTO PENDENTE","🟡 EMBARQUE PENDENTE")))))))))))</f>
        <v/>
      </c>
      <c r="D2317" s="4" t="n"/>
      <c r="E2317" s="5" t="n"/>
      <c r="F2317" s="5" t="n"/>
      <c r="G2317" s="5" t="n"/>
      <c r="H2317" s="5" t="n"/>
      <c r="I2317" s="5" t="n"/>
      <c r="J2317" s="6" t="n"/>
      <c r="K2317" s="6" t="n"/>
      <c r="L2317" s="7">
        <f>IF(OR(D2317="",N(J2317)=0),"",MIN(1,N(K2317)/J2317))</f>
        <v/>
      </c>
      <c r="M2317" s="5" t="n"/>
      <c r="N2317" s="5" t="n"/>
      <c r="O2317" s="5" t="n"/>
      <c r="P2317" s="5" t="n"/>
      <c r="Q2317" s="5" t="n"/>
      <c r="R2317" s="4" t="n"/>
      <c r="S2317" s="4" t="n"/>
      <c r="T2317" s="5" t="n"/>
      <c r="U2317" s="8">
        <f>IF(AND(V2317=1,D2317&lt;&gt;""),IF(D2317&gt;=corte,TODAY()-D2317,""),"")</f>
        <v/>
      </c>
      <c r="V2317" s="8">
        <f>IF(D2317="",0,IF(OR(AND(P2317&lt;&gt;"",S2317=""),AND(N(J2317)&gt;0,N(K2317)&lt;J2317),OR(M2317="PENDENTE",M2317="PARCIAL"),OR(N2317="PENDENTE",N2317="PARCIAL")),1,0))</f>
        <v/>
      </c>
      <c r="W2317" s="8">
        <f>IF(AND(V2317=1,D2317&lt;&gt;""),IF(D2317&gt;=corte,(B2317="CRÍTICO")*1E9+(100000-D2317)*10000+10000-ROW(),""),"")</f>
        <v/>
      </c>
      <c r="X2317" s="8">
        <f>IF(AND(V2317=1,D2317=pas_data,E2317=pas_turno),10000-ROW(),"")</f>
        <v/>
      </c>
    </row>
    <row r="2318">
      <c r="A2318" s="3">
        <f>IF(D2318="","","TT-"&amp;TEXT(ROW()-1,"00000"))</f>
        <v/>
      </c>
      <c r="B2318" s="3">
        <f>IF(D2318="","",IF(V2318=0,"CONCLUÍDO",IF(D2318&lt;corte,"HISTÓRICO",IF(OR(AND(ISNUMBER(R2318),R2318&lt;TODAY()),AND(OR(N2318="PENDENTE",N2318="PARCIAL"),D2318&lt;TODAY()-1)),"CRÍTICO",IF(OR(AND(P2318&lt;&gt;"",S2318=""),AND(N2318="REALIZADO",M2318="PENDENTE"),AND(ISNUMBER(R2318),R2318=TODAY())),"ATENÇÃO",IF(N(K2318)=0,"PENDENTE","EM ANDAMENTO"))))))</f>
        <v/>
      </c>
      <c r="C2318" s="3">
        <f>IF(D2318="","",IF(V2318=0,"🟢 OK",IF(D2318&lt;corte,"⚪ HISTÓRICO (sem baixa)",IF(AND(ISNUMBER(R2318),R2318&lt;TODAY()),"🔴 PRAZO VENCIDO",IF(AND(OR(N2318="PENDENTE",N2318="PARCIAL"),D2318&lt;TODAY()-1),"🔴 EMBARQUE ATRASADO",IF(AND(N2318="REALIZADO",M2318="PENDENTE"),"🟡 EMBARCADO SEM FATURAR",IF(AND(P2318&lt;&gt;"",S2318="",OR(Q2318="",R2318="")),"🟡 PENDÊNCIA SEM RESPONSÁVEL/PRAZO",IF(AND(ISNUMBER(R2318),R2318=TODAY()),"🟡 VENCE HOJE",IF(AND(P2318&lt;&gt;"",S2318=""),"🟡 PENDÊNCIA ABERTA",IF(AND(N(J2318)&gt;0,N(K2318)&lt;J2318),"🟡 FALTA EXECUTAR",IF(OR(M2318="PENDENTE",M2318="PARCIAL"),"🟡 FATURAMENTO PENDENTE","🟡 EMBARQUE PENDENTE")))))))))))</f>
        <v/>
      </c>
      <c r="D2318" s="4" t="n"/>
      <c r="E2318" s="5" t="n"/>
      <c r="F2318" s="5" t="n"/>
      <c r="G2318" s="5" t="n"/>
      <c r="H2318" s="5" t="n"/>
      <c r="I2318" s="5" t="n"/>
      <c r="J2318" s="6" t="n"/>
      <c r="K2318" s="6" t="n"/>
      <c r="L2318" s="7">
        <f>IF(OR(D2318="",N(J2318)=0),"",MIN(1,N(K2318)/J2318))</f>
        <v/>
      </c>
      <c r="M2318" s="5" t="n"/>
      <c r="N2318" s="5" t="n"/>
      <c r="O2318" s="5" t="n"/>
      <c r="P2318" s="5" t="n"/>
      <c r="Q2318" s="5" t="n"/>
      <c r="R2318" s="4" t="n"/>
      <c r="S2318" s="4" t="n"/>
      <c r="T2318" s="5" t="n"/>
      <c r="U2318" s="8">
        <f>IF(AND(V2318=1,D2318&lt;&gt;""),IF(D2318&gt;=corte,TODAY()-D2318,""),"")</f>
        <v/>
      </c>
      <c r="V2318" s="8">
        <f>IF(D2318="",0,IF(OR(AND(P2318&lt;&gt;"",S2318=""),AND(N(J2318)&gt;0,N(K2318)&lt;J2318),OR(M2318="PENDENTE",M2318="PARCIAL"),OR(N2318="PENDENTE",N2318="PARCIAL")),1,0))</f>
        <v/>
      </c>
      <c r="W2318" s="8">
        <f>IF(AND(V2318=1,D2318&lt;&gt;""),IF(D2318&gt;=corte,(B2318="CRÍTICO")*1E9+(100000-D2318)*10000+10000-ROW(),""),"")</f>
        <v/>
      </c>
      <c r="X2318" s="8">
        <f>IF(AND(V2318=1,D2318=pas_data,E2318=pas_turno),10000-ROW(),"")</f>
        <v/>
      </c>
    </row>
    <row r="2319">
      <c r="A2319" s="3">
        <f>IF(D2319="","","TT-"&amp;TEXT(ROW()-1,"00000"))</f>
        <v/>
      </c>
      <c r="B2319" s="3">
        <f>IF(D2319="","",IF(V2319=0,"CONCLUÍDO",IF(D2319&lt;corte,"HISTÓRICO",IF(OR(AND(ISNUMBER(R2319),R2319&lt;TODAY()),AND(OR(N2319="PENDENTE",N2319="PARCIAL"),D2319&lt;TODAY()-1)),"CRÍTICO",IF(OR(AND(P2319&lt;&gt;"",S2319=""),AND(N2319="REALIZADO",M2319="PENDENTE"),AND(ISNUMBER(R2319),R2319=TODAY())),"ATENÇÃO",IF(N(K2319)=0,"PENDENTE","EM ANDAMENTO"))))))</f>
        <v/>
      </c>
      <c r="C2319" s="3">
        <f>IF(D2319="","",IF(V2319=0,"🟢 OK",IF(D2319&lt;corte,"⚪ HISTÓRICO (sem baixa)",IF(AND(ISNUMBER(R2319),R2319&lt;TODAY()),"🔴 PRAZO VENCIDO",IF(AND(OR(N2319="PENDENTE",N2319="PARCIAL"),D2319&lt;TODAY()-1),"🔴 EMBARQUE ATRASADO",IF(AND(N2319="REALIZADO",M2319="PENDENTE"),"🟡 EMBARCADO SEM FATURAR",IF(AND(P2319&lt;&gt;"",S2319="",OR(Q2319="",R2319="")),"🟡 PENDÊNCIA SEM RESPONSÁVEL/PRAZO",IF(AND(ISNUMBER(R2319),R2319=TODAY()),"🟡 VENCE HOJE",IF(AND(P2319&lt;&gt;"",S2319=""),"🟡 PENDÊNCIA ABERTA",IF(AND(N(J2319)&gt;0,N(K2319)&lt;J2319),"🟡 FALTA EXECUTAR",IF(OR(M2319="PENDENTE",M2319="PARCIAL"),"🟡 FATURAMENTO PENDENTE","🟡 EMBARQUE PENDENTE")))))))))))</f>
        <v/>
      </c>
      <c r="D2319" s="4" t="n"/>
      <c r="E2319" s="5" t="n"/>
      <c r="F2319" s="5" t="n"/>
      <c r="G2319" s="5" t="n"/>
      <c r="H2319" s="5" t="n"/>
      <c r="I2319" s="5" t="n"/>
      <c r="J2319" s="6" t="n"/>
      <c r="K2319" s="6" t="n"/>
      <c r="L2319" s="7">
        <f>IF(OR(D2319="",N(J2319)=0),"",MIN(1,N(K2319)/J2319))</f>
        <v/>
      </c>
      <c r="M2319" s="5" t="n"/>
      <c r="N2319" s="5" t="n"/>
      <c r="O2319" s="5" t="n"/>
      <c r="P2319" s="5" t="n"/>
      <c r="Q2319" s="5" t="n"/>
      <c r="R2319" s="4" t="n"/>
      <c r="S2319" s="4" t="n"/>
      <c r="T2319" s="5" t="n"/>
      <c r="U2319" s="8">
        <f>IF(AND(V2319=1,D2319&lt;&gt;""),IF(D2319&gt;=corte,TODAY()-D2319,""),"")</f>
        <v/>
      </c>
      <c r="V2319" s="8">
        <f>IF(D2319="",0,IF(OR(AND(P2319&lt;&gt;"",S2319=""),AND(N(J2319)&gt;0,N(K2319)&lt;J2319),OR(M2319="PENDENTE",M2319="PARCIAL"),OR(N2319="PENDENTE",N2319="PARCIAL")),1,0))</f>
        <v/>
      </c>
      <c r="W2319" s="8">
        <f>IF(AND(V2319=1,D2319&lt;&gt;""),IF(D2319&gt;=corte,(B2319="CRÍTICO")*1E9+(100000-D2319)*10000+10000-ROW(),""),"")</f>
        <v/>
      </c>
      <c r="X2319" s="8">
        <f>IF(AND(V2319=1,D2319=pas_data,E2319=pas_turno),10000-ROW(),"")</f>
        <v/>
      </c>
    </row>
    <row r="2320">
      <c r="A2320" s="3">
        <f>IF(D2320="","","TT-"&amp;TEXT(ROW()-1,"00000"))</f>
        <v/>
      </c>
      <c r="B2320" s="3">
        <f>IF(D2320="","",IF(V2320=0,"CONCLUÍDO",IF(D2320&lt;corte,"HISTÓRICO",IF(OR(AND(ISNUMBER(R2320),R2320&lt;TODAY()),AND(OR(N2320="PENDENTE",N2320="PARCIAL"),D2320&lt;TODAY()-1)),"CRÍTICO",IF(OR(AND(P2320&lt;&gt;"",S2320=""),AND(N2320="REALIZADO",M2320="PENDENTE"),AND(ISNUMBER(R2320),R2320=TODAY())),"ATENÇÃO",IF(N(K2320)=0,"PENDENTE","EM ANDAMENTO"))))))</f>
        <v/>
      </c>
      <c r="C2320" s="3">
        <f>IF(D2320="","",IF(V2320=0,"🟢 OK",IF(D2320&lt;corte,"⚪ HISTÓRICO (sem baixa)",IF(AND(ISNUMBER(R2320),R2320&lt;TODAY()),"🔴 PRAZO VENCIDO",IF(AND(OR(N2320="PENDENTE",N2320="PARCIAL"),D2320&lt;TODAY()-1),"🔴 EMBARQUE ATRASADO",IF(AND(N2320="REALIZADO",M2320="PENDENTE"),"🟡 EMBARCADO SEM FATURAR",IF(AND(P2320&lt;&gt;"",S2320="",OR(Q2320="",R2320="")),"🟡 PENDÊNCIA SEM RESPONSÁVEL/PRAZO",IF(AND(ISNUMBER(R2320),R2320=TODAY()),"🟡 VENCE HOJE",IF(AND(P2320&lt;&gt;"",S2320=""),"🟡 PENDÊNCIA ABERTA",IF(AND(N(J2320)&gt;0,N(K2320)&lt;J2320),"🟡 FALTA EXECUTAR",IF(OR(M2320="PENDENTE",M2320="PARCIAL"),"🟡 FATURAMENTO PENDENTE","🟡 EMBARQUE PENDENTE")))))))))))</f>
        <v/>
      </c>
      <c r="D2320" s="4" t="n"/>
      <c r="E2320" s="5" t="n"/>
      <c r="F2320" s="5" t="n"/>
      <c r="G2320" s="5" t="n"/>
      <c r="H2320" s="5" t="n"/>
      <c r="I2320" s="5" t="n"/>
      <c r="J2320" s="6" t="n"/>
      <c r="K2320" s="6" t="n"/>
      <c r="L2320" s="7">
        <f>IF(OR(D2320="",N(J2320)=0),"",MIN(1,N(K2320)/J2320))</f>
        <v/>
      </c>
      <c r="M2320" s="5" t="n"/>
      <c r="N2320" s="5" t="n"/>
      <c r="O2320" s="5" t="n"/>
      <c r="P2320" s="5" t="n"/>
      <c r="Q2320" s="5" t="n"/>
      <c r="R2320" s="4" t="n"/>
      <c r="S2320" s="4" t="n"/>
      <c r="T2320" s="5" t="n"/>
      <c r="U2320" s="8">
        <f>IF(AND(V2320=1,D2320&lt;&gt;""),IF(D2320&gt;=corte,TODAY()-D2320,""),"")</f>
        <v/>
      </c>
      <c r="V2320" s="8">
        <f>IF(D2320="",0,IF(OR(AND(P2320&lt;&gt;"",S2320=""),AND(N(J2320)&gt;0,N(K2320)&lt;J2320),OR(M2320="PENDENTE",M2320="PARCIAL"),OR(N2320="PENDENTE",N2320="PARCIAL")),1,0))</f>
        <v/>
      </c>
      <c r="W2320" s="8">
        <f>IF(AND(V2320=1,D2320&lt;&gt;""),IF(D2320&gt;=corte,(B2320="CRÍTICO")*1E9+(100000-D2320)*10000+10000-ROW(),""),"")</f>
        <v/>
      </c>
      <c r="X2320" s="8">
        <f>IF(AND(V2320=1,D2320=pas_data,E2320=pas_turno),10000-ROW(),"")</f>
        <v/>
      </c>
    </row>
    <row r="2321">
      <c r="A2321" s="3">
        <f>IF(D2321="","","TT-"&amp;TEXT(ROW()-1,"00000"))</f>
        <v/>
      </c>
      <c r="B2321" s="3">
        <f>IF(D2321="","",IF(V2321=0,"CONCLUÍDO",IF(D2321&lt;corte,"HISTÓRICO",IF(OR(AND(ISNUMBER(R2321),R2321&lt;TODAY()),AND(OR(N2321="PENDENTE",N2321="PARCIAL"),D2321&lt;TODAY()-1)),"CRÍTICO",IF(OR(AND(P2321&lt;&gt;"",S2321=""),AND(N2321="REALIZADO",M2321="PENDENTE"),AND(ISNUMBER(R2321),R2321=TODAY())),"ATENÇÃO",IF(N(K2321)=0,"PENDENTE","EM ANDAMENTO"))))))</f>
        <v/>
      </c>
      <c r="C2321" s="3">
        <f>IF(D2321="","",IF(V2321=0,"🟢 OK",IF(D2321&lt;corte,"⚪ HISTÓRICO (sem baixa)",IF(AND(ISNUMBER(R2321),R2321&lt;TODAY()),"🔴 PRAZO VENCIDO",IF(AND(OR(N2321="PENDENTE",N2321="PARCIAL"),D2321&lt;TODAY()-1),"🔴 EMBARQUE ATRASADO",IF(AND(N2321="REALIZADO",M2321="PENDENTE"),"🟡 EMBARCADO SEM FATURAR",IF(AND(P2321&lt;&gt;"",S2321="",OR(Q2321="",R2321="")),"🟡 PENDÊNCIA SEM RESPONSÁVEL/PRAZO",IF(AND(ISNUMBER(R2321),R2321=TODAY()),"🟡 VENCE HOJE",IF(AND(P2321&lt;&gt;"",S2321=""),"🟡 PENDÊNCIA ABERTA",IF(AND(N(J2321)&gt;0,N(K2321)&lt;J2321),"🟡 FALTA EXECUTAR",IF(OR(M2321="PENDENTE",M2321="PARCIAL"),"🟡 FATURAMENTO PENDENTE","🟡 EMBARQUE PENDENTE")))))))))))</f>
        <v/>
      </c>
      <c r="D2321" s="4" t="n"/>
      <c r="E2321" s="5" t="n"/>
      <c r="F2321" s="5" t="n"/>
      <c r="G2321" s="5" t="n"/>
      <c r="H2321" s="5" t="n"/>
      <c r="I2321" s="5" t="n"/>
      <c r="J2321" s="6" t="n"/>
      <c r="K2321" s="6" t="n"/>
      <c r="L2321" s="7">
        <f>IF(OR(D2321="",N(J2321)=0),"",MIN(1,N(K2321)/J2321))</f>
        <v/>
      </c>
      <c r="M2321" s="5" t="n"/>
      <c r="N2321" s="5" t="n"/>
      <c r="O2321" s="5" t="n"/>
      <c r="P2321" s="5" t="n"/>
      <c r="Q2321" s="5" t="n"/>
      <c r="R2321" s="4" t="n"/>
      <c r="S2321" s="4" t="n"/>
      <c r="T2321" s="5" t="n"/>
      <c r="U2321" s="8">
        <f>IF(AND(V2321=1,D2321&lt;&gt;""),IF(D2321&gt;=corte,TODAY()-D2321,""),"")</f>
        <v/>
      </c>
      <c r="V2321" s="8">
        <f>IF(D2321="",0,IF(OR(AND(P2321&lt;&gt;"",S2321=""),AND(N(J2321)&gt;0,N(K2321)&lt;J2321),OR(M2321="PENDENTE",M2321="PARCIAL"),OR(N2321="PENDENTE",N2321="PARCIAL")),1,0))</f>
        <v/>
      </c>
      <c r="W2321" s="8">
        <f>IF(AND(V2321=1,D2321&lt;&gt;""),IF(D2321&gt;=corte,(B2321="CRÍTICO")*1E9+(100000-D2321)*10000+10000-ROW(),""),"")</f>
        <v/>
      </c>
      <c r="X2321" s="8">
        <f>IF(AND(V2321=1,D2321=pas_data,E2321=pas_turno),10000-ROW(),"")</f>
        <v/>
      </c>
    </row>
    <row r="2322">
      <c r="A2322" s="3">
        <f>IF(D2322="","","TT-"&amp;TEXT(ROW()-1,"00000"))</f>
        <v/>
      </c>
      <c r="B2322" s="3">
        <f>IF(D2322="","",IF(V2322=0,"CONCLUÍDO",IF(D2322&lt;corte,"HISTÓRICO",IF(OR(AND(ISNUMBER(R2322),R2322&lt;TODAY()),AND(OR(N2322="PENDENTE",N2322="PARCIAL"),D2322&lt;TODAY()-1)),"CRÍTICO",IF(OR(AND(P2322&lt;&gt;"",S2322=""),AND(N2322="REALIZADO",M2322="PENDENTE"),AND(ISNUMBER(R2322),R2322=TODAY())),"ATENÇÃO",IF(N(K2322)=0,"PENDENTE","EM ANDAMENTO"))))))</f>
        <v/>
      </c>
      <c r="C2322" s="3">
        <f>IF(D2322="","",IF(V2322=0,"🟢 OK",IF(D2322&lt;corte,"⚪ HISTÓRICO (sem baixa)",IF(AND(ISNUMBER(R2322),R2322&lt;TODAY()),"🔴 PRAZO VENCIDO",IF(AND(OR(N2322="PENDENTE",N2322="PARCIAL"),D2322&lt;TODAY()-1),"🔴 EMBARQUE ATRASADO",IF(AND(N2322="REALIZADO",M2322="PENDENTE"),"🟡 EMBARCADO SEM FATURAR",IF(AND(P2322&lt;&gt;"",S2322="",OR(Q2322="",R2322="")),"🟡 PENDÊNCIA SEM RESPONSÁVEL/PRAZO",IF(AND(ISNUMBER(R2322),R2322=TODAY()),"🟡 VENCE HOJE",IF(AND(P2322&lt;&gt;"",S2322=""),"🟡 PENDÊNCIA ABERTA",IF(AND(N(J2322)&gt;0,N(K2322)&lt;J2322),"🟡 FALTA EXECUTAR",IF(OR(M2322="PENDENTE",M2322="PARCIAL"),"🟡 FATURAMENTO PENDENTE","🟡 EMBARQUE PENDENTE")))))))))))</f>
        <v/>
      </c>
      <c r="D2322" s="4" t="n"/>
      <c r="E2322" s="5" t="n"/>
      <c r="F2322" s="5" t="n"/>
      <c r="G2322" s="5" t="n"/>
      <c r="H2322" s="5" t="n"/>
      <c r="I2322" s="5" t="n"/>
      <c r="J2322" s="6" t="n"/>
      <c r="K2322" s="6" t="n"/>
      <c r="L2322" s="7">
        <f>IF(OR(D2322="",N(J2322)=0),"",MIN(1,N(K2322)/J2322))</f>
        <v/>
      </c>
      <c r="M2322" s="5" t="n"/>
      <c r="N2322" s="5" t="n"/>
      <c r="O2322" s="5" t="n"/>
      <c r="P2322" s="5" t="n"/>
      <c r="Q2322" s="5" t="n"/>
      <c r="R2322" s="4" t="n"/>
      <c r="S2322" s="4" t="n"/>
      <c r="T2322" s="5" t="n"/>
      <c r="U2322" s="8">
        <f>IF(AND(V2322=1,D2322&lt;&gt;""),IF(D2322&gt;=corte,TODAY()-D2322,""),"")</f>
        <v/>
      </c>
      <c r="V2322" s="8">
        <f>IF(D2322="",0,IF(OR(AND(P2322&lt;&gt;"",S2322=""),AND(N(J2322)&gt;0,N(K2322)&lt;J2322),OR(M2322="PENDENTE",M2322="PARCIAL"),OR(N2322="PENDENTE",N2322="PARCIAL")),1,0))</f>
        <v/>
      </c>
      <c r="W2322" s="8">
        <f>IF(AND(V2322=1,D2322&lt;&gt;""),IF(D2322&gt;=corte,(B2322="CRÍTICO")*1E9+(100000-D2322)*10000+10000-ROW(),""),"")</f>
        <v/>
      </c>
      <c r="X2322" s="8">
        <f>IF(AND(V2322=1,D2322=pas_data,E2322=pas_turno),10000-ROW(),"")</f>
        <v/>
      </c>
    </row>
    <row r="2323">
      <c r="A2323" s="3">
        <f>IF(D2323="","","TT-"&amp;TEXT(ROW()-1,"00000"))</f>
        <v/>
      </c>
      <c r="B2323" s="3">
        <f>IF(D2323="","",IF(V2323=0,"CONCLUÍDO",IF(D2323&lt;corte,"HISTÓRICO",IF(OR(AND(ISNUMBER(R2323),R2323&lt;TODAY()),AND(OR(N2323="PENDENTE",N2323="PARCIAL"),D2323&lt;TODAY()-1)),"CRÍTICO",IF(OR(AND(P2323&lt;&gt;"",S2323=""),AND(N2323="REALIZADO",M2323="PENDENTE"),AND(ISNUMBER(R2323),R2323=TODAY())),"ATENÇÃO",IF(N(K2323)=0,"PENDENTE","EM ANDAMENTO"))))))</f>
        <v/>
      </c>
      <c r="C2323" s="3">
        <f>IF(D2323="","",IF(V2323=0,"🟢 OK",IF(D2323&lt;corte,"⚪ HISTÓRICO (sem baixa)",IF(AND(ISNUMBER(R2323),R2323&lt;TODAY()),"🔴 PRAZO VENCIDO",IF(AND(OR(N2323="PENDENTE",N2323="PARCIAL"),D2323&lt;TODAY()-1),"🔴 EMBARQUE ATRASADO",IF(AND(N2323="REALIZADO",M2323="PENDENTE"),"🟡 EMBARCADO SEM FATURAR",IF(AND(P2323&lt;&gt;"",S2323="",OR(Q2323="",R2323="")),"🟡 PENDÊNCIA SEM RESPONSÁVEL/PRAZO",IF(AND(ISNUMBER(R2323),R2323=TODAY()),"🟡 VENCE HOJE",IF(AND(P2323&lt;&gt;"",S2323=""),"🟡 PENDÊNCIA ABERTA",IF(AND(N(J2323)&gt;0,N(K2323)&lt;J2323),"🟡 FALTA EXECUTAR",IF(OR(M2323="PENDENTE",M2323="PARCIAL"),"🟡 FATURAMENTO PENDENTE","🟡 EMBARQUE PENDENTE")))))))))))</f>
        <v/>
      </c>
      <c r="D2323" s="4" t="n"/>
      <c r="E2323" s="5" t="n"/>
      <c r="F2323" s="5" t="n"/>
      <c r="G2323" s="5" t="n"/>
      <c r="H2323" s="5" t="n"/>
      <c r="I2323" s="5" t="n"/>
      <c r="J2323" s="6" t="n"/>
      <c r="K2323" s="6" t="n"/>
      <c r="L2323" s="7">
        <f>IF(OR(D2323="",N(J2323)=0),"",MIN(1,N(K2323)/J2323))</f>
        <v/>
      </c>
      <c r="M2323" s="5" t="n"/>
      <c r="N2323" s="5" t="n"/>
      <c r="O2323" s="5" t="n"/>
      <c r="P2323" s="5" t="n"/>
      <c r="Q2323" s="5" t="n"/>
      <c r="R2323" s="4" t="n"/>
      <c r="S2323" s="4" t="n"/>
      <c r="T2323" s="5" t="n"/>
      <c r="U2323" s="8">
        <f>IF(AND(V2323=1,D2323&lt;&gt;""),IF(D2323&gt;=corte,TODAY()-D2323,""),"")</f>
        <v/>
      </c>
      <c r="V2323" s="8">
        <f>IF(D2323="",0,IF(OR(AND(P2323&lt;&gt;"",S2323=""),AND(N(J2323)&gt;0,N(K2323)&lt;J2323),OR(M2323="PENDENTE",M2323="PARCIAL"),OR(N2323="PENDENTE",N2323="PARCIAL")),1,0))</f>
        <v/>
      </c>
      <c r="W2323" s="8">
        <f>IF(AND(V2323=1,D2323&lt;&gt;""),IF(D2323&gt;=corte,(B2323="CRÍTICO")*1E9+(100000-D2323)*10000+10000-ROW(),""),"")</f>
        <v/>
      </c>
      <c r="X2323" s="8">
        <f>IF(AND(V2323=1,D2323=pas_data,E2323=pas_turno),10000-ROW(),"")</f>
        <v/>
      </c>
    </row>
    <row r="2324">
      <c r="A2324" s="3">
        <f>IF(D2324="","","TT-"&amp;TEXT(ROW()-1,"00000"))</f>
        <v/>
      </c>
      <c r="B2324" s="3">
        <f>IF(D2324="","",IF(V2324=0,"CONCLUÍDO",IF(D2324&lt;corte,"HISTÓRICO",IF(OR(AND(ISNUMBER(R2324),R2324&lt;TODAY()),AND(OR(N2324="PENDENTE",N2324="PARCIAL"),D2324&lt;TODAY()-1)),"CRÍTICO",IF(OR(AND(P2324&lt;&gt;"",S2324=""),AND(N2324="REALIZADO",M2324="PENDENTE"),AND(ISNUMBER(R2324),R2324=TODAY())),"ATENÇÃO",IF(N(K2324)=0,"PENDENTE","EM ANDAMENTO"))))))</f>
        <v/>
      </c>
      <c r="C2324" s="3">
        <f>IF(D2324="","",IF(V2324=0,"🟢 OK",IF(D2324&lt;corte,"⚪ HISTÓRICO (sem baixa)",IF(AND(ISNUMBER(R2324),R2324&lt;TODAY()),"🔴 PRAZO VENCIDO",IF(AND(OR(N2324="PENDENTE",N2324="PARCIAL"),D2324&lt;TODAY()-1),"🔴 EMBARQUE ATRASADO",IF(AND(N2324="REALIZADO",M2324="PENDENTE"),"🟡 EMBARCADO SEM FATURAR",IF(AND(P2324&lt;&gt;"",S2324="",OR(Q2324="",R2324="")),"🟡 PENDÊNCIA SEM RESPONSÁVEL/PRAZO",IF(AND(ISNUMBER(R2324),R2324=TODAY()),"🟡 VENCE HOJE",IF(AND(P2324&lt;&gt;"",S2324=""),"🟡 PENDÊNCIA ABERTA",IF(AND(N(J2324)&gt;0,N(K2324)&lt;J2324),"🟡 FALTA EXECUTAR",IF(OR(M2324="PENDENTE",M2324="PARCIAL"),"🟡 FATURAMENTO PENDENTE","🟡 EMBARQUE PENDENTE")))))))))))</f>
        <v/>
      </c>
      <c r="D2324" s="4" t="n"/>
      <c r="E2324" s="5" t="n"/>
      <c r="F2324" s="5" t="n"/>
      <c r="G2324" s="5" t="n"/>
      <c r="H2324" s="5" t="n"/>
      <c r="I2324" s="5" t="n"/>
      <c r="J2324" s="6" t="n"/>
      <c r="K2324" s="6" t="n"/>
      <c r="L2324" s="7">
        <f>IF(OR(D2324="",N(J2324)=0),"",MIN(1,N(K2324)/J2324))</f>
        <v/>
      </c>
      <c r="M2324" s="5" t="n"/>
      <c r="N2324" s="5" t="n"/>
      <c r="O2324" s="5" t="n"/>
      <c r="P2324" s="5" t="n"/>
      <c r="Q2324" s="5" t="n"/>
      <c r="R2324" s="4" t="n"/>
      <c r="S2324" s="4" t="n"/>
      <c r="T2324" s="5" t="n"/>
      <c r="U2324" s="8">
        <f>IF(AND(V2324=1,D2324&lt;&gt;""),IF(D2324&gt;=corte,TODAY()-D2324,""),"")</f>
        <v/>
      </c>
      <c r="V2324" s="8">
        <f>IF(D2324="",0,IF(OR(AND(P2324&lt;&gt;"",S2324=""),AND(N(J2324)&gt;0,N(K2324)&lt;J2324),OR(M2324="PENDENTE",M2324="PARCIAL"),OR(N2324="PENDENTE",N2324="PARCIAL")),1,0))</f>
        <v/>
      </c>
      <c r="W2324" s="8">
        <f>IF(AND(V2324=1,D2324&lt;&gt;""),IF(D2324&gt;=corte,(B2324="CRÍTICO")*1E9+(100000-D2324)*10000+10000-ROW(),""),"")</f>
        <v/>
      </c>
      <c r="X2324" s="8">
        <f>IF(AND(V2324=1,D2324=pas_data,E2324=pas_turno),10000-ROW(),"")</f>
        <v/>
      </c>
    </row>
    <row r="2325">
      <c r="A2325" s="3">
        <f>IF(D2325="","","TT-"&amp;TEXT(ROW()-1,"00000"))</f>
        <v/>
      </c>
      <c r="B2325" s="3">
        <f>IF(D2325="","",IF(V2325=0,"CONCLUÍDO",IF(D2325&lt;corte,"HISTÓRICO",IF(OR(AND(ISNUMBER(R2325),R2325&lt;TODAY()),AND(OR(N2325="PENDENTE",N2325="PARCIAL"),D2325&lt;TODAY()-1)),"CRÍTICO",IF(OR(AND(P2325&lt;&gt;"",S2325=""),AND(N2325="REALIZADO",M2325="PENDENTE"),AND(ISNUMBER(R2325),R2325=TODAY())),"ATENÇÃO",IF(N(K2325)=0,"PENDENTE","EM ANDAMENTO"))))))</f>
        <v/>
      </c>
      <c r="C2325" s="3">
        <f>IF(D2325="","",IF(V2325=0,"🟢 OK",IF(D2325&lt;corte,"⚪ HISTÓRICO (sem baixa)",IF(AND(ISNUMBER(R2325),R2325&lt;TODAY()),"🔴 PRAZO VENCIDO",IF(AND(OR(N2325="PENDENTE",N2325="PARCIAL"),D2325&lt;TODAY()-1),"🔴 EMBARQUE ATRASADO",IF(AND(N2325="REALIZADO",M2325="PENDENTE"),"🟡 EMBARCADO SEM FATURAR",IF(AND(P2325&lt;&gt;"",S2325="",OR(Q2325="",R2325="")),"🟡 PENDÊNCIA SEM RESPONSÁVEL/PRAZO",IF(AND(ISNUMBER(R2325),R2325=TODAY()),"🟡 VENCE HOJE",IF(AND(P2325&lt;&gt;"",S2325=""),"🟡 PENDÊNCIA ABERTA",IF(AND(N(J2325)&gt;0,N(K2325)&lt;J2325),"🟡 FALTA EXECUTAR",IF(OR(M2325="PENDENTE",M2325="PARCIAL"),"🟡 FATURAMENTO PENDENTE","🟡 EMBARQUE PENDENTE")))))))))))</f>
        <v/>
      </c>
      <c r="D2325" s="4" t="n"/>
      <c r="E2325" s="5" t="n"/>
      <c r="F2325" s="5" t="n"/>
      <c r="G2325" s="5" t="n"/>
      <c r="H2325" s="5" t="n"/>
      <c r="I2325" s="5" t="n"/>
      <c r="J2325" s="6" t="n"/>
      <c r="K2325" s="6" t="n"/>
      <c r="L2325" s="7">
        <f>IF(OR(D2325="",N(J2325)=0),"",MIN(1,N(K2325)/J2325))</f>
        <v/>
      </c>
      <c r="M2325" s="5" t="n"/>
      <c r="N2325" s="5" t="n"/>
      <c r="O2325" s="5" t="n"/>
      <c r="P2325" s="5" t="n"/>
      <c r="Q2325" s="5" t="n"/>
      <c r="R2325" s="4" t="n"/>
      <c r="S2325" s="4" t="n"/>
      <c r="T2325" s="5" t="n"/>
      <c r="U2325" s="8">
        <f>IF(AND(V2325=1,D2325&lt;&gt;""),IF(D2325&gt;=corte,TODAY()-D2325,""),"")</f>
        <v/>
      </c>
      <c r="V2325" s="8">
        <f>IF(D2325="",0,IF(OR(AND(P2325&lt;&gt;"",S2325=""),AND(N(J2325)&gt;0,N(K2325)&lt;J2325),OR(M2325="PENDENTE",M2325="PARCIAL"),OR(N2325="PENDENTE",N2325="PARCIAL")),1,0))</f>
        <v/>
      </c>
      <c r="W2325" s="8">
        <f>IF(AND(V2325=1,D2325&lt;&gt;""),IF(D2325&gt;=corte,(B2325="CRÍTICO")*1E9+(100000-D2325)*10000+10000-ROW(),""),"")</f>
        <v/>
      </c>
      <c r="X2325" s="8">
        <f>IF(AND(V2325=1,D2325=pas_data,E2325=pas_turno),10000-ROW(),"")</f>
        <v/>
      </c>
    </row>
    <row r="2326">
      <c r="A2326" s="3">
        <f>IF(D2326="","","TT-"&amp;TEXT(ROW()-1,"00000"))</f>
        <v/>
      </c>
      <c r="B2326" s="3">
        <f>IF(D2326="","",IF(V2326=0,"CONCLUÍDO",IF(D2326&lt;corte,"HISTÓRICO",IF(OR(AND(ISNUMBER(R2326),R2326&lt;TODAY()),AND(OR(N2326="PENDENTE",N2326="PARCIAL"),D2326&lt;TODAY()-1)),"CRÍTICO",IF(OR(AND(P2326&lt;&gt;"",S2326=""),AND(N2326="REALIZADO",M2326="PENDENTE"),AND(ISNUMBER(R2326),R2326=TODAY())),"ATENÇÃO",IF(N(K2326)=0,"PENDENTE","EM ANDAMENTO"))))))</f>
        <v/>
      </c>
      <c r="C2326" s="3">
        <f>IF(D2326="","",IF(V2326=0,"🟢 OK",IF(D2326&lt;corte,"⚪ HISTÓRICO (sem baixa)",IF(AND(ISNUMBER(R2326),R2326&lt;TODAY()),"🔴 PRAZO VENCIDO",IF(AND(OR(N2326="PENDENTE",N2326="PARCIAL"),D2326&lt;TODAY()-1),"🔴 EMBARQUE ATRASADO",IF(AND(N2326="REALIZADO",M2326="PENDENTE"),"🟡 EMBARCADO SEM FATURAR",IF(AND(P2326&lt;&gt;"",S2326="",OR(Q2326="",R2326="")),"🟡 PENDÊNCIA SEM RESPONSÁVEL/PRAZO",IF(AND(ISNUMBER(R2326),R2326=TODAY()),"🟡 VENCE HOJE",IF(AND(P2326&lt;&gt;"",S2326=""),"🟡 PENDÊNCIA ABERTA",IF(AND(N(J2326)&gt;0,N(K2326)&lt;J2326),"🟡 FALTA EXECUTAR",IF(OR(M2326="PENDENTE",M2326="PARCIAL"),"🟡 FATURAMENTO PENDENTE","🟡 EMBARQUE PENDENTE")))))))))))</f>
        <v/>
      </c>
      <c r="D2326" s="4" t="n"/>
      <c r="E2326" s="5" t="n"/>
      <c r="F2326" s="5" t="n"/>
      <c r="G2326" s="5" t="n"/>
      <c r="H2326" s="5" t="n"/>
      <c r="I2326" s="5" t="n"/>
      <c r="J2326" s="6" t="n"/>
      <c r="K2326" s="6" t="n"/>
      <c r="L2326" s="7">
        <f>IF(OR(D2326="",N(J2326)=0),"",MIN(1,N(K2326)/J2326))</f>
        <v/>
      </c>
      <c r="M2326" s="5" t="n"/>
      <c r="N2326" s="5" t="n"/>
      <c r="O2326" s="5" t="n"/>
      <c r="P2326" s="5" t="n"/>
      <c r="Q2326" s="5" t="n"/>
      <c r="R2326" s="4" t="n"/>
      <c r="S2326" s="4" t="n"/>
      <c r="T2326" s="5" t="n"/>
      <c r="U2326" s="8">
        <f>IF(AND(V2326=1,D2326&lt;&gt;""),IF(D2326&gt;=corte,TODAY()-D2326,""),"")</f>
        <v/>
      </c>
      <c r="V2326" s="8">
        <f>IF(D2326="",0,IF(OR(AND(P2326&lt;&gt;"",S2326=""),AND(N(J2326)&gt;0,N(K2326)&lt;J2326),OR(M2326="PENDENTE",M2326="PARCIAL"),OR(N2326="PENDENTE",N2326="PARCIAL")),1,0))</f>
        <v/>
      </c>
      <c r="W2326" s="8">
        <f>IF(AND(V2326=1,D2326&lt;&gt;""),IF(D2326&gt;=corte,(B2326="CRÍTICO")*1E9+(100000-D2326)*10000+10000-ROW(),""),"")</f>
        <v/>
      </c>
      <c r="X2326" s="8">
        <f>IF(AND(V2326=1,D2326=pas_data,E2326=pas_turno),10000-ROW(),"")</f>
        <v/>
      </c>
    </row>
    <row r="2327">
      <c r="A2327" s="3">
        <f>IF(D2327="","","TT-"&amp;TEXT(ROW()-1,"00000"))</f>
        <v/>
      </c>
      <c r="B2327" s="3">
        <f>IF(D2327="","",IF(V2327=0,"CONCLUÍDO",IF(D2327&lt;corte,"HISTÓRICO",IF(OR(AND(ISNUMBER(R2327),R2327&lt;TODAY()),AND(OR(N2327="PENDENTE",N2327="PARCIAL"),D2327&lt;TODAY()-1)),"CRÍTICO",IF(OR(AND(P2327&lt;&gt;"",S2327=""),AND(N2327="REALIZADO",M2327="PENDENTE"),AND(ISNUMBER(R2327),R2327=TODAY())),"ATENÇÃO",IF(N(K2327)=0,"PENDENTE","EM ANDAMENTO"))))))</f>
        <v/>
      </c>
      <c r="C2327" s="3">
        <f>IF(D2327="","",IF(V2327=0,"🟢 OK",IF(D2327&lt;corte,"⚪ HISTÓRICO (sem baixa)",IF(AND(ISNUMBER(R2327),R2327&lt;TODAY()),"🔴 PRAZO VENCIDO",IF(AND(OR(N2327="PENDENTE",N2327="PARCIAL"),D2327&lt;TODAY()-1),"🔴 EMBARQUE ATRASADO",IF(AND(N2327="REALIZADO",M2327="PENDENTE"),"🟡 EMBARCADO SEM FATURAR",IF(AND(P2327&lt;&gt;"",S2327="",OR(Q2327="",R2327="")),"🟡 PENDÊNCIA SEM RESPONSÁVEL/PRAZO",IF(AND(ISNUMBER(R2327),R2327=TODAY()),"🟡 VENCE HOJE",IF(AND(P2327&lt;&gt;"",S2327=""),"🟡 PENDÊNCIA ABERTA",IF(AND(N(J2327)&gt;0,N(K2327)&lt;J2327),"🟡 FALTA EXECUTAR",IF(OR(M2327="PENDENTE",M2327="PARCIAL"),"🟡 FATURAMENTO PENDENTE","🟡 EMBARQUE PENDENTE")))))))))))</f>
        <v/>
      </c>
      <c r="D2327" s="4" t="n"/>
      <c r="E2327" s="5" t="n"/>
      <c r="F2327" s="5" t="n"/>
      <c r="G2327" s="5" t="n"/>
      <c r="H2327" s="5" t="n"/>
      <c r="I2327" s="5" t="n"/>
      <c r="J2327" s="6" t="n"/>
      <c r="K2327" s="6" t="n"/>
      <c r="L2327" s="7">
        <f>IF(OR(D2327="",N(J2327)=0),"",MIN(1,N(K2327)/J2327))</f>
        <v/>
      </c>
      <c r="M2327" s="5" t="n"/>
      <c r="N2327" s="5" t="n"/>
      <c r="O2327" s="5" t="n"/>
      <c r="P2327" s="5" t="n"/>
      <c r="Q2327" s="5" t="n"/>
      <c r="R2327" s="4" t="n"/>
      <c r="S2327" s="4" t="n"/>
      <c r="T2327" s="5" t="n"/>
      <c r="U2327" s="8">
        <f>IF(AND(V2327=1,D2327&lt;&gt;""),IF(D2327&gt;=corte,TODAY()-D2327,""),"")</f>
        <v/>
      </c>
      <c r="V2327" s="8">
        <f>IF(D2327="",0,IF(OR(AND(P2327&lt;&gt;"",S2327=""),AND(N(J2327)&gt;0,N(K2327)&lt;J2327),OR(M2327="PENDENTE",M2327="PARCIAL"),OR(N2327="PENDENTE",N2327="PARCIAL")),1,0))</f>
        <v/>
      </c>
      <c r="W2327" s="8">
        <f>IF(AND(V2327=1,D2327&lt;&gt;""),IF(D2327&gt;=corte,(B2327="CRÍTICO")*1E9+(100000-D2327)*10000+10000-ROW(),""),"")</f>
        <v/>
      </c>
      <c r="X2327" s="8">
        <f>IF(AND(V2327=1,D2327=pas_data,E2327=pas_turno),10000-ROW(),"")</f>
        <v/>
      </c>
    </row>
    <row r="2328">
      <c r="A2328" s="3">
        <f>IF(D2328="","","TT-"&amp;TEXT(ROW()-1,"00000"))</f>
        <v/>
      </c>
      <c r="B2328" s="3">
        <f>IF(D2328="","",IF(V2328=0,"CONCLUÍDO",IF(D2328&lt;corte,"HISTÓRICO",IF(OR(AND(ISNUMBER(R2328),R2328&lt;TODAY()),AND(OR(N2328="PENDENTE",N2328="PARCIAL"),D2328&lt;TODAY()-1)),"CRÍTICO",IF(OR(AND(P2328&lt;&gt;"",S2328=""),AND(N2328="REALIZADO",M2328="PENDENTE"),AND(ISNUMBER(R2328),R2328=TODAY())),"ATENÇÃO",IF(N(K2328)=0,"PENDENTE","EM ANDAMENTO"))))))</f>
        <v/>
      </c>
      <c r="C2328" s="3">
        <f>IF(D2328="","",IF(V2328=0,"🟢 OK",IF(D2328&lt;corte,"⚪ HISTÓRICO (sem baixa)",IF(AND(ISNUMBER(R2328),R2328&lt;TODAY()),"🔴 PRAZO VENCIDO",IF(AND(OR(N2328="PENDENTE",N2328="PARCIAL"),D2328&lt;TODAY()-1),"🔴 EMBARQUE ATRASADO",IF(AND(N2328="REALIZADO",M2328="PENDENTE"),"🟡 EMBARCADO SEM FATURAR",IF(AND(P2328&lt;&gt;"",S2328="",OR(Q2328="",R2328="")),"🟡 PENDÊNCIA SEM RESPONSÁVEL/PRAZO",IF(AND(ISNUMBER(R2328),R2328=TODAY()),"🟡 VENCE HOJE",IF(AND(P2328&lt;&gt;"",S2328=""),"🟡 PENDÊNCIA ABERTA",IF(AND(N(J2328)&gt;0,N(K2328)&lt;J2328),"🟡 FALTA EXECUTAR",IF(OR(M2328="PENDENTE",M2328="PARCIAL"),"🟡 FATURAMENTO PENDENTE","🟡 EMBARQUE PENDENTE")))))))))))</f>
        <v/>
      </c>
      <c r="D2328" s="4" t="n"/>
      <c r="E2328" s="5" t="n"/>
      <c r="F2328" s="5" t="n"/>
      <c r="G2328" s="5" t="n"/>
      <c r="H2328" s="5" t="n"/>
      <c r="I2328" s="5" t="n"/>
      <c r="J2328" s="6" t="n"/>
      <c r="K2328" s="6" t="n"/>
      <c r="L2328" s="7">
        <f>IF(OR(D2328="",N(J2328)=0),"",MIN(1,N(K2328)/J2328))</f>
        <v/>
      </c>
      <c r="M2328" s="5" t="n"/>
      <c r="N2328" s="5" t="n"/>
      <c r="O2328" s="5" t="n"/>
      <c r="P2328" s="5" t="n"/>
      <c r="Q2328" s="5" t="n"/>
      <c r="R2328" s="4" t="n"/>
      <c r="S2328" s="4" t="n"/>
      <c r="T2328" s="5" t="n"/>
      <c r="U2328" s="8">
        <f>IF(AND(V2328=1,D2328&lt;&gt;""),IF(D2328&gt;=corte,TODAY()-D2328,""),"")</f>
        <v/>
      </c>
      <c r="V2328" s="8">
        <f>IF(D2328="",0,IF(OR(AND(P2328&lt;&gt;"",S2328=""),AND(N(J2328)&gt;0,N(K2328)&lt;J2328),OR(M2328="PENDENTE",M2328="PARCIAL"),OR(N2328="PENDENTE",N2328="PARCIAL")),1,0))</f>
        <v/>
      </c>
      <c r="W2328" s="8">
        <f>IF(AND(V2328=1,D2328&lt;&gt;""),IF(D2328&gt;=corte,(B2328="CRÍTICO")*1E9+(100000-D2328)*10000+10000-ROW(),""),"")</f>
        <v/>
      </c>
      <c r="X2328" s="8">
        <f>IF(AND(V2328=1,D2328=pas_data,E2328=pas_turno),10000-ROW(),"")</f>
        <v/>
      </c>
    </row>
    <row r="2329">
      <c r="A2329" s="3">
        <f>IF(D2329="","","TT-"&amp;TEXT(ROW()-1,"00000"))</f>
        <v/>
      </c>
      <c r="B2329" s="3">
        <f>IF(D2329="","",IF(V2329=0,"CONCLUÍDO",IF(D2329&lt;corte,"HISTÓRICO",IF(OR(AND(ISNUMBER(R2329),R2329&lt;TODAY()),AND(OR(N2329="PENDENTE",N2329="PARCIAL"),D2329&lt;TODAY()-1)),"CRÍTICO",IF(OR(AND(P2329&lt;&gt;"",S2329=""),AND(N2329="REALIZADO",M2329="PENDENTE"),AND(ISNUMBER(R2329),R2329=TODAY())),"ATENÇÃO",IF(N(K2329)=0,"PENDENTE","EM ANDAMENTO"))))))</f>
        <v/>
      </c>
      <c r="C2329" s="3">
        <f>IF(D2329="","",IF(V2329=0,"🟢 OK",IF(D2329&lt;corte,"⚪ HISTÓRICO (sem baixa)",IF(AND(ISNUMBER(R2329),R2329&lt;TODAY()),"🔴 PRAZO VENCIDO",IF(AND(OR(N2329="PENDENTE",N2329="PARCIAL"),D2329&lt;TODAY()-1),"🔴 EMBARQUE ATRASADO",IF(AND(N2329="REALIZADO",M2329="PENDENTE"),"🟡 EMBARCADO SEM FATURAR",IF(AND(P2329&lt;&gt;"",S2329="",OR(Q2329="",R2329="")),"🟡 PENDÊNCIA SEM RESPONSÁVEL/PRAZO",IF(AND(ISNUMBER(R2329),R2329=TODAY()),"🟡 VENCE HOJE",IF(AND(P2329&lt;&gt;"",S2329=""),"🟡 PENDÊNCIA ABERTA",IF(AND(N(J2329)&gt;0,N(K2329)&lt;J2329),"🟡 FALTA EXECUTAR",IF(OR(M2329="PENDENTE",M2329="PARCIAL"),"🟡 FATURAMENTO PENDENTE","🟡 EMBARQUE PENDENTE")))))))))))</f>
        <v/>
      </c>
      <c r="D2329" s="4" t="n"/>
      <c r="E2329" s="5" t="n"/>
      <c r="F2329" s="5" t="n"/>
      <c r="G2329" s="5" t="n"/>
      <c r="H2329" s="5" t="n"/>
      <c r="I2329" s="5" t="n"/>
      <c r="J2329" s="6" t="n"/>
      <c r="K2329" s="6" t="n"/>
      <c r="L2329" s="7">
        <f>IF(OR(D2329="",N(J2329)=0),"",MIN(1,N(K2329)/J2329))</f>
        <v/>
      </c>
      <c r="M2329" s="5" t="n"/>
      <c r="N2329" s="5" t="n"/>
      <c r="O2329" s="5" t="n"/>
      <c r="P2329" s="5" t="n"/>
      <c r="Q2329" s="5" t="n"/>
      <c r="R2329" s="4" t="n"/>
      <c r="S2329" s="4" t="n"/>
      <c r="T2329" s="5" t="n"/>
      <c r="U2329" s="8">
        <f>IF(AND(V2329=1,D2329&lt;&gt;""),IF(D2329&gt;=corte,TODAY()-D2329,""),"")</f>
        <v/>
      </c>
      <c r="V2329" s="8">
        <f>IF(D2329="",0,IF(OR(AND(P2329&lt;&gt;"",S2329=""),AND(N(J2329)&gt;0,N(K2329)&lt;J2329),OR(M2329="PENDENTE",M2329="PARCIAL"),OR(N2329="PENDENTE",N2329="PARCIAL")),1,0))</f>
        <v/>
      </c>
      <c r="W2329" s="8">
        <f>IF(AND(V2329=1,D2329&lt;&gt;""),IF(D2329&gt;=corte,(B2329="CRÍTICO")*1E9+(100000-D2329)*10000+10000-ROW(),""),"")</f>
        <v/>
      </c>
      <c r="X2329" s="8">
        <f>IF(AND(V2329=1,D2329=pas_data,E2329=pas_turno),10000-ROW(),"")</f>
        <v/>
      </c>
    </row>
    <row r="2330">
      <c r="A2330" s="3">
        <f>IF(D2330="","","TT-"&amp;TEXT(ROW()-1,"00000"))</f>
        <v/>
      </c>
      <c r="B2330" s="3">
        <f>IF(D2330="","",IF(V2330=0,"CONCLUÍDO",IF(D2330&lt;corte,"HISTÓRICO",IF(OR(AND(ISNUMBER(R2330),R2330&lt;TODAY()),AND(OR(N2330="PENDENTE",N2330="PARCIAL"),D2330&lt;TODAY()-1)),"CRÍTICO",IF(OR(AND(P2330&lt;&gt;"",S2330=""),AND(N2330="REALIZADO",M2330="PENDENTE"),AND(ISNUMBER(R2330),R2330=TODAY())),"ATENÇÃO",IF(N(K2330)=0,"PENDENTE","EM ANDAMENTO"))))))</f>
        <v/>
      </c>
      <c r="C2330" s="3">
        <f>IF(D2330="","",IF(V2330=0,"🟢 OK",IF(D2330&lt;corte,"⚪ HISTÓRICO (sem baixa)",IF(AND(ISNUMBER(R2330),R2330&lt;TODAY()),"🔴 PRAZO VENCIDO",IF(AND(OR(N2330="PENDENTE",N2330="PARCIAL"),D2330&lt;TODAY()-1),"🔴 EMBARQUE ATRASADO",IF(AND(N2330="REALIZADO",M2330="PENDENTE"),"🟡 EMBARCADO SEM FATURAR",IF(AND(P2330&lt;&gt;"",S2330="",OR(Q2330="",R2330="")),"🟡 PENDÊNCIA SEM RESPONSÁVEL/PRAZO",IF(AND(ISNUMBER(R2330),R2330=TODAY()),"🟡 VENCE HOJE",IF(AND(P2330&lt;&gt;"",S2330=""),"🟡 PENDÊNCIA ABERTA",IF(AND(N(J2330)&gt;0,N(K2330)&lt;J2330),"🟡 FALTA EXECUTAR",IF(OR(M2330="PENDENTE",M2330="PARCIAL"),"🟡 FATURAMENTO PENDENTE","🟡 EMBARQUE PENDENTE")))))))))))</f>
        <v/>
      </c>
      <c r="D2330" s="4" t="n"/>
      <c r="E2330" s="5" t="n"/>
      <c r="F2330" s="5" t="n"/>
      <c r="G2330" s="5" t="n"/>
      <c r="H2330" s="5" t="n"/>
      <c r="I2330" s="5" t="n"/>
      <c r="J2330" s="6" t="n"/>
      <c r="K2330" s="6" t="n"/>
      <c r="L2330" s="7">
        <f>IF(OR(D2330="",N(J2330)=0),"",MIN(1,N(K2330)/J2330))</f>
        <v/>
      </c>
      <c r="M2330" s="5" t="n"/>
      <c r="N2330" s="5" t="n"/>
      <c r="O2330" s="5" t="n"/>
      <c r="P2330" s="5" t="n"/>
      <c r="Q2330" s="5" t="n"/>
      <c r="R2330" s="4" t="n"/>
      <c r="S2330" s="4" t="n"/>
      <c r="T2330" s="5" t="n"/>
      <c r="U2330" s="8">
        <f>IF(AND(V2330=1,D2330&lt;&gt;""),IF(D2330&gt;=corte,TODAY()-D2330,""),"")</f>
        <v/>
      </c>
      <c r="V2330" s="8">
        <f>IF(D2330="",0,IF(OR(AND(P2330&lt;&gt;"",S2330=""),AND(N(J2330)&gt;0,N(K2330)&lt;J2330),OR(M2330="PENDENTE",M2330="PARCIAL"),OR(N2330="PENDENTE",N2330="PARCIAL")),1,0))</f>
        <v/>
      </c>
      <c r="W2330" s="8">
        <f>IF(AND(V2330=1,D2330&lt;&gt;""),IF(D2330&gt;=corte,(B2330="CRÍTICO")*1E9+(100000-D2330)*10000+10000-ROW(),""),"")</f>
        <v/>
      </c>
      <c r="X2330" s="8">
        <f>IF(AND(V2330=1,D2330=pas_data,E2330=pas_turno),10000-ROW(),"")</f>
        <v/>
      </c>
    </row>
    <row r="2331">
      <c r="A2331" s="3">
        <f>IF(D2331="","","TT-"&amp;TEXT(ROW()-1,"00000"))</f>
        <v/>
      </c>
      <c r="B2331" s="3">
        <f>IF(D2331="","",IF(V2331=0,"CONCLUÍDO",IF(D2331&lt;corte,"HISTÓRICO",IF(OR(AND(ISNUMBER(R2331),R2331&lt;TODAY()),AND(OR(N2331="PENDENTE",N2331="PARCIAL"),D2331&lt;TODAY()-1)),"CRÍTICO",IF(OR(AND(P2331&lt;&gt;"",S2331=""),AND(N2331="REALIZADO",M2331="PENDENTE"),AND(ISNUMBER(R2331),R2331=TODAY())),"ATENÇÃO",IF(N(K2331)=0,"PENDENTE","EM ANDAMENTO"))))))</f>
        <v/>
      </c>
      <c r="C2331" s="3">
        <f>IF(D2331="","",IF(V2331=0,"🟢 OK",IF(D2331&lt;corte,"⚪ HISTÓRICO (sem baixa)",IF(AND(ISNUMBER(R2331),R2331&lt;TODAY()),"🔴 PRAZO VENCIDO",IF(AND(OR(N2331="PENDENTE",N2331="PARCIAL"),D2331&lt;TODAY()-1),"🔴 EMBARQUE ATRASADO",IF(AND(N2331="REALIZADO",M2331="PENDENTE"),"🟡 EMBARCADO SEM FATURAR",IF(AND(P2331&lt;&gt;"",S2331="",OR(Q2331="",R2331="")),"🟡 PENDÊNCIA SEM RESPONSÁVEL/PRAZO",IF(AND(ISNUMBER(R2331),R2331=TODAY()),"🟡 VENCE HOJE",IF(AND(P2331&lt;&gt;"",S2331=""),"🟡 PENDÊNCIA ABERTA",IF(AND(N(J2331)&gt;0,N(K2331)&lt;J2331),"🟡 FALTA EXECUTAR",IF(OR(M2331="PENDENTE",M2331="PARCIAL"),"🟡 FATURAMENTO PENDENTE","🟡 EMBARQUE PENDENTE")))))))))))</f>
        <v/>
      </c>
      <c r="D2331" s="4" t="n"/>
      <c r="E2331" s="5" t="n"/>
      <c r="F2331" s="5" t="n"/>
      <c r="G2331" s="5" t="n"/>
      <c r="H2331" s="5" t="n"/>
      <c r="I2331" s="5" t="n"/>
      <c r="J2331" s="6" t="n"/>
      <c r="K2331" s="6" t="n"/>
      <c r="L2331" s="7">
        <f>IF(OR(D2331="",N(J2331)=0),"",MIN(1,N(K2331)/J2331))</f>
        <v/>
      </c>
      <c r="M2331" s="5" t="n"/>
      <c r="N2331" s="5" t="n"/>
      <c r="O2331" s="5" t="n"/>
      <c r="P2331" s="5" t="n"/>
      <c r="Q2331" s="5" t="n"/>
      <c r="R2331" s="4" t="n"/>
      <c r="S2331" s="4" t="n"/>
      <c r="T2331" s="5" t="n"/>
      <c r="U2331" s="8">
        <f>IF(AND(V2331=1,D2331&lt;&gt;""),IF(D2331&gt;=corte,TODAY()-D2331,""),"")</f>
        <v/>
      </c>
      <c r="V2331" s="8">
        <f>IF(D2331="",0,IF(OR(AND(P2331&lt;&gt;"",S2331=""),AND(N(J2331)&gt;0,N(K2331)&lt;J2331),OR(M2331="PENDENTE",M2331="PARCIAL"),OR(N2331="PENDENTE",N2331="PARCIAL")),1,0))</f>
        <v/>
      </c>
      <c r="W2331" s="8">
        <f>IF(AND(V2331=1,D2331&lt;&gt;""),IF(D2331&gt;=corte,(B2331="CRÍTICO")*1E9+(100000-D2331)*10000+10000-ROW(),""),"")</f>
        <v/>
      </c>
      <c r="X2331" s="8">
        <f>IF(AND(V2331=1,D2331=pas_data,E2331=pas_turno),10000-ROW(),"")</f>
        <v/>
      </c>
    </row>
    <row r="2332">
      <c r="A2332" s="3">
        <f>IF(D2332="","","TT-"&amp;TEXT(ROW()-1,"00000"))</f>
        <v/>
      </c>
      <c r="B2332" s="3">
        <f>IF(D2332="","",IF(V2332=0,"CONCLUÍDO",IF(D2332&lt;corte,"HISTÓRICO",IF(OR(AND(ISNUMBER(R2332),R2332&lt;TODAY()),AND(OR(N2332="PENDENTE",N2332="PARCIAL"),D2332&lt;TODAY()-1)),"CRÍTICO",IF(OR(AND(P2332&lt;&gt;"",S2332=""),AND(N2332="REALIZADO",M2332="PENDENTE"),AND(ISNUMBER(R2332),R2332=TODAY())),"ATENÇÃO",IF(N(K2332)=0,"PENDENTE","EM ANDAMENTO"))))))</f>
        <v/>
      </c>
      <c r="C2332" s="3">
        <f>IF(D2332="","",IF(V2332=0,"🟢 OK",IF(D2332&lt;corte,"⚪ HISTÓRICO (sem baixa)",IF(AND(ISNUMBER(R2332),R2332&lt;TODAY()),"🔴 PRAZO VENCIDO",IF(AND(OR(N2332="PENDENTE",N2332="PARCIAL"),D2332&lt;TODAY()-1),"🔴 EMBARQUE ATRASADO",IF(AND(N2332="REALIZADO",M2332="PENDENTE"),"🟡 EMBARCADO SEM FATURAR",IF(AND(P2332&lt;&gt;"",S2332="",OR(Q2332="",R2332="")),"🟡 PENDÊNCIA SEM RESPONSÁVEL/PRAZO",IF(AND(ISNUMBER(R2332),R2332=TODAY()),"🟡 VENCE HOJE",IF(AND(P2332&lt;&gt;"",S2332=""),"🟡 PENDÊNCIA ABERTA",IF(AND(N(J2332)&gt;0,N(K2332)&lt;J2332),"🟡 FALTA EXECUTAR",IF(OR(M2332="PENDENTE",M2332="PARCIAL"),"🟡 FATURAMENTO PENDENTE","🟡 EMBARQUE PENDENTE")))))))))))</f>
        <v/>
      </c>
      <c r="D2332" s="4" t="n"/>
      <c r="E2332" s="5" t="n"/>
      <c r="F2332" s="5" t="n"/>
      <c r="G2332" s="5" t="n"/>
      <c r="H2332" s="5" t="n"/>
      <c r="I2332" s="5" t="n"/>
      <c r="J2332" s="6" t="n"/>
      <c r="K2332" s="6" t="n"/>
      <c r="L2332" s="7">
        <f>IF(OR(D2332="",N(J2332)=0),"",MIN(1,N(K2332)/J2332))</f>
        <v/>
      </c>
      <c r="M2332" s="5" t="n"/>
      <c r="N2332" s="5" t="n"/>
      <c r="O2332" s="5" t="n"/>
      <c r="P2332" s="5" t="n"/>
      <c r="Q2332" s="5" t="n"/>
      <c r="R2332" s="4" t="n"/>
      <c r="S2332" s="4" t="n"/>
      <c r="T2332" s="5" t="n"/>
      <c r="U2332" s="8">
        <f>IF(AND(V2332=1,D2332&lt;&gt;""),IF(D2332&gt;=corte,TODAY()-D2332,""),"")</f>
        <v/>
      </c>
      <c r="V2332" s="8">
        <f>IF(D2332="",0,IF(OR(AND(P2332&lt;&gt;"",S2332=""),AND(N(J2332)&gt;0,N(K2332)&lt;J2332),OR(M2332="PENDENTE",M2332="PARCIAL"),OR(N2332="PENDENTE",N2332="PARCIAL")),1,0))</f>
        <v/>
      </c>
      <c r="W2332" s="8">
        <f>IF(AND(V2332=1,D2332&lt;&gt;""),IF(D2332&gt;=corte,(B2332="CRÍTICO")*1E9+(100000-D2332)*10000+10000-ROW(),""),"")</f>
        <v/>
      </c>
      <c r="X2332" s="8">
        <f>IF(AND(V2332=1,D2332=pas_data,E2332=pas_turno),10000-ROW(),"")</f>
        <v/>
      </c>
    </row>
    <row r="2333">
      <c r="A2333" s="3">
        <f>IF(D2333="","","TT-"&amp;TEXT(ROW()-1,"00000"))</f>
        <v/>
      </c>
      <c r="B2333" s="3">
        <f>IF(D2333="","",IF(V2333=0,"CONCLUÍDO",IF(D2333&lt;corte,"HISTÓRICO",IF(OR(AND(ISNUMBER(R2333),R2333&lt;TODAY()),AND(OR(N2333="PENDENTE",N2333="PARCIAL"),D2333&lt;TODAY()-1)),"CRÍTICO",IF(OR(AND(P2333&lt;&gt;"",S2333=""),AND(N2333="REALIZADO",M2333="PENDENTE"),AND(ISNUMBER(R2333),R2333=TODAY())),"ATENÇÃO",IF(N(K2333)=0,"PENDENTE","EM ANDAMENTO"))))))</f>
        <v/>
      </c>
      <c r="C2333" s="3">
        <f>IF(D2333="","",IF(V2333=0,"🟢 OK",IF(D2333&lt;corte,"⚪ HISTÓRICO (sem baixa)",IF(AND(ISNUMBER(R2333),R2333&lt;TODAY()),"🔴 PRAZO VENCIDO",IF(AND(OR(N2333="PENDENTE",N2333="PARCIAL"),D2333&lt;TODAY()-1),"🔴 EMBARQUE ATRASADO",IF(AND(N2333="REALIZADO",M2333="PENDENTE"),"🟡 EMBARCADO SEM FATURAR",IF(AND(P2333&lt;&gt;"",S2333="",OR(Q2333="",R2333="")),"🟡 PENDÊNCIA SEM RESPONSÁVEL/PRAZO",IF(AND(ISNUMBER(R2333),R2333=TODAY()),"🟡 VENCE HOJE",IF(AND(P2333&lt;&gt;"",S2333=""),"🟡 PENDÊNCIA ABERTA",IF(AND(N(J2333)&gt;0,N(K2333)&lt;J2333),"🟡 FALTA EXECUTAR",IF(OR(M2333="PENDENTE",M2333="PARCIAL"),"🟡 FATURAMENTO PENDENTE","🟡 EMBARQUE PENDENTE")))))))))))</f>
        <v/>
      </c>
      <c r="D2333" s="4" t="n"/>
      <c r="E2333" s="5" t="n"/>
      <c r="F2333" s="5" t="n"/>
      <c r="G2333" s="5" t="n"/>
      <c r="H2333" s="5" t="n"/>
      <c r="I2333" s="5" t="n"/>
      <c r="J2333" s="6" t="n"/>
      <c r="K2333" s="6" t="n"/>
      <c r="L2333" s="7">
        <f>IF(OR(D2333="",N(J2333)=0),"",MIN(1,N(K2333)/J2333))</f>
        <v/>
      </c>
      <c r="M2333" s="5" t="n"/>
      <c r="N2333" s="5" t="n"/>
      <c r="O2333" s="5" t="n"/>
      <c r="P2333" s="5" t="n"/>
      <c r="Q2333" s="5" t="n"/>
      <c r="R2333" s="4" t="n"/>
      <c r="S2333" s="4" t="n"/>
      <c r="T2333" s="5" t="n"/>
      <c r="U2333" s="8">
        <f>IF(AND(V2333=1,D2333&lt;&gt;""),IF(D2333&gt;=corte,TODAY()-D2333,""),"")</f>
        <v/>
      </c>
      <c r="V2333" s="8">
        <f>IF(D2333="",0,IF(OR(AND(P2333&lt;&gt;"",S2333=""),AND(N(J2333)&gt;0,N(K2333)&lt;J2333),OR(M2333="PENDENTE",M2333="PARCIAL"),OR(N2333="PENDENTE",N2333="PARCIAL")),1,0))</f>
        <v/>
      </c>
      <c r="W2333" s="8">
        <f>IF(AND(V2333=1,D2333&lt;&gt;""),IF(D2333&gt;=corte,(B2333="CRÍTICO")*1E9+(100000-D2333)*10000+10000-ROW(),""),"")</f>
        <v/>
      </c>
      <c r="X2333" s="8">
        <f>IF(AND(V2333=1,D2333=pas_data,E2333=pas_turno),10000-ROW(),"")</f>
        <v/>
      </c>
    </row>
    <row r="2334">
      <c r="A2334" s="3">
        <f>IF(D2334="","","TT-"&amp;TEXT(ROW()-1,"00000"))</f>
        <v/>
      </c>
      <c r="B2334" s="3">
        <f>IF(D2334="","",IF(V2334=0,"CONCLUÍDO",IF(D2334&lt;corte,"HISTÓRICO",IF(OR(AND(ISNUMBER(R2334),R2334&lt;TODAY()),AND(OR(N2334="PENDENTE",N2334="PARCIAL"),D2334&lt;TODAY()-1)),"CRÍTICO",IF(OR(AND(P2334&lt;&gt;"",S2334=""),AND(N2334="REALIZADO",M2334="PENDENTE"),AND(ISNUMBER(R2334),R2334=TODAY())),"ATENÇÃO",IF(N(K2334)=0,"PENDENTE","EM ANDAMENTO"))))))</f>
        <v/>
      </c>
      <c r="C2334" s="3">
        <f>IF(D2334="","",IF(V2334=0,"🟢 OK",IF(D2334&lt;corte,"⚪ HISTÓRICO (sem baixa)",IF(AND(ISNUMBER(R2334),R2334&lt;TODAY()),"🔴 PRAZO VENCIDO",IF(AND(OR(N2334="PENDENTE",N2334="PARCIAL"),D2334&lt;TODAY()-1),"🔴 EMBARQUE ATRASADO",IF(AND(N2334="REALIZADO",M2334="PENDENTE"),"🟡 EMBARCADO SEM FATURAR",IF(AND(P2334&lt;&gt;"",S2334="",OR(Q2334="",R2334="")),"🟡 PENDÊNCIA SEM RESPONSÁVEL/PRAZO",IF(AND(ISNUMBER(R2334),R2334=TODAY()),"🟡 VENCE HOJE",IF(AND(P2334&lt;&gt;"",S2334=""),"🟡 PENDÊNCIA ABERTA",IF(AND(N(J2334)&gt;0,N(K2334)&lt;J2334),"🟡 FALTA EXECUTAR",IF(OR(M2334="PENDENTE",M2334="PARCIAL"),"🟡 FATURAMENTO PENDENTE","🟡 EMBARQUE PENDENTE")))))))))))</f>
        <v/>
      </c>
      <c r="D2334" s="4" t="n"/>
      <c r="E2334" s="5" t="n"/>
      <c r="F2334" s="5" t="n"/>
      <c r="G2334" s="5" t="n"/>
      <c r="H2334" s="5" t="n"/>
      <c r="I2334" s="5" t="n"/>
      <c r="J2334" s="6" t="n"/>
      <c r="K2334" s="6" t="n"/>
      <c r="L2334" s="7">
        <f>IF(OR(D2334="",N(J2334)=0),"",MIN(1,N(K2334)/J2334))</f>
        <v/>
      </c>
      <c r="M2334" s="5" t="n"/>
      <c r="N2334" s="5" t="n"/>
      <c r="O2334" s="5" t="n"/>
      <c r="P2334" s="5" t="n"/>
      <c r="Q2334" s="5" t="n"/>
      <c r="R2334" s="4" t="n"/>
      <c r="S2334" s="4" t="n"/>
      <c r="T2334" s="5" t="n"/>
      <c r="U2334" s="8">
        <f>IF(AND(V2334=1,D2334&lt;&gt;""),IF(D2334&gt;=corte,TODAY()-D2334,""),"")</f>
        <v/>
      </c>
      <c r="V2334" s="8">
        <f>IF(D2334="",0,IF(OR(AND(P2334&lt;&gt;"",S2334=""),AND(N(J2334)&gt;0,N(K2334)&lt;J2334),OR(M2334="PENDENTE",M2334="PARCIAL"),OR(N2334="PENDENTE",N2334="PARCIAL")),1,0))</f>
        <v/>
      </c>
      <c r="W2334" s="8">
        <f>IF(AND(V2334=1,D2334&lt;&gt;""),IF(D2334&gt;=corte,(B2334="CRÍTICO")*1E9+(100000-D2334)*10000+10000-ROW(),""),"")</f>
        <v/>
      </c>
      <c r="X2334" s="8">
        <f>IF(AND(V2334=1,D2334=pas_data,E2334=pas_turno),10000-ROW(),"")</f>
        <v/>
      </c>
    </row>
    <row r="2335">
      <c r="A2335" s="3">
        <f>IF(D2335="","","TT-"&amp;TEXT(ROW()-1,"00000"))</f>
        <v/>
      </c>
      <c r="B2335" s="3">
        <f>IF(D2335="","",IF(V2335=0,"CONCLUÍDO",IF(D2335&lt;corte,"HISTÓRICO",IF(OR(AND(ISNUMBER(R2335),R2335&lt;TODAY()),AND(OR(N2335="PENDENTE",N2335="PARCIAL"),D2335&lt;TODAY()-1)),"CRÍTICO",IF(OR(AND(P2335&lt;&gt;"",S2335=""),AND(N2335="REALIZADO",M2335="PENDENTE"),AND(ISNUMBER(R2335),R2335=TODAY())),"ATENÇÃO",IF(N(K2335)=0,"PENDENTE","EM ANDAMENTO"))))))</f>
        <v/>
      </c>
      <c r="C2335" s="3">
        <f>IF(D2335="","",IF(V2335=0,"🟢 OK",IF(D2335&lt;corte,"⚪ HISTÓRICO (sem baixa)",IF(AND(ISNUMBER(R2335),R2335&lt;TODAY()),"🔴 PRAZO VENCIDO",IF(AND(OR(N2335="PENDENTE",N2335="PARCIAL"),D2335&lt;TODAY()-1),"🔴 EMBARQUE ATRASADO",IF(AND(N2335="REALIZADO",M2335="PENDENTE"),"🟡 EMBARCADO SEM FATURAR",IF(AND(P2335&lt;&gt;"",S2335="",OR(Q2335="",R2335="")),"🟡 PENDÊNCIA SEM RESPONSÁVEL/PRAZO",IF(AND(ISNUMBER(R2335),R2335=TODAY()),"🟡 VENCE HOJE",IF(AND(P2335&lt;&gt;"",S2335=""),"🟡 PENDÊNCIA ABERTA",IF(AND(N(J2335)&gt;0,N(K2335)&lt;J2335),"🟡 FALTA EXECUTAR",IF(OR(M2335="PENDENTE",M2335="PARCIAL"),"🟡 FATURAMENTO PENDENTE","🟡 EMBARQUE PENDENTE")))))))))))</f>
        <v/>
      </c>
      <c r="D2335" s="4" t="n"/>
      <c r="E2335" s="5" t="n"/>
      <c r="F2335" s="5" t="n"/>
      <c r="G2335" s="5" t="n"/>
      <c r="H2335" s="5" t="n"/>
      <c r="I2335" s="5" t="n"/>
      <c r="J2335" s="6" t="n"/>
      <c r="K2335" s="6" t="n"/>
      <c r="L2335" s="7">
        <f>IF(OR(D2335="",N(J2335)=0),"",MIN(1,N(K2335)/J2335))</f>
        <v/>
      </c>
      <c r="M2335" s="5" t="n"/>
      <c r="N2335" s="5" t="n"/>
      <c r="O2335" s="5" t="n"/>
      <c r="P2335" s="5" t="n"/>
      <c r="Q2335" s="5" t="n"/>
      <c r="R2335" s="4" t="n"/>
      <c r="S2335" s="4" t="n"/>
      <c r="T2335" s="5" t="n"/>
      <c r="U2335" s="8">
        <f>IF(AND(V2335=1,D2335&lt;&gt;""),IF(D2335&gt;=corte,TODAY()-D2335,""),"")</f>
        <v/>
      </c>
      <c r="V2335" s="8">
        <f>IF(D2335="",0,IF(OR(AND(P2335&lt;&gt;"",S2335=""),AND(N(J2335)&gt;0,N(K2335)&lt;J2335),OR(M2335="PENDENTE",M2335="PARCIAL"),OR(N2335="PENDENTE",N2335="PARCIAL")),1,0))</f>
        <v/>
      </c>
      <c r="W2335" s="8">
        <f>IF(AND(V2335=1,D2335&lt;&gt;""),IF(D2335&gt;=corte,(B2335="CRÍTICO")*1E9+(100000-D2335)*10000+10000-ROW(),""),"")</f>
        <v/>
      </c>
      <c r="X2335" s="8">
        <f>IF(AND(V2335=1,D2335=pas_data,E2335=pas_turno),10000-ROW(),"")</f>
        <v/>
      </c>
    </row>
    <row r="2336">
      <c r="A2336" s="3">
        <f>IF(D2336="","","TT-"&amp;TEXT(ROW()-1,"00000"))</f>
        <v/>
      </c>
      <c r="B2336" s="3">
        <f>IF(D2336="","",IF(V2336=0,"CONCLUÍDO",IF(D2336&lt;corte,"HISTÓRICO",IF(OR(AND(ISNUMBER(R2336),R2336&lt;TODAY()),AND(OR(N2336="PENDENTE",N2336="PARCIAL"),D2336&lt;TODAY()-1)),"CRÍTICO",IF(OR(AND(P2336&lt;&gt;"",S2336=""),AND(N2336="REALIZADO",M2336="PENDENTE"),AND(ISNUMBER(R2336),R2336=TODAY())),"ATENÇÃO",IF(N(K2336)=0,"PENDENTE","EM ANDAMENTO"))))))</f>
        <v/>
      </c>
      <c r="C2336" s="3">
        <f>IF(D2336="","",IF(V2336=0,"🟢 OK",IF(D2336&lt;corte,"⚪ HISTÓRICO (sem baixa)",IF(AND(ISNUMBER(R2336),R2336&lt;TODAY()),"🔴 PRAZO VENCIDO",IF(AND(OR(N2336="PENDENTE",N2336="PARCIAL"),D2336&lt;TODAY()-1),"🔴 EMBARQUE ATRASADO",IF(AND(N2336="REALIZADO",M2336="PENDENTE"),"🟡 EMBARCADO SEM FATURAR",IF(AND(P2336&lt;&gt;"",S2336="",OR(Q2336="",R2336="")),"🟡 PENDÊNCIA SEM RESPONSÁVEL/PRAZO",IF(AND(ISNUMBER(R2336),R2336=TODAY()),"🟡 VENCE HOJE",IF(AND(P2336&lt;&gt;"",S2336=""),"🟡 PENDÊNCIA ABERTA",IF(AND(N(J2336)&gt;0,N(K2336)&lt;J2336),"🟡 FALTA EXECUTAR",IF(OR(M2336="PENDENTE",M2336="PARCIAL"),"🟡 FATURAMENTO PENDENTE","🟡 EMBARQUE PENDENTE")))))))))))</f>
        <v/>
      </c>
      <c r="D2336" s="4" t="n"/>
      <c r="E2336" s="5" t="n"/>
      <c r="F2336" s="5" t="n"/>
      <c r="G2336" s="5" t="n"/>
      <c r="H2336" s="5" t="n"/>
      <c r="I2336" s="5" t="n"/>
      <c r="J2336" s="6" t="n"/>
      <c r="K2336" s="6" t="n"/>
      <c r="L2336" s="7">
        <f>IF(OR(D2336="",N(J2336)=0),"",MIN(1,N(K2336)/J2336))</f>
        <v/>
      </c>
      <c r="M2336" s="5" t="n"/>
      <c r="N2336" s="5" t="n"/>
      <c r="O2336" s="5" t="n"/>
      <c r="P2336" s="5" t="n"/>
      <c r="Q2336" s="5" t="n"/>
      <c r="R2336" s="4" t="n"/>
      <c r="S2336" s="4" t="n"/>
      <c r="T2336" s="5" t="n"/>
      <c r="U2336" s="8">
        <f>IF(AND(V2336=1,D2336&lt;&gt;""),IF(D2336&gt;=corte,TODAY()-D2336,""),"")</f>
        <v/>
      </c>
      <c r="V2336" s="8">
        <f>IF(D2336="",0,IF(OR(AND(P2336&lt;&gt;"",S2336=""),AND(N(J2336)&gt;0,N(K2336)&lt;J2336),OR(M2336="PENDENTE",M2336="PARCIAL"),OR(N2336="PENDENTE",N2336="PARCIAL")),1,0))</f>
        <v/>
      </c>
      <c r="W2336" s="8">
        <f>IF(AND(V2336=1,D2336&lt;&gt;""),IF(D2336&gt;=corte,(B2336="CRÍTICO")*1E9+(100000-D2336)*10000+10000-ROW(),""),"")</f>
        <v/>
      </c>
      <c r="X2336" s="8">
        <f>IF(AND(V2336=1,D2336=pas_data,E2336=pas_turno),10000-ROW(),"")</f>
        <v/>
      </c>
    </row>
    <row r="2337">
      <c r="A2337" s="3">
        <f>IF(D2337="","","TT-"&amp;TEXT(ROW()-1,"00000"))</f>
        <v/>
      </c>
      <c r="B2337" s="3">
        <f>IF(D2337="","",IF(V2337=0,"CONCLUÍDO",IF(D2337&lt;corte,"HISTÓRICO",IF(OR(AND(ISNUMBER(R2337),R2337&lt;TODAY()),AND(OR(N2337="PENDENTE",N2337="PARCIAL"),D2337&lt;TODAY()-1)),"CRÍTICO",IF(OR(AND(P2337&lt;&gt;"",S2337=""),AND(N2337="REALIZADO",M2337="PENDENTE"),AND(ISNUMBER(R2337),R2337=TODAY())),"ATENÇÃO",IF(N(K2337)=0,"PENDENTE","EM ANDAMENTO"))))))</f>
        <v/>
      </c>
      <c r="C2337" s="3">
        <f>IF(D2337="","",IF(V2337=0,"🟢 OK",IF(D2337&lt;corte,"⚪ HISTÓRICO (sem baixa)",IF(AND(ISNUMBER(R2337),R2337&lt;TODAY()),"🔴 PRAZO VENCIDO",IF(AND(OR(N2337="PENDENTE",N2337="PARCIAL"),D2337&lt;TODAY()-1),"🔴 EMBARQUE ATRASADO",IF(AND(N2337="REALIZADO",M2337="PENDENTE"),"🟡 EMBARCADO SEM FATURAR",IF(AND(P2337&lt;&gt;"",S2337="",OR(Q2337="",R2337="")),"🟡 PENDÊNCIA SEM RESPONSÁVEL/PRAZO",IF(AND(ISNUMBER(R2337),R2337=TODAY()),"🟡 VENCE HOJE",IF(AND(P2337&lt;&gt;"",S2337=""),"🟡 PENDÊNCIA ABERTA",IF(AND(N(J2337)&gt;0,N(K2337)&lt;J2337),"🟡 FALTA EXECUTAR",IF(OR(M2337="PENDENTE",M2337="PARCIAL"),"🟡 FATURAMENTO PENDENTE","🟡 EMBARQUE PENDENTE")))))))))))</f>
        <v/>
      </c>
      <c r="D2337" s="4" t="n"/>
      <c r="E2337" s="5" t="n"/>
      <c r="F2337" s="5" t="n"/>
      <c r="G2337" s="5" t="n"/>
      <c r="H2337" s="5" t="n"/>
      <c r="I2337" s="5" t="n"/>
      <c r="J2337" s="6" t="n"/>
      <c r="K2337" s="6" t="n"/>
      <c r="L2337" s="7">
        <f>IF(OR(D2337="",N(J2337)=0),"",MIN(1,N(K2337)/J2337))</f>
        <v/>
      </c>
      <c r="M2337" s="5" t="n"/>
      <c r="N2337" s="5" t="n"/>
      <c r="O2337" s="5" t="n"/>
      <c r="P2337" s="5" t="n"/>
      <c r="Q2337" s="5" t="n"/>
      <c r="R2337" s="4" t="n"/>
      <c r="S2337" s="4" t="n"/>
      <c r="T2337" s="5" t="n"/>
      <c r="U2337" s="8">
        <f>IF(AND(V2337=1,D2337&lt;&gt;""),IF(D2337&gt;=corte,TODAY()-D2337,""),"")</f>
        <v/>
      </c>
      <c r="V2337" s="8">
        <f>IF(D2337="",0,IF(OR(AND(P2337&lt;&gt;"",S2337=""),AND(N(J2337)&gt;0,N(K2337)&lt;J2337),OR(M2337="PENDENTE",M2337="PARCIAL"),OR(N2337="PENDENTE",N2337="PARCIAL")),1,0))</f>
        <v/>
      </c>
      <c r="W2337" s="8">
        <f>IF(AND(V2337=1,D2337&lt;&gt;""),IF(D2337&gt;=corte,(B2337="CRÍTICO")*1E9+(100000-D2337)*10000+10000-ROW(),""),"")</f>
        <v/>
      </c>
      <c r="X2337" s="8">
        <f>IF(AND(V2337=1,D2337=pas_data,E2337=pas_turno),10000-ROW(),"")</f>
        <v/>
      </c>
    </row>
    <row r="2338">
      <c r="A2338" s="3">
        <f>IF(D2338="","","TT-"&amp;TEXT(ROW()-1,"00000"))</f>
        <v/>
      </c>
      <c r="B2338" s="3">
        <f>IF(D2338="","",IF(V2338=0,"CONCLUÍDO",IF(D2338&lt;corte,"HISTÓRICO",IF(OR(AND(ISNUMBER(R2338),R2338&lt;TODAY()),AND(OR(N2338="PENDENTE",N2338="PARCIAL"),D2338&lt;TODAY()-1)),"CRÍTICO",IF(OR(AND(P2338&lt;&gt;"",S2338=""),AND(N2338="REALIZADO",M2338="PENDENTE"),AND(ISNUMBER(R2338),R2338=TODAY())),"ATENÇÃO",IF(N(K2338)=0,"PENDENTE","EM ANDAMENTO"))))))</f>
        <v/>
      </c>
      <c r="C2338" s="3">
        <f>IF(D2338="","",IF(V2338=0,"🟢 OK",IF(D2338&lt;corte,"⚪ HISTÓRICO (sem baixa)",IF(AND(ISNUMBER(R2338),R2338&lt;TODAY()),"🔴 PRAZO VENCIDO",IF(AND(OR(N2338="PENDENTE",N2338="PARCIAL"),D2338&lt;TODAY()-1),"🔴 EMBARQUE ATRASADO",IF(AND(N2338="REALIZADO",M2338="PENDENTE"),"🟡 EMBARCADO SEM FATURAR",IF(AND(P2338&lt;&gt;"",S2338="",OR(Q2338="",R2338="")),"🟡 PENDÊNCIA SEM RESPONSÁVEL/PRAZO",IF(AND(ISNUMBER(R2338),R2338=TODAY()),"🟡 VENCE HOJE",IF(AND(P2338&lt;&gt;"",S2338=""),"🟡 PENDÊNCIA ABERTA",IF(AND(N(J2338)&gt;0,N(K2338)&lt;J2338),"🟡 FALTA EXECUTAR",IF(OR(M2338="PENDENTE",M2338="PARCIAL"),"🟡 FATURAMENTO PENDENTE","🟡 EMBARQUE PENDENTE")))))))))))</f>
        <v/>
      </c>
      <c r="D2338" s="4" t="n"/>
      <c r="E2338" s="5" t="n"/>
      <c r="F2338" s="5" t="n"/>
      <c r="G2338" s="5" t="n"/>
      <c r="H2338" s="5" t="n"/>
      <c r="I2338" s="5" t="n"/>
      <c r="J2338" s="6" t="n"/>
      <c r="K2338" s="6" t="n"/>
      <c r="L2338" s="7">
        <f>IF(OR(D2338="",N(J2338)=0),"",MIN(1,N(K2338)/J2338))</f>
        <v/>
      </c>
      <c r="M2338" s="5" t="n"/>
      <c r="N2338" s="5" t="n"/>
      <c r="O2338" s="5" t="n"/>
      <c r="P2338" s="5" t="n"/>
      <c r="Q2338" s="5" t="n"/>
      <c r="R2338" s="4" t="n"/>
      <c r="S2338" s="4" t="n"/>
      <c r="T2338" s="5" t="n"/>
      <c r="U2338" s="8">
        <f>IF(AND(V2338=1,D2338&lt;&gt;""),IF(D2338&gt;=corte,TODAY()-D2338,""),"")</f>
        <v/>
      </c>
      <c r="V2338" s="8">
        <f>IF(D2338="",0,IF(OR(AND(P2338&lt;&gt;"",S2338=""),AND(N(J2338)&gt;0,N(K2338)&lt;J2338),OR(M2338="PENDENTE",M2338="PARCIAL"),OR(N2338="PENDENTE",N2338="PARCIAL")),1,0))</f>
        <v/>
      </c>
      <c r="W2338" s="8">
        <f>IF(AND(V2338=1,D2338&lt;&gt;""),IF(D2338&gt;=corte,(B2338="CRÍTICO")*1E9+(100000-D2338)*10000+10000-ROW(),""),"")</f>
        <v/>
      </c>
      <c r="X2338" s="8">
        <f>IF(AND(V2338=1,D2338=pas_data,E2338=pas_turno),10000-ROW(),"")</f>
        <v/>
      </c>
    </row>
    <row r="2339">
      <c r="A2339" s="3">
        <f>IF(D2339="","","TT-"&amp;TEXT(ROW()-1,"00000"))</f>
        <v/>
      </c>
      <c r="B2339" s="3">
        <f>IF(D2339="","",IF(V2339=0,"CONCLUÍDO",IF(D2339&lt;corte,"HISTÓRICO",IF(OR(AND(ISNUMBER(R2339),R2339&lt;TODAY()),AND(OR(N2339="PENDENTE",N2339="PARCIAL"),D2339&lt;TODAY()-1)),"CRÍTICO",IF(OR(AND(P2339&lt;&gt;"",S2339=""),AND(N2339="REALIZADO",M2339="PENDENTE"),AND(ISNUMBER(R2339),R2339=TODAY())),"ATENÇÃO",IF(N(K2339)=0,"PENDENTE","EM ANDAMENTO"))))))</f>
        <v/>
      </c>
      <c r="C2339" s="3">
        <f>IF(D2339="","",IF(V2339=0,"🟢 OK",IF(D2339&lt;corte,"⚪ HISTÓRICO (sem baixa)",IF(AND(ISNUMBER(R2339),R2339&lt;TODAY()),"🔴 PRAZO VENCIDO",IF(AND(OR(N2339="PENDENTE",N2339="PARCIAL"),D2339&lt;TODAY()-1),"🔴 EMBARQUE ATRASADO",IF(AND(N2339="REALIZADO",M2339="PENDENTE"),"🟡 EMBARCADO SEM FATURAR",IF(AND(P2339&lt;&gt;"",S2339="",OR(Q2339="",R2339="")),"🟡 PENDÊNCIA SEM RESPONSÁVEL/PRAZO",IF(AND(ISNUMBER(R2339),R2339=TODAY()),"🟡 VENCE HOJE",IF(AND(P2339&lt;&gt;"",S2339=""),"🟡 PENDÊNCIA ABERTA",IF(AND(N(J2339)&gt;0,N(K2339)&lt;J2339),"🟡 FALTA EXECUTAR",IF(OR(M2339="PENDENTE",M2339="PARCIAL"),"🟡 FATURAMENTO PENDENTE","🟡 EMBARQUE PENDENTE")))))))))))</f>
        <v/>
      </c>
      <c r="D2339" s="4" t="n"/>
      <c r="E2339" s="5" t="n"/>
      <c r="F2339" s="5" t="n"/>
      <c r="G2339" s="5" t="n"/>
      <c r="H2339" s="5" t="n"/>
      <c r="I2339" s="5" t="n"/>
      <c r="J2339" s="6" t="n"/>
      <c r="K2339" s="6" t="n"/>
      <c r="L2339" s="7">
        <f>IF(OR(D2339="",N(J2339)=0),"",MIN(1,N(K2339)/J2339))</f>
        <v/>
      </c>
      <c r="M2339" s="5" t="n"/>
      <c r="N2339" s="5" t="n"/>
      <c r="O2339" s="5" t="n"/>
      <c r="P2339" s="5" t="n"/>
      <c r="Q2339" s="5" t="n"/>
      <c r="R2339" s="4" t="n"/>
      <c r="S2339" s="4" t="n"/>
      <c r="T2339" s="5" t="n"/>
      <c r="U2339" s="8">
        <f>IF(AND(V2339=1,D2339&lt;&gt;""),IF(D2339&gt;=corte,TODAY()-D2339,""),"")</f>
        <v/>
      </c>
      <c r="V2339" s="8">
        <f>IF(D2339="",0,IF(OR(AND(P2339&lt;&gt;"",S2339=""),AND(N(J2339)&gt;0,N(K2339)&lt;J2339),OR(M2339="PENDENTE",M2339="PARCIAL"),OR(N2339="PENDENTE",N2339="PARCIAL")),1,0))</f>
        <v/>
      </c>
      <c r="W2339" s="8">
        <f>IF(AND(V2339=1,D2339&lt;&gt;""),IF(D2339&gt;=corte,(B2339="CRÍTICO")*1E9+(100000-D2339)*10000+10000-ROW(),""),"")</f>
        <v/>
      </c>
      <c r="X2339" s="8">
        <f>IF(AND(V2339=1,D2339=pas_data,E2339=pas_turno),10000-ROW(),"")</f>
        <v/>
      </c>
    </row>
    <row r="2340">
      <c r="A2340" s="3">
        <f>IF(D2340="","","TT-"&amp;TEXT(ROW()-1,"00000"))</f>
        <v/>
      </c>
      <c r="B2340" s="3">
        <f>IF(D2340="","",IF(V2340=0,"CONCLUÍDO",IF(D2340&lt;corte,"HISTÓRICO",IF(OR(AND(ISNUMBER(R2340),R2340&lt;TODAY()),AND(OR(N2340="PENDENTE",N2340="PARCIAL"),D2340&lt;TODAY()-1)),"CRÍTICO",IF(OR(AND(P2340&lt;&gt;"",S2340=""),AND(N2340="REALIZADO",M2340="PENDENTE"),AND(ISNUMBER(R2340),R2340=TODAY())),"ATENÇÃO",IF(N(K2340)=0,"PENDENTE","EM ANDAMENTO"))))))</f>
        <v/>
      </c>
      <c r="C2340" s="3">
        <f>IF(D2340="","",IF(V2340=0,"🟢 OK",IF(D2340&lt;corte,"⚪ HISTÓRICO (sem baixa)",IF(AND(ISNUMBER(R2340),R2340&lt;TODAY()),"🔴 PRAZO VENCIDO",IF(AND(OR(N2340="PENDENTE",N2340="PARCIAL"),D2340&lt;TODAY()-1),"🔴 EMBARQUE ATRASADO",IF(AND(N2340="REALIZADO",M2340="PENDENTE"),"🟡 EMBARCADO SEM FATURAR",IF(AND(P2340&lt;&gt;"",S2340="",OR(Q2340="",R2340="")),"🟡 PENDÊNCIA SEM RESPONSÁVEL/PRAZO",IF(AND(ISNUMBER(R2340),R2340=TODAY()),"🟡 VENCE HOJE",IF(AND(P2340&lt;&gt;"",S2340=""),"🟡 PENDÊNCIA ABERTA",IF(AND(N(J2340)&gt;0,N(K2340)&lt;J2340),"🟡 FALTA EXECUTAR",IF(OR(M2340="PENDENTE",M2340="PARCIAL"),"🟡 FATURAMENTO PENDENTE","🟡 EMBARQUE PENDENTE")))))))))))</f>
        <v/>
      </c>
      <c r="D2340" s="4" t="n"/>
      <c r="E2340" s="5" t="n"/>
      <c r="F2340" s="5" t="n"/>
      <c r="G2340" s="5" t="n"/>
      <c r="H2340" s="5" t="n"/>
      <c r="I2340" s="5" t="n"/>
      <c r="J2340" s="6" t="n"/>
      <c r="K2340" s="6" t="n"/>
      <c r="L2340" s="7">
        <f>IF(OR(D2340="",N(J2340)=0),"",MIN(1,N(K2340)/J2340))</f>
        <v/>
      </c>
      <c r="M2340" s="5" t="n"/>
      <c r="N2340" s="5" t="n"/>
      <c r="O2340" s="5" t="n"/>
      <c r="P2340" s="5" t="n"/>
      <c r="Q2340" s="5" t="n"/>
      <c r="R2340" s="4" t="n"/>
      <c r="S2340" s="4" t="n"/>
      <c r="T2340" s="5" t="n"/>
      <c r="U2340" s="8">
        <f>IF(AND(V2340=1,D2340&lt;&gt;""),IF(D2340&gt;=corte,TODAY()-D2340,""),"")</f>
        <v/>
      </c>
      <c r="V2340" s="8">
        <f>IF(D2340="",0,IF(OR(AND(P2340&lt;&gt;"",S2340=""),AND(N(J2340)&gt;0,N(K2340)&lt;J2340),OR(M2340="PENDENTE",M2340="PARCIAL"),OR(N2340="PENDENTE",N2340="PARCIAL")),1,0))</f>
        <v/>
      </c>
      <c r="W2340" s="8">
        <f>IF(AND(V2340=1,D2340&lt;&gt;""),IF(D2340&gt;=corte,(B2340="CRÍTICO")*1E9+(100000-D2340)*10000+10000-ROW(),""),"")</f>
        <v/>
      </c>
      <c r="X2340" s="8">
        <f>IF(AND(V2340=1,D2340=pas_data,E2340=pas_turno),10000-ROW(),"")</f>
        <v/>
      </c>
    </row>
    <row r="2341">
      <c r="A2341" s="3">
        <f>IF(D2341="","","TT-"&amp;TEXT(ROW()-1,"00000"))</f>
        <v/>
      </c>
      <c r="B2341" s="3">
        <f>IF(D2341="","",IF(V2341=0,"CONCLUÍDO",IF(D2341&lt;corte,"HISTÓRICO",IF(OR(AND(ISNUMBER(R2341),R2341&lt;TODAY()),AND(OR(N2341="PENDENTE",N2341="PARCIAL"),D2341&lt;TODAY()-1)),"CRÍTICO",IF(OR(AND(P2341&lt;&gt;"",S2341=""),AND(N2341="REALIZADO",M2341="PENDENTE"),AND(ISNUMBER(R2341),R2341=TODAY())),"ATENÇÃO",IF(N(K2341)=0,"PENDENTE","EM ANDAMENTO"))))))</f>
        <v/>
      </c>
      <c r="C2341" s="3">
        <f>IF(D2341="","",IF(V2341=0,"🟢 OK",IF(D2341&lt;corte,"⚪ HISTÓRICO (sem baixa)",IF(AND(ISNUMBER(R2341),R2341&lt;TODAY()),"🔴 PRAZO VENCIDO",IF(AND(OR(N2341="PENDENTE",N2341="PARCIAL"),D2341&lt;TODAY()-1),"🔴 EMBARQUE ATRASADO",IF(AND(N2341="REALIZADO",M2341="PENDENTE"),"🟡 EMBARCADO SEM FATURAR",IF(AND(P2341&lt;&gt;"",S2341="",OR(Q2341="",R2341="")),"🟡 PENDÊNCIA SEM RESPONSÁVEL/PRAZO",IF(AND(ISNUMBER(R2341),R2341=TODAY()),"🟡 VENCE HOJE",IF(AND(P2341&lt;&gt;"",S2341=""),"🟡 PENDÊNCIA ABERTA",IF(AND(N(J2341)&gt;0,N(K2341)&lt;J2341),"🟡 FALTA EXECUTAR",IF(OR(M2341="PENDENTE",M2341="PARCIAL"),"🟡 FATURAMENTO PENDENTE","🟡 EMBARQUE PENDENTE")))))))))))</f>
        <v/>
      </c>
      <c r="D2341" s="4" t="n"/>
      <c r="E2341" s="5" t="n"/>
      <c r="F2341" s="5" t="n"/>
      <c r="G2341" s="5" t="n"/>
      <c r="H2341" s="5" t="n"/>
      <c r="I2341" s="5" t="n"/>
      <c r="J2341" s="6" t="n"/>
      <c r="K2341" s="6" t="n"/>
      <c r="L2341" s="7">
        <f>IF(OR(D2341="",N(J2341)=0),"",MIN(1,N(K2341)/J2341))</f>
        <v/>
      </c>
      <c r="M2341" s="5" t="n"/>
      <c r="N2341" s="5" t="n"/>
      <c r="O2341" s="5" t="n"/>
      <c r="P2341" s="5" t="n"/>
      <c r="Q2341" s="5" t="n"/>
      <c r="R2341" s="4" t="n"/>
      <c r="S2341" s="4" t="n"/>
      <c r="T2341" s="5" t="n"/>
      <c r="U2341" s="8">
        <f>IF(AND(V2341=1,D2341&lt;&gt;""),IF(D2341&gt;=corte,TODAY()-D2341,""),"")</f>
        <v/>
      </c>
      <c r="V2341" s="8">
        <f>IF(D2341="",0,IF(OR(AND(P2341&lt;&gt;"",S2341=""),AND(N(J2341)&gt;0,N(K2341)&lt;J2341),OR(M2341="PENDENTE",M2341="PARCIAL"),OR(N2341="PENDENTE",N2341="PARCIAL")),1,0))</f>
        <v/>
      </c>
      <c r="W2341" s="8">
        <f>IF(AND(V2341=1,D2341&lt;&gt;""),IF(D2341&gt;=corte,(B2341="CRÍTICO")*1E9+(100000-D2341)*10000+10000-ROW(),""),"")</f>
        <v/>
      </c>
      <c r="X2341" s="8">
        <f>IF(AND(V2341=1,D2341=pas_data,E2341=pas_turno),10000-ROW(),"")</f>
        <v/>
      </c>
    </row>
    <row r="2342">
      <c r="A2342" s="3">
        <f>IF(D2342="","","TT-"&amp;TEXT(ROW()-1,"00000"))</f>
        <v/>
      </c>
      <c r="B2342" s="3">
        <f>IF(D2342="","",IF(V2342=0,"CONCLUÍDO",IF(D2342&lt;corte,"HISTÓRICO",IF(OR(AND(ISNUMBER(R2342),R2342&lt;TODAY()),AND(OR(N2342="PENDENTE",N2342="PARCIAL"),D2342&lt;TODAY()-1)),"CRÍTICO",IF(OR(AND(P2342&lt;&gt;"",S2342=""),AND(N2342="REALIZADO",M2342="PENDENTE"),AND(ISNUMBER(R2342),R2342=TODAY())),"ATENÇÃO",IF(N(K2342)=0,"PENDENTE","EM ANDAMENTO"))))))</f>
        <v/>
      </c>
      <c r="C2342" s="3">
        <f>IF(D2342="","",IF(V2342=0,"🟢 OK",IF(D2342&lt;corte,"⚪ HISTÓRICO (sem baixa)",IF(AND(ISNUMBER(R2342),R2342&lt;TODAY()),"🔴 PRAZO VENCIDO",IF(AND(OR(N2342="PENDENTE",N2342="PARCIAL"),D2342&lt;TODAY()-1),"🔴 EMBARQUE ATRASADO",IF(AND(N2342="REALIZADO",M2342="PENDENTE"),"🟡 EMBARCADO SEM FATURAR",IF(AND(P2342&lt;&gt;"",S2342="",OR(Q2342="",R2342="")),"🟡 PENDÊNCIA SEM RESPONSÁVEL/PRAZO",IF(AND(ISNUMBER(R2342),R2342=TODAY()),"🟡 VENCE HOJE",IF(AND(P2342&lt;&gt;"",S2342=""),"🟡 PENDÊNCIA ABERTA",IF(AND(N(J2342)&gt;0,N(K2342)&lt;J2342),"🟡 FALTA EXECUTAR",IF(OR(M2342="PENDENTE",M2342="PARCIAL"),"🟡 FATURAMENTO PENDENTE","🟡 EMBARQUE PENDENTE")))))))))))</f>
        <v/>
      </c>
      <c r="D2342" s="4" t="n"/>
      <c r="E2342" s="5" t="n"/>
      <c r="F2342" s="5" t="n"/>
      <c r="G2342" s="5" t="n"/>
      <c r="H2342" s="5" t="n"/>
      <c r="I2342" s="5" t="n"/>
      <c r="J2342" s="6" t="n"/>
      <c r="K2342" s="6" t="n"/>
      <c r="L2342" s="7">
        <f>IF(OR(D2342="",N(J2342)=0),"",MIN(1,N(K2342)/J2342))</f>
        <v/>
      </c>
      <c r="M2342" s="5" t="n"/>
      <c r="N2342" s="5" t="n"/>
      <c r="O2342" s="5" t="n"/>
      <c r="P2342" s="5" t="n"/>
      <c r="Q2342" s="5" t="n"/>
      <c r="R2342" s="4" t="n"/>
      <c r="S2342" s="4" t="n"/>
      <c r="T2342" s="5" t="n"/>
      <c r="U2342" s="8">
        <f>IF(AND(V2342=1,D2342&lt;&gt;""),IF(D2342&gt;=corte,TODAY()-D2342,""),"")</f>
        <v/>
      </c>
      <c r="V2342" s="8">
        <f>IF(D2342="",0,IF(OR(AND(P2342&lt;&gt;"",S2342=""),AND(N(J2342)&gt;0,N(K2342)&lt;J2342),OR(M2342="PENDENTE",M2342="PARCIAL"),OR(N2342="PENDENTE",N2342="PARCIAL")),1,0))</f>
        <v/>
      </c>
      <c r="W2342" s="8">
        <f>IF(AND(V2342=1,D2342&lt;&gt;""),IF(D2342&gt;=corte,(B2342="CRÍTICO")*1E9+(100000-D2342)*10000+10000-ROW(),""),"")</f>
        <v/>
      </c>
      <c r="X2342" s="8">
        <f>IF(AND(V2342=1,D2342=pas_data,E2342=pas_turno),10000-ROW(),"")</f>
        <v/>
      </c>
    </row>
    <row r="2343">
      <c r="A2343" s="3">
        <f>IF(D2343="","","TT-"&amp;TEXT(ROW()-1,"00000"))</f>
        <v/>
      </c>
      <c r="B2343" s="3">
        <f>IF(D2343="","",IF(V2343=0,"CONCLUÍDO",IF(D2343&lt;corte,"HISTÓRICO",IF(OR(AND(ISNUMBER(R2343),R2343&lt;TODAY()),AND(OR(N2343="PENDENTE",N2343="PARCIAL"),D2343&lt;TODAY()-1)),"CRÍTICO",IF(OR(AND(P2343&lt;&gt;"",S2343=""),AND(N2343="REALIZADO",M2343="PENDENTE"),AND(ISNUMBER(R2343),R2343=TODAY())),"ATENÇÃO",IF(N(K2343)=0,"PENDENTE","EM ANDAMENTO"))))))</f>
        <v/>
      </c>
      <c r="C2343" s="3">
        <f>IF(D2343="","",IF(V2343=0,"🟢 OK",IF(D2343&lt;corte,"⚪ HISTÓRICO (sem baixa)",IF(AND(ISNUMBER(R2343),R2343&lt;TODAY()),"🔴 PRAZO VENCIDO",IF(AND(OR(N2343="PENDENTE",N2343="PARCIAL"),D2343&lt;TODAY()-1),"🔴 EMBARQUE ATRASADO",IF(AND(N2343="REALIZADO",M2343="PENDENTE"),"🟡 EMBARCADO SEM FATURAR",IF(AND(P2343&lt;&gt;"",S2343="",OR(Q2343="",R2343="")),"🟡 PENDÊNCIA SEM RESPONSÁVEL/PRAZO",IF(AND(ISNUMBER(R2343),R2343=TODAY()),"🟡 VENCE HOJE",IF(AND(P2343&lt;&gt;"",S2343=""),"🟡 PENDÊNCIA ABERTA",IF(AND(N(J2343)&gt;0,N(K2343)&lt;J2343),"🟡 FALTA EXECUTAR",IF(OR(M2343="PENDENTE",M2343="PARCIAL"),"🟡 FATURAMENTO PENDENTE","🟡 EMBARQUE PENDENTE")))))))))))</f>
        <v/>
      </c>
      <c r="D2343" s="4" t="n"/>
      <c r="E2343" s="5" t="n"/>
      <c r="F2343" s="5" t="n"/>
      <c r="G2343" s="5" t="n"/>
      <c r="H2343" s="5" t="n"/>
      <c r="I2343" s="5" t="n"/>
      <c r="J2343" s="6" t="n"/>
      <c r="K2343" s="6" t="n"/>
      <c r="L2343" s="7">
        <f>IF(OR(D2343="",N(J2343)=0),"",MIN(1,N(K2343)/J2343))</f>
        <v/>
      </c>
      <c r="M2343" s="5" t="n"/>
      <c r="N2343" s="5" t="n"/>
      <c r="O2343" s="5" t="n"/>
      <c r="P2343" s="5" t="n"/>
      <c r="Q2343" s="5" t="n"/>
      <c r="R2343" s="4" t="n"/>
      <c r="S2343" s="4" t="n"/>
      <c r="T2343" s="5" t="n"/>
      <c r="U2343" s="8">
        <f>IF(AND(V2343=1,D2343&lt;&gt;""),IF(D2343&gt;=corte,TODAY()-D2343,""),"")</f>
        <v/>
      </c>
      <c r="V2343" s="8">
        <f>IF(D2343="",0,IF(OR(AND(P2343&lt;&gt;"",S2343=""),AND(N(J2343)&gt;0,N(K2343)&lt;J2343),OR(M2343="PENDENTE",M2343="PARCIAL"),OR(N2343="PENDENTE",N2343="PARCIAL")),1,0))</f>
        <v/>
      </c>
      <c r="W2343" s="8">
        <f>IF(AND(V2343=1,D2343&lt;&gt;""),IF(D2343&gt;=corte,(B2343="CRÍTICO")*1E9+(100000-D2343)*10000+10000-ROW(),""),"")</f>
        <v/>
      </c>
      <c r="X2343" s="8">
        <f>IF(AND(V2343=1,D2343=pas_data,E2343=pas_turno),10000-ROW(),"")</f>
        <v/>
      </c>
    </row>
    <row r="2344">
      <c r="A2344" s="3">
        <f>IF(D2344="","","TT-"&amp;TEXT(ROW()-1,"00000"))</f>
        <v/>
      </c>
      <c r="B2344" s="3">
        <f>IF(D2344="","",IF(V2344=0,"CONCLUÍDO",IF(D2344&lt;corte,"HISTÓRICO",IF(OR(AND(ISNUMBER(R2344),R2344&lt;TODAY()),AND(OR(N2344="PENDENTE",N2344="PARCIAL"),D2344&lt;TODAY()-1)),"CRÍTICO",IF(OR(AND(P2344&lt;&gt;"",S2344=""),AND(N2344="REALIZADO",M2344="PENDENTE"),AND(ISNUMBER(R2344),R2344=TODAY())),"ATENÇÃO",IF(N(K2344)=0,"PENDENTE","EM ANDAMENTO"))))))</f>
        <v/>
      </c>
      <c r="C2344" s="3">
        <f>IF(D2344="","",IF(V2344=0,"🟢 OK",IF(D2344&lt;corte,"⚪ HISTÓRICO (sem baixa)",IF(AND(ISNUMBER(R2344),R2344&lt;TODAY()),"🔴 PRAZO VENCIDO",IF(AND(OR(N2344="PENDENTE",N2344="PARCIAL"),D2344&lt;TODAY()-1),"🔴 EMBARQUE ATRASADO",IF(AND(N2344="REALIZADO",M2344="PENDENTE"),"🟡 EMBARCADO SEM FATURAR",IF(AND(P2344&lt;&gt;"",S2344="",OR(Q2344="",R2344="")),"🟡 PENDÊNCIA SEM RESPONSÁVEL/PRAZO",IF(AND(ISNUMBER(R2344),R2344=TODAY()),"🟡 VENCE HOJE",IF(AND(P2344&lt;&gt;"",S2344=""),"🟡 PENDÊNCIA ABERTA",IF(AND(N(J2344)&gt;0,N(K2344)&lt;J2344),"🟡 FALTA EXECUTAR",IF(OR(M2344="PENDENTE",M2344="PARCIAL"),"🟡 FATURAMENTO PENDENTE","🟡 EMBARQUE PENDENTE")))))))))))</f>
        <v/>
      </c>
      <c r="D2344" s="4" t="n"/>
      <c r="E2344" s="5" t="n"/>
      <c r="F2344" s="5" t="n"/>
      <c r="G2344" s="5" t="n"/>
      <c r="H2344" s="5" t="n"/>
      <c r="I2344" s="5" t="n"/>
      <c r="J2344" s="6" t="n"/>
      <c r="K2344" s="6" t="n"/>
      <c r="L2344" s="7">
        <f>IF(OR(D2344="",N(J2344)=0),"",MIN(1,N(K2344)/J2344))</f>
        <v/>
      </c>
      <c r="M2344" s="5" t="n"/>
      <c r="N2344" s="5" t="n"/>
      <c r="O2344" s="5" t="n"/>
      <c r="P2344" s="5" t="n"/>
      <c r="Q2344" s="5" t="n"/>
      <c r="R2344" s="4" t="n"/>
      <c r="S2344" s="4" t="n"/>
      <c r="T2344" s="5" t="n"/>
      <c r="U2344" s="8">
        <f>IF(AND(V2344=1,D2344&lt;&gt;""),IF(D2344&gt;=corte,TODAY()-D2344,""),"")</f>
        <v/>
      </c>
      <c r="V2344" s="8">
        <f>IF(D2344="",0,IF(OR(AND(P2344&lt;&gt;"",S2344=""),AND(N(J2344)&gt;0,N(K2344)&lt;J2344),OR(M2344="PENDENTE",M2344="PARCIAL"),OR(N2344="PENDENTE",N2344="PARCIAL")),1,0))</f>
        <v/>
      </c>
      <c r="W2344" s="8">
        <f>IF(AND(V2344=1,D2344&lt;&gt;""),IF(D2344&gt;=corte,(B2344="CRÍTICO")*1E9+(100000-D2344)*10000+10000-ROW(),""),"")</f>
        <v/>
      </c>
      <c r="X2344" s="8">
        <f>IF(AND(V2344=1,D2344=pas_data,E2344=pas_turno),10000-ROW(),"")</f>
        <v/>
      </c>
    </row>
    <row r="2345">
      <c r="A2345" s="3">
        <f>IF(D2345="","","TT-"&amp;TEXT(ROW()-1,"00000"))</f>
        <v/>
      </c>
      <c r="B2345" s="3">
        <f>IF(D2345="","",IF(V2345=0,"CONCLUÍDO",IF(D2345&lt;corte,"HISTÓRICO",IF(OR(AND(ISNUMBER(R2345),R2345&lt;TODAY()),AND(OR(N2345="PENDENTE",N2345="PARCIAL"),D2345&lt;TODAY()-1)),"CRÍTICO",IF(OR(AND(P2345&lt;&gt;"",S2345=""),AND(N2345="REALIZADO",M2345="PENDENTE"),AND(ISNUMBER(R2345),R2345=TODAY())),"ATENÇÃO",IF(N(K2345)=0,"PENDENTE","EM ANDAMENTO"))))))</f>
        <v/>
      </c>
      <c r="C2345" s="3">
        <f>IF(D2345="","",IF(V2345=0,"🟢 OK",IF(D2345&lt;corte,"⚪ HISTÓRICO (sem baixa)",IF(AND(ISNUMBER(R2345),R2345&lt;TODAY()),"🔴 PRAZO VENCIDO",IF(AND(OR(N2345="PENDENTE",N2345="PARCIAL"),D2345&lt;TODAY()-1),"🔴 EMBARQUE ATRASADO",IF(AND(N2345="REALIZADO",M2345="PENDENTE"),"🟡 EMBARCADO SEM FATURAR",IF(AND(P2345&lt;&gt;"",S2345="",OR(Q2345="",R2345="")),"🟡 PENDÊNCIA SEM RESPONSÁVEL/PRAZO",IF(AND(ISNUMBER(R2345),R2345=TODAY()),"🟡 VENCE HOJE",IF(AND(P2345&lt;&gt;"",S2345=""),"🟡 PENDÊNCIA ABERTA",IF(AND(N(J2345)&gt;0,N(K2345)&lt;J2345),"🟡 FALTA EXECUTAR",IF(OR(M2345="PENDENTE",M2345="PARCIAL"),"🟡 FATURAMENTO PENDENTE","🟡 EMBARQUE PENDENTE")))))))))))</f>
        <v/>
      </c>
      <c r="D2345" s="4" t="n"/>
      <c r="E2345" s="5" t="n"/>
      <c r="F2345" s="5" t="n"/>
      <c r="G2345" s="5" t="n"/>
      <c r="H2345" s="5" t="n"/>
      <c r="I2345" s="5" t="n"/>
      <c r="J2345" s="6" t="n"/>
      <c r="K2345" s="6" t="n"/>
      <c r="L2345" s="7">
        <f>IF(OR(D2345="",N(J2345)=0),"",MIN(1,N(K2345)/J2345))</f>
        <v/>
      </c>
      <c r="M2345" s="5" t="n"/>
      <c r="N2345" s="5" t="n"/>
      <c r="O2345" s="5" t="n"/>
      <c r="P2345" s="5" t="n"/>
      <c r="Q2345" s="5" t="n"/>
      <c r="R2345" s="4" t="n"/>
      <c r="S2345" s="4" t="n"/>
      <c r="T2345" s="5" t="n"/>
      <c r="U2345" s="8">
        <f>IF(AND(V2345=1,D2345&lt;&gt;""),IF(D2345&gt;=corte,TODAY()-D2345,""),"")</f>
        <v/>
      </c>
      <c r="V2345" s="8">
        <f>IF(D2345="",0,IF(OR(AND(P2345&lt;&gt;"",S2345=""),AND(N(J2345)&gt;0,N(K2345)&lt;J2345),OR(M2345="PENDENTE",M2345="PARCIAL"),OR(N2345="PENDENTE",N2345="PARCIAL")),1,0))</f>
        <v/>
      </c>
      <c r="W2345" s="8">
        <f>IF(AND(V2345=1,D2345&lt;&gt;""),IF(D2345&gt;=corte,(B2345="CRÍTICO")*1E9+(100000-D2345)*10000+10000-ROW(),""),"")</f>
        <v/>
      </c>
      <c r="X2345" s="8">
        <f>IF(AND(V2345=1,D2345=pas_data,E2345=pas_turno),10000-ROW(),"")</f>
        <v/>
      </c>
    </row>
    <row r="2346">
      <c r="A2346" s="3">
        <f>IF(D2346="","","TT-"&amp;TEXT(ROW()-1,"00000"))</f>
        <v/>
      </c>
      <c r="B2346" s="3">
        <f>IF(D2346="","",IF(V2346=0,"CONCLUÍDO",IF(D2346&lt;corte,"HISTÓRICO",IF(OR(AND(ISNUMBER(R2346),R2346&lt;TODAY()),AND(OR(N2346="PENDENTE",N2346="PARCIAL"),D2346&lt;TODAY()-1)),"CRÍTICO",IF(OR(AND(P2346&lt;&gt;"",S2346=""),AND(N2346="REALIZADO",M2346="PENDENTE"),AND(ISNUMBER(R2346),R2346=TODAY())),"ATENÇÃO",IF(N(K2346)=0,"PENDENTE","EM ANDAMENTO"))))))</f>
        <v/>
      </c>
      <c r="C2346" s="3">
        <f>IF(D2346="","",IF(V2346=0,"🟢 OK",IF(D2346&lt;corte,"⚪ HISTÓRICO (sem baixa)",IF(AND(ISNUMBER(R2346),R2346&lt;TODAY()),"🔴 PRAZO VENCIDO",IF(AND(OR(N2346="PENDENTE",N2346="PARCIAL"),D2346&lt;TODAY()-1),"🔴 EMBARQUE ATRASADO",IF(AND(N2346="REALIZADO",M2346="PENDENTE"),"🟡 EMBARCADO SEM FATURAR",IF(AND(P2346&lt;&gt;"",S2346="",OR(Q2346="",R2346="")),"🟡 PENDÊNCIA SEM RESPONSÁVEL/PRAZO",IF(AND(ISNUMBER(R2346),R2346=TODAY()),"🟡 VENCE HOJE",IF(AND(P2346&lt;&gt;"",S2346=""),"🟡 PENDÊNCIA ABERTA",IF(AND(N(J2346)&gt;0,N(K2346)&lt;J2346),"🟡 FALTA EXECUTAR",IF(OR(M2346="PENDENTE",M2346="PARCIAL"),"🟡 FATURAMENTO PENDENTE","🟡 EMBARQUE PENDENTE")))))))))))</f>
        <v/>
      </c>
      <c r="D2346" s="4" t="n"/>
      <c r="E2346" s="5" t="n"/>
      <c r="F2346" s="5" t="n"/>
      <c r="G2346" s="5" t="n"/>
      <c r="H2346" s="5" t="n"/>
      <c r="I2346" s="5" t="n"/>
      <c r="J2346" s="6" t="n"/>
      <c r="K2346" s="6" t="n"/>
      <c r="L2346" s="7">
        <f>IF(OR(D2346="",N(J2346)=0),"",MIN(1,N(K2346)/J2346))</f>
        <v/>
      </c>
      <c r="M2346" s="5" t="n"/>
      <c r="N2346" s="5" t="n"/>
      <c r="O2346" s="5" t="n"/>
      <c r="P2346" s="5" t="n"/>
      <c r="Q2346" s="5" t="n"/>
      <c r="R2346" s="4" t="n"/>
      <c r="S2346" s="4" t="n"/>
      <c r="T2346" s="5" t="n"/>
      <c r="U2346" s="8">
        <f>IF(AND(V2346=1,D2346&lt;&gt;""),IF(D2346&gt;=corte,TODAY()-D2346,""),"")</f>
        <v/>
      </c>
      <c r="V2346" s="8">
        <f>IF(D2346="",0,IF(OR(AND(P2346&lt;&gt;"",S2346=""),AND(N(J2346)&gt;0,N(K2346)&lt;J2346),OR(M2346="PENDENTE",M2346="PARCIAL"),OR(N2346="PENDENTE",N2346="PARCIAL")),1,0))</f>
        <v/>
      </c>
      <c r="W2346" s="8">
        <f>IF(AND(V2346=1,D2346&lt;&gt;""),IF(D2346&gt;=corte,(B2346="CRÍTICO")*1E9+(100000-D2346)*10000+10000-ROW(),""),"")</f>
        <v/>
      </c>
      <c r="X2346" s="8">
        <f>IF(AND(V2346=1,D2346=pas_data,E2346=pas_turno),10000-ROW(),"")</f>
        <v/>
      </c>
    </row>
    <row r="2347">
      <c r="A2347" s="3">
        <f>IF(D2347="","","TT-"&amp;TEXT(ROW()-1,"00000"))</f>
        <v/>
      </c>
      <c r="B2347" s="3">
        <f>IF(D2347="","",IF(V2347=0,"CONCLUÍDO",IF(D2347&lt;corte,"HISTÓRICO",IF(OR(AND(ISNUMBER(R2347),R2347&lt;TODAY()),AND(OR(N2347="PENDENTE",N2347="PARCIAL"),D2347&lt;TODAY()-1)),"CRÍTICO",IF(OR(AND(P2347&lt;&gt;"",S2347=""),AND(N2347="REALIZADO",M2347="PENDENTE"),AND(ISNUMBER(R2347),R2347=TODAY())),"ATENÇÃO",IF(N(K2347)=0,"PENDENTE","EM ANDAMENTO"))))))</f>
        <v/>
      </c>
      <c r="C2347" s="3">
        <f>IF(D2347="","",IF(V2347=0,"🟢 OK",IF(D2347&lt;corte,"⚪ HISTÓRICO (sem baixa)",IF(AND(ISNUMBER(R2347),R2347&lt;TODAY()),"🔴 PRAZO VENCIDO",IF(AND(OR(N2347="PENDENTE",N2347="PARCIAL"),D2347&lt;TODAY()-1),"🔴 EMBARQUE ATRASADO",IF(AND(N2347="REALIZADO",M2347="PENDENTE"),"🟡 EMBARCADO SEM FATURAR",IF(AND(P2347&lt;&gt;"",S2347="",OR(Q2347="",R2347="")),"🟡 PENDÊNCIA SEM RESPONSÁVEL/PRAZO",IF(AND(ISNUMBER(R2347),R2347=TODAY()),"🟡 VENCE HOJE",IF(AND(P2347&lt;&gt;"",S2347=""),"🟡 PENDÊNCIA ABERTA",IF(AND(N(J2347)&gt;0,N(K2347)&lt;J2347),"🟡 FALTA EXECUTAR",IF(OR(M2347="PENDENTE",M2347="PARCIAL"),"🟡 FATURAMENTO PENDENTE","🟡 EMBARQUE PENDENTE")))))))))))</f>
        <v/>
      </c>
      <c r="D2347" s="4" t="n"/>
      <c r="E2347" s="5" t="n"/>
      <c r="F2347" s="5" t="n"/>
      <c r="G2347" s="5" t="n"/>
      <c r="H2347" s="5" t="n"/>
      <c r="I2347" s="5" t="n"/>
      <c r="J2347" s="6" t="n"/>
      <c r="K2347" s="6" t="n"/>
      <c r="L2347" s="7">
        <f>IF(OR(D2347="",N(J2347)=0),"",MIN(1,N(K2347)/J2347))</f>
        <v/>
      </c>
      <c r="M2347" s="5" t="n"/>
      <c r="N2347" s="5" t="n"/>
      <c r="O2347" s="5" t="n"/>
      <c r="P2347" s="5" t="n"/>
      <c r="Q2347" s="5" t="n"/>
      <c r="R2347" s="4" t="n"/>
      <c r="S2347" s="4" t="n"/>
      <c r="T2347" s="5" t="n"/>
      <c r="U2347" s="8">
        <f>IF(AND(V2347=1,D2347&lt;&gt;""),IF(D2347&gt;=corte,TODAY()-D2347,""),"")</f>
        <v/>
      </c>
      <c r="V2347" s="8">
        <f>IF(D2347="",0,IF(OR(AND(P2347&lt;&gt;"",S2347=""),AND(N(J2347)&gt;0,N(K2347)&lt;J2347),OR(M2347="PENDENTE",M2347="PARCIAL"),OR(N2347="PENDENTE",N2347="PARCIAL")),1,0))</f>
        <v/>
      </c>
      <c r="W2347" s="8">
        <f>IF(AND(V2347=1,D2347&lt;&gt;""),IF(D2347&gt;=corte,(B2347="CRÍTICO")*1E9+(100000-D2347)*10000+10000-ROW(),""),"")</f>
        <v/>
      </c>
      <c r="X2347" s="8">
        <f>IF(AND(V2347=1,D2347=pas_data,E2347=pas_turno),10000-ROW(),"")</f>
        <v/>
      </c>
    </row>
    <row r="2348">
      <c r="A2348" s="3">
        <f>IF(D2348="","","TT-"&amp;TEXT(ROW()-1,"00000"))</f>
        <v/>
      </c>
      <c r="B2348" s="3">
        <f>IF(D2348="","",IF(V2348=0,"CONCLUÍDO",IF(D2348&lt;corte,"HISTÓRICO",IF(OR(AND(ISNUMBER(R2348),R2348&lt;TODAY()),AND(OR(N2348="PENDENTE",N2348="PARCIAL"),D2348&lt;TODAY()-1)),"CRÍTICO",IF(OR(AND(P2348&lt;&gt;"",S2348=""),AND(N2348="REALIZADO",M2348="PENDENTE"),AND(ISNUMBER(R2348),R2348=TODAY())),"ATENÇÃO",IF(N(K2348)=0,"PENDENTE","EM ANDAMENTO"))))))</f>
        <v/>
      </c>
      <c r="C2348" s="3">
        <f>IF(D2348="","",IF(V2348=0,"🟢 OK",IF(D2348&lt;corte,"⚪ HISTÓRICO (sem baixa)",IF(AND(ISNUMBER(R2348),R2348&lt;TODAY()),"🔴 PRAZO VENCIDO",IF(AND(OR(N2348="PENDENTE",N2348="PARCIAL"),D2348&lt;TODAY()-1),"🔴 EMBARQUE ATRASADO",IF(AND(N2348="REALIZADO",M2348="PENDENTE"),"🟡 EMBARCADO SEM FATURAR",IF(AND(P2348&lt;&gt;"",S2348="",OR(Q2348="",R2348="")),"🟡 PENDÊNCIA SEM RESPONSÁVEL/PRAZO",IF(AND(ISNUMBER(R2348),R2348=TODAY()),"🟡 VENCE HOJE",IF(AND(P2348&lt;&gt;"",S2348=""),"🟡 PENDÊNCIA ABERTA",IF(AND(N(J2348)&gt;0,N(K2348)&lt;J2348),"🟡 FALTA EXECUTAR",IF(OR(M2348="PENDENTE",M2348="PARCIAL"),"🟡 FATURAMENTO PENDENTE","🟡 EMBARQUE PENDENTE")))))))))))</f>
        <v/>
      </c>
      <c r="D2348" s="4" t="n"/>
      <c r="E2348" s="5" t="n"/>
      <c r="F2348" s="5" t="n"/>
      <c r="G2348" s="5" t="n"/>
      <c r="H2348" s="5" t="n"/>
      <c r="I2348" s="5" t="n"/>
      <c r="J2348" s="6" t="n"/>
      <c r="K2348" s="6" t="n"/>
      <c r="L2348" s="7">
        <f>IF(OR(D2348="",N(J2348)=0),"",MIN(1,N(K2348)/J2348))</f>
        <v/>
      </c>
      <c r="M2348" s="5" t="n"/>
      <c r="N2348" s="5" t="n"/>
      <c r="O2348" s="5" t="n"/>
      <c r="P2348" s="5" t="n"/>
      <c r="Q2348" s="5" t="n"/>
      <c r="R2348" s="4" t="n"/>
      <c r="S2348" s="4" t="n"/>
      <c r="T2348" s="5" t="n"/>
      <c r="U2348" s="8">
        <f>IF(AND(V2348=1,D2348&lt;&gt;""),IF(D2348&gt;=corte,TODAY()-D2348,""),"")</f>
        <v/>
      </c>
      <c r="V2348" s="8">
        <f>IF(D2348="",0,IF(OR(AND(P2348&lt;&gt;"",S2348=""),AND(N(J2348)&gt;0,N(K2348)&lt;J2348),OR(M2348="PENDENTE",M2348="PARCIAL"),OR(N2348="PENDENTE",N2348="PARCIAL")),1,0))</f>
        <v/>
      </c>
      <c r="W2348" s="8">
        <f>IF(AND(V2348=1,D2348&lt;&gt;""),IF(D2348&gt;=corte,(B2348="CRÍTICO")*1E9+(100000-D2348)*10000+10000-ROW(),""),"")</f>
        <v/>
      </c>
      <c r="X2348" s="8">
        <f>IF(AND(V2348=1,D2348=pas_data,E2348=pas_turno),10000-ROW(),"")</f>
        <v/>
      </c>
    </row>
    <row r="2349">
      <c r="A2349" s="3">
        <f>IF(D2349="","","TT-"&amp;TEXT(ROW()-1,"00000"))</f>
        <v/>
      </c>
      <c r="B2349" s="3">
        <f>IF(D2349="","",IF(V2349=0,"CONCLUÍDO",IF(D2349&lt;corte,"HISTÓRICO",IF(OR(AND(ISNUMBER(R2349),R2349&lt;TODAY()),AND(OR(N2349="PENDENTE",N2349="PARCIAL"),D2349&lt;TODAY()-1)),"CRÍTICO",IF(OR(AND(P2349&lt;&gt;"",S2349=""),AND(N2349="REALIZADO",M2349="PENDENTE"),AND(ISNUMBER(R2349),R2349=TODAY())),"ATENÇÃO",IF(N(K2349)=0,"PENDENTE","EM ANDAMENTO"))))))</f>
        <v/>
      </c>
      <c r="C2349" s="3">
        <f>IF(D2349="","",IF(V2349=0,"🟢 OK",IF(D2349&lt;corte,"⚪ HISTÓRICO (sem baixa)",IF(AND(ISNUMBER(R2349),R2349&lt;TODAY()),"🔴 PRAZO VENCIDO",IF(AND(OR(N2349="PENDENTE",N2349="PARCIAL"),D2349&lt;TODAY()-1),"🔴 EMBARQUE ATRASADO",IF(AND(N2349="REALIZADO",M2349="PENDENTE"),"🟡 EMBARCADO SEM FATURAR",IF(AND(P2349&lt;&gt;"",S2349="",OR(Q2349="",R2349="")),"🟡 PENDÊNCIA SEM RESPONSÁVEL/PRAZO",IF(AND(ISNUMBER(R2349),R2349=TODAY()),"🟡 VENCE HOJE",IF(AND(P2349&lt;&gt;"",S2349=""),"🟡 PENDÊNCIA ABERTA",IF(AND(N(J2349)&gt;0,N(K2349)&lt;J2349),"🟡 FALTA EXECUTAR",IF(OR(M2349="PENDENTE",M2349="PARCIAL"),"🟡 FATURAMENTO PENDENTE","🟡 EMBARQUE PENDENTE")))))))))))</f>
        <v/>
      </c>
      <c r="D2349" s="4" t="n"/>
      <c r="E2349" s="5" t="n"/>
      <c r="F2349" s="5" t="n"/>
      <c r="G2349" s="5" t="n"/>
      <c r="H2349" s="5" t="n"/>
      <c r="I2349" s="5" t="n"/>
      <c r="J2349" s="6" t="n"/>
      <c r="K2349" s="6" t="n"/>
      <c r="L2349" s="7">
        <f>IF(OR(D2349="",N(J2349)=0),"",MIN(1,N(K2349)/J2349))</f>
        <v/>
      </c>
      <c r="M2349" s="5" t="n"/>
      <c r="N2349" s="5" t="n"/>
      <c r="O2349" s="5" t="n"/>
      <c r="P2349" s="5" t="n"/>
      <c r="Q2349" s="5" t="n"/>
      <c r="R2349" s="4" t="n"/>
      <c r="S2349" s="4" t="n"/>
      <c r="T2349" s="5" t="n"/>
      <c r="U2349" s="8">
        <f>IF(AND(V2349=1,D2349&lt;&gt;""),IF(D2349&gt;=corte,TODAY()-D2349,""),"")</f>
        <v/>
      </c>
      <c r="V2349" s="8">
        <f>IF(D2349="",0,IF(OR(AND(P2349&lt;&gt;"",S2349=""),AND(N(J2349)&gt;0,N(K2349)&lt;J2349),OR(M2349="PENDENTE",M2349="PARCIAL"),OR(N2349="PENDENTE",N2349="PARCIAL")),1,0))</f>
        <v/>
      </c>
      <c r="W2349" s="8">
        <f>IF(AND(V2349=1,D2349&lt;&gt;""),IF(D2349&gt;=corte,(B2349="CRÍTICO")*1E9+(100000-D2349)*10000+10000-ROW(),""),"")</f>
        <v/>
      </c>
      <c r="X2349" s="8">
        <f>IF(AND(V2349=1,D2349=pas_data,E2349=pas_turno),10000-ROW(),"")</f>
        <v/>
      </c>
    </row>
    <row r="2350">
      <c r="A2350" s="3">
        <f>IF(D2350="","","TT-"&amp;TEXT(ROW()-1,"00000"))</f>
        <v/>
      </c>
      <c r="B2350" s="3">
        <f>IF(D2350="","",IF(V2350=0,"CONCLUÍDO",IF(D2350&lt;corte,"HISTÓRICO",IF(OR(AND(ISNUMBER(R2350),R2350&lt;TODAY()),AND(OR(N2350="PENDENTE",N2350="PARCIAL"),D2350&lt;TODAY()-1)),"CRÍTICO",IF(OR(AND(P2350&lt;&gt;"",S2350=""),AND(N2350="REALIZADO",M2350="PENDENTE"),AND(ISNUMBER(R2350),R2350=TODAY())),"ATENÇÃO",IF(N(K2350)=0,"PENDENTE","EM ANDAMENTO"))))))</f>
        <v/>
      </c>
      <c r="C2350" s="3">
        <f>IF(D2350="","",IF(V2350=0,"🟢 OK",IF(D2350&lt;corte,"⚪ HISTÓRICO (sem baixa)",IF(AND(ISNUMBER(R2350),R2350&lt;TODAY()),"🔴 PRAZO VENCIDO",IF(AND(OR(N2350="PENDENTE",N2350="PARCIAL"),D2350&lt;TODAY()-1),"🔴 EMBARQUE ATRASADO",IF(AND(N2350="REALIZADO",M2350="PENDENTE"),"🟡 EMBARCADO SEM FATURAR",IF(AND(P2350&lt;&gt;"",S2350="",OR(Q2350="",R2350="")),"🟡 PENDÊNCIA SEM RESPONSÁVEL/PRAZO",IF(AND(ISNUMBER(R2350),R2350=TODAY()),"🟡 VENCE HOJE",IF(AND(P2350&lt;&gt;"",S2350=""),"🟡 PENDÊNCIA ABERTA",IF(AND(N(J2350)&gt;0,N(K2350)&lt;J2350),"🟡 FALTA EXECUTAR",IF(OR(M2350="PENDENTE",M2350="PARCIAL"),"🟡 FATURAMENTO PENDENTE","🟡 EMBARQUE PENDENTE")))))))))))</f>
        <v/>
      </c>
      <c r="D2350" s="4" t="n"/>
      <c r="E2350" s="5" t="n"/>
      <c r="F2350" s="5" t="n"/>
      <c r="G2350" s="5" t="n"/>
      <c r="H2350" s="5" t="n"/>
      <c r="I2350" s="5" t="n"/>
      <c r="J2350" s="6" t="n"/>
      <c r="K2350" s="6" t="n"/>
      <c r="L2350" s="7">
        <f>IF(OR(D2350="",N(J2350)=0),"",MIN(1,N(K2350)/J2350))</f>
        <v/>
      </c>
      <c r="M2350" s="5" t="n"/>
      <c r="N2350" s="5" t="n"/>
      <c r="O2350" s="5" t="n"/>
      <c r="P2350" s="5" t="n"/>
      <c r="Q2350" s="5" t="n"/>
      <c r="R2350" s="4" t="n"/>
      <c r="S2350" s="4" t="n"/>
      <c r="T2350" s="5" t="n"/>
      <c r="U2350" s="8">
        <f>IF(AND(V2350=1,D2350&lt;&gt;""),IF(D2350&gt;=corte,TODAY()-D2350,""),"")</f>
        <v/>
      </c>
      <c r="V2350" s="8">
        <f>IF(D2350="",0,IF(OR(AND(P2350&lt;&gt;"",S2350=""),AND(N(J2350)&gt;0,N(K2350)&lt;J2350),OR(M2350="PENDENTE",M2350="PARCIAL"),OR(N2350="PENDENTE",N2350="PARCIAL")),1,0))</f>
        <v/>
      </c>
      <c r="W2350" s="8">
        <f>IF(AND(V2350=1,D2350&lt;&gt;""),IF(D2350&gt;=corte,(B2350="CRÍTICO")*1E9+(100000-D2350)*10000+10000-ROW(),""),"")</f>
        <v/>
      </c>
      <c r="X2350" s="8">
        <f>IF(AND(V2350=1,D2350=pas_data,E2350=pas_turno),10000-ROW(),"")</f>
        <v/>
      </c>
    </row>
    <row r="2351">
      <c r="A2351" s="3">
        <f>IF(D2351="","","TT-"&amp;TEXT(ROW()-1,"00000"))</f>
        <v/>
      </c>
      <c r="B2351" s="3">
        <f>IF(D2351="","",IF(V2351=0,"CONCLUÍDO",IF(D2351&lt;corte,"HISTÓRICO",IF(OR(AND(ISNUMBER(R2351),R2351&lt;TODAY()),AND(OR(N2351="PENDENTE",N2351="PARCIAL"),D2351&lt;TODAY()-1)),"CRÍTICO",IF(OR(AND(P2351&lt;&gt;"",S2351=""),AND(N2351="REALIZADO",M2351="PENDENTE"),AND(ISNUMBER(R2351),R2351=TODAY())),"ATENÇÃO",IF(N(K2351)=0,"PENDENTE","EM ANDAMENTO"))))))</f>
        <v/>
      </c>
      <c r="C2351" s="3">
        <f>IF(D2351="","",IF(V2351=0,"🟢 OK",IF(D2351&lt;corte,"⚪ HISTÓRICO (sem baixa)",IF(AND(ISNUMBER(R2351),R2351&lt;TODAY()),"🔴 PRAZO VENCIDO",IF(AND(OR(N2351="PENDENTE",N2351="PARCIAL"),D2351&lt;TODAY()-1),"🔴 EMBARQUE ATRASADO",IF(AND(N2351="REALIZADO",M2351="PENDENTE"),"🟡 EMBARCADO SEM FATURAR",IF(AND(P2351&lt;&gt;"",S2351="",OR(Q2351="",R2351="")),"🟡 PENDÊNCIA SEM RESPONSÁVEL/PRAZO",IF(AND(ISNUMBER(R2351),R2351=TODAY()),"🟡 VENCE HOJE",IF(AND(P2351&lt;&gt;"",S2351=""),"🟡 PENDÊNCIA ABERTA",IF(AND(N(J2351)&gt;0,N(K2351)&lt;J2351),"🟡 FALTA EXECUTAR",IF(OR(M2351="PENDENTE",M2351="PARCIAL"),"🟡 FATURAMENTO PENDENTE","🟡 EMBARQUE PENDENTE")))))))))))</f>
        <v/>
      </c>
      <c r="D2351" s="4" t="n"/>
      <c r="E2351" s="5" t="n"/>
      <c r="F2351" s="5" t="n"/>
      <c r="G2351" s="5" t="n"/>
      <c r="H2351" s="5" t="n"/>
      <c r="I2351" s="5" t="n"/>
      <c r="J2351" s="6" t="n"/>
      <c r="K2351" s="6" t="n"/>
      <c r="L2351" s="7">
        <f>IF(OR(D2351="",N(J2351)=0),"",MIN(1,N(K2351)/J2351))</f>
        <v/>
      </c>
      <c r="M2351" s="5" t="n"/>
      <c r="N2351" s="5" t="n"/>
      <c r="O2351" s="5" t="n"/>
      <c r="P2351" s="5" t="n"/>
      <c r="Q2351" s="5" t="n"/>
      <c r="R2351" s="4" t="n"/>
      <c r="S2351" s="4" t="n"/>
      <c r="T2351" s="5" t="n"/>
      <c r="U2351" s="8">
        <f>IF(AND(V2351=1,D2351&lt;&gt;""),IF(D2351&gt;=corte,TODAY()-D2351,""),"")</f>
        <v/>
      </c>
      <c r="V2351" s="8">
        <f>IF(D2351="",0,IF(OR(AND(P2351&lt;&gt;"",S2351=""),AND(N(J2351)&gt;0,N(K2351)&lt;J2351),OR(M2351="PENDENTE",M2351="PARCIAL"),OR(N2351="PENDENTE",N2351="PARCIAL")),1,0))</f>
        <v/>
      </c>
      <c r="W2351" s="8">
        <f>IF(AND(V2351=1,D2351&lt;&gt;""),IF(D2351&gt;=corte,(B2351="CRÍTICO")*1E9+(100000-D2351)*10000+10000-ROW(),""),"")</f>
        <v/>
      </c>
      <c r="X2351" s="8">
        <f>IF(AND(V2351=1,D2351=pas_data,E2351=pas_turno),10000-ROW(),"")</f>
        <v/>
      </c>
    </row>
    <row r="2352">
      <c r="A2352" s="3">
        <f>IF(D2352="","","TT-"&amp;TEXT(ROW()-1,"00000"))</f>
        <v/>
      </c>
      <c r="B2352" s="3">
        <f>IF(D2352="","",IF(V2352=0,"CONCLUÍDO",IF(D2352&lt;corte,"HISTÓRICO",IF(OR(AND(ISNUMBER(R2352),R2352&lt;TODAY()),AND(OR(N2352="PENDENTE",N2352="PARCIAL"),D2352&lt;TODAY()-1)),"CRÍTICO",IF(OR(AND(P2352&lt;&gt;"",S2352=""),AND(N2352="REALIZADO",M2352="PENDENTE"),AND(ISNUMBER(R2352),R2352=TODAY())),"ATENÇÃO",IF(N(K2352)=0,"PENDENTE","EM ANDAMENTO"))))))</f>
        <v/>
      </c>
      <c r="C2352" s="3">
        <f>IF(D2352="","",IF(V2352=0,"🟢 OK",IF(D2352&lt;corte,"⚪ HISTÓRICO (sem baixa)",IF(AND(ISNUMBER(R2352),R2352&lt;TODAY()),"🔴 PRAZO VENCIDO",IF(AND(OR(N2352="PENDENTE",N2352="PARCIAL"),D2352&lt;TODAY()-1),"🔴 EMBARQUE ATRASADO",IF(AND(N2352="REALIZADO",M2352="PENDENTE"),"🟡 EMBARCADO SEM FATURAR",IF(AND(P2352&lt;&gt;"",S2352="",OR(Q2352="",R2352="")),"🟡 PENDÊNCIA SEM RESPONSÁVEL/PRAZO",IF(AND(ISNUMBER(R2352),R2352=TODAY()),"🟡 VENCE HOJE",IF(AND(P2352&lt;&gt;"",S2352=""),"🟡 PENDÊNCIA ABERTA",IF(AND(N(J2352)&gt;0,N(K2352)&lt;J2352),"🟡 FALTA EXECUTAR",IF(OR(M2352="PENDENTE",M2352="PARCIAL"),"🟡 FATURAMENTO PENDENTE","🟡 EMBARQUE PENDENTE")))))))))))</f>
        <v/>
      </c>
      <c r="D2352" s="4" t="n"/>
      <c r="E2352" s="5" t="n"/>
      <c r="F2352" s="5" t="n"/>
      <c r="G2352" s="5" t="n"/>
      <c r="H2352" s="5" t="n"/>
      <c r="I2352" s="5" t="n"/>
      <c r="J2352" s="6" t="n"/>
      <c r="K2352" s="6" t="n"/>
      <c r="L2352" s="7">
        <f>IF(OR(D2352="",N(J2352)=0),"",MIN(1,N(K2352)/J2352))</f>
        <v/>
      </c>
      <c r="M2352" s="5" t="n"/>
      <c r="N2352" s="5" t="n"/>
      <c r="O2352" s="5" t="n"/>
      <c r="P2352" s="5" t="n"/>
      <c r="Q2352" s="5" t="n"/>
      <c r="R2352" s="4" t="n"/>
      <c r="S2352" s="4" t="n"/>
      <c r="T2352" s="5" t="n"/>
      <c r="U2352" s="8">
        <f>IF(AND(V2352=1,D2352&lt;&gt;""),IF(D2352&gt;=corte,TODAY()-D2352,""),"")</f>
        <v/>
      </c>
      <c r="V2352" s="8">
        <f>IF(D2352="",0,IF(OR(AND(P2352&lt;&gt;"",S2352=""),AND(N(J2352)&gt;0,N(K2352)&lt;J2352),OR(M2352="PENDENTE",M2352="PARCIAL"),OR(N2352="PENDENTE",N2352="PARCIAL")),1,0))</f>
        <v/>
      </c>
      <c r="W2352" s="8">
        <f>IF(AND(V2352=1,D2352&lt;&gt;""),IF(D2352&gt;=corte,(B2352="CRÍTICO")*1E9+(100000-D2352)*10000+10000-ROW(),""),"")</f>
        <v/>
      </c>
      <c r="X2352" s="8">
        <f>IF(AND(V2352=1,D2352=pas_data,E2352=pas_turno),10000-ROW(),"")</f>
        <v/>
      </c>
    </row>
    <row r="2353">
      <c r="A2353" s="3">
        <f>IF(D2353="","","TT-"&amp;TEXT(ROW()-1,"00000"))</f>
        <v/>
      </c>
      <c r="B2353" s="3">
        <f>IF(D2353="","",IF(V2353=0,"CONCLUÍDO",IF(D2353&lt;corte,"HISTÓRICO",IF(OR(AND(ISNUMBER(R2353),R2353&lt;TODAY()),AND(OR(N2353="PENDENTE",N2353="PARCIAL"),D2353&lt;TODAY()-1)),"CRÍTICO",IF(OR(AND(P2353&lt;&gt;"",S2353=""),AND(N2353="REALIZADO",M2353="PENDENTE"),AND(ISNUMBER(R2353),R2353=TODAY())),"ATENÇÃO",IF(N(K2353)=0,"PENDENTE","EM ANDAMENTO"))))))</f>
        <v/>
      </c>
      <c r="C2353" s="3">
        <f>IF(D2353="","",IF(V2353=0,"🟢 OK",IF(D2353&lt;corte,"⚪ HISTÓRICO (sem baixa)",IF(AND(ISNUMBER(R2353),R2353&lt;TODAY()),"🔴 PRAZO VENCIDO",IF(AND(OR(N2353="PENDENTE",N2353="PARCIAL"),D2353&lt;TODAY()-1),"🔴 EMBARQUE ATRASADO",IF(AND(N2353="REALIZADO",M2353="PENDENTE"),"🟡 EMBARCADO SEM FATURAR",IF(AND(P2353&lt;&gt;"",S2353="",OR(Q2353="",R2353="")),"🟡 PENDÊNCIA SEM RESPONSÁVEL/PRAZO",IF(AND(ISNUMBER(R2353),R2353=TODAY()),"🟡 VENCE HOJE",IF(AND(P2353&lt;&gt;"",S2353=""),"🟡 PENDÊNCIA ABERTA",IF(AND(N(J2353)&gt;0,N(K2353)&lt;J2353),"🟡 FALTA EXECUTAR",IF(OR(M2353="PENDENTE",M2353="PARCIAL"),"🟡 FATURAMENTO PENDENTE","🟡 EMBARQUE PENDENTE")))))))))))</f>
        <v/>
      </c>
      <c r="D2353" s="4" t="n"/>
      <c r="E2353" s="5" t="n"/>
      <c r="F2353" s="5" t="n"/>
      <c r="G2353" s="5" t="n"/>
      <c r="H2353" s="5" t="n"/>
      <c r="I2353" s="5" t="n"/>
      <c r="J2353" s="6" t="n"/>
      <c r="K2353" s="6" t="n"/>
      <c r="L2353" s="7">
        <f>IF(OR(D2353="",N(J2353)=0),"",MIN(1,N(K2353)/J2353))</f>
        <v/>
      </c>
      <c r="M2353" s="5" t="n"/>
      <c r="N2353" s="5" t="n"/>
      <c r="O2353" s="5" t="n"/>
      <c r="P2353" s="5" t="n"/>
      <c r="Q2353" s="5" t="n"/>
      <c r="R2353" s="4" t="n"/>
      <c r="S2353" s="4" t="n"/>
      <c r="T2353" s="5" t="n"/>
      <c r="U2353" s="8">
        <f>IF(AND(V2353=1,D2353&lt;&gt;""),IF(D2353&gt;=corte,TODAY()-D2353,""),"")</f>
        <v/>
      </c>
      <c r="V2353" s="8">
        <f>IF(D2353="",0,IF(OR(AND(P2353&lt;&gt;"",S2353=""),AND(N(J2353)&gt;0,N(K2353)&lt;J2353),OR(M2353="PENDENTE",M2353="PARCIAL"),OR(N2353="PENDENTE",N2353="PARCIAL")),1,0))</f>
        <v/>
      </c>
      <c r="W2353" s="8">
        <f>IF(AND(V2353=1,D2353&lt;&gt;""),IF(D2353&gt;=corte,(B2353="CRÍTICO")*1E9+(100000-D2353)*10000+10000-ROW(),""),"")</f>
        <v/>
      </c>
      <c r="X2353" s="8">
        <f>IF(AND(V2353=1,D2353=pas_data,E2353=pas_turno),10000-ROW(),"")</f>
        <v/>
      </c>
    </row>
    <row r="2354">
      <c r="A2354" s="3">
        <f>IF(D2354="","","TT-"&amp;TEXT(ROW()-1,"00000"))</f>
        <v/>
      </c>
      <c r="B2354" s="3">
        <f>IF(D2354="","",IF(V2354=0,"CONCLUÍDO",IF(D2354&lt;corte,"HISTÓRICO",IF(OR(AND(ISNUMBER(R2354),R2354&lt;TODAY()),AND(OR(N2354="PENDENTE",N2354="PARCIAL"),D2354&lt;TODAY()-1)),"CRÍTICO",IF(OR(AND(P2354&lt;&gt;"",S2354=""),AND(N2354="REALIZADO",M2354="PENDENTE"),AND(ISNUMBER(R2354),R2354=TODAY())),"ATENÇÃO",IF(N(K2354)=0,"PENDENTE","EM ANDAMENTO"))))))</f>
        <v/>
      </c>
      <c r="C2354" s="3">
        <f>IF(D2354="","",IF(V2354=0,"🟢 OK",IF(D2354&lt;corte,"⚪ HISTÓRICO (sem baixa)",IF(AND(ISNUMBER(R2354),R2354&lt;TODAY()),"🔴 PRAZO VENCIDO",IF(AND(OR(N2354="PENDENTE",N2354="PARCIAL"),D2354&lt;TODAY()-1),"🔴 EMBARQUE ATRASADO",IF(AND(N2354="REALIZADO",M2354="PENDENTE"),"🟡 EMBARCADO SEM FATURAR",IF(AND(P2354&lt;&gt;"",S2354="",OR(Q2354="",R2354="")),"🟡 PENDÊNCIA SEM RESPONSÁVEL/PRAZO",IF(AND(ISNUMBER(R2354),R2354=TODAY()),"🟡 VENCE HOJE",IF(AND(P2354&lt;&gt;"",S2354=""),"🟡 PENDÊNCIA ABERTA",IF(AND(N(J2354)&gt;0,N(K2354)&lt;J2354),"🟡 FALTA EXECUTAR",IF(OR(M2354="PENDENTE",M2354="PARCIAL"),"🟡 FATURAMENTO PENDENTE","🟡 EMBARQUE PENDENTE")))))))))))</f>
        <v/>
      </c>
      <c r="D2354" s="4" t="n"/>
      <c r="E2354" s="5" t="n"/>
      <c r="F2354" s="5" t="n"/>
      <c r="G2354" s="5" t="n"/>
      <c r="H2354" s="5" t="n"/>
      <c r="I2354" s="5" t="n"/>
      <c r="J2354" s="6" t="n"/>
      <c r="K2354" s="6" t="n"/>
      <c r="L2354" s="7">
        <f>IF(OR(D2354="",N(J2354)=0),"",MIN(1,N(K2354)/J2354))</f>
        <v/>
      </c>
      <c r="M2354" s="5" t="n"/>
      <c r="N2354" s="5" t="n"/>
      <c r="O2354" s="5" t="n"/>
      <c r="P2354" s="5" t="n"/>
      <c r="Q2354" s="5" t="n"/>
      <c r="R2354" s="4" t="n"/>
      <c r="S2354" s="4" t="n"/>
      <c r="T2354" s="5" t="n"/>
      <c r="U2354" s="8">
        <f>IF(AND(V2354=1,D2354&lt;&gt;""),IF(D2354&gt;=corte,TODAY()-D2354,""),"")</f>
        <v/>
      </c>
      <c r="V2354" s="8">
        <f>IF(D2354="",0,IF(OR(AND(P2354&lt;&gt;"",S2354=""),AND(N(J2354)&gt;0,N(K2354)&lt;J2354),OR(M2354="PENDENTE",M2354="PARCIAL"),OR(N2354="PENDENTE",N2354="PARCIAL")),1,0))</f>
        <v/>
      </c>
      <c r="W2354" s="8">
        <f>IF(AND(V2354=1,D2354&lt;&gt;""),IF(D2354&gt;=corte,(B2354="CRÍTICO")*1E9+(100000-D2354)*10000+10000-ROW(),""),"")</f>
        <v/>
      </c>
      <c r="X2354" s="8">
        <f>IF(AND(V2354=1,D2354=pas_data,E2354=pas_turno),10000-ROW(),"")</f>
        <v/>
      </c>
    </row>
    <row r="2355">
      <c r="A2355" s="3">
        <f>IF(D2355="","","TT-"&amp;TEXT(ROW()-1,"00000"))</f>
        <v/>
      </c>
      <c r="B2355" s="3">
        <f>IF(D2355="","",IF(V2355=0,"CONCLUÍDO",IF(D2355&lt;corte,"HISTÓRICO",IF(OR(AND(ISNUMBER(R2355),R2355&lt;TODAY()),AND(OR(N2355="PENDENTE",N2355="PARCIAL"),D2355&lt;TODAY()-1)),"CRÍTICO",IF(OR(AND(P2355&lt;&gt;"",S2355=""),AND(N2355="REALIZADO",M2355="PENDENTE"),AND(ISNUMBER(R2355),R2355=TODAY())),"ATENÇÃO",IF(N(K2355)=0,"PENDENTE","EM ANDAMENTO"))))))</f>
        <v/>
      </c>
      <c r="C2355" s="3">
        <f>IF(D2355="","",IF(V2355=0,"🟢 OK",IF(D2355&lt;corte,"⚪ HISTÓRICO (sem baixa)",IF(AND(ISNUMBER(R2355),R2355&lt;TODAY()),"🔴 PRAZO VENCIDO",IF(AND(OR(N2355="PENDENTE",N2355="PARCIAL"),D2355&lt;TODAY()-1),"🔴 EMBARQUE ATRASADO",IF(AND(N2355="REALIZADO",M2355="PENDENTE"),"🟡 EMBARCADO SEM FATURAR",IF(AND(P2355&lt;&gt;"",S2355="",OR(Q2355="",R2355="")),"🟡 PENDÊNCIA SEM RESPONSÁVEL/PRAZO",IF(AND(ISNUMBER(R2355),R2355=TODAY()),"🟡 VENCE HOJE",IF(AND(P2355&lt;&gt;"",S2355=""),"🟡 PENDÊNCIA ABERTA",IF(AND(N(J2355)&gt;0,N(K2355)&lt;J2355),"🟡 FALTA EXECUTAR",IF(OR(M2355="PENDENTE",M2355="PARCIAL"),"🟡 FATURAMENTO PENDENTE","🟡 EMBARQUE PENDENTE")))))))))))</f>
        <v/>
      </c>
      <c r="D2355" s="4" t="n"/>
      <c r="E2355" s="5" t="n"/>
      <c r="F2355" s="5" t="n"/>
      <c r="G2355" s="5" t="n"/>
      <c r="H2355" s="5" t="n"/>
      <c r="I2355" s="5" t="n"/>
      <c r="J2355" s="6" t="n"/>
      <c r="K2355" s="6" t="n"/>
      <c r="L2355" s="7">
        <f>IF(OR(D2355="",N(J2355)=0),"",MIN(1,N(K2355)/J2355))</f>
        <v/>
      </c>
      <c r="M2355" s="5" t="n"/>
      <c r="N2355" s="5" t="n"/>
      <c r="O2355" s="5" t="n"/>
      <c r="P2355" s="5" t="n"/>
      <c r="Q2355" s="5" t="n"/>
      <c r="R2355" s="4" t="n"/>
      <c r="S2355" s="4" t="n"/>
      <c r="T2355" s="5" t="n"/>
      <c r="U2355" s="8">
        <f>IF(AND(V2355=1,D2355&lt;&gt;""),IF(D2355&gt;=corte,TODAY()-D2355,""),"")</f>
        <v/>
      </c>
      <c r="V2355" s="8">
        <f>IF(D2355="",0,IF(OR(AND(P2355&lt;&gt;"",S2355=""),AND(N(J2355)&gt;0,N(K2355)&lt;J2355),OR(M2355="PENDENTE",M2355="PARCIAL"),OR(N2355="PENDENTE",N2355="PARCIAL")),1,0))</f>
        <v/>
      </c>
      <c r="W2355" s="8">
        <f>IF(AND(V2355=1,D2355&lt;&gt;""),IF(D2355&gt;=corte,(B2355="CRÍTICO")*1E9+(100000-D2355)*10000+10000-ROW(),""),"")</f>
        <v/>
      </c>
      <c r="X2355" s="8">
        <f>IF(AND(V2355=1,D2355=pas_data,E2355=pas_turno),10000-ROW(),"")</f>
        <v/>
      </c>
    </row>
    <row r="2356">
      <c r="A2356" s="3">
        <f>IF(D2356="","","TT-"&amp;TEXT(ROW()-1,"00000"))</f>
        <v/>
      </c>
      <c r="B2356" s="3">
        <f>IF(D2356="","",IF(V2356=0,"CONCLUÍDO",IF(D2356&lt;corte,"HISTÓRICO",IF(OR(AND(ISNUMBER(R2356),R2356&lt;TODAY()),AND(OR(N2356="PENDENTE",N2356="PARCIAL"),D2356&lt;TODAY()-1)),"CRÍTICO",IF(OR(AND(P2356&lt;&gt;"",S2356=""),AND(N2356="REALIZADO",M2356="PENDENTE"),AND(ISNUMBER(R2356),R2356=TODAY())),"ATENÇÃO",IF(N(K2356)=0,"PENDENTE","EM ANDAMENTO"))))))</f>
        <v/>
      </c>
      <c r="C2356" s="3">
        <f>IF(D2356="","",IF(V2356=0,"🟢 OK",IF(D2356&lt;corte,"⚪ HISTÓRICO (sem baixa)",IF(AND(ISNUMBER(R2356),R2356&lt;TODAY()),"🔴 PRAZO VENCIDO",IF(AND(OR(N2356="PENDENTE",N2356="PARCIAL"),D2356&lt;TODAY()-1),"🔴 EMBARQUE ATRASADO",IF(AND(N2356="REALIZADO",M2356="PENDENTE"),"🟡 EMBARCADO SEM FATURAR",IF(AND(P2356&lt;&gt;"",S2356="",OR(Q2356="",R2356="")),"🟡 PENDÊNCIA SEM RESPONSÁVEL/PRAZO",IF(AND(ISNUMBER(R2356),R2356=TODAY()),"🟡 VENCE HOJE",IF(AND(P2356&lt;&gt;"",S2356=""),"🟡 PENDÊNCIA ABERTA",IF(AND(N(J2356)&gt;0,N(K2356)&lt;J2356),"🟡 FALTA EXECUTAR",IF(OR(M2356="PENDENTE",M2356="PARCIAL"),"🟡 FATURAMENTO PENDENTE","🟡 EMBARQUE PENDENTE")))))))))))</f>
        <v/>
      </c>
      <c r="D2356" s="4" t="n"/>
      <c r="E2356" s="5" t="n"/>
      <c r="F2356" s="5" t="n"/>
      <c r="G2356" s="5" t="n"/>
      <c r="H2356" s="5" t="n"/>
      <c r="I2356" s="5" t="n"/>
      <c r="J2356" s="6" t="n"/>
      <c r="K2356" s="6" t="n"/>
      <c r="L2356" s="7">
        <f>IF(OR(D2356="",N(J2356)=0),"",MIN(1,N(K2356)/J2356))</f>
        <v/>
      </c>
      <c r="M2356" s="5" t="n"/>
      <c r="N2356" s="5" t="n"/>
      <c r="O2356" s="5" t="n"/>
      <c r="P2356" s="5" t="n"/>
      <c r="Q2356" s="5" t="n"/>
      <c r="R2356" s="4" t="n"/>
      <c r="S2356" s="4" t="n"/>
      <c r="T2356" s="5" t="n"/>
      <c r="U2356" s="8">
        <f>IF(AND(V2356=1,D2356&lt;&gt;""),IF(D2356&gt;=corte,TODAY()-D2356,""),"")</f>
        <v/>
      </c>
      <c r="V2356" s="8">
        <f>IF(D2356="",0,IF(OR(AND(P2356&lt;&gt;"",S2356=""),AND(N(J2356)&gt;0,N(K2356)&lt;J2356),OR(M2356="PENDENTE",M2356="PARCIAL"),OR(N2356="PENDENTE",N2356="PARCIAL")),1,0))</f>
        <v/>
      </c>
      <c r="W2356" s="8">
        <f>IF(AND(V2356=1,D2356&lt;&gt;""),IF(D2356&gt;=corte,(B2356="CRÍTICO")*1E9+(100000-D2356)*10000+10000-ROW(),""),"")</f>
        <v/>
      </c>
      <c r="X2356" s="8">
        <f>IF(AND(V2356=1,D2356=pas_data,E2356=pas_turno),10000-ROW(),"")</f>
        <v/>
      </c>
    </row>
    <row r="2357">
      <c r="A2357" s="3">
        <f>IF(D2357="","","TT-"&amp;TEXT(ROW()-1,"00000"))</f>
        <v/>
      </c>
      <c r="B2357" s="3">
        <f>IF(D2357="","",IF(V2357=0,"CONCLUÍDO",IF(D2357&lt;corte,"HISTÓRICO",IF(OR(AND(ISNUMBER(R2357),R2357&lt;TODAY()),AND(OR(N2357="PENDENTE",N2357="PARCIAL"),D2357&lt;TODAY()-1)),"CRÍTICO",IF(OR(AND(P2357&lt;&gt;"",S2357=""),AND(N2357="REALIZADO",M2357="PENDENTE"),AND(ISNUMBER(R2357),R2357=TODAY())),"ATENÇÃO",IF(N(K2357)=0,"PENDENTE","EM ANDAMENTO"))))))</f>
        <v/>
      </c>
      <c r="C2357" s="3">
        <f>IF(D2357="","",IF(V2357=0,"🟢 OK",IF(D2357&lt;corte,"⚪ HISTÓRICO (sem baixa)",IF(AND(ISNUMBER(R2357),R2357&lt;TODAY()),"🔴 PRAZO VENCIDO",IF(AND(OR(N2357="PENDENTE",N2357="PARCIAL"),D2357&lt;TODAY()-1),"🔴 EMBARQUE ATRASADO",IF(AND(N2357="REALIZADO",M2357="PENDENTE"),"🟡 EMBARCADO SEM FATURAR",IF(AND(P2357&lt;&gt;"",S2357="",OR(Q2357="",R2357="")),"🟡 PENDÊNCIA SEM RESPONSÁVEL/PRAZO",IF(AND(ISNUMBER(R2357),R2357=TODAY()),"🟡 VENCE HOJE",IF(AND(P2357&lt;&gt;"",S2357=""),"🟡 PENDÊNCIA ABERTA",IF(AND(N(J2357)&gt;0,N(K2357)&lt;J2357),"🟡 FALTA EXECUTAR",IF(OR(M2357="PENDENTE",M2357="PARCIAL"),"🟡 FATURAMENTO PENDENTE","🟡 EMBARQUE PENDENTE")))))))))))</f>
        <v/>
      </c>
      <c r="D2357" s="4" t="n"/>
      <c r="E2357" s="5" t="n"/>
      <c r="F2357" s="5" t="n"/>
      <c r="G2357" s="5" t="n"/>
      <c r="H2357" s="5" t="n"/>
      <c r="I2357" s="5" t="n"/>
      <c r="J2357" s="6" t="n"/>
      <c r="K2357" s="6" t="n"/>
      <c r="L2357" s="7">
        <f>IF(OR(D2357="",N(J2357)=0),"",MIN(1,N(K2357)/J2357))</f>
        <v/>
      </c>
      <c r="M2357" s="5" t="n"/>
      <c r="N2357" s="5" t="n"/>
      <c r="O2357" s="5" t="n"/>
      <c r="P2357" s="5" t="n"/>
      <c r="Q2357" s="5" t="n"/>
      <c r="R2357" s="4" t="n"/>
      <c r="S2357" s="4" t="n"/>
      <c r="T2357" s="5" t="n"/>
      <c r="U2357" s="8">
        <f>IF(AND(V2357=1,D2357&lt;&gt;""),IF(D2357&gt;=corte,TODAY()-D2357,""),"")</f>
        <v/>
      </c>
      <c r="V2357" s="8">
        <f>IF(D2357="",0,IF(OR(AND(P2357&lt;&gt;"",S2357=""),AND(N(J2357)&gt;0,N(K2357)&lt;J2357),OR(M2357="PENDENTE",M2357="PARCIAL"),OR(N2357="PENDENTE",N2357="PARCIAL")),1,0))</f>
        <v/>
      </c>
      <c r="W2357" s="8">
        <f>IF(AND(V2357=1,D2357&lt;&gt;""),IF(D2357&gt;=corte,(B2357="CRÍTICO")*1E9+(100000-D2357)*10000+10000-ROW(),""),"")</f>
        <v/>
      </c>
      <c r="X2357" s="8">
        <f>IF(AND(V2357=1,D2357=pas_data,E2357=pas_turno),10000-ROW(),"")</f>
        <v/>
      </c>
    </row>
    <row r="2358">
      <c r="A2358" s="3">
        <f>IF(D2358="","","TT-"&amp;TEXT(ROW()-1,"00000"))</f>
        <v/>
      </c>
      <c r="B2358" s="3">
        <f>IF(D2358="","",IF(V2358=0,"CONCLUÍDO",IF(D2358&lt;corte,"HISTÓRICO",IF(OR(AND(ISNUMBER(R2358),R2358&lt;TODAY()),AND(OR(N2358="PENDENTE",N2358="PARCIAL"),D2358&lt;TODAY()-1)),"CRÍTICO",IF(OR(AND(P2358&lt;&gt;"",S2358=""),AND(N2358="REALIZADO",M2358="PENDENTE"),AND(ISNUMBER(R2358),R2358=TODAY())),"ATENÇÃO",IF(N(K2358)=0,"PENDENTE","EM ANDAMENTO"))))))</f>
        <v/>
      </c>
      <c r="C2358" s="3">
        <f>IF(D2358="","",IF(V2358=0,"🟢 OK",IF(D2358&lt;corte,"⚪ HISTÓRICO (sem baixa)",IF(AND(ISNUMBER(R2358),R2358&lt;TODAY()),"🔴 PRAZO VENCIDO",IF(AND(OR(N2358="PENDENTE",N2358="PARCIAL"),D2358&lt;TODAY()-1),"🔴 EMBARQUE ATRASADO",IF(AND(N2358="REALIZADO",M2358="PENDENTE"),"🟡 EMBARCADO SEM FATURAR",IF(AND(P2358&lt;&gt;"",S2358="",OR(Q2358="",R2358="")),"🟡 PENDÊNCIA SEM RESPONSÁVEL/PRAZO",IF(AND(ISNUMBER(R2358),R2358=TODAY()),"🟡 VENCE HOJE",IF(AND(P2358&lt;&gt;"",S2358=""),"🟡 PENDÊNCIA ABERTA",IF(AND(N(J2358)&gt;0,N(K2358)&lt;J2358),"🟡 FALTA EXECUTAR",IF(OR(M2358="PENDENTE",M2358="PARCIAL"),"🟡 FATURAMENTO PENDENTE","🟡 EMBARQUE PENDENTE")))))))))))</f>
        <v/>
      </c>
      <c r="D2358" s="4" t="n"/>
      <c r="E2358" s="5" t="n"/>
      <c r="F2358" s="5" t="n"/>
      <c r="G2358" s="5" t="n"/>
      <c r="H2358" s="5" t="n"/>
      <c r="I2358" s="5" t="n"/>
      <c r="J2358" s="6" t="n"/>
      <c r="K2358" s="6" t="n"/>
      <c r="L2358" s="7">
        <f>IF(OR(D2358="",N(J2358)=0),"",MIN(1,N(K2358)/J2358))</f>
        <v/>
      </c>
      <c r="M2358" s="5" t="n"/>
      <c r="N2358" s="5" t="n"/>
      <c r="O2358" s="5" t="n"/>
      <c r="P2358" s="5" t="n"/>
      <c r="Q2358" s="5" t="n"/>
      <c r="R2358" s="4" t="n"/>
      <c r="S2358" s="4" t="n"/>
      <c r="T2358" s="5" t="n"/>
      <c r="U2358" s="8">
        <f>IF(AND(V2358=1,D2358&lt;&gt;""),IF(D2358&gt;=corte,TODAY()-D2358,""),"")</f>
        <v/>
      </c>
      <c r="V2358" s="8">
        <f>IF(D2358="",0,IF(OR(AND(P2358&lt;&gt;"",S2358=""),AND(N(J2358)&gt;0,N(K2358)&lt;J2358),OR(M2358="PENDENTE",M2358="PARCIAL"),OR(N2358="PENDENTE",N2358="PARCIAL")),1,0))</f>
        <v/>
      </c>
      <c r="W2358" s="8">
        <f>IF(AND(V2358=1,D2358&lt;&gt;""),IF(D2358&gt;=corte,(B2358="CRÍTICO")*1E9+(100000-D2358)*10000+10000-ROW(),""),"")</f>
        <v/>
      </c>
      <c r="X2358" s="8">
        <f>IF(AND(V2358=1,D2358=pas_data,E2358=pas_turno),10000-ROW(),"")</f>
        <v/>
      </c>
    </row>
    <row r="2359">
      <c r="A2359" s="3">
        <f>IF(D2359="","","TT-"&amp;TEXT(ROW()-1,"00000"))</f>
        <v/>
      </c>
      <c r="B2359" s="3">
        <f>IF(D2359="","",IF(V2359=0,"CONCLUÍDO",IF(D2359&lt;corte,"HISTÓRICO",IF(OR(AND(ISNUMBER(R2359),R2359&lt;TODAY()),AND(OR(N2359="PENDENTE",N2359="PARCIAL"),D2359&lt;TODAY()-1)),"CRÍTICO",IF(OR(AND(P2359&lt;&gt;"",S2359=""),AND(N2359="REALIZADO",M2359="PENDENTE"),AND(ISNUMBER(R2359),R2359=TODAY())),"ATENÇÃO",IF(N(K2359)=0,"PENDENTE","EM ANDAMENTO"))))))</f>
        <v/>
      </c>
      <c r="C2359" s="3">
        <f>IF(D2359="","",IF(V2359=0,"🟢 OK",IF(D2359&lt;corte,"⚪ HISTÓRICO (sem baixa)",IF(AND(ISNUMBER(R2359),R2359&lt;TODAY()),"🔴 PRAZO VENCIDO",IF(AND(OR(N2359="PENDENTE",N2359="PARCIAL"),D2359&lt;TODAY()-1),"🔴 EMBARQUE ATRASADO",IF(AND(N2359="REALIZADO",M2359="PENDENTE"),"🟡 EMBARCADO SEM FATURAR",IF(AND(P2359&lt;&gt;"",S2359="",OR(Q2359="",R2359="")),"🟡 PENDÊNCIA SEM RESPONSÁVEL/PRAZO",IF(AND(ISNUMBER(R2359),R2359=TODAY()),"🟡 VENCE HOJE",IF(AND(P2359&lt;&gt;"",S2359=""),"🟡 PENDÊNCIA ABERTA",IF(AND(N(J2359)&gt;0,N(K2359)&lt;J2359),"🟡 FALTA EXECUTAR",IF(OR(M2359="PENDENTE",M2359="PARCIAL"),"🟡 FATURAMENTO PENDENTE","🟡 EMBARQUE PENDENTE")))))))))))</f>
        <v/>
      </c>
      <c r="D2359" s="4" t="n"/>
      <c r="E2359" s="5" t="n"/>
      <c r="F2359" s="5" t="n"/>
      <c r="G2359" s="5" t="n"/>
      <c r="H2359" s="5" t="n"/>
      <c r="I2359" s="5" t="n"/>
      <c r="J2359" s="6" t="n"/>
      <c r="K2359" s="6" t="n"/>
      <c r="L2359" s="7">
        <f>IF(OR(D2359="",N(J2359)=0),"",MIN(1,N(K2359)/J2359))</f>
        <v/>
      </c>
      <c r="M2359" s="5" t="n"/>
      <c r="N2359" s="5" t="n"/>
      <c r="O2359" s="5" t="n"/>
      <c r="P2359" s="5" t="n"/>
      <c r="Q2359" s="5" t="n"/>
      <c r="R2359" s="4" t="n"/>
      <c r="S2359" s="4" t="n"/>
      <c r="T2359" s="5" t="n"/>
      <c r="U2359" s="8">
        <f>IF(AND(V2359=1,D2359&lt;&gt;""),IF(D2359&gt;=corte,TODAY()-D2359,""),"")</f>
        <v/>
      </c>
      <c r="V2359" s="8">
        <f>IF(D2359="",0,IF(OR(AND(P2359&lt;&gt;"",S2359=""),AND(N(J2359)&gt;0,N(K2359)&lt;J2359),OR(M2359="PENDENTE",M2359="PARCIAL"),OR(N2359="PENDENTE",N2359="PARCIAL")),1,0))</f>
        <v/>
      </c>
      <c r="W2359" s="8">
        <f>IF(AND(V2359=1,D2359&lt;&gt;""),IF(D2359&gt;=corte,(B2359="CRÍTICO")*1E9+(100000-D2359)*10000+10000-ROW(),""),"")</f>
        <v/>
      </c>
      <c r="X2359" s="8">
        <f>IF(AND(V2359=1,D2359=pas_data,E2359=pas_turno),10000-ROW(),"")</f>
        <v/>
      </c>
    </row>
    <row r="2360">
      <c r="A2360" s="3">
        <f>IF(D2360="","","TT-"&amp;TEXT(ROW()-1,"00000"))</f>
        <v/>
      </c>
      <c r="B2360" s="3">
        <f>IF(D2360="","",IF(V2360=0,"CONCLUÍDO",IF(D2360&lt;corte,"HISTÓRICO",IF(OR(AND(ISNUMBER(R2360),R2360&lt;TODAY()),AND(OR(N2360="PENDENTE",N2360="PARCIAL"),D2360&lt;TODAY()-1)),"CRÍTICO",IF(OR(AND(P2360&lt;&gt;"",S2360=""),AND(N2360="REALIZADO",M2360="PENDENTE"),AND(ISNUMBER(R2360),R2360=TODAY())),"ATENÇÃO",IF(N(K2360)=0,"PENDENTE","EM ANDAMENTO"))))))</f>
        <v/>
      </c>
      <c r="C2360" s="3">
        <f>IF(D2360="","",IF(V2360=0,"🟢 OK",IF(D2360&lt;corte,"⚪ HISTÓRICO (sem baixa)",IF(AND(ISNUMBER(R2360),R2360&lt;TODAY()),"🔴 PRAZO VENCIDO",IF(AND(OR(N2360="PENDENTE",N2360="PARCIAL"),D2360&lt;TODAY()-1),"🔴 EMBARQUE ATRASADO",IF(AND(N2360="REALIZADO",M2360="PENDENTE"),"🟡 EMBARCADO SEM FATURAR",IF(AND(P2360&lt;&gt;"",S2360="",OR(Q2360="",R2360="")),"🟡 PENDÊNCIA SEM RESPONSÁVEL/PRAZO",IF(AND(ISNUMBER(R2360),R2360=TODAY()),"🟡 VENCE HOJE",IF(AND(P2360&lt;&gt;"",S2360=""),"🟡 PENDÊNCIA ABERTA",IF(AND(N(J2360)&gt;0,N(K2360)&lt;J2360),"🟡 FALTA EXECUTAR",IF(OR(M2360="PENDENTE",M2360="PARCIAL"),"🟡 FATURAMENTO PENDENTE","🟡 EMBARQUE PENDENTE")))))))))))</f>
        <v/>
      </c>
      <c r="D2360" s="4" t="n"/>
      <c r="E2360" s="5" t="n"/>
      <c r="F2360" s="5" t="n"/>
      <c r="G2360" s="5" t="n"/>
      <c r="H2360" s="5" t="n"/>
      <c r="I2360" s="5" t="n"/>
      <c r="J2360" s="6" t="n"/>
      <c r="K2360" s="6" t="n"/>
      <c r="L2360" s="7">
        <f>IF(OR(D2360="",N(J2360)=0),"",MIN(1,N(K2360)/J2360))</f>
        <v/>
      </c>
      <c r="M2360" s="5" t="n"/>
      <c r="N2360" s="5" t="n"/>
      <c r="O2360" s="5" t="n"/>
      <c r="P2360" s="5" t="n"/>
      <c r="Q2360" s="5" t="n"/>
      <c r="R2360" s="4" t="n"/>
      <c r="S2360" s="4" t="n"/>
      <c r="T2360" s="5" t="n"/>
      <c r="U2360" s="8">
        <f>IF(AND(V2360=1,D2360&lt;&gt;""),IF(D2360&gt;=corte,TODAY()-D2360,""),"")</f>
        <v/>
      </c>
      <c r="V2360" s="8">
        <f>IF(D2360="",0,IF(OR(AND(P2360&lt;&gt;"",S2360=""),AND(N(J2360)&gt;0,N(K2360)&lt;J2360),OR(M2360="PENDENTE",M2360="PARCIAL"),OR(N2360="PENDENTE",N2360="PARCIAL")),1,0))</f>
        <v/>
      </c>
      <c r="W2360" s="8">
        <f>IF(AND(V2360=1,D2360&lt;&gt;""),IF(D2360&gt;=corte,(B2360="CRÍTICO")*1E9+(100000-D2360)*10000+10000-ROW(),""),"")</f>
        <v/>
      </c>
      <c r="X2360" s="8">
        <f>IF(AND(V2360=1,D2360=pas_data,E2360=pas_turno),10000-ROW(),"")</f>
        <v/>
      </c>
    </row>
    <row r="2361">
      <c r="A2361" s="3">
        <f>IF(D2361="","","TT-"&amp;TEXT(ROW()-1,"00000"))</f>
        <v/>
      </c>
      <c r="B2361" s="3">
        <f>IF(D2361="","",IF(V2361=0,"CONCLUÍDO",IF(D2361&lt;corte,"HISTÓRICO",IF(OR(AND(ISNUMBER(R2361),R2361&lt;TODAY()),AND(OR(N2361="PENDENTE",N2361="PARCIAL"),D2361&lt;TODAY()-1)),"CRÍTICO",IF(OR(AND(P2361&lt;&gt;"",S2361=""),AND(N2361="REALIZADO",M2361="PENDENTE"),AND(ISNUMBER(R2361),R2361=TODAY())),"ATENÇÃO",IF(N(K2361)=0,"PENDENTE","EM ANDAMENTO"))))))</f>
        <v/>
      </c>
      <c r="C2361" s="3">
        <f>IF(D2361="","",IF(V2361=0,"🟢 OK",IF(D2361&lt;corte,"⚪ HISTÓRICO (sem baixa)",IF(AND(ISNUMBER(R2361),R2361&lt;TODAY()),"🔴 PRAZO VENCIDO",IF(AND(OR(N2361="PENDENTE",N2361="PARCIAL"),D2361&lt;TODAY()-1),"🔴 EMBARQUE ATRASADO",IF(AND(N2361="REALIZADO",M2361="PENDENTE"),"🟡 EMBARCADO SEM FATURAR",IF(AND(P2361&lt;&gt;"",S2361="",OR(Q2361="",R2361="")),"🟡 PENDÊNCIA SEM RESPONSÁVEL/PRAZO",IF(AND(ISNUMBER(R2361),R2361=TODAY()),"🟡 VENCE HOJE",IF(AND(P2361&lt;&gt;"",S2361=""),"🟡 PENDÊNCIA ABERTA",IF(AND(N(J2361)&gt;0,N(K2361)&lt;J2361),"🟡 FALTA EXECUTAR",IF(OR(M2361="PENDENTE",M2361="PARCIAL"),"🟡 FATURAMENTO PENDENTE","🟡 EMBARQUE PENDENTE")))))))))))</f>
        <v/>
      </c>
      <c r="D2361" s="4" t="n"/>
      <c r="E2361" s="5" t="n"/>
      <c r="F2361" s="5" t="n"/>
      <c r="G2361" s="5" t="n"/>
      <c r="H2361" s="5" t="n"/>
      <c r="I2361" s="5" t="n"/>
      <c r="J2361" s="6" t="n"/>
      <c r="K2361" s="6" t="n"/>
      <c r="L2361" s="7">
        <f>IF(OR(D2361="",N(J2361)=0),"",MIN(1,N(K2361)/J2361))</f>
        <v/>
      </c>
      <c r="M2361" s="5" t="n"/>
      <c r="N2361" s="5" t="n"/>
      <c r="O2361" s="5" t="n"/>
      <c r="P2361" s="5" t="n"/>
      <c r="Q2361" s="5" t="n"/>
      <c r="R2361" s="4" t="n"/>
      <c r="S2361" s="4" t="n"/>
      <c r="T2361" s="5" t="n"/>
      <c r="U2361" s="8">
        <f>IF(AND(V2361=1,D2361&lt;&gt;""),IF(D2361&gt;=corte,TODAY()-D2361,""),"")</f>
        <v/>
      </c>
      <c r="V2361" s="8">
        <f>IF(D2361="",0,IF(OR(AND(P2361&lt;&gt;"",S2361=""),AND(N(J2361)&gt;0,N(K2361)&lt;J2361),OR(M2361="PENDENTE",M2361="PARCIAL"),OR(N2361="PENDENTE",N2361="PARCIAL")),1,0))</f>
        <v/>
      </c>
      <c r="W2361" s="8">
        <f>IF(AND(V2361=1,D2361&lt;&gt;""),IF(D2361&gt;=corte,(B2361="CRÍTICO")*1E9+(100000-D2361)*10000+10000-ROW(),""),"")</f>
        <v/>
      </c>
      <c r="X2361" s="8">
        <f>IF(AND(V2361=1,D2361=pas_data,E2361=pas_turno),10000-ROW(),"")</f>
        <v/>
      </c>
    </row>
    <row r="2362">
      <c r="A2362" s="3">
        <f>IF(D2362="","","TT-"&amp;TEXT(ROW()-1,"00000"))</f>
        <v/>
      </c>
      <c r="B2362" s="3">
        <f>IF(D2362="","",IF(V2362=0,"CONCLUÍDO",IF(D2362&lt;corte,"HISTÓRICO",IF(OR(AND(ISNUMBER(R2362),R2362&lt;TODAY()),AND(OR(N2362="PENDENTE",N2362="PARCIAL"),D2362&lt;TODAY()-1)),"CRÍTICO",IF(OR(AND(P2362&lt;&gt;"",S2362=""),AND(N2362="REALIZADO",M2362="PENDENTE"),AND(ISNUMBER(R2362),R2362=TODAY())),"ATENÇÃO",IF(N(K2362)=0,"PENDENTE","EM ANDAMENTO"))))))</f>
        <v/>
      </c>
      <c r="C2362" s="3">
        <f>IF(D2362="","",IF(V2362=0,"🟢 OK",IF(D2362&lt;corte,"⚪ HISTÓRICO (sem baixa)",IF(AND(ISNUMBER(R2362),R2362&lt;TODAY()),"🔴 PRAZO VENCIDO",IF(AND(OR(N2362="PENDENTE",N2362="PARCIAL"),D2362&lt;TODAY()-1),"🔴 EMBARQUE ATRASADO",IF(AND(N2362="REALIZADO",M2362="PENDENTE"),"🟡 EMBARCADO SEM FATURAR",IF(AND(P2362&lt;&gt;"",S2362="",OR(Q2362="",R2362="")),"🟡 PENDÊNCIA SEM RESPONSÁVEL/PRAZO",IF(AND(ISNUMBER(R2362),R2362=TODAY()),"🟡 VENCE HOJE",IF(AND(P2362&lt;&gt;"",S2362=""),"🟡 PENDÊNCIA ABERTA",IF(AND(N(J2362)&gt;0,N(K2362)&lt;J2362),"🟡 FALTA EXECUTAR",IF(OR(M2362="PENDENTE",M2362="PARCIAL"),"🟡 FATURAMENTO PENDENTE","🟡 EMBARQUE PENDENTE")))))))))))</f>
        <v/>
      </c>
      <c r="D2362" s="4" t="n"/>
      <c r="E2362" s="5" t="n"/>
      <c r="F2362" s="5" t="n"/>
      <c r="G2362" s="5" t="n"/>
      <c r="H2362" s="5" t="n"/>
      <c r="I2362" s="5" t="n"/>
      <c r="J2362" s="6" t="n"/>
      <c r="K2362" s="6" t="n"/>
      <c r="L2362" s="7">
        <f>IF(OR(D2362="",N(J2362)=0),"",MIN(1,N(K2362)/J2362))</f>
        <v/>
      </c>
      <c r="M2362" s="5" t="n"/>
      <c r="N2362" s="5" t="n"/>
      <c r="O2362" s="5" t="n"/>
      <c r="P2362" s="5" t="n"/>
      <c r="Q2362" s="5" t="n"/>
      <c r="R2362" s="4" t="n"/>
      <c r="S2362" s="4" t="n"/>
      <c r="T2362" s="5" t="n"/>
      <c r="U2362" s="8">
        <f>IF(AND(V2362=1,D2362&lt;&gt;""),IF(D2362&gt;=corte,TODAY()-D2362,""),"")</f>
        <v/>
      </c>
      <c r="V2362" s="8">
        <f>IF(D2362="",0,IF(OR(AND(P2362&lt;&gt;"",S2362=""),AND(N(J2362)&gt;0,N(K2362)&lt;J2362),OR(M2362="PENDENTE",M2362="PARCIAL"),OR(N2362="PENDENTE",N2362="PARCIAL")),1,0))</f>
        <v/>
      </c>
      <c r="W2362" s="8">
        <f>IF(AND(V2362=1,D2362&lt;&gt;""),IF(D2362&gt;=corte,(B2362="CRÍTICO")*1E9+(100000-D2362)*10000+10000-ROW(),""),"")</f>
        <v/>
      </c>
      <c r="X2362" s="8">
        <f>IF(AND(V2362=1,D2362=pas_data,E2362=pas_turno),10000-ROW(),"")</f>
        <v/>
      </c>
    </row>
    <row r="2363">
      <c r="A2363" s="3">
        <f>IF(D2363="","","TT-"&amp;TEXT(ROW()-1,"00000"))</f>
        <v/>
      </c>
      <c r="B2363" s="3">
        <f>IF(D2363="","",IF(V2363=0,"CONCLUÍDO",IF(D2363&lt;corte,"HISTÓRICO",IF(OR(AND(ISNUMBER(R2363),R2363&lt;TODAY()),AND(OR(N2363="PENDENTE",N2363="PARCIAL"),D2363&lt;TODAY()-1)),"CRÍTICO",IF(OR(AND(P2363&lt;&gt;"",S2363=""),AND(N2363="REALIZADO",M2363="PENDENTE"),AND(ISNUMBER(R2363),R2363=TODAY())),"ATENÇÃO",IF(N(K2363)=0,"PENDENTE","EM ANDAMENTO"))))))</f>
        <v/>
      </c>
      <c r="C2363" s="3">
        <f>IF(D2363="","",IF(V2363=0,"🟢 OK",IF(D2363&lt;corte,"⚪ HISTÓRICO (sem baixa)",IF(AND(ISNUMBER(R2363),R2363&lt;TODAY()),"🔴 PRAZO VENCIDO",IF(AND(OR(N2363="PENDENTE",N2363="PARCIAL"),D2363&lt;TODAY()-1),"🔴 EMBARQUE ATRASADO",IF(AND(N2363="REALIZADO",M2363="PENDENTE"),"🟡 EMBARCADO SEM FATURAR",IF(AND(P2363&lt;&gt;"",S2363="",OR(Q2363="",R2363="")),"🟡 PENDÊNCIA SEM RESPONSÁVEL/PRAZO",IF(AND(ISNUMBER(R2363),R2363=TODAY()),"🟡 VENCE HOJE",IF(AND(P2363&lt;&gt;"",S2363=""),"🟡 PENDÊNCIA ABERTA",IF(AND(N(J2363)&gt;0,N(K2363)&lt;J2363),"🟡 FALTA EXECUTAR",IF(OR(M2363="PENDENTE",M2363="PARCIAL"),"🟡 FATURAMENTO PENDENTE","🟡 EMBARQUE PENDENTE")))))))))))</f>
        <v/>
      </c>
      <c r="D2363" s="4" t="n"/>
      <c r="E2363" s="5" t="n"/>
      <c r="F2363" s="5" t="n"/>
      <c r="G2363" s="5" t="n"/>
      <c r="H2363" s="5" t="n"/>
      <c r="I2363" s="5" t="n"/>
      <c r="J2363" s="6" t="n"/>
      <c r="K2363" s="6" t="n"/>
      <c r="L2363" s="7">
        <f>IF(OR(D2363="",N(J2363)=0),"",MIN(1,N(K2363)/J2363))</f>
        <v/>
      </c>
      <c r="M2363" s="5" t="n"/>
      <c r="N2363" s="5" t="n"/>
      <c r="O2363" s="5" t="n"/>
      <c r="P2363" s="5" t="n"/>
      <c r="Q2363" s="5" t="n"/>
      <c r="R2363" s="4" t="n"/>
      <c r="S2363" s="4" t="n"/>
      <c r="T2363" s="5" t="n"/>
      <c r="U2363" s="8">
        <f>IF(AND(V2363=1,D2363&lt;&gt;""),IF(D2363&gt;=corte,TODAY()-D2363,""),"")</f>
        <v/>
      </c>
      <c r="V2363" s="8">
        <f>IF(D2363="",0,IF(OR(AND(P2363&lt;&gt;"",S2363=""),AND(N(J2363)&gt;0,N(K2363)&lt;J2363),OR(M2363="PENDENTE",M2363="PARCIAL"),OR(N2363="PENDENTE",N2363="PARCIAL")),1,0))</f>
        <v/>
      </c>
      <c r="W2363" s="8">
        <f>IF(AND(V2363=1,D2363&lt;&gt;""),IF(D2363&gt;=corte,(B2363="CRÍTICO")*1E9+(100000-D2363)*10000+10000-ROW(),""),"")</f>
        <v/>
      </c>
      <c r="X2363" s="8">
        <f>IF(AND(V2363=1,D2363=pas_data,E2363=pas_turno),10000-ROW(),"")</f>
        <v/>
      </c>
    </row>
    <row r="2364">
      <c r="A2364" s="3">
        <f>IF(D2364="","","TT-"&amp;TEXT(ROW()-1,"00000"))</f>
        <v/>
      </c>
      <c r="B2364" s="3">
        <f>IF(D2364="","",IF(V2364=0,"CONCLUÍDO",IF(D2364&lt;corte,"HISTÓRICO",IF(OR(AND(ISNUMBER(R2364),R2364&lt;TODAY()),AND(OR(N2364="PENDENTE",N2364="PARCIAL"),D2364&lt;TODAY()-1)),"CRÍTICO",IF(OR(AND(P2364&lt;&gt;"",S2364=""),AND(N2364="REALIZADO",M2364="PENDENTE"),AND(ISNUMBER(R2364),R2364=TODAY())),"ATENÇÃO",IF(N(K2364)=0,"PENDENTE","EM ANDAMENTO"))))))</f>
        <v/>
      </c>
      <c r="C2364" s="3">
        <f>IF(D2364="","",IF(V2364=0,"🟢 OK",IF(D2364&lt;corte,"⚪ HISTÓRICO (sem baixa)",IF(AND(ISNUMBER(R2364),R2364&lt;TODAY()),"🔴 PRAZO VENCIDO",IF(AND(OR(N2364="PENDENTE",N2364="PARCIAL"),D2364&lt;TODAY()-1),"🔴 EMBARQUE ATRASADO",IF(AND(N2364="REALIZADO",M2364="PENDENTE"),"🟡 EMBARCADO SEM FATURAR",IF(AND(P2364&lt;&gt;"",S2364="",OR(Q2364="",R2364="")),"🟡 PENDÊNCIA SEM RESPONSÁVEL/PRAZO",IF(AND(ISNUMBER(R2364),R2364=TODAY()),"🟡 VENCE HOJE",IF(AND(P2364&lt;&gt;"",S2364=""),"🟡 PENDÊNCIA ABERTA",IF(AND(N(J2364)&gt;0,N(K2364)&lt;J2364),"🟡 FALTA EXECUTAR",IF(OR(M2364="PENDENTE",M2364="PARCIAL"),"🟡 FATURAMENTO PENDENTE","🟡 EMBARQUE PENDENTE")))))))))))</f>
        <v/>
      </c>
      <c r="D2364" s="4" t="n"/>
      <c r="E2364" s="5" t="n"/>
      <c r="F2364" s="5" t="n"/>
      <c r="G2364" s="5" t="n"/>
      <c r="H2364" s="5" t="n"/>
      <c r="I2364" s="5" t="n"/>
      <c r="J2364" s="6" t="n"/>
      <c r="K2364" s="6" t="n"/>
      <c r="L2364" s="7">
        <f>IF(OR(D2364="",N(J2364)=0),"",MIN(1,N(K2364)/J2364))</f>
        <v/>
      </c>
      <c r="M2364" s="5" t="n"/>
      <c r="N2364" s="5" t="n"/>
      <c r="O2364" s="5" t="n"/>
      <c r="P2364" s="5" t="n"/>
      <c r="Q2364" s="5" t="n"/>
      <c r="R2364" s="4" t="n"/>
      <c r="S2364" s="4" t="n"/>
      <c r="T2364" s="5" t="n"/>
      <c r="U2364" s="8">
        <f>IF(AND(V2364=1,D2364&lt;&gt;""),IF(D2364&gt;=corte,TODAY()-D2364,""),"")</f>
        <v/>
      </c>
      <c r="V2364" s="8">
        <f>IF(D2364="",0,IF(OR(AND(P2364&lt;&gt;"",S2364=""),AND(N(J2364)&gt;0,N(K2364)&lt;J2364),OR(M2364="PENDENTE",M2364="PARCIAL"),OR(N2364="PENDENTE",N2364="PARCIAL")),1,0))</f>
        <v/>
      </c>
      <c r="W2364" s="8">
        <f>IF(AND(V2364=1,D2364&lt;&gt;""),IF(D2364&gt;=corte,(B2364="CRÍTICO")*1E9+(100000-D2364)*10000+10000-ROW(),""),"")</f>
        <v/>
      </c>
      <c r="X2364" s="8">
        <f>IF(AND(V2364=1,D2364=pas_data,E2364=pas_turno),10000-ROW(),"")</f>
        <v/>
      </c>
    </row>
    <row r="2365">
      <c r="A2365" s="3">
        <f>IF(D2365="","","TT-"&amp;TEXT(ROW()-1,"00000"))</f>
        <v/>
      </c>
      <c r="B2365" s="3">
        <f>IF(D2365="","",IF(V2365=0,"CONCLUÍDO",IF(D2365&lt;corte,"HISTÓRICO",IF(OR(AND(ISNUMBER(R2365),R2365&lt;TODAY()),AND(OR(N2365="PENDENTE",N2365="PARCIAL"),D2365&lt;TODAY()-1)),"CRÍTICO",IF(OR(AND(P2365&lt;&gt;"",S2365=""),AND(N2365="REALIZADO",M2365="PENDENTE"),AND(ISNUMBER(R2365),R2365=TODAY())),"ATENÇÃO",IF(N(K2365)=0,"PENDENTE","EM ANDAMENTO"))))))</f>
        <v/>
      </c>
      <c r="C2365" s="3">
        <f>IF(D2365="","",IF(V2365=0,"🟢 OK",IF(D2365&lt;corte,"⚪ HISTÓRICO (sem baixa)",IF(AND(ISNUMBER(R2365),R2365&lt;TODAY()),"🔴 PRAZO VENCIDO",IF(AND(OR(N2365="PENDENTE",N2365="PARCIAL"),D2365&lt;TODAY()-1),"🔴 EMBARQUE ATRASADO",IF(AND(N2365="REALIZADO",M2365="PENDENTE"),"🟡 EMBARCADO SEM FATURAR",IF(AND(P2365&lt;&gt;"",S2365="",OR(Q2365="",R2365="")),"🟡 PENDÊNCIA SEM RESPONSÁVEL/PRAZO",IF(AND(ISNUMBER(R2365),R2365=TODAY()),"🟡 VENCE HOJE",IF(AND(P2365&lt;&gt;"",S2365=""),"🟡 PENDÊNCIA ABERTA",IF(AND(N(J2365)&gt;0,N(K2365)&lt;J2365),"🟡 FALTA EXECUTAR",IF(OR(M2365="PENDENTE",M2365="PARCIAL"),"🟡 FATURAMENTO PENDENTE","🟡 EMBARQUE PENDENTE")))))))))))</f>
        <v/>
      </c>
      <c r="D2365" s="4" t="n"/>
      <c r="E2365" s="5" t="n"/>
      <c r="F2365" s="5" t="n"/>
      <c r="G2365" s="5" t="n"/>
      <c r="H2365" s="5" t="n"/>
      <c r="I2365" s="5" t="n"/>
      <c r="J2365" s="6" t="n"/>
      <c r="K2365" s="6" t="n"/>
      <c r="L2365" s="7">
        <f>IF(OR(D2365="",N(J2365)=0),"",MIN(1,N(K2365)/J2365))</f>
        <v/>
      </c>
      <c r="M2365" s="5" t="n"/>
      <c r="N2365" s="5" t="n"/>
      <c r="O2365" s="5" t="n"/>
      <c r="P2365" s="5" t="n"/>
      <c r="Q2365" s="5" t="n"/>
      <c r="R2365" s="4" t="n"/>
      <c r="S2365" s="4" t="n"/>
      <c r="T2365" s="5" t="n"/>
      <c r="U2365" s="8">
        <f>IF(AND(V2365=1,D2365&lt;&gt;""),IF(D2365&gt;=corte,TODAY()-D2365,""),"")</f>
        <v/>
      </c>
      <c r="V2365" s="8">
        <f>IF(D2365="",0,IF(OR(AND(P2365&lt;&gt;"",S2365=""),AND(N(J2365)&gt;0,N(K2365)&lt;J2365),OR(M2365="PENDENTE",M2365="PARCIAL"),OR(N2365="PENDENTE",N2365="PARCIAL")),1,0))</f>
        <v/>
      </c>
      <c r="W2365" s="8">
        <f>IF(AND(V2365=1,D2365&lt;&gt;""),IF(D2365&gt;=corte,(B2365="CRÍTICO")*1E9+(100000-D2365)*10000+10000-ROW(),""),"")</f>
        <v/>
      </c>
      <c r="X2365" s="8">
        <f>IF(AND(V2365=1,D2365=pas_data,E2365=pas_turno),10000-ROW(),"")</f>
        <v/>
      </c>
    </row>
    <row r="2366">
      <c r="A2366" s="3">
        <f>IF(D2366="","","TT-"&amp;TEXT(ROW()-1,"00000"))</f>
        <v/>
      </c>
      <c r="B2366" s="3">
        <f>IF(D2366="","",IF(V2366=0,"CONCLUÍDO",IF(D2366&lt;corte,"HISTÓRICO",IF(OR(AND(ISNUMBER(R2366),R2366&lt;TODAY()),AND(OR(N2366="PENDENTE",N2366="PARCIAL"),D2366&lt;TODAY()-1)),"CRÍTICO",IF(OR(AND(P2366&lt;&gt;"",S2366=""),AND(N2366="REALIZADO",M2366="PENDENTE"),AND(ISNUMBER(R2366),R2366=TODAY())),"ATENÇÃO",IF(N(K2366)=0,"PENDENTE","EM ANDAMENTO"))))))</f>
        <v/>
      </c>
      <c r="C2366" s="3">
        <f>IF(D2366="","",IF(V2366=0,"🟢 OK",IF(D2366&lt;corte,"⚪ HISTÓRICO (sem baixa)",IF(AND(ISNUMBER(R2366),R2366&lt;TODAY()),"🔴 PRAZO VENCIDO",IF(AND(OR(N2366="PENDENTE",N2366="PARCIAL"),D2366&lt;TODAY()-1),"🔴 EMBARQUE ATRASADO",IF(AND(N2366="REALIZADO",M2366="PENDENTE"),"🟡 EMBARCADO SEM FATURAR",IF(AND(P2366&lt;&gt;"",S2366="",OR(Q2366="",R2366="")),"🟡 PENDÊNCIA SEM RESPONSÁVEL/PRAZO",IF(AND(ISNUMBER(R2366),R2366=TODAY()),"🟡 VENCE HOJE",IF(AND(P2366&lt;&gt;"",S2366=""),"🟡 PENDÊNCIA ABERTA",IF(AND(N(J2366)&gt;0,N(K2366)&lt;J2366),"🟡 FALTA EXECUTAR",IF(OR(M2366="PENDENTE",M2366="PARCIAL"),"🟡 FATURAMENTO PENDENTE","🟡 EMBARQUE PENDENTE")))))))))))</f>
        <v/>
      </c>
      <c r="D2366" s="4" t="n"/>
      <c r="E2366" s="5" t="n"/>
      <c r="F2366" s="5" t="n"/>
      <c r="G2366" s="5" t="n"/>
      <c r="H2366" s="5" t="n"/>
      <c r="I2366" s="5" t="n"/>
      <c r="J2366" s="6" t="n"/>
      <c r="K2366" s="6" t="n"/>
      <c r="L2366" s="7">
        <f>IF(OR(D2366="",N(J2366)=0),"",MIN(1,N(K2366)/J2366))</f>
        <v/>
      </c>
      <c r="M2366" s="5" t="n"/>
      <c r="N2366" s="5" t="n"/>
      <c r="O2366" s="5" t="n"/>
      <c r="P2366" s="5" t="n"/>
      <c r="Q2366" s="5" t="n"/>
      <c r="R2366" s="4" t="n"/>
      <c r="S2366" s="4" t="n"/>
      <c r="T2366" s="5" t="n"/>
      <c r="U2366" s="8">
        <f>IF(AND(V2366=1,D2366&lt;&gt;""),IF(D2366&gt;=corte,TODAY()-D2366,""),"")</f>
        <v/>
      </c>
      <c r="V2366" s="8">
        <f>IF(D2366="",0,IF(OR(AND(P2366&lt;&gt;"",S2366=""),AND(N(J2366)&gt;0,N(K2366)&lt;J2366),OR(M2366="PENDENTE",M2366="PARCIAL"),OR(N2366="PENDENTE",N2366="PARCIAL")),1,0))</f>
        <v/>
      </c>
      <c r="W2366" s="8">
        <f>IF(AND(V2366=1,D2366&lt;&gt;""),IF(D2366&gt;=corte,(B2366="CRÍTICO")*1E9+(100000-D2366)*10000+10000-ROW(),""),"")</f>
        <v/>
      </c>
      <c r="X2366" s="8">
        <f>IF(AND(V2366=1,D2366=pas_data,E2366=pas_turno),10000-ROW(),"")</f>
        <v/>
      </c>
    </row>
    <row r="2367">
      <c r="A2367" s="3">
        <f>IF(D2367="","","TT-"&amp;TEXT(ROW()-1,"00000"))</f>
        <v/>
      </c>
      <c r="B2367" s="3">
        <f>IF(D2367="","",IF(V2367=0,"CONCLUÍDO",IF(D2367&lt;corte,"HISTÓRICO",IF(OR(AND(ISNUMBER(R2367),R2367&lt;TODAY()),AND(OR(N2367="PENDENTE",N2367="PARCIAL"),D2367&lt;TODAY()-1)),"CRÍTICO",IF(OR(AND(P2367&lt;&gt;"",S2367=""),AND(N2367="REALIZADO",M2367="PENDENTE"),AND(ISNUMBER(R2367),R2367=TODAY())),"ATENÇÃO",IF(N(K2367)=0,"PENDENTE","EM ANDAMENTO"))))))</f>
        <v/>
      </c>
      <c r="C2367" s="3">
        <f>IF(D2367="","",IF(V2367=0,"🟢 OK",IF(D2367&lt;corte,"⚪ HISTÓRICO (sem baixa)",IF(AND(ISNUMBER(R2367),R2367&lt;TODAY()),"🔴 PRAZO VENCIDO",IF(AND(OR(N2367="PENDENTE",N2367="PARCIAL"),D2367&lt;TODAY()-1),"🔴 EMBARQUE ATRASADO",IF(AND(N2367="REALIZADO",M2367="PENDENTE"),"🟡 EMBARCADO SEM FATURAR",IF(AND(P2367&lt;&gt;"",S2367="",OR(Q2367="",R2367="")),"🟡 PENDÊNCIA SEM RESPONSÁVEL/PRAZO",IF(AND(ISNUMBER(R2367),R2367=TODAY()),"🟡 VENCE HOJE",IF(AND(P2367&lt;&gt;"",S2367=""),"🟡 PENDÊNCIA ABERTA",IF(AND(N(J2367)&gt;0,N(K2367)&lt;J2367),"🟡 FALTA EXECUTAR",IF(OR(M2367="PENDENTE",M2367="PARCIAL"),"🟡 FATURAMENTO PENDENTE","🟡 EMBARQUE PENDENTE")))))))))))</f>
        <v/>
      </c>
      <c r="D2367" s="4" t="n"/>
      <c r="E2367" s="5" t="n"/>
      <c r="F2367" s="5" t="n"/>
      <c r="G2367" s="5" t="n"/>
      <c r="H2367" s="5" t="n"/>
      <c r="I2367" s="5" t="n"/>
      <c r="J2367" s="6" t="n"/>
      <c r="K2367" s="6" t="n"/>
      <c r="L2367" s="7">
        <f>IF(OR(D2367="",N(J2367)=0),"",MIN(1,N(K2367)/J2367))</f>
        <v/>
      </c>
      <c r="M2367" s="5" t="n"/>
      <c r="N2367" s="5" t="n"/>
      <c r="O2367" s="5" t="n"/>
      <c r="P2367" s="5" t="n"/>
      <c r="Q2367" s="5" t="n"/>
      <c r="R2367" s="4" t="n"/>
      <c r="S2367" s="4" t="n"/>
      <c r="T2367" s="5" t="n"/>
      <c r="U2367" s="8">
        <f>IF(AND(V2367=1,D2367&lt;&gt;""),IF(D2367&gt;=corte,TODAY()-D2367,""),"")</f>
        <v/>
      </c>
      <c r="V2367" s="8">
        <f>IF(D2367="",0,IF(OR(AND(P2367&lt;&gt;"",S2367=""),AND(N(J2367)&gt;0,N(K2367)&lt;J2367),OR(M2367="PENDENTE",M2367="PARCIAL"),OR(N2367="PENDENTE",N2367="PARCIAL")),1,0))</f>
        <v/>
      </c>
      <c r="W2367" s="8">
        <f>IF(AND(V2367=1,D2367&lt;&gt;""),IF(D2367&gt;=corte,(B2367="CRÍTICO")*1E9+(100000-D2367)*10000+10000-ROW(),""),"")</f>
        <v/>
      </c>
      <c r="X2367" s="8">
        <f>IF(AND(V2367=1,D2367=pas_data,E2367=pas_turno),10000-ROW(),"")</f>
        <v/>
      </c>
    </row>
    <row r="2368">
      <c r="A2368" s="3">
        <f>IF(D2368="","","TT-"&amp;TEXT(ROW()-1,"00000"))</f>
        <v/>
      </c>
      <c r="B2368" s="3">
        <f>IF(D2368="","",IF(V2368=0,"CONCLUÍDO",IF(D2368&lt;corte,"HISTÓRICO",IF(OR(AND(ISNUMBER(R2368),R2368&lt;TODAY()),AND(OR(N2368="PENDENTE",N2368="PARCIAL"),D2368&lt;TODAY()-1)),"CRÍTICO",IF(OR(AND(P2368&lt;&gt;"",S2368=""),AND(N2368="REALIZADO",M2368="PENDENTE"),AND(ISNUMBER(R2368),R2368=TODAY())),"ATENÇÃO",IF(N(K2368)=0,"PENDENTE","EM ANDAMENTO"))))))</f>
        <v/>
      </c>
      <c r="C2368" s="3">
        <f>IF(D2368="","",IF(V2368=0,"🟢 OK",IF(D2368&lt;corte,"⚪ HISTÓRICO (sem baixa)",IF(AND(ISNUMBER(R2368),R2368&lt;TODAY()),"🔴 PRAZO VENCIDO",IF(AND(OR(N2368="PENDENTE",N2368="PARCIAL"),D2368&lt;TODAY()-1),"🔴 EMBARQUE ATRASADO",IF(AND(N2368="REALIZADO",M2368="PENDENTE"),"🟡 EMBARCADO SEM FATURAR",IF(AND(P2368&lt;&gt;"",S2368="",OR(Q2368="",R2368="")),"🟡 PENDÊNCIA SEM RESPONSÁVEL/PRAZO",IF(AND(ISNUMBER(R2368),R2368=TODAY()),"🟡 VENCE HOJE",IF(AND(P2368&lt;&gt;"",S2368=""),"🟡 PENDÊNCIA ABERTA",IF(AND(N(J2368)&gt;0,N(K2368)&lt;J2368),"🟡 FALTA EXECUTAR",IF(OR(M2368="PENDENTE",M2368="PARCIAL"),"🟡 FATURAMENTO PENDENTE","🟡 EMBARQUE PENDENTE")))))))))))</f>
        <v/>
      </c>
      <c r="D2368" s="4" t="n"/>
      <c r="E2368" s="5" t="n"/>
      <c r="F2368" s="5" t="n"/>
      <c r="G2368" s="5" t="n"/>
      <c r="H2368" s="5" t="n"/>
      <c r="I2368" s="5" t="n"/>
      <c r="J2368" s="6" t="n"/>
      <c r="K2368" s="6" t="n"/>
      <c r="L2368" s="7">
        <f>IF(OR(D2368="",N(J2368)=0),"",MIN(1,N(K2368)/J2368))</f>
        <v/>
      </c>
      <c r="M2368" s="5" t="n"/>
      <c r="N2368" s="5" t="n"/>
      <c r="O2368" s="5" t="n"/>
      <c r="P2368" s="5" t="n"/>
      <c r="Q2368" s="5" t="n"/>
      <c r="R2368" s="4" t="n"/>
      <c r="S2368" s="4" t="n"/>
      <c r="T2368" s="5" t="n"/>
      <c r="U2368" s="8">
        <f>IF(AND(V2368=1,D2368&lt;&gt;""),IF(D2368&gt;=corte,TODAY()-D2368,""),"")</f>
        <v/>
      </c>
      <c r="V2368" s="8">
        <f>IF(D2368="",0,IF(OR(AND(P2368&lt;&gt;"",S2368=""),AND(N(J2368)&gt;0,N(K2368)&lt;J2368),OR(M2368="PENDENTE",M2368="PARCIAL"),OR(N2368="PENDENTE",N2368="PARCIAL")),1,0))</f>
        <v/>
      </c>
      <c r="W2368" s="8">
        <f>IF(AND(V2368=1,D2368&lt;&gt;""),IF(D2368&gt;=corte,(B2368="CRÍTICO")*1E9+(100000-D2368)*10000+10000-ROW(),""),"")</f>
        <v/>
      </c>
      <c r="X2368" s="8">
        <f>IF(AND(V2368=1,D2368=pas_data,E2368=pas_turno),10000-ROW(),"")</f>
        <v/>
      </c>
    </row>
    <row r="2369">
      <c r="A2369" s="3">
        <f>IF(D2369="","","TT-"&amp;TEXT(ROW()-1,"00000"))</f>
        <v/>
      </c>
      <c r="B2369" s="3">
        <f>IF(D2369="","",IF(V2369=0,"CONCLUÍDO",IF(D2369&lt;corte,"HISTÓRICO",IF(OR(AND(ISNUMBER(R2369),R2369&lt;TODAY()),AND(OR(N2369="PENDENTE",N2369="PARCIAL"),D2369&lt;TODAY()-1)),"CRÍTICO",IF(OR(AND(P2369&lt;&gt;"",S2369=""),AND(N2369="REALIZADO",M2369="PENDENTE"),AND(ISNUMBER(R2369),R2369=TODAY())),"ATENÇÃO",IF(N(K2369)=0,"PENDENTE","EM ANDAMENTO"))))))</f>
        <v/>
      </c>
      <c r="C2369" s="3">
        <f>IF(D2369="","",IF(V2369=0,"🟢 OK",IF(D2369&lt;corte,"⚪ HISTÓRICO (sem baixa)",IF(AND(ISNUMBER(R2369),R2369&lt;TODAY()),"🔴 PRAZO VENCIDO",IF(AND(OR(N2369="PENDENTE",N2369="PARCIAL"),D2369&lt;TODAY()-1),"🔴 EMBARQUE ATRASADO",IF(AND(N2369="REALIZADO",M2369="PENDENTE"),"🟡 EMBARCADO SEM FATURAR",IF(AND(P2369&lt;&gt;"",S2369="",OR(Q2369="",R2369="")),"🟡 PENDÊNCIA SEM RESPONSÁVEL/PRAZO",IF(AND(ISNUMBER(R2369),R2369=TODAY()),"🟡 VENCE HOJE",IF(AND(P2369&lt;&gt;"",S2369=""),"🟡 PENDÊNCIA ABERTA",IF(AND(N(J2369)&gt;0,N(K2369)&lt;J2369),"🟡 FALTA EXECUTAR",IF(OR(M2369="PENDENTE",M2369="PARCIAL"),"🟡 FATURAMENTO PENDENTE","🟡 EMBARQUE PENDENTE")))))))))))</f>
        <v/>
      </c>
      <c r="D2369" s="4" t="n"/>
      <c r="E2369" s="5" t="n"/>
      <c r="F2369" s="5" t="n"/>
      <c r="G2369" s="5" t="n"/>
      <c r="H2369" s="5" t="n"/>
      <c r="I2369" s="5" t="n"/>
      <c r="J2369" s="6" t="n"/>
      <c r="K2369" s="6" t="n"/>
      <c r="L2369" s="7">
        <f>IF(OR(D2369="",N(J2369)=0),"",MIN(1,N(K2369)/J2369))</f>
        <v/>
      </c>
      <c r="M2369" s="5" t="n"/>
      <c r="N2369" s="5" t="n"/>
      <c r="O2369" s="5" t="n"/>
      <c r="P2369" s="5" t="n"/>
      <c r="Q2369" s="5" t="n"/>
      <c r="R2369" s="4" t="n"/>
      <c r="S2369" s="4" t="n"/>
      <c r="T2369" s="5" t="n"/>
      <c r="U2369" s="8">
        <f>IF(AND(V2369=1,D2369&lt;&gt;""),IF(D2369&gt;=corte,TODAY()-D2369,""),"")</f>
        <v/>
      </c>
      <c r="V2369" s="8">
        <f>IF(D2369="",0,IF(OR(AND(P2369&lt;&gt;"",S2369=""),AND(N(J2369)&gt;0,N(K2369)&lt;J2369),OR(M2369="PENDENTE",M2369="PARCIAL"),OR(N2369="PENDENTE",N2369="PARCIAL")),1,0))</f>
        <v/>
      </c>
      <c r="W2369" s="8">
        <f>IF(AND(V2369=1,D2369&lt;&gt;""),IF(D2369&gt;=corte,(B2369="CRÍTICO")*1E9+(100000-D2369)*10000+10000-ROW(),""),"")</f>
        <v/>
      </c>
      <c r="X2369" s="8">
        <f>IF(AND(V2369=1,D2369=pas_data,E2369=pas_turno),10000-ROW(),"")</f>
        <v/>
      </c>
    </row>
    <row r="2370">
      <c r="A2370" s="3">
        <f>IF(D2370="","","TT-"&amp;TEXT(ROW()-1,"00000"))</f>
        <v/>
      </c>
      <c r="B2370" s="3">
        <f>IF(D2370="","",IF(V2370=0,"CONCLUÍDO",IF(D2370&lt;corte,"HISTÓRICO",IF(OR(AND(ISNUMBER(R2370),R2370&lt;TODAY()),AND(OR(N2370="PENDENTE",N2370="PARCIAL"),D2370&lt;TODAY()-1)),"CRÍTICO",IF(OR(AND(P2370&lt;&gt;"",S2370=""),AND(N2370="REALIZADO",M2370="PENDENTE"),AND(ISNUMBER(R2370),R2370=TODAY())),"ATENÇÃO",IF(N(K2370)=0,"PENDENTE","EM ANDAMENTO"))))))</f>
        <v/>
      </c>
      <c r="C2370" s="3">
        <f>IF(D2370="","",IF(V2370=0,"🟢 OK",IF(D2370&lt;corte,"⚪ HISTÓRICO (sem baixa)",IF(AND(ISNUMBER(R2370),R2370&lt;TODAY()),"🔴 PRAZO VENCIDO",IF(AND(OR(N2370="PENDENTE",N2370="PARCIAL"),D2370&lt;TODAY()-1),"🔴 EMBARQUE ATRASADO",IF(AND(N2370="REALIZADO",M2370="PENDENTE"),"🟡 EMBARCADO SEM FATURAR",IF(AND(P2370&lt;&gt;"",S2370="",OR(Q2370="",R2370="")),"🟡 PENDÊNCIA SEM RESPONSÁVEL/PRAZO",IF(AND(ISNUMBER(R2370),R2370=TODAY()),"🟡 VENCE HOJE",IF(AND(P2370&lt;&gt;"",S2370=""),"🟡 PENDÊNCIA ABERTA",IF(AND(N(J2370)&gt;0,N(K2370)&lt;J2370),"🟡 FALTA EXECUTAR",IF(OR(M2370="PENDENTE",M2370="PARCIAL"),"🟡 FATURAMENTO PENDENTE","🟡 EMBARQUE PENDENTE")))))))))))</f>
        <v/>
      </c>
      <c r="D2370" s="4" t="n"/>
      <c r="E2370" s="5" t="n"/>
      <c r="F2370" s="5" t="n"/>
      <c r="G2370" s="5" t="n"/>
      <c r="H2370" s="5" t="n"/>
      <c r="I2370" s="5" t="n"/>
      <c r="J2370" s="6" t="n"/>
      <c r="K2370" s="6" t="n"/>
      <c r="L2370" s="7">
        <f>IF(OR(D2370="",N(J2370)=0),"",MIN(1,N(K2370)/J2370))</f>
        <v/>
      </c>
      <c r="M2370" s="5" t="n"/>
      <c r="N2370" s="5" t="n"/>
      <c r="O2370" s="5" t="n"/>
      <c r="P2370" s="5" t="n"/>
      <c r="Q2370" s="5" t="n"/>
      <c r="R2370" s="4" t="n"/>
      <c r="S2370" s="4" t="n"/>
      <c r="T2370" s="5" t="n"/>
      <c r="U2370" s="8">
        <f>IF(AND(V2370=1,D2370&lt;&gt;""),IF(D2370&gt;=corte,TODAY()-D2370,""),"")</f>
        <v/>
      </c>
      <c r="V2370" s="8">
        <f>IF(D2370="",0,IF(OR(AND(P2370&lt;&gt;"",S2370=""),AND(N(J2370)&gt;0,N(K2370)&lt;J2370),OR(M2370="PENDENTE",M2370="PARCIAL"),OR(N2370="PENDENTE",N2370="PARCIAL")),1,0))</f>
        <v/>
      </c>
      <c r="W2370" s="8">
        <f>IF(AND(V2370=1,D2370&lt;&gt;""),IF(D2370&gt;=corte,(B2370="CRÍTICO")*1E9+(100000-D2370)*10000+10000-ROW(),""),"")</f>
        <v/>
      </c>
      <c r="X2370" s="8">
        <f>IF(AND(V2370=1,D2370=pas_data,E2370=pas_turno),10000-ROW(),"")</f>
        <v/>
      </c>
    </row>
    <row r="2371">
      <c r="A2371" s="3">
        <f>IF(D2371="","","TT-"&amp;TEXT(ROW()-1,"00000"))</f>
        <v/>
      </c>
      <c r="B2371" s="3">
        <f>IF(D2371="","",IF(V2371=0,"CONCLUÍDO",IF(D2371&lt;corte,"HISTÓRICO",IF(OR(AND(ISNUMBER(R2371),R2371&lt;TODAY()),AND(OR(N2371="PENDENTE",N2371="PARCIAL"),D2371&lt;TODAY()-1)),"CRÍTICO",IF(OR(AND(P2371&lt;&gt;"",S2371=""),AND(N2371="REALIZADO",M2371="PENDENTE"),AND(ISNUMBER(R2371),R2371=TODAY())),"ATENÇÃO",IF(N(K2371)=0,"PENDENTE","EM ANDAMENTO"))))))</f>
        <v/>
      </c>
      <c r="C2371" s="3">
        <f>IF(D2371="","",IF(V2371=0,"🟢 OK",IF(D2371&lt;corte,"⚪ HISTÓRICO (sem baixa)",IF(AND(ISNUMBER(R2371),R2371&lt;TODAY()),"🔴 PRAZO VENCIDO",IF(AND(OR(N2371="PENDENTE",N2371="PARCIAL"),D2371&lt;TODAY()-1),"🔴 EMBARQUE ATRASADO",IF(AND(N2371="REALIZADO",M2371="PENDENTE"),"🟡 EMBARCADO SEM FATURAR",IF(AND(P2371&lt;&gt;"",S2371="",OR(Q2371="",R2371="")),"🟡 PENDÊNCIA SEM RESPONSÁVEL/PRAZO",IF(AND(ISNUMBER(R2371),R2371=TODAY()),"🟡 VENCE HOJE",IF(AND(P2371&lt;&gt;"",S2371=""),"🟡 PENDÊNCIA ABERTA",IF(AND(N(J2371)&gt;0,N(K2371)&lt;J2371),"🟡 FALTA EXECUTAR",IF(OR(M2371="PENDENTE",M2371="PARCIAL"),"🟡 FATURAMENTO PENDENTE","🟡 EMBARQUE PENDENTE")))))))))))</f>
        <v/>
      </c>
      <c r="D2371" s="4" t="n"/>
      <c r="E2371" s="5" t="n"/>
      <c r="F2371" s="5" t="n"/>
      <c r="G2371" s="5" t="n"/>
      <c r="H2371" s="5" t="n"/>
      <c r="I2371" s="5" t="n"/>
      <c r="J2371" s="6" t="n"/>
      <c r="K2371" s="6" t="n"/>
      <c r="L2371" s="7">
        <f>IF(OR(D2371="",N(J2371)=0),"",MIN(1,N(K2371)/J2371))</f>
        <v/>
      </c>
      <c r="M2371" s="5" t="n"/>
      <c r="N2371" s="5" t="n"/>
      <c r="O2371" s="5" t="n"/>
      <c r="P2371" s="5" t="n"/>
      <c r="Q2371" s="5" t="n"/>
      <c r="R2371" s="4" t="n"/>
      <c r="S2371" s="4" t="n"/>
      <c r="T2371" s="5" t="n"/>
      <c r="U2371" s="8">
        <f>IF(AND(V2371=1,D2371&lt;&gt;""),IF(D2371&gt;=corte,TODAY()-D2371,""),"")</f>
        <v/>
      </c>
      <c r="V2371" s="8">
        <f>IF(D2371="",0,IF(OR(AND(P2371&lt;&gt;"",S2371=""),AND(N(J2371)&gt;0,N(K2371)&lt;J2371),OR(M2371="PENDENTE",M2371="PARCIAL"),OR(N2371="PENDENTE",N2371="PARCIAL")),1,0))</f>
        <v/>
      </c>
      <c r="W2371" s="8">
        <f>IF(AND(V2371=1,D2371&lt;&gt;""),IF(D2371&gt;=corte,(B2371="CRÍTICO")*1E9+(100000-D2371)*10000+10000-ROW(),""),"")</f>
        <v/>
      </c>
      <c r="X2371" s="8">
        <f>IF(AND(V2371=1,D2371=pas_data,E2371=pas_turno),10000-ROW(),"")</f>
        <v/>
      </c>
    </row>
    <row r="2372">
      <c r="A2372" s="3">
        <f>IF(D2372="","","TT-"&amp;TEXT(ROW()-1,"00000"))</f>
        <v/>
      </c>
      <c r="B2372" s="3">
        <f>IF(D2372="","",IF(V2372=0,"CONCLUÍDO",IF(D2372&lt;corte,"HISTÓRICO",IF(OR(AND(ISNUMBER(R2372),R2372&lt;TODAY()),AND(OR(N2372="PENDENTE",N2372="PARCIAL"),D2372&lt;TODAY()-1)),"CRÍTICO",IF(OR(AND(P2372&lt;&gt;"",S2372=""),AND(N2372="REALIZADO",M2372="PENDENTE"),AND(ISNUMBER(R2372),R2372=TODAY())),"ATENÇÃO",IF(N(K2372)=0,"PENDENTE","EM ANDAMENTO"))))))</f>
        <v/>
      </c>
      <c r="C2372" s="3">
        <f>IF(D2372="","",IF(V2372=0,"🟢 OK",IF(D2372&lt;corte,"⚪ HISTÓRICO (sem baixa)",IF(AND(ISNUMBER(R2372),R2372&lt;TODAY()),"🔴 PRAZO VENCIDO",IF(AND(OR(N2372="PENDENTE",N2372="PARCIAL"),D2372&lt;TODAY()-1),"🔴 EMBARQUE ATRASADO",IF(AND(N2372="REALIZADO",M2372="PENDENTE"),"🟡 EMBARCADO SEM FATURAR",IF(AND(P2372&lt;&gt;"",S2372="",OR(Q2372="",R2372="")),"🟡 PENDÊNCIA SEM RESPONSÁVEL/PRAZO",IF(AND(ISNUMBER(R2372),R2372=TODAY()),"🟡 VENCE HOJE",IF(AND(P2372&lt;&gt;"",S2372=""),"🟡 PENDÊNCIA ABERTA",IF(AND(N(J2372)&gt;0,N(K2372)&lt;J2372),"🟡 FALTA EXECUTAR",IF(OR(M2372="PENDENTE",M2372="PARCIAL"),"🟡 FATURAMENTO PENDENTE","🟡 EMBARQUE PENDENTE")))))))))))</f>
        <v/>
      </c>
      <c r="D2372" s="4" t="n"/>
      <c r="E2372" s="5" t="n"/>
      <c r="F2372" s="5" t="n"/>
      <c r="G2372" s="5" t="n"/>
      <c r="H2372" s="5" t="n"/>
      <c r="I2372" s="5" t="n"/>
      <c r="J2372" s="6" t="n"/>
      <c r="K2372" s="6" t="n"/>
      <c r="L2372" s="7">
        <f>IF(OR(D2372="",N(J2372)=0),"",MIN(1,N(K2372)/J2372))</f>
        <v/>
      </c>
      <c r="M2372" s="5" t="n"/>
      <c r="N2372" s="5" t="n"/>
      <c r="O2372" s="5" t="n"/>
      <c r="P2372" s="5" t="n"/>
      <c r="Q2372" s="5" t="n"/>
      <c r="R2372" s="4" t="n"/>
      <c r="S2372" s="4" t="n"/>
      <c r="T2372" s="5" t="n"/>
      <c r="U2372" s="8">
        <f>IF(AND(V2372=1,D2372&lt;&gt;""),IF(D2372&gt;=corte,TODAY()-D2372,""),"")</f>
        <v/>
      </c>
      <c r="V2372" s="8">
        <f>IF(D2372="",0,IF(OR(AND(P2372&lt;&gt;"",S2372=""),AND(N(J2372)&gt;0,N(K2372)&lt;J2372),OR(M2372="PENDENTE",M2372="PARCIAL"),OR(N2372="PENDENTE",N2372="PARCIAL")),1,0))</f>
        <v/>
      </c>
      <c r="W2372" s="8">
        <f>IF(AND(V2372=1,D2372&lt;&gt;""),IF(D2372&gt;=corte,(B2372="CRÍTICO")*1E9+(100000-D2372)*10000+10000-ROW(),""),"")</f>
        <v/>
      </c>
      <c r="X2372" s="8">
        <f>IF(AND(V2372=1,D2372=pas_data,E2372=pas_turno),10000-ROW(),"")</f>
        <v/>
      </c>
    </row>
    <row r="2373">
      <c r="A2373" s="3">
        <f>IF(D2373="","","TT-"&amp;TEXT(ROW()-1,"00000"))</f>
        <v/>
      </c>
      <c r="B2373" s="3">
        <f>IF(D2373="","",IF(V2373=0,"CONCLUÍDO",IF(D2373&lt;corte,"HISTÓRICO",IF(OR(AND(ISNUMBER(R2373),R2373&lt;TODAY()),AND(OR(N2373="PENDENTE",N2373="PARCIAL"),D2373&lt;TODAY()-1)),"CRÍTICO",IF(OR(AND(P2373&lt;&gt;"",S2373=""),AND(N2373="REALIZADO",M2373="PENDENTE"),AND(ISNUMBER(R2373),R2373=TODAY())),"ATENÇÃO",IF(N(K2373)=0,"PENDENTE","EM ANDAMENTO"))))))</f>
        <v/>
      </c>
      <c r="C2373" s="3">
        <f>IF(D2373="","",IF(V2373=0,"🟢 OK",IF(D2373&lt;corte,"⚪ HISTÓRICO (sem baixa)",IF(AND(ISNUMBER(R2373),R2373&lt;TODAY()),"🔴 PRAZO VENCIDO",IF(AND(OR(N2373="PENDENTE",N2373="PARCIAL"),D2373&lt;TODAY()-1),"🔴 EMBARQUE ATRASADO",IF(AND(N2373="REALIZADO",M2373="PENDENTE"),"🟡 EMBARCADO SEM FATURAR",IF(AND(P2373&lt;&gt;"",S2373="",OR(Q2373="",R2373="")),"🟡 PENDÊNCIA SEM RESPONSÁVEL/PRAZO",IF(AND(ISNUMBER(R2373),R2373=TODAY()),"🟡 VENCE HOJE",IF(AND(P2373&lt;&gt;"",S2373=""),"🟡 PENDÊNCIA ABERTA",IF(AND(N(J2373)&gt;0,N(K2373)&lt;J2373),"🟡 FALTA EXECUTAR",IF(OR(M2373="PENDENTE",M2373="PARCIAL"),"🟡 FATURAMENTO PENDENTE","🟡 EMBARQUE PENDENTE")))))))))))</f>
        <v/>
      </c>
      <c r="D2373" s="4" t="n"/>
      <c r="E2373" s="5" t="n"/>
      <c r="F2373" s="5" t="n"/>
      <c r="G2373" s="5" t="n"/>
      <c r="H2373" s="5" t="n"/>
      <c r="I2373" s="5" t="n"/>
      <c r="J2373" s="6" t="n"/>
      <c r="K2373" s="6" t="n"/>
      <c r="L2373" s="7">
        <f>IF(OR(D2373="",N(J2373)=0),"",MIN(1,N(K2373)/J2373))</f>
        <v/>
      </c>
      <c r="M2373" s="5" t="n"/>
      <c r="N2373" s="5" t="n"/>
      <c r="O2373" s="5" t="n"/>
      <c r="P2373" s="5" t="n"/>
      <c r="Q2373" s="5" t="n"/>
      <c r="R2373" s="4" t="n"/>
      <c r="S2373" s="4" t="n"/>
      <c r="T2373" s="5" t="n"/>
      <c r="U2373" s="8">
        <f>IF(AND(V2373=1,D2373&lt;&gt;""),IF(D2373&gt;=corte,TODAY()-D2373,""),"")</f>
        <v/>
      </c>
      <c r="V2373" s="8">
        <f>IF(D2373="",0,IF(OR(AND(P2373&lt;&gt;"",S2373=""),AND(N(J2373)&gt;0,N(K2373)&lt;J2373),OR(M2373="PENDENTE",M2373="PARCIAL"),OR(N2373="PENDENTE",N2373="PARCIAL")),1,0))</f>
        <v/>
      </c>
      <c r="W2373" s="8">
        <f>IF(AND(V2373=1,D2373&lt;&gt;""),IF(D2373&gt;=corte,(B2373="CRÍTICO")*1E9+(100000-D2373)*10000+10000-ROW(),""),"")</f>
        <v/>
      </c>
      <c r="X2373" s="8">
        <f>IF(AND(V2373=1,D2373=pas_data,E2373=pas_turno),10000-ROW(),"")</f>
        <v/>
      </c>
    </row>
    <row r="2374">
      <c r="A2374" s="3">
        <f>IF(D2374="","","TT-"&amp;TEXT(ROW()-1,"00000"))</f>
        <v/>
      </c>
      <c r="B2374" s="3">
        <f>IF(D2374="","",IF(V2374=0,"CONCLUÍDO",IF(D2374&lt;corte,"HISTÓRICO",IF(OR(AND(ISNUMBER(R2374),R2374&lt;TODAY()),AND(OR(N2374="PENDENTE",N2374="PARCIAL"),D2374&lt;TODAY()-1)),"CRÍTICO",IF(OR(AND(P2374&lt;&gt;"",S2374=""),AND(N2374="REALIZADO",M2374="PENDENTE"),AND(ISNUMBER(R2374),R2374=TODAY())),"ATENÇÃO",IF(N(K2374)=0,"PENDENTE","EM ANDAMENTO"))))))</f>
        <v/>
      </c>
      <c r="C2374" s="3">
        <f>IF(D2374="","",IF(V2374=0,"🟢 OK",IF(D2374&lt;corte,"⚪ HISTÓRICO (sem baixa)",IF(AND(ISNUMBER(R2374),R2374&lt;TODAY()),"🔴 PRAZO VENCIDO",IF(AND(OR(N2374="PENDENTE",N2374="PARCIAL"),D2374&lt;TODAY()-1),"🔴 EMBARQUE ATRASADO",IF(AND(N2374="REALIZADO",M2374="PENDENTE"),"🟡 EMBARCADO SEM FATURAR",IF(AND(P2374&lt;&gt;"",S2374="",OR(Q2374="",R2374="")),"🟡 PENDÊNCIA SEM RESPONSÁVEL/PRAZO",IF(AND(ISNUMBER(R2374),R2374=TODAY()),"🟡 VENCE HOJE",IF(AND(P2374&lt;&gt;"",S2374=""),"🟡 PENDÊNCIA ABERTA",IF(AND(N(J2374)&gt;0,N(K2374)&lt;J2374),"🟡 FALTA EXECUTAR",IF(OR(M2374="PENDENTE",M2374="PARCIAL"),"🟡 FATURAMENTO PENDENTE","🟡 EMBARQUE PENDENTE")))))))))))</f>
        <v/>
      </c>
      <c r="D2374" s="4" t="n"/>
      <c r="E2374" s="5" t="n"/>
      <c r="F2374" s="5" t="n"/>
      <c r="G2374" s="5" t="n"/>
      <c r="H2374" s="5" t="n"/>
      <c r="I2374" s="5" t="n"/>
      <c r="J2374" s="6" t="n"/>
      <c r="K2374" s="6" t="n"/>
      <c r="L2374" s="7">
        <f>IF(OR(D2374="",N(J2374)=0),"",MIN(1,N(K2374)/J2374))</f>
        <v/>
      </c>
      <c r="M2374" s="5" t="n"/>
      <c r="N2374" s="5" t="n"/>
      <c r="O2374" s="5" t="n"/>
      <c r="P2374" s="5" t="n"/>
      <c r="Q2374" s="5" t="n"/>
      <c r="R2374" s="4" t="n"/>
      <c r="S2374" s="4" t="n"/>
      <c r="T2374" s="5" t="n"/>
      <c r="U2374" s="8">
        <f>IF(AND(V2374=1,D2374&lt;&gt;""),IF(D2374&gt;=corte,TODAY()-D2374,""),"")</f>
        <v/>
      </c>
      <c r="V2374" s="8">
        <f>IF(D2374="",0,IF(OR(AND(P2374&lt;&gt;"",S2374=""),AND(N(J2374)&gt;0,N(K2374)&lt;J2374),OR(M2374="PENDENTE",M2374="PARCIAL"),OR(N2374="PENDENTE",N2374="PARCIAL")),1,0))</f>
        <v/>
      </c>
      <c r="W2374" s="8">
        <f>IF(AND(V2374=1,D2374&lt;&gt;""),IF(D2374&gt;=corte,(B2374="CRÍTICO")*1E9+(100000-D2374)*10000+10000-ROW(),""),"")</f>
        <v/>
      </c>
      <c r="X2374" s="8">
        <f>IF(AND(V2374=1,D2374=pas_data,E2374=pas_turno),10000-ROW(),"")</f>
        <v/>
      </c>
    </row>
    <row r="2375">
      <c r="A2375" s="3">
        <f>IF(D2375="","","TT-"&amp;TEXT(ROW()-1,"00000"))</f>
        <v/>
      </c>
      <c r="B2375" s="3">
        <f>IF(D2375="","",IF(V2375=0,"CONCLUÍDO",IF(D2375&lt;corte,"HISTÓRICO",IF(OR(AND(ISNUMBER(R2375),R2375&lt;TODAY()),AND(OR(N2375="PENDENTE",N2375="PARCIAL"),D2375&lt;TODAY()-1)),"CRÍTICO",IF(OR(AND(P2375&lt;&gt;"",S2375=""),AND(N2375="REALIZADO",M2375="PENDENTE"),AND(ISNUMBER(R2375),R2375=TODAY())),"ATENÇÃO",IF(N(K2375)=0,"PENDENTE","EM ANDAMENTO"))))))</f>
        <v/>
      </c>
      <c r="C2375" s="3">
        <f>IF(D2375="","",IF(V2375=0,"🟢 OK",IF(D2375&lt;corte,"⚪ HISTÓRICO (sem baixa)",IF(AND(ISNUMBER(R2375),R2375&lt;TODAY()),"🔴 PRAZO VENCIDO",IF(AND(OR(N2375="PENDENTE",N2375="PARCIAL"),D2375&lt;TODAY()-1),"🔴 EMBARQUE ATRASADO",IF(AND(N2375="REALIZADO",M2375="PENDENTE"),"🟡 EMBARCADO SEM FATURAR",IF(AND(P2375&lt;&gt;"",S2375="",OR(Q2375="",R2375="")),"🟡 PENDÊNCIA SEM RESPONSÁVEL/PRAZO",IF(AND(ISNUMBER(R2375),R2375=TODAY()),"🟡 VENCE HOJE",IF(AND(P2375&lt;&gt;"",S2375=""),"🟡 PENDÊNCIA ABERTA",IF(AND(N(J2375)&gt;0,N(K2375)&lt;J2375),"🟡 FALTA EXECUTAR",IF(OR(M2375="PENDENTE",M2375="PARCIAL"),"🟡 FATURAMENTO PENDENTE","🟡 EMBARQUE PENDENTE")))))))))))</f>
        <v/>
      </c>
      <c r="D2375" s="4" t="n"/>
      <c r="E2375" s="5" t="n"/>
      <c r="F2375" s="5" t="n"/>
      <c r="G2375" s="5" t="n"/>
      <c r="H2375" s="5" t="n"/>
      <c r="I2375" s="5" t="n"/>
      <c r="J2375" s="6" t="n"/>
      <c r="K2375" s="6" t="n"/>
      <c r="L2375" s="7">
        <f>IF(OR(D2375="",N(J2375)=0),"",MIN(1,N(K2375)/J2375))</f>
        <v/>
      </c>
      <c r="M2375" s="5" t="n"/>
      <c r="N2375" s="5" t="n"/>
      <c r="O2375" s="5" t="n"/>
      <c r="P2375" s="5" t="n"/>
      <c r="Q2375" s="5" t="n"/>
      <c r="R2375" s="4" t="n"/>
      <c r="S2375" s="4" t="n"/>
      <c r="T2375" s="5" t="n"/>
      <c r="U2375" s="8">
        <f>IF(AND(V2375=1,D2375&lt;&gt;""),IF(D2375&gt;=corte,TODAY()-D2375,""),"")</f>
        <v/>
      </c>
      <c r="V2375" s="8">
        <f>IF(D2375="",0,IF(OR(AND(P2375&lt;&gt;"",S2375=""),AND(N(J2375)&gt;0,N(K2375)&lt;J2375),OR(M2375="PENDENTE",M2375="PARCIAL"),OR(N2375="PENDENTE",N2375="PARCIAL")),1,0))</f>
        <v/>
      </c>
      <c r="W2375" s="8">
        <f>IF(AND(V2375=1,D2375&lt;&gt;""),IF(D2375&gt;=corte,(B2375="CRÍTICO")*1E9+(100000-D2375)*10000+10000-ROW(),""),"")</f>
        <v/>
      </c>
      <c r="X2375" s="8">
        <f>IF(AND(V2375=1,D2375=pas_data,E2375=pas_turno),10000-ROW(),"")</f>
        <v/>
      </c>
    </row>
    <row r="2376">
      <c r="A2376" s="3">
        <f>IF(D2376="","","TT-"&amp;TEXT(ROW()-1,"00000"))</f>
        <v/>
      </c>
      <c r="B2376" s="3">
        <f>IF(D2376="","",IF(V2376=0,"CONCLUÍDO",IF(D2376&lt;corte,"HISTÓRICO",IF(OR(AND(ISNUMBER(R2376),R2376&lt;TODAY()),AND(OR(N2376="PENDENTE",N2376="PARCIAL"),D2376&lt;TODAY()-1)),"CRÍTICO",IF(OR(AND(P2376&lt;&gt;"",S2376=""),AND(N2376="REALIZADO",M2376="PENDENTE"),AND(ISNUMBER(R2376),R2376=TODAY())),"ATENÇÃO",IF(N(K2376)=0,"PENDENTE","EM ANDAMENTO"))))))</f>
        <v/>
      </c>
      <c r="C2376" s="3">
        <f>IF(D2376="","",IF(V2376=0,"🟢 OK",IF(D2376&lt;corte,"⚪ HISTÓRICO (sem baixa)",IF(AND(ISNUMBER(R2376),R2376&lt;TODAY()),"🔴 PRAZO VENCIDO",IF(AND(OR(N2376="PENDENTE",N2376="PARCIAL"),D2376&lt;TODAY()-1),"🔴 EMBARQUE ATRASADO",IF(AND(N2376="REALIZADO",M2376="PENDENTE"),"🟡 EMBARCADO SEM FATURAR",IF(AND(P2376&lt;&gt;"",S2376="",OR(Q2376="",R2376="")),"🟡 PENDÊNCIA SEM RESPONSÁVEL/PRAZO",IF(AND(ISNUMBER(R2376),R2376=TODAY()),"🟡 VENCE HOJE",IF(AND(P2376&lt;&gt;"",S2376=""),"🟡 PENDÊNCIA ABERTA",IF(AND(N(J2376)&gt;0,N(K2376)&lt;J2376),"🟡 FALTA EXECUTAR",IF(OR(M2376="PENDENTE",M2376="PARCIAL"),"🟡 FATURAMENTO PENDENTE","🟡 EMBARQUE PENDENTE")))))))))))</f>
        <v/>
      </c>
      <c r="D2376" s="4" t="n"/>
      <c r="E2376" s="5" t="n"/>
      <c r="F2376" s="5" t="n"/>
      <c r="G2376" s="5" t="n"/>
      <c r="H2376" s="5" t="n"/>
      <c r="I2376" s="5" t="n"/>
      <c r="J2376" s="6" t="n"/>
      <c r="K2376" s="6" t="n"/>
      <c r="L2376" s="7">
        <f>IF(OR(D2376="",N(J2376)=0),"",MIN(1,N(K2376)/J2376))</f>
        <v/>
      </c>
      <c r="M2376" s="5" t="n"/>
      <c r="N2376" s="5" t="n"/>
      <c r="O2376" s="5" t="n"/>
      <c r="P2376" s="5" t="n"/>
      <c r="Q2376" s="5" t="n"/>
      <c r="R2376" s="4" t="n"/>
      <c r="S2376" s="4" t="n"/>
      <c r="T2376" s="5" t="n"/>
      <c r="U2376" s="8">
        <f>IF(AND(V2376=1,D2376&lt;&gt;""),IF(D2376&gt;=corte,TODAY()-D2376,""),"")</f>
        <v/>
      </c>
      <c r="V2376" s="8">
        <f>IF(D2376="",0,IF(OR(AND(P2376&lt;&gt;"",S2376=""),AND(N(J2376)&gt;0,N(K2376)&lt;J2376),OR(M2376="PENDENTE",M2376="PARCIAL"),OR(N2376="PENDENTE",N2376="PARCIAL")),1,0))</f>
        <v/>
      </c>
      <c r="W2376" s="8">
        <f>IF(AND(V2376=1,D2376&lt;&gt;""),IF(D2376&gt;=corte,(B2376="CRÍTICO")*1E9+(100000-D2376)*10000+10000-ROW(),""),"")</f>
        <v/>
      </c>
      <c r="X2376" s="8">
        <f>IF(AND(V2376=1,D2376=pas_data,E2376=pas_turno),10000-ROW(),"")</f>
        <v/>
      </c>
    </row>
    <row r="2377">
      <c r="A2377" s="3">
        <f>IF(D2377="","","TT-"&amp;TEXT(ROW()-1,"00000"))</f>
        <v/>
      </c>
      <c r="B2377" s="3">
        <f>IF(D2377="","",IF(V2377=0,"CONCLUÍDO",IF(D2377&lt;corte,"HISTÓRICO",IF(OR(AND(ISNUMBER(R2377),R2377&lt;TODAY()),AND(OR(N2377="PENDENTE",N2377="PARCIAL"),D2377&lt;TODAY()-1)),"CRÍTICO",IF(OR(AND(P2377&lt;&gt;"",S2377=""),AND(N2377="REALIZADO",M2377="PENDENTE"),AND(ISNUMBER(R2377),R2377=TODAY())),"ATENÇÃO",IF(N(K2377)=0,"PENDENTE","EM ANDAMENTO"))))))</f>
        <v/>
      </c>
      <c r="C2377" s="3">
        <f>IF(D2377="","",IF(V2377=0,"🟢 OK",IF(D2377&lt;corte,"⚪ HISTÓRICO (sem baixa)",IF(AND(ISNUMBER(R2377),R2377&lt;TODAY()),"🔴 PRAZO VENCIDO",IF(AND(OR(N2377="PENDENTE",N2377="PARCIAL"),D2377&lt;TODAY()-1),"🔴 EMBARQUE ATRASADO",IF(AND(N2377="REALIZADO",M2377="PENDENTE"),"🟡 EMBARCADO SEM FATURAR",IF(AND(P2377&lt;&gt;"",S2377="",OR(Q2377="",R2377="")),"🟡 PENDÊNCIA SEM RESPONSÁVEL/PRAZO",IF(AND(ISNUMBER(R2377),R2377=TODAY()),"🟡 VENCE HOJE",IF(AND(P2377&lt;&gt;"",S2377=""),"🟡 PENDÊNCIA ABERTA",IF(AND(N(J2377)&gt;0,N(K2377)&lt;J2377),"🟡 FALTA EXECUTAR",IF(OR(M2377="PENDENTE",M2377="PARCIAL"),"🟡 FATURAMENTO PENDENTE","🟡 EMBARQUE PENDENTE")))))))))))</f>
        <v/>
      </c>
      <c r="D2377" s="4" t="n"/>
      <c r="E2377" s="5" t="n"/>
      <c r="F2377" s="5" t="n"/>
      <c r="G2377" s="5" t="n"/>
      <c r="H2377" s="5" t="n"/>
      <c r="I2377" s="5" t="n"/>
      <c r="J2377" s="6" t="n"/>
      <c r="K2377" s="6" t="n"/>
      <c r="L2377" s="7">
        <f>IF(OR(D2377="",N(J2377)=0),"",MIN(1,N(K2377)/J2377))</f>
        <v/>
      </c>
      <c r="M2377" s="5" t="n"/>
      <c r="N2377" s="5" t="n"/>
      <c r="O2377" s="5" t="n"/>
      <c r="P2377" s="5" t="n"/>
      <c r="Q2377" s="5" t="n"/>
      <c r="R2377" s="4" t="n"/>
      <c r="S2377" s="4" t="n"/>
      <c r="T2377" s="5" t="n"/>
      <c r="U2377" s="8">
        <f>IF(AND(V2377=1,D2377&lt;&gt;""),IF(D2377&gt;=corte,TODAY()-D2377,""),"")</f>
        <v/>
      </c>
      <c r="V2377" s="8">
        <f>IF(D2377="",0,IF(OR(AND(P2377&lt;&gt;"",S2377=""),AND(N(J2377)&gt;0,N(K2377)&lt;J2377),OR(M2377="PENDENTE",M2377="PARCIAL"),OR(N2377="PENDENTE",N2377="PARCIAL")),1,0))</f>
        <v/>
      </c>
      <c r="W2377" s="8">
        <f>IF(AND(V2377=1,D2377&lt;&gt;""),IF(D2377&gt;=corte,(B2377="CRÍTICO")*1E9+(100000-D2377)*10000+10000-ROW(),""),"")</f>
        <v/>
      </c>
      <c r="X2377" s="8">
        <f>IF(AND(V2377=1,D2377=pas_data,E2377=pas_turno),10000-ROW(),"")</f>
        <v/>
      </c>
    </row>
    <row r="2378">
      <c r="A2378" s="3">
        <f>IF(D2378="","","TT-"&amp;TEXT(ROW()-1,"00000"))</f>
        <v/>
      </c>
      <c r="B2378" s="3">
        <f>IF(D2378="","",IF(V2378=0,"CONCLUÍDO",IF(D2378&lt;corte,"HISTÓRICO",IF(OR(AND(ISNUMBER(R2378),R2378&lt;TODAY()),AND(OR(N2378="PENDENTE",N2378="PARCIAL"),D2378&lt;TODAY()-1)),"CRÍTICO",IF(OR(AND(P2378&lt;&gt;"",S2378=""),AND(N2378="REALIZADO",M2378="PENDENTE"),AND(ISNUMBER(R2378),R2378=TODAY())),"ATENÇÃO",IF(N(K2378)=0,"PENDENTE","EM ANDAMENTO"))))))</f>
        <v/>
      </c>
      <c r="C2378" s="3">
        <f>IF(D2378="","",IF(V2378=0,"🟢 OK",IF(D2378&lt;corte,"⚪ HISTÓRICO (sem baixa)",IF(AND(ISNUMBER(R2378),R2378&lt;TODAY()),"🔴 PRAZO VENCIDO",IF(AND(OR(N2378="PENDENTE",N2378="PARCIAL"),D2378&lt;TODAY()-1),"🔴 EMBARQUE ATRASADO",IF(AND(N2378="REALIZADO",M2378="PENDENTE"),"🟡 EMBARCADO SEM FATURAR",IF(AND(P2378&lt;&gt;"",S2378="",OR(Q2378="",R2378="")),"🟡 PENDÊNCIA SEM RESPONSÁVEL/PRAZO",IF(AND(ISNUMBER(R2378),R2378=TODAY()),"🟡 VENCE HOJE",IF(AND(P2378&lt;&gt;"",S2378=""),"🟡 PENDÊNCIA ABERTA",IF(AND(N(J2378)&gt;0,N(K2378)&lt;J2378),"🟡 FALTA EXECUTAR",IF(OR(M2378="PENDENTE",M2378="PARCIAL"),"🟡 FATURAMENTO PENDENTE","🟡 EMBARQUE PENDENTE")))))))))))</f>
        <v/>
      </c>
      <c r="D2378" s="4" t="n"/>
      <c r="E2378" s="5" t="n"/>
      <c r="F2378" s="5" t="n"/>
      <c r="G2378" s="5" t="n"/>
      <c r="H2378" s="5" t="n"/>
      <c r="I2378" s="5" t="n"/>
      <c r="J2378" s="6" t="n"/>
      <c r="K2378" s="6" t="n"/>
      <c r="L2378" s="7">
        <f>IF(OR(D2378="",N(J2378)=0),"",MIN(1,N(K2378)/J2378))</f>
        <v/>
      </c>
      <c r="M2378" s="5" t="n"/>
      <c r="N2378" s="5" t="n"/>
      <c r="O2378" s="5" t="n"/>
      <c r="P2378" s="5" t="n"/>
      <c r="Q2378" s="5" t="n"/>
      <c r="R2378" s="4" t="n"/>
      <c r="S2378" s="4" t="n"/>
      <c r="T2378" s="5" t="n"/>
      <c r="U2378" s="8">
        <f>IF(AND(V2378=1,D2378&lt;&gt;""),IF(D2378&gt;=corte,TODAY()-D2378,""),"")</f>
        <v/>
      </c>
      <c r="V2378" s="8">
        <f>IF(D2378="",0,IF(OR(AND(P2378&lt;&gt;"",S2378=""),AND(N(J2378)&gt;0,N(K2378)&lt;J2378),OR(M2378="PENDENTE",M2378="PARCIAL"),OR(N2378="PENDENTE",N2378="PARCIAL")),1,0))</f>
        <v/>
      </c>
      <c r="W2378" s="8">
        <f>IF(AND(V2378=1,D2378&lt;&gt;""),IF(D2378&gt;=corte,(B2378="CRÍTICO")*1E9+(100000-D2378)*10000+10000-ROW(),""),"")</f>
        <v/>
      </c>
      <c r="X2378" s="8">
        <f>IF(AND(V2378=1,D2378=pas_data,E2378=pas_turno),10000-ROW(),"")</f>
        <v/>
      </c>
    </row>
    <row r="2379">
      <c r="A2379" s="3">
        <f>IF(D2379="","","TT-"&amp;TEXT(ROW()-1,"00000"))</f>
        <v/>
      </c>
      <c r="B2379" s="3">
        <f>IF(D2379="","",IF(V2379=0,"CONCLUÍDO",IF(D2379&lt;corte,"HISTÓRICO",IF(OR(AND(ISNUMBER(R2379),R2379&lt;TODAY()),AND(OR(N2379="PENDENTE",N2379="PARCIAL"),D2379&lt;TODAY()-1)),"CRÍTICO",IF(OR(AND(P2379&lt;&gt;"",S2379=""),AND(N2379="REALIZADO",M2379="PENDENTE"),AND(ISNUMBER(R2379),R2379=TODAY())),"ATENÇÃO",IF(N(K2379)=0,"PENDENTE","EM ANDAMENTO"))))))</f>
        <v/>
      </c>
      <c r="C2379" s="3">
        <f>IF(D2379="","",IF(V2379=0,"🟢 OK",IF(D2379&lt;corte,"⚪ HISTÓRICO (sem baixa)",IF(AND(ISNUMBER(R2379),R2379&lt;TODAY()),"🔴 PRAZO VENCIDO",IF(AND(OR(N2379="PENDENTE",N2379="PARCIAL"),D2379&lt;TODAY()-1),"🔴 EMBARQUE ATRASADO",IF(AND(N2379="REALIZADO",M2379="PENDENTE"),"🟡 EMBARCADO SEM FATURAR",IF(AND(P2379&lt;&gt;"",S2379="",OR(Q2379="",R2379="")),"🟡 PENDÊNCIA SEM RESPONSÁVEL/PRAZO",IF(AND(ISNUMBER(R2379),R2379=TODAY()),"🟡 VENCE HOJE",IF(AND(P2379&lt;&gt;"",S2379=""),"🟡 PENDÊNCIA ABERTA",IF(AND(N(J2379)&gt;0,N(K2379)&lt;J2379),"🟡 FALTA EXECUTAR",IF(OR(M2379="PENDENTE",M2379="PARCIAL"),"🟡 FATURAMENTO PENDENTE","🟡 EMBARQUE PENDENTE")))))))))))</f>
        <v/>
      </c>
      <c r="D2379" s="4" t="n"/>
      <c r="E2379" s="5" t="n"/>
      <c r="F2379" s="5" t="n"/>
      <c r="G2379" s="5" t="n"/>
      <c r="H2379" s="5" t="n"/>
      <c r="I2379" s="5" t="n"/>
      <c r="J2379" s="6" t="n"/>
      <c r="K2379" s="6" t="n"/>
      <c r="L2379" s="7">
        <f>IF(OR(D2379="",N(J2379)=0),"",MIN(1,N(K2379)/J2379))</f>
        <v/>
      </c>
      <c r="M2379" s="5" t="n"/>
      <c r="N2379" s="5" t="n"/>
      <c r="O2379" s="5" t="n"/>
      <c r="P2379" s="5" t="n"/>
      <c r="Q2379" s="5" t="n"/>
      <c r="R2379" s="4" t="n"/>
      <c r="S2379" s="4" t="n"/>
      <c r="T2379" s="5" t="n"/>
      <c r="U2379" s="8">
        <f>IF(AND(V2379=1,D2379&lt;&gt;""),IF(D2379&gt;=corte,TODAY()-D2379,""),"")</f>
        <v/>
      </c>
      <c r="V2379" s="8">
        <f>IF(D2379="",0,IF(OR(AND(P2379&lt;&gt;"",S2379=""),AND(N(J2379)&gt;0,N(K2379)&lt;J2379),OR(M2379="PENDENTE",M2379="PARCIAL"),OR(N2379="PENDENTE",N2379="PARCIAL")),1,0))</f>
        <v/>
      </c>
      <c r="W2379" s="8">
        <f>IF(AND(V2379=1,D2379&lt;&gt;""),IF(D2379&gt;=corte,(B2379="CRÍTICO")*1E9+(100000-D2379)*10000+10000-ROW(),""),"")</f>
        <v/>
      </c>
      <c r="X2379" s="8">
        <f>IF(AND(V2379=1,D2379=pas_data,E2379=pas_turno),10000-ROW(),"")</f>
        <v/>
      </c>
    </row>
    <row r="2380">
      <c r="A2380" s="3">
        <f>IF(D2380="","","TT-"&amp;TEXT(ROW()-1,"00000"))</f>
        <v/>
      </c>
      <c r="B2380" s="3">
        <f>IF(D2380="","",IF(V2380=0,"CONCLUÍDO",IF(D2380&lt;corte,"HISTÓRICO",IF(OR(AND(ISNUMBER(R2380),R2380&lt;TODAY()),AND(OR(N2380="PENDENTE",N2380="PARCIAL"),D2380&lt;TODAY()-1)),"CRÍTICO",IF(OR(AND(P2380&lt;&gt;"",S2380=""),AND(N2380="REALIZADO",M2380="PENDENTE"),AND(ISNUMBER(R2380),R2380=TODAY())),"ATENÇÃO",IF(N(K2380)=0,"PENDENTE","EM ANDAMENTO"))))))</f>
        <v/>
      </c>
      <c r="C2380" s="3">
        <f>IF(D2380="","",IF(V2380=0,"🟢 OK",IF(D2380&lt;corte,"⚪ HISTÓRICO (sem baixa)",IF(AND(ISNUMBER(R2380),R2380&lt;TODAY()),"🔴 PRAZO VENCIDO",IF(AND(OR(N2380="PENDENTE",N2380="PARCIAL"),D2380&lt;TODAY()-1),"🔴 EMBARQUE ATRASADO",IF(AND(N2380="REALIZADO",M2380="PENDENTE"),"🟡 EMBARCADO SEM FATURAR",IF(AND(P2380&lt;&gt;"",S2380="",OR(Q2380="",R2380="")),"🟡 PENDÊNCIA SEM RESPONSÁVEL/PRAZO",IF(AND(ISNUMBER(R2380),R2380=TODAY()),"🟡 VENCE HOJE",IF(AND(P2380&lt;&gt;"",S2380=""),"🟡 PENDÊNCIA ABERTA",IF(AND(N(J2380)&gt;0,N(K2380)&lt;J2380),"🟡 FALTA EXECUTAR",IF(OR(M2380="PENDENTE",M2380="PARCIAL"),"🟡 FATURAMENTO PENDENTE","🟡 EMBARQUE PENDENTE")))))))))))</f>
        <v/>
      </c>
      <c r="D2380" s="4" t="n"/>
      <c r="E2380" s="5" t="n"/>
      <c r="F2380" s="5" t="n"/>
      <c r="G2380" s="5" t="n"/>
      <c r="H2380" s="5" t="n"/>
      <c r="I2380" s="5" t="n"/>
      <c r="J2380" s="6" t="n"/>
      <c r="K2380" s="6" t="n"/>
      <c r="L2380" s="7">
        <f>IF(OR(D2380="",N(J2380)=0),"",MIN(1,N(K2380)/J2380))</f>
        <v/>
      </c>
      <c r="M2380" s="5" t="n"/>
      <c r="N2380" s="5" t="n"/>
      <c r="O2380" s="5" t="n"/>
      <c r="P2380" s="5" t="n"/>
      <c r="Q2380" s="5" t="n"/>
      <c r="R2380" s="4" t="n"/>
      <c r="S2380" s="4" t="n"/>
      <c r="T2380" s="5" t="n"/>
      <c r="U2380" s="8">
        <f>IF(AND(V2380=1,D2380&lt;&gt;""),IF(D2380&gt;=corte,TODAY()-D2380,""),"")</f>
        <v/>
      </c>
      <c r="V2380" s="8">
        <f>IF(D2380="",0,IF(OR(AND(P2380&lt;&gt;"",S2380=""),AND(N(J2380)&gt;0,N(K2380)&lt;J2380),OR(M2380="PENDENTE",M2380="PARCIAL"),OR(N2380="PENDENTE",N2380="PARCIAL")),1,0))</f>
        <v/>
      </c>
      <c r="W2380" s="8">
        <f>IF(AND(V2380=1,D2380&lt;&gt;""),IF(D2380&gt;=corte,(B2380="CRÍTICO")*1E9+(100000-D2380)*10000+10000-ROW(),""),"")</f>
        <v/>
      </c>
      <c r="X2380" s="8">
        <f>IF(AND(V2380=1,D2380=pas_data,E2380=pas_turno),10000-ROW(),"")</f>
        <v/>
      </c>
    </row>
    <row r="2381">
      <c r="A2381" s="3">
        <f>IF(D2381="","","TT-"&amp;TEXT(ROW()-1,"00000"))</f>
        <v/>
      </c>
      <c r="B2381" s="3">
        <f>IF(D2381="","",IF(V2381=0,"CONCLUÍDO",IF(D2381&lt;corte,"HISTÓRICO",IF(OR(AND(ISNUMBER(R2381),R2381&lt;TODAY()),AND(OR(N2381="PENDENTE",N2381="PARCIAL"),D2381&lt;TODAY()-1)),"CRÍTICO",IF(OR(AND(P2381&lt;&gt;"",S2381=""),AND(N2381="REALIZADO",M2381="PENDENTE"),AND(ISNUMBER(R2381),R2381=TODAY())),"ATENÇÃO",IF(N(K2381)=0,"PENDENTE","EM ANDAMENTO"))))))</f>
        <v/>
      </c>
      <c r="C2381" s="3">
        <f>IF(D2381="","",IF(V2381=0,"🟢 OK",IF(D2381&lt;corte,"⚪ HISTÓRICO (sem baixa)",IF(AND(ISNUMBER(R2381),R2381&lt;TODAY()),"🔴 PRAZO VENCIDO",IF(AND(OR(N2381="PENDENTE",N2381="PARCIAL"),D2381&lt;TODAY()-1),"🔴 EMBARQUE ATRASADO",IF(AND(N2381="REALIZADO",M2381="PENDENTE"),"🟡 EMBARCADO SEM FATURAR",IF(AND(P2381&lt;&gt;"",S2381="",OR(Q2381="",R2381="")),"🟡 PENDÊNCIA SEM RESPONSÁVEL/PRAZO",IF(AND(ISNUMBER(R2381),R2381=TODAY()),"🟡 VENCE HOJE",IF(AND(P2381&lt;&gt;"",S2381=""),"🟡 PENDÊNCIA ABERTA",IF(AND(N(J2381)&gt;0,N(K2381)&lt;J2381),"🟡 FALTA EXECUTAR",IF(OR(M2381="PENDENTE",M2381="PARCIAL"),"🟡 FATURAMENTO PENDENTE","🟡 EMBARQUE PENDENTE")))))))))))</f>
        <v/>
      </c>
      <c r="D2381" s="4" t="n"/>
      <c r="E2381" s="5" t="n"/>
      <c r="F2381" s="5" t="n"/>
      <c r="G2381" s="5" t="n"/>
      <c r="H2381" s="5" t="n"/>
      <c r="I2381" s="5" t="n"/>
      <c r="J2381" s="6" t="n"/>
      <c r="K2381" s="6" t="n"/>
      <c r="L2381" s="7">
        <f>IF(OR(D2381="",N(J2381)=0),"",MIN(1,N(K2381)/J2381))</f>
        <v/>
      </c>
      <c r="M2381" s="5" t="n"/>
      <c r="N2381" s="5" t="n"/>
      <c r="O2381" s="5" t="n"/>
      <c r="P2381" s="5" t="n"/>
      <c r="Q2381" s="5" t="n"/>
      <c r="R2381" s="4" t="n"/>
      <c r="S2381" s="4" t="n"/>
      <c r="T2381" s="5" t="n"/>
      <c r="U2381" s="8">
        <f>IF(AND(V2381=1,D2381&lt;&gt;""),IF(D2381&gt;=corte,TODAY()-D2381,""),"")</f>
        <v/>
      </c>
      <c r="V2381" s="8">
        <f>IF(D2381="",0,IF(OR(AND(P2381&lt;&gt;"",S2381=""),AND(N(J2381)&gt;0,N(K2381)&lt;J2381),OR(M2381="PENDENTE",M2381="PARCIAL"),OR(N2381="PENDENTE",N2381="PARCIAL")),1,0))</f>
        <v/>
      </c>
      <c r="W2381" s="8">
        <f>IF(AND(V2381=1,D2381&lt;&gt;""),IF(D2381&gt;=corte,(B2381="CRÍTICO")*1E9+(100000-D2381)*10000+10000-ROW(),""),"")</f>
        <v/>
      </c>
      <c r="X2381" s="8">
        <f>IF(AND(V2381=1,D2381=pas_data,E2381=pas_turno),10000-ROW(),"")</f>
        <v/>
      </c>
    </row>
    <row r="2382">
      <c r="A2382" s="3">
        <f>IF(D2382="","","TT-"&amp;TEXT(ROW()-1,"00000"))</f>
        <v/>
      </c>
      <c r="B2382" s="3">
        <f>IF(D2382="","",IF(V2382=0,"CONCLUÍDO",IF(D2382&lt;corte,"HISTÓRICO",IF(OR(AND(ISNUMBER(R2382),R2382&lt;TODAY()),AND(OR(N2382="PENDENTE",N2382="PARCIAL"),D2382&lt;TODAY()-1)),"CRÍTICO",IF(OR(AND(P2382&lt;&gt;"",S2382=""),AND(N2382="REALIZADO",M2382="PENDENTE"),AND(ISNUMBER(R2382),R2382=TODAY())),"ATENÇÃO",IF(N(K2382)=0,"PENDENTE","EM ANDAMENTO"))))))</f>
        <v/>
      </c>
      <c r="C2382" s="3">
        <f>IF(D2382="","",IF(V2382=0,"🟢 OK",IF(D2382&lt;corte,"⚪ HISTÓRICO (sem baixa)",IF(AND(ISNUMBER(R2382),R2382&lt;TODAY()),"🔴 PRAZO VENCIDO",IF(AND(OR(N2382="PENDENTE",N2382="PARCIAL"),D2382&lt;TODAY()-1),"🔴 EMBARQUE ATRASADO",IF(AND(N2382="REALIZADO",M2382="PENDENTE"),"🟡 EMBARCADO SEM FATURAR",IF(AND(P2382&lt;&gt;"",S2382="",OR(Q2382="",R2382="")),"🟡 PENDÊNCIA SEM RESPONSÁVEL/PRAZO",IF(AND(ISNUMBER(R2382),R2382=TODAY()),"🟡 VENCE HOJE",IF(AND(P2382&lt;&gt;"",S2382=""),"🟡 PENDÊNCIA ABERTA",IF(AND(N(J2382)&gt;0,N(K2382)&lt;J2382),"🟡 FALTA EXECUTAR",IF(OR(M2382="PENDENTE",M2382="PARCIAL"),"🟡 FATURAMENTO PENDENTE","🟡 EMBARQUE PENDENTE")))))))))))</f>
        <v/>
      </c>
      <c r="D2382" s="4" t="n"/>
      <c r="E2382" s="5" t="n"/>
      <c r="F2382" s="5" t="n"/>
      <c r="G2382" s="5" t="n"/>
      <c r="H2382" s="5" t="n"/>
      <c r="I2382" s="5" t="n"/>
      <c r="J2382" s="6" t="n"/>
      <c r="K2382" s="6" t="n"/>
      <c r="L2382" s="7">
        <f>IF(OR(D2382="",N(J2382)=0),"",MIN(1,N(K2382)/J2382))</f>
        <v/>
      </c>
      <c r="M2382" s="5" t="n"/>
      <c r="N2382" s="5" t="n"/>
      <c r="O2382" s="5" t="n"/>
      <c r="P2382" s="5" t="n"/>
      <c r="Q2382" s="5" t="n"/>
      <c r="R2382" s="4" t="n"/>
      <c r="S2382" s="4" t="n"/>
      <c r="T2382" s="5" t="n"/>
      <c r="U2382" s="8">
        <f>IF(AND(V2382=1,D2382&lt;&gt;""),IF(D2382&gt;=corte,TODAY()-D2382,""),"")</f>
        <v/>
      </c>
      <c r="V2382" s="8">
        <f>IF(D2382="",0,IF(OR(AND(P2382&lt;&gt;"",S2382=""),AND(N(J2382)&gt;0,N(K2382)&lt;J2382),OR(M2382="PENDENTE",M2382="PARCIAL"),OR(N2382="PENDENTE",N2382="PARCIAL")),1,0))</f>
        <v/>
      </c>
      <c r="W2382" s="8">
        <f>IF(AND(V2382=1,D2382&lt;&gt;""),IF(D2382&gt;=corte,(B2382="CRÍTICO")*1E9+(100000-D2382)*10000+10000-ROW(),""),"")</f>
        <v/>
      </c>
      <c r="X2382" s="8">
        <f>IF(AND(V2382=1,D2382=pas_data,E2382=pas_turno),10000-ROW(),"")</f>
        <v/>
      </c>
    </row>
    <row r="2383">
      <c r="A2383" s="3">
        <f>IF(D2383="","","TT-"&amp;TEXT(ROW()-1,"00000"))</f>
        <v/>
      </c>
      <c r="B2383" s="3">
        <f>IF(D2383="","",IF(V2383=0,"CONCLUÍDO",IF(D2383&lt;corte,"HISTÓRICO",IF(OR(AND(ISNUMBER(R2383),R2383&lt;TODAY()),AND(OR(N2383="PENDENTE",N2383="PARCIAL"),D2383&lt;TODAY()-1)),"CRÍTICO",IF(OR(AND(P2383&lt;&gt;"",S2383=""),AND(N2383="REALIZADO",M2383="PENDENTE"),AND(ISNUMBER(R2383),R2383=TODAY())),"ATENÇÃO",IF(N(K2383)=0,"PENDENTE","EM ANDAMENTO"))))))</f>
        <v/>
      </c>
      <c r="C2383" s="3">
        <f>IF(D2383="","",IF(V2383=0,"🟢 OK",IF(D2383&lt;corte,"⚪ HISTÓRICO (sem baixa)",IF(AND(ISNUMBER(R2383),R2383&lt;TODAY()),"🔴 PRAZO VENCIDO",IF(AND(OR(N2383="PENDENTE",N2383="PARCIAL"),D2383&lt;TODAY()-1),"🔴 EMBARQUE ATRASADO",IF(AND(N2383="REALIZADO",M2383="PENDENTE"),"🟡 EMBARCADO SEM FATURAR",IF(AND(P2383&lt;&gt;"",S2383="",OR(Q2383="",R2383="")),"🟡 PENDÊNCIA SEM RESPONSÁVEL/PRAZO",IF(AND(ISNUMBER(R2383),R2383=TODAY()),"🟡 VENCE HOJE",IF(AND(P2383&lt;&gt;"",S2383=""),"🟡 PENDÊNCIA ABERTA",IF(AND(N(J2383)&gt;0,N(K2383)&lt;J2383),"🟡 FALTA EXECUTAR",IF(OR(M2383="PENDENTE",M2383="PARCIAL"),"🟡 FATURAMENTO PENDENTE","🟡 EMBARQUE PENDENTE")))))))))))</f>
        <v/>
      </c>
      <c r="D2383" s="4" t="n"/>
      <c r="E2383" s="5" t="n"/>
      <c r="F2383" s="5" t="n"/>
      <c r="G2383" s="5" t="n"/>
      <c r="H2383" s="5" t="n"/>
      <c r="I2383" s="5" t="n"/>
      <c r="J2383" s="6" t="n"/>
      <c r="K2383" s="6" t="n"/>
      <c r="L2383" s="7">
        <f>IF(OR(D2383="",N(J2383)=0),"",MIN(1,N(K2383)/J2383))</f>
        <v/>
      </c>
      <c r="M2383" s="5" t="n"/>
      <c r="N2383" s="5" t="n"/>
      <c r="O2383" s="5" t="n"/>
      <c r="P2383" s="5" t="n"/>
      <c r="Q2383" s="5" t="n"/>
      <c r="R2383" s="4" t="n"/>
      <c r="S2383" s="4" t="n"/>
      <c r="T2383" s="5" t="n"/>
      <c r="U2383" s="8">
        <f>IF(AND(V2383=1,D2383&lt;&gt;""),IF(D2383&gt;=corte,TODAY()-D2383,""),"")</f>
        <v/>
      </c>
      <c r="V2383" s="8">
        <f>IF(D2383="",0,IF(OR(AND(P2383&lt;&gt;"",S2383=""),AND(N(J2383)&gt;0,N(K2383)&lt;J2383),OR(M2383="PENDENTE",M2383="PARCIAL"),OR(N2383="PENDENTE",N2383="PARCIAL")),1,0))</f>
        <v/>
      </c>
      <c r="W2383" s="8">
        <f>IF(AND(V2383=1,D2383&lt;&gt;""),IF(D2383&gt;=corte,(B2383="CRÍTICO")*1E9+(100000-D2383)*10000+10000-ROW(),""),"")</f>
        <v/>
      </c>
      <c r="X2383" s="8">
        <f>IF(AND(V2383=1,D2383=pas_data,E2383=pas_turno),10000-ROW(),"")</f>
        <v/>
      </c>
    </row>
    <row r="2384">
      <c r="A2384" s="3">
        <f>IF(D2384="","","TT-"&amp;TEXT(ROW()-1,"00000"))</f>
        <v/>
      </c>
      <c r="B2384" s="3">
        <f>IF(D2384="","",IF(V2384=0,"CONCLUÍDO",IF(D2384&lt;corte,"HISTÓRICO",IF(OR(AND(ISNUMBER(R2384),R2384&lt;TODAY()),AND(OR(N2384="PENDENTE",N2384="PARCIAL"),D2384&lt;TODAY()-1)),"CRÍTICO",IF(OR(AND(P2384&lt;&gt;"",S2384=""),AND(N2384="REALIZADO",M2384="PENDENTE"),AND(ISNUMBER(R2384),R2384=TODAY())),"ATENÇÃO",IF(N(K2384)=0,"PENDENTE","EM ANDAMENTO"))))))</f>
        <v/>
      </c>
      <c r="C2384" s="3">
        <f>IF(D2384="","",IF(V2384=0,"🟢 OK",IF(D2384&lt;corte,"⚪ HISTÓRICO (sem baixa)",IF(AND(ISNUMBER(R2384),R2384&lt;TODAY()),"🔴 PRAZO VENCIDO",IF(AND(OR(N2384="PENDENTE",N2384="PARCIAL"),D2384&lt;TODAY()-1),"🔴 EMBARQUE ATRASADO",IF(AND(N2384="REALIZADO",M2384="PENDENTE"),"🟡 EMBARCADO SEM FATURAR",IF(AND(P2384&lt;&gt;"",S2384="",OR(Q2384="",R2384="")),"🟡 PENDÊNCIA SEM RESPONSÁVEL/PRAZO",IF(AND(ISNUMBER(R2384),R2384=TODAY()),"🟡 VENCE HOJE",IF(AND(P2384&lt;&gt;"",S2384=""),"🟡 PENDÊNCIA ABERTA",IF(AND(N(J2384)&gt;0,N(K2384)&lt;J2384),"🟡 FALTA EXECUTAR",IF(OR(M2384="PENDENTE",M2384="PARCIAL"),"🟡 FATURAMENTO PENDENTE","🟡 EMBARQUE PENDENTE")))))))))))</f>
        <v/>
      </c>
      <c r="D2384" s="4" t="n"/>
      <c r="E2384" s="5" t="n"/>
      <c r="F2384" s="5" t="n"/>
      <c r="G2384" s="5" t="n"/>
      <c r="H2384" s="5" t="n"/>
      <c r="I2384" s="5" t="n"/>
      <c r="J2384" s="6" t="n"/>
      <c r="K2384" s="6" t="n"/>
      <c r="L2384" s="7">
        <f>IF(OR(D2384="",N(J2384)=0),"",MIN(1,N(K2384)/J2384))</f>
        <v/>
      </c>
      <c r="M2384" s="5" t="n"/>
      <c r="N2384" s="5" t="n"/>
      <c r="O2384" s="5" t="n"/>
      <c r="P2384" s="5" t="n"/>
      <c r="Q2384" s="5" t="n"/>
      <c r="R2384" s="4" t="n"/>
      <c r="S2384" s="4" t="n"/>
      <c r="T2384" s="5" t="n"/>
      <c r="U2384" s="8">
        <f>IF(AND(V2384=1,D2384&lt;&gt;""),IF(D2384&gt;=corte,TODAY()-D2384,""),"")</f>
        <v/>
      </c>
      <c r="V2384" s="8">
        <f>IF(D2384="",0,IF(OR(AND(P2384&lt;&gt;"",S2384=""),AND(N(J2384)&gt;0,N(K2384)&lt;J2384),OR(M2384="PENDENTE",M2384="PARCIAL"),OR(N2384="PENDENTE",N2384="PARCIAL")),1,0))</f>
        <v/>
      </c>
      <c r="W2384" s="8">
        <f>IF(AND(V2384=1,D2384&lt;&gt;""),IF(D2384&gt;=corte,(B2384="CRÍTICO")*1E9+(100000-D2384)*10000+10000-ROW(),""),"")</f>
        <v/>
      </c>
      <c r="X2384" s="8">
        <f>IF(AND(V2384=1,D2384=pas_data,E2384=pas_turno),10000-ROW(),"")</f>
        <v/>
      </c>
    </row>
    <row r="2385">
      <c r="A2385" s="3">
        <f>IF(D2385="","","TT-"&amp;TEXT(ROW()-1,"00000"))</f>
        <v/>
      </c>
      <c r="B2385" s="3">
        <f>IF(D2385="","",IF(V2385=0,"CONCLUÍDO",IF(D2385&lt;corte,"HISTÓRICO",IF(OR(AND(ISNUMBER(R2385),R2385&lt;TODAY()),AND(OR(N2385="PENDENTE",N2385="PARCIAL"),D2385&lt;TODAY()-1)),"CRÍTICO",IF(OR(AND(P2385&lt;&gt;"",S2385=""),AND(N2385="REALIZADO",M2385="PENDENTE"),AND(ISNUMBER(R2385),R2385=TODAY())),"ATENÇÃO",IF(N(K2385)=0,"PENDENTE","EM ANDAMENTO"))))))</f>
        <v/>
      </c>
      <c r="C2385" s="3">
        <f>IF(D2385="","",IF(V2385=0,"🟢 OK",IF(D2385&lt;corte,"⚪ HISTÓRICO (sem baixa)",IF(AND(ISNUMBER(R2385),R2385&lt;TODAY()),"🔴 PRAZO VENCIDO",IF(AND(OR(N2385="PENDENTE",N2385="PARCIAL"),D2385&lt;TODAY()-1),"🔴 EMBARQUE ATRASADO",IF(AND(N2385="REALIZADO",M2385="PENDENTE"),"🟡 EMBARCADO SEM FATURAR",IF(AND(P2385&lt;&gt;"",S2385="",OR(Q2385="",R2385="")),"🟡 PENDÊNCIA SEM RESPONSÁVEL/PRAZO",IF(AND(ISNUMBER(R2385),R2385=TODAY()),"🟡 VENCE HOJE",IF(AND(P2385&lt;&gt;"",S2385=""),"🟡 PENDÊNCIA ABERTA",IF(AND(N(J2385)&gt;0,N(K2385)&lt;J2385),"🟡 FALTA EXECUTAR",IF(OR(M2385="PENDENTE",M2385="PARCIAL"),"🟡 FATURAMENTO PENDENTE","🟡 EMBARQUE PENDENTE")))))))))))</f>
        <v/>
      </c>
      <c r="D2385" s="4" t="n"/>
      <c r="E2385" s="5" t="n"/>
      <c r="F2385" s="5" t="n"/>
      <c r="G2385" s="5" t="n"/>
      <c r="H2385" s="5" t="n"/>
      <c r="I2385" s="5" t="n"/>
      <c r="J2385" s="6" t="n"/>
      <c r="K2385" s="6" t="n"/>
      <c r="L2385" s="7">
        <f>IF(OR(D2385="",N(J2385)=0),"",MIN(1,N(K2385)/J2385))</f>
        <v/>
      </c>
      <c r="M2385" s="5" t="n"/>
      <c r="N2385" s="5" t="n"/>
      <c r="O2385" s="5" t="n"/>
      <c r="P2385" s="5" t="n"/>
      <c r="Q2385" s="5" t="n"/>
      <c r="R2385" s="4" t="n"/>
      <c r="S2385" s="4" t="n"/>
      <c r="T2385" s="5" t="n"/>
      <c r="U2385" s="8">
        <f>IF(AND(V2385=1,D2385&lt;&gt;""),IF(D2385&gt;=corte,TODAY()-D2385,""),"")</f>
        <v/>
      </c>
      <c r="V2385" s="8">
        <f>IF(D2385="",0,IF(OR(AND(P2385&lt;&gt;"",S2385=""),AND(N(J2385)&gt;0,N(K2385)&lt;J2385),OR(M2385="PENDENTE",M2385="PARCIAL"),OR(N2385="PENDENTE",N2385="PARCIAL")),1,0))</f>
        <v/>
      </c>
      <c r="W2385" s="8">
        <f>IF(AND(V2385=1,D2385&lt;&gt;""),IF(D2385&gt;=corte,(B2385="CRÍTICO")*1E9+(100000-D2385)*10000+10000-ROW(),""),"")</f>
        <v/>
      </c>
      <c r="X2385" s="8">
        <f>IF(AND(V2385=1,D2385=pas_data,E2385=pas_turno),10000-ROW(),"")</f>
        <v/>
      </c>
    </row>
    <row r="2386">
      <c r="A2386" s="3">
        <f>IF(D2386="","","TT-"&amp;TEXT(ROW()-1,"00000"))</f>
        <v/>
      </c>
      <c r="B2386" s="3">
        <f>IF(D2386="","",IF(V2386=0,"CONCLUÍDO",IF(D2386&lt;corte,"HISTÓRICO",IF(OR(AND(ISNUMBER(R2386),R2386&lt;TODAY()),AND(OR(N2386="PENDENTE",N2386="PARCIAL"),D2386&lt;TODAY()-1)),"CRÍTICO",IF(OR(AND(P2386&lt;&gt;"",S2386=""),AND(N2386="REALIZADO",M2386="PENDENTE"),AND(ISNUMBER(R2386),R2386=TODAY())),"ATENÇÃO",IF(N(K2386)=0,"PENDENTE","EM ANDAMENTO"))))))</f>
        <v/>
      </c>
      <c r="C2386" s="3">
        <f>IF(D2386="","",IF(V2386=0,"🟢 OK",IF(D2386&lt;corte,"⚪ HISTÓRICO (sem baixa)",IF(AND(ISNUMBER(R2386),R2386&lt;TODAY()),"🔴 PRAZO VENCIDO",IF(AND(OR(N2386="PENDENTE",N2386="PARCIAL"),D2386&lt;TODAY()-1),"🔴 EMBARQUE ATRASADO",IF(AND(N2386="REALIZADO",M2386="PENDENTE"),"🟡 EMBARCADO SEM FATURAR",IF(AND(P2386&lt;&gt;"",S2386="",OR(Q2386="",R2386="")),"🟡 PENDÊNCIA SEM RESPONSÁVEL/PRAZO",IF(AND(ISNUMBER(R2386),R2386=TODAY()),"🟡 VENCE HOJE",IF(AND(P2386&lt;&gt;"",S2386=""),"🟡 PENDÊNCIA ABERTA",IF(AND(N(J2386)&gt;0,N(K2386)&lt;J2386),"🟡 FALTA EXECUTAR",IF(OR(M2386="PENDENTE",M2386="PARCIAL"),"🟡 FATURAMENTO PENDENTE","🟡 EMBARQUE PENDENTE")))))))))))</f>
        <v/>
      </c>
      <c r="D2386" s="4" t="n"/>
      <c r="E2386" s="5" t="n"/>
      <c r="F2386" s="5" t="n"/>
      <c r="G2386" s="5" t="n"/>
      <c r="H2386" s="5" t="n"/>
      <c r="I2386" s="5" t="n"/>
      <c r="J2386" s="6" t="n"/>
      <c r="K2386" s="6" t="n"/>
      <c r="L2386" s="7">
        <f>IF(OR(D2386="",N(J2386)=0),"",MIN(1,N(K2386)/J2386))</f>
        <v/>
      </c>
      <c r="M2386" s="5" t="n"/>
      <c r="N2386" s="5" t="n"/>
      <c r="O2386" s="5" t="n"/>
      <c r="P2386" s="5" t="n"/>
      <c r="Q2386" s="5" t="n"/>
      <c r="R2386" s="4" t="n"/>
      <c r="S2386" s="4" t="n"/>
      <c r="T2386" s="5" t="n"/>
      <c r="U2386" s="8">
        <f>IF(AND(V2386=1,D2386&lt;&gt;""),IF(D2386&gt;=corte,TODAY()-D2386,""),"")</f>
        <v/>
      </c>
      <c r="V2386" s="8">
        <f>IF(D2386="",0,IF(OR(AND(P2386&lt;&gt;"",S2386=""),AND(N(J2386)&gt;0,N(K2386)&lt;J2386),OR(M2386="PENDENTE",M2386="PARCIAL"),OR(N2386="PENDENTE",N2386="PARCIAL")),1,0))</f>
        <v/>
      </c>
      <c r="W2386" s="8">
        <f>IF(AND(V2386=1,D2386&lt;&gt;""),IF(D2386&gt;=corte,(B2386="CRÍTICO")*1E9+(100000-D2386)*10000+10000-ROW(),""),"")</f>
        <v/>
      </c>
      <c r="X2386" s="8">
        <f>IF(AND(V2386=1,D2386=pas_data,E2386=pas_turno),10000-ROW(),"")</f>
        <v/>
      </c>
    </row>
    <row r="2387">
      <c r="A2387" s="3">
        <f>IF(D2387="","","TT-"&amp;TEXT(ROW()-1,"00000"))</f>
        <v/>
      </c>
      <c r="B2387" s="3">
        <f>IF(D2387="","",IF(V2387=0,"CONCLUÍDO",IF(D2387&lt;corte,"HISTÓRICO",IF(OR(AND(ISNUMBER(R2387),R2387&lt;TODAY()),AND(OR(N2387="PENDENTE",N2387="PARCIAL"),D2387&lt;TODAY()-1)),"CRÍTICO",IF(OR(AND(P2387&lt;&gt;"",S2387=""),AND(N2387="REALIZADO",M2387="PENDENTE"),AND(ISNUMBER(R2387),R2387=TODAY())),"ATENÇÃO",IF(N(K2387)=0,"PENDENTE","EM ANDAMENTO"))))))</f>
        <v/>
      </c>
      <c r="C2387" s="3">
        <f>IF(D2387="","",IF(V2387=0,"🟢 OK",IF(D2387&lt;corte,"⚪ HISTÓRICO (sem baixa)",IF(AND(ISNUMBER(R2387),R2387&lt;TODAY()),"🔴 PRAZO VENCIDO",IF(AND(OR(N2387="PENDENTE",N2387="PARCIAL"),D2387&lt;TODAY()-1),"🔴 EMBARQUE ATRASADO",IF(AND(N2387="REALIZADO",M2387="PENDENTE"),"🟡 EMBARCADO SEM FATURAR",IF(AND(P2387&lt;&gt;"",S2387="",OR(Q2387="",R2387="")),"🟡 PENDÊNCIA SEM RESPONSÁVEL/PRAZO",IF(AND(ISNUMBER(R2387),R2387=TODAY()),"🟡 VENCE HOJE",IF(AND(P2387&lt;&gt;"",S2387=""),"🟡 PENDÊNCIA ABERTA",IF(AND(N(J2387)&gt;0,N(K2387)&lt;J2387),"🟡 FALTA EXECUTAR",IF(OR(M2387="PENDENTE",M2387="PARCIAL"),"🟡 FATURAMENTO PENDENTE","🟡 EMBARQUE PENDENTE")))))))))))</f>
        <v/>
      </c>
      <c r="D2387" s="4" t="n"/>
      <c r="E2387" s="5" t="n"/>
      <c r="F2387" s="5" t="n"/>
      <c r="G2387" s="5" t="n"/>
      <c r="H2387" s="5" t="n"/>
      <c r="I2387" s="5" t="n"/>
      <c r="J2387" s="6" t="n"/>
      <c r="K2387" s="6" t="n"/>
      <c r="L2387" s="7">
        <f>IF(OR(D2387="",N(J2387)=0),"",MIN(1,N(K2387)/J2387))</f>
        <v/>
      </c>
      <c r="M2387" s="5" t="n"/>
      <c r="N2387" s="5" t="n"/>
      <c r="O2387" s="5" t="n"/>
      <c r="P2387" s="5" t="n"/>
      <c r="Q2387" s="5" t="n"/>
      <c r="R2387" s="4" t="n"/>
      <c r="S2387" s="4" t="n"/>
      <c r="T2387" s="5" t="n"/>
      <c r="U2387" s="8">
        <f>IF(AND(V2387=1,D2387&lt;&gt;""),IF(D2387&gt;=corte,TODAY()-D2387,""),"")</f>
        <v/>
      </c>
      <c r="V2387" s="8">
        <f>IF(D2387="",0,IF(OR(AND(P2387&lt;&gt;"",S2387=""),AND(N(J2387)&gt;0,N(K2387)&lt;J2387),OR(M2387="PENDENTE",M2387="PARCIAL"),OR(N2387="PENDENTE",N2387="PARCIAL")),1,0))</f>
        <v/>
      </c>
      <c r="W2387" s="8">
        <f>IF(AND(V2387=1,D2387&lt;&gt;""),IF(D2387&gt;=corte,(B2387="CRÍTICO")*1E9+(100000-D2387)*10000+10000-ROW(),""),"")</f>
        <v/>
      </c>
      <c r="X2387" s="8">
        <f>IF(AND(V2387=1,D2387=pas_data,E2387=pas_turno),10000-ROW(),"")</f>
        <v/>
      </c>
    </row>
    <row r="2388">
      <c r="A2388" s="3">
        <f>IF(D2388="","","TT-"&amp;TEXT(ROW()-1,"00000"))</f>
        <v/>
      </c>
      <c r="B2388" s="3">
        <f>IF(D2388="","",IF(V2388=0,"CONCLUÍDO",IF(D2388&lt;corte,"HISTÓRICO",IF(OR(AND(ISNUMBER(R2388),R2388&lt;TODAY()),AND(OR(N2388="PENDENTE",N2388="PARCIAL"),D2388&lt;TODAY()-1)),"CRÍTICO",IF(OR(AND(P2388&lt;&gt;"",S2388=""),AND(N2388="REALIZADO",M2388="PENDENTE"),AND(ISNUMBER(R2388),R2388=TODAY())),"ATENÇÃO",IF(N(K2388)=0,"PENDENTE","EM ANDAMENTO"))))))</f>
        <v/>
      </c>
      <c r="C2388" s="3">
        <f>IF(D2388="","",IF(V2388=0,"🟢 OK",IF(D2388&lt;corte,"⚪ HISTÓRICO (sem baixa)",IF(AND(ISNUMBER(R2388),R2388&lt;TODAY()),"🔴 PRAZO VENCIDO",IF(AND(OR(N2388="PENDENTE",N2388="PARCIAL"),D2388&lt;TODAY()-1),"🔴 EMBARQUE ATRASADO",IF(AND(N2388="REALIZADO",M2388="PENDENTE"),"🟡 EMBARCADO SEM FATURAR",IF(AND(P2388&lt;&gt;"",S2388="",OR(Q2388="",R2388="")),"🟡 PENDÊNCIA SEM RESPONSÁVEL/PRAZO",IF(AND(ISNUMBER(R2388),R2388=TODAY()),"🟡 VENCE HOJE",IF(AND(P2388&lt;&gt;"",S2388=""),"🟡 PENDÊNCIA ABERTA",IF(AND(N(J2388)&gt;0,N(K2388)&lt;J2388),"🟡 FALTA EXECUTAR",IF(OR(M2388="PENDENTE",M2388="PARCIAL"),"🟡 FATURAMENTO PENDENTE","🟡 EMBARQUE PENDENTE")))))))))))</f>
        <v/>
      </c>
      <c r="D2388" s="4" t="n"/>
      <c r="E2388" s="5" t="n"/>
      <c r="F2388" s="5" t="n"/>
      <c r="G2388" s="5" t="n"/>
      <c r="H2388" s="5" t="n"/>
      <c r="I2388" s="5" t="n"/>
      <c r="J2388" s="6" t="n"/>
      <c r="K2388" s="6" t="n"/>
      <c r="L2388" s="7">
        <f>IF(OR(D2388="",N(J2388)=0),"",MIN(1,N(K2388)/J2388))</f>
        <v/>
      </c>
      <c r="M2388" s="5" t="n"/>
      <c r="N2388" s="5" t="n"/>
      <c r="O2388" s="5" t="n"/>
      <c r="P2388" s="5" t="n"/>
      <c r="Q2388" s="5" t="n"/>
      <c r="R2388" s="4" t="n"/>
      <c r="S2388" s="4" t="n"/>
      <c r="T2388" s="5" t="n"/>
      <c r="U2388" s="8">
        <f>IF(AND(V2388=1,D2388&lt;&gt;""),IF(D2388&gt;=corte,TODAY()-D2388,""),"")</f>
        <v/>
      </c>
      <c r="V2388" s="8">
        <f>IF(D2388="",0,IF(OR(AND(P2388&lt;&gt;"",S2388=""),AND(N(J2388)&gt;0,N(K2388)&lt;J2388),OR(M2388="PENDENTE",M2388="PARCIAL"),OR(N2388="PENDENTE",N2388="PARCIAL")),1,0))</f>
        <v/>
      </c>
      <c r="W2388" s="8">
        <f>IF(AND(V2388=1,D2388&lt;&gt;""),IF(D2388&gt;=corte,(B2388="CRÍTICO")*1E9+(100000-D2388)*10000+10000-ROW(),""),"")</f>
        <v/>
      </c>
      <c r="X2388" s="8">
        <f>IF(AND(V2388=1,D2388=pas_data,E2388=pas_turno),10000-ROW(),"")</f>
        <v/>
      </c>
    </row>
    <row r="2389">
      <c r="A2389" s="3">
        <f>IF(D2389="","","TT-"&amp;TEXT(ROW()-1,"00000"))</f>
        <v/>
      </c>
      <c r="B2389" s="3">
        <f>IF(D2389="","",IF(V2389=0,"CONCLUÍDO",IF(D2389&lt;corte,"HISTÓRICO",IF(OR(AND(ISNUMBER(R2389),R2389&lt;TODAY()),AND(OR(N2389="PENDENTE",N2389="PARCIAL"),D2389&lt;TODAY()-1)),"CRÍTICO",IF(OR(AND(P2389&lt;&gt;"",S2389=""),AND(N2389="REALIZADO",M2389="PENDENTE"),AND(ISNUMBER(R2389),R2389=TODAY())),"ATENÇÃO",IF(N(K2389)=0,"PENDENTE","EM ANDAMENTO"))))))</f>
        <v/>
      </c>
      <c r="C2389" s="3">
        <f>IF(D2389="","",IF(V2389=0,"🟢 OK",IF(D2389&lt;corte,"⚪ HISTÓRICO (sem baixa)",IF(AND(ISNUMBER(R2389),R2389&lt;TODAY()),"🔴 PRAZO VENCIDO",IF(AND(OR(N2389="PENDENTE",N2389="PARCIAL"),D2389&lt;TODAY()-1),"🔴 EMBARQUE ATRASADO",IF(AND(N2389="REALIZADO",M2389="PENDENTE"),"🟡 EMBARCADO SEM FATURAR",IF(AND(P2389&lt;&gt;"",S2389="",OR(Q2389="",R2389="")),"🟡 PENDÊNCIA SEM RESPONSÁVEL/PRAZO",IF(AND(ISNUMBER(R2389),R2389=TODAY()),"🟡 VENCE HOJE",IF(AND(P2389&lt;&gt;"",S2389=""),"🟡 PENDÊNCIA ABERTA",IF(AND(N(J2389)&gt;0,N(K2389)&lt;J2389),"🟡 FALTA EXECUTAR",IF(OR(M2389="PENDENTE",M2389="PARCIAL"),"🟡 FATURAMENTO PENDENTE","🟡 EMBARQUE PENDENTE")))))))))))</f>
        <v/>
      </c>
      <c r="D2389" s="4" t="n"/>
      <c r="E2389" s="5" t="n"/>
      <c r="F2389" s="5" t="n"/>
      <c r="G2389" s="5" t="n"/>
      <c r="H2389" s="5" t="n"/>
      <c r="I2389" s="5" t="n"/>
      <c r="J2389" s="6" t="n"/>
      <c r="K2389" s="6" t="n"/>
      <c r="L2389" s="7">
        <f>IF(OR(D2389="",N(J2389)=0),"",MIN(1,N(K2389)/J2389))</f>
        <v/>
      </c>
      <c r="M2389" s="5" t="n"/>
      <c r="N2389" s="5" t="n"/>
      <c r="O2389" s="5" t="n"/>
      <c r="P2389" s="5" t="n"/>
      <c r="Q2389" s="5" t="n"/>
      <c r="R2389" s="4" t="n"/>
      <c r="S2389" s="4" t="n"/>
      <c r="T2389" s="5" t="n"/>
      <c r="U2389" s="8">
        <f>IF(AND(V2389=1,D2389&lt;&gt;""),IF(D2389&gt;=corte,TODAY()-D2389,""),"")</f>
        <v/>
      </c>
      <c r="V2389" s="8">
        <f>IF(D2389="",0,IF(OR(AND(P2389&lt;&gt;"",S2389=""),AND(N(J2389)&gt;0,N(K2389)&lt;J2389),OR(M2389="PENDENTE",M2389="PARCIAL"),OR(N2389="PENDENTE",N2389="PARCIAL")),1,0))</f>
        <v/>
      </c>
      <c r="W2389" s="8">
        <f>IF(AND(V2389=1,D2389&lt;&gt;""),IF(D2389&gt;=corte,(B2389="CRÍTICO")*1E9+(100000-D2389)*10000+10000-ROW(),""),"")</f>
        <v/>
      </c>
      <c r="X2389" s="8">
        <f>IF(AND(V2389=1,D2389=pas_data,E2389=pas_turno),10000-ROW(),"")</f>
        <v/>
      </c>
    </row>
    <row r="2390">
      <c r="A2390" s="3">
        <f>IF(D2390="","","TT-"&amp;TEXT(ROW()-1,"00000"))</f>
        <v/>
      </c>
      <c r="B2390" s="3">
        <f>IF(D2390="","",IF(V2390=0,"CONCLUÍDO",IF(D2390&lt;corte,"HISTÓRICO",IF(OR(AND(ISNUMBER(R2390),R2390&lt;TODAY()),AND(OR(N2390="PENDENTE",N2390="PARCIAL"),D2390&lt;TODAY()-1)),"CRÍTICO",IF(OR(AND(P2390&lt;&gt;"",S2390=""),AND(N2390="REALIZADO",M2390="PENDENTE"),AND(ISNUMBER(R2390),R2390=TODAY())),"ATENÇÃO",IF(N(K2390)=0,"PENDENTE","EM ANDAMENTO"))))))</f>
        <v/>
      </c>
      <c r="C2390" s="3">
        <f>IF(D2390="","",IF(V2390=0,"🟢 OK",IF(D2390&lt;corte,"⚪ HISTÓRICO (sem baixa)",IF(AND(ISNUMBER(R2390),R2390&lt;TODAY()),"🔴 PRAZO VENCIDO",IF(AND(OR(N2390="PENDENTE",N2390="PARCIAL"),D2390&lt;TODAY()-1),"🔴 EMBARQUE ATRASADO",IF(AND(N2390="REALIZADO",M2390="PENDENTE"),"🟡 EMBARCADO SEM FATURAR",IF(AND(P2390&lt;&gt;"",S2390="",OR(Q2390="",R2390="")),"🟡 PENDÊNCIA SEM RESPONSÁVEL/PRAZO",IF(AND(ISNUMBER(R2390),R2390=TODAY()),"🟡 VENCE HOJE",IF(AND(P2390&lt;&gt;"",S2390=""),"🟡 PENDÊNCIA ABERTA",IF(AND(N(J2390)&gt;0,N(K2390)&lt;J2390),"🟡 FALTA EXECUTAR",IF(OR(M2390="PENDENTE",M2390="PARCIAL"),"🟡 FATURAMENTO PENDENTE","🟡 EMBARQUE PENDENTE")))))))))))</f>
        <v/>
      </c>
      <c r="D2390" s="4" t="n"/>
      <c r="E2390" s="5" t="n"/>
      <c r="F2390" s="5" t="n"/>
      <c r="G2390" s="5" t="n"/>
      <c r="H2390" s="5" t="n"/>
      <c r="I2390" s="5" t="n"/>
      <c r="J2390" s="6" t="n"/>
      <c r="K2390" s="6" t="n"/>
      <c r="L2390" s="7">
        <f>IF(OR(D2390="",N(J2390)=0),"",MIN(1,N(K2390)/J2390))</f>
        <v/>
      </c>
      <c r="M2390" s="5" t="n"/>
      <c r="N2390" s="5" t="n"/>
      <c r="O2390" s="5" t="n"/>
      <c r="P2390" s="5" t="n"/>
      <c r="Q2390" s="5" t="n"/>
      <c r="R2390" s="4" t="n"/>
      <c r="S2390" s="4" t="n"/>
      <c r="T2390" s="5" t="n"/>
      <c r="U2390" s="8">
        <f>IF(AND(V2390=1,D2390&lt;&gt;""),IF(D2390&gt;=corte,TODAY()-D2390,""),"")</f>
        <v/>
      </c>
      <c r="V2390" s="8">
        <f>IF(D2390="",0,IF(OR(AND(P2390&lt;&gt;"",S2390=""),AND(N(J2390)&gt;0,N(K2390)&lt;J2390),OR(M2390="PENDENTE",M2390="PARCIAL"),OR(N2390="PENDENTE",N2390="PARCIAL")),1,0))</f>
        <v/>
      </c>
      <c r="W2390" s="8">
        <f>IF(AND(V2390=1,D2390&lt;&gt;""),IF(D2390&gt;=corte,(B2390="CRÍTICO")*1E9+(100000-D2390)*10000+10000-ROW(),""),"")</f>
        <v/>
      </c>
      <c r="X2390" s="8">
        <f>IF(AND(V2390=1,D2390=pas_data,E2390=pas_turno),10000-ROW(),"")</f>
        <v/>
      </c>
    </row>
    <row r="2391">
      <c r="A2391" s="3">
        <f>IF(D2391="","","TT-"&amp;TEXT(ROW()-1,"00000"))</f>
        <v/>
      </c>
      <c r="B2391" s="3">
        <f>IF(D2391="","",IF(V2391=0,"CONCLUÍDO",IF(D2391&lt;corte,"HISTÓRICO",IF(OR(AND(ISNUMBER(R2391),R2391&lt;TODAY()),AND(OR(N2391="PENDENTE",N2391="PARCIAL"),D2391&lt;TODAY()-1)),"CRÍTICO",IF(OR(AND(P2391&lt;&gt;"",S2391=""),AND(N2391="REALIZADO",M2391="PENDENTE"),AND(ISNUMBER(R2391),R2391=TODAY())),"ATENÇÃO",IF(N(K2391)=0,"PENDENTE","EM ANDAMENTO"))))))</f>
        <v/>
      </c>
      <c r="C2391" s="3">
        <f>IF(D2391="","",IF(V2391=0,"🟢 OK",IF(D2391&lt;corte,"⚪ HISTÓRICO (sem baixa)",IF(AND(ISNUMBER(R2391),R2391&lt;TODAY()),"🔴 PRAZO VENCIDO",IF(AND(OR(N2391="PENDENTE",N2391="PARCIAL"),D2391&lt;TODAY()-1),"🔴 EMBARQUE ATRASADO",IF(AND(N2391="REALIZADO",M2391="PENDENTE"),"🟡 EMBARCADO SEM FATURAR",IF(AND(P2391&lt;&gt;"",S2391="",OR(Q2391="",R2391="")),"🟡 PENDÊNCIA SEM RESPONSÁVEL/PRAZO",IF(AND(ISNUMBER(R2391),R2391=TODAY()),"🟡 VENCE HOJE",IF(AND(P2391&lt;&gt;"",S2391=""),"🟡 PENDÊNCIA ABERTA",IF(AND(N(J2391)&gt;0,N(K2391)&lt;J2391),"🟡 FALTA EXECUTAR",IF(OR(M2391="PENDENTE",M2391="PARCIAL"),"🟡 FATURAMENTO PENDENTE","🟡 EMBARQUE PENDENTE")))))))))))</f>
        <v/>
      </c>
      <c r="D2391" s="4" t="n"/>
      <c r="E2391" s="5" t="n"/>
      <c r="F2391" s="5" t="n"/>
      <c r="G2391" s="5" t="n"/>
      <c r="H2391" s="5" t="n"/>
      <c r="I2391" s="5" t="n"/>
      <c r="J2391" s="6" t="n"/>
      <c r="K2391" s="6" t="n"/>
      <c r="L2391" s="7">
        <f>IF(OR(D2391="",N(J2391)=0),"",MIN(1,N(K2391)/J2391))</f>
        <v/>
      </c>
      <c r="M2391" s="5" t="n"/>
      <c r="N2391" s="5" t="n"/>
      <c r="O2391" s="5" t="n"/>
      <c r="P2391" s="5" t="n"/>
      <c r="Q2391" s="5" t="n"/>
      <c r="R2391" s="4" t="n"/>
      <c r="S2391" s="4" t="n"/>
      <c r="T2391" s="5" t="n"/>
      <c r="U2391" s="8">
        <f>IF(AND(V2391=1,D2391&lt;&gt;""),IF(D2391&gt;=corte,TODAY()-D2391,""),"")</f>
        <v/>
      </c>
      <c r="V2391" s="8">
        <f>IF(D2391="",0,IF(OR(AND(P2391&lt;&gt;"",S2391=""),AND(N(J2391)&gt;0,N(K2391)&lt;J2391),OR(M2391="PENDENTE",M2391="PARCIAL"),OR(N2391="PENDENTE",N2391="PARCIAL")),1,0))</f>
        <v/>
      </c>
      <c r="W2391" s="8">
        <f>IF(AND(V2391=1,D2391&lt;&gt;""),IF(D2391&gt;=corte,(B2391="CRÍTICO")*1E9+(100000-D2391)*10000+10000-ROW(),""),"")</f>
        <v/>
      </c>
      <c r="X2391" s="8">
        <f>IF(AND(V2391=1,D2391=pas_data,E2391=pas_turno),10000-ROW(),"")</f>
        <v/>
      </c>
    </row>
    <row r="2392">
      <c r="A2392" s="3">
        <f>IF(D2392="","","TT-"&amp;TEXT(ROW()-1,"00000"))</f>
        <v/>
      </c>
      <c r="B2392" s="3">
        <f>IF(D2392="","",IF(V2392=0,"CONCLUÍDO",IF(D2392&lt;corte,"HISTÓRICO",IF(OR(AND(ISNUMBER(R2392),R2392&lt;TODAY()),AND(OR(N2392="PENDENTE",N2392="PARCIAL"),D2392&lt;TODAY()-1)),"CRÍTICO",IF(OR(AND(P2392&lt;&gt;"",S2392=""),AND(N2392="REALIZADO",M2392="PENDENTE"),AND(ISNUMBER(R2392),R2392=TODAY())),"ATENÇÃO",IF(N(K2392)=0,"PENDENTE","EM ANDAMENTO"))))))</f>
        <v/>
      </c>
      <c r="C2392" s="3">
        <f>IF(D2392="","",IF(V2392=0,"🟢 OK",IF(D2392&lt;corte,"⚪ HISTÓRICO (sem baixa)",IF(AND(ISNUMBER(R2392),R2392&lt;TODAY()),"🔴 PRAZO VENCIDO",IF(AND(OR(N2392="PENDENTE",N2392="PARCIAL"),D2392&lt;TODAY()-1),"🔴 EMBARQUE ATRASADO",IF(AND(N2392="REALIZADO",M2392="PENDENTE"),"🟡 EMBARCADO SEM FATURAR",IF(AND(P2392&lt;&gt;"",S2392="",OR(Q2392="",R2392="")),"🟡 PENDÊNCIA SEM RESPONSÁVEL/PRAZO",IF(AND(ISNUMBER(R2392),R2392=TODAY()),"🟡 VENCE HOJE",IF(AND(P2392&lt;&gt;"",S2392=""),"🟡 PENDÊNCIA ABERTA",IF(AND(N(J2392)&gt;0,N(K2392)&lt;J2392),"🟡 FALTA EXECUTAR",IF(OR(M2392="PENDENTE",M2392="PARCIAL"),"🟡 FATURAMENTO PENDENTE","🟡 EMBARQUE PENDENTE")))))))))))</f>
        <v/>
      </c>
      <c r="D2392" s="4" t="n"/>
      <c r="E2392" s="5" t="n"/>
      <c r="F2392" s="5" t="n"/>
      <c r="G2392" s="5" t="n"/>
      <c r="H2392" s="5" t="n"/>
      <c r="I2392" s="5" t="n"/>
      <c r="J2392" s="6" t="n"/>
      <c r="K2392" s="6" t="n"/>
      <c r="L2392" s="7">
        <f>IF(OR(D2392="",N(J2392)=0),"",MIN(1,N(K2392)/J2392))</f>
        <v/>
      </c>
      <c r="M2392" s="5" t="n"/>
      <c r="N2392" s="5" t="n"/>
      <c r="O2392" s="5" t="n"/>
      <c r="P2392" s="5" t="n"/>
      <c r="Q2392" s="5" t="n"/>
      <c r="R2392" s="4" t="n"/>
      <c r="S2392" s="4" t="n"/>
      <c r="T2392" s="5" t="n"/>
      <c r="U2392" s="8">
        <f>IF(AND(V2392=1,D2392&lt;&gt;""),IF(D2392&gt;=corte,TODAY()-D2392,""),"")</f>
        <v/>
      </c>
      <c r="V2392" s="8">
        <f>IF(D2392="",0,IF(OR(AND(P2392&lt;&gt;"",S2392=""),AND(N(J2392)&gt;0,N(K2392)&lt;J2392),OR(M2392="PENDENTE",M2392="PARCIAL"),OR(N2392="PENDENTE",N2392="PARCIAL")),1,0))</f>
        <v/>
      </c>
      <c r="W2392" s="8">
        <f>IF(AND(V2392=1,D2392&lt;&gt;""),IF(D2392&gt;=corte,(B2392="CRÍTICO")*1E9+(100000-D2392)*10000+10000-ROW(),""),"")</f>
        <v/>
      </c>
      <c r="X2392" s="8">
        <f>IF(AND(V2392=1,D2392=pas_data,E2392=pas_turno),10000-ROW(),"")</f>
        <v/>
      </c>
    </row>
    <row r="2393">
      <c r="A2393" s="3">
        <f>IF(D2393="","","TT-"&amp;TEXT(ROW()-1,"00000"))</f>
        <v/>
      </c>
      <c r="B2393" s="3">
        <f>IF(D2393="","",IF(V2393=0,"CONCLUÍDO",IF(D2393&lt;corte,"HISTÓRICO",IF(OR(AND(ISNUMBER(R2393),R2393&lt;TODAY()),AND(OR(N2393="PENDENTE",N2393="PARCIAL"),D2393&lt;TODAY()-1)),"CRÍTICO",IF(OR(AND(P2393&lt;&gt;"",S2393=""),AND(N2393="REALIZADO",M2393="PENDENTE"),AND(ISNUMBER(R2393),R2393=TODAY())),"ATENÇÃO",IF(N(K2393)=0,"PENDENTE","EM ANDAMENTO"))))))</f>
        <v/>
      </c>
      <c r="C2393" s="3">
        <f>IF(D2393="","",IF(V2393=0,"🟢 OK",IF(D2393&lt;corte,"⚪ HISTÓRICO (sem baixa)",IF(AND(ISNUMBER(R2393),R2393&lt;TODAY()),"🔴 PRAZO VENCIDO",IF(AND(OR(N2393="PENDENTE",N2393="PARCIAL"),D2393&lt;TODAY()-1),"🔴 EMBARQUE ATRASADO",IF(AND(N2393="REALIZADO",M2393="PENDENTE"),"🟡 EMBARCADO SEM FATURAR",IF(AND(P2393&lt;&gt;"",S2393="",OR(Q2393="",R2393="")),"🟡 PENDÊNCIA SEM RESPONSÁVEL/PRAZO",IF(AND(ISNUMBER(R2393),R2393=TODAY()),"🟡 VENCE HOJE",IF(AND(P2393&lt;&gt;"",S2393=""),"🟡 PENDÊNCIA ABERTA",IF(AND(N(J2393)&gt;0,N(K2393)&lt;J2393),"🟡 FALTA EXECUTAR",IF(OR(M2393="PENDENTE",M2393="PARCIAL"),"🟡 FATURAMENTO PENDENTE","🟡 EMBARQUE PENDENTE")))))))))))</f>
        <v/>
      </c>
      <c r="D2393" s="4" t="n"/>
      <c r="E2393" s="5" t="n"/>
      <c r="F2393" s="5" t="n"/>
      <c r="G2393" s="5" t="n"/>
      <c r="H2393" s="5" t="n"/>
      <c r="I2393" s="5" t="n"/>
      <c r="J2393" s="6" t="n"/>
      <c r="K2393" s="6" t="n"/>
      <c r="L2393" s="7">
        <f>IF(OR(D2393="",N(J2393)=0),"",MIN(1,N(K2393)/J2393))</f>
        <v/>
      </c>
      <c r="M2393" s="5" t="n"/>
      <c r="N2393" s="5" t="n"/>
      <c r="O2393" s="5" t="n"/>
      <c r="P2393" s="5" t="n"/>
      <c r="Q2393" s="5" t="n"/>
      <c r="R2393" s="4" t="n"/>
      <c r="S2393" s="4" t="n"/>
      <c r="T2393" s="5" t="n"/>
      <c r="U2393" s="8">
        <f>IF(AND(V2393=1,D2393&lt;&gt;""),IF(D2393&gt;=corte,TODAY()-D2393,""),"")</f>
        <v/>
      </c>
      <c r="V2393" s="8">
        <f>IF(D2393="",0,IF(OR(AND(P2393&lt;&gt;"",S2393=""),AND(N(J2393)&gt;0,N(K2393)&lt;J2393),OR(M2393="PENDENTE",M2393="PARCIAL"),OR(N2393="PENDENTE",N2393="PARCIAL")),1,0))</f>
        <v/>
      </c>
      <c r="W2393" s="8">
        <f>IF(AND(V2393=1,D2393&lt;&gt;""),IF(D2393&gt;=corte,(B2393="CRÍTICO")*1E9+(100000-D2393)*10000+10000-ROW(),""),"")</f>
        <v/>
      </c>
      <c r="X2393" s="8">
        <f>IF(AND(V2393=1,D2393=pas_data,E2393=pas_turno),10000-ROW(),"")</f>
        <v/>
      </c>
    </row>
    <row r="2394">
      <c r="A2394" s="3">
        <f>IF(D2394="","","TT-"&amp;TEXT(ROW()-1,"00000"))</f>
        <v/>
      </c>
      <c r="B2394" s="3">
        <f>IF(D2394="","",IF(V2394=0,"CONCLUÍDO",IF(D2394&lt;corte,"HISTÓRICO",IF(OR(AND(ISNUMBER(R2394),R2394&lt;TODAY()),AND(OR(N2394="PENDENTE",N2394="PARCIAL"),D2394&lt;TODAY()-1)),"CRÍTICO",IF(OR(AND(P2394&lt;&gt;"",S2394=""),AND(N2394="REALIZADO",M2394="PENDENTE"),AND(ISNUMBER(R2394),R2394=TODAY())),"ATENÇÃO",IF(N(K2394)=0,"PENDENTE","EM ANDAMENTO"))))))</f>
        <v/>
      </c>
      <c r="C2394" s="3">
        <f>IF(D2394="","",IF(V2394=0,"🟢 OK",IF(D2394&lt;corte,"⚪ HISTÓRICO (sem baixa)",IF(AND(ISNUMBER(R2394),R2394&lt;TODAY()),"🔴 PRAZO VENCIDO",IF(AND(OR(N2394="PENDENTE",N2394="PARCIAL"),D2394&lt;TODAY()-1),"🔴 EMBARQUE ATRASADO",IF(AND(N2394="REALIZADO",M2394="PENDENTE"),"🟡 EMBARCADO SEM FATURAR",IF(AND(P2394&lt;&gt;"",S2394="",OR(Q2394="",R2394="")),"🟡 PENDÊNCIA SEM RESPONSÁVEL/PRAZO",IF(AND(ISNUMBER(R2394),R2394=TODAY()),"🟡 VENCE HOJE",IF(AND(P2394&lt;&gt;"",S2394=""),"🟡 PENDÊNCIA ABERTA",IF(AND(N(J2394)&gt;0,N(K2394)&lt;J2394),"🟡 FALTA EXECUTAR",IF(OR(M2394="PENDENTE",M2394="PARCIAL"),"🟡 FATURAMENTO PENDENTE","🟡 EMBARQUE PENDENTE")))))))))))</f>
        <v/>
      </c>
      <c r="D2394" s="4" t="n"/>
      <c r="E2394" s="5" t="n"/>
      <c r="F2394" s="5" t="n"/>
      <c r="G2394" s="5" t="n"/>
      <c r="H2394" s="5" t="n"/>
      <c r="I2394" s="5" t="n"/>
      <c r="J2394" s="6" t="n"/>
      <c r="K2394" s="6" t="n"/>
      <c r="L2394" s="7">
        <f>IF(OR(D2394="",N(J2394)=0),"",MIN(1,N(K2394)/J2394))</f>
        <v/>
      </c>
      <c r="M2394" s="5" t="n"/>
      <c r="N2394" s="5" t="n"/>
      <c r="O2394" s="5" t="n"/>
      <c r="P2394" s="5" t="n"/>
      <c r="Q2394" s="5" t="n"/>
      <c r="R2394" s="4" t="n"/>
      <c r="S2394" s="4" t="n"/>
      <c r="T2394" s="5" t="n"/>
      <c r="U2394" s="8">
        <f>IF(AND(V2394=1,D2394&lt;&gt;""),IF(D2394&gt;=corte,TODAY()-D2394,""),"")</f>
        <v/>
      </c>
      <c r="V2394" s="8">
        <f>IF(D2394="",0,IF(OR(AND(P2394&lt;&gt;"",S2394=""),AND(N(J2394)&gt;0,N(K2394)&lt;J2394),OR(M2394="PENDENTE",M2394="PARCIAL"),OR(N2394="PENDENTE",N2394="PARCIAL")),1,0))</f>
        <v/>
      </c>
      <c r="W2394" s="8">
        <f>IF(AND(V2394=1,D2394&lt;&gt;""),IF(D2394&gt;=corte,(B2394="CRÍTICO")*1E9+(100000-D2394)*10000+10000-ROW(),""),"")</f>
        <v/>
      </c>
      <c r="X2394" s="8">
        <f>IF(AND(V2394=1,D2394=pas_data,E2394=pas_turno),10000-ROW(),"")</f>
        <v/>
      </c>
    </row>
    <row r="2395">
      <c r="A2395" s="3">
        <f>IF(D2395="","","TT-"&amp;TEXT(ROW()-1,"00000"))</f>
        <v/>
      </c>
      <c r="B2395" s="3">
        <f>IF(D2395="","",IF(V2395=0,"CONCLUÍDO",IF(D2395&lt;corte,"HISTÓRICO",IF(OR(AND(ISNUMBER(R2395),R2395&lt;TODAY()),AND(OR(N2395="PENDENTE",N2395="PARCIAL"),D2395&lt;TODAY()-1)),"CRÍTICO",IF(OR(AND(P2395&lt;&gt;"",S2395=""),AND(N2395="REALIZADO",M2395="PENDENTE"),AND(ISNUMBER(R2395),R2395=TODAY())),"ATENÇÃO",IF(N(K2395)=0,"PENDENTE","EM ANDAMENTO"))))))</f>
        <v/>
      </c>
      <c r="C2395" s="3">
        <f>IF(D2395="","",IF(V2395=0,"🟢 OK",IF(D2395&lt;corte,"⚪ HISTÓRICO (sem baixa)",IF(AND(ISNUMBER(R2395),R2395&lt;TODAY()),"🔴 PRAZO VENCIDO",IF(AND(OR(N2395="PENDENTE",N2395="PARCIAL"),D2395&lt;TODAY()-1),"🔴 EMBARQUE ATRASADO",IF(AND(N2395="REALIZADO",M2395="PENDENTE"),"🟡 EMBARCADO SEM FATURAR",IF(AND(P2395&lt;&gt;"",S2395="",OR(Q2395="",R2395="")),"🟡 PENDÊNCIA SEM RESPONSÁVEL/PRAZO",IF(AND(ISNUMBER(R2395),R2395=TODAY()),"🟡 VENCE HOJE",IF(AND(P2395&lt;&gt;"",S2395=""),"🟡 PENDÊNCIA ABERTA",IF(AND(N(J2395)&gt;0,N(K2395)&lt;J2395),"🟡 FALTA EXECUTAR",IF(OR(M2395="PENDENTE",M2395="PARCIAL"),"🟡 FATURAMENTO PENDENTE","🟡 EMBARQUE PENDENTE")))))))))))</f>
        <v/>
      </c>
      <c r="D2395" s="4" t="n"/>
      <c r="E2395" s="5" t="n"/>
      <c r="F2395" s="5" t="n"/>
      <c r="G2395" s="5" t="n"/>
      <c r="H2395" s="5" t="n"/>
      <c r="I2395" s="5" t="n"/>
      <c r="J2395" s="6" t="n"/>
      <c r="K2395" s="6" t="n"/>
      <c r="L2395" s="7">
        <f>IF(OR(D2395="",N(J2395)=0),"",MIN(1,N(K2395)/J2395))</f>
        <v/>
      </c>
      <c r="M2395" s="5" t="n"/>
      <c r="N2395" s="5" t="n"/>
      <c r="O2395" s="5" t="n"/>
      <c r="P2395" s="5" t="n"/>
      <c r="Q2395" s="5" t="n"/>
      <c r="R2395" s="4" t="n"/>
      <c r="S2395" s="4" t="n"/>
      <c r="T2395" s="5" t="n"/>
      <c r="U2395" s="8">
        <f>IF(AND(V2395=1,D2395&lt;&gt;""),IF(D2395&gt;=corte,TODAY()-D2395,""),"")</f>
        <v/>
      </c>
      <c r="V2395" s="8">
        <f>IF(D2395="",0,IF(OR(AND(P2395&lt;&gt;"",S2395=""),AND(N(J2395)&gt;0,N(K2395)&lt;J2395),OR(M2395="PENDENTE",M2395="PARCIAL"),OR(N2395="PENDENTE",N2395="PARCIAL")),1,0))</f>
        <v/>
      </c>
      <c r="W2395" s="8">
        <f>IF(AND(V2395=1,D2395&lt;&gt;""),IF(D2395&gt;=corte,(B2395="CRÍTICO")*1E9+(100000-D2395)*10000+10000-ROW(),""),"")</f>
        <v/>
      </c>
      <c r="X2395" s="8">
        <f>IF(AND(V2395=1,D2395=pas_data,E2395=pas_turno),10000-ROW(),"")</f>
        <v/>
      </c>
    </row>
    <row r="2396">
      <c r="A2396" s="3">
        <f>IF(D2396="","","TT-"&amp;TEXT(ROW()-1,"00000"))</f>
        <v/>
      </c>
      <c r="B2396" s="3">
        <f>IF(D2396="","",IF(V2396=0,"CONCLUÍDO",IF(D2396&lt;corte,"HISTÓRICO",IF(OR(AND(ISNUMBER(R2396),R2396&lt;TODAY()),AND(OR(N2396="PENDENTE",N2396="PARCIAL"),D2396&lt;TODAY()-1)),"CRÍTICO",IF(OR(AND(P2396&lt;&gt;"",S2396=""),AND(N2396="REALIZADO",M2396="PENDENTE"),AND(ISNUMBER(R2396),R2396=TODAY())),"ATENÇÃO",IF(N(K2396)=0,"PENDENTE","EM ANDAMENTO"))))))</f>
        <v/>
      </c>
      <c r="C2396" s="3">
        <f>IF(D2396="","",IF(V2396=0,"🟢 OK",IF(D2396&lt;corte,"⚪ HISTÓRICO (sem baixa)",IF(AND(ISNUMBER(R2396),R2396&lt;TODAY()),"🔴 PRAZO VENCIDO",IF(AND(OR(N2396="PENDENTE",N2396="PARCIAL"),D2396&lt;TODAY()-1),"🔴 EMBARQUE ATRASADO",IF(AND(N2396="REALIZADO",M2396="PENDENTE"),"🟡 EMBARCADO SEM FATURAR",IF(AND(P2396&lt;&gt;"",S2396="",OR(Q2396="",R2396="")),"🟡 PENDÊNCIA SEM RESPONSÁVEL/PRAZO",IF(AND(ISNUMBER(R2396),R2396=TODAY()),"🟡 VENCE HOJE",IF(AND(P2396&lt;&gt;"",S2396=""),"🟡 PENDÊNCIA ABERTA",IF(AND(N(J2396)&gt;0,N(K2396)&lt;J2396),"🟡 FALTA EXECUTAR",IF(OR(M2396="PENDENTE",M2396="PARCIAL"),"🟡 FATURAMENTO PENDENTE","🟡 EMBARQUE PENDENTE")))))))))))</f>
        <v/>
      </c>
      <c r="D2396" s="4" t="n"/>
      <c r="E2396" s="5" t="n"/>
      <c r="F2396" s="5" t="n"/>
      <c r="G2396" s="5" t="n"/>
      <c r="H2396" s="5" t="n"/>
      <c r="I2396" s="5" t="n"/>
      <c r="J2396" s="6" t="n"/>
      <c r="K2396" s="6" t="n"/>
      <c r="L2396" s="7">
        <f>IF(OR(D2396="",N(J2396)=0),"",MIN(1,N(K2396)/J2396))</f>
        <v/>
      </c>
      <c r="M2396" s="5" t="n"/>
      <c r="N2396" s="5" t="n"/>
      <c r="O2396" s="5" t="n"/>
      <c r="P2396" s="5" t="n"/>
      <c r="Q2396" s="5" t="n"/>
      <c r="R2396" s="4" t="n"/>
      <c r="S2396" s="4" t="n"/>
      <c r="T2396" s="5" t="n"/>
      <c r="U2396" s="8">
        <f>IF(AND(V2396=1,D2396&lt;&gt;""),IF(D2396&gt;=corte,TODAY()-D2396,""),"")</f>
        <v/>
      </c>
      <c r="V2396" s="8">
        <f>IF(D2396="",0,IF(OR(AND(P2396&lt;&gt;"",S2396=""),AND(N(J2396)&gt;0,N(K2396)&lt;J2396),OR(M2396="PENDENTE",M2396="PARCIAL"),OR(N2396="PENDENTE",N2396="PARCIAL")),1,0))</f>
        <v/>
      </c>
      <c r="W2396" s="8">
        <f>IF(AND(V2396=1,D2396&lt;&gt;""),IF(D2396&gt;=corte,(B2396="CRÍTICO")*1E9+(100000-D2396)*10000+10000-ROW(),""),"")</f>
        <v/>
      </c>
      <c r="X2396" s="8">
        <f>IF(AND(V2396=1,D2396=pas_data,E2396=pas_turno),10000-ROW(),"")</f>
        <v/>
      </c>
    </row>
    <row r="2397">
      <c r="A2397" s="3">
        <f>IF(D2397="","","TT-"&amp;TEXT(ROW()-1,"00000"))</f>
        <v/>
      </c>
      <c r="B2397" s="3">
        <f>IF(D2397="","",IF(V2397=0,"CONCLUÍDO",IF(D2397&lt;corte,"HISTÓRICO",IF(OR(AND(ISNUMBER(R2397),R2397&lt;TODAY()),AND(OR(N2397="PENDENTE",N2397="PARCIAL"),D2397&lt;TODAY()-1)),"CRÍTICO",IF(OR(AND(P2397&lt;&gt;"",S2397=""),AND(N2397="REALIZADO",M2397="PENDENTE"),AND(ISNUMBER(R2397),R2397=TODAY())),"ATENÇÃO",IF(N(K2397)=0,"PENDENTE","EM ANDAMENTO"))))))</f>
        <v/>
      </c>
      <c r="C2397" s="3">
        <f>IF(D2397="","",IF(V2397=0,"🟢 OK",IF(D2397&lt;corte,"⚪ HISTÓRICO (sem baixa)",IF(AND(ISNUMBER(R2397),R2397&lt;TODAY()),"🔴 PRAZO VENCIDO",IF(AND(OR(N2397="PENDENTE",N2397="PARCIAL"),D2397&lt;TODAY()-1),"🔴 EMBARQUE ATRASADO",IF(AND(N2397="REALIZADO",M2397="PENDENTE"),"🟡 EMBARCADO SEM FATURAR",IF(AND(P2397&lt;&gt;"",S2397="",OR(Q2397="",R2397="")),"🟡 PENDÊNCIA SEM RESPONSÁVEL/PRAZO",IF(AND(ISNUMBER(R2397),R2397=TODAY()),"🟡 VENCE HOJE",IF(AND(P2397&lt;&gt;"",S2397=""),"🟡 PENDÊNCIA ABERTA",IF(AND(N(J2397)&gt;0,N(K2397)&lt;J2397),"🟡 FALTA EXECUTAR",IF(OR(M2397="PENDENTE",M2397="PARCIAL"),"🟡 FATURAMENTO PENDENTE","🟡 EMBARQUE PENDENTE")))))))))))</f>
        <v/>
      </c>
      <c r="D2397" s="4" t="n"/>
      <c r="E2397" s="5" t="n"/>
      <c r="F2397" s="5" t="n"/>
      <c r="G2397" s="5" t="n"/>
      <c r="H2397" s="5" t="n"/>
      <c r="I2397" s="5" t="n"/>
      <c r="J2397" s="6" t="n"/>
      <c r="K2397" s="6" t="n"/>
      <c r="L2397" s="7">
        <f>IF(OR(D2397="",N(J2397)=0),"",MIN(1,N(K2397)/J2397))</f>
        <v/>
      </c>
      <c r="M2397" s="5" t="n"/>
      <c r="N2397" s="5" t="n"/>
      <c r="O2397" s="5" t="n"/>
      <c r="P2397" s="5" t="n"/>
      <c r="Q2397" s="5" t="n"/>
      <c r="R2397" s="4" t="n"/>
      <c r="S2397" s="4" t="n"/>
      <c r="T2397" s="5" t="n"/>
      <c r="U2397" s="8">
        <f>IF(AND(V2397=1,D2397&lt;&gt;""),IF(D2397&gt;=corte,TODAY()-D2397,""),"")</f>
        <v/>
      </c>
      <c r="V2397" s="8">
        <f>IF(D2397="",0,IF(OR(AND(P2397&lt;&gt;"",S2397=""),AND(N(J2397)&gt;0,N(K2397)&lt;J2397),OR(M2397="PENDENTE",M2397="PARCIAL"),OR(N2397="PENDENTE",N2397="PARCIAL")),1,0))</f>
        <v/>
      </c>
      <c r="W2397" s="8">
        <f>IF(AND(V2397=1,D2397&lt;&gt;""),IF(D2397&gt;=corte,(B2397="CRÍTICO")*1E9+(100000-D2397)*10000+10000-ROW(),""),"")</f>
        <v/>
      </c>
      <c r="X2397" s="8">
        <f>IF(AND(V2397=1,D2397=pas_data,E2397=pas_turno),10000-ROW(),"")</f>
        <v/>
      </c>
    </row>
    <row r="2398">
      <c r="A2398" s="3">
        <f>IF(D2398="","","TT-"&amp;TEXT(ROW()-1,"00000"))</f>
        <v/>
      </c>
      <c r="B2398" s="3">
        <f>IF(D2398="","",IF(V2398=0,"CONCLUÍDO",IF(D2398&lt;corte,"HISTÓRICO",IF(OR(AND(ISNUMBER(R2398),R2398&lt;TODAY()),AND(OR(N2398="PENDENTE",N2398="PARCIAL"),D2398&lt;TODAY()-1)),"CRÍTICO",IF(OR(AND(P2398&lt;&gt;"",S2398=""),AND(N2398="REALIZADO",M2398="PENDENTE"),AND(ISNUMBER(R2398),R2398=TODAY())),"ATENÇÃO",IF(N(K2398)=0,"PENDENTE","EM ANDAMENTO"))))))</f>
        <v/>
      </c>
      <c r="C2398" s="3">
        <f>IF(D2398="","",IF(V2398=0,"🟢 OK",IF(D2398&lt;corte,"⚪ HISTÓRICO (sem baixa)",IF(AND(ISNUMBER(R2398),R2398&lt;TODAY()),"🔴 PRAZO VENCIDO",IF(AND(OR(N2398="PENDENTE",N2398="PARCIAL"),D2398&lt;TODAY()-1),"🔴 EMBARQUE ATRASADO",IF(AND(N2398="REALIZADO",M2398="PENDENTE"),"🟡 EMBARCADO SEM FATURAR",IF(AND(P2398&lt;&gt;"",S2398="",OR(Q2398="",R2398="")),"🟡 PENDÊNCIA SEM RESPONSÁVEL/PRAZO",IF(AND(ISNUMBER(R2398),R2398=TODAY()),"🟡 VENCE HOJE",IF(AND(P2398&lt;&gt;"",S2398=""),"🟡 PENDÊNCIA ABERTA",IF(AND(N(J2398)&gt;0,N(K2398)&lt;J2398),"🟡 FALTA EXECUTAR",IF(OR(M2398="PENDENTE",M2398="PARCIAL"),"🟡 FATURAMENTO PENDENTE","🟡 EMBARQUE PENDENTE")))))))))))</f>
        <v/>
      </c>
      <c r="D2398" s="4" t="n"/>
      <c r="E2398" s="5" t="n"/>
      <c r="F2398" s="5" t="n"/>
      <c r="G2398" s="5" t="n"/>
      <c r="H2398" s="5" t="n"/>
      <c r="I2398" s="5" t="n"/>
      <c r="J2398" s="6" t="n"/>
      <c r="K2398" s="6" t="n"/>
      <c r="L2398" s="7">
        <f>IF(OR(D2398="",N(J2398)=0),"",MIN(1,N(K2398)/J2398))</f>
        <v/>
      </c>
      <c r="M2398" s="5" t="n"/>
      <c r="N2398" s="5" t="n"/>
      <c r="O2398" s="5" t="n"/>
      <c r="P2398" s="5" t="n"/>
      <c r="Q2398" s="5" t="n"/>
      <c r="R2398" s="4" t="n"/>
      <c r="S2398" s="4" t="n"/>
      <c r="T2398" s="5" t="n"/>
      <c r="U2398" s="8">
        <f>IF(AND(V2398=1,D2398&lt;&gt;""),IF(D2398&gt;=corte,TODAY()-D2398,""),"")</f>
        <v/>
      </c>
      <c r="V2398" s="8">
        <f>IF(D2398="",0,IF(OR(AND(P2398&lt;&gt;"",S2398=""),AND(N(J2398)&gt;0,N(K2398)&lt;J2398),OR(M2398="PENDENTE",M2398="PARCIAL"),OR(N2398="PENDENTE",N2398="PARCIAL")),1,0))</f>
        <v/>
      </c>
      <c r="W2398" s="8">
        <f>IF(AND(V2398=1,D2398&lt;&gt;""),IF(D2398&gt;=corte,(B2398="CRÍTICO")*1E9+(100000-D2398)*10000+10000-ROW(),""),"")</f>
        <v/>
      </c>
      <c r="X2398" s="8">
        <f>IF(AND(V2398=1,D2398=pas_data,E2398=pas_turno),10000-ROW(),"")</f>
        <v/>
      </c>
    </row>
    <row r="2399">
      <c r="A2399" s="3">
        <f>IF(D2399="","","TT-"&amp;TEXT(ROW()-1,"00000"))</f>
        <v/>
      </c>
      <c r="B2399" s="3">
        <f>IF(D2399="","",IF(V2399=0,"CONCLUÍDO",IF(D2399&lt;corte,"HISTÓRICO",IF(OR(AND(ISNUMBER(R2399),R2399&lt;TODAY()),AND(OR(N2399="PENDENTE",N2399="PARCIAL"),D2399&lt;TODAY()-1)),"CRÍTICO",IF(OR(AND(P2399&lt;&gt;"",S2399=""),AND(N2399="REALIZADO",M2399="PENDENTE"),AND(ISNUMBER(R2399),R2399=TODAY())),"ATENÇÃO",IF(N(K2399)=0,"PENDENTE","EM ANDAMENTO"))))))</f>
        <v/>
      </c>
      <c r="C2399" s="3">
        <f>IF(D2399="","",IF(V2399=0,"🟢 OK",IF(D2399&lt;corte,"⚪ HISTÓRICO (sem baixa)",IF(AND(ISNUMBER(R2399),R2399&lt;TODAY()),"🔴 PRAZO VENCIDO",IF(AND(OR(N2399="PENDENTE",N2399="PARCIAL"),D2399&lt;TODAY()-1),"🔴 EMBARQUE ATRASADO",IF(AND(N2399="REALIZADO",M2399="PENDENTE"),"🟡 EMBARCADO SEM FATURAR",IF(AND(P2399&lt;&gt;"",S2399="",OR(Q2399="",R2399="")),"🟡 PENDÊNCIA SEM RESPONSÁVEL/PRAZO",IF(AND(ISNUMBER(R2399),R2399=TODAY()),"🟡 VENCE HOJE",IF(AND(P2399&lt;&gt;"",S2399=""),"🟡 PENDÊNCIA ABERTA",IF(AND(N(J2399)&gt;0,N(K2399)&lt;J2399),"🟡 FALTA EXECUTAR",IF(OR(M2399="PENDENTE",M2399="PARCIAL"),"🟡 FATURAMENTO PENDENTE","🟡 EMBARQUE PENDENTE")))))))))))</f>
        <v/>
      </c>
      <c r="D2399" s="4" t="n"/>
      <c r="E2399" s="5" t="n"/>
      <c r="F2399" s="5" t="n"/>
      <c r="G2399" s="5" t="n"/>
      <c r="H2399" s="5" t="n"/>
      <c r="I2399" s="5" t="n"/>
      <c r="J2399" s="6" t="n"/>
      <c r="K2399" s="6" t="n"/>
      <c r="L2399" s="7">
        <f>IF(OR(D2399="",N(J2399)=0),"",MIN(1,N(K2399)/J2399))</f>
        <v/>
      </c>
      <c r="M2399" s="5" t="n"/>
      <c r="N2399" s="5" t="n"/>
      <c r="O2399" s="5" t="n"/>
      <c r="P2399" s="5" t="n"/>
      <c r="Q2399" s="5" t="n"/>
      <c r="R2399" s="4" t="n"/>
      <c r="S2399" s="4" t="n"/>
      <c r="T2399" s="5" t="n"/>
      <c r="U2399" s="8">
        <f>IF(AND(V2399=1,D2399&lt;&gt;""),IF(D2399&gt;=corte,TODAY()-D2399,""),"")</f>
        <v/>
      </c>
      <c r="V2399" s="8">
        <f>IF(D2399="",0,IF(OR(AND(P2399&lt;&gt;"",S2399=""),AND(N(J2399)&gt;0,N(K2399)&lt;J2399),OR(M2399="PENDENTE",M2399="PARCIAL"),OR(N2399="PENDENTE",N2399="PARCIAL")),1,0))</f>
        <v/>
      </c>
      <c r="W2399" s="8">
        <f>IF(AND(V2399=1,D2399&lt;&gt;""),IF(D2399&gt;=corte,(B2399="CRÍTICO")*1E9+(100000-D2399)*10000+10000-ROW(),""),"")</f>
        <v/>
      </c>
      <c r="X2399" s="8">
        <f>IF(AND(V2399=1,D2399=pas_data,E2399=pas_turno),10000-ROW(),"")</f>
        <v/>
      </c>
    </row>
    <row r="2400">
      <c r="A2400" s="3">
        <f>IF(D2400="","","TT-"&amp;TEXT(ROW()-1,"00000"))</f>
        <v/>
      </c>
      <c r="B2400" s="3">
        <f>IF(D2400="","",IF(V2400=0,"CONCLUÍDO",IF(D2400&lt;corte,"HISTÓRICO",IF(OR(AND(ISNUMBER(R2400),R2400&lt;TODAY()),AND(OR(N2400="PENDENTE",N2400="PARCIAL"),D2400&lt;TODAY()-1)),"CRÍTICO",IF(OR(AND(P2400&lt;&gt;"",S2400=""),AND(N2400="REALIZADO",M2400="PENDENTE"),AND(ISNUMBER(R2400),R2400=TODAY())),"ATENÇÃO",IF(N(K2400)=0,"PENDENTE","EM ANDAMENTO"))))))</f>
        <v/>
      </c>
      <c r="C2400" s="3">
        <f>IF(D2400="","",IF(V2400=0,"🟢 OK",IF(D2400&lt;corte,"⚪ HISTÓRICO (sem baixa)",IF(AND(ISNUMBER(R2400),R2400&lt;TODAY()),"🔴 PRAZO VENCIDO",IF(AND(OR(N2400="PENDENTE",N2400="PARCIAL"),D2400&lt;TODAY()-1),"🔴 EMBARQUE ATRASADO",IF(AND(N2400="REALIZADO",M2400="PENDENTE"),"🟡 EMBARCADO SEM FATURAR",IF(AND(P2400&lt;&gt;"",S2400="",OR(Q2400="",R2400="")),"🟡 PENDÊNCIA SEM RESPONSÁVEL/PRAZO",IF(AND(ISNUMBER(R2400),R2400=TODAY()),"🟡 VENCE HOJE",IF(AND(P2400&lt;&gt;"",S2400=""),"🟡 PENDÊNCIA ABERTA",IF(AND(N(J2400)&gt;0,N(K2400)&lt;J2400),"🟡 FALTA EXECUTAR",IF(OR(M2400="PENDENTE",M2400="PARCIAL"),"🟡 FATURAMENTO PENDENTE","🟡 EMBARQUE PENDENTE")))))))))))</f>
        <v/>
      </c>
      <c r="D2400" s="4" t="n"/>
      <c r="E2400" s="5" t="n"/>
      <c r="F2400" s="5" t="n"/>
      <c r="G2400" s="5" t="n"/>
      <c r="H2400" s="5" t="n"/>
      <c r="I2400" s="5" t="n"/>
      <c r="J2400" s="6" t="n"/>
      <c r="K2400" s="6" t="n"/>
      <c r="L2400" s="7">
        <f>IF(OR(D2400="",N(J2400)=0),"",MIN(1,N(K2400)/J2400))</f>
        <v/>
      </c>
      <c r="M2400" s="5" t="n"/>
      <c r="N2400" s="5" t="n"/>
      <c r="O2400" s="5" t="n"/>
      <c r="P2400" s="5" t="n"/>
      <c r="Q2400" s="5" t="n"/>
      <c r="R2400" s="4" t="n"/>
      <c r="S2400" s="4" t="n"/>
      <c r="T2400" s="5" t="n"/>
      <c r="U2400" s="8">
        <f>IF(AND(V2400=1,D2400&lt;&gt;""),IF(D2400&gt;=corte,TODAY()-D2400,""),"")</f>
        <v/>
      </c>
      <c r="V2400" s="8">
        <f>IF(D2400="",0,IF(OR(AND(P2400&lt;&gt;"",S2400=""),AND(N(J2400)&gt;0,N(K2400)&lt;J2400),OR(M2400="PENDENTE",M2400="PARCIAL"),OR(N2400="PENDENTE",N2400="PARCIAL")),1,0))</f>
        <v/>
      </c>
      <c r="W2400" s="8">
        <f>IF(AND(V2400=1,D2400&lt;&gt;""),IF(D2400&gt;=corte,(B2400="CRÍTICO")*1E9+(100000-D2400)*10000+10000-ROW(),""),"")</f>
        <v/>
      </c>
      <c r="X2400" s="8">
        <f>IF(AND(V2400=1,D2400=pas_data,E2400=pas_turno),10000-ROW(),"")</f>
        <v/>
      </c>
    </row>
    <row r="2401">
      <c r="A2401" s="3">
        <f>IF(D2401="","","TT-"&amp;TEXT(ROW()-1,"00000"))</f>
        <v/>
      </c>
      <c r="B2401" s="3">
        <f>IF(D2401="","",IF(V2401=0,"CONCLUÍDO",IF(D2401&lt;corte,"HISTÓRICO",IF(OR(AND(ISNUMBER(R2401),R2401&lt;TODAY()),AND(OR(N2401="PENDENTE",N2401="PARCIAL"),D2401&lt;TODAY()-1)),"CRÍTICO",IF(OR(AND(P2401&lt;&gt;"",S2401=""),AND(N2401="REALIZADO",M2401="PENDENTE"),AND(ISNUMBER(R2401),R2401=TODAY())),"ATENÇÃO",IF(N(K2401)=0,"PENDENTE","EM ANDAMENTO"))))))</f>
        <v/>
      </c>
      <c r="C2401" s="3">
        <f>IF(D2401="","",IF(V2401=0,"🟢 OK",IF(D2401&lt;corte,"⚪ HISTÓRICO (sem baixa)",IF(AND(ISNUMBER(R2401),R2401&lt;TODAY()),"🔴 PRAZO VENCIDO",IF(AND(OR(N2401="PENDENTE",N2401="PARCIAL"),D2401&lt;TODAY()-1),"🔴 EMBARQUE ATRASADO",IF(AND(N2401="REALIZADO",M2401="PENDENTE"),"🟡 EMBARCADO SEM FATURAR",IF(AND(P2401&lt;&gt;"",S2401="",OR(Q2401="",R2401="")),"🟡 PENDÊNCIA SEM RESPONSÁVEL/PRAZO",IF(AND(ISNUMBER(R2401),R2401=TODAY()),"🟡 VENCE HOJE",IF(AND(P2401&lt;&gt;"",S2401=""),"🟡 PENDÊNCIA ABERTA",IF(AND(N(J2401)&gt;0,N(K2401)&lt;J2401),"🟡 FALTA EXECUTAR",IF(OR(M2401="PENDENTE",M2401="PARCIAL"),"🟡 FATURAMENTO PENDENTE","🟡 EMBARQUE PENDENTE")))))))))))</f>
        <v/>
      </c>
      <c r="D2401" s="4" t="n"/>
      <c r="E2401" s="5" t="n"/>
      <c r="F2401" s="5" t="n"/>
      <c r="G2401" s="5" t="n"/>
      <c r="H2401" s="5" t="n"/>
      <c r="I2401" s="5" t="n"/>
      <c r="J2401" s="6" t="n"/>
      <c r="K2401" s="6" t="n"/>
      <c r="L2401" s="7">
        <f>IF(OR(D2401="",N(J2401)=0),"",MIN(1,N(K2401)/J2401))</f>
        <v/>
      </c>
      <c r="M2401" s="5" t="n"/>
      <c r="N2401" s="5" t="n"/>
      <c r="O2401" s="5" t="n"/>
      <c r="P2401" s="5" t="n"/>
      <c r="Q2401" s="5" t="n"/>
      <c r="R2401" s="4" t="n"/>
      <c r="S2401" s="4" t="n"/>
      <c r="T2401" s="5" t="n"/>
      <c r="U2401" s="8">
        <f>IF(AND(V2401=1,D2401&lt;&gt;""),IF(D2401&gt;=corte,TODAY()-D2401,""),"")</f>
        <v/>
      </c>
      <c r="V2401" s="8">
        <f>IF(D2401="",0,IF(OR(AND(P2401&lt;&gt;"",S2401=""),AND(N(J2401)&gt;0,N(K2401)&lt;J2401),OR(M2401="PENDENTE",M2401="PARCIAL"),OR(N2401="PENDENTE",N2401="PARCIAL")),1,0))</f>
        <v/>
      </c>
      <c r="W2401" s="8">
        <f>IF(AND(V2401=1,D2401&lt;&gt;""),IF(D2401&gt;=corte,(B2401="CRÍTICO")*1E9+(100000-D2401)*10000+10000-ROW(),""),"")</f>
        <v/>
      </c>
      <c r="X2401" s="8">
        <f>IF(AND(V2401=1,D2401=pas_data,E2401=pas_turno),10000-ROW(),"")</f>
        <v/>
      </c>
    </row>
    <row r="2402">
      <c r="A2402" s="3">
        <f>IF(D2402="","","TT-"&amp;TEXT(ROW()-1,"00000"))</f>
        <v/>
      </c>
      <c r="B2402" s="3">
        <f>IF(D2402="","",IF(V2402=0,"CONCLUÍDO",IF(D2402&lt;corte,"HISTÓRICO",IF(OR(AND(ISNUMBER(R2402),R2402&lt;TODAY()),AND(OR(N2402="PENDENTE",N2402="PARCIAL"),D2402&lt;TODAY()-1)),"CRÍTICO",IF(OR(AND(P2402&lt;&gt;"",S2402=""),AND(N2402="REALIZADO",M2402="PENDENTE"),AND(ISNUMBER(R2402),R2402=TODAY())),"ATENÇÃO",IF(N(K2402)=0,"PENDENTE","EM ANDAMENTO"))))))</f>
        <v/>
      </c>
      <c r="C2402" s="3">
        <f>IF(D2402="","",IF(V2402=0,"🟢 OK",IF(D2402&lt;corte,"⚪ HISTÓRICO (sem baixa)",IF(AND(ISNUMBER(R2402),R2402&lt;TODAY()),"🔴 PRAZO VENCIDO",IF(AND(OR(N2402="PENDENTE",N2402="PARCIAL"),D2402&lt;TODAY()-1),"🔴 EMBARQUE ATRASADO",IF(AND(N2402="REALIZADO",M2402="PENDENTE"),"🟡 EMBARCADO SEM FATURAR",IF(AND(P2402&lt;&gt;"",S2402="",OR(Q2402="",R2402="")),"🟡 PENDÊNCIA SEM RESPONSÁVEL/PRAZO",IF(AND(ISNUMBER(R2402),R2402=TODAY()),"🟡 VENCE HOJE",IF(AND(P2402&lt;&gt;"",S2402=""),"🟡 PENDÊNCIA ABERTA",IF(AND(N(J2402)&gt;0,N(K2402)&lt;J2402),"🟡 FALTA EXECUTAR",IF(OR(M2402="PENDENTE",M2402="PARCIAL"),"🟡 FATURAMENTO PENDENTE","🟡 EMBARQUE PENDENTE")))))))))))</f>
        <v/>
      </c>
      <c r="D2402" s="4" t="n"/>
      <c r="E2402" s="5" t="n"/>
      <c r="F2402" s="5" t="n"/>
      <c r="G2402" s="5" t="n"/>
      <c r="H2402" s="5" t="n"/>
      <c r="I2402" s="5" t="n"/>
      <c r="J2402" s="6" t="n"/>
      <c r="K2402" s="6" t="n"/>
      <c r="L2402" s="7">
        <f>IF(OR(D2402="",N(J2402)=0),"",MIN(1,N(K2402)/J2402))</f>
        <v/>
      </c>
      <c r="M2402" s="5" t="n"/>
      <c r="N2402" s="5" t="n"/>
      <c r="O2402" s="5" t="n"/>
      <c r="P2402" s="5" t="n"/>
      <c r="Q2402" s="5" t="n"/>
      <c r="R2402" s="4" t="n"/>
      <c r="S2402" s="4" t="n"/>
      <c r="T2402" s="5" t="n"/>
      <c r="U2402" s="8">
        <f>IF(AND(V2402=1,D2402&lt;&gt;""),IF(D2402&gt;=corte,TODAY()-D2402,""),"")</f>
        <v/>
      </c>
      <c r="V2402" s="8">
        <f>IF(D2402="",0,IF(OR(AND(P2402&lt;&gt;"",S2402=""),AND(N(J2402)&gt;0,N(K2402)&lt;J2402),OR(M2402="PENDENTE",M2402="PARCIAL"),OR(N2402="PENDENTE",N2402="PARCIAL")),1,0))</f>
        <v/>
      </c>
      <c r="W2402" s="8">
        <f>IF(AND(V2402=1,D2402&lt;&gt;""),IF(D2402&gt;=corte,(B2402="CRÍTICO")*1E9+(100000-D2402)*10000+10000-ROW(),""),"")</f>
        <v/>
      </c>
      <c r="X2402" s="8">
        <f>IF(AND(V2402=1,D2402=pas_data,E2402=pas_turno),10000-ROW(),"")</f>
        <v/>
      </c>
    </row>
    <row r="2403">
      <c r="A2403" s="3">
        <f>IF(D2403="","","TT-"&amp;TEXT(ROW()-1,"00000"))</f>
        <v/>
      </c>
      <c r="B2403" s="3">
        <f>IF(D2403="","",IF(V2403=0,"CONCLUÍDO",IF(D2403&lt;corte,"HISTÓRICO",IF(OR(AND(ISNUMBER(R2403),R2403&lt;TODAY()),AND(OR(N2403="PENDENTE",N2403="PARCIAL"),D2403&lt;TODAY()-1)),"CRÍTICO",IF(OR(AND(P2403&lt;&gt;"",S2403=""),AND(N2403="REALIZADO",M2403="PENDENTE"),AND(ISNUMBER(R2403),R2403=TODAY())),"ATENÇÃO",IF(N(K2403)=0,"PENDENTE","EM ANDAMENTO"))))))</f>
        <v/>
      </c>
      <c r="C2403" s="3">
        <f>IF(D2403="","",IF(V2403=0,"🟢 OK",IF(D2403&lt;corte,"⚪ HISTÓRICO (sem baixa)",IF(AND(ISNUMBER(R2403),R2403&lt;TODAY()),"🔴 PRAZO VENCIDO",IF(AND(OR(N2403="PENDENTE",N2403="PARCIAL"),D2403&lt;TODAY()-1),"🔴 EMBARQUE ATRASADO",IF(AND(N2403="REALIZADO",M2403="PENDENTE"),"🟡 EMBARCADO SEM FATURAR",IF(AND(P2403&lt;&gt;"",S2403="",OR(Q2403="",R2403="")),"🟡 PENDÊNCIA SEM RESPONSÁVEL/PRAZO",IF(AND(ISNUMBER(R2403),R2403=TODAY()),"🟡 VENCE HOJE",IF(AND(P2403&lt;&gt;"",S2403=""),"🟡 PENDÊNCIA ABERTA",IF(AND(N(J2403)&gt;0,N(K2403)&lt;J2403),"🟡 FALTA EXECUTAR",IF(OR(M2403="PENDENTE",M2403="PARCIAL"),"🟡 FATURAMENTO PENDENTE","🟡 EMBARQUE PENDENTE")))))))))))</f>
        <v/>
      </c>
      <c r="D2403" s="4" t="n"/>
      <c r="E2403" s="5" t="n"/>
      <c r="F2403" s="5" t="n"/>
      <c r="G2403" s="5" t="n"/>
      <c r="H2403" s="5" t="n"/>
      <c r="I2403" s="5" t="n"/>
      <c r="J2403" s="6" t="n"/>
      <c r="K2403" s="6" t="n"/>
      <c r="L2403" s="7">
        <f>IF(OR(D2403="",N(J2403)=0),"",MIN(1,N(K2403)/J2403))</f>
        <v/>
      </c>
      <c r="M2403" s="5" t="n"/>
      <c r="N2403" s="5" t="n"/>
      <c r="O2403" s="5" t="n"/>
      <c r="P2403" s="5" t="n"/>
      <c r="Q2403" s="5" t="n"/>
      <c r="R2403" s="4" t="n"/>
      <c r="S2403" s="4" t="n"/>
      <c r="T2403" s="5" t="n"/>
      <c r="U2403" s="8">
        <f>IF(AND(V2403=1,D2403&lt;&gt;""),IF(D2403&gt;=corte,TODAY()-D2403,""),"")</f>
        <v/>
      </c>
      <c r="V2403" s="8">
        <f>IF(D2403="",0,IF(OR(AND(P2403&lt;&gt;"",S2403=""),AND(N(J2403)&gt;0,N(K2403)&lt;J2403),OR(M2403="PENDENTE",M2403="PARCIAL"),OR(N2403="PENDENTE",N2403="PARCIAL")),1,0))</f>
        <v/>
      </c>
      <c r="W2403" s="8">
        <f>IF(AND(V2403=1,D2403&lt;&gt;""),IF(D2403&gt;=corte,(B2403="CRÍTICO")*1E9+(100000-D2403)*10000+10000-ROW(),""),"")</f>
        <v/>
      </c>
      <c r="X2403" s="8">
        <f>IF(AND(V2403=1,D2403=pas_data,E2403=pas_turno),10000-ROW(),"")</f>
        <v/>
      </c>
    </row>
    <row r="2404">
      <c r="A2404" s="3">
        <f>IF(D2404="","","TT-"&amp;TEXT(ROW()-1,"00000"))</f>
        <v/>
      </c>
      <c r="B2404" s="3">
        <f>IF(D2404="","",IF(V2404=0,"CONCLUÍDO",IF(D2404&lt;corte,"HISTÓRICO",IF(OR(AND(ISNUMBER(R2404),R2404&lt;TODAY()),AND(OR(N2404="PENDENTE",N2404="PARCIAL"),D2404&lt;TODAY()-1)),"CRÍTICO",IF(OR(AND(P2404&lt;&gt;"",S2404=""),AND(N2404="REALIZADO",M2404="PENDENTE"),AND(ISNUMBER(R2404),R2404=TODAY())),"ATENÇÃO",IF(N(K2404)=0,"PENDENTE","EM ANDAMENTO"))))))</f>
        <v/>
      </c>
      <c r="C2404" s="3">
        <f>IF(D2404="","",IF(V2404=0,"🟢 OK",IF(D2404&lt;corte,"⚪ HISTÓRICO (sem baixa)",IF(AND(ISNUMBER(R2404),R2404&lt;TODAY()),"🔴 PRAZO VENCIDO",IF(AND(OR(N2404="PENDENTE",N2404="PARCIAL"),D2404&lt;TODAY()-1),"🔴 EMBARQUE ATRASADO",IF(AND(N2404="REALIZADO",M2404="PENDENTE"),"🟡 EMBARCADO SEM FATURAR",IF(AND(P2404&lt;&gt;"",S2404="",OR(Q2404="",R2404="")),"🟡 PENDÊNCIA SEM RESPONSÁVEL/PRAZO",IF(AND(ISNUMBER(R2404),R2404=TODAY()),"🟡 VENCE HOJE",IF(AND(P2404&lt;&gt;"",S2404=""),"🟡 PENDÊNCIA ABERTA",IF(AND(N(J2404)&gt;0,N(K2404)&lt;J2404),"🟡 FALTA EXECUTAR",IF(OR(M2404="PENDENTE",M2404="PARCIAL"),"🟡 FATURAMENTO PENDENTE","🟡 EMBARQUE PENDENTE")))))))))))</f>
        <v/>
      </c>
      <c r="D2404" s="4" t="n"/>
      <c r="E2404" s="5" t="n"/>
      <c r="F2404" s="5" t="n"/>
      <c r="G2404" s="5" t="n"/>
      <c r="H2404" s="5" t="n"/>
      <c r="I2404" s="5" t="n"/>
      <c r="J2404" s="6" t="n"/>
      <c r="K2404" s="6" t="n"/>
      <c r="L2404" s="7">
        <f>IF(OR(D2404="",N(J2404)=0),"",MIN(1,N(K2404)/J2404))</f>
        <v/>
      </c>
      <c r="M2404" s="5" t="n"/>
      <c r="N2404" s="5" t="n"/>
      <c r="O2404" s="5" t="n"/>
      <c r="P2404" s="5" t="n"/>
      <c r="Q2404" s="5" t="n"/>
      <c r="R2404" s="4" t="n"/>
      <c r="S2404" s="4" t="n"/>
      <c r="T2404" s="5" t="n"/>
      <c r="U2404" s="8">
        <f>IF(AND(V2404=1,D2404&lt;&gt;""),IF(D2404&gt;=corte,TODAY()-D2404,""),"")</f>
        <v/>
      </c>
      <c r="V2404" s="8">
        <f>IF(D2404="",0,IF(OR(AND(P2404&lt;&gt;"",S2404=""),AND(N(J2404)&gt;0,N(K2404)&lt;J2404),OR(M2404="PENDENTE",M2404="PARCIAL"),OR(N2404="PENDENTE",N2404="PARCIAL")),1,0))</f>
        <v/>
      </c>
      <c r="W2404" s="8">
        <f>IF(AND(V2404=1,D2404&lt;&gt;""),IF(D2404&gt;=corte,(B2404="CRÍTICO")*1E9+(100000-D2404)*10000+10000-ROW(),""),"")</f>
        <v/>
      </c>
      <c r="X2404" s="8">
        <f>IF(AND(V2404=1,D2404=pas_data,E2404=pas_turno),10000-ROW(),"")</f>
        <v/>
      </c>
    </row>
    <row r="2405">
      <c r="A2405" s="3">
        <f>IF(D2405="","","TT-"&amp;TEXT(ROW()-1,"00000"))</f>
        <v/>
      </c>
      <c r="B2405" s="3">
        <f>IF(D2405="","",IF(V2405=0,"CONCLUÍDO",IF(D2405&lt;corte,"HISTÓRICO",IF(OR(AND(ISNUMBER(R2405),R2405&lt;TODAY()),AND(OR(N2405="PENDENTE",N2405="PARCIAL"),D2405&lt;TODAY()-1)),"CRÍTICO",IF(OR(AND(P2405&lt;&gt;"",S2405=""),AND(N2405="REALIZADO",M2405="PENDENTE"),AND(ISNUMBER(R2405),R2405=TODAY())),"ATENÇÃO",IF(N(K2405)=0,"PENDENTE","EM ANDAMENTO"))))))</f>
        <v/>
      </c>
      <c r="C2405" s="3">
        <f>IF(D2405="","",IF(V2405=0,"🟢 OK",IF(D2405&lt;corte,"⚪ HISTÓRICO (sem baixa)",IF(AND(ISNUMBER(R2405),R2405&lt;TODAY()),"🔴 PRAZO VENCIDO",IF(AND(OR(N2405="PENDENTE",N2405="PARCIAL"),D2405&lt;TODAY()-1),"🔴 EMBARQUE ATRASADO",IF(AND(N2405="REALIZADO",M2405="PENDENTE"),"🟡 EMBARCADO SEM FATURAR",IF(AND(P2405&lt;&gt;"",S2405="",OR(Q2405="",R2405="")),"🟡 PENDÊNCIA SEM RESPONSÁVEL/PRAZO",IF(AND(ISNUMBER(R2405),R2405=TODAY()),"🟡 VENCE HOJE",IF(AND(P2405&lt;&gt;"",S2405=""),"🟡 PENDÊNCIA ABERTA",IF(AND(N(J2405)&gt;0,N(K2405)&lt;J2405),"🟡 FALTA EXECUTAR",IF(OR(M2405="PENDENTE",M2405="PARCIAL"),"🟡 FATURAMENTO PENDENTE","🟡 EMBARQUE PENDENTE")))))))))))</f>
        <v/>
      </c>
      <c r="D2405" s="4" t="n"/>
      <c r="E2405" s="5" t="n"/>
      <c r="F2405" s="5" t="n"/>
      <c r="G2405" s="5" t="n"/>
      <c r="H2405" s="5" t="n"/>
      <c r="I2405" s="5" t="n"/>
      <c r="J2405" s="6" t="n"/>
      <c r="K2405" s="6" t="n"/>
      <c r="L2405" s="7">
        <f>IF(OR(D2405="",N(J2405)=0),"",MIN(1,N(K2405)/J2405))</f>
        <v/>
      </c>
      <c r="M2405" s="5" t="n"/>
      <c r="N2405" s="5" t="n"/>
      <c r="O2405" s="5" t="n"/>
      <c r="P2405" s="5" t="n"/>
      <c r="Q2405" s="5" t="n"/>
      <c r="R2405" s="4" t="n"/>
      <c r="S2405" s="4" t="n"/>
      <c r="T2405" s="5" t="n"/>
      <c r="U2405" s="8">
        <f>IF(AND(V2405=1,D2405&lt;&gt;""),IF(D2405&gt;=corte,TODAY()-D2405,""),"")</f>
        <v/>
      </c>
      <c r="V2405" s="8">
        <f>IF(D2405="",0,IF(OR(AND(P2405&lt;&gt;"",S2405=""),AND(N(J2405)&gt;0,N(K2405)&lt;J2405),OR(M2405="PENDENTE",M2405="PARCIAL"),OR(N2405="PENDENTE",N2405="PARCIAL")),1,0))</f>
        <v/>
      </c>
      <c r="W2405" s="8">
        <f>IF(AND(V2405=1,D2405&lt;&gt;""),IF(D2405&gt;=corte,(B2405="CRÍTICO")*1E9+(100000-D2405)*10000+10000-ROW(),""),"")</f>
        <v/>
      </c>
      <c r="X2405" s="8">
        <f>IF(AND(V2405=1,D2405=pas_data,E2405=pas_turno),10000-ROW(),"")</f>
        <v/>
      </c>
    </row>
    <row r="2406">
      <c r="A2406" s="3">
        <f>IF(D2406="","","TT-"&amp;TEXT(ROW()-1,"00000"))</f>
        <v/>
      </c>
      <c r="B2406" s="3">
        <f>IF(D2406="","",IF(V2406=0,"CONCLUÍDO",IF(D2406&lt;corte,"HISTÓRICO",IF(OR(AND(ISNUMBER(R2406),R2406&lt;TODAY()),AND(OR(N2406="PENDENTE",N2406="PARCIAL"),D2406&lt;TODAY()-1)),"CRÍTICO",IF(OR(AND(P2406&lt;&gt;"",S2406=""),AND(N2406="REALIZADO",M2406="PENDENTE"),AND(ISNUMBER(R2406),R2406=TODAY())),"ATENÇÃO",IF(N(K2406)=0,"PENDENTE","EM ANDAMENTO"))))))</f>
        <v/>
      </c>
      <c r="C2406" s="3">
        <f>IF(D2406="","",IF(V2406=0,"🟢 OK",IF(D2406&lt;corte,"⚪ HISTÓRICO (sem baixa)",IF(AND(ISNUMBER(R2406),R2406&lt;TODAY()),"🔴 PRAZO VENCIDO",IF(AND(OR(N2406="PENDENTE",N2406="PARCIAL"),D2406&lt;TODAY()-1),"🔴 EMBARQUE ATRASADO",IF(AND(N2406="REALIZADO",M2406="PENDENTE"),"🟡 EMBARCADO SEM FATURAR",IF(AND(P2406&lt;&gt;"",S2406="",OR(Q2406="",R2406="")),"🟡 PENDÊNCIA SEM RESPONSÁVEL/PRAZO",IF(AND(ISNUMBER(R2406),R2406=TODAY()),"🟡 VENCE HOJE",IF(AND(P2406&lt;&gt;"",S2406=""),"🟡 PENDÊNCIA ABERTA",IF(AND(N(J2406)&gt;0,N(K2406)&lt;J2406),"🟡 FALTA EXECUTAR",IF(OR(M2406="PENDENTE",M2406="PARCIAL"),"🟡 FATURAMENTO PENDENTE","🟡 EMBARQUE PENDENTE")))))))))))</f>
        <v/>
      </c>
      <c r="D2406" s="4" t="n"/>
      <c r="E2406" s="5" t="n"/>
      <c r="F2406" s="5" t="n"/>
      <c r="G2406" s="5" t="n"/>
      <c r="H2406" s="5" t="n"/>
      <c r="I2406" s="5" t="n"/>
      <c r="J2406" s="6" t="n"/>
      <c r="K2406" s="6" t="n"/>
      <c r="L2406" s="7">
        <f>IF(OR(D2406="",N(J2406)=0),"",MIN(1,N(K2406)/J2406))</f>
        <v/>
      </c>
      <c r="M2406" s="5" t="n"/>
      <c r="N2406" s="5" t="n"/>
      <c r="O2406" s="5" t="n"/>
      <c r="P2406" s="5" t="n"/>
      <c r="Q2406" s="5" t="n"/>
      <c r="R2406" s="4" t="n"/>
      <c r="S2406" s="4" t="n"/>
      <c r="T2406" s="5" t="n"/>
      <c r="U2406" s="8">
        <f>IF(AND(V2406=1,D2406&lt;&gt;""),IF(D2406&gt;=corte,TODAY()-D2406,""),"")</f>
        <v/>
      </c>
      <c r="V2406" s="8">
        <f>IF(D2406="",0,IF(OR(AND(P2406&lt;&gt;"",S2406=""),AND(N(J2406)&gt;0,N(K2406)&lt;J2406),OR(M2406="PENDENTE",M2406="PARCIAL"),OR(N2406="PENDENTE",N2406="PARCIAL")),1,0))</f>
        <v/>
      </c>
      <c r="W2406" s="8">
        <f>IF(AND(V2406=1,D2406&lt;&gt;""),IF(D2406&gt;=corte,(B2406="CRÍTICO")*1E9+(100000-D2406)*10000+10000-ROW(),""),"")</f>
        <v/>
      </c>
      <c r="X2406" s="8">
        <f>IF(AND(V2406=1,D2406=pas_data,E2406=pas_turno),10000-ROW(),"")</f>
        <v/>
      </c>
    </row>
    <row r="2407">
      <c r="A2407" s="3">
        <f>IF(D2407="","","TT-"&amp;TEXT(ROW()-1,"00000"))</f>
        <v/>
      </c>
      <c r="B2407" s="3">
        <f>IF(D2407="","",IF(V2407=0,"CONCLUÍDO",IF(D2407&lt;corte,"HISTÓRICO",IF(OR(AND(ISNUMBER(R2407),R2407&lt;TODAY()),AND(OR(N2407="PENDENTE",N2407="PARCIAL"),D2407&lt;TODAY()-1)),"CRÍTICO",IF(OR(AND(P2407&lt;&gt;"",S2407=""),AND(N2407="REALIZADO",M2407="PENDENTE"),AND(ISNUMBER(R2407),R2407=TODAY())),"ATENÇÃO",IF(N(K2407)=0,"PENDENTE","EM ANDAMENTO"))))))</f>
        <v/>
      </c>
      <c r="C2407" s="3">
        <f>IF(D2407="","",IF(V2407=0,"🟢 OK",IF(D2407&lt;corte,"⚪ HISTÓRICO (sem baixa)",IF(AND(ISNUMBER(R2407),R2407&lt;TODAY()),"🔴 PRAZO VENCIDO",IF(AND(OR(N2407="PENDENTE",N2407="PARCIAL"),D2407&lt;TODAY()-1),"🔴 EMBARQUE ATRASADO",IF(AND(N2407="REALIZADO",M2407="PENDENTE"),"🟡 EMBARCADO SEM FATURAR",IF(AND(P2407&lt;&gt;"",S2407="",OR(Q2407="",R2407="")),"🟡 PENDÊNCIA SEM RESPONSÁVEL/PRAZO",IF(AND(ISNUMBER(R2407),R2407=TODAY()),"🟡 VENCE HOJE",IF(AND(P2407&lt;&gt;"",S2407=""),"🟡 PENDÊNCIA ABERTA",IF(AND(N(J2407)&gt;0,N(K2407)&lt;J2407),"🟡 FALTA EXECUTAR",IF(OR(M2407="PENDENTE",M2407="PARCIAL"),"🟡 FATURAMENTO PENDENTE","🟡 EMBARQUE PENDENTE")))))))))))</f>
        <v/>
      </c>
      <c r="D2407" s="4" t="n"/>
      <c r="E2407" s="5" t="n"/>
      <c r="F2407" s="5" t="n"/>
      <c r="G2407" s="5" t="n"/>
      <c r="H2407" s="5" t="n"/>
      <c r="I2407" s="5" t="n"/>
      <c r="J2407" s="6" t="n"/>
      <c r="K2407" s="6" t="n"/>
      <c r="L2407" s="7">
        <f>IF(OR(D2407="",N(J2407)=0),"",MIN(1,N(K2407)/J2407))</f>
        <v/>
      </c>
      <c r="M2407" s="5" t="n"/>
      <c r="N2407" s="5" t="n"/>
      <c r="O2407" s="5" t="n"/>
      <c r="P2407" s="5" t="n"/>
      <c r="Q2407" s="5" t="n"/>
      <c r="R2407" s="4" t="n"/>
      <c r="S2407" s="4" t="n"/>
      <c r="T2407" s="5" t="n"/>
      <c r="U2407" s="8">
        <f>IF(AND(V2407=1,D2407&lt;&gt;""),IF(D2407&gt;=corte,TODAY()-D2407,""),"")</f>
        <v/>
      </c>
      <c r="V2407" s="8">
        <f>IF(D2407="",0,IF(OR(AND(P2407&lt;&gt;"",S2407=""),AND(N(J2407)&gt;0,N(K2407)&lt;J2407),OR(M2407="PENDENTE",M2407="PARCIAL"),OR(N2407="PENDENTE",N2407="PARCIAL")),1,0))</f>
        <v/>
      </c>
      <c r="W2407" s="8">
        <f>IF(AND(V2407=1,D2407&lt;&gt;""),IF(D2407&gt;=corte,(B2407="CRÍTICO")*1E9+(100000-D2407)*10000+10000-ROW(),""),"")</f>
        <v/>
      </c>
      <c r="X2407" s="8">
        <f>IF(AND(V2407=1,D2407=pas_data,E2407=pas_turno),10000-ROW(),"")</f>
        <v/>
      </c>
    </row>
    <row r="2408">
      <c r="A2408" s="3">
        <f>IF(D2408="","","TT-"&amp;TEXT(ROW()-1,"00000"))</f>
        <v/>
      </c>
      <c r="B2408" s="3">
        <f>IF(D2408="","",IF(V2408=0,"CONCLUÍDO",IF(D2408&lt;corte,"HISTÓRICO",IF(OR(AND(ISNUMBER(R2408),R2408&lt;TODAY()),AND(OR(N2408="PENDENTE",N2408="PARCIAL"),D2408&lt;TODAY()-1)),"CRÍTICO",IF(OR(AND(P2408&lt;&gt;"",S2408=""),AND(N2408="REALIZADO",M2408="PENDENTE"),AND(ISNUMBER(R2408),R2408=TODAY())),"ATENÇÃO",IF(N(K2408)=0,"PENDENTE","EM ANDAMENTO"))))))</f>
        <v/>
      </c>
      <c r="C2408" s="3">
        <f>IF(D2408="","",IF(V2408=0,"🟢 OK",IF(D2408&lt;corte,"⚪ HISTÓRICO (sem baixa)",IF(AND(ISNUMBER(R2408),R2408&lt;TODAY()),"🔴 PRAZO VENCIDO",IF(AND(OR(N2408="PENDENTE",N2408="PARCIAL"),D2408&lt;TODAY()-1),"🔴 EMBARQUE ATRASADO",IF(AND(N2408="REALIZADO",M2408="PENDENTE"),"🟡 EMBARCADO SEM FATURAR",IF(AND(P2408&lt;&gt;"",S2408="",OR(Q2408="",R2408="")),"🟡 PENDÊNCIA SEM RESPONSÁVEL/PRAZO",IF(AND(ISNUMBER(R2408),R2408=TODAY()),"🟡 VENCE HOJE",IF(AND(P2408&lt;&gt;"",S2408=""),"🟡 PENDÊNCIA ABERTA",IF(AND(N(J2408)&gt;0,N(K2408)&lt;J2408),"🟡 FALTA EXECUTAR",IF(OR(M2408="PENDENTE",M2408="PARCIAL"),"🟡 FATURAMENTO PENDENTE","🟡 EMBARQUE PENDENTE")))))))))))</f>
        <v/>
      </c>
      <c r="D2408" s="4" t="n"/>
      <c r="E2408" s="5" t="n"/>
      <c r="F2408" s="5" t="n"/>
      <c r="G2408" s="5" t="n"/>
      <c r="H2408" s="5" t="n"/>
      <c r="I2408" s="5" t="n"/>
      <c r="J2408" s="6" t="n"/>
      <c r="K2408" s="6" t="n"/>
      <c r="L2408" s="7">
        <f>IF(OR(D2408="",N(J2408)=0),"",MIN(1,N(K2408)/J2408))</f>
        <v/>
      </c>
      <c r="M2408" s="5" t="n"/>
      <c r="N2408" s="5" t="n"/>
      <c r="O2408" s="5" t="n"/>
      <c r="P2408" s="5" t="n"/>
      <c r="Q2408" s="5" t="n"/>
      <c r="R2408" s="4" t="n"/>
      <c r="S2408" s="4" t="n"/>
      <c r="T2408" s="5" t="n"/>
      <c r="U2408" s="8">
        <f>IF(AND(V2408=1,D2408&lt;&gt;""),IF(D2408&gt;=corte,TODAY()-D2408,""),"")</f>
        <v/>
      </c>
      <c r="V2408" s="8">
        <f>IF(D2408="",0,IF(OR(AND(P2408&lt;&gt;"",S2408=""),AND(N(J2408)&gt;0,N(K2408)&lt;J2408),OR(M2408="PENDENTE",M2408="PARCIAL"),OR(N2408="PENDENTE",N2408="PARCIAL")),1,0))</f>
        <v/>
      </c>
      <c r="W2408" s="8">
        <f>IF(AND(V2408=1,D2408&lt;&gt;""),IF(D2408&gt;=corte,(B2408="CRÍTICO")*1E9+(100000-D2408)*10000+10000-ROW(),""),"")</f>
        <v/>
      </c>
      <c r="X2408" s="8">
        <f>IF(AND(V2408=1,D2408=pas_data,E2408=pas_turno),10000-ROW(),"")</f>
        <v/>
      </c>
    </row>
    <row r="2409">
      <c r="A2409" s="3">
        <f>IF(D2409="","","TT-"&amp;TEXT(ROW()-1,"00000"))</f>
        <v/>
      </c>
      <c r="B2409" s="3">
        <f>IF(D2409="","",IF(V2409=0,"CONCLUÍDO",IF(D2409&lt;corte,"HISTÓRICO",IF(OR(AND(ISNUMBER(R2409),R2409&lt;TODAY()),AND(OR(N2409="PENDENTE",N2409="PARCIAL"),D2409&lt;TODAY()-1)),"CRÍTICO",IF(OR(AND(P2409&lt;&gt;"",S2409=""),AND(N2409="REALIZADO",M2409="PENDENTE"),AND(ISNUMBER(R2409),R2409=TODAY())),"ATENÇÃO",IF(N(K2409)=0,"PENDENTE","EM ANDAMENTO"))))))</f>
        <v/>
      </c>
      <c r="C2409" s="3">
        <f>IF(D2409="","",IF(V2409=0,"🟢 OK",IF(D2409&lt;corte,"⚪ HISTÓRICO (sem baixa)",IF(AND(ISNUMBER(R2409),R2409&lt;TODAY()),"🔴 PRAZO VENCIDO",IF(AND(OR(N2409="PENDENTE",N2409="PARCIAL"),D2409&lt;TODAY()-1),"🔴 EMBARQUE ATRASADO",IF(AND(N2409="REALIZADO",M2409="PENDENTE"),"🟡 EMBARCADO SEM FATURAR",IF(AND(P2409&lt;&gt;"",S2409="",OR(Q2409="",R2409="")),"🟡 PENDÊNCIA SEM RESPONSÁVEL/PRAZO",IF(AND(ISNUMBER(R2409),R2409=TODAY()),"🟡 VENCE HOJE",IF(AND(P2409&lt;&gt;"",S2409=""),"🟡 PENDÊNCIA ABERTA",IF(AND(N(J2409)&gt;0,N(K2409)&lt;J2409),"🟡 FALTA EXECUTAR",IF(OR(M2409="PENDENTE",M2409="PARCIAL"),"🟡 FATURAMENTO PENDENTE","🟡 EMBARQUE PENDENTE")))))))))))</f>
        <v/>
      </c>
      <c r="D2409" s="4" t="n"/>
      <c r="E2409" s="5" t="n"/>
      <c r="F2409" s="5" t="n"/>
      <c r="G2409" s="5" t="n"/>
      <c r="H2409" s="5" t="n"/>
      <c r="I2409" s="5" t="n"/>
      <c r="J2409" s="6" t="n"/>
      <c r="K2409" s="6" t="n"/>
      <c r="L2409" s="7">
        <f>IF(OR(D2409="",N(J2409)=0),"",MIN(1,N(K2409)/J2409))</f>
        <v/>
      </c>
      <c r="M2409" s="5" t="n"/>
      <c r="N2409" s="5" t="n"/>
      <c r="O2409" s="5" t="n"/>
      <c r="P2409" s="5" t="n"/>
      <c r="Q2409" s="5" t="n"/>
      <c r="R2409" s="4" t="n"/>
      <c r="S2409" s="4" t="n"/>
      <c r="T2409" s="5" t="n"/>
      <c r="U2409" s="8">
        <f>IF(AND(V2409=1,D2409&lt;&gt;""),IF(D2409&gt;=corte,TODAY()-D2409,""),"")</f>
        <v/>
      </c>
      <c r="V2409" s="8">
        <f>IF(D2409="",0,IF(OR(AND(P2409&lt;&gt;"",S2409=""),AND(N(J2409)&gt;0,N(K2409)&lt;J2409),OR(M2409="PENDENTE",M2409="PARCIAL"),OR(N2409="PENDENTE",N2409="PARCIAL")),1,0))</f>
        <v/>
      </c>
      <c r="W2409" s="8">
        <f>IF(AND(V2409=1,D2409&lt;&gt;""),IF(D2409&gt;=corte,(B2409="CRÍTICO")*1E9+(100000-D2409)*10000+10000-ROW(),""),"")</f>
        <v/>
      </c>
      <c r="X2409" s="8">
        <f>IF(AND(V2409=1,D2409=pas_data,E2409=pas_turno),10000-ROW(),"")</f>
        <v/>
      </c>
    </row>
    <row r="2410">
      <c r="A2410" s="3">
        <f>IF(D2410="","","TT-"&amp;TEXT(ROW()-1,"00000"))</f>
        <v/>
      </c>
      <c r="B2410" s="3">
        <f>IF(D2410="","",IF(V2410=0,"CONCLUÍDO",IF(D2410&lt;corte,"HISTÓRICO",IF(OR(AND(ISNUMBER(R2410),R2410&lt;TODAY()),AND(OR(N2410="PENDENTE",N2410="PARCIAL"),D2410&lt;TODAY()-1)),"CRÍTICO",IF(OR(AND(P2410&lt;&gt;"",S2410=""),AND(N2410="REALIZADO",M2410="PENDENTE"),AND(ISNUMBER(R2410),R2410=TODAY())),"ATENÇÃO",IF(N(K2410)=0,"PENDENTE","EM ANDAMENTO"))))))</f>
        <v/>
      </c>
      <c r="C2410" s="3">
        <f>IF(D2410="","",IF(V2410=0,"🟢 OK",IF(D2410&lt;corte,"⚪ HISTÓRICO (sem baixa)",IF(AND(ISNUMBER(R2410),R2410&lt;TODAY()),"🔴 PRAZO VENCIDO",IF(AND(OR(N2410="PENDENTE",N2410="PARCIAL"),D2410&lt;TODAY()-1),"🔴 EMBARQUE ATRASADO",IF(AND(N2410="REALIZADO",M2410="PENDENTE"),"🟡 EMBARCADO SEM FATURAR",IF(AND(P2410&lt;&gt;"",S2410="",OR(Q2410="",R2410="")),"🟡 PENDÊNCIA SEM RESPONSÁVEL/PRAZO",IF(AND(ISNUMBER(R2410),R2410=TODAY()),"🟡 VENCE HOJE",IF(AND(P2410&lt;&gt;"",S2410=""),"🟡 PENDÊNCIA ABERTA",IF(AND(N(J2410)&gt;0,N(K2410)&lt;J2410),"🟡 FALTA EXECUTAR",IF(OR(M2410="PENDENTE",M2410="PARCIAL"),"🟡 FATURAMENTO PENDENTE","🟡 EMBARQUE PENDENTE")))))))))))</f>
        <v/>
      </c>
      <c r="D2410" s="4" t="n"/>
      <c r="E2410" s="5" t="n"/>
      <c r="F2410" s="5" t="n"/>
      <c r="G2410" s="5" t="n"/>
      <c r="H2410" s="5" t="n"/>
      <c r="I2410" s="5" t="n"/>
      <c r="J2410" s="6" t="n"/>
      <c r="K2410" s="6" t="n"/>
      <c r="L2410" s="7">
        <f>IF(OR(D2410="",N(J2410)=0),"",MIN(1,N(K2410)/J2410))</f>
        <v/>
      </c>
      <c r="M2410" s="5" t="n"/>
      <c r="N2410" s="5" t="n"/>
      <c r="O2410" s="5" t="n"/>
      <c r="P2410" s="5" t="n"/>
      <c r="Q2410" s="5" t="n"/>
      <c r="R2410" s="4" t="n"/>
      <c r="S2410" s="4" t="n"/>
      <c r="T2410" s="5" t="n"/>
      <c r="U2410" s="8">
        <f>IF(AND(V2410=1,D2410&lt;&gt;""),IF(D2410&gt;=corte,TODAY()-D2410,""),"")</f>
        <v/>
      </c>
      <c r="V2410" s="8">
        <f>IF(D2410="",0,IF(OR(AND(P2410&lt;&gt;"",S2410=""),AND(N(J2410)&gt;0,N(K2410)&lt;J2410),OR(M2410="PENDENTE",M2410="PARCIAL"),OR(N2410="PENDENTE",N2410="PARCIAL")),1,0))</f>
        <v/>
      </c>
      <c r="W2410" s="8">
        <f>IF(AND(V2410=1,D2410&lt;&gt;""),IF(D2410&gt;=corte,(B2410="CRÍTICO")*1E9+(100000-D2410)*10000+10000-ROW(),""),"")</f>
        <v/>
      </c>
      <c r="X2410" s="8">
        <f>IF(AND(V2410=1,D2410=pas_data,E2410=pas_turno),10000-ROW(),"")</f>
        <v/>
      </c>
    </row>
    <row r="2411">
      <c r="A2411" s="3">
        <f>IF(D2411="","","TT-"&amp;TEXT(ROW()-1,"00000"))</f>
        <v/>
      </c>
      <c r="B2411" s="3">
        <f>IF(D2411="","",IF(V2411=0,"CONCLUÍDO",IF(D2411&lt;corte,"HISTÓRICO",IF(OR(AND(ISNUMBER(R2411),R2411&lt;TODAY()),AND(OR(N2411="PENDENTE",N2411="PARCIAL"),D2411&lt;TODAY()-1)),"CRÍTICO",IF(OR(AND(P2411&lt;&gt;"",S2411=""),AND(N2411="REALIZADO",M2411="PENDENTE"),AND(ISNUMBER(R2411),R2411=TODAY())),"ATENÇÃO",IF(N(K2411)=0,"PENDENTE","EM ANDAMENTO"))))))</f>
        <v/>
      </c>
      <c r="C2411" s="3">
        <f>IF(D2411="","",IF(V2411=0,"🟢 OK",IF(D2411&lt;corte,"⚪ HISTÓRICO (sem baixa)",IF(AND(ISNUMBER(R2411),R2411&lt;TODAY()),"🔴 PRAZO VENCIDO",IF(AND(OR(N2411="PENDENTE",N2411="PARCIAL"),D2411&lt;TODAY()-1),"🔴 EMBARQUE ATRASADO",IF(AND(N2411="REALIZADO",M2411="PENDENTE"),"🟡 EMBARCADO SEM FATURAR",IF(AND(P2411&lt;&gt;"",S2411="",OR(Q2411="",R2411="")),"🟡 PENDÊNCIA SEM RESPONSÁVEL/PRAZO",IF(AND(ISNUMBER(R2411),R2411=TODAY()),"🟡 VENCE HOJE",IF(AND(P2411&lt;&gt;"",S2411=""),"🟡 PENDÊNCIA ABERTA",IF(AND(N(J2411)&gt;0,N(K2411)&lt;J2411),"🟡 FALTA EXECUTAR",IF(OR(M2411="PENDENTE",M2411="PARCIAL"),"🟡 FATURAMENTO PENDENTE","🟡 EMBARQUE PENDENTE")))))))))))</f>
        <v/>
      </c>
      <c r="D2411" s="4" t="n"/>
      <c r="E2411" s="5" t="n"/>
      <c r="F2411" s="5" t="n"/>
      <c r="G2411" s="5" t="n"/>
      <c r="H2411" s="5" t="n"/>
      <c r="I2411" s="5" t="n"/>
      <c r="J2411" s="6" t="n"/>
      <c r="K2411" s="6" t="n"/>
      <c r="L2411" s="7">
        <f>IF(OR(D2411="",N(J2411)=0),"",MIN(1,N(K2411)/J2411))</f>
        <v/>
      </c>
      <c r="M2411" s="5" t="n"/>
      <c r="N2411" s="5" t="n"/>
      <c r="O2411" s="5" t="n"/>
      <c r="P2411" s="5" t="n"/>
      <c r="Q2411" s="5" t="n"/>
      <c r="R2411" s="4" t="n"/>
      <c r="S2411" s="4" t="n"/>
      <c r="T2411" s="5" t="n"/>
      <c r="U2411" s="8">
        <f>IF(AND(V2411=1,D2411&lt;&gt;""),IF(D2411&gt;=corte,TODAY()-D2411,""),"")</f>
        <v/>
      </c>
      <c r="V2411" s="8">
        <f>IF(D2411="",0,IF(OR(AND(P2411&lt;&gt;"",S2411=""),AND(N(J2411)&gt;0,N(K2411)&lt;J2411),OR(M2411="PENDENTE",M2411="PARCIAL"),OR(N2411="PENDENTE",N2411="PARCIAL")),1,0))</f>
        <v/>
      </c>
      <c r="W2411" s="8">
        <f>IF(AND(V2411=1,D2411&lt;&gt;""),IF(D2411&gt;=corte,(B2411="CRÍTICO")*1E9+(100000-D2411)*10000+10000-ROW(),""),"")</f>
        <v/>
      </c>
      <c r="X2411" s="8">
        <f>IF(AND(V2411=1,D2411=pas_data,E2411=pas_turno),10000-ROW(),"")</f>
        <v/>
      </c>
    </row>
    <row r="2412">
      <c r="A2412" s="3">
        <f>IF(D2412="","","TT-"&amp;TEXT(ROW()-1,"00000"))</f>
        <v/>
      </c>
      <c r="B2412" s="3">
        <f>IF(D2412="","",IF(V2412=0,"CONCLUÍDO",IF(D2412&lt;corte,"HISTÓRICO",IF(OR(AND(ISNUMBER(R2412),R2412&lt;TODAY()),AND(OR(N2412="PENDENTE",N2412="PARCIAL"),D2412&lt;TODAY()-1)),"CRÍTICO",IF(OR(AND(P2412&lt;&gt;"",S2412=""),AND(N2412="REALIZADO",M2412="PENDENTE"),AND(ISNUMBER(R2412),R2412=TODAY())),"ATENÇÃO",IF(N(K2412)=0,"PENDENTE","EM ANDAMENTO"))))))</f>
        <v/>
      </c>
      <c r="C2412" s="3">
        <f>IF(D2412="","",IF(V2412=0,"🟢 OK",IF(D2412&lt;corte,"⚪ HISTÓRICO (sem baixa)",IF(AND(ISNUMBER(R2412),R2412&lt;TODAY()),"🔴 PRAZO VENCIDO",IF(AND(OR(N2412="PENDENTE",N2412="PARCIAL"),D2412&lt;TODAY()-1),"🔴 EMBARQUE ATRASADO",IF(AND(N2412="REALIZADO",M2412="PENDENTE"),"🟡 EMBARCADO SEM FATURAR",IF(AND(P2412&lt;&gt;"",S2412="",OR(Q2412="",R2412="")),"🟡 PENDÊNCIA SEM RESPONSÁVEL/PRAZO",IF(AND(ISNUMBER(R2412),R2412=TODAY()),"🟡 VENCE HOJE",IF(AND(P2412&lt;&gt;"",S2412=""),"🟡 PENDÊNCIA ABERTA",IF(AND(N(J2412)&gt;0,N(K2412)&lt;J2412),"🟡 FALTA EXECUTAR",IF(OR(M2412="PENDENTE",M2412="PARCIAL"),"🟡 FATURAMENTO PENDENTE","🟡 EMBARQUE PENDENTE")))))))))))</f>
        <v/>
      </c>
      <c r="D2412" s="4" t="n"/>
      <c r="E2412" s="5" t="n"/>
      <c r="F2412" s="5" t="n"/>
      <c r="G2412" s="5" t="n"/>
      <c r="H2412" s="5" t="n"/>
      <c r="I2412" s="5" t="n"/>
      <c r="J2412" s="6" t="n"/>
      <c r="K2412" s="6" t="n"/>
      <c r="L2412" s="7">
        <f>IF(OR(D2412="",N(J2412)=0),"",MIN(1,N(K2412)/J2412))</f>
        <v/>
      </c>
      <c r="M2412" s="5" t="n"/>
      <c r="N2412" s="5" t="n"/>
      <c r="O2412" s="5" t="n"/>
      <c r="P2412" s="5" t="n"/>
      <c r="Q2412" s="5" t="n"/>
      <c r="R2412" s="4" t="n"/>
      <c r="S2412" s="4" t="n"/>
      <c r="T2412" s="5" t="n"/>
      <c r="U2412" s="8">
        <f>IF(AND(V2412=1,D2412&lt;&gt;""),IF(D2412&gt;=corte,TODAY()-D2412,""),"")</f>
        <v/>
      </c>
      <c r="V2412" s="8">
        <f>IF(D2412="",0,IF(OR(AND(P2412&lt;&gt;"",S2412=""),AND(N(J2412)&gt;0,N(K2412)&lt;J2412),OR(M2412="PENDENTE",M2412="PARCIAL"),OR(N2412="PENDENTE",N2412="PARCIAL")),1,0))</f>
        <v/>
      </c>
      <c r="W2412" s="8">
        <f>IF(AND(V2412=1,D2412&lt;&gt;""),IF(D2412&gt;=corte,(B2412="CRÍTICO")*1E9+(100000-D2412)*10000+10000-ROW(),""),"")</f>
        <v/>
      </c>
      <c r="X2412" s="8">
        <f>IF(AND(V2412=1,D2412=pas_data,E2412=pas_turno),10000-ROW(),"")</f>
        <v/>
      </c>
    </row>
    <row r="2413">
      <c r="A2413" s="3">
        <f>IF(D2413="","","TT-"&amp;TEXT(ROW()-1,"00000"))</f>
        <v/>
      </c>
      <c r="B2413" s="3">
        <f>IF(D2413="","",IF(V2413=0,"CONCLUÍDO",IF(D2413&lt;corte,"HISTÓRICO",IF(OR(AND(ISNUMBER(R2413),R2413&lt;TODAY()),AND(OR(N2413="PENDENTE",N2413="PARCIAL"),D2413&lt;TODAY()-1)),"CRÍTICO",IF(OR(AND(P2413&lt;&gt;"",S2413=""),AND(N2413="REALIZADO",M2413="PENDENTE"),AND(ISNUMBER(R2413),R2413=TODAY())),"ATENÇÃO",IF(N(K2413)=0,"PENDENTE","EM ANDAMENTO"))))))</f>
        <v/>
      </c>
      <c r="C2413" s="3">
        <f>IF(D2413="","",IF(V2413=0,"🟢 OK",IF(D2413&lt;corte,"⚪ HISTÓRICO (sem baixa)",IF(AND(ISNUMBER(R2413),R2413&lt;TODAY()),"🔴 PRAZO VENCIDO",IF(AND(OR(N2413="PENDENTE",N2413="PARCIAL"),D2413&lt;TODAY()-1),"🔴 EMBARQUE ATRASADO",IF(AND(N2413="REALIZADO",M2413="PENDENTE"),"🟡 EMBARCADO SEM FATURAR",IF(AND(P2413&lt;&gt;"",S2413="",OR(Q2413="",R2413="")),"🟡 PENDÊNCIA SEM RESPONSÁVEL/PRAZO",IF(AND(ISNUMBER(R2413),R2413=TODAY()),"🟡 VENCE HOJE",IF(AND(P2413&lt;&gt;"",S2413=""),"🟡 PENDÊNCIA ABERTA",IF(AND(N(J2413)&gt;0,N(K2413)&lt;J2413),"🟡 FALTA EXECUTAR",IF(OR(M2413="PENDENTE",M2413="PARCIAL"),"🟡 FATURAMENTO PENDENTE","🟡 EMBARQUE PENDENTE")))))))))))</f>
        <v/>
      </c>
      <c r="D2413" s="4" t="n"/>
      <c r="E2413" s="5" t="n"/>
      <c r="F2413" s="5" t="n"/>
      <c r="G2413" s="5" t="n"/>
      <c r="H2413" s="5" t="n"/>
      <c r="I2413" s="5" t="n"/>
      <c r="J2413" s="6" t="n"/>
      <c r="K2413" s="6" t="n"/>
      <c r="L2413" s="7">
        <f>IF(OR(D2413="",N(J2413)=0),"",MIN(1,N(K2413)/J2413))</f>
        <v/>
      </c>
      <c r="M2413" s="5" t="n"/>
      <c r="N2413" s="5" t="n"/>
      <c r="O2413" s="5" t="n"/>
      <c r="P2413" s="5" t="n"/>
      <c r="Q2413" s="5" t="n"/>
      <c r="R2413" s="4" t="n"/>
      <c r="S2413" s="4" t="n"/>
      <c r="T2413" s="5" t="n"/>
      <c r="U2413" s="8">
        <f>IF(AND(V2413=1,D2413&lt;&gt;""),IF(D2413&gt;=corte,TODAY()-D2413,""),"")</f>
        <v/>
      </c>
      <c r="V2413" s="8">
        <f>IF(D2413="",0,IF(OR(AND(P2413&lt;&gt;"",S2413=""),AND(N(J2413)&gt;0,N(K2413)&lt;J2413),OR(M2413="PENDENTE",M2413="PARCIAL"),OR(N2413="PENDENTE",N2413="PARCIAL")),1,0))</f>
        <v/>
      </c>
      <c r="W2413" s="8">
        <f>IF(AND(V2413=1,D2413&lt;&gt;""),IF(D2413&gt;=corte,(B2413="CRÍTICO")*1E9+(100000-D2413)*10000+10000-ROW(),""),"")</f>
        <v/>
      </c>
      <c r="X2413" s="8">
        <f>IF(AND(V2413=1,D2413=pas_data,E2413=pas_turno),10000-ROW(),"")</f>
        <v/>
      </c>
    </row>
    <row r="2414">
      <c r="A2414" s="3">
        <f>IF(D2414="","","TT-"&amp;TEXT(ROW()-1,"00000"))</f>
        <v/>
      </c>
      <c r="B2414" s="3">
        <f>IF(D2414="","",IF(V2414=0,"CONCLUÍDO",IF(D2414&lt;corte,"HISTÓRICO",IF(OR(AND(ISNUMBER(R2414),R2414&lt;TODAY()),AND(OR(N2414="PENDENTE",N2414="PARCIAL"),D2414&lt;TODAY()-1)),"CRÍTICO",IF(OR(AND(P2414&lt;&gt;"",S2414=""),AND(N2414="REALIZADO",M2414="PENDENTE"),AND(ISNUMBER(R2414),R2414=TODAY())),"ATENÇÃO",IF(N(K2414)=0,"PENDENTE","EM ANDAMENTO"))))))</f>
        <v/>
      </c>
      <c r="C2414" s="3">
        <f>IF(D2414="","",IF(V2414=0,"🟢 OK",IF(D2414&lt;corte,"⚪ HISTÓRICO (sem baixa)",IF(AND(ISNUMBER(R2414),R2414&lt;TODAY()),"🔴 PRAZO VENCIDO",IF(AND(OR(N2414="PENDENTE",N2414="PARCIAL"),D2414&lt;TODAY()-1),"🔴 EMBARQUE ATRASADO",IF(AND(N2414="REALIZADO",M2414="PENDENTE"),"🟡 EMBARCADO SEM FATURAR",IF(AND(P2414&lt;&gt;"",S2414="",OR(Q2414="",R2414="")),"🟡 PENDÊNCIA SEM RESPONSÁVEL/PRAZO",IF(AND(ISNUMBER(R2414),R2414=TODAY()),"🟡 VENCE HOJE",IF(AND(P2414&lt;&gt;"",S2414=""),"🟡 PENDÊNCIA ABERTA",IF(AND(N(J2414)&gt;0,N(K2414)&lt;J2414),"🟡 FALTA EXECUTAR",IF(OR(M2414="PENDENTE",M2414="PARCIAL"),"🟡 FATURAMENTO PENDENTE","🟡 EMBARQUE PENDENTE")))))))))))</f>
        <v/>
      </c>
      <c r="D2414" s="4" t="n"/>
      <c r="E2414" s="5" t="n"/>
      <c r="F2414" s="5" t="n"/>
      <c r="G2414" s="5" t="n"/>
      <c r="H2414" s="5" t="n"/>
      <c r="I2414" s="5" t="n"/>
      <c r="J2414" s="6" t="n"/>
      <c r="K2414" s="6" t="n"/>
      <c r="L2414" s="7">
        <f>IF(OR(D2414="",N(J2414)=0),"",MIN(1,N(K2414)/J2414))</f>
        <v/>
      </c>
      <c r="M2414" s="5" t="n"/>
      <c r="N2414" s="5" t="n"/>
      <c r="O2414" s="5" t="n"/>
      <c r="P2414" s="5" t="n"/>
      <c r="Q2414" s="5" t="n"/>
      <c r="R2414" s="4" t="n"/>
      <c r="S2414" s="4" t="n"/>
      <c r="T2414" s="5" t="n"/>
      <c r="U2414" s="8">
        <f>IF(AND(V2414=1,D2414&lt;&gt;""),IF(D2414&gt;=corte,TODAY()-D2414,""),"")</f>
        <v/>
      </c>
      <c r="V2414" s="8">
        <f>IF(D2414="",0,IF(OR(AND(P2414&lt;&gt;"",S2414=""),AND(N(J2414)&gt;0,N(K2414)&lt;J2414),OR(M2414="PENDENTE",M2414="PARCIAL"),OR(N2414="PENDENTE",N2414="PARCIAL")),1,0))</f>
        <v/>
      </c>
      <c r="W2414" s="8">
        <f>IF(AND(V2414=1,D2414&lt;&gt;""),IF(D2414&gt;=corte,(B2414="CRÍTICO")*1E9+(100000-D2414)*10000+10000-ROW(),""),"")</f>
        <v/>
      </c>
      <c r="X2414" s="8">
        <f>IF(AND(V2414=1,D2414=pas_data,E2414=pas_turno),10000-ROW(),"")</f>
        <v/>
      </c>
    </row>
    <row r="2415">
      <c r="A2415" s="3">
        <f>IF(D2415="","","TT-"&amp;TEXT(ROW()-1,"00000"))</f>
        <v/>
      </c>
      <c r="B2415" s="3">
        <f>IF(D2415="","",IF(V2415=0,"CONCLUÍDO",IF(D2415&lt;corte,"HISTÓRICO",IF(OR(AND(ISNUMBER(R2415),R2415&lt;TODAY()),AND(OR(N2415="PENDENTE",N2415="PARCIAL"),D2415&lt;TODAY()-1)),"CRÍTICO",IF(OR(AND(P2415&lt;&gt;"",S2415=""),AND(N2415="REALIZADO",M2415="PENDENTE"),AND(ISNUMBER(R2415),R2415=TODAY())),"ATENÇÃO",IF(N(K2415)=0,"PENDENTE","EM ANDAMENTO"))))))</f>
        <v/>
      </c>
      <c r="C2415" s="3">
        <f>IF(D2415="","",IF(V2415=0,"🟢 OK",IF(D2415&lt;corte,"⚪ HISTÓRICO (sem baixa)",IF(AND(ISNUMBER(R2415),R2415&lt;TODAY()),"🔴 PRAZO VENCIDO",IF(AND(OR(N2415="PENDENTE",N2415="PARCIAL"),D2415&lt;TODAY()-1),"🔴 EMBARQUE ATRASADO",IF(AND(N2415="REALIZADO",M2415="PENDENTE"),"🟡 EMBARCADO SEM FATURAR",IF(AND(P2415&lt;&gt;"",S2415="",OR(Q2415="",R2415="")),"🟡 PENDÊNCIA SEM RESPONSÁVEL/PRAZO",IF(AND(ISNUMBER(R2415),R2415=TODAY()),"🟡 VENCE HOJE",IF(AND(P2415&lt;&gt;"",S2415=""),"🟡 PENDÊNCIA ABERTA",IF(AND(N(J2415)&gt;0,N(K2415)&lt;J2415),"🟡 FALTA EXECUTAR",IF(OR(M2415="PENDENTE",M2415="PARCIAL"),"🟡 FATURAMENTO PENDENTE","🟡 EMBARQUE PENDENTE")))))))))))</f>
        <v/>
      </c>
      <c r="D2415" s="4" t="n"/>
      <c r="E2415" s="5" t="n"/>
      <c r="F2415" s="5" t="n"/>
      <c r="G2415" s="5" t="n"/>
      <c r="H2415" s="5" t="n"/>
      <c r="I2415" s="5" t="n"/>
      <c r="J2415" s="6" t="n"/>
      <c r="K2415" s="6" t="n"/>
      <c r="L2415" s="7">
        <f>IF(OR(D2415="",N(J2415)=0),"",MIN(1,N(K2415)/J2415))</f>
        <v/>
      </c>
      <c r="M2415" s="5" t="n"/>
      <c r="N2415" s="5" t="n"/>
      <c r="O2415" s="5" t="n"/>
      <c r="P2415" s="5" t="n"/>
      <c r="Q2415" s="5" t="n"/>
      <c r="R2415" s="4" t="n"/>
      <c r="S2415" s="4" t="n"/>
      <c r="T2415" s="5" t="n"/>
      <c r="U2415" s="8">
        <f>IF(AND(V2415=1,D2415&lt;&gt;""),IF(D2415&gt;=corte,TODAY()-D2415,""),"")</f>
        <v/>
      </c>
      <c r="V2415" s="8">
        <f>IF(D2415="",0,IF(OR(AND(P2415&lt;&gt;"",S2415=""),AND(N(J2415)&gt;0,N(K2415)&lt;J2415),OR(M2415="PENDENTE",M2415="PARCIAL"),OR(N2415="PENDENTE",N2415="PARCIAL")),1,0))</f>
        <v/>
      </c>
      <c r="W2415" s="8">
        <f>IF(AND(V2415=1,D2415&lt;&gt;""),IF(D2415&gt;=corte,(B2415="CRÍTICO")*1E9+(100000-D2415)*10000+10000-ROW(),""),"")</f>
        <v/>
      </c>
      <c r="X2415" s="8">
        <f>IF(AND(V2415=1,D2415=pas_data,E2415=pas_turno),10000-ROW(),"")</f>
        <v/>
      </c>
    </row>
    <row r="2416">
      <c r="A2416" s="3">
        <f>IF(D2416="","","TT-"&amp;TEXT(ROW()-1,"00000"))</f>
        <v/>
      </c>
      <c r="B2416" s="3">
        <f>IF(D2416="","",IF(V2416=0,"CONCLUÍDO",IF(D2416&lt;corte,"HISTÓRICO",IF(OR(AND(ISNUMBER(R2416),R2416&lt;TODAY()),AND(OR(N2416="PENDENTE",N2416="PARCIAL"),D2416&lt;TODAY()-1)),"CRÍTICO",IF(OR(AND(P2416&lt;&gt;"",S2416=""),AND(N2416="REALIZADO",M2416="PENDENTE"),AND(ISNUMBER(R2416),R2416=TODAY())),"ATENÇÃO",IF(N(K2416)=0,"PENDENTE","EM ANDAMENTO"))))))</f>
        <v/>
      </c>
      <c r="C2416" s="3">
        <f>IF(D2416="","",IF(V2416=0,"🟢 OK",IF(D2416&lt;corte,"⚪ HISTÓRICO (sem baixa)",IF(AND(ISNUMBER(R2416),R2416&lt;TODAY()),"🔴 PRAZO VENCIDO",IF(AND(OR(N2416="PENDENTE",N2416="PARCIAL"),D2416&lt;TODAY()-1),"🔴 EMBARQUE ATRASADO",IF(AND(N2416="REALIZADO",M2416="PENDENTE"),"🟡 EMBARCADO SEM FATURAR",IF(AND(P2416&lt;&gt;"",S2416="",OR(Q2416="",R2416="")),"🟡 PENDÊNCIA SEM RESPONSÁVEL/PRAZO",IF(AND(ISNUMBER(R2416),R2416=TODAY()),"🟡 VENCE HOJE",IF(AND(P2416&lt;&gt;"",S2416=""),"🟡 PENDÊNCIA ABERTA",IF(AND(N(J2416)&gt;0,N(K2416)&lt;J2416),"🟡 FALTA EXECUTAR",IF(OR(M2416="PENDENTE",M2416="PARCIAL"),"🟡 FATURAMENTO PENDENTE","🟡 EMBARQUE PENDENTE")))))))))))</f>
        <v/>
      </c>
      <c r="D2416" s="4" t="n"/>
      <c r="E2416" s="5" t="n"/>
      <c r="F2416" s="5" t="n"/>
      <c r="G2416" s="5" t="n"/>
      <c r="H2416" s="5" t="n"/>
      <c r="I2416" s="5" t="n"/>
      <c r="J2416" s="6" t="n"/>
      <c r="K2416" s="6" t="n"/>
      <c r="L2416" s="7">
        <f>IF(OR(D2416="",N(J2416)=0),"",MIN(1,N(K2416)/J2416))</f>
        <v/>
      </c>
      <c r="M2416" s="5" t="n"/>
      <c r="N2416" s="5" t="n"/>
      <c r="O2416" s="5" t="n"/>
      <c r="P2416" s="5" t="n"/>
      <c r="Q2416" s="5" t="n"/>
      <c r="R2416" s="4" t="n"/>
      <c r="S2416" s="4" t="n"/>
      <c r="T2416" s="5" t="n"/>
      <c r="U2416" s="8">
        <f>IF(AND(V2416=1,D2416&lt;&gt;""),IF(D2416&gt;=corte,TODAY()-D2416,""),"")</f>
        <v/>
      </c>
      <c r="V2416" s="8">
        <f>IF(D2416="",0,IF(OR(AND(P2416&lt;&gt;"",S2416=""),AND(N(J2416)&gt;0,N(K2416)&lt;J2416),OR(M2416="PENDENTE",M2416="PARCIAL"),OR(N2416="PENDENTE",N2416="PARCIAL")),1,0))</f>
        <v/>
      </c>
      <c r="W2416" s="8">
        <f>IF(AND(V2416=1,D2416&lt;&gt;""),IF(D2416&gt;=corte,(B2416="CRÍTICO")*1E9+(100000-D2416)*10000+10000-ROW(),""),"")</f>
        <v/>
      </c>
      <c r="X2416" s="8">
        <f>IF(AND(V2416=1,D2416=pas_data,E2416=pas_turno),10000-ROW(),"")</f>
        <v/>
      </c>
    </row>
    <row r="2417">
      <c r="A2417" s="3">
        <f>IF(D2417="","","TT-"&amp;TEXT(ROW()-1,"00000"))</f>
        <v/>
      </c>
      <c r="B2417" s="3">
        <f>IF(D2417="","",IF(V2417=0,"CONCLUÍDO",IF(D2417&lt;corte,"HISTÓRICO",IF(OR(AND(ISNUMBER(R2417),R2417&lt;TODAY()),AND(OR(N2417="PENDENTE",N2417="PARCIAL"),D2417&lt;TODAY()-1)),"CRÍTICO",IF(OR(AND(P2417&lt;&gt;"",S2417=""),AND(N2417="REALIZADO",M2417="PENDENTE"),AND(ISNUMBER(R2417),R2417=TODAY())),"ATENÇÃO",IF(N(K2417)=0,"PENDENTE","EM ANDAMENTO"))))))</f>
        <v/>
      </c>
      <c r="C2417" s="3">
        <f>IF(D2417="","",IF(V2417=0,"🟢 OK",IF(D2417&lt;corte,"⚪ HISTÓRICO (sem baixa)",IF(AND(ISNUMBER(R2417),R2417&lt;TODAY()),"🔴 PRAZO VENCIDO",IF(AND(OR(N2417="PENDENTE",N2417="PARCIAL"),D2417&lt;TODAY()-1),"🔴 EMBARQUE ATRASADO",IF(AND(N2417="REALIZADO",M2417="PENDENTE"),"🟡 EMBARCADO SEM FATURAR",IF(AND(P2417&lt;&gt;"",S2417="",OR(Q2417="",R2417="")),"🟡 PENDÊNCIA SEM RESPONSÁVEL/PRAZO",IF(AND(ISNUMBER(R2417),R2417=TODAY()),"🟡 VENCE HOJE",IF(AND(P2417&lt;&gt;"",S2417=""),"🟡 PENDÊNCIA ABERTA",IF(AND(N(J2417)&gt;0,N(K2417)&lt;J2417),"🟡 FALTA EXECUTAR",IF(OR(M2417="PENDENTE",M2417="PARCIAL"),"🟡 FATURAMENTO PENDENTE","🟡 EMBARQUE PENDENTE")))))))))))</f>
        <v/>
      </c>
      <c r="D2417" s="4" t="n"/>
      <c r="E2417" s="5" t="n"/>
      <c r="F2417" s="5" t="n"/>
      <c r="G2417" s="5" t="n"/>
      <c r="H2417" s="5" t="n"/>
      <c r="I2417" s="5" t="n"/>
      <c r="J2417" s="6" t="n"/>
      <c r="K2417" s="6" t="n"/>
      <c r="L2417" s="7">
        <f>IF(OR(D2417="",N(J2417)=0),"",MIN(1,N(K2417)/J2417))</f>
        <v/>
      </c>
      <c r="M2417" s="5" t="n"/>
      <c r="N2417" s="5" t="n"/>
      <c r="O2417" s="5" t="n"/>
      <c r="P2417" s="5" t="n"/>
      <c r="Q2417" s="5" t="n"/>
      <c r="R2417" s="4" t="n"/>
      <c r="S2417" s="4" t="n"/>
      <c r="T2417" s="5" t="n"/>
      <c r="U2417" s="8">
        <f>IF(AND(V2417=1,D2417&lt;&gt;""),IF(D2417&gt;=corte,TODAY()-D2417,""),"")</f>
        <v/>
      </c>
      <c r="V2417" s="8">
        <f>IF(D2417="",0,IF(OR(AND(P2417&lt;&gt;"",S2417=""),AND(N(J2417)&gt;0,N(K2417)&lt;J2417),OR(M2417="PENDENTE",M2417="PARCIAL"),OR(N2417="PENDENTE",N2417="PARCIAL")),1,0))</f>
        <v/>
      </c>
      <c r="W2417" s="8">
        <f>IF(AND(V2417=1,D2417&lt;&gt;""),IF(D2417&gt;=corte,(B2417="CRÍTICO")*1E9+(100000-D2417)*10000+10000-ROW(),""),"")</f>
        <v/>
      </c>
      <c r="X2417" s="8">
        <f>IF(AND(V2417=1,D2417=pas_data,E2417=pas_turno),10000-ROW(),"")</f>
        <v/>
      </c>
    </row>
    <row r="2418">
      <c r="A2418" s="3">
        <f>IF(D2418="","","TT-"&amp;TEXT(ROW()-1,"00000"))</f>
        <v/>
      </c>
      <c r="B2418" s="3">
        <f>IF(D2418="","",IF(V2418=0,"CONCLUÍDO",IF(D2418&lt;corte,"HISTÓRICO",IF(OR(AND(ISNUMBER(R2418),R2418&lt;TODAY()),AND(OR(N2418="PENDENTE",N2418="PARCIAL"),D2418&lt;TODAY()-1)),"CRÍTICO",IF(OR(AND(P2418&lt;&gt;"",S2418=""),AND(N2418="REALIZADO",M2418="PENDENTE"),AND(ISNUMBER(R2418),R2418=TODAY())),"ATENÇÃO",IF(N(K2418)=0,"PENDENTE","EM ANDAMENTO"))))))</f>
        <v/>
      </c>
      <c r="C2418" s="3">
        <f>IF(D2418="","",IF(V2418=0,"🟢 OK",IF(D2418&lt;corte,"⚪ HISTÓRICO (sem baixa)",IF(AND(ISNUMBER(R2418),R2418&lt;TODAY()),"🔴 PRAZO VENCIDO",IF(AND(OR(N2418="PENDENTE",N2418="PARCIAL"),D2418&lt;TODAY()-1),"🔴 EMBARQUE ATRASADO",IF(AND(N2418="REALIZADO",M2418="PENDENTE"),"🟡 EMBARCADO SEM FATURAR",IF(AND(P2418&lt;&gt;"",S2418="",OR(Q2418="",R2418="")),"🟡 PENDÊNCIA SEM RESPONSÁVEL/PRAZO",IF(AND(ISNUMBER(R2418),R2418=TODAY()),"🟡 VENCE HOJE",IF(AND(P2418&lt;&gt;"",S2418=""),"🟡 PENDÊNCIA ABERTA",IF(AND(N(J2418)&gt;0,N(K2418)&lt;J2418),"🟡 FALTA EXECUTAR",IF(OR(M2418="PENDENTE",M2418="PARCIAL"),"🟡 FATURAMENTO PENDENTE","🟡 EMBARQUE PENDENTE")))))))))))</f>
        <v/>
      </c>
      <c r="D2418" s="4" t="n"/>
      <c r="E2418" s="5" t="n"/>
      <c r="F2418" s="5" t="n"/>
      <c r="G2418" s="5" t="n"/>
      <c r="H2418" s="5" t="n"/>
      <c r="I2418" s="5" t="n"/>
      <c r="J2418" s="6" t="n"/>
      <c r="K2418" s="6" t="n"/>
      <c r="L2418" s="7">
        <f>IF(OR(D2418="",N(J2418)=0),"",MIN(1,N(K2418)/J2418))</f>
        <v/>
      </c>
      <c r="M2418" s="5" t="n"/>
      <c r="N2418" s="5" t="n"/>
      <c r="O2418" s="5" t="n"/>
      <c r="P2418" s="5" t="n"/>
      <c r="Q2418" s="5" t="n"/>
      <c r="R2418" s="4" t="n"/>
      <c r="S2418" s="4" t="n"/>
      <c r="T2418" s="5" t="n"/>
      <c r="U2418" s="8">
        <f>IF(AND(V2418=1,D2418&lt;&gt;""),IF(D2418&gt;=corte,TODAY()-D2418,""),"")</f>
        <v/>
      </c>
      <c r="V2418" s="8">
        <f>IF(D2418="",0,IF(OR(AND(P2418&lt;&gt;"",S2418=""),AND(N(J2418)&gt;0,N(K2418)&lt;J2418),OR(M2418="PENDENTE",M2418="PARCIAL"),OR(N2418="PENDENTE",N2418="PARCIAL")),1,0))</f>
        <v/>
      </c>
      <c r="W2418" s="8">
        <f>IF(AND(V2418=1,D2418&lt;&gt;""),IF(D2418&gt;=corte,(B2418="CRÍTICO")*1E9+(100000-D2418)*10000+10000-ROW(),""),"")</f>
        <v/>
      </c>
      <c r="X2418" s="8">
        <f>IF(AND(V2418=1,D2418=pas_data,E2418=pas_turno),10000-ROW(),"")</f>
        <v/>
      </c>
    </row>
    <row r="2419">
      <c r="A2419" s="3">
        <f>IF(D2419="","","TT-"&amp;TEXT(ROW()-1,"00000"))</f>
        <v/>
      </c>
      <c r="B2419" s="3">
        <f>IF(D2419="","",IF(V2419=0,"CONCLUÍDO",IF(D2419&lt;corte,"HISTÓRICO",IF(OR(AND(ISNUMBER(R2419),R2419&lt;TODAY()),AND(OR(N2419="PENDENTE",N2419="PARCIAL"),D2419&lt;TODAY()-1)),"CRÍTICO",IF(OR(AND(P2419&lt;&gt;"",S2419=""),AND(N2419="REALIZADO",M2419="PENDENTE"),AND(ISNUMBER(R2419),R2419=TODAY())),"ATENÇÃO",IF(N(K2419)=0,"PENDENTE","EM ANDAMENTO"))))))</f>
        <v/>
      </c>
      <c r="C2419" s="3">
        <f>IF(D2419="","",IF(V2419=0,"🟢 OK",IF(D2419&lt;corte,"⚪ HISTÓRICO (sem baixa)",IF(AND(ISNUMBER(R2419),R2419&lt;TODAY()),"🔴 PRAZO VENCIDO",IF(AND(OR(N2419="PENDENTE",N2419="PARCIAL"),D2419&lt;TODAY()-1),"🔴 EMBARQUE ATRASADO",IF(AND(N2419="REALIZADO",M2419="PENDENTE"),"🟡 EMBARCADO SEM FATURAR",IF(AND(P2419&lt;&gt;"",S2419="",OR(Q2419="",R2419="")),"🟡 PENDÊNCIA SEM RESPONSÁVEL/PRAZO",IF(AND(ISNUMBER(R2419),R2419=TODAY()),"🟡 VENCE HOJE",IF(AND(P2419&lt;&gt;"",S2419=""),"🟡 PENDÊNCIA ABERTA",IF(AND(N(J2419)&gt;0,N(K2419)&lt;J2419),"🟡 FALTA EXECUTAR",IF(OR(M2419="PENDENTE",M2419="PARCIAL"),"🟡 FATURAMENTO PENDENTE","🟡 EMBARQUE PENDENTE")))))))))))</f>
        <v/>
      </c>
      <c r="D2419" s="4" t="n"/>
      <c r="E2419" s="5" t="n"/>
      <c r="F2419" s="5" t="n"/>
      <c r="G2419" s="5" t="n"/>
      <c r="H2419" s="5" t="n"/>
      <c r="I2419" s="5" t="n"/>
      <c r="J2419" s="6" t="n"/>
      <c r="K2419" s="6" t="n"/>
      <c r="L2419" s="7">
        <f>IF(OR(D2419="",N(J2419)=0),"",MIN(1,N(K2419)/J2419))</f>
        <v/>
      </c>
      <c r="M2419" s="5" t="n"/>
      <c r="N2419" s="5" t="n"/>
      <c r="O2419" s="5" t="n"/>
      <c r="P2419" s="5" t="n"/>
      <c r="Q2419" s="5" t="n"/>
      <c r="R2419" s="4" t="n"/>
      <c r="S2419" s="4" t="n"/>
      <c r="T2419" s="5" t="n"/>
      <c r="U2419" s="8">
        <f>IF(AND(V2419=1,D2419&lt;&gt;""),IF(D2419&gt;=corte,TODAY()-D2419,""),"")</f>
        <v/>
      </c>
      <c r="V2419" s="8">
        <f>IF(D2419="",0,IF(OR(AND(P2419&lt;&gt;"",S2419=""),AND(N(J2419)&gt;0,N(K2419)&lt;J2419),OR(M2419="PENDENTE",M2419="PARCIAL"),OR(N2419="PENDENTE",N2419="PARCIAL")),1,0))</f>
        <v/>
      </c>
      <c r="W2419" s="8">
        <f>IF(AND(V2419=1,D2419&lt;&gt;""),IF(D2419&gt;=corte,(B2419="CRÍTICO")*1E9+(100000-D2419)*10000+10000-ROW(),""),"")</f>
        <v/>
      </c>
      <c r="X2419" s="8">
        <f>IF(AND(V2419=1,D2419=pas_data,E2419=pas_turno),10000-ROW(),"")</f>
        <v/>
      </c>
    </row>
    <row r="2420">
      <c r="A2420" s="3">
        <f>IF(D2420="","","TT-"&amp;TEXT(ROW()-1,"00000"))</f>
        <v/>
      </c>
      <c r="B2420" s="3">
        <f>IF(D2420="","",IF(V2420=0,"CONCLUÍDO",IF(D2420&lt;corte,"HISTÓRICO",IF(OR(AND(ISNUMBER(R2420),R2420&lt;TODAY()),AND(OR(N2420="PENDENTE",N2420="PARCIAL"),D2420&lt;TODAY()-1)),"CRÍTICO",IF(OR(AND(P2420&lt;&gt;"",S2420=""),AND(N2420="REALIZADO",M2420="PENDENTE"),AND(ISNUMBER(R2420),R2420=TODAY())),"ATENÇÃO",IF(N(K2420)=0,"PENDENTE","EM ANDAMENTO"))))))</f>
        <v/>
      </c>
      <c r="C2420" s="3">
        <f>IF(D2420="","",IF(V2420=0,"🟢 OK",IF(D2420&lt;corte,"⚪ HISTÓRICO (sem baixa)",IF(AND(ISNUMBER(R2420),R2420&lt;TODAY()),"🔴 PRAZO VENCIDO",IF(AND(OR(N2420="PENDENTE",N2420="PARCIAL"),D2420&lt;TODAY()-1),"🔴 EMBARQUE ATRASADO",IF(AND(N2420="REALIZADO",M2420="PENDENTE"),"🟡 EMBARCADO SEM FATURAR",IF(AND(P2420&lt;&gt;"",S2420="",OR(Q2420="",R2420="")),"🟡 PENDÊNCIA SEM RESPONSÁVEL/PRAZO",IF(AND(ISNUMBER(R2420),R2420=TODAY()),"🟡 VENCE HOJE",IF(AND(P2420&lt;&gt;"",S2420=""),"🟡 PENDÊNCIA ABERTA",IF(AND(N(J2420)&gt;0,N(K2420)&lt;J2420),"🟡 FALTA EXECUTAR",IF(OR(M2420="PENDENTE",M2420="PARCIAL"),"🟡 FATURAMENTO PENDENTE","🟡 EMBARQUE PENDENTE")))))))))))</f>
        <v/>
      </c>
      <c r="D2420" s="4" t="n"/>
      <c r="E2420" s="5" t="n"/>
      <c r="F2420" s="5" t="n"/>
      <c r="G2420" s="5" t="n"/>
      <c r="H2420" s="5" t="n"/>
      <c r="I2420" s="5" t="n"/>
      <c r="J2420" s="6" t="n"/>
      <c r="K2420" s="6" t="n"/>
      <c r="L2420" s="7">
        <f>IF(OR(D2420="",N(J2420)=0),"",MIN(1,N(K2420)/J2420))</f>
        <v/>
      </c>
      <c r="M2420" s="5" t="n"/>
      <c r="N2420" s="5" t="n"/>
      <c r="O2420" s="5" t="n"/>
      <c r="P2420" s="5" t="n"/>
      <c r="Q2420" s="5" t="n"/>
      <c r="R2420" s="4" t="n"/>
      <c r="S2420" s="4" t="n"/>
      <c r="T2420" s="5" t="n"/>
      <c r="U2420" s="8">
        <f>IF(AND(V2420=1,D2420&lt;&gt;""),IF(D2420&gt;=corte,TODAY()-D2420,""),"")</f>
        <v/>
      </c>
      <c r="V2420" s="8">
        <f>IF(D2420="",0,IF(OR(AND(P2420&lt;&gt;"",S2420=""),AND(N(J2420)&gt;0,N(K2420)&lt;J2420),OR(M2420="PENDENTE",M2420="PARCIAL"),OR(N2420="PENDENTE",N2420="PARCIAL")),1,0))</f>
        <v/>
      </c>
      <c r="W2420" s="8">
        <f>IF(AND(V2420=1,D2420&lt;&gt;""),IF(D2420&gt;=corte,(B2420="CRÍTICO")*1E9+(100000-D2420)*10000+10000-ROW(),""),"")</f>
        <v/>
      </c>
      <c r="X2420" s="8">
        <f>IF(AND(V2420=1,D2420=pas_data,E2420=pas_turno),10000-ROW(),"")</f>
        <v/>
      </c>
    </row>
    <row r="2421">
      <c r="A2421" s="3">
        <f>IF(D2421="","","TT-"&amp;TEXT(ROW()-1,"00000"))</f>
        <v/>
      </c>
      <c r="B2421" s="3">
        <f>IF(D2421="","",IF(V2421=0,"CONCLUÍDO",IF(D2421&lt;corte,"HISTÓRICO",IF(OR(AND(ISNUMBER(R2421),R2421&lt;TODAY()),AND(OR(N2421="PENDENTE",N2421="PARCIAL"),D2421&lt;TODAY()-1)),"CRÍTICO",IF(OR(AND(P2421&lt;&gt;"",S2421=""),AND(N2421="REALIZADO",M2421="PENDENTE"),AND(ISNUMBER(R2421),R2421=TODAY())),"ATENÇÃO",IF(N(K2421)=0,"PENDENTE","EM ANDAMENTO"))))))</f>
        <v/>
      </c>
      <c r="C2421" s="3">
        <f>IF(D2421="","",IF(V2421=0,"🟢 OK",IF(D2421&lt;corte,"⚪ HISTÓRICO (sem baixa)",IF(AND(ISNUMBER(R2421),R2421&lt;TODAY()),"🔴 PRAZO VENCIDO",IF(AND(OR(N2421="PENDENTE",N2421="PARCIAL"),D2421&lt;TODAY()-1),"🔴 EMBARQUE ATRASADO",IF(AND(N2421="REALIZADO",M2421="PENDENTE"),"🟡 EMBARCADO SEM FATURAR",IF(AND(P2421&lt;&gt;"",S2421="",OR(Q2421="",R2421="")),"🟡 PENDÊNCIA SEM RESPONSÁVEL/PRAZO",IF(AND(ISNUMBER(R2421),R2421=TODAY()),"🟡 VENCE HOJE",IF(AND(P2421&lt;&gt;"",S2421=""),"🟡 PENDÊNCIA ABERTA",IF(AND(N(J2421)&gt;0,N(K2421)&lt;J2421),"🟡 FALTA EXECUTAR",IF(OR(M2421="PENDENTE",M2421="PARCIAL"),"🟡 FATURAMENTO PENDENTE","🟡 EMBARQUE PENDENTE")))))))))))</f>
        <v/>
      </c>
      <c r="D2421" s="4" t="n"/>
      <c r="E2421" s="5" t="n"/>
      <c r="F2421" s="5" t="n"/>
      <c r="G2421" s="5" t="n"/>
      <c r="H2421" s="5" t="n"/>
      <c r="I2421" s="5" t="n"/>
      <c r="J2421" s="6" t="n"/>
      <c r="K2421" s="6" t="n"/>
      <c r="L2421" s="7">
        <f>IF(OR(D2421="",N(J2421)=0),"",MIN(1,N(K2421)/J2421))</f>
        <v/>
      </c>
      <c r="M2421" s="5" t="n"/>
      <c r="N2421" s="5" t="n"/>
      <c r="O2421" s="5" t="n"/>
      <c r="P2421" s="5" t="n"/>
      <c r="Q2421" s="5" t="n"/>
      <c r="R2421" s="4" t="n"/>
      <c r="S2421" s="4" t="n"/>
      <c r="T2421" s="5" t="n"/>
      <c r="U2421" s="8">
        <f>IF(AND(V2421=1,D2421&lt;&gt;""),IF(D2421&gt;=corte,TODAY()-D2421,""),"")</f>
        <v/>
      </c>
      <c r="V2421" s="8">
        <f>IF(D2421="",0,IF(OR(AND(P2421&lt;&gt;"",S2421=""),AND(N(J2421)&gt;0,N(K2421)&lt;J2421),OR(M2421="PENDENTE",M2421="PARCIAL"),OR(N2421="PENDENTE",N2421="PARCIAL")),1,0))</f>
        <v/>
      </c>
      <c r="W2421" s="8">
        <f>IF(AND(V2421=1,D2421&lt;&gt;""),IF(D2421&gt;=corte,(B2421="CRÍTICO")*1E9+(100000-D2421)*10000+10000-ROW(),""),"")</f>
        <v/>
      </c>
      <c r="X2421" s="8">
        <f>IF(AND(V2421=1,D2421=pas_data,E2421=pas_turno),10000-ROW(),"")</f>
        <v/>
      </c>
    </row>
    <row r="2422">
      <c r="A2422" s="3">
        <f>IF(D2422="","","TT-"&amp;TEXT(ROW()-1,"00000"))</f>
        <v/>
      </c>
      <c r="B2422" s="3">
        <f>IF(D2422="","",IF(V2422=0,"CONCLUÍDO",IF(D2422&lt;corte,"HISTÓRICO",IF(OR(AND(ISNUMBER(R2422),R2422&lt;TODAY()),AND(OR(N2422="PENDENTE",N2422="PARCIAL"),D2422&lt;TODAY()-1)),"CRÍTICO",IF(OR(AND(P2422&lt;&gt;"",S2422=""),AND(N2422="REALIZADO",M2422="PENDENTE"),AND(ISNUMBER(R2422),R2422=TODAY())),"ATENÇÃO",IF(N(K2422)=0,"PENDENTE","EM ANDAMENTO"))))))</f>
        <v/>
      </c>
      <c r="C2422" s="3">
        <f>IF(D2422="","",IF(V2422=0,"🟢 OK",IF(D2422&lt;corte,"⚪ HISTÓRICO (sem baixa)",IF(AND(ISNUMBER(R2422),R2422&lt;TODAY()),"🔴 PRAZO VENCIDO",IF(AND(OR(N2422="PENDENTE",N2422="PARCIAL"),D2422&lt;TODAY()-1),"🔴 EMBARQUE ATRASADO",IF(AND(N2422="REALIZADO",M2422="PENDENTE"),"🟡 EMBARCADO SEM FATURAR",IF(AND(P2422&lt;&gt;"",S2422="",OR(Q2422="",R2422="")),"🟡 PENDÊNCIA SEM RESPONSÁVEL/PRAZO",IF(AND(ISNUMBER(R2422),R2422=TODAY()),"🟡 VENCE HOJE",IF(AND(P2422&lt;&gt;"",S2422=""),"🟡 PENDÊNCIA ABERTA",IF(AND(N(J2422)&gt;0,N(K2422)&lt;J2422),"🟡 FALTA EXECUTAR",IF(OR(M2422="PENDENTE",M2422="PARCIAL"),"🟡 FATURAMENTO PENDENTE","🟡 EMBARQUE PENDENTE")))))))))))</f>
        <v/>
      </c>
      <c r="D2422" s="4" t="n"/>
      <c r="E2422" s="5" t="n"/>
      <c r="F2422" s="5" t="n"/>
      <c r="G2422" s="5" t="n"/>
      <c r="H2422" s="5" t="n"/>
      <c r="I2422" s="5" t="n"/>
      <c r="J2422" s="6" t="n"/>
      <c r="K2422" s="6" t="n"/>
      <c r="L2422" s="7">
        <f>IF(OR(D2422="",N(J2422)=0),"",MIN(1,N(K2422)/J2422))</f>
        <v/>
      </c>
      <c r="M2422" s="5" t="n"/>
      <c r="N2422" s="5" t="n"/>
      <c r="O2422" s="5" t="n"/>
      <c r="P2422" s="5" t="n"/>
      <c r="Q2422" s="5" t="n"/>
      <c r="R2422" s="4" t="n"/>
      <c r="S2422" s="4" t="n"/>
      <c r="T2422" s="5" t="n"/>
      <c r="U2422" s="8">
        <f>IF(AND(V2422=1,D2422&lt;&gt;""),IF(D2422&gt;=corte,TODAY()-D2422,""),"")</f>
        <v/>
      </c>
      <c r="V2422" s="8">
        <f>IF(D2422="",0,IF(OR(AND(P2422&lt;&gt;"",S2422=""),AND(N(J2422)&gt;0,N(K2422)&lt;J2422),OR(M2422="PENDENTE",M2422="PARCIAL"),OR(N2422="PENDENTE",N2422="PARCIAL")),1,0))</f>
        <v/>
      </c>
      <c r="W2422" s="8">
        <f>IF(AND(V2422=1,D2422&lt;&gt;""),IF(D2422&gt;=corte,(B2422="CRÍTICO")*1E9+(100000-D2422)*10000+10000-ROW(),""),"")</f>
        <v/>
      </c>
      <c r="X2422" s="8">
        <f>IF(AND(V2422=1,D2422=pas_data,E2422=pas_turno),10000-ROW(),"")</f>
        <v/>
      </c>
    </row>
    <row r="2423">
      <c r="A2423" s="3">
        <f>IF(D2423="","","TT-"&amp;TEXT(ROW()-1,"00000"))</f>
        <v/>
      </c>
      <c r="B2423" s="3">
        <f>IF(D2423="","",IF(V2423=0,"CONCLUÍDO",IF(D2423&lt;corte,"HISTÓRICO",IF(OR(AND(ISNUMBER(R2423),R2423&lt;TODAY()),AND(OR(N2423="PENDENTE",N2423="PARCIAL"),D2423&lt;TODAY()-1)),"CRÍTICO",IF(OR(AND(P2423&lt;&gt;"",S2423=""),AND(N2423="REALIZADO",M2423="PENDENTE"),AND(ISNUMBER(R2423),R2423=TODAY())),"ATENÇÃO",IF(N(K2423)=0,"PENDENTE","EM ANDAMENTO"))))))</f>
        <v/>
      </c>
      <c r="C2423" s="3">
        <f>IF(D2423="","",IF(V2423=0,"🟢 OK",IF(D2423&lt;corte,"⚪ HISTÓRICO (sem baixa)",IF(AND(ISNUMBER(R2423),R2423&lt;TODAY()),"🔴 PRAZO VENCIDO",IF(AND(OR(N2423="PENDENTE",N2423="PARCIAL"),D2423&lt;TODAY()-1),"🔴 EMBARQUE ATRASADO",IF(AND(N2423="REALIZADO",M2423="PENDENTE"),"🟡 EMBARCADO SEM FATURAR",IF(AND(P2423&lt;&gt;"",S2423="",OR(Q2423="",R2423="")),"🟡 PENDÊNCIA SEM RESPONSÁVEL/PRAZO",IF(AND(ISNUMBER(R2423),R2423=TODAY()),"🟡 VENCE HOJE",IF(AND(P2423&lt;&gt;"",S2423=""),"🟡 PENDÊNCIA ABERTA",IF(AND(N(J2423)&gt;0,N(K2423)&lt;J2423),"🟡 FALTA EXECUTAR",IF(OR(M2423="PENDENTE",M2423="PARCIAL"),"🟡 FATURAMENTO PENDENTE","🟡 EMBARQUE PENDENTE")))))))))))</f>
        <v/>
      </c>
      <c r="D2423" s="4" t="n"/>
      <c r="E2423" s="5" t="n"/>
      <c r="F2423" s="5" t="n"/>
      <c r="G2423" s="5" t="n"/>
      <c r="H2423" s="5" t="n"/>
      <c r="I2423" s="5" t="n"/>
      <c r="J2423" s="6" t="n"/>
      <c r="K2423" s="6" t="n"/>
      <c r="L2423" s="7">
        <f>IF(OR(D2423="",N(J2423)=0),"",MIN(1,N(K2423)/J2423))</f>
        <v/>
      </c>
      <c r="M2423" s="5" t="n"/>
      <c r="N2423" s="5" t="n"/>
      <c r="O2423" s="5" t="n"/>
      <c r="P2423" s="5" t="n"/>
      <c r="Q2423" s="5" t="n"/>
      <c r="R2423" s="4" t="n"/>
      <c r="S2423" s="4" t="n"/>
      <c r="T2423" s="5" t="n"/>
      <c r="U2423" s="8">
        <f>IF(AND(V2423=1,D2423&lt;&gt;""),IF(D2423&gt;=corte,TODAY()-D2423,""),"")</f>
        <v/>
      </c>
      <c r="V2423" s="8">
        <f>IF(D2423="",0,IF(OR(AND(P2423&lt;&gt;"",S2423=""),AND(N(J2423)&gt;0,N(K2423)&lt;J2423),OR(M2423="PENDENTE",M2423="PARCIAL"),OR(N2423="PENDENTE",N2423="PARCIAL")),1,0))</f>
        <v/>
      </c>
      <c r="W2423" s="8">
        <f>IF(AND(V2423=1,D2423&lt;&gt;""),IF(D2423&gt;=corte,(B2423="CRÍTICO")*1E9+(100000-D2423)*10000+10000-ROW(),""),"")</f>
        <v/>
      </c>
      <c r="X2423" s="8">
        <f>IF(AND(V2423=1,D2423=pas_data,E2423=pas_turno),10000-ROW(),"")</f>
        <v/>
      </c>
    </row>
    <row r="2424">
      <c r="A2424" s="3">
        <f>IF(D2424="","","TT-"&amp;TEXT(ROW()-1,"00000"))</f>
        <v/>
      </c>
      <c r="B2424" s="3">
        <f>IF(D2424="","",IF(V2424=0,"CONCLUÍDO",IF(D2424&lt;corte,"HISTÓRICO",IF(OR(AND(ISNUMBER(R2424),R2424&lt;TODAY()),AND(OR(N2424="PENDENTE",N2424="PARCIAL"),D2424&lt;TODAY()-1)),"CRÍTICO",IF(OR(AND(P2424&lt;&gt;"",S2424=""),AND(N2424="REALIZADO",M2424="PENDENTE"),AND(ISNUMBER(R2424),R2424=TODAY())),"ATENÇÃO",IF(N(K2424)=0,"PENDENTE","EM ANDAMENTO"))))))</f>
        <v/>
      </c>
      <c r="C2424" s="3">
        <f>IF(D2424="","",IF(V2424=0,"🟢 OK",IF(D2424&lt;corte,"⚪ HISTÓRICO (sem baixa)",IF(AND(ISNUMBER(R2424),R2424&lt;TODAY()),"🔴 PRAZO VENCIDO",IF(AND(OR(N2424="PENDENTE",N2424="PARCIAL"),D2424&lt;TODAY()-1),"🔴 EMBARQUE ATRASADO",IF(AND(N2424="REALIZADO",M2424="PENDENTE"),"🟡 EMBARCADO SEM FATURAR",IF(AND(P2424&lt;&gt;"",S2424="",OR(Q2424="",R2424="")),"🟡 PENDÊNCIA SEM RESPONSÁVEL/PRAZO",IF(AND(ISNUMBER(R2424),R2424=TODAY()),"🟡 VENCE HOJE",IF(AND(P2424&lt;&gt;"",S2424=""),"🟡 PENDÊNCIA ABERTA",IF(AND(N(J2424)&gt;0,N(K2424)&lt;J2424),"🟡 FALTA EXECUTAR",IF(OR(M2424="PENDENTE",M2424="PARCIAL"),"🟡 FATURAMENTO PENDENTE","🟡 EMBARQUE PENDENTE")))))))))))</f>
        <v/>
      </c>
      <c r="D2424" s="4" t="n"/>
      <c r="E2424" s="5" t="n"/>
      <c r="F2424" s="5" t="n"/>
      <c r="G2424" s="5" t="n"/>
      <c r="H2424" s="5" t="n"/>
      <c r="I2424" s="5" t="n"/>
      <c r="J2424" s="6" t="n"/>
      <c r="K2424" s="6" t="n"/>
      <c r="L2424" s="7">
        <f>IF(OR(D2424="",N(J2424)=0),"",MIN(1,N(K2424)/J2424))</f>
        <v/>
      </c>
      <c r="M2424" s="5" t="n"/>
      <c r="N2424" s="5" t="n"/>
      <c r="O2424" s="5" t="n"/>
      <c r="P2424" s="5" t="n"/>
      <c r="Q2424" s="5" t="n"/>
      <c r="R2424" s="4" t="n"/>
      <c r="S2424" s="4" t="n"/>
      <c r="T2424" s="5" t="n"/>
      <c r="U2424" s="8">
        <f>IF(AND(V2424=1,D2424&lt;&gt;""),IF(D2424&gt;=corte,TODAY()-D2424,""),"")</f>
        <v/>
      </c>
      <c r="V2424" s="8">
        <f>IF(D2424="",0,IF(OR(AND(P2424&lt;&gt;"",S2424=""),AND(N(J2424)&gt;0,N(K2424)&lt;J2424),OR(M2424="PENDENTE",M2424="PARCIAL"),OR(N2424="PENDENTE",N2424="PARCIAL")),1,0))</f>
        <v/>
      </c>
      <c r="W2424" s="8">
        <f>IF(AND(V2424=1,D2424&lt;&gt;""),IF(D2424&gt;=corte,(B2424="CRÍTICO")*1E9+(100000-D2424)*10000+10000-ROW(),""),"")</f>
        <v/>
      </c>
      <c r="X2424" s="8">
        <f>IF(AND(V2424=1,D2424=pas_data,E2424=pas_turno),10000-ROW(),"")</f>
        <v/>
      </c>
    </row>
    <row r="2425">
      <c r="A2425" s="3">
        <f>IF(D2425="","","TT-"&amp;TEXT(ROW()-1,"00000"))</f>
        <v/>
      </c>
      <c r="B2425" s="3">
        <f>IF(D2425="","",IF(V2425=0,"CONCLUÍDO",IF(D2425&lt;corte,"HISTÓRICO",IF(OR(AND(ISNUMBER(R2425),R2425&lt;TODAY()),AND(OR(N2425="PENDENTE",N2425="PARCIAL"),D2425&lt;TODAY()-1)),"CRÍTICO",IF(OR(AND(P2425&lt;&gt;"",S2425=""),AND(N2425="REALIZADO",M2425="PENDENTE"),AND(ISNUMBER(R2425),R2425=TODAY())),"ATENÇÃO",IF(N(K2425)=0,"PENDENTE","EM ANDAMENTO"))))))</f>
        <v/>
      </c>
      <c r="C2425" s="3">
        <f>IF(D2425="","",IF(V2425=0,"🟢 OK",IF(D2425&lt;corte,"⚪ HISTÓRICO (sem baixa)",IF(AND(ISNUMBER(R2425),R2425&lt;TODAY()),"🔴 PRAZO VENCIDO",IF(AND(OR(N2425="PENDENTE",N2425="PARCIAL"),D2425&lt;TODAY()-1),"🔴 EMBARQUE ATRASADO",IF(AND(N2425="REALIZADO",M2425="PENDENTE"),"🟡 EMBARCADO SEM FATURAR",IF(AND(P2425&lt;&gt;"",S2425="",OR(Q2425="",R2425="")),"🟡 PENDÊNCIA SEM RESPONSÁVEL/PRAZO",IF(AND(ISNUMBER(R2425),R2425=TODAY()),"🟡 VENCE HOJE",IF(AND(P2425&lt;&gt;"",S2425=""),"🟡 PENDÊNCIA ABERTA",IF(AND(N(J2425)&gt;0,N(K2425)&lt;J2425),"🟡 FALTA EXECUTAR",IF(OR(M2425="PENDENTE",M2425="PARCIAL"),"🟡 FATURAMENTO PENDENTE","🟡 EMBARQUE PENDENTE")))))))))))</f>
        <v/>
      </c>
      <c r="D2425" s="4" t="n"/>
      <c r="E2425" s="5" t="n"/>
      <c r="F2425" s="5" t="n"/>
      <c r="G2425" s="5" t="n"/>
      <c r="H2425" s="5" t="n"/>
      <c r="I2425" s="5" t="n"/>
      <c r="J2425" s="6" t="n"/>
      <c r="K2425" s="6" t="n"/>
      <c r="L2425" s="7">
        <f>IF(OR(D2425="",N(J2425)=0),"",MIN(1,N(K2425)/J2425))</f>
        <v/>
      </c>
      <c r="M2425" s="5" t="n"/>
      <c r="N2425" s="5" t="n"/>
      <c r="O2425" s="5" t="n"/>
      <c r="P2425" s="5" t="n"/>
      <c r="Q2425" s="5" t="n"/>
      <c r="R2425" s="4" t="n"/>
      <c r="S2425" s="4" t="n"/>
      <c r="T2425" s="5" t="n"/>
      <c r="U2425" s="8">
        <f>IF(AND(V2425=1,D2425&lt;&gt;""),IF(D2425&gt;=corte,TODAY()-D2425,""),"")</f>
        <v/>
      </c>
      <c r="V2425" s="8">
        <f>IF(D2425="",0,IF(OR(AND(P2425&lt;&gt;"",S2425=""),AND(N(J2425)&gt;0,N(K2425)&lt;J2425),OR(M2425="PENDENTE",M2425="PARCIAL"),OR(N2425="PENDENTE",N2425="PARCIAL")),1,0))</f>
        <v/>
      </c>
      <c r="W2425" s="8">
        <f>IF(AND(V2425=1,D2425&lt;&gt;""),IF(D2425&gt;=corte,(B2425="CRÍTICO")*1E9+(100000-D2425)*10000+10000-ROW(),""),"")</f>
        <v/>
      </c>
      <c r="X2425" s="8">
        <f>IF(AND(V2425=1,D2425=pas_data,E2425=pas_turno),10000-ROW(),"")</f>
        <v/>
      </c>
    </row>
    <row r="2426">
      <c r="A2426" s="3">
        <f>IF(D2426="","","TT-"&amp;TEXT(ROW()-1,"00000"))</f>
        <v/>
      </c>
      <c r="B2426" s="3">
        <f>IF(D2426="","",IF(V2426=0,"CONCLUÍDO",IF(D2426&lt;corte,"HISTÓRICO",IF(OR(AND(ISNUMBER(R2426),R2426&lt;TODAY()),AND(OR(N2426="PENDENTE",N2426="PARCIAL"),D2426&lt;TODAY()-1)),"CRÍTICO",IF(OR(AND(P2426&lt;&gt;"",S2426=""),AND(N2426="REALIZADO",M2426="PENDENTE"),AND(ISNUMBER(R2426),R2426=TODAY())),"ATENÇÃO",IF(N(K2426)=0,"PENDENTE","EM ANDAMENTO"))))))</f>
        <v/>
      </c>
      <c r="C2426" s="3">
        <f>IF(D2426="","",IF(V2426=0,"🟢 OK",IF(D2426&lt;corte,"⚪ HISTÓRICO (sem baixa)",IF(AND(ISNUMBER(R2426),R2426&lt;TODAY()),"🔴 PRAZO VENCIDO",IF(AND(OR(N2426="PENDENTE",N2426="PARCIAL"),D2426&lt;TODAY()-1),"🔴 EMBARQUE ATRASADO",IF(AND(N2426="REALIZADO",M2426="PENDENTE"),"🟡 EMBARCADO SEM FATURAR",IF(AND(P2426&lt;&gt;"",S2426="",OR(Q2426="",R2426="")),"🟡 PENDÊNCIA SEM RESPONSÁVEL/PRAZO",IF(AND(ISNUMBER(R2426),R2426=TODAY()),"🟡 VENCE HOJE",IF(AND(P2426&lt;&gt;"",S2426=""),"🟡 PENDÊNCIA ABERTA",IF(AND(N(J2426)&gt;0,N(K2426)&lt;J2426),"🟡 FALTA EXECUTAR",IF(OR(M2426="PENDENTE",M2426="PARCIAL"),"🟡 FATURAMENTO PENDENTE","🟡 EMBARQUE PENDENTE")))))))))))</f>
        <v/>
      </c>
      <c r="D2426" s="4" t="n"/>
      <c r="E2426" s="5" t="n"/>
      <c r="F2426" s="5" t="n"/>
      <c r="G2426" s="5" t="n"/>
      <c r="H2426" s="5" t="n"/>
      <c r="I2426" s="5" t="n"/>
      <c r="J2426" s="6" t="n"/>
      <c r="K2426" s="6" t="n"/>
      <c r="L2426" s="7">
        <f>IF(OR(D2426="",N(J2426)=0),"",MIN(1,N(K2426)/J2426))</f>
        <v/>
      </c>
      <c r="M2426" s="5" t="n"/>
      <c r="N2426" s="5" t="n"/>
      <c r="O2426" s="5" t="n"/>
      <c r="P2426" s="5" t="n"/>
      <c r="Q2426" s="5" t="n"/>
      <c r="R2426" s="4" t="n"/>
      <c r="S2426" s="4" t="n"/>
      <c r="T2426" s="5" t="n"/>
      <c r="U2426" s="8">
        <f>IF(AND(V2426=1,D2426&lt;&gt;""),IF(D2426&gt;=corte,TODAY()-D2426,""),"")</f>
        <v/>
      </c>
      <c r="V2426" s="8">
        <f>IF(D2426="",0,IF(OR(AND(P2426&lt;&gt;"",S2426=""),AND(N(J2426)&gt;0,N(K2426)&lt;J2426),OR(M2426="PENDENTE",M2426="PARCIAL"),OR(N2426="PENDENTE",N2426="PARCIAL")),1,0))</f>
        <v/>
      </c>
      <c r="W2426" s="8">
        <f>IF(AND(V2426=1,D2426&lt;&gt;""),IF(D2426&gt;=corte,(B2426="CRÍTICO")*1E9+(100000-D2426)*10000+10000-ROW(),""),"")</f>
        <v/>
      </c>
      <c r="X2426" s="8">
        <f>IF(AND(V2426=1,D2426=pas_data,E2426=pas_turno),10000-ROW(),"")</f>
        <v/>
      </c>
    </row>
    <row r="2427">
      <c r="A2427" s="3">
        <f>IF(D2427="","","TT-"&amp;TEXT(ROW()-1,"00000"))</f>
        <v/>
      </c>
      <c r="B2427" s="3">
        <f>IF(D2427="","",IF(V2427=0,"CONCLUÍDO",IF(D2427&lt;corte,"HISTÓRICO",IF(OR(AND(ISNUMBER(R2427),R2427&lt;TODAY()),AND(OR(N2427="PENDENTE",N2427="PARCIAL"),D2427&lt;TODAY()-1)),"CRÍTICO",IF(OR(AND(P2427&lt;&gt;"",S2427=""),AND(N2427="REALIZADO",M2427="PENDENTE"),AND(ISNUMBER(R2427),R2427=TODAY())),"ATENÇÃO",IF(N(K2427)=0,"PENDENTE","EM ANDAMENTO"))))))</f>
        <v/>
      </c>
      <c r="C2427" s="3">
        <f>IF(D2427="","",IF(V2427=0,"🟢 OK",IF(D2427&lt;corte,"⚪ HISTÓRICO (sem baixa)",IF(AND(ISNUMBER(R2427),R2427&lt;TODAY()),"🔴 PRAZO VENCIDO",IF(AND(OR(N2427="PENDENTE",N2427="PARCIAL"),D2427&lt;TODAY()-1),"🔴 EMBARQUE ATRASADO",IF(AND(N2427="REALIZADO",M2427="PENDENTE"),"🟡 EMBARCADO SEM FATURAR",IF(AND(P2427&lt;&gt;"",S2427="",OR(Q2427="",R2427="")),"🟡 PENDÊNCIA SEM RESPONSÁVEL/PRAZO",IF(AND(ISNUMBER(R2427),R2427=TODAY()),"🟡 VENCE HOJE",IF(AND(P2427&lt;&gt;"",S2427=""),"🟡 PENDÊNCIA ABERTA",IF(AND(N(J2427)&gt;0,N(K2427)&lt;J2427),"🟡 FALTA EXECUTAR",IF(OR(M2427="PENDENTE",M2427="PARCIAL"),"🟡 FATURAMENTO PENDENTE","🟡 EMBARQUE PENDENTE")))))))))))</f>
        <v/>
      </c>
      <c r="D2427" s="4" t="n"/>
      <c r="E2427" s="5" t="n"/>
      <c r="F2427" s="5" t="n"/>
      <c r="G2427" s="5" t="n"/>
      <c r="H2427" s="5" t="n"/>
      <c r="I2427" s="5" t="n"/>
      <c r="J2427" s="6" t="n"/>
      <c r="K2427" s="6" t="n"/>
      <c r="L2427" s="7">
        <f>IF(OR(D2427="",N(J2427)=0),"",MIN(1,N(K2427)/J2427))</f>
        <v/>
      </c>
      <c r="M2427" s="5" t="n"/>
      <c r="N2427" s="5" t="n"/>
      <c r="O2427" s="5" t="n"/>
      <c r="P2427" s="5" t="n"/>
      <c r="Q2427" s="5" t="n"/>
      <c r="R2427" s="4" t="n"/>
      <c r="S2427" s="4" t="n"/>
      <c r="T2427" s="5" t="n"/>
      <c r="U2427" s="8">
        <f>IF(AND(V2427=1,D2427&lt;&gt;""),IF(D2427&gt;=corte,TODAY()-D2427,""),"")</f>
        <v/>
      </c>
      <c r="V2427" s="8">
        <f>IF(D2427="",0,IF(OR(AND(P2427&lt;&gt;"",S2427=""),AND(N(J2427)&gt;0,N(K2427)&lt;J2427),OR(M2427="PENDENTE",M2427="PARCIAL"),OR(N2427="PENDENTE",N2427="PARCIAL")),1,0))</f>
        <v/>
      </c>
      <c r="W2427" s="8">
        <f>IF(AND(V2427=1,D2427&lt;&gt;""),IF(D2427&gt;=corte,(B2427="CRÍTICO")*1E9+(100000-D2427)*10000+10000-ROW(),""),"")</f>
        <v/>
      </c>
      <c r="X2427" s="8">
        <f>IF(AND(V2427=1,D2427=pas_data,E2427=pas_turno),10000-ROW(),"")</f>
        <v/>
      </c>
    </row>
    <row r="2428">
      <c r="A2428" s="3">
        <f>IF(D2428="","","TT-"&amp;TEXT(ROW()-1,"00000"))</f>
        <v/>
      </c>
      <c r="B2428" s="3">
        <f>IF(D2428="","",IF(V2428=0,"CONCLUÍDO",IF(D2428&lt;corte,"HISTÓRICO",IF(OR(AND(ISNUMBER(R2428),R2428&lt;TODAY()),AND(OR(N2428="PENDENTE",N2428="PARCIAL"),D2428&lt;TODAY()-1)),"CRÍTICO",IF(OR(AND(P2428&lt;&gt;"",S2428=""),AND(N2428="REALIZADO",M2428="PENDENTE"),AND(ISNUMBER(R2428),R2428=TODAY())),"ATENÇÃO",IF(N(K2428)=0,"PENDENTE","EM ANDAMENTO"))))))</f>
        <v/>
      </c>
      <c r="C2428" s="3">
        <f>IF(D2428="","",IF(V2428=0,"🟢 OK",IF(D2428&lt;corte,"⚪ HISTÓRICO (sem baixa)",IF(AND(ISNUMBER(R2428),R2428&lt;TODAY()),"🔴 PRAZO VENCIDO",IF(AND(OR(N2428="PENDENTE",N2428="PARCIAL"),D2428&lt;TODAY()-1),"🔴 EMBARQUE ATRASADO",IF(AND(N2428="REALIZADO",M2428="PENDENTE"),"🟡 EMBARCADO SEM FATURAR",IF(AND(P2428&lt;&gt;"",S2428="",OR(Q2428="",R2428="")),"🟡 PENDÊNCIA SEM RESPONSÁVEL/PRAZO",IF(AND(ISNUMBER(R2428),R2428=TODAY()),"🟡 VENCE HOJE",IF(AND(P2428&lt;&gt;"",S2428=""),"🟡 PENDÊNCIA ABERTA",IF(AND(N(J2428)&gt;0,N(K2428)&lt;J2428),"🟡 FALTA EXECUTAR",IF(OR(M2428="PENDENTE",M2428="PARCIAL"),"🟡 FATURAMENTO PENDENTE","🟡 EMBARQUE PENDENTE")))))))))))</f>
        <v/>
      </c>
      <c r="D2428" s="4" t="n"/>
      <c r="E2428" s="5" t="n"/>
      <c r="F2428" s="5" t="n"/>
      <c r="G2428" s="5" t="n"/>
      <c r="H2428" s="5" t="n"/>
      <c r="I2428" s="5" t="n"/>
      <c r="J2428" s="6" t="n"/>
      <c r="K2428" s="6" t="n"/>
      <c r="L2428" s="7">
        <f>IF(OR(D2428="",N(J2428)=0),"",MIN(1,N(K2428)/J2428))</f>
        <v/>
      </c>
      <c r="M2428" s="5" t="n"/>
      <c r="N2428" s="5" t="n"/>
      <c r="O2428" s="5" t="n"/>
      <c r="P2428" s="5" t="n"/>
      <c r="Q2428" s="5" t="n"/>
      <c r="R2428" s="4" t="n"/>
      <c r="S2428" s="4" t="n"/>
      <c r="T2428" s="5" t="n"/>
      <c r="U2428" s="8">
        <f>IF(AND(V2428=1,D2428&lt;&gt;""),IF(D2428&gt;=corte,TODAY()-D2428,""),"")</f>
        <v/>
      </c>
      <c r="V2428" s="8">
        <f>IF(D2428="",0,IF(OR(AND(P2428&lt;&gt;"",S2428=""),AND(N(J2428)&gt;0,N(K2428)&lt;J2428),OR(M2428="PENDENTE",M2428="PARCIAL"),OR(N2428="PENDENTE",N2428="PARCIAL")),1,0))</f>
        <v/>
      </c>
      <c r="W2428" s="8">
        <f>IF(AND(V2428=1,D2428&lt;&gt;""),IF(D2428&gt;=corte,(B2428="CRÍTICO")*1E9+(100000-D2428)*10000+10000-ROW(),""),"")</f>
        <v/>
      </c>
      <c r="X2428" s="8">
        <f>IF(AND(V2428=1,D2428=pas_data,E2428=pas_turno),10000-ROW(),"")</f>
        <v/>
      </c>
    </row>
    <row r="2429">
      <c r="A2429" s="3">
        <f>IF(D2429="","","TT-"&amp;TEXT(ROW()-1,"00000"))</f>
        <v/>
      </c>
      <c r="B2429" s="3">
        <f>IF(D2429="","",IF(V2429=0,"CONCLUÍDO",IF(D2429&lt;corte,"HISTÓRICO",IF(OR(AND(ISNUMBER(R2429),R2429&lt;TODAY()),AND(OR(N2429="PENDENTE",N2429="PARCIAL"),D2429&lt;TODAY()-1)),"CRÍTICO",IF(OR(AND(P2429&lt;&gt;"",S2429=""),AND(N2429="REALIZADO",M2429="PENDENTE"),AND(ISNUMBER(R2429),R2429=TODAY())),"ATENÇÃO",IF(N(K2429)=0,"PENDENTE","EM ANDAMENTO"))))))</f>
        <v/>
      </c>
      <c r="C2429" s="3">
        <f>IF(D2429="","",IF(V2429=0,"🟢 OK",IF(D2429&lt;corte,"⚪ HISTÓRICO (sem baixa)",IF(AND(ISNUMBER(R2429),R2429&lt;TODAY()),"🔴 PRAZO VENCIDO",IF(AND(OR(N2429="PENDENTE",N2429="PARCIAL"),D2429&lt;TODAY()-1),"🔴 EMBARQUE ATRASADO",IF(AND(N2429="REALIZADO",M2429="PENDENTE"),"🟡 EMBARCADO SEM FATURAR",IF(AND(P2429&lt;&gt;"",S2429="",OR(Q2429="",R2429="")),"🟡 PENDÊNCIA SEM RESPONSÁVEL/PRAZO",IF(AND(ISNUMBER(R2429),R2429=TODAY()),"🟡 VENCE HOJE",IF(AND(P2429&lt;&gt;"",S2429=""),"🟡 PENDÊNCIA ABERTA",IF(AND(N(J2429)&gt;0,N(K2429)&lt;J2429),"🟡 FALTA EXECUTAR",IF(OR(M2429="PENDENTE",M2429="PARCIAL"),"🟡 FATURAMENTO PENDENTE","🟡 EMBARQUE PENDENTE")))))))))))</f>
        <v/>
      </c>
      <c r="D2429" s="4" t="n"/>
      <c r="E2429" s="5" t="n"/>
      <c r="F2429" s="5" t="n"/>
      <c r="G2429" s="5" t="n"/>
      <c r="H2429" s="5" t="n"/>
      <c r="I2429" s="5" t="n"/>
      <c r="J2429" s="6" t="n"/>
      <c r="K2429" s="6" t="n"/>
      <c r="L2429" s="7">
        <f>IF(OR(D2429="",N(J2429)=0),"",MIN(1,N(K2429)/J2429))</f>
        <v/>
      </c>
      <c r="M2429" s="5" t="n"/>
      <c r="N2429" s="5" t="n"/>
      <c r="O2429" s="5" t="n"/>
      <c r="P2429" s="5" t="n"/>
      <c r="Q2429" s="5" t="n"/>
      <c r="R2429" s="4" t="n"/>
      <c r="S2429" s="4" t="n"/>
      <c r="T2429" s="5" t="n"/>
      <c r="U2429" s="8">
        <f>IF(AND(V2429=1,D2429&lt;&gt;""),IF(D2429&gt;=corte,TODAY()-D2429,""),"")</f>
        <v/>
      </c>
      <c r="V2429" s="8">
        <f>IF(D2429="",0,IF(OR(AND(P2429&lt;&gt;"",S2429=""),AND(N(J2429)&gt;0,N(K2429)&lt;J2429),OR(M2429="PENDENTE",M2429="PARCIAL"),OR(N2429="PENDENTE",N2429="PARCIAL")),1,0))</f>
        <v/>
      </c>
      <c r="W2429" s="8">
        <f>IF(AND(V2429=1,D2429&lt;&gt;""),IF(D2429&gt;=corte,(B2429="CRÍTICO")*1E9+(100000-D2429)*10000+10000-ROW(),""),"")</f>
        <v/>
      </c>
      <c r="X2429" s="8">
        <f>IF(AND(V2429=1,D2429=pas_data,E2429=pas_turno),10000-ROW(),"")</f>
        <v/>
      </c>
    </row>
    <row r="2430">
      <c r="A2430" s="3">
        <f>IF(D2430="","","TT-"&amp;TEXT(ROW()-1,"00000"))</f>
        <v/>
      </c>
      <c r="B2430" s="3">
        <f>IF(D2430="","",IF(V2430=0,"CONCLUÍDO",IF(D2430&lt;corte,"HISTÓRICO",IF(OR(AND(ISNUMBER(R2430),R2430&lt;TODAY()),AND(OR(N2430="PENDENTE",N2430="PARCIAL"),D2430&lt;TODAY()-1)),"CRÍTICO",IF(OR(AND(P2430&lt;&gt;"",S2430=""),AND(N2430="REALIZADO",M2430="PENDENTE"),AND(ISNUMBER(R2430),R2430=TODAY())),"ATENÇÃO",IF(N(K2430)=0,"PENDENTE","EM ANDAMENTO"))))))</f>
        <v/>
      </c>
      <c r="C2430" s="3">
        <f>IF(D2430="","",IF(V2430=0,"🟢 OK",IF(D2430&lt;corte,"⚪ HISTÓRICO (sem baixa)",IF(AND(ISNUMBER(R2430),R2430&lt;TODAY()),"🔴 PRAZO VENCIDO",IF(AND(OR(N2430="PENDENTE",N2430="PARCIAL"),D2430&lt;TODAY()-1),"🔴 EMBARQUE ATRASADO",IF(AND(N2430="REALIZADO",M2430="PENDENTE"),"🟡 EMBARCADO SEM FATURAR",IF(AND(P2430&lt;&gt;"",S2430="",OR(Q2430="",R2430="")),"🟡 PENDÊNCIA SEM RESPONSÁVEL/PRAZO",IF(AND(ISNUMBER(R2430),R2430=TODAY()),"🟡 VENCE HOJE",IF(AND(P2430&lt;&gt;"",S2430=""),"🟡 PENDÊNCIA ABERTA",IF(AND(N(J2430)&gt;0,N(K2430)&lt;J2430),"🟡 FALTA EXECUTAR",IF(OR(M2430="PENDENTE",M2430="PARCIAL"),"🟡 FATURAMENTO PENDENTE","🟡 EMBARQUE PENDENTE")))))))))))</f>
        <v/>
      </c>
      <c r="D2430" s="4" t="n"/>
      <c r="E2430" s="5" t="n"/>
      <c r="F2430" s="5" t="n"/>
      <c r="G2430" s="5" t="n"/>
      <c r="H2430" s="5" t="n"/>
      <c r="I2430" s="5" t="n"/>
      <c r="J2430" s="6" t="n"/>
      <c r="K2430" s="6" t="n"/>
      <c r="L2430" s="7">
        <f>IF(OR(D2430="",N(J2430)=0),"",MIN(1,N(K2430)/J2430))</f>
        <v/>
      </c>
      <c r="M2430" s="5" t="n"/>
      <c r="N2430" s="5" t="n"/>
      <c r="O2430" s="5" t="n"/>
      <c r="P2430" s="5" t="n"/>
      <c r="Q2430" s="5" t="n"/>
      <c r="R2430" s="4" t="n"/>
      <c r="S2430" s="4" t="n"/>
      <c r="T2430" s="5" t="n"/>
      <c r="U2430" s="8">
        <f>IF(AND(V2430=1,D2430&lt;&gt;""),IF(D2430&gt;=corte,TODAY()-D2430,""),"")</f>
        <v/>
      </c>
      <c r="V2430" s="8">
        <f>IF(D2430="",0,IF(OR(AND(P2430&lt;&gt;"",S2430=""),AND(N(J2430)&gt;0,N(K2430)&lt;J2430),OR(M2430="PENDENTE",M2430="PARCIAL"),OR(N2430="PENDENTE",N2430="PARCIAL")),1,0))</f>
        <v/>
      </c>
      <c r="W2430" s="8">
        <f>IF(AND(V2430=1,D2430&lt;&gt;""),IF(D2430&gt;=corte,(B2430="CRÍTICO")*1E9+(100000-D2430)*10000+10000-ROW(),""),"")</f>
        <v/>
      </c>
      <c r="X2430" s="8">
        <f>IF(AND(V2430=1,D2430=pas_data,E2430=pas_turno),10000-ROW(),"")</f>
        <v/>
      </c>
    </row>
    <row r="2431">
      <c r="A2431" s="3">
        <f>IF(D2431="","","TT-"&amp;TEXT(ROW()-1,"00000"))</f>
        <v/>
      </c>
      <c r="B2431" s="3">
        <f>IF(D2431="","",IF(V2431=0,"CONCLUÍDO",IF(D2431&lt;corte,"HISTÓRICO",IF(OR(AND(ISNUMBER(R2431),R2431&lt;TODAY()),AND(OR(N2431="PENDENTE",N2431="PARCIAL"),D2431&lt;TODAY()-1)),"CRÍTICO",IF(OR(AND(P2431&lt;&gt;"",S2431=""),AND(N2431="REALIZADO",M2431="PENDENTE"),AND(ISNUMBER(R2431),R2431=TODAY())),"ATENÇÃO",IF(N(K2431)=0,"PENDENTE","EM ANDAMENTO"))))))</f>
        <v/>
      </c>
      <c r="C2431" s="3">
        <f>IF(D2431="","",IF(V2431=0,"🟢 OK",IF(D2431&lt;corte,"⚪ HISTÓRICO (sem baixa)",IF(AND(ISNUMBER(R2431),R2431&lt;TODAY()),"🔴 PRAZO VENCIDO",IF(AND(OR(N2431="PENDENTE",N2431="PARCIAL"),D2431&lt;TODAY()-1),"🔴 EMBARQUE ATRASADO",IF(AND(N2431="REALIZADO",M2431="PENDENTE"),"🟡 EMBARCADO SEM FATURAR",IF(AND(P2431&lt;&gt;"",S2431="",OR(Q2431="",R2431="")),"🟡 PENDÊNCIA SEM RESPONSÁVEL/PRAZO",IF(AND(ISNUMBER(R2431),R2431=TODAY()),"🟡 VENCE HOJE",IF(AND(P2431&lt;&gt;"",S2431=""),"🟡 PENDÊNCIA ABERTA",IF(AND(N(J2431)&gt;0,N(K2431)&lt;J2431),"🟡 FALTA EXECUTAR",IF(OR(M2431="PENDENTE",M2431="PARCIAL"),"🟡 FATURAMENTO PENDENTE","🟡 EMBARQUE PENDENTE")))))))))))</f>
        <v/>
      </c>
      <c r="D2431" s="4" t="n"/>
      <c r="E2431" s="5" t="n"/>
      <c r="F2431" s="5" t="n"/>
      <c r="G2431" s="5" t="n"/>
      <c r="H2431" s="5" t="n"/>
      <c r="I2431" s="5" t="n"/>
      <c r="J2431" s="6" t="n"/>
      <c r="K2431" s="6" t="n"/>
      <c r="L2431" s="7">
        <f>IF(OR(D2431="",N(J2431)=0),"",MIN(1,N(K2431)/J2431))</f>
        <v/>
      </c>
      <c r="M2431" s="5" t="n"/>
      <c r="N2431" s="5" t="n"/>
      <c r="O2431" s="5" t="n"/>
      <c r="P2431" s="5" t="n"/>
      <c r="Q2431" s="5" t="n"/>
      <c r="R2431" s="4" t="n"/>
      <c r="S2431" s="4" t="n"/>
      <c r="T2431" s="5" t="n"/>
      <c r="U2431" s="8">
        <f>IF(AND(V2431=1,D2431&lt;&gt;""),IF(D2431&gt;=corte,TODAY()-D2431,""),"")</f>
        <v/>
      </c>
      <c r="V2431" s="8">
        <f>IF(D2431="",0,IF(OR(AND(P2431&lt;&gt;"",S2431=""),AND(N(J2431)&gt;0,N(K2431)&lt;J2431),OR(M2431="PENDENTE",M2431="PARCIAL"),OR(N2431="PENDENTE",N2431="PARCIAL")),1,0))</f>
        <v/>
      </c>
      <c r="W2431" s="8">
        <f>IF(AND(V2431=1,D2431&lt;&gt;""),IF(D2431&gt;=corte,(B2431="CRÍTICO")*1E9+(100000-D2431)*10000+10000-ROW(),""),"")</f>
        <v/>
      </c>
      <c r="X2431" s="8">
        <f>IF(AND(V2431=1,D2431=pas_data,E2431=pas_turno),10000-ROW(),"")</f>
        <v/>
      </c>
    </row>
    <row r="2432">
      <c r="A2432" s="3">
        <f>IF(D2432="","","TT-"&amp;TEXT(ROW()-1,"00000"))</f>
        <v/>
      </c>
      <c r="B2432" s="3">
        <f>IF(D2432="","",IF(V2432=0,"CONCLUÍDO",IF(D2432&lt;corte,"HISTÓRICO",IF(OR(AND(ISNUMBER(R2432),R2432&lt;TODAY()),AND(OR(N2432="PENDENTE",N2432="PARCIAL"),D2432&lt;TODAY()-1)),"CRÍTICO",IF(OR(AND(P2432&lt;&gt;"",S2432=""),AND(N2432="REALIZADO",M2432="PENDENTE"),AND(ISNUMBER(R2432),R2432=TODAY())),"ATENÇÃO",IF(N(K2432)=0,"PENDENTE","EM ANDAMENTO"))))))</f>
        <v/>
      </c>
      <c r="C2432" s="3">
        <f>IF(D2432="","",IF(V2432=0,"🟢 OK",IF(D2432&lt;corte,"⚪ HISTÓRICO (sem baixa)",IF(AND(ISNUMBER(R2432),R2432&lt;TODAY()),"🔴 PRAZO VENCIDO",IF(AND(OR(N2432="PENDENTE",N2432="PARCIAL"),D2432&lt;TODAY()-1),"🔴 EMBARQUE ATRASADO",IF(AND(N2432="REALIZADO",M2432="PENDENTE"),"🟡 EMBARCADO SEM FATURAR",IF(AND(P2432&lt;&gt;"",S2432="",OR(Q2432="",R2432="")),"🟡 PENDÊNCIA SEM RESPONSÁVEL/PRAZO",IF(AND(ISNUMBER(R2432),R2432=TODAY()),"🟡 VENCE HOJE",IF(AND(P2432&lt;&gt;"",S2432=""),"🟡 PENDÊNCIA ABERTA",IF(AND(N(J2432)&gt;0,N(K2432)&lt;J2432),"🟡 FALTA EXECUTAR",IF(OR(M2432="PENDENTE",M2432="PARCIAL"),"🟡 FATURAMENTO PENDENTE","🟡 EMBARQUE PENDENTE")))))))))))</f>
        <v/>
      </c>
      <c r="D2432" s="4" t="n"/>
      <c r="E2432" s="5" t="n"/>
      <c r="F2432" s="5" t="n"/>
      <c r="G2432" s="5" t="n"/>
      <c r="H2432" s="5" t="n"/>
      <c r="I2432" s="5" t="n"/>
      <c r="J2432" s="6" t="n"/>
      <c r="K2432" s="6" t="n"/>
      <c r="L2432" s="7">
        <f>IF(OR(D2432="",N(J2432)=0),"",MIN(1,N(K2432)/J2432))</f>
        <v/>
      </c>
      <c r="M2432" s="5" t="n"/>
      <c r="N2432" s="5" t="n"/>
      <c r="O2432" s="5" t="n"/>
      <c r="P2432" s="5" t="n"/>
      <c r="Q2432" s="5" t="n"/>
      <c r="R2432" s="4" t="n"/>
      <c r="S2432" s="4" t="n"/>
      <c r="T2432" s="5" t="n"/>
      <c r="U2432" s="8">
        <f>IF(AND(V2432=1,D2432&lt;&gt;""),IF(D2432&gt;=corte,TODAY()-D2432,""),"")</f>
        <v/>
      </c>
      <c r="V2432" s="8">
        <f>IF(D2432="",0,IF(OR(AND(P2432&lt;&gt;"",S2432=""),AND(N(J2432)&gt;0,N(K2432)&lt;J2432),OR(M2432="PENDENTE",M2432="PARCIAL"),OR(N2432="PENDENTE",N2432="PARCIAL")),1,0))</f>
        <v/>
      </c>
      <c r="W2432" s="8">
        <f>IF(AND(V2432=1,D2432&lt;&gt;""),IF(D2432&gt;=corte,(B2432="CRÍTICO")*1E9+(100000-D2432)*10000+10000-ROW(),""),"")</f>
        <v/>
      </c>
      <c r="X2432" s="8">
        <f>IF(AND(V2432=1,D2432=pas_data,E2432=pas_turno),10000-ROW(),"")</f>
        <v/>
      </c>
    </row>
    <row r="2433">
      <c r="A2433" s="3">
        <f>IF(D2433="","","TT-"&amp;TEXT(ROW()-1,"00000"))</f>
        <v/>
      </c>
      <c r="B2433" s="3">
        <f>IF(D2433="","",IF(V2433=0,"CONCLUÍDO",IF(D2433&lt;corte,"HISTÓRICO",IF(OR(AND(ISNUMBER(R2433),R2433&lt;TODAY()),AND(OR(N2433="PENDENTE",N2433="PARCIAL"),D2433&lt;TODAY()-1)),"CRÍTICO",IF(OR(AND(P2433&lt;&gt;"",S2433=""),AND(N2433="REALIZADO",M2433="PENDENTE"),AND(ISNUMBER(R2433),R2433=TODAY())),"ATENÇÃO",IF(N(K2433)=0,"PENDENTE","EM ANDAMENTO"))))))</f>
        <v/>
      </c>
      <c r="C2433" s="3">
        <f>IF(D2433="","",IF(V2433=0,"🟢 OK",IF(D2433&lt;corte,"⚪ HISTÓRICO (sem baixa)",IF(AND(ISNUMBER(R2433),R2433&lt;TODAY()),"🔴 PRAZO VENCIDO",IF(AND(OR(N2433="PENDENTE",N2433="PARCIAL"),D2433&lt;TODAY()-1),"🔴 EMBARQUE ATRASADO",IF(AND(N2433="REALIZADO",M2433="PENDENTE"),"🟡 EMBARCADO SEM FATURAR",IF(AND(P2433&lt;&gt;"",S2433="",OR(Q2433="",R2433="")),"🟡 PENDÊNCIA SEM RESPONSÁVEL/PRAZO",IF(AND(ISNUMBER(R2433),R2433=TODAY()),"🟡 VENCE HOJE",IF(AND(P2433&lt;&gt;"",S2433=""),"🟡 PENDÊNCIA ABERTA",IF(AND(N(J2433)&gt;0,N(K2433)&lt;J2433),"🟡 FALTA EXECUTAR",IF(OR(M2433="PENDENTE",M2433="PARCIAL"),"🟡 FATURAMENTO PENDENTE","🟡 EMBARQUE PENDENTE")))))))))))</f>
        <v/>
      </c>
      <c r="D2433" s="4" t="n"/>
      <c r="E2433" s="5" t="n"/>
      <c r="F2433" s="5" t="n"/>
      <c r="G2433" s="5" t="n"/>
      <c r="H2433" s="5" t="n"/>
      <c r="I2433" s="5" t="n"/>
      <c r="J2433" s="6" t="n"/>
      <c r="K2433" s="6" t="n"/>
      <c r="L2433" s="7">
        <f>IF(OR(D2433="",N(J2433)=0),"",MIN(1,N(K2433)/J2433))</f>
        <v/>
      </c>
      <c r="M2433" s="5" t="n"/>
      <c r="N2433" s="5" t="n"/>
      <c r="O2433" s="5" t="n"/>
      <c r="P2433" s="5" t="n"/>
      <c r="Q2433" s="5" t="n"/>
      <c r="R2433" s="4" t="n"/>
      <c r="S2433" s="4" t="n"/>
      <c r="T2433" s="5" t="n"/>
      <c r="U2433" s="8">
        <f>IF(AND(V2433=1,D2433&lt;&gt;""),IF(D2433&gt;=corte,TODAY()-D2433,""),"")</f>
        <v/>
      </c>
      <c r="V2433" s="8">
        <f>IF(D2433="",0,IF(OR(AND(P2433&lt;&gt;"",S2433=""),AND(N(J2433)&gt;0,N(K2433)&lt;J2433),OR(M2433="PENDENTE",M2433="PARCIAL"),OR(N2433="PENDENTE",N2433="PARCIAL")),1,0))</f>
        <v/>
      </c>
      <c r="W2433" s="8">
        <f>IF(AND(V2433=1,D2433&lt;&gt;""),IF(D2433&gt;=corte,(B2433="CRÍTICO")*1E9+(100000-D2433)*10000+10000-ROW(),""),"")</f>
        <v/>
      </c>
      <c r="X2433" s="8">
        <f>IF(AND(V2433=1,D2433=pas_data,E2433=pas_turno),10000-ROW(),"")</f>
        <v/>
      </c>
    </row>
    <row r="2434">
      <c r="A2434" s="3">
        <f>IF(D2434="","","TT-"&amp;TEXT(ROW()-1,"00000"))</f>
        <v/>
      </c>
      <c r="B2434" s="3">
        <f>IF(D2434="","",IF(V2434=0,"CONCLUÍDO",IF(D2434&lt;corte,"HISTÓRICO",IF(OR(AND(ISNUMBER(R2434),R2434&lt;TODAY()),AND(OR(N2434="PENDENTE",N2434="PARCIAL"),D2434&lt;TODAY()-1)),"CRÍTICO",IF(OR(AND(P2434&lt;&gt;"",S2434=""),AND(N2434="REALIZADO",M2434="PENDENTE"),AND(ISNUMBER(R2434),R2434=TODAY())),"ATENÇÃO",IF(N(K2434)=0,"PENDENTE","EM ANDAMENTO"))))))</f>
        <v/>
      </c>
      <c r="C2434" s="3">
        <f>IF(D2434="","",IF(V2434=0,"🟢 OK",IF(D2434&lt;corte,"⚪ HISTÓRICO (sem baixa)",IF(AND(ISNUMBER(R2434),R2434&lt;TODAY()),"🔴 PRAZO VENCIDO",IF(AND(OR(N2434="PENDENTE",N2434="PARCIAL"),D2434&lt;TODAY()-1),"🔴 EMBARQUE ATRASADO",IF(AND(N2434="REALIZADO",M2434="PENDENTE"),"🟡 EMBARCADO SEM FATURAR",IF(AND(P2434&lt;&gt;"",S2434="",OR(Q2434="",R2434="")),"🟡 PENDÊNCIA SEM RESPONSÁVEL/PRAZO",IF(AND(ISNUMBER(R2434),R2434=TODAY()),"🟡 VENCE HOJE",IF(AND(P2434&lt;&gt;"",S2434=""),"🟡 PENDÊNCIA ABERTA",IF(AND(N(J2434)&gt;0,N(K2434)&lt;J2434),"🟡 FALTA EXECUTAR",IF(OR(M2434="PENDENTE",M2434="PARCIAL"),"🟡 FATURAMENTO PENDENTE","🟡 EMBARQUE PENDENTE")))))))))))</f>
        <v/>
      </c>
      <c r="D2434" s="4" t="n"/>
      <c r="E2434" s="5" t="n"/>
      <c r="F2434" s="5" t="n"/>
      <c r="G2434" s="5" t="n"/>
      <c r="H2434" s="5" t="n"/>
      <c r="I2434" s="5" t="n"/>
      <c r="J2434" s="6" t="n"/>
      <c r="K2434" s="6" t="n"/>
      <c r="L2434" s="7">
        <f>IF(OR(D2434="",N(J2434)=0),"",MIN(1,N(K2434)/J2434))</f>
        <v/>
      </c>
      <c r="M2434" s="5" t="n"/>
      <c r="N2434" s="5" t="n"/>
      <c r="O2434" s="5" t="n"/>
      <c r="P2434" s="5" t="n"/>
      <c r="Q2434" s="5" t="n"/>
      <c r="R2434" s="4" t="n"/>
      <c r="S2434" s="4" t="n"/>
      <c r="T2434" s="5" t="n"/>
      <c r="U2434" s="8">
        <f>IF(AND(V2434=1,D2434&lt;&gt;""),IF(D2434&gt;=corte,TODAY()-D2434,""),"")</f>
        <v/>
      </c>
      <c r="V2434" s="8">
        <f>IF(D2434="",0,IF(OR(AND(P2434&lt;&gt;"",S2434=""),AND(N(J2434)&gt;0,N(K2434)&lt;J2434),OR(M2434="PENDENTE",M2434="PARCIAL"),OR(N2434="PENDENTE",N2434="PARCIAL")),1,0))</f>
        <v/>
      </c>
      <c r="W2434" s="8">
        <f>IF(AND(V2434=1,D2434&lt;&gt;""),IF(D2434&gt;=corte,(B2434="CRÍTICO")*1E9+(100000-D2434)*10000+10000-ROW(),""),"")</f>
        <v/>
      </c>
      <c r="X2434" s="8">
        <f>IF(AND(V2434=1,D2434=pas_data,E2434=pas_turno),10000-ROW(),"")</f>
        <v/>
      </c>
    </row>
    <row r="2435">
      <c r="A2435" s="3">
        <f>IF(D2435="","","TT-"&amp;TEXT(ROW()-1,"00000"))</f>
        <v/>
      </c>
      <c r="B2435" s="3">
        <f>IF(D2435="","",IF(V2435=0,"CONCLUÍDO",IF(D2435&lt;corte,"HISTÓRICO",IF(OR(AND(ISNUMBER(R2435),R2435&lt;TODAY()),AND(OR(N2435="PENDENTE",N2435="PARCIAL"),D2435&lt;TODAY()-1)),"CRÍTICO",IF(OR(AND(P2435&lt;&gt;"",S2435=""),AND(N2435="REALIZADO",M2435="PENDENTE"),AND(ISNUMBER(R2435),R2435=TODAY())),"ATENÇÃO",IF(N(K2435)=0,"PENDENTE","EM ANDAMENTO"))))))</f>
        <v/>
      </c>
      <c r="C2435" s="3">
        <f>IF(D2435="","",IF(V2435=0,"🟢 OK",IF(D2435&lt;corte,"⚪ HISTÓRICO (sem baixa)",IF(AND(ISNUMBER(R2435),R2435&lt;TODAY()),"🔴 PRAZO VENCIDO",IF(AND(OR(N2435="PENDENTE",N2435="PARCIAL"),D2435&lt;TODAY()-1),"🔴 EMBARQUE ATRASADO",IF(AND(N2435="REALIZADO",M2435="PENDENTE"),"🟡 EMBARCADO SEM FATURAR",IF(AND(P2435&lt;&gt;"",S2435="",OR(Q2435="",R2435="")),"🟡 PENDÊNCIA SEM RESPONSÁVEL/PRAZO",IF(AND(ISNUMBER(R2435),R2435=TODAY()),"🟡 VENCE HOJE",IF(AND(P2435&lt;&gt;"",S2435=""),"🟡 PENDÊNCIA ABERTA",IF(AND(N(J2435)&gt;0,N(K2435)&lt;J2435),"🟡 FALTA EXECUTAR",IF(OR(M2435="PENDENTE",M2435="PARCIAL"),"🟡 FATURAMENTO PENDENTE","🟡 EMBARQUE PENDENTE")))))))))))</f>
        <v/>
      </c>
      <c r="D2435" s="4" t="n"/>
      <c r="E2435" s="5" t="n"/>
      <c r="F2435" s="5" t="n"/>
      <c r="G2435" s="5" t="n"/>
      <c r="H2435" s="5" t="n"/>
      <c r="I2435" s="5" t="n"/>
      <c r="J2435" s="6" t="n"/>
      <c r="K2435" s="6" t="n"/>
      <c r="L2435" s="7">
        <f>IF(OR(D2435="",N(J2435)=0),"",MIN(1,N(K2435)/J2435))</f>
        <v/>
      </c>
      <c r="M2435" s="5" t="n"/>
      <c r="N2435" s="5" t="n"/>
      <c r="O2435" s="5" t="n"/>
      <c r="P2435" s="5" t="n"/>
      <c r="Q2435" s="5" t="n"/>
      <c r="R2435" s="4" t="n"/>
      <c r="S2435" s="4" t="n"/>
      <c r="T2435" s="5" t="n"/>
      <c r="U2435" s="8">
        <f>IF(AND(V2435=1,D2435&lt;&gt;""),IF(D2435&gt;=corte,TODAY()-D2435,""),"")</f>
        <v/>
      </c>
      <c r="V2435" s="8">
        <f>IF(D2435="",0,IF(OR(AND(P2435&lt;&gt;"",S2435=""),AND(N(J2435)&gt;0,N(K2435)&lt;J2435),OR(M2435="PENDENTE",M2435="PARCIAL"),OR(N2435="PENDENTE",N2435="PARCIAL")),1,0))</f>
        <v/>
      </c>
      <c r="W2435" s="8">
        <f>IF(AND(V2435=1,D2435&lt;&gt;""),IF(D2435&gt;=corte,(B2435="CRÍTICO")*1E9+(100000-D2435)*10000+10000-ROW(),""),"")</f>
        <v/>
      </c>
      <c r="X2435" s="8">
        <f>IF(AND(V2435=1,D2435=pas_data,E2435=pas_turno),10000-ROW(),"")</f>
        <v/>
      </c>
    </row>
    <row r="2436">
      <c r="A2436" s="3">
        <f>IF(D2436="","","TT-"&amp;TEXT(ROW()-1,"00000"))</f>
        <v/>
      </c>
      <c r="B2436" s="3">
        <f>IF(D2436="","",IF(V2436=0,"CONCLUÍDO",IF(D2436&lt;corte,"HISTÓRICO",IF(OR(AND(ISNUMBER(R2436),R2436&lt;TODAY()),AND(OR(N2436="PENDENTE",N2436="PARCIAL"),D2436&lt;TODAY()-1)),"CRÍTICO",IF(OR(AND(P2436&lt;&gt;"",S2436=""),AND(N2436="REALIZADO",M2436="PENDENTE"),AND(ISNUMBER(R2436),R2436=TODAY())),"ATENÇÃO",IF(N(K2436)=0,"PENDENTE","EM ANDAMENTO"))))))</f>
        <v/>
      </c>
      <c r="C2436" s="3">
        <f>IF(D2436="","",IF(V2436=0,"🟢 OK",IF(D2436&lt;corte,"⚪ HISTÓRICO (sem baixa)",IF(AND(ISNUMBER(R2436),R2436&lt;TODAY()),"🔴 PRAZO VENCIDO",IF(AND(OR(N2436="PENDENTE",N2436="PARCIAL"),D2436&lt;TODAY()-1),"🔴 EMBARQUE ATRASADO",IF(AND(N2436="REALIZADO",M2436="PENDENTE"),"🟡 EMBARCADO SEM FATURAR",IF(AND(P2436&lt;&gt;"",S2436="",OR(Q2436="",R2436="")),"🟡 PENDÊNCIA SEM RESPONSÁVEL/PRAZO",IF(AND(ISNUMBER(R2436),R2436=TODAY()),"🟡 VENCE HOJE",IF(AND(P2436&lt;&gt;"",S2436=""),"🟡 PENDÊNCIA ABERTA",IF(AND(N(J2436)&gt;0,N(K2436)&lt;J2436),"🟡 FALTA EXECUTAR",IF(OR(M2436="PENDENTE",M2436="PARCIAL"),"🟡 FATURAMENTO PENDENTE","🟡 EMBARQUE PENDENTE")))))))))))</f>
        <v/>
      </c>
      <c r="D2436" s="4" t="n"/>
      <c r="E2436" s="5" t="n"/>
      <c r="F2436" s="5" t="n"/>
      <c r="G2436" s="5" t="n"/>
      <c r="H2436" s="5" t="n"/>
      <c r="I2436" s="5" t="n"/>
      <c r="J2436" s="6" t="n"/>
      <c r="K2436" s="6" t="n"/>
      <c r="L2436" s="7">
        <f>IF(OR(D2436="",N(J2436)=0),"",MIN(1,N(K2436)/J2436))</f>
        <v/>
      </c>
      <c r="M2436" s="5" t="n"/>
      <c r="N2436" s="5" t="n"/>
      <c r="O2436" s="5" t="n"/>
      <c r="P2436" s="5" t="n"/>
      <c r="Q2436" s="5" t="n"/>
      <c r="R2436" s="4" t="n"/>
      <c r="S2436" s="4" t="n"/>
      <c r="T2436" s="5" t="n"/>
      <c r="U2436" s="8">
        <f>IF(AND(V2436=1,D2436&lt;&gt;""),IF(D2436&gt;=corte,TODAY()-D2436,""),"")</f>
        <v/>
      </c>
      <c r="V2436" s="8">
        <f>IF(D2436="",0,IF(OR(AND(P2436&lt;&gt;"",S2436=""),AND(N(J2436)&gt;0,N(K2436)&lt;J2436),OR(M2436="PENDENTE",M2436="PARCIAL"),OR(N2436="PENDENTE",N2436="PARCIAL")),1,0))</f>
        <v/>
      </c>
      <c r="W2436" s="8">
        <f>IF(AND(V2436=1,D2436&lt;&gt;""),IF(D2436&gt;=corte,(B2436="CRÍTICO")*1E9+(100000-D2436)*10000+10000-ROW(),""),"")</f>
        <v/>
      </c>
      <c r="X2436" s="8">
        <f>IF(AND(V2436=1,D2436=pas_data,E2436=pas_turno),10000-ROW(),"")</f>
        <v/>
      </c>
    </row>
    <row r="2437">
      <c r="A2437" s="3">
        <f>IF(D2437="","","TT-"&amp;TEXT(ROW()-1,"00000"))</f>
        <v/>
      </c>
      <c r="B2437" s="3">
        <f>IF(D2437="","",IF(V2437=0,"CONCLUÍDO",IF(D2437&lt;corte,"HISTÓRICO",IF(OR(AND(ISNUMBER(R2437),R2437&lt;TODAY()),AND(OR(N2437="PENDENTE",N2437="PARCIAL"),D2437&lt;TODAY()-1)),"CRÍTICO",IF(OR(AND(P2437&lt;&gt;"",S2437=""),AND(N2437="REALIZADO",M2437="PENDENTE"),AND(ISNUMBER(R2437),R2437=TODAY())),"ATENÇÃO",IF(N(K2437)=0,"PENDENTE","EM ANDAMENTO"))))))</f>
        <v/>
      </c>
      <c r="C2437" s="3">
        <f>IF(D2437="","",IF(V2437=0,"🟢 OK",IF(D2437&lt;corte,"⚪ HISTÓRICO (sem baixa)",IF(AND(ISNUMBER(R2437),R2437&lt;TODAY()),"🔴 PRAZO VENCIDO",IF(AND(OR(N2437="PENDENTE",N2437="PARCIAL"),D2437&lt;TODAY()-1),"🔴 EMBARQUE ATRASADO",IF(AND(N2437="REALIZADO",M2437="PENDENTE"),"🟡 EMBARCADO SEM FATURAR",IF(AND(P2437&lt;&gt;"",S2437="",OR(Q2437="",R2437="")),"🟡 PENDÊNCIA SEM RESPONSÁVEL/PRAZO",IF(AND(ISNUMBER(R2437),R2437=TODAY()),"🟡 VENCE HOJE",IF(AND(P2437&lt;&gt;"",S2437=""),"🟡 PENDÊNCIA ABERTA",IF(AND(N(J2437)&gt;0,N(K2437)&lt;J2437),"🟡 FALTA EXECUTAR",IF(OR(M2437="PENDENTE",M2437="PARCIAL"),"🟡 FATURAMENTO PENDENTE","🟡 EMBARQUE PENDENTE")))))))))))</f>
        <v/>
      </c>
      <c r="D2437" s="4" t="n"/>
      <c r="E2437" s="5" t="n"/>
      <c r="F2437" s="5" t="n"/>
      <c r="G2437" s="5" t="n"/>
      <c r="H2437" s="5" t="n"/>
      <c r="I2437" s="5" t="n"/>
      <c r="J2437" s="6" t="n"/>
      <c r="K2437" s="6" t="n"/>
      <c r="L2437" s="7">
        <f>IF(OR(D2437="",N(J2437)=0),"",MIN(1,N(K2437)/J2437))</f>
        <v/>
      </c>
      <c r="M2437" s="5" t="n"/>
      <c r="N2437" s="5" t="n"/>
      <c r="O2437" s="5" t="n"/>
      <c r="P2437" s="5" t="n"/>
      <c r="Q2437" s="5" t="n"/>
      <c r="R2437" s="4" t="n"/>
      <c r="S2437" s="4" t="n"/>
      <c r="T2437" s="5" t="n"/>
      <c r="U2437" s="8">
        <f>IF(AND(V2437=1,D2437&lt;&gt;""),IF(D2437&gt;=corte,TODAY()-D2437,""),"")</f>
        <v/>
      </c>
      <c r="V2437" s="8">
        <f>IF(D2437="",0,IF(OR(AND(P2437&lt;&gt;"",S2437=""),AND(N(J2437)&gt;0,N(K2437)&lt;J2437),OR(M2437="PENDENTE",M2437="PARCIAL"),OR(N2437="PENDENTE",N2437="PARCIAL")),1,0))</f>
        <v/>
      </c>
      <c r="W2437" s="8">
        <f>IF(AND(V2437=1,D2437&lt;&gt;""),IF(D2437&gt;=corte,(B2437="CRÍTICO")*1E9+(100000-D2437)*10000+10000-ROW(),""),"")</f>
        <v/>
      </c>
      <c r="X2437" s="8">
        <f>IF(AND(V2437=1,D2437=pas_data,E2437=pas_turno),10000-ROW(),"")</f>
        <v/>
      </c>
    </row>
    <row r="2438">
      <c r="A2438" s="3">
        <f>IF(D2438="","","TT-"&amp;TEXT(ROW()-1,"00000"))</f>
        <v/>
      </c>
      <c r="B2438" s="3">
        <f>IF(D2438="","",IF(V2438=0,"CONCLUÍDO",IF(D2438&lt;corte,"HISTÓRICO",IF(OR(AND(ISNUMBER(R2438),R2438&lt;TODAY()),AND(OR(N2438="PENDENTE",N2438="PARCIAL"),D2438&lt;TODAY()-1)),"CRÍTICO",IF(OR(AND(P2438&lt;&gt;"",S2438=""),AND(N2438="REALIZADO",M2438="PENDENTE"),AND(ISNUMBER(R2438),R2438=TODAY())),"ATENÇÃO",IF(N(K2438)=0,"PENDENTE","EM ANDAMENTO"))))))</f>
        <v/>
      </c>
      <c r="C2438" s="3">
        <f>IF(D2438="","",IF(V2438=0,"🟢 OK",IF(D2438&lt;corte,"⚪ HISTÓRICO (sem baixa)",IF(AND(ISNUMBER(R2438),R2438&lt;TODAY()),"🔴 PRAZO VENCIDO",IF(AND(OR(N2438="PENDENTE",N2438="PARCIAL"),D2438&lt;TODAY()-1),"🔴 EMBARQUE ATRASADO",IF(AND(N2438="REALIZADO",M2438="PENDENTE"),"🟡 EMBARCADO SEM FATURAR",IF(AND(P2438&lt;&gt;"",S2438="",OR(Q2438="",R2438="")),"🟡 PENDÊNCIA SEM RESPONSÁVEL/PRAZO",IF(AND(ISNUMBER(R2438),R2438=TODAY()),"🟡 VENCE HOJE",IF(AND(P2438&lt;&gt;"",S2438=""),"🟡 PENDÊNCIA ABERTA",IF(AND(N(J2438)&gt;0,N(K2438)&lt;J2438),"🟡 FALTA EXECUTAR",IF(OR(M2438="PENDENTE",M2438="PARCIAL"),"🟡 FATURAMENTO PENDENTE","🟡 EMBARQUE PENDENTE")))))))))))</f>
        <v/>
      </c>
      <c r="D2438" s="4" t="n"/>
      <c r="E2438" s="5" t="n"/>
      <c r="F2438" s="5" t="n"/>
      <c r="G2438" s="5" t="n"/>
      <c r="H2438" s="5" t="n"/>
      <c r="I2438" s="5" t="n"/>
      <c r="J2438" s="6" t="n"/>
      <c r="K2438" s="6" t="n"/>
      <c r="L2438" s="7">
        <f>IF(OR(D2438="",N(J2438)=0),"",MIN(1,N(K2438)/J2438))</f>
        <v/>
      </c>
      <c r="M2438" s="5" t="n"/>
      <c r="N2438" s="5" t="n"/>
      <c r="O2438" s="5" t="n"/>
      <c r="P2438" s="5" t="n"/>
      <c r="Q2438" s="5" t="n"/>
      <c r="R2438" s="4" t="n"/>
      <c r="S2438" s="4" t="n"/>
      <c r="T2438" s="5" t="n"/>
      <c r="U2438" s="8">
        <f>IF(AND(V2438=1,D2438&lt;&gt;""),IF(D2438&gt;=corte,TODAY()-D2438,""),"")</f>
        <v/>
      </c>
      <c r="V2438" s="8">
        <f>IF(D2438="",0,IF(OR(AND(P2438&lt;&gt;"",S2438=""),AND(N(J2438)&gt;0,N(K2438)&lt;J2438),OR(M2438="PENDENTE",M2438="PARCIAL"),OR(N2438="PENDENTE",N2438="PARCIAL")),1,0))</f>
        <v/>
      </c>
      <c r="W2438" s="8">
        <f>IF(AND(V2438=1,D2438&lt;&gt;""),IF(D2438&gt;=corte,(B2438="CRÍTICO")*1E9+(100000-D2438)*10000+10000-ROW(),""),"")</f>
        <v/>
      </c>
      <c r="X2438" s="8">
        <f>IF(AND(V2438=1,D2438=pas_data,E2438=pas_turno),10000-ROW(),"")</f>
        <v/>
      </c>
    </row>
    <row r="2439">
      <c r="A2439" s="3">
        <f>IF(D2439="","","TT-"&amp;TEXT(ROW()-1,"00000"))</f>
        <v/>
      </c>
      <c r="B2439" s="3">
        <f>IF(D2439="","",IF(V2439=0,"CONCLUÍDO",IF(D2439&lt;corte,"HISTÓRICO",IF(OR(AND(ISNUMBER(R2439),R2439&lt;TODAY()),AND(OR(N2439="PENDENTE",N2439="PARCIAL"),D2439&lt;TODAY()-1)),"CRÍTICO",IF(OR(AND(P2439&lt;&gt;"",S2439=""),AND(N2439="REALIZADO",M2439="PENDENTE"),AND(ISNUMBER(R2439),R2439=TODAY())),"ATENÇÃO",IF(N(K2439)=0,"PENDENTE","EM ANDAMENTO"))))))</f>
        <v/>
      </c>
      <c r="C2439" s="3">
        <f>IF(D2439="","",IF(V2439=0,"🟢 OK",IF(D2439&lt;corte,"⚪ HISTÓRICO (sem baixa)",IF(AND(ISNUMBER(R2439),R2439&lt;TODAY()),"🔴 PRAZO VENCIDO",IF(AND(OR(N2439="PENDENTE",N2439="PARCIAL"),D2439&lt;TODAY()-1),"🔴 EMBARQUE ATRASADO",IF(AND(N2439="REALIZADO",M2439="PENDENTE"),"🟡 EMBARCADO SEM FATURAR",IF(AND(P2439&lt;&gt;"",S2439="",OR(Q2439="",R2439="")),"🟡 PENDÊNCIA SEM RESPONSÁVEL/PRAZO",IF(AND(ISNUMBER(R2439),R2439=TODAY()),"🟡 VENCE HOJE",IF(AND(P2439&lt;&gt;"",S2439=""),"🟡 PENDÊNCIA ABERTA",IF(AND(N(J2439)&gt;0,N(K2439)&lt;J2439),"🟡 FALTA EXECUTAR",IF(OR(M2439="PENDENTE",M2439="PARCIAL"),"🟡 FATURAMENTO PENDENTE","🟡 EMBARQUE PENDENTE")))))))))))</f>
        <v/>
      </c>
      <c r="D2439" s="4" t="n"/>
      <c r="E2439" s="5" t="n"/>
      <c r="F2439" s="5" t="n"/>
      <c r="G2439" s="5" t="n"/>
      <c r="H2439" s="5" t="n"/>
      <c r="I2439" s="5" t="n"/>
      <c r="J2439" s="6" t="n"/>
      <c r="K2439" s="6" t="n"/>
      <c r="L2439" s="7">
        <f>IF(OR(D2439="",N(J2439)=0),"",MIN(1,N(K2439)/J2439))</f>
        <v/>
      </c>
      <c r="M2439" s="5" t="n"/>
      <c r="N2439" s="5" t="n"/>
      <c r="O2439" s="5" t="n"/>
      <c r="P2439" s="5" t="n"/>
      <c r="Q2439" s="5" t="n"/>
      <c r="R2439" s="4" t="n"/>
      <c r="S2439" s="4" t="n"/>
      <c r="T2439" s="5" t="n"/>
      <c r="U2439" s="8">
        <f>IF(AND(V2439=1,D2439&lt;&gt;""),IF(D2439&gt;=corte,TODAY()-D2439,""),"")</f>
        <v/>
      </c>
      <c r="V2439" s="8">
        <f>IF(D2439="",0,IF(OR(AND(P2439&lt;&gt;"",S2439=""),AND(N(J2439)&gt;0,N(K2439)&lt;J2439),OR(M2439="PENDENTE",M2439="PARCIAL"),OR(N2439="PENDENTE",N2439="PARCIAL")),1,0))</f>
        <v/>
      </c>
      <c r="W2439" s="8">
        <f>IF(AND(V2439=1,D2439&lt;&gt;""),IF(D2439&gt;=corte,(B2439="CRÍTICO")*1E9+(100000-D2439)*10000+10000-ROW(),""),"")</f>
        <v/>
      </c>
      <c r="X2439" s="8">
        <f>IF(AND(V2439=1,D2439=pas_data,E2439=pas_turno),10000-ROW(),"")</f>
        <v/>
      </c>
    </row>
    <row r="2440">
      <c r="A2440" s="3">
        <f>IF(D2440="","","TT-"&amp;TEXT(ROW()-1,"00000"))</f>
        <v/>
      </c>
      <c r="B2440" s="3">
        <f>IF(D2440="","",IF(V2440=0,"CONCLUÍDO",IF(D2440&lt;corte,"HISTÓRICO",IF(OR(AND(ISNUMBER(R2440),R2440&lt;TODAY()),AND(OR(N2440="PENDENTE",N2440="PARCIAL"),D2440&lt;TODAY()-1)),"CRÍTICO",IF(OR(AND(P2440&lt;&gt;"",S2440=""),AND(N2440="REALIZADO",M2440="PENDENTE"),AND(ISNUMBER(R2440),R2440=TODAY())),"ATENÇÃO",IF(N(K2440)=0,"PENDENTE","EM ANDAMENTO"))))))</f>
        <v/>
      </c>
      <c r="C2440" s="3">
        <f>IF(D2440="","",IF(V2440=0,"🟢 OK",IF(D2440&lt;corte,"⚪ HISTÓRICO (sem baixa)",IF(AND(ISNUMBER(R2440),R2440&lt;TODAY()),"🔴 PRAZO VENCIDO",IF(AND(OR(N2440="PENDENTE",N2440="PARCIAL"),D2440&lt;TODAY()-1),"🔴 EMBARQUE ATRASADO",IF(AND(N2440="REALIZADO",M2440="PENDENTE"),"🟡 EMBARCADO SEM FATURAR",IF(AND(P2440&lt;&gt;"",S2440="",OR(Q2440="",R2440="")),"🟡 PENDÊNCIA SEM RESPONSÁVEL/PRAZO",IF(AND(ISNUMBER(R2440),R2440=TODAY()),"🟡 VENCE HOJE",IF(AND(P2440&lt;&gt;"",S2440=""),"🟡 PENDÊNCIA ABERTA",IF(AND(N(J2440)&gt;0,N(K2440)&lt;J2440),"🟡 FALTA EXECUTAR",IF(OR(M2440="PENDENTE",M2440="PARCIAL"),"🟡 FATURAMENTO PENDENTE","🟡 EMBARQUE PENDENTE")))))))))))</f>
        <v/>
      </c>
      <c r="D2440" s="4" t="n"/>
      <c r="E2440" s="5" t="n"/>
      <c r="F2440" s="5" t="n"/>
      <c r="G2440" s="5" t="n"/>
      <c r="H2440" s="5" t="n"/>
      <c r="I2440" s="5" t="n"/>
      <c r="J2440" s="6" t="n"/>
      <c r="K2440" s="6" t="n"/>
      <c r="L2440" s="7">
        <f>IF(OR(D2440="",N(J2440)=0),"",MIN(1,N(K2440)/J2440))</f>
        <v/>
      </c>
      <c r="M2440" s="5" t="n"/>
      <c r="N2440" s="5" t="n"/>
      <c r="O2440" s="5" t="n"/>
      <c r="P2440" s="5" t="n"/>
      <c r="Q2440" s="5" t="n"/>
      <c r="R2440" s="4" t="n"/>
      <c r="S2440" s="4" t="n"/>
      <c r="T2440" s="5" t="n"/>
      <c r="U2440" s="8">
        <f>IF(AND(V2440=1,D2440&lt;&gt;""),IF(D2440&gt;=corte,TODAY()-D2440,""),"")</f>
        <v/>
      </c>
      <c r="V2440" s="8">
        <f>IF(D2440="",0,IF(OR(AND(P2440&lt;&gt;"",S2440=""),AND(N(J2440)&gt;0,N(K2440)&lt;J2440),OR(M2440="PENDENTE",M2440="PARCIAL"),OR(N2440="PENDENTE",N2440="PARCIAL")),1,0))</f>
        <v/>
      </c>
      <c r="W2440" s="8">
        <f>IF(AND(V2440=1,D2440&lt;&gt;""),IF(D2440&gt;=corte,(B2440="CRÍTICO")*1E9+(100000-D2440)*10000+10000-ROW(),""),"")</f>
        <v/>
      </c>
      <c r="X2440" s="8">
        <f>IF(AND(V2440=1,D2440=pas_data,E2440=pas_turno),10000-ROW(),"")</f>
        <v/>
      </c>
    </row>
    <row r="2441">
      <c r="A2441" s="3">
        <f>IF(D2441="","","TT-"&amp;TEXT(ROW()-1,"00000"))</f>
        <v/>
      </c>
      <c r="B2441" s="3">
        <f>IF(D2441="","",IF(V2441=0,"CONCLUÍDO",IF(D2441&lt;corte,"HISTÓRICO",IF(OR(AND(ISNUMBER(R2441),R2441&lt;TODAY()),AND(OR(N2441="PENDENTE",N2441="PARCIAL"),D2441&lt;TODAY()-1)),"CRÍTICO",IF(OR(AND(P2441&lt;&gt;"",S2441=""),AND(N2441="REALIZADO",M2441="PENDENTE"),AND(ISNUMBER(R2441),R2441=TODAY())),"ATENÇÃO",IF(N(K2441)=0,"PENDENTE","EM ANDAMENTO"))))))</f>
        <v/>
      </c>
      <c r="C2441" s="3">
        <f>IF(D2441="","",IF(V2441=0,"🟢 OK",IF(D2441&lt;corte,"⚪ HISTÓRICO (sem baixa)",IF(AND(ISNUMBER(R2441),R2441&lt;TODAY()),"🔴 PRAZO VENCIDO",IF(AND(OR(N2441="PENDENTE",N2441="PARCIAL"),D2441&lt;TODAY()-1),"🔴 EMBARQUE ATRASADO",IF(AND(N2441="REALIZADO",M2441="PENDENTE"),"🟡 EMBARCADO SEM FATURAR",IF(AND(P2441&lt;&gt;"",S2441="",OR(Q2441="",R2441="")),"🟡 PENDÊNCIA SEM RESPONSÁVEL/PRAZO",IF(AND(ISNUMBER(R2441),R2441=TODAY()),"🟡 VENCE HOJE",IF(AND(P2441&lt;&gt;"",S2441=""),"🟡 PENDÊNCIA ABERTA",IF(AND(N(J2441)&gt;0,N(K2441)&lt;J2441),"🟡 FALTA EXECUTAR",IF(OR(M2441="PENDENTE",M2441="PARCIAL"),"🟡 FATURAMENTO PENDENTE","🟡 EMBARQUE PENDENTE")))))))))))</f>
        <v/>
      </c>
      <c r="D2441" s="4" t="n"/>
      <c r="E2441" s="5" t="n"/>
      <c r="F2441" s="5" t="n"/>
      <c r="G2441" s="5" t="n"/>
      <c r="H2441" s="5" t="n"/>
      <c r="I2441" s="5" t="n"/>
      <c r="J2441" s="6" t="n"/>
      <c r="K2441" s="6" t="n"/>
      <c r="L2441" s="7">
        <f>IF(OR(D2441="",N(J2441)=0),"",MIN(1,N(K2441)/J2441))</f>
        <v/>
      </c>
      <c r="M2441" s="5" t="n"/>
      <c r="N2441" s="5" t="n"/>
      <c r="O2441" s="5" t="n"/>
      <c r="P2441" s="5" t="n"/>
      <c r="Q2441" s="5" t="n"/>
      <c r="R2441" s="4" t="n"/>
      <c r="S2441" s="4" t="n"/>
      <c r="T2441" s="5" t="n"/>
      <c r="U2441" s="8">
        <f>IF(AND(V2441=1,D2441&lt;&gt;""),IF(D2441&gt;=corte,TODAY()-D2441,""),"")</f>
        <v/>
      </c>
      <c r="V2441" s="8">
        <f>IF(D2441="",0,IF(OR(AND(P2441&lt;&gt;"",S2441=""),AND(N(J2441)&gt;0,N(K2441)&lt;J2441),OR(M2441="PENDENTE",M2441="PARCIAL"),OR(N2441="PENDENTE",N2441="PARCIAL")),1,0))</f>
        <v/>
      </c>
      <c r="W2441" s="8">
        <f>IF(AND(V2441=1,D2441&lt;&gt;""),IF(D2441&gt;=corte,(B2441="CRÍTICO")*1E9+(100000-D2441)*10000+10000-ROW(),""),"")</f>
        <v/>
      </c>
      <c r="X2441" s="8">
        <f>IF(AND(V2441=1,D2441=pas_data,E2441=pas_turno),10000-ROW(),"")</f>
        <v/>
      </c>
    </row>
    <row r="2442">
      <c r="A2442" s="3">
        <f>IF(D2442="","","TT-"&amp;TEXT(ROW()-1,"00000"))</f>
        <v/>
      </c>
      <c r="B2442" s="3">
        <f>IF(D2442="","",IF(V2442=0,"CONCLUÍDO",IF(D2442&lt;corte,"HISTÓRICO",IF(OR(AND(ISNUMBER(R2442),R2442&lt;TODAY()),AND(OR(N2442="PENDENTE",N2442="PARCIAL"),D2442&lt;TODAY()-1)),"CRÍTICO",IF(OR(AND(P2442&lt;&gt;"",S2442=""),AND(N2442="REALIZADO",M2442="PENDENTE"),AND(ISNUMBER(R2442),R2442=TODAY())),"ATENÇÃO",IF(N(K2442)=0,"PENDENTE","EM ANDAMENTO"))))))</f>
        <v/>
      </c>
      <c r="C2442" s="3">
        <f>IF(D2442="","",IF(V2442=0,"🟢 OK",IF(D2442&lt;corte,"⚪ HISTÓRICO (sem baixa)",IF(AND(ISNUMBER(R2442),R2442&lt;TODAY()),"🔴 PRAZO VENCIDO",IF(AND(OR(N2442="PENDENTE",N2442="PARCIAL"),D2442&lt;TODAY()-1),"🔴 EMBARQUE ATRASADO",IF(AND(N2442="REALIZADO",M2442="PENDENTE"),"🟡 EMBARCADO SEM FATURAR",IF(AND(P2442&lt;&gt;"",S2442="",OR(Q2442="",R2442="")),"🟡 PENDÊNCIA SEM RESPONSÁVEL/PRAZO",IF(AND(ISNUMBER(R2442),R2442=TODAY()),"🟡 VENCE HOJE",IF(AND(P2442&lt;&gt;"",S2442=""),"🟡 PENDÊNCIA ABERTA",IF(AND(N(J2442)&gt;0,N(K2442)&lt;J2442),"🟡 FALTA EXECUTAR",IF(OR(M2442="PENDENTE",M2442="PARCIAL"),"🟡 FATURAMENTO PENDENTE","🟡 EMBARQUE PENDENTE")))))))))))</f>
        <v/>
      </c>
      <c r="D2442" s="4" t="n"/>
      <c r="E2442" s="5" t="n"/>
      <c r="F2442" s="5" t="n"/>
      <c r="G2442" s="5" t="n"/>
      <c r="H2442" s="5" t="n"/>
      <c r="I2442" s="5" t="n"/>
      <c r="J2442" s="6" t="n"/>
      <c r="K2442" s="6" t="n"/>
      <c r="L2442" s="7">
        <f>IF(OR(D2442="",N(J2442)=0),"",MIN(1,N(K2442)/J2442))</f>
        <v/>
      </c>
      <c r="M2442" s="5" t="n"/>
      <c r="N2442" s="5" t="n"/>
      <c r="O2442" s="5" t="n"/>
      <c r="P2442" s="5" t="n"/>
      <c r="Q2442" s="5" t="n"/>
      <c r="R2442" s="4" t="n"/>
      <c r="S2442" s="4" t="n"/>
      <c r="T2442" s="5" t="n"/>
      <c r="U2442" s="8">
        <f>IF(AND(V2442=1,D2442&lt;&gt;""),IF(D2442&gt;=corte,TODAY()-D2442,""),"")</f>
        <v/>
      </c>
      <c r="V2442" s="8">
        <f>IF(D2442="",0,IF(OR(AND(P2442&lt;&gt;"",S2442=""),AND(N(J2442)&gt;0,N(K2442)&lt;J2442),OR(M2442="PENDENTE",M2442="PARCIAL"),OR(N2442="PENDENTE",N2442="PARCIAL")),1,0))</f>
        <v/>
      </c>
      <c r="W2442" s="8">
        <f>IF(AND(V2442=1,D2442&lt;&gt;""),IF(D2442&gt;=corte,(B2442="CRÍTICO")*1E9+(100000-D2442)*10000+10000-ROW(),""),"")</f>
        <v/>
      </c>
      <c r="X2442" s="8">
        <f>IF(AND(V2442=1,D2442=pas_data,E2442=pas_turno),10000-ROW(),"")</f>
        <v/>
      </c>
    </row>
    <row r="2443">
      <c r="A2443" s="3">
        <f>IF(D2443="","","TT-"&amp;TEXT(ROW()-1,"00000"))</f>
        <v/>
      </c>
      <c r="B2443" s="3">
        <f>IF(D2443="","",IF(V2443=0,"CONCLUÍDO",IF(D2443&lt;corte,"HISTÓRICO",IF(OR(AND(ISNUMBER(R2443),R2443&lt;TODAY()),AND(OR(N2443="PENDENTE",N2443="PARCIAL"),D2443&lt;TODAY()-1)),"CRÍTICO",IF(OR(AND(P2443&lt;&gt;"",S2443=""),AND(N2443="REALIZADO",M2443="PENDENTE"),AND(ISNUMBER(R2443),R2443=TODAY())),"ATENÇÃO",IF(N(K2443)=0,"PENDENTE","EM ANDAMENTO"))))))</f>
        <v/>
      </c>
      <c r="C2443" s="3">
        <f>IF(D2443="","",IF(V2443=0,"🟢 OK",IF(D2443&lt;corte,"⚪ HISTÓRICO (sem baixa)",IF(AND(ISNUMBER(R2443),R2443&lt;TODAY()),"🔴 PRAZO VENCIDO",IF(AND(OR(N2443="PENDENTE",N2443="PARCIAL"),D2443&lt;TODAY()-1),"🔴 EMBARQUE ATRASADO",IF(AND(N2443="REALIZADO",M2443="PENDENTE"),"🟡 EMBARCADO SEM FATURAR",IF(AND(P2443&lt;&gt;"",S2443="",OR(Q2443="",R2443="")),"🟡 PENDÊNCIA SEM RESPONSÁVEL/PRAZO",IF(AND(ISNUMBER(R2443),R2443=TODAY()),"🟡 VENCE HOJE",IF(AND(P2443&lt;&gt;"",S2443=""),"🟡 PENDÊNCIA ABERTA",IF(AND(N(J2443)&gt;0,N(K2443)&lt;J2443),"🟡 FALTA EXECUTAR",IF(OR(M2443="PENDENTE",M2443="PARCIAL"),"🟡 FATURAMENTO PENDENTE","🟡 EMBARQUE PENDENTE")))))))))))</f>
        <v/>
      </c>
      <c r="D2443" s="4" t="n"/>
      <c r="E2443" s="5" t="n"/>
      <c r="F2443" s="5" t="n"/>
      <c r="G2443" s="5" t="n"/>
      <c r="H2443" s="5" t="n"/>
      <c r="I2443" s="5" t="n"/>
      <c r="J2443" s="6" t="n"/>
      <c r="K2443" s="6" t="n"/>
      <c r="L2443" s="7">
        <f>IF(OR(D2443="",N(J2443)=0),"",MIN(1,N(K2443)/J2443))</f>
        <v/>
      </c>
      <c r="M2443" s="5" t="n"/>
      <c r="N2443" s="5" t="n"/>
      <c r="O2443" s="5" t="n"/>
      <c r="P2443" s="5" t="n"/>
      <c r="Q2443" s="5" t="n"/>
      <c r="R2443" s="4" t="n"/>
      <c r="S2443" s="4" t="n"/>
      <c r="T2443" s="5" t="n"/>
      <c r="U2443" s="8">
        <f>IF(AND(V2443=1,D2443&lt;&gt;""),IF(D2443&gt;=corte,TODAY()-D2443,""),"")</f>
        <v/>
      </c>
      <c r="V2443" s="8">
        <f>IF(D2443="",0,IF(OR(AND(P2443&lt;&gt;"",S2443=""),AND(N(J2443)&gt;0,N(K2443)&lt;J2443),OR(M2443="PENDENTE",M2443="PARCIAL"),OR(N2443="PENDENTE",N2443="PARCIAL")),1,0))</f>
        <v/>
      </c>
      <c r="W2443" s="8">
        <f>IF(AND(V2443=1,D2443&lt;&gt;""),IF(D2443&gt;=corte,(B2443="CRÍTICO")*1E9+(100000-D2443)*10000+10000-ROW(),""),"")</f>
        <v/>
      </c>
      <c r="X2443" s="8">
        <f>IF(AND(V2443=1,D2443=pas_data,E2443=pas_turno),10000-ROW(),"")</f>
        <v/>
      </c>
    </row>
    <row r="2444">
      <c r="A2444" s="3">
        <f>IF(D2444="","","TT-"&amp;TEXT(ROW()-1,"00000"))</f>
        <v/>
      </c>
      <c r="B2444" s="3">
        <f>IF(D2444="","",IF(V2444=0,"CONCLUÍDO",IF(D2444&lt;corte,"HISTÓRICO",IF(OR(AND(ISNUMBER(R2444),R2444&lt;TODAY()),AND(OR(N2444="PENDENTE",N2444="PARCIAL"),D2444&lt;TODAY()-1)),"CRÍTICO",IF(OR(AND(P2444&lt;&gt;"",S2444=""),AND(N2444="REALIZADO",M2444="PENDENTE"),AND(ISNUMBER(R2444),R2444=TODAY())),"ATENÇÃO",IF(N(K2444)=0,"PENDENTE","EM ANDAMENTO"))))))</f>
        <v/>
      </c>
      <c r="C2444" s="3">
        <f>IF(D2444="","",IF(V2444=0,"🟢 OK",IF(D2444&lt;corte,"⚪ HISTÓRICO (sem baixa)",IF(AND(ISNUMBER(R2444),R2444&lt;TODAY()),"🔴 PRAZO VENCIDO",IF(AND(OR(N2444="PENDENTE",N2444="PARCIAL"),D2444&lt;TODAY()-1),"🔴 EMBARQUE ATRASADO",IF(AND(N2444="REALIZADO",M2444="PENDENTE"),"🟡 EMBARCADO SEM FATURAR",IF(AND(P2444&lt;&gt;"",S2444="",OR(Q2444="",R2444="")),"🟡 PENDÊNCIA SEM RESPONSÁVEL/PRAZO",IF(AND(ISNUMBER(R2444),R2444=TODAY()),"🟡 VENCE HOJE",IF(AND(P2444&lt;&gt;"",S2444=""),"🟡 PENDÊNCIA ABERTA",IF(AND(N(J2444)&gt;0,N(K2444)&lt;J2444),"🟡 FALTA EXECUTAR",IF(OR(M2444="PENDENTE",M2444="PARCIAL"),"🟡 FATURAMENTO PENDENTE","🟡 EMBARQUE PENDENTE")))))))))))</f>
        <v/>
      </c>
      <c r="D2444" s="4" t="n"/>
      <c r="E2444" s="5" t="n"/>
      <c r="F2444" s="5" t="n"/>
      <c r="G2444" s="5" t="n"/>
      <c r="H2444" s="5" t="n"/>
      <c r="I2444" s="5" t="n"/>
      <c r="J2444" s="6" t="n"/>
      <c r="K2444" s="6" t="n"/>
      <c r="L2444" s="7">
        <f>IF(OR(D2444="",N(J2444)=0),"",MIN(1,N(K2444)/J2444))</f>
        <v/>
      </c>
      <c r="M2444" s="5" t="n"/>
      <c r="N2444" s="5" t="n"/>
      <c r="O2444" s="5" t="n"/>
      <c r="P2444" s="5" t="n"/>
      <c r="Q2444" s="5" t="n"/>
      <c r="R2444" s="4" t="n"/>
      <c r="S2444" s="4" t="n"/>
      <c r="T2444" s="5" t="n"/>
      <c r="U2444" s="8">
        <f>IF(AND(V2444=1,D2444&lt;&gt;""),IF(D2444&gt;=corte,TODAY()-D2444,""),"")</f>
        <v/>
      </c>
      <c r="V2444" s="8">
        <f>IF(D2444="",0,IF(OR(AND(P2444&lt;&gt;"",S2444=""),AND(N(J2444)&gt;0,N(K2444)&lt;J2444),OR(M2444="PENDENTE",M2444="PARCIAL"),OR(N2444="PENDENTE",N2444="PARCIAL")),1,0))</f>
        <v/>
      </c>
      <c r="W2444" s="8">
        <f>IF(AND(V2444=1,D2444&lt;&gt;""),IF(D2444&gt;=corte,(B2444="CRÍTICO")*1E9+(100000-D2444)*10000+10000-ROW(),""),"")</f>
        <v/>
      </c>
      <c r="X2444" s="8">
        <f>IF(AND(V2444=1,D2444=pas_data,E2444=pas_turno),10000-ROW(),"")</f>
        <v/>
      </c>
    </row>
    <row r="2445">
      <c r="A2445" s="3">
        <f>IF(D2445="","","TT-"&amp;TEXT(ROW()-1,"00000"))</f>
        <v/>
      </c>
      <c r="B2445" s="3">
        <f>IF(D2445="","",IF(V2445=0,"CONCLUÍDO",IF(D2445&lt;corte,"HISTÓRICO",IF(OR(AND(ISNUMBER(R2445),R2445&lt;TODAY()),AND(OR(N2445="PENDENTE",N2445="PARCIAL"),D2445&lt;TODAY()-1)),"CRÍTICO",IF(OR(AND(P2445&lt;&gt;"",S2445=""),AND(N2445="REALIZADO",M2445="PENDENTE"),AND(ISNUMBER(R2445),R2445=TODAY())),"ATENÇÃO",IF(N(K2445)=0,"PENDENTE","EM ANDAMENTO"))))))</f>
        <v/>
      </c>
      <c r="C2445" s="3">
        <f>IF(D2445="","",IF(V2445=0,"🟢 OK",IF(D2445&lt;corte,"⚪ HISTÓRICO (sem baixa)",IF(AND(ISNUMBER(R2445),R2445&lt;TODAY()),"🔴 PRAZO VENCIDO",IF(AND(OR(N2445="PENDENTE",N2445="PARCIAL"),D2445&lt;TODAY()-1),"🔴 EMBARQUE ATRASADO",IF(AND(N2445="REALIZADO",M2445="PENDENTE"),"🟡 EMBARCADO SEM FATURAR",IF(AND(P2445&lt;&gt;"",S2445="",OR(Q2445="",R2445="")),"🟡 PENDÊNCIA SEM RESPONSÁVEL/PRAZO",IF(AND(ISNUMBER(R2445),R2445=TODAY()),"🟡 VENCE HOJE",IF(AND(P2445&lt;&gt;"",S2445=""),"🟡 PENDÊNCIA ABERTA",IF(AND(N(J2445)&gt;0,N(K2445)&lt;J2445),"🟡 FALTA EXECUTAR",IF(OR(M2445="PENDENTE",M2445="PARCIAL"),"🟡 FATURAMENTO PENDENTE","🟡 EMBARQUE PENDENTE")))))))))))</f>
        <v/>
      </c>
      <c r="D2445" s="4" t="n"/>
      <c r="E2445" s="5" t="n"/>
      <c r="F2445" s="5" t="n"/>
      <c r="G2445" s="5" t="n"/>
      <c r="H2445" s="5" t="n"/>
      <c r="I2445" s="5" t="n"/>
      <c r="J2445" s="6" t="n"/>
      <c r="K2445" s="6" t="n"/>
      <c r="L2445" s="7">
        <f>IF(OR(D2445="",N(J2445)=0),"",MIN(1,N(K2445)/J2445))</f>
        <v/>
      </c>
      <c r="M2445" s="5" t="n"/>
      <c r="N2445" s="5" t="n"/>
      <c r="O2445" s="5" t="n"/>
      <c r="P2445" s="5" t="n"/>
      <c r="Q2445" s="5" t="n"/>
      <c r="R2445" s="4" t="n"/>
      <c r="S2445" s="4" t="n"/>
      <c r="T2445" s="5" t="n"/>
      <c r="U2445" s="8">
        <f>IF(AND(V2445=1,D2445&lt;&gt;""),IF(D2445&gt;=corte,TODAY()-D2445,""),"")</f>
        <v/>
      </c>
      <c r="V2445" s="8">
        <f>IF(D2445="",0,IF(OR(AND(P2445&lt;&gt;"",S2445=""),AND(N(J2445)&gt;0,N(K2445)&lt;J2445),OR(M2445="PENDENTE",M2445="PARCIAL"),OR(N2445="PENDENTE",N2445="PARCIAL")),1,0))</f>
        <v/>
      </c>
      <c r="W2445" s="8">
        <f>IF(AND(V2445=1,D2445&lt;&gt;""),IF(D2445&gt;=corte,(B2445="CRÍTICO")*1E9+(100000-D2445)*10000+10000-ROW(),""),"")</f>
        <v/>
      </c>
      <c r="X2445" s="8">
        <f>IF(AND(V2445=1,D2445=pas_data,E2445=pas_turno),10000-ROW(),"")</f>
        <v/>
      </c>
    </row>
    <row r="2446">
      <c r="A2446" s="3">
        <f>IF(D2446="","","TT-"&amp;TEXT(ROW()-1,"00000"))</f>
        <v/>
      </c>
      <c r="B2446" s="3">
        <f>IF(D2446="","",IF(V2446=0,"CONCLUÍDO",IF(D2446&lt;corte,"HISTÓRICO",IF(OR(AND(ISNUMBER(R2446),R2446&lt;TODAY()),AND(OR(N2446="PENDENTE",N2446="PARCIAL"),D2446&lt;TODAY()-1)),"CRÍTICO",IF(OR(AND(P2446&lt;&gt;"",S2446=""),AND(N2446="REALIZADO",M2446="PENDENTE"),AND(ISNUMBER(R2446),R2446=TODAY())),"ATENÇÃO",IF(N(K2446)=0,"PENDENTE","EM ANDAMENTO"))))))</f>
        <v/>
      </c>
      <c r="C2446" s="3">
        <f>IF(D2446="","",IF(V2446=0,"🟢 OK",IF(D2446&lt;corte,"⚪ HISTÓRICO (sem baixa)",IF(AND(ISNUMBER(R2446),R2446&lt;TODAY()),"🔴 PRAZO VENCIDO",IF(AND(OR(N2446="PENDENTE",N2446="PARCIAL"),D2446&lt;TODAY()-1),"🔴 EMBARQUE ATRASADO",IF(AND(N2446="REALIZADO",M2446="PENDENTE"),"🟡 EMBARCADO SEM FATURAR",IF(AND(P2446&lt;&gt;"",S2446="",OR(Q2446="",R2446="")),"🟡 PENDÊNCIA SEM RESPONSÁVEL/PRAZO",IF(AND(ISNUMBER(R2446),R2446=TODAY()),"🟡 VENCE HOJE",IF(AND(P2446&lt;&gt;"",S2446=""),"🟡 PENDÊNCIA ABERTA",IF(AND(N(J2446)&gt;0,N(K2446)&lt;J2446),"🟡 FALTA EXECUTAR",IF(OR(M2446="PENDENTE",M2446="PARCIAL"),"🟡 FATURAMENTO PENDENTE","🟡 EMBARQUE PENDENTE")))))))))))</f>
        <v/>
      </c>
      <c r="D2446" s="4" t="n"/>
      <c r="E2446" s="5" t="n"/>
      <c r="F2446" s="5" t="n"/>
      <c r="G2446" s="5" t="n"/>
      <c r="H2446" s="5" t="n"/>
      <c r="I2446" s="5" t="n"/>
      <c r="J2446" s="6" t="n"/>
      <c r="K2446" s="6" t="n"/>
      <c r="L2446" s="7">
        <f>IF(OR(D2446="",N(J2446)=0),"",MIN(1,N(K2446)/J2446))</f>
        <v/>
      </c>
      <c r="M2446" s="5" t="n"/>
      <c r="N2446" s="5" t="n"/>
      <c r="O2446" s="5" t="n"/>
      <c r="P2446" s="5" t="n"/>
      <c r="Q2446" s="5" t="n"/>
      <c r="R2446" s="4" t="n"/>
      <c r="S2446" s="4" t="n"/>
      <c r="T2446" s="5" t="n"/>
      <c r="U2446" s="8">
        <f>IF(AND(V2446=1,D2446&lt;&gt;""),IF(D2446&gt;=corte,TODAY()-D2446,""),"")</f>
        <v/>
      </c>
      <c r="V2446" s="8">
        <f>IF(D2446="",0,IF(OR(AND(P2446&lt;&gt;"",S2446=""),AND(N(J2446)&gt;0,N(K2446)&lt;J2446),OR(M2446="PENDENTE",M2446="PARCIAL"),OR(N2446="PENDENTE",N2446="PARCIAL")),1,0))</f>
        <v/>
      </c>
      <c r="W2446" s="8">
        <f>IF(AND(V2446=1,D2446&lt;&gt;""),IF(D2446&gt;=corte,(B2446="CRÍTICO")*1E9+(100000-D2446)*10000+10000-ROW(),""),"")</f>
        <v/>
      </c>
      <c r="X2446" s="8">
        <f>IF(AND(V2446=1,D2446=pas_data,E2446=pas_turno),10000-ROW(),"")</f>
        <v/>
      </c>
    </row>
    <row r="2447">
      <c r="A2447" s="3">
        <f>IF(D2447="","","TT-"&amp;TEXT(ROW()-1,"00000"))</f>
        <v/>
      </c>
      <c r="B2447" s="3">
        <f>IF(D2447="","",IF(V2447=0,"CONCLUÍDO",IF(D2447&lt;corte,"HISTÓRICO",IF(OR(AND(ISNUMBER(R2447),R2447&lt;TODAY()),AND(OR(N2447="PENDENTE",N2447="PARCIAL"),D2447&lt;TODAY()-1)),"CRÍTICO",IF(OR(AND(P2447&lt;&gt;"",S2447=""),AND(N2447="REALIZADO",M2447="PENDENTE"),AND(ISNUMBER(R2447),R2447=TODAY())),"ATENÇÃO",IF(N(K2447)=0,"PENDENTE","EM ANDAMENTO"))))))</f>
        <v/>
      </c>
      <c r="C2447" s="3">
        <f>IF(D2447="","",IF(V2447=0,"🟢 OK",IF(D2447&lt;corte,"⚪ HISTÓRICO (sem baixa)",IF(AND(ISNUMBER(R2447),R2447&lt;TODAY()),"🔴 PRAZO VENCIDO",IF(AND(OR(N2447="PENDENTE",N2447="PARCIAL"),D2447&lt;TODAY()-1),"🔴 EMBARQUE ATRASADO",IF(AND(N2447="REALIZADO",M2447="PENDENTE"),"🟡 EMBARCADO SEM FATURAR",IF(AND(P2447&lt;&gt;"",S2447="",OR(Q2447="",R2447="")),"🟡 PENDÊNCIA SEM RESPONSÁVEL/PRAZO",IF(AND(ISNUMBER(R2447),R2447=TODAY()),"🟡 VENCE HOJE",IF(AND(P2447&lt;&gt;"",S2447=""),"🟡 PENDÊNCIA ABERTA",IF(AND(N(J2447)&gt;0,N(K2447)&lt;J2447),"🟡 FALTA EXECUTAR",IF(OR(M2447="PENDENTE",M2447="PARCIAL"),"🟡 FATURAMENTO PENDENTE","🟡 EMBARQUE PENDENTE")))))))))))</f>
        <v/>
      </c>
      <c r="D2447" s="4" t="n"/>
      <c r="E2447" s="5" t="n"/>
      <c r="F2447" s="5" t="n"/>
      <c r="G2447" s="5" t="n"/>
      <c r="H2447" s="5" t="n"/>
      <c r="I2447" s="5" t="n"/>
      <c r="J2447" s="6" t="n"/>
      <c r="K2447" s="6" t="n"/>
      <c r="L2447" s="7">
        <f>IF(OR(D2447="",N(J2447)=0),"",MIN(1,N(K2447)/J2447))</f>
        <v/>
      </c>
      <c r="M2447" s="5" t="n"/>
      <c r="N2447" s="5" t="n"/>
      <c r="O2447" s="5" t="n"/>
      <c r="P2447" s="5" t="n"/>
      <c r="Q2447" s="5" t="n"/>
      <c r="R2447" s="4" t="n"/>
      <c r="S2447" s="4" t="n"/>
      <c r="T2447" s="5" t="n"/>
      <c r="U2447" s="8">
        <f>IF(AND(V2447=1,D2447&lt;&gt;""),IF(D2447&gt;=corte,TODAY()-D2447,""),"")</f>
        <v/>
      </c>
      <c r="V2447" s="8">
        <f>IF(D2447="",0,IF(OR(AND(P2447&lt;&gt;"",S2447=""),AND(N(J2447)&gt;0,N(K2447)&lt;J2447),OR(M2447="PENDENTE",M2447="PARCIAL"),OR(N2447="PENDENTE",N2447="PARCIAL")),1,0))</f>
        <v/>
      </c>
      <c r="W2447" s="8">
        <f>IF(AND(V2447=1,D2447&lt;&gt;""),IF(D2447&gt;=corte,(B2447="CRÍTICO")*1E9+(100000-D2447)*10000+10000-ROW(),""),"")</f>
        <v/>
      </c>
      <c r="X2447" s="8">
        <f>IF(AND(V2447=1,D2447=pas_data,E2447=pas_turno),10000-ROW(),"")</f>
        <v/>
      </c>
    </row>
    <row r="2448">
      <c r="A2448" s="3">
        <f>IF(D2448="","","TT-"&amp;TEXT(ROW()-1,"00000"))</f>
        <v/>
      </c>
      <c r="B2448" s="3">
        <f>IF(D2448="","",IF(V2448=0,"CONCLUÍDO",IF(D2448&lt;corte,"HISTÓRICO",IF(OR(AND(ISNUMBER(R2448),R2448&lt;TODAY()),AND(OR(N2448="PENDENTE",N2448="PARCIAL"),D2448&lt;TODAY()-1)),"CRÍTICO",IF(OR(AND(P2448&lt;&gt;"",S2448=""),AND(N2448="REALIZADO",M2448="PENDENTE"),AND(ISNUMBER(R2448),R2448=TODAY())),"ATENÇÃO",IF(N(K2448)=0,"PENDENTE","EM ANDAMENTO"))))))</f>
        <v/>
      </c>
      <c r="C2448" s="3">
        <f>IF(D2448="","",IF(V2448=0,"🟢 OK",IF(D2448&lt;corte,"⚪ HISTÓRICO (sem baixa)",IF(AND(ISNUMBER(R2448),R2448&lt;TODAY()),"🔴 PRAZO VENCIDO",IF(AND(OR(N2448="PENDENTE",N2448="PARCIAL"),D2448&lt;TODAY()-1),"🔴 EMBARQUE ATRASADO",IF(AND(N2448="REALIZADO",M2448="PENDENTE"),"🟡 EMBARCADO SEM FATURAR",IF(AND(P2448&lt;&gt;"",S2448="",OR(Q2448="",R2448="")),"🟡 PENDÊNCIA SEM RESPONSÁVEL/PRAZO",IF(AND(ISNUMBER(R2448),R2448=TODAY()),"🟡 VENCE HOJE",IF(AND(P2448&lt;&gt;"",S2448=""),"🟡 PENDÊNCIA ABERTA",IF(AND(N(J2448)&gt;0,N(K2448)&lt;J2448),"🟡 FALTA EXECUTAR",IF(OR(M2448="PENDENTE",M2448="PARCIAL"),"🟡 FATURAMENTO PENDENTE","🟡 EMBARQUE PENDENTE")))))))))))</f>
        <v/>
      </c>
      <c r="D2448" s="4" t="n"/>
      <c r="E2448" s="5" t="n"/>
      <c r="F2448" s="5" t="n"/>
      <c r="G2448" s="5" t="n"/>
      <c r="H2448" s="5" t="n"/>
      <c r="I2448" s="5" t="n"/>
      <c r="J2448" s="6" t="n"/>
      <c r="K2448" s="6" t="n"/>
      <c r="L2448" s="7">
        <f>IF(OR(D2448="",N(J2448)=0),"",MIN(1,N(K2448)/J2448))</f>
        <v/>
      </c>
      <c r="M2448" s="5" t="n"/>
      <c r="N2448" s="5" t="n"/>
      <c r="O2448" s="5" t="n"/>
      <c r="P2448" s="5" t="n"/>
      <c r="Q2448" s="5" t="n"/>
      <c r="R2448" s="4" t="n"/>
      <c r="S2448" s="4" t="n"/>
      <c r="T2448" s="5" t="n"/>
      <c r="U2448" s="8">
        <f>IF(AND(V2448=1,D2448&lt;&gt;""),IF(D2448&gt;=corte,TODAY()-D2448,""),"")</f>
        <v/>
      </c>
      <c r="V2448" s="8">
        <f>IF(D2448="",0,IF(OR(AND(P2448&lt;&gt;"",S2448=""),AND(N(J2448)&gt;0,N(K2448)&lt;J2448),OR(M2448="PENDENTE",M2448="PARCIAL"),OR(N2448="PENDENTE",N2448="PARCIAL")),1,0))</f>
        <v/>
      </c>
      <c r="W2448" s="8">
        <f>IF(AND(V2448=1,D2448&lt;&gt;""),IF(D2448&gt;=corte,(B2448="CRÍTICO")*1E9+(100000-D2448)*10000+10000-ROW(),""),"")</f>
        <v/>
      </c>
      <c r="X2448" s="8">
        <f>IF(AND(V2448=1,D2448=pas_data,E2448=pas_turno),10000-ROW(),"")</f>
        <v/>
      </c>
    </row>
    <row r="2449">
      <c r="A2449" s="3">
        <f>IF(D2449="","","TT-"&amp;TEXT(ROW()-1,"00000"))</f>
        <v/>
      </c>
      <c r="B2449" s="3">
        <f>IF(D2449="","",IF(V2449=0,"CONCLUÍDO",IF(D2449&lt;corte,"HISTÓRICO",IF(OR(AND(ISNUMBER(R2449),R2449&lt;TODAY()),AND(OR(N2449="PENDENTE",N2449="PARCIAL"),D2449&lt;TODAY()-1)),"CRÍTICO",IF(OR(AND(P2449&lt;&gt;"",S2449=""),AND(N2449="REALIZADO",M2449="PENDENTE"),AND(ISNUMBER(R2449),R2449=TODAY())),"ATENÇÃO",IF(N(K2449)=0,"PENDENTE","EM ANDAMENTO"))))))</f>
        <v/>
      </c>
      <c r="C2449" s="3">
        <f>IF(D2449="","",IF(V2449=0,"🟢 OK",IF(D2449&lt;corte,"⚪ HISTÓRICO (sem baixa)",IF(AND(ISNUMBER(R2449),R2449&lt;TODAY()),"🔴 PRAZO VENCIDO",IF(AND(OR(N2449="PENDENTE",N2449="PARCIAL"),D2449&lt;TODAY()-1),"🔴 EMBARQUE ATRASADO",IF(AND(N2449="REALIZADO",M2449="PENDENTE"),"🟡 EMBARCADO SEM FATURAR",IF(AND(P2449&lt;&gt;"",S2449="",OR(Q2449="",R2449="")),"🟡 PENDÊNCIA SEM RESPONSÁVEL/PRAZO",IF(AND(ISNUMBER(R2449),R2449=TODAY()),"🟡 VENCE HOJE",IF(AND(P2449&lt;&gt;"",S2449=""),"🟡 PENDÊNCIA ABERTA",IF(AND(N(J2449)&gt;0,N(K2449)&lt;J2449),"🟡 FALTA EXECUTAR",IF(OR(M2449="PENDENTE",M2449="PARCIAL"),"🟡 FATURAMENTO PENDENTE","🟡 EMBARQUE PENDENTE")))))))))))</f>
        <v/>
      </c>
      <c r="D2449" s="4" t="n"/>
      <c r="E2449" s="5" t="n"/>
      <c r="F2449" s="5" t="n"/>
      <c r="G2449" s="5" t="n"/>
      <c r="H2449" s="5" t="n"/>
      <c r="I2449" s="5" t="n"/>
      <c r="J2449" s="6" t="n"/>
      <c r="K2449" s="6" t="n"/>
      <c r="L2449" s="7">
        <f>IF(OR(D2449="",N(J2449)=0),"",MIN(1,N(K2449)/J2449))</f>
        <v/>
      </c>
      <c r="M2449" s="5" t="n"/>
      <c r="N2449" s="5" t="n"/>
      <c r="O2449" s="5" t="n"/>
      <c r="P2449" s="5" t="n"/>
      <c r="Q2449" s="5" t="n"/>
      <c r="R2449" s="4" t="n"/>
      <c r="S2449" s="4" t="n"/>
      <c r="T2449" s="5" t="n"/>
      <c r="U2449" s="8">
        <f>IF(AND(V2449=1,D2449&lt;&gt;""),IF(D2449&gt;=corte,TODAY()-D2449,""),"")</f>
        <v/>
      </c>
      <c r="V2449" s="8">
        <f>IF(D2449="",0,IF(OR(AND(P2449&lt;&gt;"",S2449=""),AND(N(J2449)&gt;0,N(K2449)&lt;J2449),OR(M2449="PENDENTE",M2449="PARCIAL"),OR(N2449="PENDENTE",N2449="PARCIAL")),1,0))</f>
        <v/>
      </c>
      <c r="W2449" s="8">
        <f>IF(AND(V2449=1,D2449&lt;&gt;""),IF(D2449&gt;=corte,(B2449="CRÍTICO")*1E9+(100000-D2449)*10000+10000-ROW(),""),"")</f>
        <v/>
      </c>
      <c r="X2449" s="8">
        <f>IF(AND(V2449=1,D2449=pas_data,E2449=pas_turno),10000-ROW(),"")</f>
        <v/>
      </c>
    </row>
    <row r="2450">
      <c r="A2450" s="3">
        <f>IF(D2450="","","TT-"&amp;TEXT(ROW()-1,"00000"))</f>
        <v/>
      </c>
      <c r="B2450" s="3">
        <f>IF(D2450="","",IF(V2450=0,"CONCLUÍDO",IF(D2450&lt;corte,"HISTÓRICO",IF(OR(AND(ISNUMBER(R2450),R2450&lt;TODAY()),AND(OR(N2450="PENDENTE",N2450="PARCIAL"),D2450&lt;TODAY()-1)),"CRÍTICO",IF(OR(AND(P2450&lt;&gt;"",S2450=""),AND(N2450="REALIZADO",M2450="PENDENTE"),AND(ISNUMBER(R2450),R2450=TODAY())),"ATENÇÃO",IF(N(K2450)=0,"PENDENTE","EM ANDAMENTO"))))))</f>
        <v/>
      </c>
      <c r="C2450" s="3">
        <f>IF(D2450="","",IF(V2450=0,"🟢 OK",IF(D2450&lt;corte,"⚪ HISTÓRICO (sem baixa)",IF(AND(ISNUMBER(R2450),R2450&lt;TODAY()),"🔴 PRAZO VENCIDO",IF(AND(OR(N2450="PENDENTE",N2450="PARCIAL"),D2450&lt;TODAY()-1),"🔴 EMBARQUE ATRASADO",IF(AND(N2450="REALIZADO",M2450="PENDENTE"),"🟡 EMBARCADO SEM FATURAR",IF(AND(P2450&lt;&gt;"",S2450="",OR(Q2450="",R2450="")),"🟡 PENDÊNCIA SEM RESPONSÁVEL/PRAZO",IF(AND(ISNUMBER(R2450),R2450=TODAY()),"🟡 VENCE HOJE",IF(AND(P2450&lt;&gt;"",S2450=""),"🟡 PENDÊNCIA ABERTA",IF(AND(N(J2450)&gt;0,N(K2450)&lt;J2450),"🟡 FALTA EXECUTAR",IF(OR(M2450="PENDENTE",M2450="PARCIAL"),"🟡 FATURAMENTO PENDENTE","🟡 EMBARQUE PENDENTE")))))))))))</f>
        <v/>
      </c>
      <c r="D2450" s="4" t="n"/>
      <c r="E2450" s="5" t="n"/>
      <c r="F2450" s="5" t="n"/>
      <c r="G2450" s="5" t="n"/>
      <c r="H2450" s="5" t="n"/>
      <c r="I2450" s="5" t="n"/>
      <c r="J2450" s="6" t="n"/>
      <c r="K2450" s="6" t="n"/>
      <c r="L2450" s="7">
        <f>IF(OR(D2450="",N(J2450)=0),"",MIN(1,N(K2450)/J2450))</f>
        <v/>
      </c>
      <c r="M2450" s="5" t="n"/>
      <c r="N2450" s="5" t="n"/>
      <c r="O2450" s="5" t="n"/>
      <c r="P2450" s="5" t="n"/>
      <c r="Q2450" s="5" t="n"/>
      <c r="R2450" s="4" t="n"/>
      <c r="S2450" s="4" t="n"/>
      <c r="T2450" s="5" t="n"/>
      <c r="U2450" s="8">
        <f>IF(AND(V2450=1,D2450&lt;&gt;""),IF(D2450&gt;=corte,TODAY()-D2450,""),"")</f>
        <v/>
      </c>
      <c r="V2450" s="8">
        <f>IF(D2450="",0,IF(OR(AND(P2450&lt;&gt;"",S2450=""),AND(N(J2450)&gt;0,N(K2450)&lt;J2450),OR(M2450="PENDENTE",M2450="PARCIAL"),OR(N2450="PENDENTE",N2450="PARCIAL")),1,0))</f>
        <v/>
      </c>
      <c r="W2450" s="8">
        <f>IF(AND(V2450=1,D2450&lt;&gt;""),IF(D2450&gt;=corte,(B2450="CRÍTICO")*1E9+(100000-D2450)*10000+10000-ROW(),""),"")</f>
        <v/>
      </c>
      <c r="X2450" s="8">
        <f>IF(AND(V2450=1,D2450=pas_data,E2450=pas_turno),10000-ROW(),"")</f>
        <v/>
      </c>
    </row>
    <row r="2451">
      <c r="A2451" s="3">
        <f>IF(D2451="","","TT-"&amp;TEXT(ROW()-1,"00000"))</f>
        <v/>
      </c>
      <c r="B2451" s="3">
        <f>IF(D2451="","",IF(V2451=0,"CONCLUÍDO",IF(D2451&lt;corte,"HISTÓRICO",IF(OR(AND(ISNUMBER(R2451),R2451&lt;TODAY()),AND(OR(N2451="PENDENTE",N2451="PARCIAL"),D2451&lt;TODAY()-1)),"CRÍTICO",IF(OR(AND(P2451&lt;&gt;"",S2451=""),AND(N2451="REALIZADO",M2451="PENDENTE"),AND(ISNUMBER(R2451),R2451=TODAY())),"ATENÇÃO",IF(N(K2451)=0,"PENDENTE","EM ANDAMENTO"))))))</f>
        <v/>
      </c>
      <c r="C2451" s="3">
        <f>IF(D2451="","",IF(V2451=0,"🟢 OK",IF(D2451&lt;corte,"⚪ HISTÓRICO (sem baixa)",IF(AND(ISNUMBER(R2451),R2451&lt;TODAY()),"🔴 PRAZO VENCIDO",IF(AND(OR(N2451="PENDENTE",N2451="PARCIAL"),D2451&lt;TODAY()-1),"🔴 EMBARQUE ATRASADO",IF(AND(N2451="REALIZADO",M2451="PENDENTE"),"🟡 EMBARCADO SEM FATURAR",IF(AND(P2451&lt;&gt;"",S2451="",OR(Q2451="",R2451="")),"🟡 PENDÊNCIA SEM RESPONSÁVEL/PRAZO",IF(AND(ISNUMBER(R2451),R2451=TODAY()),"🟡 VENCE HOJE",IF(AND(P2451&lt;&gt;"",S2451=""),"🟡 PENDÊNCIA ABERTA",IF(AND(N(J2451)&gt;0,N(K2451)&lt;J2451),"🟡 FALTA EXECUTAR",IF(OR(M2451="PENDENTE",M2451="PARCIAL"),"🟡 FATURAMENTO PENDENTE","🟡 EMBARQUE PENDENTE")))))))))))</f>
        <v/>
      </c>
      <c r="D2451" s="4" t="n"/>
      <c r="E2451" s="5" t="n"/>
      <c r="F2451" s="5" t="n"/>
      <c r="G2451" s="5" t="n"/>
      <c r="H2451" s="5" t="n"/>
      <c r="I2451" s="5" t="n"/>
      <c r="J2451" s="6" t="n"/>
      <c r="K2451" s="6" t="n"/>
      <c r="L2451" s="7">
        <f>IF(OR(D2451="",N(J2451)=0),"",MIN(1,N(K2451)/J2451))</f>
        <v/>
      </c>
      <c r="M2451" s="5" t="n"/>
      <c r="N2451" s="5" t="n"/>
      <c r="O2451" s="5" t="n"/>
      <c r="P2451" s="5" t="n"/>
      <c r="Q2451" s="5" t="n"/>
      <c r="R2451" s="4" t="n"/>
      <c r="S2451" s="4" t="n"/>
      <c r="T2451" s="5" t="n"/>
      <c r="U2451" s="8">
        <f>IF(AND(V2451=1,D2451&lt;&gt;""),IF(D2451&gt;=corte,TODAY()-D2451,""),"")</f>
        <v/>
      </c>
      <c r="V2451" s="8">
        <f>IF(D2451="",0,IF(OR(AND(P2451&lt;&gt;"",S2451=""),AND(N(J2451)&gt;0,N(K2451)&lt;J2451),OR(M2451="PENDENTE",M2451="PARCIAL"),OR(N2451="PENDENTE",N2451="PARCIAL")),1,0))</f>
        <v/>
      </c>
      <c r="W2451" s="8">
        <f>IF(AND(V2451=1,D2451&lt;&gt;""),IF(D2451&gt;=corte,(B2451="CRÍTICO")*1E9+(100000-D2451)*10000+10000-ROW(),""),"")</f>
        <v/>
      </c>
      <c r="X2451" s="8">
        <f>IF(AND(V2451=1,D2451=pas_data,E2451=pas_turno),10000-ROW(),"")</f>
        <v/>
      </c>
    </row>
    <row r="2452">
      <c r="A2452" s="3">
        <f>IF(D2452="","","TT-"&amp;TEXT(ROW()-1,"00000"))</f>
        <v/>
      </c>
      <c r="B2452" s="3">
        <f>IF(D2452="","",IF(V2452=0,"CONCLUÍDO",IF(D2452&lt;corte,"HISTÓRICO",IF(OR(AND(ISNUMBER(R2452),R2452&lt;TODAY()),AND(OR(N2452="PENDENTE",N2452="PARCIAL"),D2452&lt;TODAY()-1)),"CRÍTICO",IF(OR(AND(P2452&lt;&gt;"",S2452=""),AND(N2452="REALIZADO",M2452="PENDENTE"),AND(ISNUMBER(R2452),R2452=TODAY())),"ATENÇÃO",IF(N(K2452)=0,"PENDENTE","EM ANDAMENTO"))))))</f>
        <v/>
      </c>
      <c r="C2452" s="3">
        <f>IF(D2452="","",IF(V2452=0,"🟢 OK",IF(D2452&lt;corte,"⚪ HISTÓRICO (sem baixa)",IF(AND(ISNUMBER(R2452),R2452&lt;TODAY()),"🔴 PRAZO VENCIDO",IF(AND(OR(N2452="PENDENTE",N2452="PARCIAL"),D2452&lt;TODAY()-1),"🔴 EMBARQUE ATRASADO",IF(AND(N2452="REALIZADO",M2452="PENDENTE"),"🟡 EMBARCADO SEM FATURAR",IF(AND(P2452&lt;&gt;"",S2452="",OR(Q2452="",R2452="")),"🟡 PENDÊNCIA SEM RESPONSÁVEL/PRAZO",IF(AND(ISNUMBER(R2452),R2452=TODAY()),"🟡 VENCE HOJE",IF(AND(P2452&lt;&gt;"",S2452=""),"🟡 PENDÊNCIA ABERTA",IF(AND(N(J2452)&gt;0,N(K2452)&lt;J2452),"🟡 FALTA EXECUTAR",IF(OR(M2452="PENDENTE",M2452="PARCIAL"),"🟡 FATURAMENTO PENDENTE","🟡 EMBARQUE PENDENTE")))))))))))</f>
        <v/>
      </c>
      <c r="D2452" s="4" t="n"/>
      <c r="E2452" s="5" t="n"/>
      <c r="F2452" s="5" t="n"/>
      <c r="G2452" s="5" t="n"/>
      <c r="H2452" s="5" t="n"/>
      <c r="I2452" s="5" t="n"/>
      <c r="J2452" s="6" t="n"/>
      <c r="K2452" s="6" t="n"/>
      <c r="L2452" s="7">
        <f>IF(OR(D2452="",N(J2452)=0),"",MIN(1,N(K2452)/J2452))</f>
        <v/>
      </c>
      <c r="M2452" s="5" t="n"/>
      <c r="N2452" s="5" t="n"/>
      <c r="O2452" s="5" t="n"/>
      <c r="P2452" s="5" t="n"/>
      <c r="Q2452" s="5" t="n"/>
      <c r="R2452" s="4" t="n"/>
      <c r="S2452" s="4" t="n"/>
      <c r="T2452" s="5" t="n"/>
      <c r="U2452" s="8">
        <f>IF(AND(V2452=1,D2452&lt;&gt;""),IF(D2452&gt;=corte,TODAY()-D2452,""),"")</f>
        <v/>
      </c>
      <c r="V2452" s="8">
        <f>IF(D2452="",0,IF(OR(AND(P2452&lt;&gt;"",S2452=""),AND(N(J2452)&gt;0,N(K2452)&lt;J2452),OR(M2452="PENDENTE",M2452="PARCIAL"),OR(N2452="PENDENTE",N2452="PARCIAL")),1,0))</f>
        <v/>
      </c>
      <c r="W2452" s="8">
        <f>IF(AND(V2452=1,D2452&lt;&gt;""),IF(D2452&gt;=corte,(B2452="CRÍTICO")*1E9+(100000-D2452)*10000+10000-ROW(),""),"")</f>
        <v/>
      </c>
      <c r="X2452" s="8">
        <f>IF(AND(V2452=1,D2452=pas_data,E2452=pas_turno),10000-ROW(),"")</f>
        <v/>
      </c>
    </row>
    <row r="2453">
      <c r="A2453" s="3">
        <f>IF(D2453="","","TT-"&amp;TEXT(ROW()-1,"00000"))</f>
        <v/>
      </c>
      <c r="B2453" s="3">
        <f>IF(D2453="","",IF(V2453=0,"CONCLUÍDO",IF(D2453&lt;corte,"HISTÓRICO",IF(OR(AND(ISNUMBER(R2453),R2453&lt;TODAY()),AND(OR(N2453="PENDENTE",N2453="PARCIAL"),D2453&lt;TODAY()-1)),"CRÍTICO",IF(OR(AND(P2453&lt;&gt;"",S2453=""),AND(N2453="REALIZADO",M2453="PENDENTE"),AND(ISNUMBER(R2453),R2453=TODAY())),"ATENÇÃO",IF(N(K2453)=0,"PENDENTE","EM ANDAMENTO"))))))</f>
        <v/>
      </c>
      <c r="C2453" s="3">
        <f>IF(D2453="","",IF(V2453=0,"🟢 OK",IF(D2453&lt;corte,"⚪ HISTÓRICO (sem baixa)",IF(AND(ISNUMBER(R2453),R2453&lt;TODAY()),"🔴 PRAZO VENCIDO",IF(AND(OR(N2453="PENDENTE",N2453="PARCIAL"),D2453&lt;TODAY()-1),"🔴 EMBARQUE ATRASADO",IF(AND(N2453="REALIZADO",M2453="PENDENTE"),"🟡 EMBARCADO SEM FATURAR",IF(AND(P2453&lt;&gt;"",S2453="",OR(Q2453="",R2453="")),"🟡 PENDÊNCIA SEM RESPONSÁVEL/PRAZO",IF(AND(ISNUMBER(R2453),R2453=TODAY()),"🟡 VENCE HOJE",IF(AND(P2453&lt;&gt;"",S2453=""),"🟡 PENDÊNCIA ABERTA",IF(AND(N(J2453)&gt;0,N(K2453)&lt;J2453),"🟡 FALTA EXECUTAR",IF(OR(M2453="PENDENTE",M2453="PARCIAL"),"🟡 FATURAMENTO PENDENTE","🟡 EMBARQUE PENDENTE")))))))))))</f>
        <v/>
      </c>
      <c r="D2453" s="4" t="n"/>
      <c r="E2453" s="5" t="n"/>
      <c r="F2453" s="5" t="n"/>
      <c r="G2453" s="5" t="n"/>
      <c r="H2453" s="5" t="n"/>
      <c r="I2453" s="5" t="n"/>
      <c r="J2453" s="6" t="n"/>
      <c r="K2453" s="6" t="n"/>
      <c r="L2453" s="7">
        <f>IF(OR(D2453="",N(J2453)=0),"",MIN(1,N(K2453)/J2453))</f>
        <v/>
      </c>
      <c r="M2453" s="5" t="n"/>
      <c r="N2453" s="5" t="n"/>
      <c r="O2453" s="5" t="n"/>
      <c r="P2453" s="5" t="n"/>
      <c r="Q2453" s="5" t="n"/>
      <c r="R2453" s="4" t="n"/>
      <c r="S2453" s="4" t="n"/>
      <c r="T2453" s="5" t="n"/>
      <c r="U2453" s="8">
        <f>IF(AND(V2453=1,D2453&lt;&gt;""),IF(D2453&gt;=corte,TODAY()-D2453,""),"")</f>
        <v/>
      </c>
      <c r="V2453" s="8">
        <f>IF(D2453="",0,IF(OR(AND(P2453&lt;&gt;"",S2453=""),AND(N(J2453)&gt;0,N(K2453)&lt;J2453),OR(M2453="PENDENTE",M2453="PARCIAL"),OR(N2453="PENDENTE",N2453="PARCIAL")),1,0))</f>
        <v/>
      </c>
      <c r="W2453" s="8">
        <f>IF(AND(V2453=1,D2453&lt;&gt;""),IF(D2453&gt;=corte,(B2453="CRÍTICO")*1E9+(100000-D2453)*10000+10000-ROW(),""),"")</f>
        <v/>
      </c>
      <c r="X2453" s="8">
        <f>IF(AND(V2453=1,D2453=pas_data,E2453=pas_turno),10000-ROW(),"")</f>
        <v/>
      </c>
    </row>
    <row r="2454">
      <c r="A2454" s="3">
        <f>IF(D2454="","","TT-"&amp;TEXT(ROW()-1,"00000"))</f>
        <v/>
      </c>
      <c r="B2454" s="3">
        <f>IF(D2454="","",IF(V2454=0,"CONCLUÍDO",IF(D2454&lt;corte,"HISTÓRICO",IF(OR(AND(ISNUMBER(R2454),R2454&lt;TODAY()),AND(OR(N2454="PENDENTE",N2454="PARCIAL"),D2454&lt;TODAY()-1)),"CRÍTICO",IF(OR(AND(P2454&lt;&gt;"",S2454=""),AND(N2454="REALIZADO",M2454="PENDENTE"),AND(ISNUMBER(R2454),R2454=TODAY())),"ATENÇÃO",IF(N(K2454)=0,"PENDENTE","EM ANDAMENTO"))))))</f>
        <v/>
      </c>
      <c r="C2454" s="3">
        <f>IF(D2454="","",IF(V2454=0,"🟢 OK",IF(D2454&lt;corte,"⚪ HISTÓRICO (sem baixa)",IF(AND(ISNUMBER(R2454),R2454&lt;TODAY()),"🔴 PRAZO VENCIDO",IF(AND(OR(N2454="PENDENTE",N2454="PARCIAL"),D2454&lt;TODAY()-1),"🔴 EMBARQUE ATRASADO",IF(AND(N2454="REALIZADO",M2454="PENDENTE"),"🟡 EMBARCADO SEM FATURAR",IF(AND(P2454&lt;&gt;"",S2454="",OR(Q2454="",R2454="")),"🟡 PENDÊNCIA SEM RESPONSÁVEL/PRAZO",IF(AND(ISNUMBER(R2454),R2454=TODAY()),"🟡 VENCE HOJE",IF(AND(P2454&lt;&gt;"",S2454=""),"🟡 PENDÊNCIA ABERTA",IF(AND(N(J2454)&gt;0,N(K2454)&lt;J2454),"🟡 FALTA EXECUTAR",IF(OR(M2454="PENDENTE",M2454="PARCIAL"),"🟡 FATURAMENTO PENDENTE","🟡 EMBARQUE PENDENTE")))))))))))</f>
        <v/>
      </c>
      <c r="D2454" s="4" t="n"/>
      <c r="E2454" s="5" t="n"/>
      <c r="F2454" s="5" t="n"/>
      <c r="G2454" s="5" t="n"/>
      <c r="H2454" s="5" t="n"/>
      <c r="I2454" s="5" t="n"/>
      <c r="J2454" s="6" t="n"/>
      <c r="K2454" s="6" t="n"/>
      <c r="L2454" s="7">
        <f>IF(OR(D2454="",N(J2454)=0),"",MIN(1,N(K2454)/J2454))</f>
        <v/>
      </c>
      <c r="M2454" s="5" t="n"/>
      <c r="N2454" s="5" t="n"/>
      <c r="O2454" s="5" t="n"/>
      <c r="P2454" s="5" t="n"/>
      <c r="Q2454" s="5" t="n"/>
      <c r="R2454" s="4" t="n"/>
      <c r="S2454" s="4" t="n"/>
      <c r="T2454" s="5" t="n"/>
      <c r="U2454" s="8">
        <f>IF(AND(V2454=1,D2454&lt;&gt;""),IF(D2454&gt;=corte,TODAY()-D2454,""),"")</f>
        <v/>
      </c>
      <c r="V2454" s="8">
        <f>IF(D2454="",0,IF(OR(AND(P2454&lt;&gt;"",S2454=""),AND(N(J2454)&gt;0,N(K2454)&lt;J2454),OR(M2454="PENDENTE",M2454="PARCIAL"),OR(N2454="PENDENTE",N2454="PARCIAL")),1,0))</f>
        <v/>
      </c>
      <c r="W2454" s="8">
        <f>IF(AND(V2454=1,D2454&lt;&gt;""),IF(D2454&gt;=corte,(B2454="CRÍTICO")*1E9+(100000-D2454)*10000+10000-ROW(),""),"")</f>
        <v/>
      </c>
      <c r="X2454" s="8">
        <f>IF(AND(V2454=1,D2454=pas_data,E2454=pas_turno),10000-ROW(),"")</f>
        <v/>
      </c>
    </row>
    <row r="2455">
      <c r="A2455" s="3">
        <f>IF(D2455="","","TT-"&amp;TEXT(ROW()-1,"00000"))</f>
        <v/>
      </c>
      <c r="B2455" s="3">
        <f>IF(D2455="","",IF(V2455=0,"CONCLUÍDO",IF(D2455&lt;corte,"HISTÓRICO",IF(OR(AND(ISNUMBER(R2455),R2455&lt;TODAY()),AND(OR(N2455="PENDENTE",N2455="PARCIAL"),D2455&lt;TODAY()-1)),"CRÍTICO",IF(OR(AND(P2455&lt;&gt;"",S2455=""),AND(N2455="REALIZADO",M2455="PENDENTE"),AND(ISNUMBER(R2455),R2455=TODAY())),"ATENÇÃO",IF(N(K2455)=0,"PENDENTE","EM ANDAMENTO"))))))</f>
        <v/>
      </c>
      <c r="C2455" s="3">
        <f>IF(D2455="","",IF(V2455=0,"🟢 OK",IF(D2455&lt;corte,"⚪ HISTÓRICO (sem baixa)",IF(AND(ISNUMBER(R2455),R2455&lt;TODAY()),"🔴 PRAZO VENCIDO",IF(AND(OR(N2455="PENDENTE",N2455="PARCIAL"),D2455&lt;TODAY()-1),"🔴 EMBARQUE ATRASADO",IF(AND(N2455="REALIZADO",M2455="PENDENTE"),"🟡 EMBARCADO SEM FATURAR",IF(AND(P2455&lt;&gt;"",S2455="",OR(Q2455="",R2455="")),"🟡 PENDÊNCIA SEM RESPONSÁVEL/PRAZO",IF(AND(ISNUMBER(R2455),R2455=TODAY()),"🟡 VENCE HOJE",IF(AND(P2455&lt;&gt;"",S2455=""),"🟡 PENDÊNCIA ABERTA",IF(AND(N(J2455)&gt;0,N(K2455)&lt;J2455),"🟡 FALTA EXECUTAR",IF(OR(M2455="PENDENTE",M2455="PARCIAL"),"🟡 FATURAMENTO PENDENTE","🟡 EMBARQUE PENDENTE")))))))))))</f>
        <v/>
      </c>
      <c r="D2455" s="4" t="n"/>
      <c r="E2455" s="5" t="n"/>
      <c r="F2455" s="5" t="n"/>
      <c r="G2455" s="5" t="n"/>
      <c r="H2455" s="5" t="n"/>
      <c r="I2455" s="5" t="n"/>
      <c r="J2455" s="6" t="n"/>
      <c r="K2455" s="6" t="n"/>
      <c r="L2455" s="7">
        <f>IF(OR(D2455="",N(J2455)=0),"",MIN(1,N(K2455)/J2455))</f>
        <v/>
      </c>
      <c r="M2455" s="5" t="n"/>
      <c r="N2455" s="5" t="n"/>
      <c r="O2455" s="5" t="n"/>
      <c r="P2455" s="5" t="n"/>
      <c r="Q2455" s="5" t="n"/>
      <c r="R2455" s="4" t="n"/>
      <c r="S2455" s="4" t="n"/>
      <c r="T2455" s="5" t="n"/>
      <c r="U2455" s="8">
        <f>IF(AND(V2455=1,D2455&lt;&gt;""),IF(D2455&gt;=corte,TODAY()-D2455,""),"")</f>
        <v/>
      </c>
      <c r="V2455" s="8">
        <f>IF(D2455="",0,IF(OR(AND(P2455&lt;&gt;"",S2455=""),AND(N(J2455)&gt;0,N(K2455)&lt;J2455),OR(M2455="PENDENTE",M2455="PARCIAL"),OR(N2455="PENDENTE",N2455="PARCIAL")),1,0))</f>
        <v/>
      </c>
      <c r="W2455" s="8">
        <f>IF(AND(V2455=1,D2455&lt;&gt;""),IF(D2455&gt;=corte,(B2455="CRÍTICO")*1E9+(100000-D2455)*10000+10000-ROW(),""),"")</f>
        <v/>
      </c>
      <c r="X2455" s="8">
        <f>IF(AND(V2455=1,D2455=pas_data,E2455=pas_turno),10000-ROW(),"")</f>
        <v/>
      </c>
    </row>
    <row r="2456">
      <c r="A2456" s="3">
        <f>IF(D2456="","","TT-"&amp;TEXT(ROW()-1,"00000"))</f>
        <v/>
      </c>
      <c r="B2456" s="3">
        <f>IF(D2456="","",IF(V2456=0,"CONCLUÍDO",IF(D2456&lt;corte,"HISTÓRICO",IF(OR(AND(ISNUMBER(R2456),R2456&lt;TODAY()),AND(OR(N2456="PENDENTE",N2456="PARCIAL"),D2456&lt;TODAY()-1)),"CRÍTICO",IF(OR(AND(P2456&lt;&gt;"",S2456=""),AND(N2456="REALIZADO",M2456="PENDENTE"),AND(ISNUMBER(R2456),R2456=TODAY())),"ATENÇÃO",IF(N(K2456)=0,"PENDENTE","EM ANDAMENTO"))))))</f>
        <v/>
      </c>
      <c r="C2456" s="3">
        <f>IF(D2456="","",IF(V2456=0,"🟢 OK",IF(D2456&lt;corte,"⚪ HISTÓRICO (sem baixa)",IF(AND(ISNUMBER(R2456),R2456&lt;TODAY()),"🔴 PRAZO VENCIDO",IF(AND(OR(N2456="PENDENTE",N2456="PARCIAL"),D2456&lt;TODAY()-1),"🔴 EMBARQUE ATRASADO",IF(AND(N2456="REALIZADO",M2456="PENDENTE"),"🟡 EMBARCADO SEM FATURAR",IF(AND(P2456&lt;&gt;"",S2456="",OR(Q2456="",R2456="")),"🟡 PENDÊNCIA SEM RESPONSÁVEL/PRAZO",IF(AND(ISNUMBER(R2456),R2456=TODAY()),"🟡 VENCE HOJE",IF(AND(P2456&lt;&gt;"",S2456=""),"🟡 PENDÊNCIA ABERTA",IF(AND(N(J2456)&gt;0,N(K2456)&lt;J2456),"🟡 FALTA EXECUTAR",IF(OR(M2456="PENDENTE",M2456="PARCIAL"),"🟡 FATURAMENTO PENDENTE","🟡 EMBARQUE PENDENTE")))))))))))</f>
        <v/>
      </c>
      <c r="D2456" s="4" t="n"/>
      <c r="E2456" s="5" t="n"/>
      <c r="F2456" s="5" t="n"/>
      <c r="G2456" s="5" t="n"/>
      <c r="H2456" s="5" t="n"/>
      <c r="I2456" s="5" t="n"/>
      <c r="J2456" s="6" t="n"/>
      <c r="K2456" s="6" t="n"/>
      <c r="L2456" s="7">
        <f>IF(OR(D2456="",N(J2456)=0),"",MIN(1,N(K2456)/J2456))</f>
        <v/>
      </c>
      <c r="M2456" s="5" t="n"/>
      <c r="N2456" s="5" t="n"/>
      <c r="O2456" s="5" t="n"/>
      <c r="P2456" s="5" t="n"/>
      <c r="Q2456" s="5" t="n"/>
      <c r="R2456" s="4" t="n"/>
      <c r="S2456" s="4" t="n"/>
      <c r="T2456" s="5" t="n"/>
      <c r="U2456" s="8">
        <f>IF(AND(V2456=1,D2456&lt;&gt;""),IF(D2456&gt;=corte,TODAY()-D2456,""),"")</f>
        <v/>
      </c>
      <c r="V2456" s="8">
        <f>IF(D2456="",0,IF(OR(AND(P2456&lt;&gt;"",S2456=""),AND(N(J2456)&gt;0,N(K2456)&lt;J2456),OR(M2456="PENDENTE",M2456="PARCIAL"),OR(N2456="PENDENTE",N2456="PARCIAL")),1,0))</f>
        <v/>
      </c>
      <c r="W2456" s="8">
        <f>IF(AND(V2456=1,D2456&lt;&gt;""),IF(D2456&gt;=corte,(B2456="CRÍTICO")*1E9+(100000-D2456)*10000+10000-ROW(),""),"")</f>
        <v/>
      </c>
      <c r="X2456" s="8">
        <f>IF(AND(V2456=1,D2456=pas_data,E2456=pas_turno),10000-ROW(),"")</f>
        <v/>
      </c>
    </row>
    <row r="2457">
      <c r="A2457" s="3">
        <f>IF(D2457="","","TT-"&amp;TEXT(ROW()-1,"00000"))</f>
        <v/>
      </c>
      <c r="B2457" s="3">
        <f>IF(D2457="","",IF(V2457=0,"CONCLUÍDO",IF(D2457&lt;corte,"HISTÓRICO",IF(OR(AND(ISNUMBER(R2457),R2457&lt;TODAY()),AND(OR(N2457="PENDENTE",N2457="PARCIAL"),D2457&lt;TODAY()-1)),"CRÍTICO",IF(OR(AND(P2457&lt;&gt;"",S2457=""),AND(N2457="REALIZADO",M2457="PENDENTE"),AND(ISNUMBER(R2457),R2457=TODAY())),"ATENÇÃO",IF(N(K2457)=0,"PENDENTE","EM ANDAMENTO"))))))</f>
        <v/>
      </c>
      <c r="C2457" s="3">
        <f>IF(D2457="","",IF(V2457=0,"🟢 OK",IF(D2457&lt;corte,"⚪ HISTÓRICO (sem baixa)",IF(AND(ISNUMBER(R2457),R2457&lt;TODAY()),"🔴 PRAZO VENCIDO",IF(AND(OR(N2457="PENDENTE",N2457="PARCIAL"),D2457&lt;TODAY()-1),"🔴 EMBARQUE ATRASADO",IF(AND(N2457="REALIZADO",M2457="PENDENTE"),"🟡 EMBARCADO SEM FATURAR",IF(AND(P2457&lt;&gt;"",S2457="",OR(Q2457="",R2457="")),"🟡 PENDÊNCIA SEM RESPONSÁVEL/PRAZO",IF(AND(ISNUMBER(R2457),R2457=TODAY()),"🟡 VENCE HOJE",IF(AND(P2457&lt;&gt;"",S2457=""),"🟡 PENDÊNCIA ABERTA",IF(AND(N(J2457)&gt;0,N(K2457)&lt;J2457),"🟡 FALTA EXECUTAR",IF(OR(M2457="PENDENTE",M2457="PARCIAL"),"🟡 FATURAMENTO PENDENTE","🟡 EMBARQUE PENDENTE")))))))))))</f>
        <v/>
      </c>
      <c r="D2457" s="4" t="n"/>
      <c r="E2457" s="5" t="n"/>
      <c r="F2457" s="5" t="n"/>
      <c r="G2457" s="5" t="n"/>
      <c r="H2457" s="5" t="n"/>
      <c r="I2457" s="5" t="n"/>
      <c r="J2457" s="6" t="n"/>
      <c r="K2457" s="6" t="n"/>
      <c r="L2457" s="7">
        <f>IF(OR(D2457="",N(J2457)=0),"",MIN(1,N(K2457)/J2457))</f>
        <v/>
      </c>
      <c r="M2457" s="5" t="n"/>
      <c r="N2457" s="5" t="n"/>
      <c r="O2457" s="5" t="n"/>
      <c r="P2457" s="5" t="n"/>
      <c r="Q2457" s="5" t="n"/>
      <c r="R2457" s="4" t="n"/>
      <c r="S2457" s="4" t="n"/>
      <c r="T2457" s="5" t="n"/>
      <c r="U2457" s="8">
        <f>IF(AND(V2457=1,D2457&lt;&gt;""),IF(D2457&gt;=corte,TODAY()-D2457,""),"")</f>
        <v/>
      </c>
      <c r="V2457" s="8">
        <f>IF(D2457="",0,IF(OR(AND(P2457&lt;&gt;"",S2457=""),AND(N(J2457)&gt;0,N(K2457)&lt;J2457),OR(M2457="PENDENTE",M2457="PARCIAL"),OR(N2457="PENDENTE",N2457="PARCIAL")),1,0))</f>
        <v/>
      </c>
      <c r="W2457" s="8">
        <f>IF(AND(V2457=1,D2457&lt;&gt;""),IF(D2457&gt;=corte,(B2457="CRÍTICO")*1E9+(100000-D2457)*10000+10000-ROW(),""),"")</f>
        <v/>
      </c>
      <c r="X2457" s="8">
        <f>IF(AND(V2457=1,D2457=pas_data,E2457=pas_turno),10000-ROW(),"")</f>
        <v/>
      </c>
    </row>
    <row r="2458">
      <c r="A2458" s="3">
        <f>IF(D2458="","","TT-"&amp;TEXT(ROW()-1,"00000"))</f>
        <v/>
      </c>
      <c r="B2458" s="3">
        <f>IF(D2458="","",IF(V2458=0,"CONCLUÍDO",IF(D2458&lt;corte,"HISTÓRICO",IF(OR(AND(ISNUMBER(R2458),R2458&lt;TODAY()),AND(OR(N2458="PENDENTE",N2458="PARCIAL"),D2458&lt;TODAY()-1)),"CRÍTICO",IF(OR(AND(P2458&lt;&gt;"",S2458=""),AND(N2458="REALIZADO",M2458="PENDENTE"),AND(ISNUMBER(R2458),R2458=TODAY())),"ATENÇÃO",IF(N(K2458)=0,"PENDENTE","EM ANDAMENTO"))))))</f>
        <v/>
      </c>
      <c r="C2458" s="3">
        <f>IF(D2458="","",IF(V2458=0,"🟢 OK",IF(D2458&lt;corte,"⚪ HISTÓRICO (sem baixa)",IF(AND(ISNUMBER(R2458),R2458&lt;TODAY()),"🔴 PRAZO VENCIDO",IF(AND(OR(N2458="PENDENTE",N2458="PARCIAL"),D2458&lt;TODAY()-1),"🔴 EMBARQUE ATRASADO",IF(AND(N2458="REALIZADO",M2458="PENDENTE"),"🟡 EMBARCADO SEM FATURAR",IF(AND(P2458&lt;&gt;"",S2458="",OR(Q2458="",R2458="")),"🟡 PENDÊNCIA SEM RESPONSÁVEL/PRAZO",IF(AND(ISNUMBER(R2458),R2458=TODAY()),"🟡 VENCE HOJE",IF(AND(P2458&lt;&gt;"",S2458=""),"🟡 PENDÊNCIA ABERTA",IF(AND(N(J2458)&gt;0,N(K2458)&lt;J2458),"🟡 FALTA EXECUTAR",IF(OR(M2458="PENDENTE",M2458="PARCIAL"),"🟡 FATURAMENTO PENDENTE","🟡 EMBARQUE PENDENTE")))))))))))</f>
        <v/>
      </c>
      <c r="D2458" s="4" t="n"/>
      <c r="E2458" s="5" t="n"/>
      <c r="F2458" s="5" t="n"/>
      <c r="G2458" s="5" t="n"/>
      <c r="H2458" s="5" t="n"/>
      <c r="I2458" s="5" t="n"/>
      <c r="J2458" s="6" t="n"/>
      <c r="K2458" s="6" t="n"/>
      <c r="L2458" s="7">
        <f>IF(OR(D2458="",N(J2458)=0),"",MIN(1,N(K2458)/J2458))</f>
        <v/>
      </c>
      <c r="M2458" s="5" t="n"/>
      <c r="N2458" s="5" t="n"/>
      <c r="O2458" s="5" t="n"/>
      <c r="P2458" s="5" t="n"/>
      <c r="Q2458" s="5" t="n"/>
      <c r="R2458" s="4" t="n"/>
      <c r="S2458" s="4" t="n"/>
      <c r="T2458" s="5" t="n"/>
      <c r="U2458" s="8">
        <f>IF(AND(V2458=1,D2458&lt;&gt;""),IF(D2458&gt;=corte,TODAY()-D2458,""),"")</f>
        <v/>
      </c>
      <c r="V2458" s="8">
        <f>IF(D2458="",0,IF(OR(AND(P2458&lt;&gt;"",S2458=""),AND(N(J2458)&gt;0,N(K2458)&lt;J2458),OR(M2458="PENDENTE",M2458="PARCIAL"),OR(N2458="PENDENTE",N2458="PARCIAL")),1,0))</f>
        <v/>
      </c>
      <c r="W2458" s="8">
        <f>IF(AND(V2458=1,D2458&lt;&gt;""),IF(D2458&gt;=corte,(B2458="CRÍTICO")*1E9+(100000-D2458)*10000+10000-ROW(),""),"")</f>
        <v/>
      </c>
      <c r="X2458" s="8">
        <f>IF(AND(V2458=1,D2458=pas_data,E2458=pas_turno),10000-ROW(),"")</f>
        <v/>
      </c>
    </row>
    <row r="2459">
      <c r="A2459" s="3">
        <f>IF(D2459="","","TT-"&amp;TEXT(ROW()-1,"00000"))</f>
        <v/>
      </c>
      <c r="B2459" s="3">
        <f>IF(D2459="","",IF(V2459=0,"CONCLUÍDO",IF(D2459&lt;corte,"HISTÓRICO",IF(OR(AND(ISNUMBER(R2459),R2459&lt;TODAY()),AND(OR(N2459="PENDENTE",N2459="PARCIAL"),D2459&lt;TODAY()-1)),"CRÍTICO",IF(OR(AND(P2459&lt;&gt;"",S2459=""),AND(N2459="REALIZADO",M2459="PENDENTE"),AND(ISNUMBER(R2459),R2459=TODAY())),"ATENÇÃO",IF(N(K2459)=0,"PENDENTE","EM ANDAMENTO"))))))</f>
        <v/>
      </c>
      <c r="C2459" s="3">
        <f>IF(D2459="","",IF(V2459=0,"🟢 OK",IF(D2459&lt;corte,"⚪ HISTÓRICO (sem baixa)",IF(AND(ISNUMBER(R2459),R2459&lt;TODAY()),"🔴 PRAZO VENCIDO",IF(AND(OR(N2459="PENDENTE",N2459="PARCIAL"),D2459&lt;TODAY()-1),"🔴 EMBARQUE ATRASADO",IF(AND(N2459="REALIZADO",M2459="PENDENTE"),"🟡 EMBARCADO SEM FATURAR",IF(AND(P2459&lt;&gt;"",S2459="",OR(Q2459="",R2459="")),"🟡 PENDÊNCIA SEM RESPONSÁVEL/PRAZO",IF(AND(ISNUMBER(R2459),R2459=TODAY()),"🟡 VENCE HOJE",IF(AND(P2459&lt;&gt;"",S2459=""),"🟡 PENDÊNCIA ABERTA",IF(AND(N(J2459)&gt;0,N(K2459)&lt;J2459),"🟡 FALTA EXECUTAR",IF(OR(M2459="PENDENTE",M2459="PARCIAL"),"🟡 FATURAMENTO PENDENTE","🟡 EMBARQUE PENDENTE")))))))))))</f>
        <v/>
      </c>
      <c r="D2459" s="4" t="n"/>
      <c r="E2459" s="5" t="n"/>
      <c r="F2459" s="5" t="n"/>
      <c r="G2459" s="5" t="n"/>
      <c r="H2459" s="5" t="n"/>
      <c r="I2459" s="5" t="n"/>
      <c r="J2459" s="6" t="n"/>
      <c r="K2459" s="6" t="n"/>
      <c r="L2459" s="7">
        <f>IF(OR(D2459="",N(J2459)=0),"",MIN(1,N(K2459)/J2459))</f>
        <v/>
      </c>
      <c r="M2459" s="5" t="n"/>
      <c r="N2459" s="5" t="n"/>
      <c r="O2459" s="5" t="n"/>
      <c r="P2459" s="5" t="n"/>
      <c r="Q2459" s="5" t="n"/>
      <c r="R2459" s="4" t="n"/>
      <c r="S2459" s="4" t="n"/>
      <c r="T2459" s="5" t="n"/>
      <c r="U2459" s="8">
        <f>IF(AND(V2459=1,D2459&lt;&gt;""),IF(D2459&gt;=corte,TODAY()-D2459,""),"")</f>
        <v/>
      </c>
      <c r="V2459" s="8">
        <f>IF(D2459="",0,IF(OR(AND(P2459&lt;&gt;"",S2459=""),AND(N(J2459)&gt;0,N(K2459)&lt;J2459),OR(M2459="PENDENTE",M2459="PARCIAL"),OR(N2459="PENDENTE",N2459="PARCIAL")),1,0))</f>
        <v/>
      </c>
      <c r="W2459" s="8">
        <f>IF(AND(V2459=1,D2459&lt;&gt;""),IF(D2459&gt;=corte,(B2459="CRÍTICO")*1E9+(100000-D2459)*10000+10000-ROW(),""),"")</f>
        <v/>
      </c>
      <c r="X2459" s="8">
        <f>IF(AND(V2459=1,D2459=pas_data,E2459=pas_turno),10000-ROW(),"")</f>
        <v/>
      </c>
    </row>
    <row r="2460">
      <c r="A2460" s="3">
        <f>IF(D2460="","","TT-"&amp;TEXT(ROW()-1,"00000"))</f>
        <v/>
      </c>
      <c r="B2460" s="3">
        <f>IF(D2460="","",IF(V2460=0,"CONCLUÍDO",IF(D2460&lt;corte,"HISTÓRICO",IF(OR(AND(ISNUMBER(R2460),R2460&lt;TODAY()),AND(OR(N2460="PENDENTE",N2460="PARCIAL"),D2460&lt;TODAY()-1)),"CRÍTICO",IF(OR(AND(P2460&lt;&gt;"",S2460=""),AND(N2460="REALIZADO",M2460="PENDENTE"),AND(ISNUMBER(R2460),R2460=TODAY())),"ATENÇÃO",IF(N(K2460)=0,"PENDENTE","EM ANDAMENTO"))))))</f>
        <v/>
      </c>
      <c r="C2460" s="3">
        <f>IF(D2460="","",IF(V2460=0,"🟢 OK",IF(D2460&lt;corte,"⚪ HISTÓRICO (sem baixa)",IF(AND(ISNUMBER(R2460),R2460&lt;TODAY()),"🔴 PRAZO VENCIDO",IF(AND(OR(N2460="PENDENTE",N2460="PARCIAL"),D2460&lt;TODAY()-1),"🔴 EMBARQUE ATRASADO",IF(AND(N2460="REALIZADO",M2460="PENDENTE"),"🟡 EMBARCADO SEM FATURAR",IF(AND(P2460&lt;&gt;"",S2460="",OR(Q2460="",R2460="")),"🟡 PENDÊNCIA SEM RESPONSÁVEL/PRAZO",IF(AND(ISNUMBER(R2460),R2460=TODAY()),"🟡 VENCE HOJE",IF(AND(P2460&lt;&gt;"",S2460=""),"🟡 PENDÊNCIA ABERTA",IF(AND(N(J2460)&gt;0,N(K2460)&lt;J2460),"🟡 FALTA EXECUTAR",IF(OR(M2460="PENDENTE",M2460="PARCIAL"),"🟡 FATURAMENTO PENDENTE","🟡 EMBARQUE PENDENTE")))))))))))</f>
        <v/>
      </c>
      <c r="D2460" s="4" t="n"/>
      <c r="E2460" s="5" t="n"/>
      <c r="F2460" s="5" t="n"/>
      <c r="G2460" s="5" t="n"/>
      <c r="H2460" s="5" t="n"/>
      <c r="I2460" s="5" t="n"/>
      <c r="J2460" s="6" t="n"/>
      <c r="K2460" s="6" t="n"/>
      <c r="L2460" s="7">
        <f>IF(OR(D2460="",N(J2460)=0),"",MIN(1,N(K2460)/J2460))</f>
        <v/>
      </c>
      <c r="M2460" s="5" t="n"/>
      <c r="N2460" s="5" t="n"/>
      <c r="O2460" s="5" t="n"/>
      <c r="P2460" s="5" t="n"/>
      <c r="Q2460" s="5" t="n"/>
      <c r="R2460" s="4" t="n"/>
      <c r="S2460" s="4" t="n"/>
      <c r="T2460" s="5" t="n"/>
      <c r="U2460" s="8">
        <f>IF(AND(V2460=1,D2460&lt;&gt;""),IF(D2460&gt;=corte,TODAY()-D2460,""),"")</f>
        <v/>
      </c>
      <c r="V2460" s="8">
        <f>IF(D2460="",0,IF(OR(AND(P2460&lt;&gt;"",S2460=""),AND(N(J2460)&gt;0,N(K2460)&lt;J2460),OR(M2460="PENDENTE",M2460="PARCIAL"),OR(N2460="PENDENTE",N2460="PARCIAL")),1,0))</f>
        <v/>
      </c>
      <c r="W2460" s="8">
        <f>IF(AND(V2460=1,D2460&lt;&gt;""),IF(D2460&gt;=corte,(B2460="CRÍTICO")*1E9+(100000-D2460)*10000+10000-ROW(),""),"")</f>
        <v/>
      </c>
      <c r="X2460" s="8">
        <f>IF(AND(V2460=1,D2460=pas_data,E2460=pas_turno),10000-ROW(),"")</f>
        <v/>
      </c>
    </row>
    <row r="2461">
      <c r="A2461" s="3">
        <f>IF(D2461="","","TT-"&amp;TEXT(ROW()-1,"00000"))</f>
        <v/>
      </c>
      <c r="B2461" s="3">
        <f>IF(D2461="","",IF(V2461=0,"CONCLUÍDO",IF(D2461&lt;corte,"HISTÓRICO",IF(OR(AND(ISNUMBER(R2461),R2461&lt;TODAY()),AND(OR(N2461="PENDENTE",N2461="PARCIAL"),D2461&lt;TODAY()-1)),"CRÍTICO",IF(OR(AND(P2461&lt;&gt;"",S2461=""),AND(N2461="REALIZADO",M2461="PENDENTE"),AND(ISNUMBER(R2461),R2461=TODAY())),"ATENÇÃO",IF(N(K2461)=0,"PENDENTE","EM ANDAMENTO"))))))</f>
        <v/>
      </c>
      <c r="C2461" s="3">
        <f>IF(D2461="","",IF(V2461=0,"🟢 OK",IF(D2461&lt;corte,"⚪ HISTÓRICO (sem baixa)",IF(AND(ISNUMBER(R2461),R2461&lt;TODAY()),"🔴 PRAZO VENCIDO",IF(AND(OR(N2461="PENDENTE",N2461="PARCIAL"),D2461&lt;TODAY()-1),"🔴 EMBARQUE ATRASADO",IF(AND(N2461="REALIZADO",M2461="PENDENTE"),"🟡 EMBARCADO SEM FATURAR",IF(AND(P2461&lt;&gt;"",S2461="",OR(Q2461="",R2461="")),"🟡 PENDÊNCIA SEM RESPONSÁVEL/PRAZO",IF(AND(ISNUMBER(R2461),R2461=TODAY()),"🟡 VENCE HOJE",IF(AND(P2461&lt;&gt;"",S2461=""),"🟡 PENDÊNCIA ABERTA",IF(AND(N(J2461)&gt;0,N(K2461)&lt;J2461),"🟡 FALTA EXECUTAR",IF(OR(M2461="PENDENTE",M2461="PARCIAL"),"🟡 FATURAMENTO PENDENTE","🟡 EMBARQUE PENDENTE")))))))))))</f>
        <v/>
      </c>
      <c r="D2461" s="4" t="n"/>
      <c r="E2461" s="5" t="n"/>
      <c r="F2461" s="5" t="n"/>
      <c r="G2461" s="5" t="n"/>
      <c r="H2461" s="5" t="n"/>
      <c r="I2461" s="5" t="n"/>
      <c r="J2461" s="6" t="n"/>
      <c r="K2461" s="6" t="n"/>
      <c r="L2461" s="7">
        <f>IF(OR(D2461="",N(J2461)=0),"",MIN(1,N(K2461)/J2461))</f>
        <v/>
      </c>
      <c r="M2461" s="5" t="n"/>
      <c r="N2461" s="5" t="n"/>
      <c r="O2461" s="5" t="n"/>
      <c r="P2461" s="5" t="n"/>
      <c r="Q2461" s="5" t="n"/>
      <c r="R2461" s="4" t="n"/>
      <c r="S2461" s="4" t="n"/>
      <c r="T2461" s="5" t="n"/>
      <c r="U2461" s="8">
        <f>IF(AND(V2461=1,D2461&lt;&gt;""),IF(D2461&gt;=corte,TODAY()-D2461,""),"")</f>
        <v/>
      </c>
      <c r="V2461" s="8">
        <f>IF(D2461="",0,IF(OR(AND(P2461&lt;&gt;"",S2461=""),AND(N(J2461)&gt;0,N(K2461)&lt;J2461),OR(M2461="PENDENTE",M2461="PARCIAL"),OR(N2461="PENDENTE",N2461="PARCIAL")),1,0))</f>
        <v/>
      </c>
      <c r="W2461" s="8">
        <f>IF(AND(V2461=1,D2461&lt;&gt;""),IF(D2461&gt;=corte,(B2461="CRÍTICO")*1E9+(100000-D2461)*10000+10000-ROW(),""),"")</f>
        <v/>
      </c>
      <c r="X2461" s="8">
        <f>IF(AND(V2461=1,D2461=pas_data,E2461=pas_turno),10000-ROW(),"")</f>
        <v/>
      </c>
    </row>
    <row r="2462">
      <c r="A2462" s="3">
        <f>IF(D2462="","","TT-"&amp;TEXT(ROW()-1,"00000"))</f>
        <v/>
      </c>
      <c r="B2462" s="3">
        <f>IF(D2462="","",IF(V2462=0,"CONCLUÍDO",IF(D2462&lt;corte,"HISTÓRICO",IF(OR(AND(ISNUMBER(R2462),R2462&lt;TODAY()),AND(OR(N2462="PENDENTE",N2462="PARCIAL"),D2462&lt;TODAY()-1)),"CRÍTICO",IF(OR(AND(P2462&lt;&gt;"",S2462=""),AND(N2462="REALIZADO",M2462="PENDENTE"),AND(ISNUMBER(R2462),R2462=TODAY())),"ATENÇÃO",IF(N(K2462)=0,"PENDENTE","EM ANDAMENTO"))))))</f>
        <v/>
      </c>
      <c r="C2462" s="3">
        <f>IF(D2462="","",IF(V2462=0,"🟢 OK",IF(D2462&lt;corte,"⚪ HISTÓRICO (sem baixa)",IF(AND(ISNUMBER(R2462),R2462&lt;TODAY()),"🔴 PRAZO VENCIDO",IF(AND(OR(N2462="PENDENTE",N2462="PARCIAL"),D2462&lt;TODAY()-1),"🔴 EMBARQUE ATRASADO",IF(AND(N2462="REALIZADO",M2462="PENDENTE"),"🟡 EMBARCADO SEM FATURAR",IF(AND(P2462&lt;&gt;"",S2462="",OR(Q2462="",R2462="")),"🟡 PENDÊNCIA SEM RESPONSÁVEL/PRAZO",IF(AND(ISNUMBER(R2462),R2462=TODAY()),"🟡 VENCE HOJE",IF(AND(P2462&lt;&gt;"",S2462=""),"🟡 PENDÊNCIA ABERTA",IF(AND(N(J2462)&gt;0,N(K2462)&lt;J2462),"🟡 FALTA EXECUTAR",IF(OR(M2462="PENDENTE",M2462="PARCIAL"),"🟡 FATURAMENTO PENDENTE","🟡 EMBARQUE PENDENTE")))))))))))</f>
        <v/>
      </c>
      <c r="D2462" s="4" t="n"/>
      <c r="E2462" s="5" t="n"/>
      <c r="F2462" s="5" t="n"/>
      <c r="G2462" s="5" t="n"/>
      <c r="H2462" s="5" t="n"/>
      <c r="I2462" s="5" t="n"/>
      <c r="J2462" s="6" t="n"/>
      <c r="K2462" s="6" t="n"/>
      <c r="L2462" s="7">
        <f>IF(OR(D2462="",N(J2462)=0),"",MIN(1,N(K2462)/J2462))</f>
        <v/>
      </c>
      <c r="M2462" s="5" t="n"/>
      <c r="N2462" s="5" t="n"/>
      <c r="O2462" s="5" t="n"/>
      <c r="P2462" s="5" t="n"/>
      <c r="Q2462" s="5" t="n"/>
      <c r="R2462" s="4" t="n"/>
      <c r="S2462" s="4" t="n"/>
      <c r="T2462" s="5" t="n"/>
      <c r="U2462" s="8">
        <f>IF(AND(V2462=1,D2462&lt;&gt;""),IF(D2462&gt;=corte,TODAY()-D2462,""),"")</f>
        <v/>
      </c>
      <c r="V2462" s="8">
        <f>IF(D2462="",0,IF(OR(AND(P2462&lt;&gt;"",S2462=""),AND(N(J2462)&gt;0,N(K2462)&lt;J2462),OR(M2462="PENDENTE",M2462="PARCIAL"),OR(N2462="PENDENTE",N2462="PARCIAL")),1,0))</f>
        <v/>
      </c>
      <c r="W2462" s="8">
        <f>IF(AND(V2462=1,D2462&lt;&gt;""),IF(D2462&gt;=corte,(B2462="CRÍTICO")*1E9+(100000-D2462)*10000+10000-ROW(),""),"")</f>
        <v/>
      </c>
      <c r="X2462" s="8">
        <f>IF(AND(V2462=1,D2462=pas_data,E2462=pas_turno),10000-ROW(),"")</f>
        <v/>
      </c>
    </row>
    <row r="2463">
      <c r="A2463" s="3">
        <f>IF(D2463="","","TT-"&amp;TEXT(ROW()-1,"00000"))</f>
        <v/>
      </c>
      <c r="B2463" s="3">
        <f>IF(D2463="","",IF(V2463=0,"CONCLUÍDO",IF(D2463&lt;corte,"HISTÓRICO",IF(OR(AND(ISNUMBER(R2463),R2463&lt;TODAY()),AND(OR(N2463="PENDENTE",N2463="PARCIAL"),D2463&lt;TODAY()-1)),"CRÍTICO",IF(OR(AND(P2463&lt;&gt;"",S2463=""),AND(N2463="REALIZADO",M2463="PENDENTE"),AND(ISNUMBER(R2463),R2463=TODAY())),"ATENÇÃO",IF(N(K2463)=0,"PENDENTE","EM ANDAMENTO"))))))</f>
        <v/>
      </c>
      <c r="C2463" s="3">
        <f>IF(D2463="","",IF(V2463=0,"🟢 OK",IF(D2463&lt;corte,"⚪ HISTÓRICO (sem baixa)",IF(AND(ISNUMBER(R2463),R2463&lt;TODAY()),"🔴 PRAZO VENCIDO",IF(AND(OR(N2463="PENDENTE",N2463="PARCIAL"),D2463&lt;TODAY()-1),"🔴 EMBARQUE ATRASADO",IF(AND(N2463="REALIZADO",M2463="PENDENTE"),"🟡 EMBARCADO SEM FATURAR",IF(AND(P2463&lt;&gt;"",S2463="",OR(Q2463="",R2463="")),"🟡 PENDÊNCIA SEM RESPONSÁVEL/PRAZO",IF(AND(ISNUMBER(R2463),R2463=TODAY()),"🟡 VENCE HOJE",IF(AND(P2463&lt;&gt;"",S2463=""),"🟡 PENDÊNCIA ABERTA",IF(AND(N(J2463)&gt;0,N(K2463)&lt;J2463),"🟡 FALTA EXECUTAR",IF(OR(M2463="PENDENTE",M2463="PARCIAL"),"🟡 FATURAMENTO PENDENTE","🟡 EMBARQUE PENDENTE")))))))))))</f>
        <v/>
      </c>
      <c r="D2463" s="4" t="n"/>
      <c r="E2463" s="5" t="n"/>
      <c r="F2463" s="5" t="n"/>
      <c r="G2463" s="5" t="n"/>
      <c r="H2463" s="5" t="n"/>
      <c r="I2463" s="5" t="n"/>
      <c r="J2463" s="6" t="n"/>
      <c r="K2463" s="6" t="n"/>
      <c r="L2463" s="7">
        <f>IF(OR(D2463="",N(J2463)=0),"",MIN(1,N(K2463)/J2463))</f>
        <v/>
      </c>
      <c r="M2463" s="5" t="n"/>
      <c r="N2463" s="5" t="n"/>
      <c r="O2463" s="5" t="n"/>
      <c r="P2463" s="5" t="n"/>
      <c r="Q2463" s="5" t="n"/>
      <c r="R2463" s="4" t="n"/>
      <c r="S2463" s="4" t="n"/>
      <c r="T2463" s="5" t="n"/>
      <c r="U2463" s="8">
        <f>IF(AND(V2463=1,D2463&lt;&gt;""),IF(D2463&gt;=corte,TODAY()-D2463,""),"")</f>
        <v/>
      </c>
      <c r="V2463" s="8">
        <f>IF(D2463="",0,IF(OR(AND(P2463&lt;&gt;"",S2463=""),AND(N(J2463)&gt;0,N(K2463)&lt;J2463),OR(M2463="PENDENTE",M2463="PARCIAL"),OR(N2463="PENDENTE",N2463="PARCIAL")),1,0))</f>
        <v/>
      </c>
      <c r="W2463" s="8">
        <f>IF(AND(V2463=1,D2463&lt;&gt;""),IF(D2463&gt;=corte,(B2463="CRÍTICO")*1E9+(100000-D2463)*10000+10000-ROW(),""),"")</f>
        <v/>
      </c>
      <c r="X2463" s="8">
        <f>IF(AND(V2463=1,D2463=pas_data,E2463=pas_turno),10000-ROW(),"")</f>
        <v/>
      </c>
    </row>
    <row r="2464">
      <c r="A2464" s="3">
        <f>IF(D2464="","","TT-"&amp;TEXT(ROW()-1,"00000"))</f>
        <v/>
      </c>
      <c r="B2464" s="3">
        <f>IF(D2464="","",IF(V2464=0,"CONCLUÍDO",IF(D2464&lt;corte,"HISTÓRICO",IF(OR(AND(ISNUMBER(R2464),R2464&lt;TODAY()),AND(OR(N2464="PENDENTE",N2464="PARCIAL"),D2464&lt;TODAY()-1)),"CRÍTICO",IF(OR(AND(P2464&lt;&gt;"",S2464=""),AND(N2464="REALIZADO",M2464="PENDENTE"),AND(ISNUMBER(R2464),R2464=TODAY())),"ATENÇÃO",IF(N(K2464)=0,"PENDENTE","EM ANDAMENTO"))))))</f>
        <v/>
      </c>
      <c r="C2464" s="3">
        <f>IF(D2464="","",IF(V2464=0,"🟢 OK",IF(D2464&lt;corte,"⚪ HISTÓRICO (sem baixa)",IF(AND(ISNUMBER(R2464),R2464&lt;TODAY()),"🔴 PRAZO VENCIDO",IF(AND(OR(N2464="PENDENTE",N2464="PARCIAL"),D2464&lt;TODAY()-1),"🔴 EMBARQUE ATRASADO",IF(AND(N2464="REALIZADO",M2464="PENDENTE"),"🟡 EMBARCADO SEM FATURAR",IF(AND(P2464&lt;&gt;"",S2464="",OR(Q2464="",R2464="")),"🟡 PENDÊNCIA SEM RESPONSÁVEL/PRAZO",IF(AND(ISNUMBER(R2464),R2464=TODAY()),"🟡 VENCE HOJE",IF(AND(P2464&lt;&gt;"",S2464=""),"🟡 PENDÊNCIA ABERTA",IF(AND(N(J2464)&gt;0,N(K2464)&lt;J2464),"🟡 FALTA EXECUTAR",IF(OR(M2464="PENDENTE",M2464="PARCIAL"),"🟡 FATURAMENTO PENDENTE","🟡 EMBARQUE PENDENTE")))))))))))</f>
        <v/>
      </c>
      <c r="D2464" s="4" t="n"/>
      <c r="E2464" s="5" t="n"/>
      <c r="F2464" s="5" t="n"/>
      <c r="G2464" s="5" t="n"/>
      <c r="H2464" s="5" t="n"/>
      <c r="I2464" s="5" t="n"/>
      <c r="J2464" s="6" t="n"/>
      <c r="K2464" s="6" t="n"/>
      <c r="L2464" s="7">
        <f>IF(OR(D2464="",N(J2464)=0),"",MIN(1,N(K2464)/J2464))</f>
        <v/>
      </c>
      <c r="M2464" s="5" t="n"/>
      <c r="N2464" s="5" t="n"/>
      <c r="O2464" s="5" t="n"/>
      <c r="P2464" s="5" t="n"/>
      <c r="Q2464" s="5" t="n"/>
      <c r="R2464" s="4" t="n"/>
      <c r="S2464" s="4" t="n"/>
      <c r="T2464" s="5" t="n"/>
      <c r="U2464" s="8">
        <f>IF(AND(V2464=1,D2464&lt;&gt;""),IF(D2464&gt;=corte,TODAY()-D2464,""),"")</f>
        <v/>
      </c>
      <c r="V2464" s="8">
        <f>IF(D2464="",0,IF(OR(AND(P2464&lt;&gt;"",S2464=""),AND(N(J2464)&gt;0,N(K2464)&lt;J2464),OR(M2464="PENDENTE",M2464="PARCIAL"),OR(N2464="PENDENTE",N2464="PARCIAL")),1,0))</f>
        <v/>
      </c>
      <c r="W2464" s="8">
        <f>IF(AND(V2464=1,D2464&lt;&gt;""),IF(D2464&gt;=corte,(B2464="CRÍTICO")*1E9+(100000-D2464)*10000+10000-ROW(),""),"")</f>
        <v/>
      </c>
      <c r="X2464" s="8">
        <f>IF(AND(V2464=1,D2464=pas_data,E2464=pas_turno),10000-ROW(),"")</f>
        <v/>
      </c>
    </row>
    <row r="2465">
      <c r="A2465" s="3">
        <f>IF(D2465="","","TT-"&amp;TEXT(ROW()-1,"00000"))</f>
        <v/>
      </c>
      <c r="B2465" s="3">
        <f>IF(D2465="","",IF(V2465=0,"CONCLUÍDO",IF(D2465&lt;corte,"HISTÓRICO",IF(OR(AND(ISNUMBER(R2465),R2465&lt;TODAY()),AND(OR(N2465="PENDENTE",N2465="PARCIAL"),D2465&lt;TODAY()-1)),"CRÍTICO",IF(OR(AND(P2465&lt;&gt;"",S2465=""),AND(N2465="REALIZADO",M2465="PENDENTE"),AND(ISNUMBER(R2465),R2465=TODAY())),"ATENÇÃO",IF(N(K2465)=0,"PENDENTE","EM ANDAMENTO"))))))</f>
        <v/>
      </c>
      <c r="C2465" s="3">
        <f>IF(D2465="","",IF(V2465=0,"🟢 OK",IF(D2465&lt;corte,"⚪ HISTÓRICO (sem baixa)",IF(AND(ISNUMBER(R2465),R2465&lt;TODAY()),"🔴 PRAZO VENCIDO",IF(AND(OR(N2465="PENDENTE",N2465="PARCIAL"),D2465&lt;TODAY()-1),"🔴 EMBARQUE ATRASADO",IF(AND(N2465="REALIZADO",M2465="PENDENTE"),"🟡 EMBARCADO SEM FATURAR",IF(AND(P2465&lt;&gt;"",S2465="",OR(Q2465="",R2465="")),"🟡 PENDÊNCIA SEM RESPONSÁVEL/PRAZO",IF(AND(ISNUMBER(R2465),R2465=TODAY()),"🟡 VENCE HOJE",IF(AND(P2465&lt;&gt;"",S2465=""),"🟡 PENDÊNCIA ABERTA",IF(AND(N(J2465)&gt;0,N(K2465)&lt;J2465),"🟡 FALTA EXECUTAR",IF(OR(M2465="PENDENTE",M2465="PARCIAL"),"🟡 FATURAMENTO PENDENTE","🟡 EMBARQUE PENDENTE")))))))))))</f>
        <v/>
      </c>
      <c r="D2465" s="4" t="n"/>
      <c r="E2465" s="5" t="n"/>
      <c r="F2465" s="5" t="n"/>
      <c r="G2465" s="5" t="n"/>
      <c r="H2465" s="5" t="n"/>
      <c r="I2465" s="5" t="n"/>
      <c r="J2465" s="6" t="n"/>
      <c r="K2465" s="6" t="n"/>
      <c r="L2465" s="7">
        <f>IF(OR(D2465="",N(J2465)=0),"",MIN(1,N(K2465)/J2465))</f>
        <v/>
      </c>
      <c r="M2465" s="5" t="n"/>
      <c r="N2465" s="5" t="n"/>
      <c r="O2465" s="5" t="n"/>
      <c r="P2465" s="5" t="n"/>
      <c r="Q2465" s="5" t="n"/>
      <c r="R2465" s="4" t="n"/>
      <c r="S2465" s="4" t="n"/>
      <c r="T2465" s="5" t="n"/>
      <c r="U2465" s="8">
        <f>IF(AND(V2465=1,D2465&lt;&gt;""),IF(D2465&gt;=corte,TODAY()-D2465,""),"")</f>
        <v/>
      </c>
      <c r="V2465" s="8">
        <f>IF(D2465="",0,IF(OR(AND(P2465&lt;&gt;"",S2465=""),AND(N(J2465)&gt;0,N(K2465)&lt;J2465),OR(M2465="PENDENTE",M2465="PARCIAL"),OR(N2465="PENDENTE",N2465="PARCIAL")),1,0))</f>
        <v/>
      </c>
      <c r="W2465" s="8">
        <f>IF(AND(V2465=1,D2465&lt;&gt;""),IF(D2465&gt;=corte,(B2465="CRÍTICO")*1E9+(100000-D2465)*10000+10000-ROW(),""),"")</f>
        <v/>
      </c>
      <c r="X2465" s="8">
        <f>IF(AND(V2465=1,D2465=pas_data,E2465=pas_turno),10000-ROW(),"")</f>
        <v/>
      </c>
    </row>
    <row r="2466">
      <c r="A2466" s="3">
        <f>IF(D2466="","","TT-"&amp;TEXT(ROW()-1,"00000"))</f>
        <v/>
      </c>
      <c r="B2466" s="3">
        <f>IF(D2466="","",IF(V2466=0,"CONCLUÍDO",IF(D2466&lt;corte,"HISTÓRICO",IF(OR(AND(ISNUMBER(R2466),R2466&lt;TODAY()),AND(OR(N2466="PENDENTE",N2466="PARCIAL"),D2466&lt;TODAY()-1)),"CRÍTICO",IF(OR(AND(P2466&lt;&gt;"",S2466=""),AND(N2466="REALIZADO",M2466="PENDENTE"),AND(ISNUMBER(R2466),R2466=TODAY())),"ATENÇÃO",IF(N(K2466)=0,"PENDENTE","EM ANDAMENTO"))))))</f>
        <v/>
      </c>
      <c r="C2466" s="3">
        <f>IF(D2466="","",IF(V2466=0,"🟢 OK",IF(D2466&lt;corte,"⚪ HISTÓRICO (sem baixa)",IF(AND(ISNUMBER(R2466),R2466&lt;TODAY()),"🔴 PRAZO VENCIDO",IF(AND(OR(N2466="PENDENTE",N2466="PARCIAL"),D2466&lt;TODAY()-1),"🔴 EMBARQUE ATRASADO",IF(AND(N2466="REALIZADO",M2466="PENDENTE"),"🟡 EMBARCADO SEM FATURAR",IF(AND(P2466&lt;&gt;"",S2466="",OR(Q2466="",R2466="")),"🟡 PENDÊNCIA SEM RESPONSÁVEL/PRAZO",IF(AND(ISNUMBER(R2466),R2466=TODAY()),"🟡 VENCE HOJE",IF(AND(P2466&lt;&gt;"",S2466=""),"🟡 PENDÊNCIA ABERTA",IF(AND(N(J2466)&gt;0,N(K2466)&lt;J2466),"🟡 FALTA EXECUTAR",IF(OR(M2466="PENDENTE",M2466="PARCIAL"),"🟡 FATURAMENTO PENDENTE","🟡 EMBARQUE PENDENTE")))))))))))</f>
        <v/>
      </c>
      <c r="D2466" s="4" t="n"/>
      <c r="E2466" s="5" t="n"/>
      <c r="F2466" s="5" t="n"/>
      <c r="G2466" s="5" t="n"/>
      <c r="H2466" s="5" t="n"/>
      <c r="I2466" s="5" t="n"/>
      <c r="J2466" s="6" t="n"/>
      <c r="K2466" s="6" t="n"/>
      <c r="L2466" s="7">
        <f>IF(OR(D2466="",N(J2466)=0),"",MIN(1,N(K2466)/J2466))</f>
        <v/>
      </c>
      <c r="M2466" s="5" t="n"/>
      <c r="N2466" s="5" t="n"/>
      <c r="O2466" s="5" t="n"/>
      <c r="P2466" s="5" t="n"/>
      <c r="Q2466" s="5" t="n"/>
      <c r="R2466" s="4" t="n"/>
      <c r="S2466" s="4" t="n"/>
      <c r="T2466" s="5" t="n"/>
      <c r="U2466" s="8">
        <f>IF(AND(V2466=1,D2466&lt;&gt;""),IF(D2466&gt;=corte,TODAY()-D2466,""),"")</f>
        <v/>
      </c>
      <c r="V2466" s="8">
        <f>IF(D2466="",0,IF(OR(AND(P2466&lt;&gt;"",S2466=""),AND(N(J2466)&gt;0,N(K2466)&lt;J2466),OR(M2466="PENDENTE",M2466="PARCIAL"),OR(N2466="PENDENTE",N2466="PARCIAL")),1,0))</f>
        <v/>
      </c>
      <c r="W2466" s="8">
        <f>IF(AND(V2466=1,D2466&lt;&gt;""),IF(D2466&gt;=corte,(B2466="CRÍTICO")*1E9+(100000-D2466)*10000+10000-ROW(),""),"")</f>
        <v/>
      </c>
      <c r="X2466" s="8">
        <f>IF(AND(V2466=1,D2466=pas_data,E2466=pas_turno),10000-ROW(),"")</f>
        <v/>
      </c>
    </row>
    <row r="2467">
      <c r="A2467" s="3">
        <f>IF(D2467="","","TT-"&amp;TEXT(ROW()-1,"00000"))</f>
        <v/>
      </c>
      <c r="B2467" s="3">
        <f>IF(D2467="","",IF(V2467=0,"CONCLUÍDO",IF(D2467&lt;corte,"HISTÓRICO",IF(OR(AND(ISNUMBER(R2467),R2467&lt;TODAY()),AND(OR(N2467="PENDENTE",N2467="PARCIAL"),D2467&lt;TODAY()-1)),"CRÍTICO",IF(OR(AND(P2467&lt;&gt;"",S2467=""),AND(N2467="REALIZADO",M2467="PENDENTE"),AND(ISNUMBER(R2467),R2467=TODAY())),"ATENÇÃO",IF(N(K2467)=0,"PENDENTE","EM ANDAMENTO"))))))</f>
        <v/>
      </c>
      <c r="C2467" s="3">
        <f>IF(D2467="","",IF(V2467=0,"🟢 OK",IF(D2467&lt;corte,"⚪ HISTÓRICO (sem baixa)",IF(AND(ISNUMBER(R2467),R2467&lt;TODAY()),"🔴 PRAZO VENCIDO",IF(AND(OR(N2467="PENDENTE",N2467="PARCIAL"),D2467&lt;TODAY()-1),"🔴 EMBARQUE ATRASADO",IF(AND(N2467="REALIZADO",M2467="PENDENTE"),"🟡 EMBARCADO SEM FATURAR",IF(AND(P2467&lt;&gt;"",S2467="",OR(Q2467="",R2467="")),"🟡 PENDÊNCIA SEM RESPONSÁVEL/PRAZO",IF(AND(ISNUMBER(R2467),R2467=TODAY()),"🟡 VENCE HOJE",IF(AND(P2467&lt;&gt;"",S2467=""),"🟡 PENDÊNCIA ABERTA",IF(AND(N(J2467)&gt;0,N(K2467)&lt;J2467),"🟡 FALTA EXECUTAR",IF(OR(M2467="PENDENTE",M2467="PARCIAL"),"🟡 FATURAMENTO PENDENTE","🟡 EMBARQUE PENDENTE")))))))))))</f>
        <v/>
      </c>
      <c r="D2467" s="4" t="n"/>
      <c r="E2467" s="5" t="n"/>
      <c r="F2467" s="5" t="n"/>
      <c r="G2467" s="5" t="n"/>
      <c r="H2467" s="5" t="n"/>
      <c r="I2467" s="5" t="n"/>
      <c r="J2467" s="6" t="n"/>
      <c r="K2467" s="6" t="n"/>
      <c r="L2467" s="7">
        <f>IF(OR(D2467="",N(J2467)=0),"",MIN(1,N(K2467)/J2467))</f>
        <v/>
      </c>
      <c r="M2467" s="5" t="n"/>
      <c r="N2467" s="5" t="n"/>
      <c r="O2467" s="5" t="n"/>
      <c r="P2467" s="5" t="n"/>
      <c r="Q2467" s="5" t="n"/>
      <c r="R2467" s="4" t="n"/>
      <c r="S2467" s="4" t="n"/>
      <c r="T2467" s="5" t="n"/>
      <c r="U2467" s="8">
        <f>IF(AND(V2467=1,D2467&lt;&gt;""),IF(D2467&gt;=corte,TODAY()-D2467,""),"")</f>
        <v/>
      </c>
      <c r="V2467" s="8">
        <f>IF(D2467="",0,IF(OR(AND(P2467&lt;&gt;"",S2467=""),AND(N(J2467)&gt;0,N(K2467)&lt;J2467),OR(M2467="PENDENTE",M2467="PARCIAL"),OR(N2467="PENDENTE",N2467="PARCIAL")),1,0))</f>
        <v/>
      </c>
      <c r="W2467" s="8">
        <f>IF(AND(V2467=1,D2467&lt;&gt;""),IF(D2467&gt;=corte,(B2467="CRÍTICO")*1E9+(100000-D2467)*10000+10000-ROW(),""),"")</f>
        <v/>
      </c>
      <c r="X2467" s="8">
        <f>IF(AND(V2467=1,D2467=pas_data,E2467=pas_turno),10000-ROW(),"")</f>
        <v/>
      </c>
    </row>
    <row r="2468">
      <c r="A2468" s="3">
        <f>IF(D2468="","","TT-"&amp;TEXT(ROW()-1,"00000"))</f>
        <v/>
      </c>
      <c r="B2468" s="3">
        <f>IF(D2468="","",IF(V2468=0,"CONCLUÍDO",IF(D2468&lt;corte,"HISTÓRICO",IF(OR(AND(ISNUMBER(R2468),R2468&lt;TODAY()),AND(OR(N2468="PENDENTE",N2468="PARCIAL"),D2468&lt;TODAY()-1)),"CRÍTICO",IF(OR(AND(P2468&lt;&gt;"",S2468=""),AND(N2468="REALIZADO",M2468="PENDENTE"),AND(ISNUMBER(R2468),R2468=TODAY())),"ATENÇÃO",IF(N(K2468)=0,"PENDENTE","EM ANDAMENTO"))))))</f>
        <v/>
      </c>
      <c r="C2468" s="3">
        <f>IF(D2468="","",IF(V2468=0,"🟢 OK",IF(D2468&lt;corte,"⚪ HISTÓRICO (sem baixa)",IF(AND(ISNUMBER(R2468),R2468&lt;TODAY()),"🔴 PRAZO VENCIDO",IF(AND(OR(N2468="PENDENTE",N2468="PARCIAL"),D2468&lt;TODAY()-1),"🔴 EMBARQUE ATRASADO",IF(AND(N2468="REALIZADO",M2468="PENDENTE"),"🟡 EMBARCADO SEM FATURAR",IF(AND(P2468&lt;&gt;"",S2468="",OR(Q2468="",R2468="")),"🟡 PENDÊNCIA SEM RESPONSÁVEL/PRAZO",IF(AND(ISNUMBER(R2468),R2468=TODAY()),"🟡 VENCE HOJE",IF(AND(P2468&lt;&gt;"",S2468=""),"🟡 PENDÊNCIA ABERTA",IF(AND(N(J2468)&gt;0,N(K2468)&lt;J2468),"🟡 FALTA EXECUTAR",IF(OR(M2468="PENDENTE",M2468="PARCIAL"),"🟡 FATURAMENTO PENDENTE","🟡 EMBARQUE PENDENTE")))))))))))</f>
        <v/>
      </c>
      <c r="D2468" s="4" t="n"/>
      <c r="E2468" s="5" t="n"/>
      <c r="F2468" s="5" t="n"/>
      <c r="G2468" s="5" t="n"/>
      <c r="H2468" s="5" t="n"/>
      <c r="I2468" s="5" t="n"/>
      <c r="J2468" s="6" t="n"/>
      <c r="K2468" s="6" t="n"/>
      <c r="L2468" s="7">
        <f>IF(OR(D2468="",N(J2468)=0),"",MIN(1,N(K2468)/J2468))</f>
        <v/>
      </c>
      <c r="M2468" s="5" t="n"/>
      <c r="N2468" s="5" t="n"/>
      <c r="O2468" s="5" t="n"/>
      <c r="P2468" s="5" t="n"/>
      <c r="Q2468" s="5" t="n"/>
      <c r="R2468" s="4" t="n"/>
      <c r="S2468" s="4" t="n"/>
      <c r="T2468" s="5" t="n"/>
      <c r="U2468" s="8">
        <f>IF(AND(V2468=1,D2468&lt;&gt;""),IF(D2468&gt;=corte,TODAY()-D2468,""),"")</f>
        <v/>
      </c>
      <c r="V2468" s="8">
        <f>IF(D2468="",0,IF(OR(AND(P2468&lt;&gt;"",S2468=""),AND(N(J2468)&gt;0,N(K2468)&lt;J2468),OR(M2468="PENDENTE",M2468="PARCIAL"),OR(N2468="PENDENTE",N2468="PARCIAL")),1,0))</f>
        <v/>
      </c>
      <c r="W2468" s="8">
        <f>IF(AND(V2468=1,D2468&lt;&gt;""),IF(D2468&gt;=corte,(B2468="CRÍTICO")*1E9+(100000-D2468)*10000+10000-ROW(),""),"")</f>
        <v/>
      </c>
      <c r="X2468" s="8">
        <f>IF(AND(V2468=1,D2468=pas_data,E2468=pas_turno),10000-ROW(),"")</f>
        <v/>
      </c>
    </row>
    <row r="2469">
      <c r="A2469" s="3">
        <f>IF(D2469="","","TT-"&amp;TEXT(ROW()-1,"00000"))</f>
        <v/>
      </c>
      <c r="B2469" s="3">
        <f>IF(D2469="","",IF(V2469=0,"CONCLUÍDO",IF(D2469&lt;corte,"HISTÓRICO",IF(OR(AND(ISNUMBER(R2469),R2469&lt;TODAY()),AND(OR(N2469="PENDENTE",N2469="PARCIAL"),D2469&lt;TODAY()-1)),"CRÍTICO",IF(OR(AND(P2469&lt;&gt;"",S2469=""),AND(N2469="REALIZADO",M2469="PENDENTE"),AND(ISNUMBER(R2469),R2469=TODAY())),"ATENÇÃO",IF(N(K2469)=0,"PENDENTE","EM ANDAMENTO"))))))</f>
        <v/>
      </c>
      <c r="C2469" s="3">
        <f>IF(D2469="","",IF(V2469=0,"🟢 OK",IF(D2469&lt;corte,"⚪ HISTÓRICO (sem baixa)",IF(AND(ISNUMBER(R2469),R2469&lt;TODAY()),"🔴 PRAZO VENCIDO",IF(AND(OR(N2469="PENDENTE",N2469="PARCIAL"),D2469&lt;TODAY()-1),"🔴 EMBARQUE ATRASADO",IF(AND(N2469="REALIZADO",M2469="PENDENTE"),"🟡 EMBARCADO SEM FATURAR",IF(AND(P2469&lt;&gt;"",S2469="",OR(Q2469="",R2469="")),"🟡 PENDÊNCIA SEM RESPONSÁVEL/PRAZO",IF(AND(ISNUMBER(R2469),R2469=TODAY()),"🟡 VENCE HOJE",IF(AND(P2469&lt;&gt;"",S2469=""),"🟡 PENDÊNCIA ABERTA",IF(AND(N(J2469)&gt;0,N(K2469)&lt;J2469),"🟡 FALTA EXECUTAR",IF(OR(M2469="PENDENTE",M2469="PARCIAL"),"🟡 FATURAMENTO PENDENTE","🟡 EMBARQUE PENDENTE")))))))))))</f>
        <v/>
      </c>
      <c r="D2469" s="4" t="n"/>
      <c r="E2469" s="5" t="n"/>
      <c r="F2469" s="5" t="n"/>
      <c r="G2469" s="5" t="n"/>
      <c r="H2469" s="5" t="n"/>
      <c r="I2469" s="5" t="n"/>
      <c r="J2469" s="6" t="n"/>
      <c r="K2469" s="6" t="n"/>
      <c r="L2469" s="7">
        <f>IF(OR(D2469="",N(J2469)=0),"",MIN(1,N(K2469)/J2469))</f>
        <v/>
      </c>
      <c r="M2469" s="5" t="n"/>
      <c r="N2469" s="5" t="n"/>
      <c r="O2469" s="5" t="n"/>
      <c r="P2469" s="5" t="n"/>
      <c r="Q2469" s="5" t="n"/>
      <c r="R2469" s="4" t="n"/>
      <c r="S2469" s="4" t="n"/>
      <c r="T2469" s="5" t="n"/>
      <c r="U2469" s="8">
        <f>IF(AND(V2469=1,D2469&lt;&gt;""),IF(D2469&gt;=corte,TODAY()-D2469,""),"")</f>
        <v/>
      </c>
      <c r="V2469" s="8">
        <f>IF(D2469="",0,IF(OR(AND(P2469&lt;&gt;"",S2469=""),AND(N(J2469)&gt;0,N(K2469)&lt;J2469),OR(M2469="PENDENTE",M2469="PARCIAL"),OR(N2469="PENDENTE",N2469="PARCIAL")),1,0))</f>
        <v/>
      </c>
      <c r="W2469" s="8">
        <f>IF(AND(V2469=1,D2469&lt;&gt;""),IF(D2469&gt;=corte,(B2469="CRÍTICO")*1E9+(100000-D2469)*10000+10000-ROW(),""),"")</f>
        <v/>
      </c>
      <c r="X2469" s="8">
        <f>IF(AND(V2469=1,D2469=pas_data,E2469=pas_turno),10000-ROW(),"")</f>
        <v/>
      </c>
    </row>
    <row r="2470">
      <c r="A2470" s="3">
        <f>IF(D2470="","","TT-"&amp;TEXT(ROW()-1,"00000"))</f>
        <v/>
      </c>
      <c r="B2470" s="3">
        <f>IF(D2470="","",IF(V2470=0,"CONCLUÍDO",IF(D2470&lt;corte,"HISTÓRICO",IF(OR(AND(ISNUMBER(R2470),R2470&lt;TODAY()),AND(OR(N2470="PENDENTE",N2470="PARCIAL"),D2470&lt;TODAY()-1)),"CRÍTICO",IF(OR(AND(P2470&lt;&gt;"",S2470=""),AND(N2470="REALIZADO",M2470="PENDENTE"),AND(ISNUMBER(R2470),R2470=TODAY())),"ATENÇÃO",IF(N(K2470)=0,"PENDENTE","EM ANDAMENTO"))))))</f>
        <v/>
      </c>
      <c r="C2470" s="3">
        <f>IF(D2470="","",IF(V2470=0,"🟢 OK",IF(D2470&lt;corte,"⚪ HISTÓRICO (sem baixa)",IF(AND(ISNUMBER(R2470),R2470&lt;TODAY()),"🔴 PRAZO VENCIDO",IF(AND(OR(N2470="PENDENTE",N2470="PARCIAL"),D2470&lt;TODAY()-1),"🔴 EMBARQUE ATRASADO",IF(AND(N2470="REALIZADO",M2470="PENDENTE"),"🟡 EMBARCADO SEM FATURAR",IF(AND(P2470&lt;&gt;"",S2470="",OR(Q2470="",R2470="")),"🟡 PENDÊNCIA SEM RESPONSÁVEL/PRAZO",IF(AND(ISNUMBER(R2470),R2470=TODAY()),"🟡 VENCE HOJE",IF(AND(P2470&lt;&gt;"",S2470=""),"🟡 PENDÊNCIA ABERTA",IF(AND(N(J2470)&gt;0,N(K2470)&lt;J2470),"🟡 FALTA EXECUTAR",IF(OR(M2470="PENDENTE",M2470="PARCIAL"),"🟡 FATURAMENTO PENDENTE","🟡 EMBARQUE PENDENTE")))))))))))</f>
        <v/>
      </c>
      <c r="D2470" s="4" t="n"/>
      <c r="E2470" s="5" t="n"/>
      <c r="F2470" s="5" t="n"/>
      <c r="G2470" s="5" t="n"/>
      <c r="H2470" s="5" t="n"/>
      <c r="I2470" s="5" t="n"/>
      <c r="J2470" s="6" t="n"/>
      <c r="K2470" s="6" t="n"/>
      <c r="L2470" s="7">
        <f>IF(OR(D2470="",N(J2470)=0),"",MIN(1,N(K2470)/J2470))</f>
        <v/>
      </c>
      <c r="M2470" s="5" t="n"/>
      <c r="N2470" s="5" t="n"/>
      <c r="O2470" s="5" t="n"/>
      <c r="P2470" s="5" t="n"/>
      <c r="Q2470" s="5" t="n"/>
      <c r="R2470" s="4" t="n"/>
      <c r="S2470" s="4" t="n"/>
      <c r="T2470" s="5" t="n"/>
      <c r="U2470" s="8">
        <f>IF(AND(V2470=1,D2470&lt;&gt;""),IF(D2470&gt;=corte,TODAY()-D2470,""),"")</f>
        <v/>
      </c>
      <c r="V2470" s="8">
        <f>IF(D2470="",0,IF(OR(AND(P2470&lt;&gt;"",S2470=""),AND(N(J2470)&gt;0,N(K2470)&lt;J2470),OR(M2470="PENDENTE",M2470="PARCIAL"),OR(N2470="PENDENTE",N2470="PARCIAL")),1,0))</f>
        <v/>
      </c>
      <c r="W2470" s="8">
        <f>IF(AND(V2470=1,D2470&lt;&gt;""),IF(D2470&gt;=corte,(B2470="CRÍTICO")*1E9+(100000-D2470)*10000+10000-ROW(),""),"")</f>
        <v/>
      </c>
      <c r="X2470" s="8">
        <f>IF(AND(V2470=1,D2470=pas_data,E2470=pas_turno),10000-ROW(),"")</f>
        <v/>
      </c>
    </row>
    <row r="2471">
      <c r="A2471" s="3">
        <f>IF(D2471="","","TT-"&amp;TEXT(ROW()-1,"00000"))</f>
        <v/>
      </c>
      <c r="B2471" s="3">
        <f>IF(D2471="","",IF(V2471=0,"CONCLUÍDO",IF(D2471&lt;corte,"HISTÓRICO",IF(OR(AND(ISNUMBER(R2471),R2471&lt;TODAY()),AND(OR(N2471="PENDENTE",N2471="PARCIAL"),D2471&lt;TODAY()-1)),"CRÍTICO",IF(OR(AND(P2471&lt;&gt;"",S2471=""),AND(N2471="REALIZADO",M2471="PENDENTE"),AND(ISNUMBER(R2471),R2471=TODAY())),"ATENÇÃO",IF(N(K2471)=0,"PENDENTE","EM ANDAMENTO"))))))</f>
        <v/>
      </c>
      <c r="C2471" s="3">
        <f>IF(D2471="","",IF(V2471=0,"🟢 OK",IF(D2471&lt;corte,"⚪ HISTÓRICO (sem baixa)",IF(AND(ISNUMBER(R2471),R2471&lt;TODAY()),"🔴 PRAZO VENCIDO",IF(AND(OR(N2471="PENDENTE",N2471="PARCIAL"),D2471&lt;TODAY()-1),"🔴 EMBARQUE ATRASADO",IF(AND(N2471="REALIZADO",M2471="PENDENTE"),"🟡 EMBARCADO SEM FATURAR",IF(AND(P2471&lt;&gt;"",S2471="",OR(Q2471="",R2471="")),"🟡 PENDÊNCIA SEM RESPONSÁVEL/PRAZO",IF(AND(ISNUMBER(R2471),R2471=TODAY()),"🟡 VENCE HOJE",IF(AND(P2471&lt;&gt;"",S2471=""),"🟡 PENDÊNCIA ABERTA",IF(AND(N(J2471)&gt;0,N(K2471)&lt;J2471),"🟡 FALTA EXECUTAR",IF(OR(M2471="PENDENTE",M2471="PARCIAL"),"🟡 FATURAMENTO PENDENTE","🟡 EMBARQUE PENDENTE")))))))))))</f>
        <v/>
      </c>
      <c r="D2471" s="4" t="n"/>
      <c r="E2471" s="5" t="n"/>
      <c r="F2471" s="5" t="n"/>
      <c r="G2471" s="5" t="n"/>
      <c r="H2471" s="5" t="n"/>
      <c r="I2471" s="5" t="n"/>
      <c r="J2471" s="6" t="n"/>
      <c r="K2471" s="6" t="n"/>
      <c r="L2471" s="7">
        <f>IF(OR(D2471="",N(J2471)=0),"",MIN(1,N(K2471)/J2471))</f>
        <v/>
      </c>
      <c r="M2471" s="5" t="n"/>
      <c r="N2471" s="5" t="n"/>
      <c r="O2471" s="5" t="n"/>
      <c r="P2471" s="5" t="n"/>
      <c r="Q2471" s="5" t="n"/>
      <c r="R2471" s="4" t="n"/>
      <c r="S2471" s="4" t="n"/>
      <c r="T2471" s="5" t="n"/>
      <c r="U2471" s="8">
        <f>IF(AND(V2471=1,D2471&lt;&gt;""),IF(D2471&gt;=corte,TODAY()-D2471,""),"")</f>
        <v/>
      </c>
      <c r="V2471" s="8">
        <f>IF(D2471="",0,IF(OR(AND(P2471&lt;&gt;"",S2471=""),AND(N(J2471)&gt;0,N(K2471)&lt;J2471),OR(M2471="PENDENTE",M2471="PARCIAL"),OR(N2471="PENDENTE",N2471="PARCIAL")),1,0))</f>
        <v/>
      </c>
      <c r="W2471" s="8">
        <f>IF(AND(V2471=1,D2471&lt;&gt;""),IF(D2471&gt;=corte,(B2471="CRÍTICO")*1E9+(100000-D2471)*10000+10000-ROW(),""),"")</f>
        <v/>
      </c>
      <c r="X2471" s="8">
        <f>IF(AND(V2471=1,D2471=pas_data,E2471=pas_turno),10000-ROW(),"")</f>
        <v/>
      </c>
    </row>
    <row r="2472">
      <c r="A2472" s="3">
        <f>IF(D2472="","","TT-"&amp;TEXT(ROW()-1,"00000"))</f>
        <v/>
      </c>
      <c r="B2472" s="3">
        <f>IF(D2472="","",IF(V2472=0,"CONCLUÍDO",IF(D2472&lt;corte,"HISTÓRICO",IF(OR(AND(ISNUMBER(R2472),R2472&lt;TODAY()),AND(OR(N2472="PENDENTE",N2472="PARCIAL"),D2472&lt;TODAY()-1)),"CRÍTICO",IF(OR(AND(P2472&lt;&gt;"",S2472=""),AND(N2472="REALIZADO",M2472="PENDENTE"),AND(ISNUMBER(R2472),R2472=TODAY())),"ATENÇÃO",IF(N(K2472)=0,"PENDENTE","EM ANDAMENTO"))))))</f>
        <v/>
      </c>
      <c r="C2472" s="3">
        <f>IF(D2472="","",IF(V2472=0,"🟢 OK",IF(D2472&lt;corte,"⚪ HISTÓRICO (sem baixa)",IF(AND(ISNUMBER(R2472),R2472&lt;TODAY()),"🔴 PRAZO VENCIDO",IF(AND(OR(N2472="PENDENTE",N2472="PARCIAL"),D2472&lt;TODAY()-1),"🔴 EMBARQUE ATRASADO",IF(AND(N2472="REALIZADO",M2472="PENDENTE"),"🟡 EMBARCADO SEM FATURAR",IF(AND(P2472&lt;&gt;"",S2472="",OR(Q2472="",R2472="")),"🟡 PENDÊNCIA SEM RESPONSÁVEL/PRAZO",IF(AND(ISNUMBER(R2472),R2472=TODAY()),"🟡 VENCE HOJE",IF(AND(P2472&lt;&gt;"",S2472=""),"🟡 PENDÊNCIA ABERTA",IF(AND(N(J2472)&gt;0,N(K2472)&lt;J2472),"🟡 FALTA EXECUTAR",IF(OR(M2472="PENDENTE",M2472="PARCIAL"),"🟡 FATURAMENTO PENDENTE","🟡 EMBARQUE PENDENTE")))))))))))</f>
        <v/>
      </c>
      <c r="D2472" s="4" t="n"/>
      <c r="E2472" s="5" t="n"/>
      <c r="F2472" s="5" t="n"/>
      <c r="G2472" s="5" t="n"/>
      <c r="H2472" s="5" t="n"/>
      <c r="I2472" s="5" t="n"/>
      <c r="J2472" s="6" t="n"/>
      <c r="K2472" s="6" t="n"/>
      <c r="L2472" s="7">
        <f>IF(OR(D2472="",N(J2472)=0),"",MIN(1,N(K2472)/J2472))</f>
        <v/>
      </c>
      <c r="M2472" s="5" t="n"/>
      <c r="N2472" s="5" t="n"/>
      <c r="O2472" s="5" t="n"/>
      <c r="P2472" s="5" t="n"/>
      <c r="Q2472" s="5" t="n"/>
      <c r="R2472" s="4" t="n"/>
      <c r="S2472" s="4" t="n"/>
      <c r="T2472" s="5" t="n"/>
      <c r="U2472" s="8">
        <f>IF(AND(V2472=1,D2472&lt;&gt;""),IF(D2472&gt;=corte,TODAY()-D2472,""),"")</f>
        <v/>
      </c>
      <c r="V2472" s="8">
        <f>IF(D2472="",0,IF(OR(AND(P2472&lt;&gt;"",S2472=""),AND(N(J2472)&gt;0,N(K2472)&lt;J2472),OR(M2472="PENDENTE",M2472="PARCIAL"),OR(N2472="PENDENTE",N2472="PARCIAL")),1,0))</f>
        <v/>
      </c>
      <c r="W2472" s="8">
        <f>IF(AND(V2472=1,D2472&lt;&gt;""),IF(D2472&gt;=corte,(B2472="CRÍTICO")*1E9+(100000-D2472)*10000+10000-ROW(),""),"")</f>
        <v/>
      </c>
      <c r="X2472" s="8">
        <f>IF(AND(V2472=1,D2472=pas_data,E2472=pas_turno),10000-ROW(),"")</f>
        <v/>
      </c>
    </row>
    <row r="2473">
      <c r="A2473" s="3">
        <f>IF(D2473="","","TT-"&amp;TEXT(ROW()-1,"00000"))</f>
        <v/>
      </c>
      <c r="B2473" s="3">
        <f>IF(D2473="","",IF(V2473=0,"CONCLUÍDO",IF(D2473&lt;corte,"HISTÓRICO",IF(OR(AND(ISNUMBER(R2473),R2473&lt;TODAY()),AND(OR(N2473="PENDENTE",N2473="PARCIAL"),D2473&lt;TODAY()-1)),"CRÍTICO",IF(OR(AND(P2473&lt;&gt;"",S2473=""),AND(N2473="REALIZADO",M2473="PENDENTE"),AND(ISNUMBER(R2473),R2473=TODAY())),"ATENÇÃO",IF(N(K2473)=0,"PENDENTE","EM ANDAMENTO"))))))</f>
        <v/>
      </c>
      <c r="C2473" s="3">
        <f>IF(D2473="","",IF(V2473=0,"🟢 OK",IF(D2473&lt;corte,"⚪ HISTÓRICO (sem baixa)",IF(AND(ISNUMBER(R2473),R2473&lt;TODAY()),"🔴 PRAZO VENCIDO",IF(AND(OR(N2473="PENDENTE",N2473="PARCIAL"),D2473&lt;TODAY()-1),"🔴 EMBARQUE ATRASADO",IF(AND(N2473="REALIZADO",M2473="PENDENTE"),"🟡 EMBARCADO SEM FATURAR",IF(AND(P2473&lt;&gt;"",S2473="",OR(Q2473="",R2473="")),"🟡 PENDÊNCIA SEM RESPONSÁVEL/PRAZO",IF(AND(ISNUMBER(R2473),R2473=TODAY()),"🟡 VENCE HOJE",IF(AND(P2473&lt;&gt;"",S2473=""),"🟡 PENDÊNCIA ABERTA",IF(AND(N(J2473)&gt;0,N(K2473)&lt;J2473),"🟡 FALTA EXECUTAR",IF(OR(M2473="PENDENTE",M2473="PARCIAL"),"🟡 FATURAMENTO PENDENTE","🟡 EMBARQUE PENDENTE")))))))))))</f>
        <v/>
      </c>
      <c r="D2473" s="4" t="n"/>
      <c r="E2473" s="5" t="n"/>
      <c r="F2473" s="5" t="n"/>
      <c r="G2473" s="5" t="n"/>
      <c r="H2473" s="5" t="n"/>
      <c r="I2473" s="5" t="n"/>
      <c r="J2473" s="6" t="n"/>
      <c r="K2473" s="6" t="n"/>
      <c r="L2473" s="7">
        <f>IF(OR(D2473="",N(J2473)=0),"",MIN(1,N(K2473)/J2473))</f>
        <v/>
      </c>
      <c r="M2473" s="5" t="n"/>
      <c r="N2473" s="5" t="n"/>
      <c r="O2473" s="5" t="n"/>
      <c r="P2473" s="5" t="n"/>
      <c r="Q2473" s="5" t="n"/>
      <c r="R2473" s="4" t="n"/>
      <c r="S2473" s="4" t="n"/>
      <c r="T2473" s="5" t="n"/>
      <c r="U2473" s="8">
        <f>IF(AND(V2473=1,D2473&lt;&gt;""),IF(D2473&gt;=corte,TODAY()-D2473,""),"")</f>
        <v/>
      </c>
      <c r="V2473" s="8">
        <f>IF(D2473="",0,IF(OR(AND(P2473&lt;&gt;"",S2473=""),AND(N(J2473)&gt;0,N(K2473)&lt;J2473),OR(M2473="PENDENTE",M2473="PARCIAL"),OR(N2473="PENDENTE",N2473="PARCIAL")),1,0))</f>
        <v/>
      </c>
      <c r="W2473" s="8">
        <f>IF(AND(V2473=1,D2473&lt;&gt;""),IF(D2473&gt;=corte,(B2473="CRÍTICO")*1E9+(100000-D2473)*10000+10000-ROW(),""),"")</f>
        <v/>
      </c>
      <c r="X2473" s="8">
        <f>IF(AND(V2473=1,D2473=pas_data,E2473=pas_turno),10000-ROW(),"")</f>
        <v/>
      </c>
    </row>
    <row r="2474">
      <c r="A2474" s="3">
        <f>IF(D2474="","","TT-"&amp;TEXT(ROW()-1,"00000"))</f>
        <v/>
      </c>
      <c r="B2474" s="3">
        <f>IF(D2474="","",IF(V2474=0,"CONCLUÍDO",IF(D2474&lt;corte,"HISTÓRICO",IF(OR(AND(ISNUMBER(R2474),R2474&lt;TODAY()),AND(OR(N2474="PENDENTE",N2474="PARCIAL"),D2474&lt;TODAY()-1)),"CRÍTICO",IF(OR(AND(P2474&lt;&gt;"",S2474=""),AND(N2474="REALIZADO",M2474="PENDENTE"),AND(ISNUMBER(R2474),R2474=TODAY())),"ATENÇÃO",IF(N(K2474)=0,"PENDENTE","EM ANDAMENTO"))))))</f>
        <v/>
      </c>
      <c r="C2474" s="3">
        <f>IF(D2474="","",IF(V2474=0,"🟢 OK",IF(D2474&lt;corte,"⚪ HISTÓRICO (sem baixa)",IF(AND(ISNUMBER(R2474),R2474&lt;TODAY()),"🔴 PRAZO VENCIDO",IF(AND(OR(N2474="PENDENTE",N2474="PARCIAL"),D2474&lt;TODAY()-1),"🔴 EMBARQUE ATRASADO",IF(AND(N2474="REALIZADO",M2474="PENDENTE"),"🟡 EMBARCADO SEM FATURAR",IF(AND(P2474&lt;&gt;"",S2474="",OR(Q2474="",R2474="")),"🟡 PENDÊNCIA SEM RESPONSÁVEL/PRAZO",IF(AND(ISNUMBER(R2474),R2474=TODAY()),"🟡 VENCE HOJE",IF(AND(P2474&lt;&gt;"",S2474=""),"🟡 PENDÊNCIA ABERTA",IF(AND(N(J2474)&gt;0,N(K2474)&lt;J2474),"🟡 FALTA EXECUTAR",IF(OR(M2474="PENDENTE",M2474="PARCIAL"),"🟡 FATURAMENTO PENDENTE","🟡 EMBARQUE PENDENTE")))))))))))</f>
        <v/>
      </c>
      <c r="D2474" s="4" t="n"/>
      <c r="E2474" s="5" t="n"/>
      <c r="F2474" s="5" t="n"/>
      <c r="G2474" s="5" t="n"/>
      <c r="H2474" s="5" t="n"/>
      <c r="I2474" s="5" t="n"/>
      <c r="J2474" s="6" t="n"/>
      <c r="K2474" s="6" t="n"/>
      <c r="L2474" s="7">
        <f>IF(OR(D2474="",N(J2474)=0),"",MIN(1,N(K2474)/J2474))</f>
        <v/>
      </c>
      <c r="M2474" s="5" t="n"/>
      <c r="N2474" s="5" t="n"/>
      <c r="O2474" s="5" t="n"/>
      <c r="P2474" s="5" t="n"/>
      <c r="Q2474" s="5" t="n"/>
      <c r="R2474" s="4" t="n"/>
      <c r="S2474" s="4" t="n"/>
      <c r="T2474" s="5" t="n"/>
      <c r="U2474" s="8">
        <f>IF(AND(V2474=1,D2474&lt;&gt;""),IF(D2474&gt;=corte,TODAY()-D2474,""),"")</f>
        <v/>
      </c>
      <c r="V2474" s="8">
        <f>IF(D2474="",0,IF(OR(AND(P2474&lt;&gt;"",S2474=""),AND(N(J2474)&gt;0,N(K2474)&lt;J2474),OR(M2474="PENDENTE",M2474="PARCIAL"),OR(N2474="PENDENTE",N2474="PARCIAL")),1,0))</f>
        <v/>
      </c>
      <c r="W2474" s="8">
        <f>IF(AND(V2474=1,D2474&lt;&gt;""),IF(D2474&gt;=corte,(B2474="CRÍTICO")*1E9+(100000-D2474)*10000+10000-ROW(),""),"")</f>
        <v/>
      </c>
      <c r="X2474" s="8">
        <f>IF(AND(V2474=1,D2474=pas_data,E2474=pas_turno),10000-ROW(),"")</f>
        <v/>
      </c>
    </row>
    <row r="2475">
      <c r="A2475" s="3">
        <f>IF(D2475="","","TT-"&amp;TEXT(ROW()-1,"00000"))</f>
        <v/>
      </c>
      <c r="B2475" s="3">
        <f>IF(D2475="","",IF(V2475=0,"CONCLUÍDO",IF(D2475&lt;corte,"HISTÓRICO",IF(OR(AND(ISNUMBER(R2475),R2475&lt;TODAY()),AND(OR(N2475="PENDENTE",N2475="PARCIAL"),D2475&lt;TODAY()-1)),"CRÍTICO",IF(OR(AND(P2475&lt;&gt;"",S2475=""),AND(N2475="REALIZADO",M2475="PENDENTE"),AND(ISNUMBER(R2475),R2475=TODAY())),"ATENÇÃO",IF(N(K2475)=0,"PENDENTE","EM ANDAMENTO"))))))</f>
        <v/>
      </c>
      <c r="C2475" s="3">
        <f>IF(D2475="","",IF(V2475=0,"🟢 OK",IF(D2475&lt;corte,"⚪ HISTÓRICO (sem baixa)",IF(AND(ISNUMBER(R2475),R2475&lt;TODAY()),"🔴 PRAZO VENCIDO",IF(AND(OR(N2475="PENDENTE",N2475="PARCIAL"),D2475&lt;TODAY()-1),"🔴 EMBARQUE ATRASADO",IF(AND(N2475="REALIZADO",M2475="PENDENTE"),"🟡 EMBARCADO SEM FATURAR",IF(AND(P2475&lt;&gt;"",S2475="",OR(Q2475="",R2475="")),"🟡 PENDÊNCIA SEM RESPONSÁVEL/PRAZO",IF(AND(ISNUMBER(R2475),R2475=TODAY()),"🟡 VENCE HOJE",IF(AND(P2475&lt;&gt;"",S2475=""),"🟡 PENDÊNCIA ABERTA",IF(AND(N(J2475)&gt;0,N(K2475)&lt;J2475),"🟡 FALTA EXECUTAR",IF(OR(M2475="PENDENTE",M2475="PARCIAL"),"🟡 FATURAMENTO PENDENTE","🟡 EMBARQUE PENDENTE")))))))))))</f>
        <v/>
      </c>
      <c r="D2475" s="4" t="n"/>
      <c r="E2475" s="5" t="n"/>
      <c r="F2475" s="5" t="n"/>
      <c r="G2475" s="5" t="n"/>
      <c r="H2475" s="5" t="n"/>
      <c r="I2475" s="5" t="n"/>
      <c r="J2475" s="6" t="n"/>
      <c r="K2475" s="6" t="n"/>
      <c r="L2475" s="7">
        <f>IF(OR(D2475="",N(J2475)=0),"",MIN(1,N(K2475)/J2475))</f>
        <v/>
      </c>
      <c r="M2475" s="5" t="n"/>
      <c r="N2475" s="5" t="n"/>
      <c r="O2475" s="5" t="n"/>
      <c r="P2475" s="5" t="n"/>
      <c r="Q2475" s="5" t="n"/>
      <c r="R2475" s="4" t="n"/>
      <c r="S2475" s="4" t="n"/>
      <c r="T2475" s="5" t="n"/>
      <c r="U2475" s="8">
        <f>IF(AND(V2475=1,D2475&lt;&gt;""),IF(D2475&gt;=corte,TODAY()-D2475,""),"")</f>
        <v/>
      </c>
      <c r="V2475" s="8">
        <f>IF(D2475="",0,IF(OR(AND(P2475&lt;&gt;"",S2475=""),AND(N(J2475)&gt;0,N(K2475)&lt;J2475),OR(M2475="PENDENTE",M2475="PARCIAL"),OR(N2475="PENDENTE",N2475="PARCIAL")),1,0))</f>
        <v/>
      </c>
      <c r="W2475" s="8">
        <f>IF(AND(V2475=1,D2475&lt;&gt;""),IF(D2475&gt;=corte,(B2475="CRÍTICO")*1E9+(100000-D2475)*10000+10000-ROW(),""),"")</f>
        <v/>
      </c>
      <c r="X2475" s="8">
        <f>IF(AND(V2475=1,D2475=pas_data,E2475=pas_turno),10000-ROW(),"")</f>
        <v/>
      </c>
    </row>
    <row r="2476">
      <c r="A2476" s="3">
        <f>IF(D2476="","","TT-"&amp;TEXT(ROW()-1,"00000"))</f>
        <v/>
      </c>
      <c r="B2476" s="3">
        <f>IF(D2476="","",IF(V2476=0,"CONCLUÍDO",IF(D2476&lt;corte,"HISTÓRICO",IF(OR(AND(ISNUMBER(R2476),R2476&lt;TODAY()),AND(OR(N2476="PENDENTE",N2476="PARCIAL"),D2476&lt;TODAY()-1)),"CRÍTICO",IF(OR(AND(P2476&lt;&gt;"",S2476=""),AND(N2476="REALIZADO",M2476="PENDENTE"),AND(ISNUMBER(R2476),R2476=TODAY())),"ATENÇÃO",IF(N(K2476)=0,"PENDENTE","EM ANDAMENTO"))))))</f>
        <v/>
      </c>
      <c r="C2476" s="3">
        <f>IF(D2476="","",IF(V2476=0,"🟢 OK",IF(D2476&lt;corte,"⚪ HISTÓRICO (sem baixa)",IF(AND(ISNUMBER(R2476),R2476&lt;TODAY()),"🔴 PRAZO VENCIDO",IF(AND(OR(N2476="PENDENTE",N2476="PARCIAL"),D2476&lt;TODAY()-1),"🔴 EMBARQUE ATRASADO",IF(AND(N2476="REALIZADO",M2476="PENDENTE"),"🟡 EMBARCADO SEM FATURAR",IF(AND(P2476&lt;&gt;"",S2476="",OR(Q2476="",R2476="")),"🟡 PENDÊNCIA SEM RESPONSÁVEL/PRAZO",IF(AND(ISNUMBER(R2476),R2476=TODAY()),"🟡 VENCE HOJE",IF(AND(P2476&lt;&gt;"",S2476=""),"🟡 PENDÊNCIA ABERTA",IF(AND(N(J2476)&gt;0,N(K2476)&lt;J2476),"🟡 FALTA EXECUTAR",IF(OR(M2476="PENDENTE",M2476="PARCIAL"),"🟡 FATURAMENTO PENDENTE","🟡 EMBARQUE PENDENTE")))))))))))</f>
        <v/>
      </c>
      <c r="D2476" s="4" t="n"/>
      <c r="E2476" s="5" t="n"/>
      <c r="F2476" s="5" t="n"/>
      <c r="G2476" s="5" t="n"/>
      <c r="H2476" s="5" t="n"/>
      <c r="I2476" s="5" t="n"/>
      <c r="J2476" s="6" t="n"/>
      <c r="K2476" s="6" t="n"/>
      <c r="L2476" s="7">
        <f>IF(OR(D2476="",N(J2476)=0),"",MIN(1,N(K2476)/J2476))</f>
        <v/>
      </c>
      <c r="M2476" s="5" t="n"/>
      <c r="N2476" s="5" t="n"/>
      <c r="O2476" s="5" t="n"/>
      <c r="P2476" s="5" t="n"/>
      <c r="Q2476" s="5" t="n"/>
      <c r="R2476" s="4" t="n"/>
      <c r="S2476" s="4" t="n"/>
      <c r="T2476" s="5" t="n"/>
      <c r="U2476" s="8">
        <f>IF(AND(V2476=1,D2476&lt;&gt;""),IF(D2476&gt;=corte,TODAY()-D2476,""),"")</f>
        <v/>
      </c>
      <c r="V2476" s="8">
        <f>IF(D2476="",0,IF(OR(AND(P2476&lt;&gt;"",S2476=""),AND(N(J2476)&gt;0,N(K2476)&lt;J2476),OR(M2476="PENDENTE",M2476="PARCIAL"),OR(N2476="PENDENTE",N2476="PARCIAL")),1,0))</f>
        <v/>
      </c>
      <c r="W2476" s="8">
        <f>IF(AND(V2476=1,D2476&lt;&gt;""),IF(D2476&gt;=corte,(B2476="CRÍTICO")*1E9+(100000-D2476)*10000+10000-ROW(),""),"")</f>
        <v/>
      </c>
      <c r="X2476" s="8">
        <f>IF(AND(V2476=1,D2476=pas_data,E2476=pas_turno),10000-ROW(),"")</f>
        <v/>
      </c>
    </row>
    <row r="2477">
      <c r="A2477" s="3">
        <f>IF(D2477="","","TT-"&amp;TEXT(ROW()-1,"00000"))</f>
        <v/>
      </c>
      <c r="B2477" s="3">
        <f>IF(D2477="","",IF(V2477=0,"CONCLUÍDO",IF(D2477&lt;corte,"HISTÓRICO",IF(OR(AND(ISNUMBER(R2477),R2477&lt;TODAY()),AND(OR(N2477="PENDENTE",N2477="PARCIAL"),D2477&lt;TODAY()-1)),"CRÍTICO",IF(OR(AND(P2477&lt;&gt;"",S2477=""),AND(N2477="REALIZADO",M2477="PENDENTE"),AND(ISNUMBER(R2477),R2477=TODAY())),"ATENÇÃO",IF(N(K2477)=0,"PENDENTE","EM ANDAMENTO"))))))</f>
        <v/>
      </c>
      <c r="C2477" s="3">
        <f>IF(D2477="","",IF(V2477=0,"🟢 OK",IF(D2477&lt;corte,"⚪ HISTÓRICO (sem baixa)",IF(AND(ISNUMBER(R2477),R2477&lt;TODAY()),"🔴 PRAZO VENCIDO",IF(AND(OR(N2477="PENDENTE",N2477="PARCIAL"),D2477&lt;TODAY()-1),"🔴 EMBARQUE ATRASADO",IF(AND(N2477="REALIZADO",M2477="PENDENTE"),"🟡 EMBARCADO SEM FATURAR",IF(AND(P2477&lt;&gt;"",S2477="",OR(Q2477="",R2477="")),"🟡 PENDÊNCIA SEM RESPONSÁVEL/PRAZO",IF(AND(ISNUMBER(R2477),R2477=TODAY()),"🟡 VENCE HOJE",IF(AND(P2477&lt;&gt;"",S2477=""),"🟡 PENDÊNCIA ABERTA",IF(AND(N(J2477)&gt;0,N(K2477)&lt;J2477),"🟡 FALTA EXECUTAR",IF(OR(M2477="PENDENTE",M2477="PARCIAL"),"🟡 FATURAMENTO PENDENTE","🟡 EMBARQUE PENDENTE")))))))))))</f>
        <v/>
      </c>
      <c r="D2477" s="4" t="n"/>
      <c r="E2477" s="5" t="n"/>
      <c r="F2477" s="5" t="n"/>
      <c r="G2477" s="5" t="n"/>
      <c r="H2477" s="5" t="n"/>
      <c r="I2477" s="5" t="n"/>
      <c r="J2477" s="6" t="n"/>
      <c r="K2477" s="6" t="n"/>
      <c r="L2477" s="7">
        <f>IF(OR(D2477="",N(J2477)=0),"",MIN(1,N(K2477)/J2477))</f>
        <v/>
      </c>
      <c r="M2477" s="5" t="n"/>
      <c r="N2477" s="5" t="n"/>
      <c r="O2477" s="5" t="n"/>
      <c r="P2477" s="5" t="n"/>
      <c r="Q2477" s="5" t="n"/>
      <c r="R2477" s="4" t="n"/>
      <c r="S2477" s="4" t="n"/>
      <c r="T2477" s="5" t="n"/>
      <c r="U2477" s="8">
        <f>IF(AND(V2477=1,D2477&lt;&gt;""),IF(D2477&gt;=corte,TODAY()-D2477,""),"")</f>
        <v/>
      </c>
      <c r="V2477" s="8">
        <f>IF(D2477="",0,IF(OR(AND(P2477&lt;&gt;"",S2477=""),AND(N(J2477)&gt;0,N(K2477)&lt;J2477),OR(M2477="PENDENTE",M2477="PARCIAL"),OR(N2477="PENDENTE",N2477="PARCIAL")),1,0))</f>
        <v/>
      </c>
      <c r="W2477" s="8">
        <f>IF(AND(V2477=1,D2477&lt;&gt;""),IF(D2477&gt;=corte,(B2477="CRÍTICO")*1E9+(100000-D2477)*10000+10000-ROW(),""),"")</f>
        <v/>
      </c>
      <c r="X2477" s="8">
        <f>IF(AND(V2477=1,D2477=pas_data,E2477=pas_turno),10000-ROW(),"")</f>
        <v/>
      </c>
    </row>
    <row r="2478">
      <c r="A2478" s="3">
        <f>IF(D2478="","","TT-"&amp;TEXT(ROW()-1,"00000"))</f>
        <v/>
      </c>
      <c r="B2478" s="3">
        <f>IF(D2478="","",IF(V2478=0,"CONCLUÍDO",IF(D2478&lt;corte,"HISTÓRICO",IF(OR(AND(ISNUMBER(R2478),R2478&lt;TODAY()),AND(OR(N2478="PENDENTE",N2478="PARCIAL"),D2478&lt;TODAY()-1)),"CRÍTICO",IF(OR(AND(P2478&lt;&gt;"",S2478=""),AND(N2478="REALIZADO",M2478="PENDENTE"),AND(ISNUMBER(R2478),R2478=TODAY())),"ATENÇÃO",IF(N(K2478)=0,"PENDENTE","EM ANDAMENTO"))))))</f>
        <v/>
      </c>
      <c r="C2478" s="3">
        <f>IF(D2478="","",IF(V2478=0,"🟢 OK",IF(D2478&lt;corte,"⚪ HISTÓRICO (sem baixa)",IF(AND(ISNUMBER(R2478),R2478&lt;TODAY()),"🔴 PRAZO VENCIDO",IF(AND(OR(N2478="PENDENTE",N2478="PARCIAL"),D2478&lt;TODAY()-1),"🔴 EMBARQUE ATRASADO",IF(AND(N2478="REALIZADO",M2478="PENDENTE"),"🟡 EMBARCADO SEM FATURAR",IF(AND(P2478&lt;&gt;"",S2478="",OR(Q2478="",R2478="")),"🟡 PENDÊNCIA SEM RESPONSÁVEL/PRAZO",IF(AND(ISNUMBER(R2478),R2478=TODAY()),"🟡 VENCE HOJE",IF(AND(P2478&lt;&gt;"",S2478=""),"🟡 PENDÊNCIA ABERTA",IF(AND(N(J2478)&gt;0,N(K2478)&lt;J2478),"🟡 FALTA EXECUTAR",IF(OR(M2478="PENDENTE",M2478="PARCIAL"),"🟡 FATURAMENTO PENDENTE","🟡 EMBARQUE PENDENTE")))))))))))</f>
        <v/>
      </c>
      <c r="D2478" s="4" t="n"/>
      <c r="E2478" s="5" t="n"/>
      <c r="F2478" s="5" t="n"/>
      <c r="G2478" s="5" t="n"/>
      <c r="H2478" s="5" t="n"/>
      <c r="I2478" s="5" t="n"/>
      <c r="J2478" s="6" t="n"/>
      <c r="K2478" s="6" t="n"/>
      <c r="L2478" s="7">
        <f>IF(OR(D2478="",N(J2478)=0),"",MIN(1,N(K2478)/J2478))</f>
        <v/>
      </c>
      <c r="M2478" s="5" t="n"/>
      <c r="N2478" s="5" t="n"/>
      <c r="O2478" s="5" t="n"/>
      <c r="P2478" s="5" t="n"/>
      <c r="Q2478" s="5" t="n"/>
      <c r="R2478" s="4" t="n"/>
      <c r="S2478" s="4" t="n"/>
      <c r="T2478" s="5" t="n"/>
      <c r="U2478" s="8">
        <f>IF(AND(V2478=1,D2478&lt;&gt;""),IF(D2478&gt;=corte,TODAY()-D2478,""),"")</f>
        <v/>
      </c>
      <c r="V2478" s="8">
        <f>IF(D2478="",0,IF(OR(AND(P2478&lt;&gt;"",S2478=""),AND(N(J2478)&gt;0,N(K2478)&lt;J2478),OR(M2478="PENDENTE",M2478="PARCIAL"),OR(N2478="PENDENTE",N2478="PARCIAL")),1,0))</f>
        <v/>
      </c>
      <c r="W2478" s="8">
        <f>IF(AND(V2478=1,D2478&lt;&gt;""),IF(D2478&gt;=corte,(B2478="CRÍTICO")*1E9+(100000-D2478)*10000+10000-ROW(),""),"")</f>
        <v/>
      </c>
      <c r="X2478" s="8">
        <f>IF(AND(V2478=1,D2478=pas_data,E2478=pas_turno),10000-ROW(),"")</f>
        <v/>
      </c>
    </row>
    <row r="2479">
      <c r="A2479" s="3">
        <f>IF(D2479="","","TT-"&amp;TEXT(ROW()-1,"00000"))</f>
        <v/>
      </c>
      <c r="B2479" s="3">
        <f>IF(D2479="","",IF(V2479=0,"CONCLUÍDO",IF(D2479&lt;corte,"HISTÓRICO",IF(OR(AND(ISNUMBER(R2479),R2479&lt;TODAY()),AND(OR(N2479="PENDENTE",N2479="PARCIAL"),D2479&lt;TODAY()-1)),"CRÍTICO",IF(OR(AND(P2479&lt;&gt;"",S2479=""),AND(N2479="REALIZADO",M2479="PENDENTE"),AND(ISNUMBER(R2479),R2479=TODAY())),"ATENÇÃO",IF(N(K2479)=0,"PENDENTE","EM ANDAMENTO"))))))</f>
        <v/>
      </c>
      <c r="C2479" s="3">
        <f>IF(D2479="","",IF(V2479=0,"🟢 OK",IF(D2479&lt;corte,"⚪ HISTÓRICO (sem baixa)",IF(AND(ISNUMBER(R2479),R2479&lt;TODAY()),"🔴 PRAZO VENCIDO",IF(AND(OR(N2479="PENDENTE",N2479="PARCIAL"),D2479&lt;TODAY()-1),"🔴 EMBARQUE ATRASADO",IF(AND(N2479="REALIZADO",M2479="PENDENTE"),"🟡 EMBARCADO SEM FATURAR",IF(AND(P2479&lt;&gt;"",S2479="",OR(Q2479="",R2479="")),"🟡 PENDÊNCIA SEM RESPONSÁVEL/PRAZO",IF(AND(ISNUMBER(R2479),R2479=TODAY()),"🟡 VENCE HOJE",IF(AND(P2479&lt;&gt;"",S2479=""),"🟡 PENDÊNCIA ABERTA",IF(AND(N(J2479)&gt;0,N(K2479)&lt;J2479),"🟡 FALTA EXECUTAR",IF(OR(M2479="PENDENTE",M2479="PARCIAL"),"🟡 FATURAMENTO PENDENTE","🟡 EMBARQUE PENDENTE")))))))))))</f>
        <v/>
      </c>
      <c r="D2479" s="4" t="n"/>
      <c r="E2479" s="5" t="n"/>
      <c r="F2479" s="5" t="n"/>
      <c r="G2479" s="5" t="n"/>
      <c r="H2479" s="5" t="n"/>
      <c r="I2479" s="5" t="n"/>
      <c r="J2479" s="6" t="n"/>
      <c r="K2479" s="6" t="n"/>
      <c r="L2479" s="7">
        <f>IF(OR(D2479="",N(J2479)=0),"",MIN(1,N(K2479)/J2479))</f>
        <v/>
      </c>
      <c r="M2479" s="5" t="n"/>
      <c r="N2479" s="5" t="n"/>
      <c r="O2479" s="5" t="n"/>
      <c r="P2479" s="5" t="n"/>
      <c r="Q2479" s="5" t="n"/>
      <c r="R2479" s="4" t="n"/>
      <c r="S2479" s="4" t="n"/>
      <c r="T2479" s="5" t="n"/>
      <c r="U2479" s="8">
        <f>IF(AND(V2479=1,D2479&lt;&gt;""),IF(D2479&gt;=corte,TODAY()-D2479,""),"")</f>
        <v/>
      </c>
      <c r="V2479" s="8">
        <f>IF(D2479="",0,IF(OR(AND(P2479&lt;&gt;"",S2479=""),AND(N(J2479)&gt;0,N(K2479)&lt;J2479),OR(M2479="PENDENTE",M2479="PARCIAL"),OR(N2479="PENDENTE",N2479="PARCIAL")),1,0))</f>
        <v/>
      </c>
      <c r="W2479" s="8">
        <f>IF(AND(V2479=1,D2479&lt;&gt;""),IF(D2479&gt;=corte,(B2479="CRÍTICO")*1E9+(100000-D2479)*10000+10000-ROW(),""),"")</f>
        <v/>
      </c>
      <c r="X2479" s="8">
        <f>IF(AND(V2479=1,D2479=pas_data,E2479=pas_turno),10000-ROW(),"")</f>
        <v/>
      </c>
    </row>
    <row r="2480">
      <c r="A2480" s="3">
        <f>IF(D2480="","","TT-"&amp;TEXT(ROW()-1,"00000"))</f>
        <v/>
      </c>
      <c r="B2480" s="3">
        <f>IF(D2480="","",IF(V2480=0,"CONCLUÍDO",IF(D2480&lt;corte,"HISTÓRICO",IF(OR(AND(ISNUMBER(R2480),R2480&lt;TODAY()),AND(OR(N2480="PENDENTE",N2480="PARCIAL"),D2480&lt;TODAY()-1)),"CRÍTICO",IF(OR(AND(P2480&lt;&gt;"",S2480=""),AND(N2480="REALIZADO",M2480="PENDENTE"),AND(ISNUMBER(R2480),R2480=TODAY())),"ATENÇÃO",IF(N(K2480)=0,"PENDENTE","EM ANDAMENTO"))))))</f>
        <v/>
      </c>
      <c r="C2480" s="3">
        <f>IF(D2480="","",IF(V2480=0,"🟢 OK",IF(D2480&lt;corte,"⚪ HISTÓRICO (sem baixa)",IF(AND(ISNUMBER(R2480),R2480&lt;TODAY()),"🔴 PRAZO VENCIDO",IF(AND(OR(N2480="PENDENTE",N2480="PARCIAL"),D2480&lt;TODAY()-1),"🔴 EMBARQUE ATRASADO",IF(AND(N2480="REALIZADO",M2480="PENDENTE"),"🟡 EMBARCADO SEM FATURAR",IF(AND(P2480&lt;&gt;"",S2480="",OR(Q2480="",R2480="")),"🟡 PENDÊNCIA SEM RESPONSÁVEL/PRAZO",IF(AND(ISNUMBER(R2480),R2480=TODAY()),"🟡 VENCE HOJE",IF(AND(P2480&lt;&gt;"",S2480=""),"🟡 PENDÊNCIA ABERTA",IF(AND(N(J2480)&gt;0,N(K2480)&lt;J2480),"🟡 FALTA EXECUTAR",IF(OR(M2480="PENDENTE",M2480="PARCIAL"),"🟡 FATURAMENTO PENDENTE","🟡 EMBARQUE PENDENTE")))))))))))</f>
        <v/>
      </c>
      <c r="D2480" s="4" t="n"/>
      <c r="E2480" s="5" t="n"/>
      <c r="F2480" s="5" t="n"/>
      <c r="G2480" s="5" t="n"/>
      <c r="H2480" s="5" t="n"/>
      <c r="I2480" s="5" t="n"/>
      <c r="J2480" s="6" t="n"/>
      <c r="K2480" s="6" t="n"/>
      <c r="L2480" s="7">
        <f>IF(OR(D2480="",N(J2480)=0),"",MIN(1,N(K2480)/J2480))</f>
        <v/>
      </c>
      <c r="M2480" s="5" t="n"/>
      <c r="N2480" s="5" t="n"/>
      <c r="O2480" s="5" t="n"/>
      <c r="P2480" s="5" t="n"/>
      <c r="Q2480" s="5" t="n"/>
      <c r="R2480" s="4" t="n"/>
      <c r="S2480" s="4" t="n"/>
      <c r="T2480" s="5" t="n"/>
      <c r="U2480" s="8">
        <f>IF(AND(V2480=1,D2480&lt;&gt;""),IF(D2480&gt;=corte,TODAY()-D2480,""),"")</f>
        <v/>
      </c>
      <c r="V2480" s="8">
        <f>IF(D2480="",0,IF(OR(AND(P2480&lt;&gt;"",S2480=""),AND(N(J2480)&gt;0,N(K2480)&lt;J2480),OR(M2480="PENDENTE",M2480="PARCIAL"),OR(N2480="PENDENTE",N2480="PARCIAL")),1,0))</f>
        <v/>
      </c>
      <c r="W2480" s="8">
        <f>IF(AND(V2480=1,D2480&lt;&gt;""),IF(D2480&gt;=corte,(B2480="CRÍTICO")*1E9+(100000-D2480)*10000+10000-ROW(),""),"")</f>
        <v/>
      </c>
      <c r="X2480" s="8">
        <f>IF(AND(V2480=1,D2480=pas_data,E2480=pas_turno),10000-ROW(),"")</f>
        <v/>
      </c>
    </row>
    <row r="2481">
      <c r="A2481" s="3">
        <f>IF(D2481="","","TT-"&amp;TEXT(ROW()-1,"00000"))</f>
        <v/>
      </c>
      <c r="B2481" s="3">
        <f>IF(D2481="","",IF(V2481=0,"CONCLUÍDO",IF(D2481&lt;corte,"HISTÓRICO",IF(OR(AND(ISNUMBER(R2481),R2481&lt;TODAY()),AND(OR(N2481="PENDENTE",N2481="PARCIAL"),D2481&lt;TODAY()-1)),"CRÍTICO",IF(OR(AND(P2481&lt;&gt;"",S2481=""),AND(N2481="REALIZADO",M2481="PENDENTE"),AND(ISNUMBER(R2481),R2481=TODAY())),"ATENÇÃO",IF(N(K2481)=0,"PENDENTE","EM ANDAMENTO"))))))</f>
        <v/>
      </c>
      <c r="C2481" s="3">
        <f>IF(D2481="","",IF(V2481=0,"🟢 OK",IF(D2481&lt;corte,"⚪ HISTÓRICO (sem baixa)",IF(AND(ISNUMBER(R2481),R2481&lt;TODAY()),"🔴 PRAZO VENCIDO",IF(AND(OR(N2481="PENDENTE",N2481="PARCIAL"),D2481&lt;TODAY()-1),"🔴 EMBARQUE ATRASADO",IF(AND(N2481="REALIZADO",M2481="PENDENTE"),"🟡 EMBARCADO SEM FATURAR",IF(AND(P2481&lt;&gt;"",S2481="",OR(Q2481="",R2481="")),"🟡 PENDÊNCIA SEM RESPONSÁVEL/PRAZO",IF(AND(ISNUMBER(R2481),R2481=TODAY()),"🟡 VENCE HOJE",IF(AND(P2481&lt;&gt;"",S2481=""),"🟡 PENDÊNCIA ABERTA",IF(AND(N(J2481)&gt;0,N(K2481)&lt;J2481),"🟡 FALTA EXECUTAR",IF(OR(M2481="PENDENTE",M2481="PARCIAL"),"🟡 FATURAMENTO PENDENTE","🟡 EMBARQUE PENDENTE")))))))))))</f>
        <v/>
      </c>
      <c r="D2481" s="4" t="n"/>
      <c r="E2481" s="5" t="n"/>
      <c r="F2481" s="5" t="n"/>
      <c r="G2481" s="5" t="n"/>
      <c r="H2481" s="5" t="n"/>
      <c r="I2481" s="5" t="n"/>
      <c r="J2481" s="6" t="n"/>
      <c r="K2481" s="6" t="n"/>
      <c r="L2481" s="7">
        <f>IF(OR(D2481="",N(J2481)=0),"",MIN(1,N(K2481)/J2481))</f>
        <v/>
      </c>
      <c r="M2481" s="5" t="n"/>
      <c r="N2481" s="5" t="n"/>
      <c r="O2481" s="5" t="n"/>
      <c r="P2481" s="5" t="n"/>
      <c r="Q2481" s="5" t="n"/>
      <c r="R2481" s="4" t="n"/>
      <c r="S2481" s="4" t="n"/>
      <c r="T2481" s="5" t="n"/>
      <c r="U2481" s="8">
        <f>IF(AND(V2481=1,D2481&lt;&gt;""),IF(D2481&gt;=corte,TODAY()-D2481,""),"")</f>
        <v/>
      </c>
      <c r="V2481" s="8">
        <f>IF(D2481="",0,IF(OR(AND(P2481&lt;&gt;"",S2481=""),AND(N(J2481)&gt;0,N(K2481)&lt;J2481),OR(M2481="PENDENTE",M2481="PARCIAL"),OR(N2481="PENDENTE",N2481="PARCIAL")),1,0))</f>
        <v/>
      </c>
      <c r="W2481" s="8">
        <f>IF(AND(V2481=1,D2481&lt;&gt;""),IF(D2481&gt;=corte,(B2481="CRÍTICO")*1E9+(100000-D2481)*10000+10000-ROW(),""),"")</f>
        <v/>
      </c>
      <c r="X2481" s="8">
        <f>IF(AND(V2481=1,D2481=pas_data,E2481=pas_turno),10000-ROW(),"")</f>
        <v/>
      </c>
    </row>
    <row r="2482">
      <c r="A2482" s="3">
        <f>IF(D2482="","","TT-"&amp;TEXT(ROW()-1,"00000"))</f>
        <v/>
      </c>
      <c r="B2482" s="3">
        <f>IF(D2482="","",IF(V2482=0,"CONCLUÍDO",IF(D2482&lt;corte,"HISTÓRICO",IF(OR(AND(ISNUMBER(R2482),R2482&lt;TODAY()),AND(OR(N2482="PENDENTE",N2482="PARCIAL"),D2482&lt;TODAY()-1)),"CRÍTICO",IF(OR(AND(P2482&lt;&gt;"",S2482=""),AND(N2482="REALIZADO",M2482="PENDENTE"),AND(ISNUMBER(R2482),R2482=TODAY())),"ATENÇÃO",IF(N(K2482)=0,"PENDENTE","EM ANDAMENTO"))))))</f>
        <v/>
      </c>
      <c r="C2482" s="3">
        <f>IF(D2482="","",IF(V2482=0,"🟢 OK",IF(D2482&lt;corte,"⚪ HISTÓRICO (sem baixa)",IF(AND(ISNUMBER(R2482),R2482&lt;TODAY()),"🔴 PRAZO VENCIDO",IF(AND(OR(N2482="PENDENTE",N2482="PARCIAL"),D2482&lt;TODAY()-1),"🔴 EMBARQUE ATRASADO",IF(AND(N2482="REALIZADO",M2482="PENDENTE"),"🟡 EMBARCADO SEM FATURAR",IF(AND(P2482&lt;&gt;"",S2482="",OR(Q2482="",R2482="")),"🟡 PENDÊNCIA SEM RESPONSÁVEL/PRAZO",IF(AND(ISNUMBER(R2482),R2482=TODAY()),"🟡 VENCE HOJE",IF(AND(P2482&lt;&gt;"",S2482=""),"🟡 PENDÊNCIA ABERTA",IF(AND(N(J2482)&gt;0,N(K2482)&lt;J2482),"🟡 FALTA EXECUTAR",IF(OR(M2482="PENDENTE",M2482="PARCIAL"),"🟡 FATURAMENTO PENDENTE","🟡 EMBARQUE PENDENTE")))))))))))</f>
        <v/>
      </c>
      <c r="D2482" s="4" t="n"/>
      <c r="E2482" s="5" t="n"/>
      <c r="F2482" s="5" t="n"/>
      <c r="G2482" s="5" t="n"/>
      <c r="H2482" s="5" t="n"/>
      <c r="I2482" s="5" t="n"/>
      <c r="J2482" s="6" t="n"/>
      <c r="K2482" s="6" t="n"/>
      <c r="L2482" s="7">
        <f>IF(OR(D2482="",N(J2482)=0),"",MIN(1,N(K2482)/J2482))</f>
        <v/>
      </c>
      <c r="M2482" s="5" t="n"/>
      <c r="N2482" s="5" t="n"/>
      <c r="O2482" s="5" t="n"/>
      <c r="P2482" s="5" t="n"/>
      <c r="Q2482" s="5" t="n"/>
      <c r="R2482" s="4" t="n"/>
      <c r="S2482" s="4" t="n"/>
      <c r="T2482" s="5" t="n"/>
      <c r="U2482" s="8">
        <f>IF(AND(V2482=1,D2482&lt;&gt;""),IF(D2482&gt;=corte,TODAY()-D2482,""),"")</f>
        <v/>
      </c>
      <c r="V2482" s="8">
        <f>IF(D2482="",0,IF(OR(AND(P2482&lt;&gt;"",S2482=""),AND(N(J2482)&gt;0,N(K2482)&lt;J2482),OR(M2482="PENDENTE",M2482="PARCIAL"),OR(N2482="PENDENTE",N2482="PARCIAL")),1,0))</f>
        <v/>
      </c>
      <c r="W2482" s="8">
        <f>IF(AND(V2482=1,D2482&lt;&gt;""),IF(D2482&gt;=corte,(B2482="CRÍTICO")*1E9+(100000-D2482)*10000+10000-ROW(),""),"")</f>
        <v/>
      </c>
      <c r="X2482" s="8">
        <f>IF(AND(V2482=1,D2482=pas_data,E2482=pas_turno),10000-ROW(),"")</f>
        <v/>
      </c>
    </row>
    <row r="2483">
      <c r="A2483" s="3">
        <f>IF(D2483="","","TT-"&amp;TEXT(ROW()-1,"00000"))</f>
        <v/>
      </c>
      <c r="B2483" s="3">
        <f>IF(D2483="","",IF(V2483=0,"CONCLUÍDO",IF(D2483&lt;corte,"HISTÓRICO",IF(OR(AND(ISNUMBER(R2483),R2483&lt;TODAY()),AND(OR(N2483="PENDENTE",N2483="PARCIAL"),D2483&lt;TODAY()-1)),"CRÍTICO",IF(OR(AND(P2483&lt;&gt;"",S2483=""),AND(N2483="REALIZADO",M2483="PENDENTE"),AND(ISNUMBER(R2483),R2483=TODAY())),"ATENÇÃO",IF(N(K2483)=0,"PENDENTE","EM ANDAMENTO"))))))</f>
        <v/>
      </c>
      <c r="C2483" s="3">
        <f>IF(D2483="","",IF(V2483=0,"🟢 OK",IF(D2483&lt;corte,"⚪ HISTÓRICO (sem baixa)",IF(AND(ISNUMBER(R2483),R2483&lt;TODAY()),"🔴 PRAZO VENCIDO",IF(AND(OR(N2483="PENDENTE",N2483="PARCIAL"),D2483&lt;TODAY()-1),"🔴 EMBARQUE ATRASADO",IF(AND(N2483="REALIZADO",M2483="PENDENTE"),"🟡 EMBARCADO SEM FATURAR",IF(AND(P2483&lt;&gt;"",S2483="",OR(Q2483="",R2483="")),"🟡 PENDÊNCIA SEM RESPONSÁVEL/PRAZO",IF(AND(ISNUMBER(R2483),R2483=TODAY()),"🟡 VENCE HOJE",IF(AND(P2483&lt;&gt;"",S2483=""),"🟡 PENDÊNCIA ABERTA",IF(AND(N(J2483)&gt;0,N(K2483)&lt;J2483),"🟡 FALTA EXECUTAR",IF(OR(M2483="PENDENTE",M2483="PARCIAL"),"🟡 FATURAMENTO PENDENTE","🟡 EMBARQUE PENDENTE")))))))))))</f>
        <v/>
      </c>
      <c r="D2483" s="4" t="n"/>
      <c r="E2483" s="5" t="n"/>
      <c r="F2483" s="5" t="n"/>
      <c r="G2483" s="5" t="n"/>
      <c r="H2483" s="5" t="n"/>
      <c r="I2483" s="5" t="n"/>
      <c r="J2483" s="6" t="n"/>
      <c r="K2483" s="6" t="n"/>
      <c r="L2483" s="7">
        <f>IF(OR(D2483="",N(J2483)=0),"",MIN(1,N(K2483)/J2483))</f>
        <v/>
      </c>
      <c r="M2483" s="5" t="n"/>
      <c r="N2483" s="5" t="n"/>
      <c r="O2483" s="5" t="n"/>
      <c r="P2483" s="5" t="n"/>
      <c r="Q2483" s="5" t="n"/>
      <c r="R2483" s="4" t="n"/>
      <c r="S2483" s="4" t="n"/>
      <c r="T2483" s="5" t="n"/>
      <c r="U2483" s="8">
        <f>IF(AND(V2483=1,D2483&lt;&gt;""),IF(D2483&gt;=corte,TODAY()-D2483,""),"")</f>
        <v/>
      </c>
      <c r="V2483" s="8">
        <f>IF(D2483="",0,IF(OR(AND(P2483&lt;&gt;"",S2483=""),AND(N(J2483)&gt;0,N(K2483)&lt;J2483),OR(M2483="PENDENTE",M2483="PARCIAL"),OR(N2483="PENDENTE",N2483="PARCIAL")),1,0))</f>
        <v/>
      </c>
      <c r="W2483" s="8">
        <f>IF(AND(V2483=1,D2483&lt;&gt;""),IF(D2483&gt;=corte,(B2483="CRÍTICO")*1E9+(100000-D2483)*10000+10000-ROW(),""),"")</f>
        <v/>
      </c>
      <c r="X2483" s="8">
        <f>IF(AND(V2483=1,D2483=pas_data,E2483=pas_turno),10000-ROW(),"")</f>
        <v/>
      </c>
    </row>
    <row r="2484">
      <c r="A2484" s="3">
        <f>IF(D2484="","","TT-"&amp;TEXT(ROW()-1,"00000"))</f>
        <v/>
      </c>
      <c r="B2484" s="3">
        <f>IF(D2484="","",IF(V2484=0,"CONCLUÍDO",IF(D2484&lt;corte,"HISTÓRICO",IF(OR(AND(ISNUMBER(R2484),R2484&lt;TODAY()),AND(OR(N2484="PENDENTE",N2484="PARCIAL"),D2484&lt;TODAY()-1)),"CRÍTICO",IF(OR(AND(P2484&lt;&gt;"",S2484=""),AND(N2484="REALIZADO",M2484="PENDENTE"),AND(ISNUMBER(R2484),R2484=TODAY())),"ATENÇÃO",IF(N(K2484)=0,"PENDENTE","EM ANDAMENTO"))))))</f>
        <v/>
      </c>
      <c r="C2484" s="3">
        <f>IF(D2484="","",IF(V2484=0,"🟢 OK",IF(D2484&lt;corte,"⚪ HISTÓRICO (sem baixa)",IF(AND(ISNUMBER(R2484),R2484&lt;TODAY()),"🔴 PRAZO VENCIDO",IF(AND(OR(N2484="PENDENTE",N2484="PARCIAL"),D2484&lt;TODAY()-1),"🔴 EMBARQUE ATRASADO",IF(AND(N2484="REALIZADO",M2484="PENDENTE"),"🟡 EMBARCADO SEM FATURAR",IF(AND(P2484&lt;&gt;"",S2484="",OR(Q2484="",R2484="")),"🟡 PENDÊNCIA SEM RESPONSÁVEL/PRAZO",IF(AND(ISNUMBER(R2484),R2484=TODAY()),"🟡 VENCE HOJE",IF(AND(P2484&lt;&gt;"",S2484=""),"🟡 PENDÊNCIA ABERTA",IF(AND(N(J2484)&gt;0,N(K2484)&lt;J2484),"🟡 FALTA EXECUTAR",IF(OR(M2484="PENDENTE",M2484="PARCIAL"),"🟡 FATURAMENTO PENDENTE","🟡 EMBARQUE PENDENTE")))))))))))</f>
        <v/>
      </c>
      <c r="D2484" s="4" t="n"/>
      <c r="E2484" s="5" t="n"/>
      <c r="F2484" s="5" t="n"/>
      <c r="G2484" s="5" t="n"/>
      <c r="H2484" s="5" t="n"/>
      <c r="I2484" s="5" t="n"/>
      <c r="J2484" s="6" t="n"/>
      <c r="K2484" s="6" t="n"/>
      <c r="L2484" s="7">
        <f>IF(OR(D2484="",N(J2484)=0),"",MIN(1,N(K2484)/J2484))</f>
        <v/>
      </c>
      <c r="M2484" s="5" t="n"/>
      <c r="N2484" s="5" t="n"/>
      <c r="O2484" s="5" t="n"/>
      <c r="P2484" s="5" t="n"/>
      <c r="Q2484" s="5" t="n"/>
      <c r="R2484" s="4" t="n"/>
      <c r="S2484" s="4" t="n"/>
      <c r="T2484" s="5" t="n"/>
      <c r="U2484" s="8">
        <f>IF(AND(V2484=1,D2484&lt;&gt;""),IF(D2484&gt;=corte,TODAY()-D2484,""),"")</f>
        <v/>
      </c>
      <c r="V2484" s="8">
        <f>IF(D2484="",0,IF(OR(AND(P2484&lt;&gt;"",S2484=""),AND(N(J2484)&gt;0,N(K2484)&lt;J2484),OR(M2484="PENDENTE",M2484="PARCIAL"),OR(N2484="PENDENTE",N2484="PARCIAL")),1,0))</f>
        <v/>
      </c>
      <c r="W2484" s="8">
        <f>IF(AND(V2484=1,D2484&lt;&gt;""),IF(D2484&gt;=corte,(B2484="CRÍTICO")*1E9+(100000-D2484)*10000+10000-ROW(),""),"")</f>
        <v/>
      </c>
      <c r="X2484" s="8">
        <f>IF(AND(V2484=1,D2484=pas_data,E2484=pas_turno),10000-ROW(),"")</f>
        <v/>
      </c>
    </row>
    <row r="2485">
      <c r="A2485" s="3">
        <f>IF(D2485="","","TT-"&amp;TEXT(ROW()-1,"00000"))</f>
        <v/>
      </c>
      <c r="B2485" s="3">
        <f>IF(D2485="","",IF(V2485=0,"CONCLUÍDO",IF(D2485&lt;corte,"HISTÓRICO",IF(OR(AND(ISNUMBER(R2485),R2485&lt;TODAY()),AND(OR(N2485="PENDENTE",N2485="PARCIAL"),D2485&lt;TODAY()-1)),"CRÍTICO",IF(OR(AND(P2485&lt;&gt;"",S2485=""),AND(N2485="REALIZADO",M2485="PENDENTE"),AND(ISNUMBER(R2485),R2485=TODAY())),"ATENÇÃO",IF(N(K2485)=0,"PENDENTE","EM ANDAMENTO"))))))</f>
        <v/>
      </c>
      <c r="C2485" s="3">
        <f>IF(D2485="","",IF(V2485=0,"🟢 OK",IF(D2485&lt;corte,"⚪ HISTÓRICO (sem baixa)",IF(AND(ISNUMBER(R2485),R2485&lt;TODAY()),"🔴 PRAZO VENCIDO",IF(AND(OR(N2485="PENDENTE",N2485="PARCIAL"),D2485&lt;TODAY()-1),"🔴 EMBARQUE ATRASADO",IF(AND(N2485="REALIZADO",M2485="PENDENTE"),"🟡 EMBARCADO SEM FATURAR",IF(AND(P2485&lt;&gt;"",S2485="",OR(Q2485="",R2485="")),"🟡 PENDÊNCIA SEM RESPONSÁVEL/PRAZO",IF(AND(ISNUMBER(R2485),R2485=TODAY()),"🟡 VENCE HOJE",IF(AND(P2485&lt;&gt;"",S2485=""),"🟡 PENDÊNCIA ABERTA",IF(AND(N(J2485)&gt;0,N(K2485)&lt;J2485),"🟡 FALTA EXECUTAR",IF(OR(M2485="PENDENTE",M2485="PARCIAL"),"🟡 FATURAMENTO PENDENTE","🟡 EMBARQUE PENDENTE")))))))))))</f>
        <v/>
      </c>
      <c r="D2485" s="4" t="n"/>
      <c r="E2485" s="5" t="n"/>
      <c r="F2485" s="5" t="n"/>
      <c r="G2485" s="5" t="n"/>
      <c r="H2485" s="5" t="n"/>
      <c r="I2485" s="5" t="n"/>
      <c r="J2485" s="6" t="n"/>
      <c r="K2485" s="6" t="n"/>
      <c r="L2485" s="7">
        <f>IF(OR(D2485="",N(J2485)=0),"",MIN(1,N(K2485)/J2485))</f>
        <v/>
      </c>
      <c r="M2485" s="5" t="n"/>
      <c r="N2485" s="5" t="n"/>
      <c r="O2485" s="5" t="n"/>
      <c r="P2485" s="5" t="n"/>
      <c r="Q2485" s="5" t="n"/>
      <c r="R2485" s="4" t="n"/>
      <c r="S2485" s="4" t="n"/>
      <c r="T2485" s="5" t="n"/>
      <c r="U2485" s="8">
        <f>IF(AND(V2485=1,D2485&lt;&gt;""),IF(D2485&gt;=corte,TODAY()-D2485,""),"")</f>
        <v/>
      </c>
      <c r="V2485" s="8">
        <f>IF(D2485="",0,IF(OR(AND(P2485&lt;&gt;"",S2485=""),AND(N(J2485)&gt;0,N(K2485)&lt;J2485),OR(M2485="PENDENTE",M2485="PARCIAL"),OR(N2485="PENDENTE",N2485="PARCIAL")),1,0))</f>
        <v/>
      </c>
      <c r="W2485" s="8">
        <f>IF(AND(V2485=1,D2485&lt;&gt;""),IF(D2485&gt;=corte,(B2485="CRÍTICO")*1E9+(100000-D2485)*10000+10000-ROW(),""),"")</f>
        <v/>
      </c>
      <c r="X2485" s="8">
        <f>IF(AND(V2485=1,D2485=pas_data,E2485=pas_turno),10000-ROW(),"")</f>
        <v/>
      </c>
    </row>
    <row r="2486">
      <c r="A2486" s="3">
        <f>IF(D2486="","","TT-"&amp;TEXT(ROW()-1,"00000"))</f>
        <v/>
      </c>
      <c r="B2486" s="3">
        <f>IF(D2486="","",IF(V2486=0,"CONCLUÍDO",IF(D2486&lt;corte,"HISTÓRICO",IF(OR(AND(ISNUMBER(R2486),R2486&lt;TODAY()),AND(OR(N2486="PENDENTE",N2486="PARCIAL"),D2486&lt;TODAY()-1)),"CRÍTICO",IF(OR(AND(P2486&lt;&gt;"",S2486=""),AND(N2486="REALIZADO",M2486="PENDENTE"),AND(ISNUMBER(R2486),R2486=TODAY())),"ATENÇÃO",IF(N(K2486)=0,"PENDENTE","EM ANDAMENTO"))))))</f>
        <v/>
      </c>
      <c r="C2486" s="3">
        <f>IF(D2486="","",IF(V2486=0,"🟢 OK",IF(D2486&lt;corte,"⚪ HISTÓRICO (sem baixa)",IF(AND(ISNUMBER(R2486),R2486&lt;TODAY()),"🔴 PRAZO VENCIDO",IF(AND(OR(N2486="PENDENTE",N2486="PARCIAL"),D2486&lt;TODAY()-1),"🔴 EMBARQUE ATRASADO",IF(AND(N2486="REALIZADO",M2486="PENDENTE"),"🟡 EMBARCADO SEM FATURAR",IF(AND(P2486&lt;&gt;"",S2486="",OR(Q2486="",R2486="")),"🟡 PENDÊNCIA SEM RESPONSÁVEL/PRAZO",IF(AND(ISNUMBER(R2486),R2486=TODAY()),"🟡 VENCE HOJE",IF(AND(P2486&lt;&gt;"",S2486=""),"🟡 PENDÊNCIA ABERTA",IF(AND(N(J2486)&gt;0,N(K2486)&lt;J2486),"🟡 FALTA EXECUTAR",IF(OR(M2486="PENDENTE",M2486="PARCIAL"),"🟡 FATURAMENTO PENDENTE","🟡 EMBARQUE PENDENTE")))))))))))</f>
        <v/>
      </c>
      <c r="D2486" s="4" t="n"/>
      <c r="E2486" s="5" t="n"/>
      <c r="F2486" s="5" t="n"/>
      <c r="G2486" s="5" t="n"/>
      <c r="H2486" s="5" t="n"/>
      <c r="I2486" s="5" t="n"/>
      <c r="J2486" s="6" t="n"/>
      <c r="K2486" s="6" t="n"/>
      <c r="L2486" s="7">
        <f>IF(OR(D2486="",N(J2486)=0),"",MIN(1,N(K2486)/J2486))</f>
        <v/>
      </c>
      <c r="M2486" s="5" t="n"/>
      <c r="N2486" s="5" t="n"/>
      <c r="O2486" s="5" t="n"/>
      <c r="P2486" s="5" t="n"/>
      <c r="Q2486" s="5" t="n"/>
      <c r="R2486" s="4" t="n"/>
      <c r="S2486" s="4" t="n"/>
      <c r="T2486" s="5" t="n"/>
      <c r="U2486" s="8">
        <f>IF(AND(V2486=1,D2486&lt;&gt;""),IF(D2486&gt;=corte,TODAY()-D2486,""),"")</f>
        <v/>
      </c>
      <c r="V2486" s="8">
        <f>IF(D2486="",0,IF(OR(AND(P2486&lt;&gt;"",S2486=""),AND(N(J2486)&gt;0,N(K2486)&lt;J2486),OR(M2486="PENDENTE",M2486="PARCIAL"),OR(N2486="PENDENTE",N2486="PARCIAL")),1,0))</f>
        <v/>
      </c>
      <c r="W2486" s="8">
        <f>IF(AND(V2486=1,D2486&lt;&gt;""),IF(D2486&gt;=corte,(B2486="CRÍTICO")*1E9+(100000-D2486)*10000+10000-ROW(),""),"")</f>
        <v/>
      </c>
      <c r="X2486" s="8">
        <f>IF(AND(V2486=1,D2486=pas_data,E2486=pas_turno),10000-ROW(),"")</f>
        <v/>
      </c>
    </row>
    <row r="2487">
      <c r="A2487" s="3">
        <f>IF(D2487="","","TT-"&amp;TEXT(ROW()-1,"00000"))</f>
        <v/>
      </c>
      <c r="B2487" s="3">
        <f>IF(D2487="","",IF(V2487=0,"CONCLUÍDO",IF(D2487&lt;corte,"HISTÓRICO",IF(OR(AND(ISNUMBER(R2487),R2487&lt;TODAY()),AND(OR(N2487="PENDENTE",N2487="PARCIAL"),D2487&lt;TODAY()-1)),"CRÍTICO",IF(OR(AND(P2487&lt;&gt;"",S2487=""),AND(N2487="REALIZADO",M2487="PENDENTE"),AND(ISNUMBER(R2487),R2487=TODAY())),"ATENÇÃO",IF(N(K2487)=0,"PENDENTE","EM ANDAMENTO"))))))</f>
        <v/>
      </c>
      <c r="C2487" s="3">
        <f>IF(D2487="","",IF(V2487=0,"🟢 OK",IF(D2487&lt;corte,"⚪ HISTÓRICO (sem baixa)",IF(AND(ISNUMBER(R2487),R2487&lt;TODAY()),"🔴 PRAZO VENCIDO",IF(AND(OR(N2487="PENDENTE",N2487="PARCIAL"),D2487&lt;TODAY()-1),"🔴 EMBARQUE ATRASADO",IF(AND(N2487="REALIZADO",M2487="PENDENTE"),"🟡 EMBARCADO SEM FATURAR",IF(AND(P2487&lt;&gt;"",S2487="",OR(Q2487="",R2487="")),"🟡 PENDÊNCIA SEM RESPONSÁVEL/PRAZO",IF(AND(ISNUMBER(R2487),R2487=TODAY()),"🟡 VENCE HOJE",IF(AND(P2487&lt;&gt;"",S2487=""),"🟡 PENDÊNCIA ABERTA",IF(AND(N(J2487)&gt;0,N(K2487)&lt;J2487),"🟡 FALTA EXECUTAR",IF(OR(M2487="PENDENTE",M2487="PARCIAL"),"🟡 FATURAMENTO PENDENTE","🟡 EMBARQUE PENDENTE")))))))))))</f>
        <v/>
      </c>
      <c r="D2487" s="4" t="n"/>
      <c r="E2487" s="5" t="n"/>
      <c r="F2487" s="5" t="n"/>
      <c r="G2487" s="5" t="n"/>
      <c r="H2487" s="5" t="n"/>
      <c r="I2487" s="5" t="n"/>
      <c r="J2487" s="6" t="n"/>
      <c r="K2487" s="6" t="n"/>
      <c r="L2487" s="7">
        <f>IF(OR(D2487="",N(J2487)=0),"",MIN(1,N(K2487)/J2487))</f>
        <v/>
      </c>
      <c r="M2487" s="5" t="n"/>
      <c r="N2487" s="5" t="n"/>
      <c r="O2487" s="5" t="n"/>
      <c r="P2487" s="5" t="n"/>
      <c r="Q2487" s="5" t="n"/>
      <c r="R2487" s="4" t="n"/>
      <c r="S2487" s="4" t="n"/>
      <c r="T2487" s="5" t="n"/>
      <c r="U2487" s="8">
        <f>IF(AND(V2487=1,D2487&lt;&gt;""),IF(D2487&gt;=corte,TODAY()-D2487,""),"")</f>
        <v/>
      </c>
      <c r="V2487" s="8">
        <f>IF(D2487="",0,IF(OR(AND(P2487&lt;&gt;"",S2487=""),AND(N(J2487)&gt;0,N(K2487)&lt;J2487),OR(M2487="PENDENTE",M2487="PARCIAL"),OR(N2487="PENDENTE",N2487="PARCIAL")),1,0))</f>
        <v/>
      </c>
      <c r="W2487" s="8">
        <f>IF(AND(V2487=1,D2487&lt;&gt;""),IF(D2487&gt;=corte,(B2487="CRÍTICO")*1E9+(100000-D2487)*10000+10000-ROW(),""),"")</f>
        <v/>
      </c>
      <c r="X2487" s="8">
        <f>IF(AND(V2487=1,D2487=pas_data,E2487=pas_turno),10000-ROW(),"")</f>
        <v/>
      </c>
    </row>
    <row r="2488">
      <c r="A2488" s="3">
        <f>IF(D2488="","","TT-"&amp;TEXT(ROW()-1,"00000"))</f>
        <v/>
      </c>
      <c r="B2488" s="3">
        <f>IF(D2488="","",IF(V2488=0,"CONCLUÍDO",IF(D2488&lt;corte,"HISTÓRICO",IF(OR(AND(ISNUMBER(R2488),R2488&lt;TODAY()),AND(OR(N2488="PENDENTE",N2488="PARCIAL"),D2488&lt;TODAY()-1)),"CRÍTICO",IF(OR(AND(P2488&lt;&gt;"",S2488=""),AND(N2488="REALIZADO",M2488="PENDENTE"),AND(ISNUMBER(R2488),R2488=TODAY())),"ATENÇÃO",IF(N(K2488)=0,"PENDENTE","EM ANDAMENTO"))))))</f>
        <v/>
      </c>
      <c r="C2488" s="3">
        <f>IF(D2488="","",IF(V2488=0,"🟢 OK",IF(D2488&lt;corte,"⚪ HISTÓRICO (sem baixa)",IF(AND(ISNUMBER(R2488),R2488&lt;TODAY()),"🔴 PRAZO VENCIDO",IF(AND(OR(N2488="PENDENTE",N2488="PARCIAL"),D2488&lt;TODAY()-1),"🔴 EMBARQUE ATRASADO",IF(AND(N2488="REALIZADO",M2488="PENDENTE"),"🟡 EMBARCADO SEM FATURAR",IF(AND(P2488&lt;&gt;"",S2488="",OR(Q2488="",R2488="")),"🟡 PENDÊNCIA SEM RESPONSÁVEL/PRAZO",IF(AND(ISNUMBER(R2488),R2488=TODAY()),"🟡 VENCE HOJE",IF(AND(P2488&lt;&gt;"",S2488=""),"🟡 PENDÊNCIA ABERTA",IF(AND(N(J2488)&gt;0,N(K2488)&lt;J2488),"🟡 FALTA EXECUTAR",IF(OR(M2488="PENDENTE",M2488="PARCIAL"),"🟡 FATURAMENTO PENDENTE","🟡 EMBARQUE PENDENTE")))))))))))</f>
        <v/>
      </c>
      <c r="D2488" s="4" t="n"/>
      <c r="E2488" s="5" t="n"/>
      <c r="F2488" s="5" t="n"/>
      <c r="G2488" s="5" t="n"/>
      <c r="H2488" s="5" t="n"/>
      <c r="I2488" s="5" t="n"/>
      <c r="J2488" s="6" t="n"/>
      <c r="K2488" s="6" t="n"/>
      <c r="L2488" s="7">
        <f>IF(OR(D2488="",N(J2488)=0),"",MIN(1,N(K2488)/J2488))</f>
        <v/>
      </c>
      <c r="M2488" s="5" t="n"/>
      <c r="N2488" s="5" t="n"/>
      <c r="O2488" s="5" t="n"/>
      <c r="P2488" s="5" t="n"/>
      <c r="Q2488" s="5" t="n"/>
      <c r="R2488" s="4" t="n"/>
      <c r="S2488" s="4" t="n"/>
      <c r="T2488" s="5" t="n"/>
      <c r="U2488" s="8">
        <f>IF(AND(V2488=1,D2488&lt;&gt;""),IF(D2488&gt;=corte,TODAY()-D2488,""),"")</f>
        <v/>
      </c>
      <c r="V2488" s="8">
        <f>IF(D2488="",0,IF(OR(AND(P2488&lt;&gt;"",S2488=""),AND(N(J2488)&gt;0,N(K2488)&lt;J2488),OR(M2488="PENDENTE",M2488="PARCIAL"),OR(N2488="PENDENTE",N2488="PARCIAL")),1,0))</f>
        <v/>
      </c>
      <c r="W2488" s="8">
        <f>IF(AND(V2488=1,D2488&lt;&gt;""),IF(D2488&gt;=corte,(B2488="CRÍTICO")*1E9+(100000-D2488)*10000+10000-ROW(),""),"")</f>
        <v/>
      </c>
      <c r="X2488" s="8">
        <f>IF(AND(V2488=1,D2488=pas_data,E2488=pas_turno),10000-ROW(),"")</f>
        <v/>
      </c>
    </row>
    <row r="2489">
      <c r="A2489" s="3">
        <f>IF(D2489="","","TT-"&amp;TEXT(ROW()-1,"00000"))</f>
        <v/>
      </c>
      <c r="B2489" s="3">
        <f>IF(D2489="","",IF(V2489=0,"CONCLUÍDO",IF(D2489&lt;corte,"HISTÓRICO",IF(OR(AND(ISNUMBER(R2489),R2489&lt;TODAY()),AND(OR(N2489="PENDENTE",N2489="PARCIAL"),D2489&lt;TODAY()-1)),"CRÍTICO",IF(OR(AND(P2489&lt;&gt;"",S2489=""),AND(N2489="REALIZADO",M2489="PENDENTE"),AND(ISNUMBER(R2489),R2489=TODAY())),"ATENÇÃO",IF(N(K2489)=0,"PENDENTE","EM ANDAMENTO"))))))</f>
        <v/>
      </c>
      <c r="C2489" s="3">
        <f>IF(D2489="","",IF(V2489=0,"🟢 OK",IF(D2489&lt;corte,"⚪ HISTÓRICO (sem baixa)",IF(AND(ISNUMBER(R2489),R2489&lt;TODAY()),"🔴 PRAZO VENCIDO",IF(AND(OR(N2489="PENDENTE",N2489="PARCIAL"),D2489&lt;TODAY()-1),"🔴 EMBARQUE ATRASADO",IF(AND(N2489="REALIZADO",M2489="PENDENTE"),"🟡 EMBARCADO SEM FATURAR",IF(AND(P2489&lt;&gt;"",S2489="",OR(Q2489="",R2489="")),"🟡 PENDÊNCIA SEM RESPONSÁVEL/PRAZO",IF(AND(ISNUMBER(R2489),R2489=TODAY()),"🟡 VENCE HOJE",IF(AND(P2489&lt;&gt;"",S2489=""),"🟡 PENDÊNCIA ABERTA",IF(AND(N(J2489)&gt;0,N(K2489)&lt;J2489),"🟡 FALTA EXECUTAR",IF(OR(M2489="PENDENTE",M2489="PARCIAL"),"🟡 FATURAMENTO PENDENTE","🟡 EMBARQUE PENDENTE")))))))))))</f>
        <v/>
      </c>
      <c r="D2489" s="4" t="n"/>
      <c r="E2489" s="5" t="n"/>
      <c r="F2489" s="5" t="n"/>
      <c r="G2489" s="5" t="n"/>
      <c r="H2489" s="5" t="n"/>
      <c r="I2489" s="5" t="n"/>
      <c r="J2489" s="6" t="n"/>
      <c r="K2489" s="6" t="n"/>
      <c r="L2489" s="7">
        <f>IF(OR(D2489="",N(J2489)=0),"",MIN(1,N(K2489)/J2489))</f>
        <v/>
      </c>
      <c r="M2489" s="5" t="n"/>
      <c r="N2489" s="5" t="n"/>
      <c r="O2489" s="5" t="n"/>
      <c r="P2489" s="5" t="n"/>
      <c r="Q2489" s="5" t="n"/>
      <c r="R2489" s="4" t="n"/>
      <c r="S2489" s="4" t="n"/>
      <c r="T2489" s="5" t="n"/>
      <c r="U2489" s="8">
        <f>IF(AND(V2489=1,D2489&lt;&gt;""),IF(D2489&gt;=corte,TODAY()-D2489,""),"")</f>
        <v/>
      </c>
      <c r="V2489" s="8">
        <f>IF(D2489="",0,IF(OR(AND(P2489&lt;&gt;"",S2489=""),AND(N(J2489)&gt;0,N(K2489)&lt;J2489),OR(M2489="PENDENTE",M2489="PARCIAL"),OR(N2489="PENDENTE",N2489="PARCIAL")),1,0))</f>
        <v/>
      </c>
      <c r="W2489" s="8">
        <f>IF(AND(V2489=1,D2489&lt;&gt;""),IF(D2489&gt;=corte,(B2489="CRÍTICO")*1E9+(100000-D2489)*10000+10000-ROW(),""),"")</f>
        <v/>
      </c>
      <c r="X2489" s="8">
        <f>IF(AND(V2489=1,D2489=pas_data,E2489=pas_turno),10000-ROW(),"")</f>
        <v/>
      </c>
    </row>
    <row r="2490">
      <c r="A2490" s="3">
        <f>IF(D2490="","","TT-"&amp;TEXT(ROW()-1,"00000"))</f>
        <v/>
      </c>
      <c r="B2490" s="3">
        <f>IF(D2490="","",IF(V2490=0,"CONCLUÍDO",IF(D2490&lt;corte,"HISTÓRICO",IF(OR(AND(ISNUMBER(R2490),R2490&lt;TODAY()),AND(OR(N2490="PENDENTE",N2490="PARCIAL"),D2490&lt;TODAY()-1)),"CRÍTICO",IF(OR(AND(P2490&lt;&gt;"",S2490=""),AND(N2490="REALIZADO",M2490="PENDENTE"),AND(ISNUMBER(R2490),R2490=TODAY())),"ATENÇÃO",IF(N(K2490)=0,"PENDENTE","EM ANDAMENTO"))))))</f>
        <v/>
      </c>
      <c r="C2490" s="3">
        <f>IF(D2490="","",IF(V2490=0,"🟢 OK",IF(D2490&lt;corte,"⚪ HISTÓRICO (sem baixa)",IF(AND(ISNUMBER(R2490),R2490&lt;TODAY()),"🔴 PRAZO VENCIDO",IF(AND(OR(N2490="PENDENTE",N2490="PARCIAL"),D2490&lt;TODAY()-1),"🔴 EMBARQUE ATRASADO",IF(AND(N2490="REALIZADO",M2490="PENDENTE"),"🟡 EMBARCADO SEM FATURAR",IF(AND(P2490&lt;&gt;"",S2490="",OR(Q2490="",R2490="")),"🟡 PENDÊNCIA SEM RESPONSÁVEL/PRAZO",IF(AND(ISNUMBER(R2490),R2490=TODAY()),"🟡 VENCE HOJE",IF(AND(P2490&lt;&gt;"",S2490=""),"🟡 PENDÊNCIA ABERTA",IF(AND(N(J2490)&gt;0,N(K2490)&lt;J2490),"🟡 FALTA EXECUTAR",IF(OR(M2490="PENDENTE",M2490="PARCIAL"),"🟡 FATURAMENTO PENDENTE","🟡 EMBARQUE PENDENTE")))))))))))</f>
        <v/>
      </c>
      <c r="D2490" s="4" t="n"/>
      <c r="E2490" s="5" t="n"/>
      <c r="F2490" s="5" t="n"/>
      <c r="G2490" s="5" t="n"/>
      <c r="H2490" s="5" t="n"/>
      <c r="I2490" s="5" t="n"/>
      <c r="J2490" s="6" t="n"/>
      <c r="K2490" s="6" t="n"/>
      <c r="L2490" s="7">
        <f>IF(OR(D2490="",N(J2490)=0),"",MIN(1,N(K2490)/J2490))</f>
        <v/>
      </c>
      <c r="M2490" s="5" t="n"/>
      <c r="N2490" s="5" t="n"/>
      <c r="O2490" s="5" t="n"/>
      <c r="P2490" s="5" t="n"/>
      <c r="Q2490" s="5" t="n"/>
      <c r="R2490" s="4" t="n"/>
      <c r="S2490" s="4" t="n"/>
      <c r="T2490" s="5" t="n"/>
      <c r="U2490" s="8">
        <f>IF(AND(V2490=1,D2490&lt;&gt;""),IF(D2490&gt;=corte,TODAY()-D2490,""),"")</f>
        <v/>
      </c>
      <c r="V2490" s="8">
        <f>IF(D2490="",0,IF(OR(AND(P2490&lt;&gt;"",S2490=""),AND(N(J2490)&gt;0,N(K2490)&lt;J2490),OR(M2490="PENDENTE",M2490="PARCIAL"),OR(N2490="PENDENTE",N2490="PARCIAL")),1,0))</f>
        <v/>
      </c>
      <c r="W2490" s="8">
        <f>IF(AND(V2490=1,D2490&lt;&gt;""),IF(D2490&gt;=corte,(B2490="CRÍTICO")*1E9+(100000-D2490)*10000+10000-ROW(),""),"")</f>
        <v/>
      </c>
      <c r="X2490" s="8">
        <f>IF(AND(V2490=1,D2490=pas_data,E2490=pas_turno),10000-ROW(),"")</f>
        <v/>
      </c>
    </row>
    <row r="2491">
      <c r="A2491" s="3">
        <f>IF(D2491="","","TT-"&amp;TEXT(ROW()-1,"00000"))</f>
        <v/>
      </c>
      <c r="B2491" s="3">
        <f>IF(D2491="","",IF(V2491=0,"CONCLUÍDO",IF(D2491&lt;corte,"HISTÓRICO",IF(OR(AND(ISNUMBER(R2491),R2491&lt;TODAY()),AND(OR(N2491="PENDENTE",N2491="PARCIAL"),D2491&lt;TODAY()-1)),"CRÍTICO",IF(OR(AND(P2491&lt;&gt;"",S2491=""),AND(N2491="REALIZADO",M2491="PENDENTE"),AND(ISNUMBER(R2491),R2491=TODAY())),"ATENÇÃO",IF(N(K2491)=0,"PENDENTE","EM ANDAMENTO"))))))</f>
        <v/>
      </c>
      <c r="C2491" s="3">
        <f>IF(D2491="","",IF(V2491=0,"🟢 OK",IF(D2491&lt;corte,"⚪ HISTÓRICO (sem baixa)",IF(AND(ISNUMBER(R2491),R2491&lt;TODAY()),"🔴 PRAZO VENCIDO",IF(AND(OR(N2491="PENDENTE",N2491="PARCIAL"),D2491&lt;TODAY()-1),"🔴 EMBARQUE ATRASADO",IF(AND(N2491="REALIZADO",M2491="PENDENTE"),"🟡 EMBARCADO SEM FATURAR",IF(AND(P2491&lt;&gt;"",S2491="",OR(Q2491="",R2491="")),"🟡 PENDÊNCIA SEM RESPONSÁVEL/PRAZO",IF(AND(ISNUMBER(R2491),R2491=TODAY()),"🟡 VENCE HOJE",IF(AND(P2491&lt;&gt;"",S2491=""),"🟡 PENDÊNCIA ABERTA",IF(AND(N(J2491)&gt;0,N(K2491)&lt;J2491),"🟡 FALTA EXECUTAR",IF(OR(M2491="PENDENTE",M2491="PARCIAL"),"🟡 FATURAMENTO PENDENTE","🟡 EMBARQUE PENDENTE")))))))))))</f>
        <v/>
      </c>
      <c r="D2491" s="4" t="n"/>
      <c r="E2491" s="5" t="n"/>
      <c r="F2491" s="5" t="n"/>
      <c r="G2491" s="5" t="n"/>
      <c r="H2491" s="5" t="n"/>
      <c r="I2491" s="5" t="n"/>
      <c r="J2491" s="6" t="n"/>
      <c r="K2491" s="6" t="n"/>
      <c r="L2491" s="7">
        <f>IF(OR(D2491="",N(J2491)=0),"",MIN(1,N(K2491)/J2491))</f>
        <v/>
      </c>
      <c r="M2491" s="5" t="n"/>
      <c r="N2491" s="5" t="n"/>
      <c r="O2491" s="5" t="n"/>
      <c r="P2491" s="5" t="n"/>
      <c r="Q2491" s="5" t="n"/>
      <c r="R2491" s="4" t="n"/>
      <c r="S2491" s="4" t="n"/>
      <c r="T2491" s="5" t="n"/>
      <c r="U2491" s="8">
        <f>IF(AND(V2491=1,D2491&lt;&gt;""),IF(D2491&gt;=corte,TODAY()-D2491,""),"")</f>
        <v/>
      </c>
      <c r="V2491" s="8">
        <f>IF(D2491="",0,IF(OR(AND(P2491&lt;&gt;"",S2491=""),AND(N(J2491)&gt;0,N(K2491)&lt;J2491),OR(M2491="PENDENTE",M2491="PARCIAL"),OR(N2491="PENDENTE",N2491="PARCIAL")),1,0))</f>
        <v/>
      </c>
      <c r="W2491" s="8">
        <f>IF(AND(V2491=1,D2491&lt;&gt;""),IF(D2491&gt;=corte,(B2491="CRÍTICO")*1E9+(100000-D2491)*10000+10000-ROW(),""),"")</f>
        <v/>
      </c>
      <c r="X2491" s="8">
        <f>IF(AND(V2491=1,D2491=pas_data,E2491=pas_turno),10000-ROW(),"")</f>
        <v/>
      </c>
    </row>
    <row r="2492">
      <c r="A2492" s="3">
        <f>IF(D2492="","","TT-"&amp;TEXT(ROW()-1,"00000"))</f>
        <v/>
      </c>
      <c r="B2492" s="3">
        <f>IF(D2492="","",IF(V2492=0,"CONCLUÍDO",IF(D2492&lt;corte,"HISTÓRICO",IF(OR(AND(ISNUMBER(R2492),R2492&lt;TODAY()),AND(OR(N2492="PENDENTE",N2492="PARCIAL"),D2492&lt;TODAY()-1)),"CRÍTICO",IF(OR(AND(P2492&lt;&gt;"",S2492=""),AND(N2492="REALIZADO",M2492="PENDENTE"),AND(ISNUMBER(R2492),R2492=TODAY())),"ATENÇÃO",IF(N(K2492)=0,"PENDENTE","EM ANDAMENTO"))))))</f>
        <v/>
      </c>
      <c r="C2492" s="3">
        <f>IF(D2492="","",IF(V2492=0,"🟢 OK",IF(D2492&lt;corte,"⚪ HISTÓRICO (sem baixa)",IF(AND(ISNUMBER(R2492),R2492&lt;TODAY()),"🔴 PRAZO VENCIDO",IF(AND(OR(N2492="PENDENTE",N2492="PARCIAL"),D2492&lt;TODAY()-1),"🔴 EMBARQUE ATRASADO",IF(AND(N2492="REALIZADO",M2492="PENDENTE"),"🟡 EMBARCADO SEM FATURAR",IF(AND(P2492&lt;&gt;"",S2492="",OR(Q2492="",R2492="")),"🟡 PENDÊNCIA SEM RESPONSÁVEL/PRAZO",IF(AND(ISNUMBER(R2492),R2492=TODAY()),"🟡 VENCE HOJE",IF(AND(P2492&lt;&gt;"",S2492=""),"🟡 PENDÊNCIA ABERTA",IF(AND(N(J2492)&gt;0,N(K2492)&lt;J2492),"🟡 FALTA EXECUTAR",IF(OR(M2492="PENDENTE",M2492="PARCIAL"),"🟡 FATURAMENTO PENDENTE","🟡 EMBARQUE PENDENTE")))))))))))</f>
        <v/>
      </c>
      <c r="D2492" s="4" t="n"/>
      <c r="E2492" s="5" t="n"/>
      <c r="F2492" s="5" t="n"/>
      <c r="G2492" s="5" t="n"/>
      <c r="H2492" s="5" t="n"/>
      <c r="I2492" s="5" t="n"/>
      <c r="J2492" s="6" t="n"/>
      <c r="K2492" s="6" t="n"/>
      <c r="L2492" s="7">
        <f>IF(OR(D2492="",N(J2492)=0),"",MIN(1,N(K2492)/J2492))</f>
        <v/>
      </c>
      <c r="M2492" s="5" t="n"/>
      <c r="N2492" s="5" t="n"/>
      <c r="O2492" s="5" t="n"/>
      <c r="P2492" s="5" t="n"/>
      <c r="Q2492" s="5" t="n"/>
      <c r="R2492" s="4" t="n"/>
      <c r="S2492" s="4" t="n"/>
      <c r="T2492" s="5" t="n"/>
      <c r="U2492" s="8">
        <f>IF(AND(V2492=1,D2492&lt;&gt;""),IF(D2492&gt;=corte,TODAY()-D2492,""),"")</f>
        <v/>
      </c>
      <c r="V2492" s="8">
        <f>IF(D2492="",0,IF(OR(AND(P2492&lt;&gt;"",S2492=""),AND(N(J2492)&gt;0,N(K2492)&lt;J2492),OR(M2492="PENDENTE",M2492="PARCIAL"),OR(N2492="PENDENTE",N2492="PARCIAL")),1,0))</f>
        <v/>
      </c>
      <c r="W2492" s="8">
        <f>IF(AND(V2492=1,D2492&lt;&gt;""),IF(D2492&gt;=corte,(B2492="CRÍTICO")*1E9+(100000-D2492)*10000+10000-ROW(),""),"")</f>
        <v/>
      </c>
      <c r="X2492" s="8">
        <f>IF(AND(V2492=1,D2492=pas_data,E2492=pas_turno),10000-ROW(),"")</f>
        <v/>
      </c>
    </row>
    <row r="2493">
      <c r="A2493" s="3">
        <f>IF(D2493="","","TT-"&amp;TEXT(ROW()-1,"00000"))</f>
        <v/>
      </c>
      <c r="B2493" s="3">
        <f>IF(D2493="","",IF(V2493=0,"CONCLUÍDO",IF(D2493&lt;corte,"HISTÓRICO",IF(OR(AND(ISNUMBER(R2493),R2493&lt;TODAY()),AND(OR(N2493="PENDENTE",N2493="PARCIAL"),D2493&lt;TODAY()-1)),"CRÍTICO",IF(OR(AND(P2493&lt;&gt;"",S2493=""),AND(N2493="REALIZADO",M2493="PENDENTE"),AND(ISNUMBER(R2493),R2493=TODAY())),"ATENÇÃO",IF(N(K2493)=0,"PENDENTE","EM ANDAMENTO"))))))</f>
        <v/>
      </c>
      <c r="C2493" s="3">
        <f>IF(D2493="","",IF(V2493=0,"🟢 OK",IF(D2493&lt;corte,"⚪ HISTÓRICO (sem baixa)",IF(AND(ISNUMBER(R2493),R2493&lt;TODAY()),"🔴 PRAZO VENCIDO",IF(AND(OR(N2493="PENDENTE",N2493="PARCIAL"),D2493&lt;TODAY()-1),"🔴 EMBARQUE ATRASADO",IF(AND(N2493="REALIZADO",M2493="PENDENTE"),"🟡 EMBARCADO SEM FATURAR",IF(AND(P2493&lt;&gt;"",S2493="",OR(Q2493="",R2493="")),"🟡 PENDÊNCIA SEM RESPONSÁVEL/PRAZO",IF(AND(ISNUMBER(R2493),R2493=TODAY()),"🟡 VENCE HOJE",IF(AND(P2493&lt;&gt;"",S2493=""),"🟡 PENDÊNCIA ABERTA",IF(AND(N(J2493)&gt;0,N(K2493)&lt;J2493),"🟡 FALTA EXECUTAR",IF(OR(M2493="PENDENTE",M2493="PARCIAL"),"🟡 FATURAMENTO PENDENTE","🟡 EMBARQUE PENDENTE")))))))))))</f>
        <v/>
      </c>
      <c r="D2493" s="4" t="n"/>
      <c r="E2493" s="5" t="n"/>
      <c r="F2493" s="5" t="n"/>
      <c r="G2493" s="5" t="n"/>
      <c r="H2493" s="5" t="n"/>
      <c r="I2493" s="5" t="n"/>
      <c r="J2493" s="6" t="n"/>
      <c r="K2493" s="6" t="n"/>
      <c r="L2493" s="7">
        <f>IF(OR(D2493="",N(J2493)=0),"",MIN(1,N(K2493)/J2493))</f>
        <v/>
      </c>
      <c r="M2493" s="5" t="n"/>
      <c r="N2493" s="5" t="n"/>
      <c r="O2493" s="5" t="n"/>
      <c r="P2493" s="5" t="n"/>
      <c r="Q2493" s="5" t="n"/>
      <c r="R2493" s="4" t="n"/>
      <c r="S2493" s="4" t="n"/>
      <c r="T2493" s="5" t="n"/>
      <c r="U2493" s="8">
        <f>IF(AND(V2493=1,D2493&lt;&gt;""),IF(D2493&gt;=corte,TODAY()-D2493,""),"")</f>
        <v/>
      </c>
      <c r="V2493" s="8">
        <f>IF(D2493="",0,IF(OR(AND(P2493&lt;&gt;"",S2493=""),AND(N(J2493)&gt;0,N(K2493)&lt;J2493),OR(M2493="PENDENTE",M2493="PARCIAL"),OR(N2493="PENDENTE",N2493="PARCIAL")),1,0))</f>
        <v/>
      </c>
      <c r="W2493" s="8">
        <f>IF(AND(V2493=1,D2493&lt;&gt;""),IF(D2493&gt;=corte,(B2493="CRÍTICO")*1E9+(100000-D2493)*10000+10000-ROW(),""),"")</f>
        <v/>
      </c>
      <c r="X2493" s="8">
        <f>IF(AND(V2493=1,D2493=pas_data,E2493=pas_turno),10000-ROW(),"")</f>
        <v/>
      </c>
    </row>
    <row r="2494">
      <c r="A2494" s="3">
        <f>IF(D2494="","","TT-"&amp;TEXT(ROW()-1,"00000"))</f>
        <v/>
      </c>
      <c r="B2494" s="3">
        <f>IF(D2494="","",IF(V2494=0,"CONCLUÍDO",IF(D2494&lt;corte,"HISTÓRICO",IF(OR(AND(ISNUMBER(R2494),R2494&lt;TODAY()),AND(OR(N2494="PENDENTE",N2494="PARCIAL"),D2494&lt;TODAY()-1)),"CRÍTICO",IF(OR(AND(P2494&lt;&gt;"",S2494=""),AND(N2494="REALIZADO",M2494="PENDENTE"),AND(ISNUMBER(R2494),R2494=TODAY())),"ATENÇÃO",IF(N(K2494)=0,"PENDENTE","EM ANDAMENTO"))))))</f>
        <v/>
      </c>
      <c r="C2494" s="3">
        <f>IF(D2494="","",IF(V2494=0,"🟢 OK",IF(D2494&lt;corte,"⚪ HISTÓRICO (sem baixa)",IF(AND(ISNUMBER(R2494),R2494&lt;TODAY()),"🔴 PRAZO VENCIDO",IF(AND(OR(N2494="PENDENTE",N2494="PARCIAL"),D2494&lt;TODAY()-1),"🔴 EMBARQUE ATRASADO",IF(AND(N2494="REALIZADO",M2494="PENDENTE"),"🟡 EMBARCADO SEM FATURAR",IF(AND(P2494&lt;&gt;"",S2494="",OR(Q2494="",R2494="")),"🟡 PENDÊNCIA SEM RESPONSÁVEL/PRAZO",IF(AND(ISNUMBER(R2494),R2494=TODAY()),"🟡 VENCE HOJE",IF(AND(P2494&lt;&gt;"",S2494=""),"🟡 PENDÊNCIA ABERTA",IF(AND(N(J2494)&gt;0,N(K2494)&lt;J2494),"🟡 FALTA EXECUTAR",IF(OR(M2494="PENDENTE",M2494="PARCIAL"),"🟡 FATURAMENTO PENDENTE","🟡 EMBARQUE PENDENTE")))))))))))</f>
        <v/>
      </c>
      <c r="D2494" s="4" t="n"/>
      <c r="E2494" s="5" t="n"/>
      <c r="F2494" s="5" t="n"/>
      <c r="G2494" s="5" t="n"/>
      <c r="H2494" s="5" t="n"/>
      <c r="I2494" s="5" t="n"/>
      <c r="J2494" s="6" t="n"/>
      <c r="K2494" s="6" t="n"/>
      <c r="L2494" s="7">
        <f>IF(OR(D2494="",N(J2494)=0),"",MIN(1,N(K2494)/J2494))</f>
        <v/>
      </c>
      <c r="M2494" s="5" t="n"/>
      <c r="N2494" s="5" t="n"/>
      <c r="O2494" s="5" t="n"/>
      <c r="P2494" s="5" t="n"/>
      <c r="Q2494" s="5" t="n"/>
      <c r="R2494" s="4" t="n"/>
      <c r="S2494" s="4" t="n"/>
      <c r="T2494" s="5" t="n"/>
      <c r="U2494" s="8">
        <f>IF(AND(V2494=1,D2494&lt;&gt;""),IF(D2494&gt;=corte,TODAY()-D2494,""),"")</f>
        <v/>
      </c>
      <c r="V2494" s="8">
        <f>IF(D2494="",0,IF(OR(AND(P2494&lt;&gt;"",S2494=""),AND(N(J2494)&gt;0,N(K2494)&lt;J2494),OR(M2494="PENDENTE",M2494="PARCIAL"),OR(N2494="PENDENTE",N2494="PARCIAL")),1,0))</f>
        <v/>
      </c>
      <c r="W2494" s="8">
        <f>IF(AND(V2494=1,D2494&lt;&gt;""),IF(D2494&gt;=corte,(B2494="CRÍTICO")*1E9+(100000-D2494)*10000+10000-ROW(),""),"")</f>
        <v/>
      </c>
      <c r="X2494" s="8">
        <f>IF(AND(V2494=1,D2494=pas_data,E2494=pas_turno),10000-ROW(),"")</f>
        <v/>
      </c>
    </row>
    <row r="2495">
      <c r="A2495" s="3">
        <f>IF(D2495="","","TT-"&amp;TEXT(ROW()-1,"00000"))</f>
        <v/>
      </c>
      <c r="B2495" s="3">
        <f>IF(D2495="","",IF(V2495=0,"CONCLUÍDO",IF(D2495&lt;corte,"HISTÓRICO",IF(OR(AND(ISNUMBER(R2495),R2495&lt;TODAY()),AND(OR(N2495="PENDENTE",N2495="PARCIAL"),D2495&lt;TODAY()-1)),"CRÍTICO",IF(OR(AND(P2495&lt;&gt;"",S2495=""),AND(N2495="REALIZADO",M2495="PENDENTE"),AND(ISNUMBER(R2495),R2495=TODAY())),"ATENÇÃO",IF(N(K2495)=0,"PENDENTE","EM ANDAMENTO"))))))</f>
        <v/>
      </c>
      <c r="C2495" s="3">
        <f>IF(D2495="","",IF(V2495=0,"🟢 OK",IF(D2495&lt;corte,"⚪ HISTÓRICO (sem baixa)",IF(AND(ISNUMBER(R2495),R2495&lt;TODAY()),"🔴 PRAZO VENCIDO",IF(AND(OR(N2495="PENDENTE",N2495="PARCIAL"),D2495&lt;TODAY()-1),"🔴 EMBARQUE ATRASADO",IF(AND(N2495="REALIZADO",M2495="PENDENTE"),"🟡 EMBARCADO SEM FATURAR",IF(AND(P2495&lt;&gt;"",S2495="",OR(Q2495="",R2495="")),"🟡 PENDÊNCIA SEM RESPONSÁVEL/PRAZO",IF(AND(ISNUMBER(R2495),R2495=TODAY()),"🟡 VENCE HOJE",IF(AND(P2495&lt;&gt;"",S2495=""),"🟡 PENDÊNCIA ABERTA",IF(AND(N(J2495)&gt;0,N(K2495)&lt;J2495),"🟡 FALTA EXECUTAR",IF(OR(M2495="PENDENTE",M2495="PARCIAL"),"🟡 FATURAMENTO PENDENTE","🟡 EMBARQUE PENDENTE")))))))))))</f>
        <v/>
      </c>
      <c r="D2495" s="4" t="n"/>
      <c r="E2495" s="5" t="n"/>
      <c r="F2495" s="5" t="n"/>
      <c r="G2495" s="5" t="n"/>
      <c r="H2495" s="5" t="n"/>
      <c r="I2495" s="5" t="n"/>
      <c r="J2495" s="6" t="n"/>
      <c r="K2495" s="6" t="n"/>
      <c r="L2495" s="7">
        <f>IF(OR(D2495="",N(J2495)=0),"",MIN(1,N(K2495)/J2495))</f>
        <v/>
      </c>
      <c r="M2495" s="5" t="n"/>
      <c r="N2495" s="5" t="n"/>
      <c r="O2495" s="5" t="n"/>
      <c r="P2495" s="5" t="n"/>
      <c r="Q2495" s="5" t="n"/>
      <c r="R2495" s="4" t="n"/>
      <c r="S2495" s="4" t="n"/>
      <c r="T2495" s="5" t="n"/>
      <c r="U2495" s="8">
        <f>IF(AND(V2495=1,D2495&lt;&gt;""),IF(D2495&gt;=corte,TODAY()-D2495,""),"")</f>
        <v/>
      </c>
      <c r="V2495" s="8">
        <f>IF(D2495="",0,IF(OR(AND(P2495&lt;&gt;"",S2495=""),AND(N(J2495)&gt;0,N(K2495)&lt;J2495),OR(M2495="PENDENTE",M2495="PARCIAL"),OR(N2495="PENDENTE",N2495="PARCIAL")),1,0))</f>
        <v/>
      </c>
      <c r="W2495" s="8">
        <f>IF(AND(V2495=1,D2495&lt;&gt;""),IF(D2495&gt;=corte,(B2495="CRÍTICO")*1E9+(100000-D2495)*10000+10000-ROW(),""),"")</f>
        <v/>
      </c>
      <c r="X2495" s="8">
        <f>IF(AND(V2495=1,D2495=pas_data,E2495=pas_turno),10000-ROW(),"")</f>
        <v/>
      </c>
    </row>
    <row r="2496">
      <c r="A2496" s="3">
        <f>IF(D2496="","","TT-"&amp;TEXT(ROW()-1,"00000"))</f>
        <v/>
      </c>
      <c r="B2496" s="3">
        <f>IF(D2496="","",IF(V2496=0,"CONCLUÍDO",IF(D2496&lt;corte,"HISTÓRICO",IF(OR(AND(ISNUMBER(R2496),R2496&lt;TODAY()),AND(OR(N2496="PENDENTE",N2496="PARCIAL"),D2496&lt;TODAY()-1)),"CRÍTICO",IF(OR(AND(P2496&lt;&gt;"",S2496=""),AND(N2496="REALIZADO",M2496="PENDENTE"),AND(ISNUMBER(R2496),R2496=TODAY())),"ATENÇÃO",IF(N(K2496)=0,"PENDENTE","EM ANDAMENTO"))))))</f>
        <v/>
      </c>
      <c r="C2496" s="3">
        <f>IF(D2496="","",IF(V2496=0,"🟢 OK",IF(D2496&lt;corte,"⚪ HISTÓRICO (sem baixa)",IF(AND(ISNUMBER(R2496),R2496&lt;TODAY()),"🔴 PRAZO VENCIDO",IF(AND(OR(N2496="PENDENTE",N2496="PARCIAL"),D2496&lt;TODAY()-1),"🔴 EMBARQUE ATRASADO",IF(AND(N2496="REALIZADO",M2496="PENDENTE"),"🟡 EMBARCADO SEM FATURAR",IF(AND(P2496&lt;&gt;"",S2496="",OR(Q2496="",R2496="")),"🟡 PENDÊNCIA SEM RESPONSÁVEL/PRAZO",IF(AND(ISNUMBER(R2496),R2496=TODAY()),"🟡 VENCE HOJE",IF(AND(P2496&lt;&gt;"",S2496=""),"🟡 PENDÊNCIA ABERTA",IF(AND(N(J2496)&gt;0,N(K2496)&lt;J2496),"🟡 FALTA EXECUTAR",IF(OR(M2496="PENDENTE",M2496="PARCIAL"),"🟡 FATURAMENTO PENDENTE","🟡 EMBARQUE PENDENTE")))))))))))</f>
        <v/>
      </c>
      <c r="D2496" s="4" t="n"/>
      <c r="E2496" s="5" t="n"/>
      <c r="F2496" s="5" t="n"/>
      <c r="G2496" s="5" t="n"/>
      <c r="H2496" s="5" t="n"/>
      <c r="I2496" s="5" t="n"/>
      <c r="J2496" s="6" t="n"/>
      <c r="K2496" s="6" t="n"/>
      <c r="L2496" s="7">
        <f>IF(OR(D2496="",N(J2496)=0),"",MIN(1,N(K2496)/J2496))</f>
        <v/>
      </c>
      <c r="M2496" s="5" t="n"/>
      <c r="N2496" s="5" t="n"/>
      <c r="O2496" s="5" t="n"/>
      <c r="P2496" s="5" t="n"/>
      <c r="Q2496" s="5" t="n"/>
      <c r="R2496" s="4" t="n"/>
      <c r="S2496" s="4" t="n"/>
      <c r="T2496" s="5" t="n"/>
      <c r="U2496" s="8">
        <f>IF(AND(V2496=1,D2496&lt;&gt;""),IF(D2496&gt;=corte,TODAY()-D2496,""),"")</f>
        <v/>
      </c>
      <c r="V2496" s="8">
        <f>IF(D2496="",0,IF(OR(AND(P2496&lt;&gt;"",S2496=""),AND(N(J2496)&gt;0,N(K2496)&lt;J2496),OR(M2496="PENDENTE",M2496="PARCIAL"),OR(N2496="PENDENTE",N2496="PARCIAL")),1,0))</f>
        <v/>
      </c>
      <c r="W2496" s="8">
        <f>IF(AND(V2496=1,D2496&lt;&gt;""),IF(D2496&gt;=corte,(B2496="CRÍTICO")*1E9+(100000-D2496)*10000+10000-ROW(),""),"")</f>
        <v/>
      </c>
      <c r="X2496" s="8">
        <f>IF(AND(V2496=1,D2496=pas_data,E2496=pas_turno),10000-ROW(),"")</f>
        <v/>
      </c>
    </row>
    <row r="2497">
      <c r="A2497" s="3">
        <f>IF(D2497="","","TT-"&amp;TEXT(ROW()-1,"00000"))</f>
        <v/>
      </c>
      <c r="B2497" s="3">
        <f>IF(D2497="","",IF(V2497=0,"CONCLUÍDO",IF(D2497&lt;corte,"HISTÓRICO",IF(OR(AND(ISNUMBER(R2497),R2497&lt;TODAY()),AND(OR(N2497="PENDENTE",N2497="PARCIAL"),D2497&lt;TODAY()-1)),"CRÍTICO",IF(OR(AND(P2497&lt;&gt;"",S2497=""),AND(N2497="REALIZADO",M2497="PENDENTE"),AND(ISNUMBER(R2497),R2497=TODAY())),"ATENÇÃO",IF(N(K2497)=0,"PENDENTE","EM ANDAMENTO"))))))</f>
        <v/>
      </c>
      <c r="C2497" s="3">
        <f>IF(D2497="","",IF(V2497=0,"🟢 OK",IF(D2497&lt;corte,"⚪ HISTÓRICO (sem baixa)",IF(AND(ISNUMBER(R2497),R2497&lt;TODAY()),"🔴 PRAZO VENCIDO",IF(AND(OR(N2497="PENDENTE",N2497="PARCIAL"),D2497&lt;TODAY()-1),"🔴 EMBARQUE ATRASADO",IF(AND(N2497="REALIZADO",M2497="PENDENTE"),"🟡 EMBARCADO SEM FATURAR",IF(AND(P2497&lt;&gt;"",S2497="",OR(Q2497="",R2497="")),"🟡 PENDÊNCIA SEM RESPONSÁVEL/PRAZO",IF(AND(ISNUMBER(R2497),R2497=TODAY()),"🟡 VENCE HOJE",IF(AND(P2497&lt;&gt;"",S2497=""),"🟡 PENDÊNCIA ABERTA",IF(AND(N(J2497)&gt;0,N(K2497)&lt;J2497),"🟡 FALTA EXECUTAR",IF(OR(M2497="PENDENTE",M2497="PARCIAL"),"🟡 FATURAMENTO PENDENTE","🟡 EMBARQUE PENDENTE")))))))))))</f>
        <v/>
      </c>
      <c r="D2497" s="4" t="n"/>
      <c r="E2497" s="5" t="n"/>
      <c r="F2497" s="5" t="n"/>
      <c r="G2497" s="5" t="n"/>
      <c r="H2497" s="5" t="n"/>
      <c r="I2497" s="5" t="n"/>
      <c r="J2497" s="6" t="n"/>
      <c r="K2497" s="6" t="n"/>
      <c r="L2497" s="7">
        <f>IF(OR(D2497="",N(J2497)=0),"",MIN(1,N(K2497)/J2497))</f>
        <v/>
      </c>
      <c r="M2497" s="5" t="n"/>
      <c r="N2497" s="5" t="n"/>
      <c r="O2497" s="5" t="n"/>
      <c r="P2497" s="5" t="n"/>
      <c r="Q2497" s="5" t="n"/>
      <c r="R2497" s="4" t="n"/>
      <c r="S2497" s="4" t="n"/>
      <c r="T2497" s="5" t="n"/>
      <c r="U2497" s="8">
        <f>IF(AND(V2497=1,D2497&lt;&gt;""),IF(D2497&gt;=corte,TODAY()-D2497,""),"")</f>
        <v/>
      </c>
      <c r="V2497" s="8">
        <f>IF(D2497="",0,IF(OR(AND(P2497&lt;&gt;"",S2497=""),AND(N(J2497)&gt;0,N(K2497)&lt;J2497),OR(M2497="PENDENTE",M2497="PARCIAL"),OR(N2497="PENDENTE",N2497="PARCIAL")),1,0))</f>
        <v/>
      </c>
      <c r="W2497" s="8">
        <f>IF(AND(V2497=1,D2497&lt;&gt;""),IF(D2497&gt;=corte,(B2497="CRÍTICO")*1E9+(100000-D2497)*10000+10000-ROW(),""),"")</f>
        <v/>
      </c>
      <c r="X2497" s="8">
        <f>IF(AND(V2497=1,D2497=pas_data,E2497=pas_turno),10000-ROW(),"")</f>
        <v/>
      </c>
    </row>
    <row r="2498">
      <c r="A2498" s="3">
        <f>IF(D2498="","","TT-"&amp;TEXT(ROW()-1,"00000"))</f>
        <v/>
      </c>
      <c r="B2498" s="3">
        <f>IF(D2498="","",IF(V2498=0,"CONCLUÍDO",IF(D2498&lt;corte,"HISTÓRICO",IF(OR(AND(ISNUMBER(R2498),R2498&lt;TODAY()),AND(OR(N2498="PENDENTE",N2498="PARCIAL"),D2498&lt;TODAY()-1)),"CRÍTICO",IF(OR(AND(P2498&lt;&gt;"",S2498=""),AND(N2498="REALIZADO",M2498="PENDENTE"),AND(ISNUMBER(R2498),R2498=TODAY())),"ATENÇÃO",IF(N(K2498)=0,"PENDENTE","EM ANDAMENTO"))))))</f>
        <v/>
      </c>
      <c r="C2498" s="3">
        <f>IF(D2498="","",IF(V2498=0,"🟢 OK",IF(D2498&lt;corte,"⚪ HISTÓRICO (sem baixa)",IF(AND(ISNUMBER(R2498),R2498&lt;TODAY()),"🔴 PRAZO VENCIDO",IF(AND(OR(N2498="PENDENTE",N2498="PARCIAL"),D2498&lt;TODAY()-1),"🔴 EMBARQUE ATRASADO",IF(AND(N2498="REALIZADO",M2498="PENDENTE"),"🟡 EMBARCADO SEM FATURAR",IF(AND(P2498&lt;&gt;"",S2498="",OR(Q2498="",R2498="")),"🟡 PENDÊNCIA SEM RESPONSÁVEL/PRAZO",IF(AND(ISNUMBER(R2498),R2498=TODAY()),"🟡 VENCE HOJE",IF(AND(P2498&lt;&gt;"",S2498=""),"🟡 PENDÊNCIA ABERTA",IF(AND(N(J2498)&gt;0,N(K2498)&lt;J2498),"🟡 FALTA EXECUTAR",IF(OR(M2498="PENDENTE",M2498="PARCIAL"),"🟡 FATURAMENTO PENDENTE","🟡 EMBARQUE PENDENTE")))))))))))</f>
        <v/>
      </c>
      <c r="D2498" s="4" t="n"/>
      <c r="E2498" s="5" t="n"/>
      <c r="F2498" s="5" t="n"/>
      <c r="G2498" s="5" t="n"/>
      <c r="H2498" s="5" t="n"/>
      <c r="I2498" s="5" t="n"/>
      <c r="J2498" s="6" t="n"/>
      <c r="K2498" s="6" t="n"/>
      <c r="L2498" s="7">
        <f>IF(OR(D2498="",N(J2498)=0),"",MIN(1,N(K2498)/J2498))</f>
        <v/>
      </c>
      <c r="M2498" s="5" t="n"/>
      <c r="N2498" s="5" t="n"/>
      <c r="O2498" s="5" t="n"/>
      <c r="P2498" s="5" t="n"/>
      <c r="Q2498" s="5" t="n"/>
      <c r="R2498" s="4" t="n"/>
      <c r="S2498" s="4" t="n"/>
      <c r="T2498" s="5" t="n"/>
      <c r="U2498" s="8">
        <f>IF(AND(V2498=1,D2498&lt;&gt;""),IF(D2498&gt;=corte,TODAY()-D2498,""),"")</f>
        <v/>
      </c>
      <c r="V2498" s="8">
        <f>IF(D2498="",0,IF(OR(AND(P2498&lt;&gt;"",S2498=""),AND(N(J2498)&gt;0,N(K2498)&lt;J2498),OR(M2498="PENDENTE",M2498="PARCIAL"),OR(N2498="PENDENTE",N2498="PARCIAL")),1,0))</f>
        <v/>
      </c>
      <c r="W2498" s="8">
        <f>IF(AND(V2498=1,D2498&lt;&gt;""),IF(D2498&gt;=corte,(B2498="CRÍTICO")*1E9+(100000-D2498)*10000+10000-ROW(),""),"")</f>
        <v/>
      </c>
      <c r="X2498" s="8">
        <f>IF(AND(V2498=1,D2498=pas_data,E2498=pas_turno),10000-ROW(),"")</f>
        <v/>
      </c>
    </row>
    <row r="2499">
      <c r="A2499" s="3">
        <f>IF(D2499="","","TT-"&amp;TEXT(ROW()-1,"00000"))</f>
        <v/>
      </c>
      <c r="B2499" s="3">
        <f>IF(D2499="","",IF(V2499=0,"CONCLUÍDO",IF(D2499&lt;corte,"HISTÓRICO",IF(OR(AND(ISNUMBER(R2499),R2499&lt;TODAY()),AND(OR(N2499="PENDENTE",N2499="PARCIAL"),D2499&lt;TODAY()-1)),"CRÍTICO",IF(OR(AND(P2499&lt;&gt;"",S2499=""),AND(N2499="REALIZADO",M2499="PENDENTE"),AND(ISNUMBER(R2499),R2499=TODAY())),"ATENÇÃO",IF(N(K2499)=0,"PENDENTE","EM ANDAMENTO"))))))</f>
        <v/>
      </c>
      <c r="C2499" s="3">
        <f>IF(D2499="","",IF(V2499=0,"🟢 OK",IF(D2499&lt;corte,"⚪ HISTÓRICO (sem baixa)",IF(AND(ISNUMBER(R2499),R2499&lt;TODAY()),"🔴 PRAZO VENCIDO",IF(AND(OR(N2499="PENDENTE",N2499="PARCIAL"),D2499&lt;TODAY()-1),"🔴 EMBARQUE ATRASADO",IF(AND(N2499="REALIZADO",M2499="PENDENTE"),"🟡 EMBARCADO SEM FATURAR",IF(AND(P2499&lt;&gt;"",S2499="",OR(Q2499="",R2499="")),"🟡 PENDÊNCIA SEM RESPONSÁVEL/PRAZO",IF(AND(ISNUMBER(R2499),R2499=TODAY()),"🟡 VENCE HOJE",IF(AND(P2499&lt;&gt;"",S2499=""),"🟡 PENDÊNCIA ABERTA",IF(AND(N(J2499)&gt;0,N(K2499)&lt;J2499),"🟡 FALTA EXECUTAR",IF(OR(M2499="PENDENTE",M2499="PARCIAL"),"🟡 FATURAMENTO PENDENTE","🟡 EMBARQUE PENDENTE")))))))))))</f>
        <v/>
      </c>
      <c r="D2499" s="4" t="n"/>
      <c r="E2499" s="5" t="n"/>
      <c r="F2499" s="5" t="n"/>
      <c r="G2499" s="5" t="n"/>
      <c r="H2499" s="5" t="n"/>
      <c r="I2499" s="5" t="n"/>
      <c r="J2499" s="6" t="n"/>
      <c r="K2499" s="6" t="n"/>
      <c r="L2499" s="7">
        <f>IF(OR(D2499="",N(J2499)=0),"",MIN(1,N(K2499)/J2499))</f>
        <v/>
      </c>
      <c r="M2499" s="5" t="n"/>
      <c r="N2499" s="5" t="n"/>
      <c r="O2499" s="5" t="n"/>
      <c r="P2499" s="5" t="n"/>
      <c r="Q2499" s="5" t="n"/>
      <c r="R2499" s="4" t="n"/>
      <c r="S2499" s="4" t="n"/>
      <c r="T2499" s="5" t="n"/>
      <c r="U2499" s="8">
        <f>IF(AND(V2499=1,D2499&lt;&gt;""),IF(D2499&gt;=corte,TODAY()-D2499,""),"")</f>
        <v/>
      </c>
      <c r="V2499" s="8">
        <f>IF(D2499="",0,IF(OR(AND(P2499&lt;&gt;"",S2499=""),AND(N(J2499)&gt;0,N(K2499)&lt;J2499),OR(M2499="PENDENTE",M2499="PARCIAL"),OR(N2499="PENDENTE",N2499="PARCIAL")),1,0))</f>
        <v/>
      </c>
      <c r="W2499" s="8">
        <f>IF(AND(V2499=1,D2499&lt;&gt;""),IF(D2499&gt;=corte,(B2499="CRÍTICO")*1E9+(100000-D2499)*10000+10000-ROW(),""),"")</f>
        <v/>
      </c>
      <c r="X2499" s="8">
        <f>IF(AND(V2499=1,D2499=pas_data,E2499=pas_turno),10000-ROW(),"")</f>
        <v/>
      </c>
    </row>
    <row r="2500">
      <c r="A2500" s="3">
        <f>IF(D2500="","","TT-"&amp;TEXT(ROW()-1,"00000"))</f>
        <v/>
      </c>
      <c r="B2500" s="3">
        <f>IF(D2500="","",IF(V2500=0,"CONCLUÍDO",IF(D2500&lt;corte,"HISTÓRICO",IF(OR(AND(ISNUMBER(R2500),R2500&lt;TODAY()),AND(OR(N2500="PENDENTE",N2500="PARCIAL"),D2500&lt;TODAY()-1)),"CRÍTICO",IF(OR(AND(P2500&lt;&gt;"",S2500=""),AND(N2500="REALIZADO",M2500="PENDENTE"),AND(ISNUMBER(R2500),R2500=TODAY())),"ATENÇÃO",IF(N(K2500)=0,"PENDENTE","EM ANDAMENTO"))))))</f>
        <v/>
      </c>
      <c r="C2500" s="3">
        <f>IF(D2500="","",IF(V2500=0,"🟢 OK",IF(D2500&lt;corte,"⚪ HISTÓRICO (sem baixa)",IF(AND(ISNUMBER(R2500),R2500&lt;TODAY()),"🔴 PRAZO VENCIDO",IF(AND(OR(N2500="PENDENTE",N2500="PARCIAL"),D2500&lt;TODAY()-1),"🔴 EMBARQUE ATRASADO",IF(AND(N2500="REALIZADO",M2500="PENDENTE"),"🟡 EMBARCADO SEM FATURAR",IF(AND(P2500&lt;&gt;"",S2500="",OR(Q2500="",R2500="")),"🟡 PENDÊNCIA SEM RESPONSÁVEL/PRAZO",IF(AND(ISNUMBER(R2500),R2500=TODAY()),"🟡 VENCE HOJE",IF(AND(P2500&lt;&gt;"",S2500=""),"🟡 PENDÊNCIA ABERTA",IF(AND(N(J2500)&gt;0,N(K2500)&lt;J2500),"🟡 FALTA EXECUTAR",IF(OR(M2500="PENDENTE",M2500="PARCIAL"),"🟡 FATURAMENTO PENDENTE","🟡 EMBARQUE PENDENTE")))))))))))</f>
        <v/>
      </c>
      <c r="D2500" s="4" t="n"/>
      <c r="E2500" s="5" t="n"/>
      <c r="F2500" s="5" t="n"/>
      <c r="G2500" s="5" t="n"/>
      <c r="H2500" s="5" t="n"/>
      <c r="I2500" s="5" t="n"/>
      <c r="J2500" s="6" t="n"/>
      <c r="K2500" s="6" t="n"/>
      <c r="L2500" s="7">
        <f>IF(OR(D2500="",N(J2500)=0),"",MIN(1,N(K2500)/J2500))</f>
        <v/>
      </c>
      <c r="M2500" s="5" t="n"/>
      <c r="N2500" s="5" t="n"/>
      <c r="O2500" s="5" t="n"/>
      <c r="P2500" s="5" t="n"/>
      <c r="Q2500" s="5" t="n"/>
      <c r="R2500" s="4" t="n"/>
      <c r="S2500" s="4" t="n"/>
      <c r="T2500" s="5" t="n"/>
      <c r="U2500" s="8">
        <f>IF(AND(V2500=1,D2500&lt;&gt;""),IF(D2500&gt;=corte,TODAY()-D2500,""),"")</f>
        <v/>
      </c>
      <c r="V2500" s="8">
        <f>IF(D2500="",0,IF(OR(AND(P2500&lt;&gt;"",S2500=""),AND(N(J2500)&gt;0,N(K2500)&lt;J2500),OR(M2500="PENDENTE",M2500="PARCIAL"),OR(N2500="PENDENTE",N2500="PARCIAL")),1,0))</f>
        <v/>
      </c>
      <c r="W2500" s="8">
        <f>IF(AND(V2500=1,D2500&lt;&gt;""),IF(D2500&gt;=corte,(B2500="CRÍTICO")*1E9+(100000-D2500)*10000+10000-ROW(),""),"")</f>
        <v/>
      </c>
      <c r="X2500" s="8">
        <f>IF(AND(V2500=1,D2500=pas_data,E2500=pas_turno),10000-ROW(),"")</f>
        <v/>
      </c>
    </row>
    <row r="2501">
      <c r="A2501" s="3">
        <f>IF(D2501="","","TT-"&amp;TEXT(ROW()-1,"00000"))</f>
        <v/>
      </c>
      <c r="B2501" s="3">
        <f>IF(D2501="","",IF(V2501=0,"CONCLUÍDO",IF(D2501&lt;corte,"HISTÓRICO",IF(OR(AND(ISNUMBER(R2501),R2501&lt;TODAY()),AND(OR(N2501="PENDENTE",N2501="PARCIAL"),D2501&lt;TODAY()-1)),"CRÍTICO",IF(OR(AND(P2501&lt;&gt;"",S2501=""),AND(N2501="REALIZADO",M2501="PENDENTE"),AND(ISNUMBER(R2501),R2501=TODAY())),"ATENÇÃO",IF(N(K2501)=0,"PENDENTE","EM ANDAMENTO"))))))</f>
        <v/>
      </c>
      <c r="C2501" s="3">
        <f>IF(D2501="","",IF(V2501=0,"🟢 OK",IF(D2501&lt;corte,"⚪ HISTÓRICO (sem baixa)",IF(AND(ISNUMBER(R2501),R2501&lt;TODAY()),"🔴 PRAZO VENCIDO",IF(AND(OR(N2501="PENDENTE",N2501="PARCIAL"),D2501&lt;TODAY()-1),"🔴 EMBARQUE ATRASADO",IF(AND(N2501="REALIZADO",M2501="PENDENTE"),"🟡 EMBARCADO SEM FATURAR",IF(AND(P2501&lt;&gt;"",S2501="",OR(Q2501="",R2501="")),"🟡 PENDÊNCIA SEM RESPONSÁVEL/PRAZO",IF(AND(ISNUMBER(R2501),R2501=TODAY()),"🟡 VENCE HOJE",IF(AND(P2501&lt;&gt;"",S2501=""),"🟡 PENDÊNCIA ABERTA",IF(AND(N(J2501)&gt;0,N(K2501)&lt;J2501),"🟡 FALTA EXECUTAR",IF(OR(M2501="PENDENTE",M2501="PARCIAL"),"🟡 FATURAMENTO PENDENTE","🟡 EMBARQUE PENDENTE")))))))))))</f>
        <v/>
      </c>
      <c r="D2501" s="4" t="n"/>
      <c r="E2501" s="5" t="n"/>
      <c r="F2501" s="5" t="n"/>
      <c r="G2501" s="5" t="n"/>
      <c r="H2501" s="5" t="n"/>
      <c r="I2501" s="5" t="n"/>
      <c r="J2501" s="6" t="n"/>
      <c r="K2501" s="6" t="n"/>
      <c r="L2501" s="7">
        <f>IF(OR(D2501="",N(J2501)=0),"",MIN(1,N(K2501)/J2501))</f>
        <v/>
      </c>
      <c r="M2501" s="5" t="n"/>
      <c r="N2501" s="5" t="n"/>
      <c r="O2501" s="5" t="n"/>
      <c r="P2501" s="5" t="n"/>
      <c r="Q2501" s="5" t="n"/>
      <c r="R2501" s="4" t="n"/>
      <c r="S2501" s="4" t="n"/>
      <c r="T2501" s="5" t="n"/>
      <c r="U2501" s="8">
        <f>IF(AND(V2501=1,D2501&lt;&gt;""),IF(D2501&gt;=corte,TODAY()-D2501,""),"")</f>
        <v/>
      </c>
      <c r="V2501" s="8">
        <f>IF(D2501="",0,IF(OR(AND(P2501&lt;&gt;"",S2501=""),AND(N(J2501)&gt;0,N(K2501)&lt;J2501),OR(M2501="PENDENTE",M2501="PARCIAL"),OR(N2501="PENDENTE",N2501="PARCIAL")),1,0))</f>
        <v/>
      </c>
      <c r="W2501" s="8">
        <f>IF(AND(V2501=1,D2501&lt;&gt;""),IF(D2501&gt;=corte,(B2501="CRÍTICO")*1E9+(100000-D2501)*10000+10000-ROW(),""),"")</f>
        <v/>
      </c>
      <c r="X2501" s="8">
        <f>IF(AND(V2501=1,D2501=pas_data,E2501=pas_turno),10000-ROW(),"")</f>
        <v/>
      </c>
    </row>
    <row r="2502">
      <c r="A2502" s="3">
        <f>IF(D2502="","","TT-"&amp;TEXT(ROW()-1,"00000"))</f>
        <v/>
      </c>
      <c r="B2502" s="3">
        <f>IF(D2502="","",IF(V2502=0,"CONCLUÍDO",IF(D2502&lt;corte,"HISTÓRICO",IF(OR(AND(ISNUMBER(R2502),R2502&lt;TODAY()),AND(OR(N2502="PENDENTE",N2502="PARCIAL"),D2502&lt;TODAY()-1)),"CRÍTICO",IF(OR(AND(P2502&lt;&gt;"",S2502=""),AND(N2502="REALIZADO",M2502="PENDENTE"),AND(ISNUMBER(R2502),R2502=TODAY())),"ATENÇÃO",IF(N(K2502)=0,"PENDENTE","EM ANDAMENTO"))))))</f>
        <v/>
      </c>
      <c r="C2502" s="3">
        <f>IF(D2502="","",IF(V2502=0,"🟢 OK",IF(D2502&lt;corte,"⚪ HISTÓRICO (sem baixa)",IF(AND(ISNUMBER(R2502),R2502&lt;TODAY()),"🔴 PRAZO VENCIDO",IF(AND(OR(N2502="PENDENTE",N2502="PARCIAL"),D2502&lt;TODAY()-1),"🔴 EMBARQUE ATRASADO",IF(AND(N2502="REALIZADO",M2502="PENDENTE"),"🟡 EMBARCADO SEM FATURAR",IF(AND(P2502&lt;&gt;"",S2502="",OR(Q2502="",R2502="")),"🟡 PENDÊNCIA SEM RESPONSÁVEL/PRAZO",IF(AND(ISNUMBER(R2502),R2502=TODAY()),"🟡 VENCE HOJE",IF(AND(P2502&lt;&gt;"",S2502=""),"🟡 PENDÊNCIA ABERTA",IF(AND(N(J2502)&gt;0,N(K2502)&lt;J2502),"🟡 FALTA EXECUTAR",IF(OR(M2502="PENDENTE",M2502="PARCIAL"),"🟡 FATURAMENTO PENDENTE","🟡 EMBARQUE PENDENTE")))))))))))</f>
        <v/>
      </c>
      <c r="D2502" s="4" t="n"/>
      <c r="E2502" s="5" t="n"/>
      <c r="F2502" s="5" t="n"/>
      <c r="G2502" s="5" t="n"/>
      <c r="H2502" s="5" t="n"/>
      <c r="I2502" s="5" t="n"/>
      <c r="J2502" s="6" t="n"/>
      <c r="K2502" s="6" t="n"/>
      <c r="L2502" s="7">
        <f>IF(OR(D2502="",N(J2502)=0),"",MIN(1,N(K2502)/J2502))</f>
        <v/>
      </c>
      <c r="M2502" s="5" t="n"/>
      <c r="N2502" s="5" t="n"/>
      <c r="O2502" s="5" t="n"/>
      <c r="P2502" s="5" t="n"/>
      <c r="Q2502" s="5" t="n"/>
      <c r="R2502" s="4" t="n"/>
      <c r="S2502" s="4" t="n"/>
      <c r="T2502" s="5" t="n"/>
      <c r="U2502" s="8">
        <f>IF(AND(V2502=1,D2502&lt;&gt;""),IF(D2502&gt;=corte,TODAY()-D2502,""),"")</f>
        <v/>
      </c>
      <c r="V2502" s="8">
        <f>IF(D2502="",0,IF(OR(AND(P2502&lt;&gt;"",S2502=""),AND(N(J2502)&gt;0,N(K2502)&lt;J2502),OR(M2502="PENDENTE",M2502="PARCIAL"),OR(N2502="PENDENTE",N2502="PARCIAL")),1,0))</f>
        <v/>
      </c>
      <c r="W2502" s="8">
        <f>IF(AND(V2502=1,D2502&lt;&gt;""),IF(D2502&gt;=corte,(B2502="CRÍTICO")*1E9+(100000-D2502)*10000+10000-ROW(),""),"")</f>
        <v/>
      </c>
      <c r="X2502" s="8">
        <f>IF(AND(V2502=1,D2502=pas_data,E2502=pas_turno),10000-ROW(),"")</f>
        <v/>
      </c>
    </row>
    <row r="2503">
      <c r="A2503" s="3">
        <f>IF(D2503="","","TT-"&amp;TEXT(ROW()-1,"00000"))</f>
        <v/>
      </c>
      <c r="B2503" s="3">
        <f>IF(D2503="","",IF(V2503=0,"CONCLUÍDO",IF(D2503&lt;corte,"HISTÓRICO",IF(OR(AND(ISNUMBER(R2503),R2503&lt;TODAY()),AND(OR(N2503="PENDENTE",N2503="PARCIAL"),D2503&lt;TODAY()-1)),"CRÍTICO",IF(OR(AND(P2503&lt;&gt;"",S2503=""),AND(N2503="REALIZADO",M2503="PENDENTE"),AND(ISNUMBER(R2503),R2503=TODAY())),"ATENÇÃO",IF(N(K2503)=0,"PENDENTE","EM ANDAMENTO"))))))</f>
        <v/>
      </c>
      <c r="C2503" s="3">
        <f>IF(D2503="","",IF(V2503=0,"🟢 OK",IF(D2503&lt;corte,"⚪ HISTÓRICO (sem baixa)",IF(AND(ISNUMBER(R2503),R2503&lt;TODAY()),"🔴 PRAZO VENCIDO",IF(AND(OR(N2503="PENDENTE",N2503="PARCIAL"),D2503&lt;TODAY()-1),"🔴 EMBARQUE ATRASADO",IF(AND(N2503="REALIZADO",M2503="PENDENTE"),"🟡 EMBARCADO SEM FATURAR",IF(AND(P2503&lt;&gt;"",S2503="",OR(Q2503="",R2503="")),"🟡 PENDÊNCIA SEM RESPONSÁVEL/PRAZO",IF(AND(ISNUMBER(R2503),R2503=TODAY()),"🟡 VENCE HOJE",IF(AND(P2503&lt;&gt;"",S2503=""),"🟡 PENDÊNCIA ABERTA",IF(AND(N(J2503)&gt;0,N(K2503)&lt;J2503),"🟡 FALTA EXECUTAR",IF(OR(M2503="PENDENTE",M2503="PARCIAL"),"🟡 FATURAMENTO PENDENTE","🟡 EMBARQUE PENDENTE")))))))))))</f>
        <v/>
      </c>
      <c r="D2503" s="4" t="n"/>
      <c r="E2503" s="5" t="n"/>
      <c r="F2503" s="5" t="n"/>
      <c r="G2503" s="5" t="n"/>
      <c r="H2503" s="5" t="n"/>
      <c r="I2503" s="5" t="n"/>
      <c r="J2503" s="6" t="n"/>
      <c r="K2503" s="6" t="n"/>
      <c r="L2503" s="7">
        <f>IF(OR(D2503="",N(J2503)=0),"",MIN(1,N(K2503)/J2503))</f>
        <v/>
      </c>
      <c r="M2503" s="5" t="n"/>
      <c r="N2503" s="5" t="n"/>
      <c r="O2503" s="5" t="n"/>
      <c r="P2503" s="5" t="n"/>
      <c r="Q2503" s="5" t="n"/>
      <c r="R2503" s="4" t="n"/>
      <c r="S2503" s="4" t="n"/>
      <c r="T2503" s="5" t="n"/>
      <c r="U2503" s="8">
        <f>IF(AND(V2503=1,D2503&lt;&gt;""),IF(D2503&gt;=corte,TODAY()-D2503,""),"")</f>
        <v/>
      </c>
      <c r="V2503" s="8">
        <f>IF(D2503="",0,IF(OR(AND(P2503&lt;&gt;"",S2503=""),AND(N(J2503)&gt;0,N(K2503)&lt;J2503),OR(M2503="PENDENTE",M2503="PARCIAL"),OR(N2503="PENDENTE",N2503="PARCIAL")),1,0))</f>
        <v/>
      </c>
      <c r="W2503" s="8">
        <f>IF(AND(V2503=1,D2503&lt;&gt;""),IF(D2503&gt;=corte,(B2503="CRÍTICO")*1E9+(100000-D2503)*10000+10000-ROW(),""),"")</f>
        <v/>
      </c>
      <c r="X2503" s="8">
        <f>IF(AND(V2503=1,D2503=pas_data,E2503=pas_turno),10000-ROW(),"")</f>
        <v/>
      </c>
    </row>
    <row r="2504">
      <c r="A2504" s="3">
        <f>IF(D2504="","","TT-"&amp;TEXT(ROW()-1,"00000"))</f>
        <v/>
      </c>
      <c r="B2504" s="3">
        <f>IF(D2504="","",IF(V2504=0,"CONCLUÍDO",IF(D2504&lt;corte,"HISTÓRICO",IF(OR(AND(ISNUMBER(R2504),R2504&lt;TODAY()),AND(OR(N2504="PENDENTE",N2504="PARCIAL"),D2504&lt;TODAY()-1)),"CRÍTICO",IF(OR(AND(P2504&lt;&gt;"",S2504=""),AND(N2504="REALIZADO",M2504="PENDENTE"),AND(ISNUMBER(R2504),R2504=TODAY())),"ATENÇÃO",IF(N(K2504)=0,"PENDENTE","EM ANDAMENTO"))))))</f>
        <v/>
      </c>
      <c r="C2504" s="3">
        <f>IF(D2504="","",IF(V2504=0,"🟢 OK",IF(D2504&lt;corte,"⚪ HISTÓRICO (sem baixa)",IF(AND(ISNUMBER(R2504),R2504&lt;TODAY()),"🔴 PRAZO VENCIDO",IF(AND(OR(N2504="PENDENTE",N2504="PARCIAL"),D2504&lt;TODAY()-1),"🔴 EMBARQUE ATRASADO",IF(AND(N2504="REALIZADO",M2504="PENDENTE"),"🟡 EMBARCADO SEM FATURAR",IF(AND(P2504&lt;&gt;"",S2504="",OR(Q2504="",R2504="")),"🟡 PENDÊNCIA SEM RESPONSÁVEL/PRAZO",IF(AND(ISNUMBER(R2504),R2504=TODAY()),"🟡 VENCE HOJE",IF(AND(P2504&lt;&gt;"",S2504=""),"🟡 PENDÊNCIA ABERTA",IF(AND(N(J2504)&gt;0,N(K2504)&lt;J2504),"🟡 FALTA EXECUTAR",IF(OR(M2504="PENDENTE",M2504="PARCIAL"),"🟡 FATURAMENTO PENDENTE","🟡 EMBARQUE PENDENTE")))))))))))</f>
        <v/>
      </c>
      <c r="D2504" s="4" t="n"/>
      <c r="E2504" s="5" t="n"/>
      <c r="F2504" s="5" t="n"/>
      <c r="G2504" s="5" t="n"/>
      <c r="H2504" s="5" t="n"/>
      <c r="I2504" s="5" t="n"/>
      <c r="J2504" s="6" t="n"/>
      <c r="K2504" s="6" t="n"/>
      <c r="L2504" s="7">
        <f>IF(OR(D2504="",N(J2504)=0),"",MIN(1,N(K2504)/J2504))</f>
        <v/>
      </c>
      <c r="M2504" s="5" t="n"/>
      <c r="N2504" s="5" t="n"/>
      <c r="O2504" s="5" t="n"/>
      <c r="P2504" s="5" t="n"/>
      <c r="Q2504" s="5" t="n"/>
      <c r="R2504" s="4" t="n"/>
      <c r="S2504" s="4" t="n"/>
      <c r="T2504" s="5" t="n"/>
      <c r="U2504" s="8">
        <f>IF(AND(V2504=1,D2504&lt;&gt;""),IF(D2504&gt;=corte,TODAY()-D2504,""),"")</f>
        <v/>
      </c>
      <c r="V2504" s="8">
        <f>IF(D2504="",0,IF(OR(AND(P2504&lt;&gt;"",S2504=""),AND(N(J2504)&gt;0,N(K2504)&lt;J2504),OR(M2504="PENDENTE",M2504="PARCIAL"),OR(N2504="PENDENTE",N2504="PARCIAL")),1,0))</f>
        <v/>
      </c>
      <c r="W2504" s="8">
        <f>IF(AND(V2504=1,D2504&lt;&gt;""),IF(D2504&gt;=corte,(B2504="CRÍTICO")*1E9+(100000-D2504)*10000+10000-ROW(),""),"")</f>
        <v/>
      </c>
      <c r="X2504" s="8">
        <f>IF(AND(V2504=1,D2504=pas_data,E2504=pas_turno),10000-ROW(),"")</f>
        <v/>
      </c>
    </row>
    <row r="2505">
      <c r="A2505" s="3">
        <f>IF(D2505="","","TT-"&amp;TEXT(ROW()-1,"00000"))</f>
        <v/>
      </c>
      <c r="B2505" s="3">
        <f>IF(D2505="","",IF(V2505=0,"CONCLUÍDO",IF(D2505&lt;corte,"HISTÓRICO",IF(OR(AND(ISNUMBER(R2505),R2505&lt;TODAY()),AND(OR(N2505="PENDENTE",N2505="PARCIAL"),D2505&lt;TODAY()-1)),"CRÍTICO",IF(OR(AND(P2505&lt;&gt;"",S2505=""),AND(N2505="REALIZADO",M2505="PENDENTE"),AND(ISNUMBER(R2505),R2505=TODAY())),"ATENÇÃO",IF(N(K2505)=0,"PENDENTE","EM ANDAMENTO"))))))</f>
        <v/>
      </c>
      <c r="C2505" s="3">
        <f>IF(D2505="","",IF(V2505=0,"🟢 OK",IF(D2505&lt;corte,"⚪ HISTÓRICO (sem baixa)",IF(AND(ISNUMBER(R2505),R2505&lt;TODAY()),"🔴 PRAZO VENCIDO",IF(AND(OR(N2505="PENDENTE",N2505="PARCIAL"),D2505&lt;TODAY()-1),"🔴 EMBARQUE ATRASADO",IF(AND(N2505="REALIZADO",M2505="PENDENTE"),"🟡 EMBARCADO SEM FATURAR",IF(AND(P2505&lt;&gt;"",S2505="",OR(Q2505="",R2505="")),"🟡 PENDÊNCIA SEM RESPONSÁVEL/PRAZO",IF(AND(ISNUMBER(R2505),R2505=TODAY()),"🟡 VENCE HOJE",IF(AND(P2505&lt;&gt;"",S2505=""),"🟡 PENDÊNCIA ABERTA",IF(AND(N(J2505)&gt;0,N(K2505)&lt;J2505),"🟡 FALTA EXECUTAR",IF(OR(M2505="PENDENTE",M2505="PARCIAL"),"🟡 FATURAMENTO PENDENTE","🟡 EMBARQUE PENDENTE")))))))))))</f>
        <v/>
      </c>
      <c r="D2505" s="4" t="n"/>
      <c r="E2505" s="5" t="n"/>
      <c r="F2505" s="5" t="n"/>
      <c r="G2505" s="5" t="n"/>
      <c r="H2505" s="5" t="n"/>
      <c r="I2505" s="5" t="n"/>
      <c r="J2505" s="6" t="n"/>
      <c r="K2505" s="6" t="n"/>
      <c r="L2505" s="7">
        <f>IF(OR(D2505="",N(J2505)=0),"",MIN(1,N(K2505)/J2505))</f>
        <v/>
      </c>
      <c r="M2505" s="5" t="n"/>
      <c r="N2505" s="5" t="n"/>
      <c r="O2505" s="5" t="n"/>
      <c r="P2505" s="5" t="n"/>
      <c r="Q2505" s="5" t="n"/>
      <c r="R2505" s="4" t="n"/>
      <c r="S2505" s="4" t="n"/>
      <c r="T2505" s="5" t="n"/>
      <c r="U2505" s="8">
        <f>IF(AND(V2505=1,D2505&lt;&gt;""),IF(D2505&gt;=corte,TODAY()-D2505,""),"")</f>
        <v/>
      </c>
      <c r="V2505" s="8">
        <f>IF(D2505="",0,IF(OR(AND(P2505&lt;&gt;"",S2505=""),AND(N(J2505)&gt;0,N(K2505)&lt;J2505),OR(M2505="PENDENTE",M2505="PARCIAL"),OR(N2505="PENDENTE",N2505="PARCIAL")),1,0))</f>
        <v/>
      </c>
      <c r="W2505" s="8">
        <f>IF(AND(V2505=1,D2505&lt;&gt;""),IF(D2505&gt;=corte,(B2505="CRÍTICO")*1E9+(100000-D2505)*10000+10000-ROW(),""),"")</f>
        <v/>
      </c>
      <c r="X2505" s="8">
        <f>IF(AND(V2505=1,D2505=pas_data,E2505=pas_turno),10000-ROW(),"")</f>
        <v/>
      </c>
    </row>
    <row r="2506">
      <c r="A2506" s="3">
        <f>IF(D2506="","","TT-"&amp;TEXT(ROW()-1,"00000"))</f>
        <v/>
      </c>
      <c r="B2506" s="3">
        <f>IF(D2506="","",IF(V2506=0,"CONCLUÍDO",IF(D2506&lt;corte,"HISTÓRICO",IF(OR(AND(ISNUMBER(R2506),R2506&lt;TODAY()),AND(OR(N2506="PENDENTE",N2506="PARCIAL"),D2506&lt;TODAY()-1)),"CRÍTICO",IF(OR(AND(P2506&lt;&gt;"",S2506=""),AND(N2506="REALIZADO",M2506="PENDENTE"),AND(ISNUMBER(R2506),R2506=TODAY())),"ATENÇÃO",IF(N(K2506)=0,"PENDENTE","EM ANDAMENTO"))))))</f>
        <v/>
      </c>
      <c r="C2506" s="3">
        <f>IF(D2506="","",IF(V2506=0,"🟢 OK",IF(D2506&lt;corte,"⚪ HISTÓRICO (sem baixa)",IF(AND(ISNUMBER(R2506),R2506&lt;TODAY()),"🔴 PRAZO VENCIDO",IF(AND(OR(N2506="PENDENTE",N2506="PARCIAL"),D2506&lt;TODAY()-1),"🔴 EMBARQUE ATRASADO",IF(AND(N2506="REALIZADO",M2506="PENDENTE"),"🟡 EMBARCADO SEM FATURAR",IF(AND(P2506&lt;&gt;"",S2506="",OR(Q2506="",R2506="")),"🟡 PENDÊNCIA SEM RESPONSÁVEL/PRAZO",IF(AND(ISNUMBER(R2506),R2506=TODAY()),"🟡 VENCE HOJE",IF(AND(P2506&lt;&gt;"",S2506=""),"🟡 PENDÊNCIA ABERTA",IF(AND(N(J2506)&gt;0,N(K2506)&lt;J2506),"🟡 FALTA EXECUTAR",IF(OR(M2506="PENDENTE",M2506="PARCIAL"),"🟡 FATURAMENTO PENDENTE","🟡 EMBARQUE PENDENTE")))))))))))</f>
        <v/>
      </c>
      <c r="D2506" s="4" t="n"/>
      <c r="E2506" s="5" t="n"/>
      <c r="F2506" s="5" t="n"/>
      <c r="G2506" s="5" t="n"/>
      <c r="H2506" s="5" t="n"/>
      <c r="I2506" s="5" t="n"/>
      <c r="J2506" s="6" t="n"/>
      <c r="K2506" s="6" t="n"/>
      <c r="L2506" s="7">
        <f>IF(OR(D2506="",N(J2506)=0),"",MIN(1,N(K2506)/J2506))</f>
        <v/>
      </c>
      <c r="M2506" s="5" t="n"/>
      <c r="N2506" s="5" t="n"/>
      <c r="O2506" s="5" t="n"/>
      <c r="P2506" s="5" t="n"/>
      <c r="Q2506" s="5" t="n"/>
      <c r="R2506" s="4" t="n"/>
      <c r="S2506" s="4" t="n"/>
      <c r="T2506" s="5" t="n"/>
      <c r="U2506" s="8">
        <f>IF(AND(V2506=1,D2506&lt;&gt;""),IF(D2506&gt;=corte,TODAY()-D2506,""),"")</f>
        <v/>
      </c>
      <c r="V2506" s="8">
        <f>IF(D2506="",0,IF(OR(AND(P2506&lt;&gt;"",S2506=""),AND(N(J2506)&gt;0,N(K2506)&lt;J2506),OR(M2506="PENDENTE",M2506="PARCIAL"),OR(N2506="PENDENTE",N2506="PARCIAL")),1,0))</f>
        <v/>
      </c>
      <c r="W2506" s="8">
        <f>IF(AND(V2506=1,D2506&lt;&gt;""),IF(D2506&gt;=corte,(B2506="CRÍTICO")*1E9+(100000-D2506)*10000+10000-ROW(),""),"")</f>
        <v/>
      </c>
      <c r="X2506" s="8">
        <f>IF(AND(V2506=1,D2506=pas_data,E2506=pas_turno),10000-ROW(),"")</f>
        <v/>
      </c>
    </row>
    <row r="2507">
      <c r="A2507" s="3">
        <f>IF(D2507="","","TT-"&amp;TEXT(ROW()-1,"00000"))</f>
        <v/>
      </c>
      <c r="B2507" s="3">
        <f>IF(D2507="","",IF(V2507=0,"CONCLUÍDO",IF(D2507&lt;corte,"HISTÓRICO",IF(OR(AND(ISNUMBER(R2507),R2507&lt;TODAY()),AND(OR(N2507="PENDENTE",N2507="PARCIAL"),D2507&lt;TODAY()-1)),"CRÍTICO",IF(OR(AND(P2507&lt;&gt;"",S2507=""),AND(N2507="REALIZADO",M2507="PENDENTE"),AND(ISNUMBER(R2507),R2507=TODAY())),"ATENÇÃO",IF(N(K2507)=0,"PENDENTE","EM ANDAMENTO"))))))</f>
        <v/>
      </c>
      <c r="C2507" s="3">
        <f>IF(D2507="","",IF(V2507=0,"🟢 OK",IF(D2507&lt;corte,"⚪ HISTÓRICO (sem baixa)",IF(AND(ISNUMBER(R2507),R2507&lt;TODAY()),"🔴 PRAZO VENCIDO",IF(AND(OR(N2507="PENDENTE",N2507="PARCIAL"),D2507&lt;TODAY()-1),"🔴 EMBARQUE ATRASADO",IF(AND(N2507="REALIZADO",M2507="PENDENTE"),"🟡 EMBARCADO SEM FATURAR",IF(AND(P2507&lt;&gt;"",S2507="",OR(Q2507="",R2507="")),"🟡 PENDÊNCIA SEM RESPONSÁVEL/PRAZO",IF(AND(ISNUMBER(R2507),R2507=TODAY()),"🟡 VENCE HOJE",IF(AND(P2507&lt;&gt;"",S2507=""),"🟡 PENDÊNCIA ABERTA",IF(AND(N(J2507)&gt;0,N(K2507)&lt;J2507),"🟡 FALTA EXECUTAR",IF(OR(M2507="PENDENTE",M2507="PARCIAL"),"🟡 FATURAMENTO PENDENTE","🟡 EMBARQUE PENDENTE")))))))))))</f>
        <v/>
      </c>
      <c r="D2507" s="4" t="n"/>
      <c r="E2507" s="5" t="n"/>
      <c r="F2507" s="5" t="n"/>
      <c r="G2507" s="5" t="n"/>
      <c r="H2507" s="5" t="n"/>
      <c r="I2507" s="5" t="n"/>
      <c r="J2507" s="6" t="n"/>
      <c r="K2507" s="6" t="n"/>
      <c r="L2507" s="7">
        <f>IF(OR(D2507="",N(J2507)=0),"",MIN(1,N(K2507)/J2507))</f>
        <v/>
      </c>
      <c r="M2507" s="5" t="n"/>
      <c r="N2507" s="5" t="n"/>
      <c r="O2507" s="5" t="n"/>
      <c r="P2507" s="5" t="n"/>
      <c r="Q2507" s="5" t="n"/>
      <c r="R2507" s="4" t="n"/>
      <c r="S2507" s="4" t="n"/>
      <c r="T2507" s="5" t="n"/>
      <c r="U2507" s="8">
        <f>IF(AND(V2507=1,D2507&lt;&gt;""),IF(D2507&gt;=corte,TODAY()-D2507,""),"")</f>
        <v/>
      </c>
      <c r="V2507" s="8">
        <f>IF(D2507="",0,IF(OR(AND(P2507&lt;&gt;"",S2507=""),AND(N(J2507)&gt;0,N(K2507)&lt;J2507),OR(M2507="PENDENTE",M2507="PARCIAL"),OR(N2507="PENDENTE",N2507="PARCIAL")),1,0))</f>
        <v/>
      </c>
      <c r="W2507" s="8">
        <f>IF(AND(V2507=1,D2507&lt;&gt;""),IF(D2507&gt;=corte,(B2507="CRÍTICO")*1E9+(100000-D2507)*10000+10000-ROW(),""),"")</f>
        <v/>
      </c>
      <c r="X2507" s="8">
        <f>IF(AND(V2507=1,D2507=pas_data,E2507=pas_turno),10000-ROW(),"")</f>
        <v/>
      </c>
    </row>
    <row r="2508">
      <c r="A2508" s="3">
        <f>IF(D2508="","","TT-"&amp;TEXT(ROW()-1,"00000"))</f>
        <v/>
      </c>
      <c r="B2508" s="3">
        <f>IF(D2508="","",IF(V2508=0,"CONCLUÍDO",IF(D2508&lt;corte,"HISTÓRICO",IF(OR(AND(ISNUMBER(R2508),R2508&lt;TODAY()),AND(OR(N2508="PENDENTE",N2508="PARCIAL"),D2508&lt;TODAY()-1)),"CRÍTICO",IF(OR(AND(P2508&lt;&gt;"",S2508=""),AND(N2508="REALIZADO",M2508="PENDENTE"),AND(ISNUMBER(R2508),R2508=TODAY())),"ATENÇÃO",IF(N(K2508)=0,"PENDENTE","EM ANDAMENTO"))))))</f>
        <v/>
      </c>
      <c r="C2508" s="3">
        <f>IF(D2508="","",IF(V2508=0,"🟢 OK",IF(D2508&lt;corte,"⚪ HISTÓRICO (sem baixa)",IF(AND(ISNUMBER(R2508),R2508&lt;TODAY()),"🔴 PRAZO VENCIDO",IF(AND(OR(N2508="PENDENTE",N2508="PARCIAL"),D2508&lt;TODAY()-1),"🔴 EMBARQUE ATRASADO",IF(AND(N2508="REALIZADO",M2508="PENDENTE"),"🟡 EMBARCADO SEM FATURAR",IF(AND(P2508&lt;&gt;"",S2508="",OR(Q2508="",R2508="")),"🟡 PENDÊNCIA SEM RESPONSÁVEL/PRAZO",IF(AND(ISNUMBER(R2508),R2508=TODAY()),"🟡 VENCE HOJE",IF(AND(P2508&lt;&gt;"",S2508=""),"🟡 PENDÊNCIA ABERTA",IF(AND(N(J2508)&gt;0,N(K2508)&lt;J2508),"🟡 FALTA EXECUTAR",IF(OR(M2508="PENDENTE",M2508="PARCIAL"),"🟡 FATURAMENTO PENDENTE","🟡 EMBARQUE PENDENTE")))))))))))</f>
        <v/>
      </c>
      <c r="D2508" s="4" t="n"/>
      <c r="E2508" s="5" t="n"/>
      <c r="F2508" s="5" t="n"/>
      <c r="G2508" s="5" t="n"/>
      <c r="H2508" s="5" t="n"/>
      <c r="I2508" s="5" t="n"/>
      <c r="J2508" s="6" t="n"/>
      <c r="K2508" s="6" t="n"/>
      <c r="L2508" s="7">
        <f>IF(OR(D2508="",N(J2508)=0),"",MIN(1,N(K2508)/J2508))</f>
        <v/>
      </c>
      <c r="M2508" s="5" t="n"/>
      <c r="N2508" s="5" t="n"/>
      <c r="O2508" s="5" t="n"/>
      <c r="P2508" s="5" t="n"/>
      <c r="Q2508" s="5" t="n"/>
      <c r="R2508" s="4" t="n"/>
      <c r="S2508" s="4" t="n"/>
      <c r="T2508" s="5" t="n"/>
      <c r="U2508" s="8">
        <f>IF(AND(V2508=1,D2508&lt;&gt;""),IF(D2508&gt;=corte,TODAY()-D2508,""),"")</f>
        <v/>
      </c>
      <c r="V2508" s="8">
        <f>IF(D2508="",0,IF(OR(AND(P2508&lt;&gt;"",S2508=""),AND(N(J2508)&gt;0,N(K2508)&lt;J2508),OR(M2508="PENDENTE",M2508="PARCIAL"),OR(N2508="PENDENTE",N2508="PARCIAL")),1,0))</f>
        <v/>
      </c>
      <c r="W2508" s="8">
        <f>IF(AND(V2508=1,D2508&lt;&gt;""),IF(D2508&gt;=corte,(B2508="CRÍTICO")*1E9+(100000-D2508)*10000+10000-ROW(),""),"")</f>
        <v/>
      </c>
      <c r="X2508" s="8">
        <f>IF(AND(V2508=1,D2508=pas_data,E2508=pas_turno),10000-ROW(),"")</f>
        <v/>
      </c>
    </row>
    <row r="2509">
      <c r="A2509" s="3">
        <f>IF(D2509="","","TT-"&amp;TEXT(ROW()-1,"00000"))</f>
        <v/>
      </c>
      <c r="B2509" s="3">
        <f>IF(D2509="","",IF(V2509=0,"CONCLUÍDO",IF(D2509&lt;corte,"HISTÓRICO",IF(OR(AND(ISNUMBER(R2509),R2509&lt;TODAY()),AND(OR(N2509="PENDENTE",N2509="PARCIAL"),D2509&lt;TODAY()-1)),"CRÍTICO",IF(OR(AND(P2509&lt;&gt;"",S2509=""),AND(N2509="REALIZADO",M2509="PENDENTE"),AND(ISNUMBER(R2509),R2509=TODAY())),"ATENÇÃO",IF(N(K2509)=0,"PENDENTE","EM ANDAMENTO"))))))</f>
        <v/>
      </c>
      <c r="C2509" s="3">
        <f>IF(D2509="","",IF(V2509=0,"🟢 OK",IF(D2509&lt;corte,"⚪ HISTÓRICO (sem baixa)",IF(AND(ISNUMBER(R2509),R2509&lt;TODAY()),"🔴 PRAZO VENCIDO",IF(AND(OR(N2509="PENDENTE",N2509="PARCIAL"),D2509&lt;TODAY()-1),"🔴 EMBARQUE ATRASADO",IF(AND(N2509="REALIZADO",M2509="PENDENTE"),"🟡 EMBARCADO SEM FATURAR",IF(AND(P2509&lt;&gt;"",S2509="",OR(Q2509="",R2509="")),"🟡 PENDÊNCIA SEM RESPONSÁVEL/PRAZO",IF(AND(ISNUMBER(R2509),R2509=TODAY()),"🟡 VENCE HOJE",IF(AND(P2509&lt;&gt;"",S2509=""),"🟡 PENDÊNCIA ABERTA",IF(AND(N(J2509)&gt;0,N(K2509)&lt;J2509),"🟡 FALTA EXECUTAR",IF(OR(M2509="PENDENTE",M2509="PARCIAL"),"🟡 FATURAMENTO PENDENTE","🟡 EMBARQUE PENDENTE")))))))))))</f>
        <v/>
      </c>
      <c r="D2509" s="4" t="n"/>
      <c r="E2509" s="5" t="n"/>
      <c r="F2509" s="5" t="n"/>
      <c r="G2509" s="5" t="n"/>
      <c r="H2509" s="5" t="n"/>
      <c r="I2509" s="5" t="n"/>
      <c r="J2509" s="6" t="n"/>
      <c r="K2509" s="6" t="n"/>
      <c r="L2509" s="7">
        <f>IF(OR(D2509="",N(J2509)=0),"",MIN(1,N(K2509)/J2509))</f>
        <v/>
      </c>
      <c r="M2509" s="5" t="n"/>
      <c r="N2509" s="5" t="n"/>
      <c r="O2509" s="5" t="n"/>
      <c r="P2509" s="5" t="n"/>
      <c r="Q2509" s="5" t="n"/>
      <c r="R2509" s="4" t="n"/>
      <c r="S2509" s="4" t="n"/>
      <c r="T2509" s="5" t="n"/>
      <c r="U2509" s="8">
        <f>IF(AND(V2509=1,D2509&lt;&gt;""),IF(D2509&gt;=corte,TODAY()-D2509,""),"")</f>
        <v/>
      </c>
      <c r="V2509" s="8">
        <f>IF(D2509="",0,IF(OR(AND(P2509&lt;&gt;"",S2509=""),AND(N(J2509)&gt;0,N(K2509)&lt;J2509),OR(M2509="PENDENTE",M2509="PARCIAL"),OR(N2509="PENDENTE",N2509="PARCIAL")),1,0))</f>
        <v/>
      </c>
      <c r="W2509" s="8">
        <f>IF(AND(V2509=1,D2509&lt;&gt;""),IF(D2509&gt;=corte,(B2509="CRÍTICO")*1E9+(100000-D2509)*10000+10000-ROW(),""),"")</f>
        <v/>
      </c>
      <c r="X2509" s="8">
        <f>IF(AND(V2509=1,D2509=pas_data,E2509=pas_turno),10000-ROW(),"")</f>
        <v/>
      </c>
    </row>
    <row r="2510">
      <c r="A2510" s="3">
        <f>IF(D2510="","","TT-"&amp;TEXT(ROW()-1,"00000"))</f>
        <v/>
      </c>
      <c r="B2510" s="3">
        <f>IF(D2510="","",IF(V2510=0,"CONCLUÍDO",IF(D2510&lt;corte,"HISTÓRICO",IF(OR(AND(ISNUMBER(R2510),R2510&lt;TODAY()),AND(OR(N2510="PENDENTE",N2510="PARCIAL"),D2510&lt;TODAY()-1)),"CRÍTICO",IF(OR(AND(P2510&lt;&gt;"",S2510=""),AND(N2510="REALIZADO",M2510="PENDENTE"),AND(ISNUMBER(R2510),R2510=TODAY())),"ATENÇÃO",IF(N(K2510)=0,"PENDENTE","EM ANDAMENTO"))))))</f>
        <v/>
      </c>
      <c r="C2510" s="3">
        <f>IF(D2510="","",IF(V2510=0,"🟢 OK",IF(D2510&lt;corte,"⚪ HISTÓRICO (sem baixa)",IF(AND(ISNUMBER(R2510),R2510&lt;TODAY()),"🔴 PRAZO VENCIDO",IF(AND(OR(N2510="PENDENTE",N2510="PARCIAL"),D2510&lt;TODAY()-1),"🔴 EMBARQUE ATRASADO",IF(AND(N2510="REALIZADO",M2510="PENDENTE"),"🟡 EMBARCADO SEM FATURAR",IF(AND(P2510&lt;&gt;"",S2510="",OR(Q2510="",R2510="")),"🟡 PENDÊNCIA SEM RESPONSÁVEL/PRAZO",IF(AND(ISNUMBER(R2510),R2510=TODAY()),"🟡 VENCE HOJE",IF(AND(P2510&lt;&gt;"",S2510=""),"🟡 PENDÊNCIA ABERTA",IF(AND(N(J2510)&gt;0,N(K2510)&lt;J2510),"🟡 FALTA EXECUTAR",IF(OR(M2510="PENDENTE",M2510="PARCIAL"),"🟡 FATURAMENTO PENDENTE","🟡 EMBARQUE PENDENTE")))))))))))</f>
        <v/>
      </c>
      <c r="D2510" s="4" t="n"/>
      <c r="E2510" s="5" t="n"/>
      <c r="F2510" s="5" t="n"/>
      <c r="G2510" s="5" t="n"/>
      <c r="H2510" s="5" t="n"/>
      <c r="I2510" s="5" t="n"/>
      <c r="J2510" s="6" t="n"/>
      <c r="K2510" s="6" t="n"/>
      <c r="L2510" s="7">
        <f>IF(OR(D2510="",N(J2510)=0),"",MIN(1,N(K2510)/J2510))</f>
        <v/>
      </c>
      <c r="M2510" s="5" t="n"/>
      <c r="N2510" s="5" t="n"/>
      <c r="O2510" s="5" t="n"/>
      <c r="P2510" s="5" t="n"/>
      <c r="Q2510" s="5" t="n"/>
      <c r="R2510" s="4" t="n"/>
      <c r="S2510" s="4" t="n"/>
      <c r="T2510" s="5" t="n"/>
      <c r="U2510" s="8">
        <f>IF(AND(V2510=1,D2510&lt;&gt;""),IF(D2510&gt;=corte,TODAY()-D2510,""),"")</f>
        <v/>
      </c>
      <c r="V2510" s="8">
        <f>IF(D2510="",0,IF(OR(AND(P2510&lt;&gt;"",S2510=""),AND(N(J2510)&gt;0,N(K2510)&lt;J2510),OR(M2510="PENDENTE",M2510="PARCIAL"),OR(N2510="PENDENTE",N2510="PARCIAL")),1,0))</f>
        <v/>
      </c>
      <c r="W2510" s="8">
        <f>IF(AND(V2510=1,D2510&lt;&gt;""),IF(D2510&gt;=corte,(B2510="CRÍTICO")*1E9+(100000-D2510)*10000+10000-ROW(),""),"")</f>
        <v/>
      </c>
      <c r="X2510" s="8">
        <f>IF(AND(V2510=1,D2510=pas_data,E2510=pas_turno),10000-ROW(),"")</f>
        <v/>
      </c>
    </row>
    <row r="2511">
      <c r="A2511" s="3">
        <f>IF(D2511="","","TT-"&amp;TEXT(ROW()-1,"00000"))</f>
        <v/>
      </c>
      <c r="B2511" s="3">
        <f>IF(D2511="","",IF(V2511=0,"CONCLUÍDO",IF(D2511&lt;corte,"HISTÓRICO",IF(OR(AND(ISNUMBER(R2511),R2511&lt;TODAY()),AND(OR(N2511="PENDENTE",N2511="PARCIAL"),D2511&lt;TODAY()-1)),"CRÍTICO",IF(OR(AND(P2511&lt;&gt;"",S2511=""),AND(N2511="REALIZADO",M2511="PENDENTE"),AND(ISNUMBER(R2511),R2511=TODAY())),"ATENÇÃO",IF(N(K2511)=0,"PENDENTE","EM ANDAMENTO"))))))</f>
        <v/>
      </c>
      <c r="C2511" s="3">
        <f>IF(D2511="","",IF(V2511=0,"🟢 OK",IF(D2511&lt;corte,"⚪ HISTÓRICO (sem baixa)",IF(AND(ISNUMBER(R2511),R2511&lt;TODAY()),"🔴 PRAZO VENCIDO",IF(AND(OR(N2511="PENDENTE",N2511="PARCIAL"),D2511&lt;TODAY()-1),"🔴 EMBARQUE ATRASADO",IF(AND(N2511="REALIZADO",M2511="PENDENTE"),"🟡 EMBARCADO SEM FATURAR",IF(AND(P2511&lt;&gt;"",S2511="",OR(Q2511="",R2511="")),"🟡 PENDÊNCIA SEM RESPONSÁVEL/PRAZO",IF(AND(ISNUMBER(R2511),R2511=TODAY()),"🟡 VENCE HOJE",IF(AND(P2511&lt;&gt;"",S2511=""),"🟡 PENDÊNCIA ABERTA",IF(AND(N(J2511)&gt;0,N(K2511)&lt;J2511),"🟡 FALTA EXECUTAR",IF(OR(M2511="PENDENTE",M2511="PARCIAL"),"🟡 FATURAMENTO PENDENTE","🟡 EMBARQUE PENDENTE")))))))))))</f>
        <v/>
      </c>
      <c r="D2511" s="4" t="n"/>
      <c r="E2511" s="5" t="n"/>
      <c r="F2511" s="5" t="n"/>
      <c r="G2511" s="5" t="n"/>
      <c r="H2511" s="5" t="n"/>
      <c r="I2511" s="5" t="n"/>
      <c r="J2511" s="6" t="n"/>
      <c r="K2511" s="6" t="n"/>
      <c r="L2511" s="7">
        <f>IF(OR(D2511="",N(J2511)=0),"",MIN(1,N(K2511)/J2511))</f>
        <v/>
      </c>
      <c r="M2511" s="5" t="n"/>
      <c r="N2511" s="5" t="n"/>
      <c r="O2511" s="5" t="n"/>
      <c r="P2511" s="5" t="n"/>
      <c r="Q2511" s="5" t="n"/>
      <c r="R2511" s="4" t="n"/>
      <c r="S2511" s="4" t="n"/>
      <c r="T2511" s="5" t="n"/>
      <c r="U2511" s="8">
        <f>IF(AND(V2511=1,D2511&lt;&gt;""),IF(D2511&gt;=corte,TODAY()-D2511,""),"")</f>
        <v/>
      </c>
      <c r="V2511" s="8">
        <f>IF(D2511="",0,IF(OR(AND(P2511&lt;&gt;"",S2511=""),AND(N(J2511)&gt;0,N(K2511)&lt;J2511),OR(M2511="PENDENTE",M2511="PARCIAL"),OR(N2511="PENDENTE",N2511="PARCIAL")),1,0))</f>
        <v/>
      </c>
      <c r="W2511" s="8">
        <f>IF(AND(V2511=1,D2511&lt;&gt;""),IF(D2511&gt;=corte,(B2511="CRÍTICO")*1E9+(100000-D2511)*10000+10000-ROW(),""),"")</f>
        <v/>
      </c>
      <c r="X2511" s="8">
        <f>IF(AND(V2511=1,D2511=pas_data,E2511=pas_turno),10000-ROW(),"")</f>
        <v/>
      </c>
    </row>
    <row r="2512">
      <c r="A2512" s="3">
        <f>IF(D2512="","","TT-"&amp;TEXT(ROW()-1,"00000"))</f>
        <v/>
      </c>
      <c r="B2512" s="3">
        <f>IF(D2512="","",IF(V2512=0,"CONCLUÍDO",IF(D2512&lt;corte,"HISTÓRICO",IF(OR(AND(ISNUMBER(R2512),R2512&lt;TODAY()),AND(OR(N2512="PENDENTE",N2512="PARCIAL"),D2512&lt;TODAY()-1)),"CRÍTICO",IF(OR(AND(P2512&lt;&gt;"",S2512=""),AND(N2512="REALIZADO",M2512="PENDENTE"),AND(ISNUMBER(R2512),R2512=TODAY())),"ATENÇÃO",IF(N(K2512)=0,"PENDENTE","EM ANDAMENTO"))))))</f>
        <v/>
      </c>
      <c r="C2512" s="3">
        <f>IF(D2512="","",IF(V2512=0,"🟢 OK",IF(D2512&lt;corte,"⚪ HISTÓRICO (sem baixa)",IF(AND(ISNUMBER(R2512),R2512&lt;TODAY()),"🔴 PRAZO VENCIDO",IF(AND(OR(N2512="PENDENTE",N2512="PARCIAL"),D2512&lt;TODAY()-1),"🔴 EMBARQUE ATRASADO",IF(AND(N2512="REALIZADO",M2512="PENDENTE"),"🟡 EMBARCADO SEM FATURAR",IF(AND(P2512&lt;&gt;"",S2512="",OR(Q2512="",R2512="")),"🟡 PENDÊNCIA SEM RESPONSÁVEL/PRAZO",IF(AND(ISNUMBER(R2512),R2512=TODAY()),"🟡 VENCE HOJE",IF(AND(P2512&lt;&gt;"",S2512=""),"🟡 PENDÊNCIA ABERTA",IF(AND(N(J2512)&gt;0,N(K2512)&lt;J2512),"🟡 FALTA EXECUTAR",IF(OR(M2512="PENDENTE",M2512="PARCIAL"),"🟡 FATURAMENTO PENDENTE","🟡 EMBARQUE PENDENTE")))))))))))</f>
        <v/>
      </c>
      <c r="D2512" s="4" t="n"/>
      <c r="E2512" s="5" t="n"/>
      <c r="F2512" s="5" t="n"/>
      <c r="G2512" s="5" t="n"/>
      <c r="H2512" s="5" t="n"/>
      <c r="I2512" s="5" t="n"/>
      <c r="J2512" s="6" t="n"/>
      <c r="K2512" s="6" t="n"/>
      <c r="L2512" s="7">
        <f>IF(OR(D2512="",N(J2512)=0),"",MIN(1,N(K2512)/J2512))</f>
        <v/>
      </c>
      <c r="M2512" s="5" t="n"/>
      <c r="N2512" s="5" t="n"/>
      <c r="O2512" s="5" t="n"/>
      <c r="P2512" s="5" t="n"/>
      <c r="Q2512" s="5" t="n"/>
      <c r="R2512" s="4" t="n"/>
      <c r="S2512" s="4" t="n"/>
      <c r="T2512" s="5" t="n"/>
      <c r="U2512" s="8">
        <f>IF(AND(V2512=1,D2512&lt;&gt;""),IF(D2512&gt;=corte,TODAY()-D2512,""),"")</f>
        <v/>
      </c>
      <c r="V2512" s="8">
        <f>IF(D2512="",0,IF(OR(AND(P2512&lt;&gt;"",S2512=""),AND(N(J2512)&gt;0,N(K2512)&lt;J2512),OR(M2512="PENDENTE",M2512="PARCIAL"),OR(N2512="PENDENTE",N2512="PARCIAL")),1,0))</f>
        <v/>
      </c>
      <c r="W2512" s="8">
        <f>IF(AND(V2512=1,D2512&lt;&gt;""),IF(D2512&gt;=corte,(B2512="CRÍTICO")*1E9+(100000-D2512)*10000+10000-ROW(),""),"")</f>
        <v/>
      </c>
      <c r="X2512" s="8">
        <f>IF(AND(V2512=1,D2512=pas_data,E2512=pas_turno),10000-ROW(),"")</f>
        <v/>
      </c>
    </row>
    <row r="2513">
      <c r="A2513" s="3">
        <f>IF(D2513="","","TT-"&amp;TEXT(ROW()-1,"00000"))</f>
        <v/>
      </c>
      <c r="B2513" s="3">
        <f>IF(D2513="","",IF(V2513=0,"CONCLUÍDO",IF(D2513&lt;corte,"HISTÓRICO",IF(OR(AND(ISNUMBER(R2513),R2513&lt;TODAY()),AND(OR(N2513="PENDENTE",N2513="PARCIAL"),D2513&lt;TODAY()-1)),"CRÍTICO",IF(OR(AND(P2513&lt;&gt;"",S2513=""),AND(N2513="REALIZADO",M2513="PENDENTE"),AND(ISNUMBER(R2513),R2513=TODAY())),"ATENÇÃO",IF(N(K2513)=0,"PENDENTE","EM ANDAMENTO"))))))</f>
        <v/>
      </c>
      <c r="C2513" s="3">
        <f>IF(D2513="","",IF(V2513=0,"🟢 OK",IF(D2513&lt;corte,"⚪ HISTÓRICO (sem baixa)",IF(AND(ISNUMBER(R2513),R2513&lt;TODAY()),"🔴 PRAZO VENCIDO",IF(AND(OR(N2513="PENDENTE",N2513="PARCIAL"),D2513&lt;TODAY()-1),"🔴 EMBARQUE ATRASADO",IF(AND(N2513="REALIZADO",M2513="PENDENTE"),"🟡 EMBARCADO SEM FATURAR",IF(AND(P2513&lt;&gt;"",S2513="",OR(Q2513="",R2513="")),"🟡 PENDÊNCIA SEM RESPONSÁVEL/PRAZO",IF(AND(ISNUMBER(R2513),R2513=TODAY()),"🟡 VENCE HOJE",IF(AND(P2513&lt;&gt;"",S2513=""),"🟡 PENDÊNCIA ABERTA",IF(AND(N(J2513)&gt;0,N(K2513)&lt;J2513),"🟡 FALTA EXECUTAR",IF(OR(M2513="PENDENTE",M2513="PARCIAL"),"🟡 FATURAMENTO PENDENTE","🟡 EMBARQUE PENDENTE")))))))))))</f>
        <v/>
      </c>
      <c r="D2513" s="4" t="n"/>
      <c r="E2513" s="5" t="n"/>
      <c r="F2513" s="5" t="n"/>
      <c r="G2513" s="5" t="n"/>
      <c r="H2513" s="5" t="n"/>
      <c r="I2513" s="5" t="n"/>
      <c r="J2513" s="6" t="n"/>
      <c r="K2513" s="6" t="n"/>
      <c r="L2513" s="7">
        <f>IF(OR(D2513="",N(J2513)=0),"",MIN(1,N(K2513)/J2513))</f>
        <v/>
      </c>
      <c r="M2513" s="5" t="n"/>
      <c r="N2513" s="5" t="n"/>
      <c r="O2513" s="5" t="n"/>
      <c r="P2513" s="5" t="n"/>
      <c r="Q2513" s="5" t="n"/>
      <c r="R2513" s="4" t="n"/>
      <c r="S2513" s="4" t="n"/>
      <c r="T2513" s="5" t="n"/>
      <c r="U2513" s="8">
        <f>IF(AND(V2513=1,D2513&lt;&gt;""),IF(D2513&gt;=corte,TODAY()-D2513,""),"")</f>
        <v/>
      </c>
      <c r="V2513" s="8">
        <f>IF(D2513="",0,IF(OR(AND(P2513&lt;&gt;"",S2513=""),AND(N(J2513)&gt;0,N(K2513)&lt;J2513),OR(M2513="PENDENTE",M2513="PARCIAL"),OR(N2513="PENDENTE",N2513="PARCIAL")),1,0))</f>
        <v/>
      </c>
      <c r="W2513" s="8">
        <f>IF(AND(V2513=1,D2513&lt;&gt;""),IF(D2513&gt;=corte,(B2513="CRÍTICO")*1E9+(100000-D2513)*10000+10000-ROW(),""),"")</f>
        <v/>
      </c>
      <c r="X2513" s="8">
        <f>IF(AND(V2513=1,D2513=pas_data,E2513=pas_turno),10000-ROW(),"")</f>
        <v/>
      </c>
    </row>
    <row r="2514">
      <c r="A2514" s="3">
        <f>IF(D2514="","","TT-"&amp;TEXT(ROW()-1,"00000"))</f>
        <v/>
      </c>
      <c r="B2514" s="3">
        <f>IF(D2514="","",IF(V2514=0,"CONCLUÍDO",IF(D2514&lt;corte,"HISTÓRICO",IF(OR(AND(ISNUMBER(R2514),R2514&lt;TODAY()),AND(OR(N2514="PENDENTE",N2514="PARCIAL"),D2514&lt;TODAY()-1)),"CRÍTICO",IF(OR(AND(P2514&lt;&gt;"",S2514=""),AND(N2514="REALIZADO",M2514="PENDENTE"),AND(ISNUMBER(R2514),R2514=TODAY())),"ATENÇÃO",IF(N(K2514)=0,"PENDENTE","EM ANDAMENTO"))))))</f>
        <v/>
      </c>
      <c r="C2514" s="3">
        <f>IF(D2514="","",IF(V2514=0,"🟢 OK",IF(D2514&lt;corte,"⚪ HISTÓRICO (sem baixa)",IF(AND(ISNUMBER(R2514),R2514&lt;TODAY()),"🔴 PRAZO VENCIDO",IF(AND(OR(N2514="PENDENTE",N2514="PARCIAL"),D2514&lt;TODAY()-1),"🔴 EMBARQUE ATRASADO",IF(AND(N2514="REALIZADO",M2514="PENDENTE"),"🟡 EMBARCADO SEM FATURAR",IF(AND(P2514&lt;&gt;"",S2514="",OR(Q2514="",R2514="")),"🟡 PENDÊNCIA SEM RESPONSÁVEL/PRAZO",IF(AND(ISNUMBER(R2514),R2514=TODAY()),"🟡 VENCE HOJE",IF(AND(P2514&lt;&gt;"",S2514=""),"🟡 PENDÊNCIA ABERTA",IF(AND(N(J2514)&gt;0,N(K2514)&lt;J2514),"🟡 FALTA EXECUTAR",IF(OR(M2514="PENDENTE",M2514="PARCIAL"),"🟡 FATURAMENTO PENDENTE","🟡 EMBARQUE PENDENTE")))))))))))</f>
        <v/>
      </c>
      <c r="D2514" s="4" t="n"/>
      <c r="E2514" s="5" t="n"/>
      <c r="F2514" s="5" t="n"/>
      <c r="G2514" s="5" t="n"/>
      <c r="H2514" s="5" t="n"/>
      <c r="I2514" s="5" t="n"/>
      <c r="J2514" s="6" t="n"/>
      <c r="K2514" s="6" t="n"/>
      <c r="L2514" s="7">
        <f>IF(OR(D2514="",N(J2514)=0),"",MIN(1,N(K2514)/J2514))</f>
        <v/>
      </c>
      <c r="M2514" s="5" t="n"/>
      <c r="N2514" s="5" t="n"/>
      <c r="O2514" s="5" t="n"/>
      <c r="P2514" s="5" t="n"/>
      <c r="Q2514" s="5" t="n"/>
      <c r="R2514" s="4" t="n"/>
      <c r="S2514" s="4" t="n"/>
      <c r="T2514" s="5" t="n"/>
      <c r="U2514" s="8">
        <f>IF(AND(V2514=1,D2514&lt;&gt;""),IF(D2514&gt;=corte,TODAY()-D2514,""),"")</f>
        <v/>
      </c>
      <c r="V2514" s="8">
        <f>IF(D2514="",0,IF(OR(AND(P2514&lt;&gt;"",S2514=""),AND(N(J2514)&gt;0,N(K2514)&lt;J2514),OR(M2514="PENDENTE",M2514="PARCIAL"),OR(N2514="PENDENTE",N2514="PARCIAL")),1,0))</f>
        <v/>
      </c>
      <c r="W2514" s="8">
        <f>IF(AND(V2514=1,D2514&lt;&gt;""),IF(D2514&gt;=corte,(B2514="CRÍTICO")*1E9+(100000-D2514)*10000+10000-ROW(),""),"")</f>
        <v/>
      </c>
      <c r="X2514" s="8">
        <f>IF(AND(V2514=1,D2514=pas_data,E2514=pas_turno),10000-ROW(),"")</f>
        <v/>
      </c>
    </row>
    <row r="2515">
      <c r="A2515" s="3">
        <f>IF(D2515="","","TT-"&amp;TEXT(ROW()-1,"00000"))</f>
        <v/>
      </c>
      <c r="B2515" s="3">
        <f>IF(D2515="","",IF(V2515=0,"CONCLUÍDO",IF(D2515&lt;corte,"HISTÓRICO",IF(OR(AND(ISNUMBER(R2515),R2515&lt;TODAY()),AND(OR(N2515="PENDENTE",N2515="PARCIAL"),D2515&lt;TODAY()-1)),"CRÍTICO",IF(OR(AND(P2515&lt;&gt;"",S2515=""),AND(N2515="REALIZADO",M2515="PENDENTE"),AND(ISNUMBER(R2515),R2515=TODAY())),"ATENÇÃO",IF(N(K2515)=0,"PENDENTE","EM ANDAMENTO"))))))</f>
        <v/>
      </c>
      <c r="C2515" s="3">
        <f>IF(D2515="","",IF(V2515=0,"🟢 OK",IF(D2515&lt;corte,"⚪ HISTÓRICO (sem baixa)",IF(AND(ISNUMBER(R2515),R2515&lt;TODAY()),"🔴 PRAZO VENCIDO",IF(AND(OR(N2515="PENDENTE",N2515="PARCIAL"),D2515&lt;TODAY()-1),"🔴 EMBARQUE ATRASADO",IF(AND(N2515="REALIZADO",M2515="PENDENTE"),"🟡 EMBARCADO SEM FATURAR",IF(AND(P2515&lt;&gt;"",S2515="",OR(Q2515="",R2515="")),"🟡 PENDÊNCIA SEM RESPONSÁVEL/PRAZO",IF(AND(ISNUMBER(R2515),R2515=TODAY()),"🟡 VENCE HOJE",IF(AND(P2515&lt;&gt;"",S2515=""),"🟡 PENDÊNCIA ABERTA",IF(AND(N(J2515)&gt;0,N(K2515)&lt;J2515),"🟡 FALTA EXECUTAR",IF(OR(M2515="PENDENTE",M2515="PARCIAL"),"🟡 FATURAMENTO PENDENTE","🟡 EMBARQUE PENDENTE")))))))))))</f>
        <v/>
      </c>
      <c r="D2515" s="4" t="n"/>
      <c r="E2515" s="5" t="n"/>
      <c r="F2515" s="5" t="n"/>
      <c r="G2515" s="5" t="n"/>
      <c r="H2515" s="5" t="n"/>
      <c r="I2515" s="5" t="n"/>
      <c r="J2515" s="6" t="n"/>
      <c r="K2515" s="6" t="n"/>
      <c r="L2515" s="7">
        <f>IF(OR(D2515="",N(J2515)=0),"",MIN(1,N(K2515)/J2515))</f>
        <v/>
      </c>
      <c r="M2515" s="5" t="n"/>
      <c r="N2515" s="5" t="n"/>
      <c r="O2515" s="5" t="n"/>
      <c r="P2515" s="5" t="n"/>
      <c r="Q2515" s="5" t="n"/>
      <c r="R2515" s="4" t="n"/>
      <c r="S2515" s="4" t="n"/>
      <c r="T2515" s="5" t="n"/>
      <c r="U2515" s="8">
        <f>IF(AND(V2515=1,D2515&lt;&gt;""),IF(D2515&gt;=corte,TODAY()-D2515,""),"")</f>
        <v/>
      </c>
      <c r="V2515" s="8">
        <f>IF(D2515="",0,IF(OR(AND(P2515&lt;&gt;"",S2515=""),AND(N(J2515)&gt;0,N(K2515)&lt;J2515),OR(M2515="PENDENTE",M2515="PARCIAL"),OR(N2515="PENDENTE",N2515="PARCIAL")),1,0))</f>
        <v/>
      </c>
      <c r="W2515" s="8">
        <f>IF(AND(V2515=1,D2515&lt;&gt;""),IF(D2515&gt;=corte,(B2515="CRÍTICO")*1E9+(100000-D2515)*10000+10000-ROW(),""),"")</f>
        <v/>
      </c>
      <c r="X2515" s="8">
        <f>IF(AND(V2515=1,D2515=pas_data,E2515=pas_turno),10000-ROW(),"")</f>
        <v/>
      </c>
    </row>
    <row r="2516">
      <c r="A2516" s="3">
        <f>IF(D2516="","","TT-"&amp;TEXT(ROW()-1,"00000"))</f>
        <v/>
      </c>
      <c r="B2516" s="3">
        <f>IF(D2516="","",IF(V2516=0,"CONCLUÍDO",IF(D2516&lt;corte,"HISTÓRICO",IF(OR(AND(ISNUMBER(R2516),R2516&lt;TODAY()),AND(OR(N2516="PENDENTE",N2516="PARCIAL"),D2516&lt;TODAY()-1)),"CRÍTICO",IF(OR(AND(P2516&lt;&gt;"",S2516=""),AND(N2516="REALIZADO",M2516="PENDENTE"),AND(ISNUMBER(R2516),R2516=TODAY())),"ATENÇÃO",IF(N(K2516)=0,"PENDENTE","EM ANDAMENTO"))))))</f>
        <v/>
      </c>
      <c r="C2516" s="3">
        <f>IF(D2516="","",IF(V2516=0,"🟢 OK",IF(D2516&lt;corte,"⚪ HISTÓRICO (sem baixa)",IF(AND(ISNUMBER(R2516),R2516&lt;TODAY()),"🔴 PRAZO VENCIDO",IF(AND(OR(N2516="PENDENTE",N2516="PARCIAL"),D2516&lt;TODAY()-1),"🔴 EMBARQUE ATRASADO",IF(AND(N2516="REALIZADO",M2516="PENDENTE"),"🟡 EMBARCADO SEM FATURAR",IF(AND(P2516&lt;&gt;"",S2516="",OR(Q2516="",R2516="")),"🟡 PENDÊNCIA SEM RESPONSÁVEL/PRAZO",IF(AND(ISNUMBER(R2516),R2516=TODAY()),"🟡 VENCE HOJE",IF(AND(P2516&lt;&gt;"",S2516=""),"🟡 PENDÊNCIA ABERTA",IF(AND(N(J2516)&gt;0,N(K2516)&lt;J2516),"🟡 FALTA EXECUTAR",IF(OR(M2516="PENDENTE",M2516="PARCIAL"),"🟡 FATURAMENTO PENDENTE","🟡 EMBARQUE PENDENTE")))))))))))</f>
        <v/>
      </c>
      <c r="D2516" s="4" t="n"/>
      <c r="E2516" s="5" t="n"/>
      <c r="F2516" s="5" t="n"/>
      <c r="G2516" s="5" t="n"/>
      <c r="H2516" s="5" t="n"/>
      <c r="I2516" s="5" t="n"/>
      <c r="J2516" s="6" t="n"/>
      <c r="K2516" s="6" t="n"/>
      <c r="L2516" s="7">
        <f>IF(OR(D2516="",N(J2516)=0),"",MIN(1,N(K2516)/J2516))</f>
        <v/>
      </c>
      <c r="M2516" s="5" t="n"/>
      <c r="N2516" s="5" t="n"/>
      <c r="O2516" s="5" t="n"/>
      <c r="P2516" s="5" t="n"/>
      <c r="Q2516" s="5" t="n"/>
      <c r="R2516" s="4" t="n"/>
      <c r="S2516" s="4" t="n"/>
      <c r="T2516" s="5" t="n"/>
      <c r="U2516" s="8">
        <f>IF(AND(V2516=1,D2516&lt;&gt;""),IF(D2516&gt;=corte,TODAY()-D2516,""),"")</f>
        <v/>
      </c>
      <c r="V2516" s="8">
        <f>IF(D2516="",0,IF(OR(AND(P2516&lt;&gt;"",S2516=""),AND(N(J2516)&gt;0,N(K2516)&lt;J2516),OR(M2516="PENDENTE",M2516="PARCIAL"),OR(N2516="PENDENTE",N2516="PARCIAL")),1,0))</f>
        <v/>
      </c>
      <c r="W2516" s="8">
        <f>IF(AND(V2516=1,D2516&lt;&gt;""),IF(D2516&gt;=corte,(B2516="CRÍTICO")*1E9+(100000-D2516)*10000+10000-ROW(),""),"")</f>
        <v/>
      </c>
      <c r="X2516" s="8">
        <f>IF(AND(V2516=1,D2516=pas_data,E2516=pas_turno),10000-ROW(),"")</f>
        <v/>
      </c>
    </row>
    <row r="2517">
      <c r="A2517" s="3">
        <f>IF(D2517="","","TT-"&amp;TEXT(ROW()-1,"00000"))</f>
        <v/>
      </c>
      <c r="B2517" s="3">
        <f>IF(D2517="","",IF(V2517=0,"CONCLUÍDO",IF(D2517&lt;corte,"HISTÓRICO",IF(OR(AND(ISNUMBER(R2517),R2517&lt;TODAY()),AND(OR(N2517="PENDENTE",N2517="PARCIAL"),D2517&lt;TODAY()-1)),"CRÍTICO",IF(OR(AND(P2517&lt;&gt;"",S2517=""),AND(N2517="REALIZADO",M2517="PENDENTE"),AND(ISNUMBER(R2517),R2517=TODAY())),"ATENÇÃO",IF(N(K2517)=0,"PENDENTE","EM ANDAMENTO"))))))</f>
        <v/>
      </c>
      <c r="C2517" s="3">
        <f>IF(D2517="","",IF(V2517=0,"🟢 OK",IF(D2517&lt;corte,"⚪ HISTÓRICO (sem baixa)",IF(AND(ISNUMBER(R2517),R2517&lt;TODAY()),"🔴 PRAZO VENCIDO",IF(AND(OR(N2517="PENDENTE",N2517="PARCIAL"),D2517&lt;TODAY()-1),"🔴 EMBARQUE ATRASADO",IF(AND(N2517="REALIZADO",M2517="PENDENTE"),"🟡 EMBARCADO SEM FATURAR",IF(AND(P2517&lt;&gt;"",S2517="",OR(Q2517="",R2517="")),"🟡 PENDÊNCIA SEM RESPONSÁVEL/PRAZO",IF(AND(ISNUMBER(R2517),R2517=TODAY()),"🟡 VENCE HOJE",IF(AND(P2517&lt;&gt;"",S2517=""),"🟡 PENDÊNCIA ABERTA",IF(AND(N(J2517)&gt;0,N(K2517)&lt;J2517),"🟡 FALTA EXECUTAR",IF(OR(M2517="PENDENTE",M2517="PARCIAL"),"🟡 FATURAMENTO PENDENTE","🟡 EMBARQUE PENDENTE")))))))))))</f>
        <v/>
      </c>
      <c r="D2517" s="4" t="n"/>
      <c r="E2517" s="5" t="n"/>
      <c r="F2517" s="5" t="n"/>
      <c r="G2517" s="5" t="n"/>
      <c r="H2517" s="5" t="n"/>
      <c r="I2517" s="5" t="n"/>
      <c r="J2517" s="6" t="n"/>
      <c r="K2517" s="6" t="n"/>
      <c r="L2517" s="7">
        <f>IF(OR(D2517="",N(J2517)=0),"",MIN(1,N(K2517)/J2517))</f>
        <v/>
      </c>
      <c r="M2517" s="5" t="n"/>
      <c r="N2517" s="5" t="n"/>
      <c r="O2517" s="5" t="n"/>
      <c r="P2517" s="5" t="n"/>
      <c r="Q2517" s="5" t="n"/>
      <c r="R2517" s="4" t="n"/>
      <c r="S2517" s="4" t="n"/>
      <c r="T2517" s="5" t="n"/>
      <c r="U2517" s="8">
        <f>IF(AND(V2517=1,D2517&lt;&gt;""),IF(D2517&gt;=corte,TODAY()-D2517,""),"")</f>
        <v/>
      </c>
      <c r="V2517" s="8">
        <f>IF(D2517="",0,IF(OR(AND(P2517&lt;&gt;"",S2517=""),AND(N(J2517)&gt;0,N(K2517)&lt;J2517),OR(M2517="PENDENTE",M2517="PARCIAL"),OR(N2517="PENDENTE",N2517="PARCIAL")),1,0))</f>
        <v/>
      </c>
      <c r="W2517" s="8">
        <f>IF(AND(V2517=1,D2517&lt;&gt;""),IF(D2517&gt;=corte,(B2517="CRÍTICO")*1E9+(100000-D2517)*10000+10000-ROW(),""),"")</f>
        <v/>
      </c>
      <c r="X2517" s="8">
        <f>IF(AND(V2517=1,D2517=pas_data,E2517=pas_turno),10000-ROW(),"")</f>
        <v/>
      </c>
    </row>
    <row r="2518">
      <c r="A2518" s="3">
        <f>IF(D2518="","","TT-"&amp;TEXT(ROW()-1,"00000"))</f>
        <v/>
      </c>
      <c r="B2518" s="3">
        <f>IF(D2518="","",IF(V2518=0,"CONCLUÍDO",IF(D2518&lt;corte,"HISTÓRICO",IF(OR(AND(ISNUMBER(R2518),R2518&lt;TODAY()),AND(OR(N2518="PENDENTE",N2518="PARCIAL"),D2518&lt;TODAY()-1)),"CRÍTICO",IF(OR(AND(P2518&lt;&gt;"",S2518=""),AND(N2518="REALIZADO",M2518="PENDENTE"),AND(ISNUMBER(R2518),R2518=TODAY())),"ATENÇÃO",IF(N(K2518)=0,"PENDENTE","EM ANDAMENTO"))))))</f>
        <v/>
      </c>
      <c r="C2518" s="3">
        <f>IF(D2518="","",IF(V2518=0,"🟢 OK",IF(D2518&lt;corte,"⚪ HISTÓRICO (sem baixa)",IF(AND(ISNUMBER(R2518),R2518&lt;TODAY()),"🔴 PRAZO VENCIDO",IF(AND(OR(N2518="PENDENTE",N2518="PARCIAL"),D2518&lt;TODAY()-1),"🔴 EMBARQUE ATRASADO",IF(AND(N2518="REALIZADO",M2518="PENDENTE"),"🟡 EMBARCADO SEM FATURAR",IF(AND(P2518&lt;&gt;"",S2518="",OR(Q2518="",R2518="")),"🟡 PENDÊNCIA SEM RESPONSÁVEL/PRAZO",IF(AND(ISNUMBER(R2518),R2518=TODAY()),"🟡 VENCE HOJE",IF(AND(P2518&lt;&gt;"",S2518=""),"🟡 PENDÊNCIA ABERTA",IF(AND(N(J2518)&gt;0,N(K2518)&lt;J2518),"🟡 FALTA EXECUTAR",IF(OR(M2518="PENDENTE",M2518="PARCIAL"),"🟡 FATURAMENTO PENDENTE","🟡 EMBARQUE PENDENTE")))))))))))</f>
        <v/>
      </c>
      <c r="D2518" s="4" t="n"/>
      <c r="E2518" s="5" t="n"/>
      <c r="F2518" s="5" t="n"/>
      <c r="G2518" s="5" t="n"/>
      <c r="H2518" s="5" t="n"/>
      <c r="I2518" s="5" t="n"/>
      <c r="J2518" s="6" t="n"/>
      <c r="K2518" s="6" t="n"/>
      <c r="L2518" s="7">
        <f>IF(OR(D2518="",N(J2518)=0),"",MIN(1,N(K2518)/J2518))</f>
        <v/>
      </c>
      <c r="M2518" s="5" t="n"/>
      <c r="N2518" s="5" t="n"/>
      <c r="O2518" s="5" t="n"/>
      <c r="P2518" s="5" t="n"/>
      <c r="Q2518" s="5" t="n"/>
      <c r="R2518" s="4" t="n"/>
      <c r="S2518" s="4" t="n"/>
      <c r="T2518" s="5" t="n"/>
      <c r="U2518" s="8">
        <f>IF(AND(V2518=1,D2518&lt;&gt;""),IF(D2518&gt;=corte,TODAY()-D2518,""),"")</f>
        <v/>
      </c>
      <c r="V2518" s="8">
        <f>IF(D2518="",0,IF(OR(AND(P2518&lt;&gt;"",S2518=""),AND(N(J2518)&gt;0,N(K2518)&lt;J2518),OR(M2518="PENDENTE",M2518="PARCIAL"),OR(N2518="PENDENTE",N2518="PARCIAL")),1,0))</f>
        <v/>
      </c>
      <c r="W2518" s="8">
        <f>IF(AND(V2518=1,D2518&lt;&gt;""),IF(D2518&gt;=corte,(B2518="CRÍTICO")*1E9+(100000-D2518)*10000+10000-ROW(),""),"")</f>
        <v/>
      </c>
      <c r="X2518" s="8">
        <f>IF(AND(V2518=1,D2518=pas_data,E2518=pas_turno),10000-ROW(),"")</f>
        <v/>
      </c>
    </row>
    <row r="2519">
      <c r="A2519" s="3">
        <f>IF(D2519="","","TT-"&amp;TEXT(ROW()-1,"00000"))</f>
        <v/>
      </c>
      <c r="B2519" s="3">
        <f>IF(D2519="","",IF(V2519=0,"CONCLUÍDO",IF(D2519&lt;corte,"HISTÓRICO",IF(OR(AND(ISNUMBER(R2519),R2519&lt;TODAY()),AND(OR(N2519="PENDENTE",N2519="PARCIAL"),D2519&lt;TODAY()-1)),"CRÍTICO",IF(OR(AND(P2519&lt;&gt;"",S2519=""),AND(N2519="REALIZADO",M2519="PENDENTE"),AND(ISNUMBER(R2519),R2519=TODAY())),"ATENÇÃO",IF(N(K2519)=0,"PENDENTE","EM ANDAMENTO"))))))</f>
        <v/>
      </c>
      <c r="C2519" s="3">
        <f>IF(D2519="","",IF(V2519=0,"🟢 OK",IF(D2519&lt;corte,"⚪ HISTÓRICO (sem baixa)",IF(AND(ISNUMBER(R2519),R2519&lt;TODAY()),"🔴 PRAZO VENCIDO",IF(AND(OR(N2519="PENDENTE",N2519="PARCIAL"),D2519&lt;TODAY()-1),"🔴 EMBARQUE ATRASADO",IF(AND(N2519="REALIZADO",M2519="PENDENTE"),"🟡 EMBARCADO SEM FATURAR",IF(AND(P2519&lt;&gt;"",S2519="",OR(Q2519="",R2519="")),"🟡 PENDÊNCIA SEM RESPONSÁVEL/PRAZO",IF(AND(ISNUMBER(R2519),R2519=TODAY()),"🟡 VENCE HOJE",IF(AND(P2519&lt;&gt;"",S2519=""),"🟡 PENDÊNCIA ABERTA",IF(AND(N(J2519)&gt;0,N(K2519)&lt;J2519),"🟡 FALTA EXECUTAR",IF(OR(M2519="PENDENTE",M2519="PARCIAL"),"🟡 FATURAMENTO PENDENTE","🟡 EMBARQUE PENDENTE")))))))))))</f>
        <v/>
      </c>
      <c r="D2519" s="4" t="n"/>
      <c r="E2519" s="5" t="n"/>
      <c r="F2519" s="5" t="n"/>
      <c r="G2519" s="5" t="n"/>
      <c r="H2519" s="5" t="n"/>
      <c r="I2519" s="5" t="n"/>
      <c r="J2519" s="6" t="n"/>
      <c r="K2519" s="6" t="n"/>
      <c r="L2519" s="7">
        <f>IF(OR(D2519="",N(J2519)=0),"",MIN(1,N(K2519)/J2519))</f>
        <v/>
      </c>
      <c r="M2519" s="5" t="n"/>
      <c r="N2519" s="5" t="n"/>
      <c r="O2519" s="5" t="n"/>
      <c r="P2519" s="5" t="n"/>
      <c r="Q2519" s="5" t="n"/>
      <c r="R2519" s="4" t="n"/>
      <c r="S2519" s="4" t="n"/>
      <c r="T2519" s="5" t="n"/>
      <c r="U2519" s="8">
        <f>IF(AND(V2519=1,D2519&lt;&gt;""),IF(D2519&gt;=corte,TODAY()-D2519,""),"")</f>
        <v/>
      </c>
      <c r="V2519" s="8">
        <f>IF(D2519="",0,IF(OR(AND(P2519&lt;&gt;"",S2519=""),AND(N(J2519)&gt;0,N(K2519)&lt;J2519),OR(M2519="PENDENTE",M2519="PARCIAL"),OR(N2519="PENDENTE",N2519="PARCIAL")),1,0))</f>
        <v/>
      </c>
      <c r="W2519" s="8">
        <f>IF(AND(V2519=1,D2519&lt;&gt;""),IF(D2519&gt;=corte,(B2519="CRÍTICO")*1E9+(100000-D2519)*10000+10000-ROW(),""),"")</f>
        <v/>
      </c>
      <c r="X2519" s="8">
        <f>IF(AND(V2519=1,D2519=pas_data,E2519=pas_turno),10000-ROW(),"")</f>
        <v/>
      </c>
    </row>
    <row r="2520">
      <c r="A2520" s="3">
        <f>IF(D2520="","","TT-"&amp;TEXT(ROW()-1,"00000"))</f>
        <v/>
      </c>
      <c r="B2520" s="3">
        <f>IF(D2520="","",IF(V2520=0,"CONCLUÍDO",IF(D2520&lt;corte,"HISTÓRICO",IF(OR(AND(ISNUMBER(R2520),R2520&lt;TODAY()),AND(OR(N2520="PENDENTE",N2520="PARCIAL"),D2520&lt;TODAY()-1)),"CRÍTICO",IF(OR(AND(P2520&lt;&gt;"",S2520=""),AND(N2520="REALIZADO",M2520="PENDENTE"),AND(ISNUMBER(R2520),R2520=TODAY())),"ATENÇÃO",IF(N(K2520)=0,"PENDENTE","EM ANDAMENTO"))))))</f>
        <v/>
      </c>
      <c r="C2520" s="3">
        <f>IF(D2520="","",IF(V2520=0,"🟢 OK",IF(D2520&lt;corte,"⚪ HISTÓRICO (sem baixa)",IF(AND(ISNUMBER(R2520),R2520&lt;TODAY()),"🔴 PRAZO VENCIDO",IF(AND(OR(N2520="PENDENTE",N2520="PARCIAL"),D2520&lt;TODAY()-1),"🔴 EMBARQUE ATRASADO",IF(AND(N2520="REALIZADO",M2520="PENDENTE"),"🟡 EMBARCADO SEM FATURAR",IF(AND(P2520&lt;&gt;"",S2520="",OR(Q2520="",R2520="")),"🟡 PENDÊNCIA SEM RESPONSÁVEL/PRAZO",IF(AND(ISNUMBER(R2520),R2520=TODAY()),"🟡 VENCE HOJE",IF(AND(P2520&lt;&gt;"",S2520=""),"🟡 PENDÊNCIA ABERTA",IF(AND(N(J2520)&gt;0,N(K2520)&lt;J2520),"🟡 FALTA EXECUTAR",IF(OR(M2520="PENDENTE",M2520="PARCIAL"),"🟡 FATURAMENTO PENDENTE","🟡 EMBARQUE PENDENTE")))))))))))</f>
        <v/>
      </c>
      <c r="D2520" s="4" t="n"/>
      <c r="E2520" s="5" t="n"/>
      <c r="F2520" s="5" t="n"/>
      <c r="G2520" s="5" t="n"/>
      <c r="H2520" s="5" t="n"/>
      <c r="I2520" s="5" t="n"/>
      <c r="J2520" s="6" t="n"/>
      <c r="K2520" s="6" t="n"/>
      <c r="L2520" s="7">
        <f>IF(OR(D2520="",N(J2520)=0),"",MIN(1,N(K2520)/J2520))</f>
        <v/>
      </c>
      <c r="M2520" s="5" t="n"/>
      <c r="N2520" s="5" t="n"/>
      <c r="O2520" s="5" t="n"/>
      <c r="P2520" s="5" t="n"/>
      <c r="Q2520" s="5" t="n"/>
      <c r="R2520" s="4" t="n"/>
      <c r="S2520" s="4" t="n"/>
      <c r="T2520" s="5" t="n"/>
      <c r="U2520" s="8">
        <f>IF(AND(V2520=1,D2520&lt;&gt;""),IF(D2520&gt;=corte,TODAY()-D2520,""),"")</f>
        <v/>
      </c>
      <c r="V2520" s="8">
        <f>IF(D2520="",0,IF(OR(AND(P2520&lt;&gt;"",S2520=""),AND(N(J2520)&gt;0,N(K2520)&lt;J2520),OR(M2520="PENDENTE",M2520="PARCIAL"),OR(N2520="PENDENTE",N2520="PARCIAL")),1,0))</f>
        <v/>
      </c>
      <c r="W2520" s="8">
        <f>IF(AND(V2520=1,D2520&lt;&gt;""),IF(D2520&gt;=corte,(B2520="CRÍTICO")*1E9+(100000-D2520)*10000+10000-ROW(),""),"")</f>
        <v/>
      </c>
      <c r="X2520" s="8">
        <f>IF(AND(V2520=1,D2520=pas_data,E2520=pas_turno),10000-ROW(),"")</f>
        <v/>
      </c>
    </row>
    <row r="2521">
      <c r="A2521" s="3">
        <f>IF(D2521="","","TT-"&amp;TEXT(ROW()-1,"00000"))</f>
        <v/>
      </c>
      <c r="B2521" s="3">
        <f>IF(D2521="","",IF(V2521=0,"CONCLUÍDO",IF(D2521&lt;corte,"HISTÓRICO",IF(OR(AND(ISNUMBER(R2521),R2521&lt;TODAY()),AND(OR(N2521="PENDENTE",N2521="PARCIAL"),D2521&lt;TODAY()-1)),"CRÍTICO",IF(OR(AND(P2521&lt;&gt;"",S2521=""),AND(N2521="REALIZADO",M2521="PENDENTE"),AND(ISNUMBER(R2521),R2521=TODAY())),"ATENÇÃO",IF(N(K2521)=0,"PENDENTE","EM ANDAMENTO"))))))</f>
        <v/>
      </c>
      <c r="C2521" s="3">
        <f>IF(D2521="","",IF(V2521=0,"🟢 OK",IF(D2521&lt;corte,"⚪ HISTÓRICO (sem baixa)",IF(AND(ISNUMBER(R2521),R2521&lt;TODAY()),"🔴 PRAZO VENCIDO",IF(AND(OR(N2521="PENDENTE",N2521="PARCIAL"),D2521&lt;TODAY()-1),"🔴 EMBARQUE ATRASADO",IF(AND(N2521="REALIZADO",M2521="PENDENTE"),"🟡 EMBARCADO SEM FATURAR",IF(AND(P2521&lt;&gt;"",S2521="",OR(Q2521="",R2521="")),"🟡 PENDÊNCIA SEM RESPONSÁVEL/PRAZO",IF(AND(ISNUMBER(R2521),R2521=TODAY()),"🟡 VENCE HOJE",IF(AND(P2521&lt;&gt;"",S2521=""),"🟡 PENDÊNCIA ABERTA",IF(AND(N(J2521)&gt;0,N(K2521)&lt;J2521),"🟡 FALTA EXECUTAR",IF(OR(M2521="PENDENTE",M2521="PARCIAL"),"🟡 FATURAMENTO PENDENTE","🟡 EMBARQUE PENDENTE")))))))))))</f>
        <v/>
      </c>
      <c r="D2521" s="4" t="n"/>
      <c r="E2521" s="5" t="n"/>
      <c r="F2521" s="5" t="n"/>
      <c r="G2521" s="5" t="n"/>
      <c r="H2521" s="5" t="n"/>
      <c r="I2521" s="5" t="n"/>
      <c r="J2521" s="6" t="n"/>
      <c r="K2521" s="6" t="n"/>
      <c r="L2521" s="7">
        <f>IF(OR(D2521="",N(J2521)=0),"",MIN(1,N(K2521)/J2521))</f>
        <v/>
      </c>
      <c r="M2521" s="5" t="n"/>
      <c r="N2521" s="5" t="n"/>
      <c r="O2521" s="5" t="n"/>
      <c r="P2521" s="5" t="n"/>
      <c r="Q2521" s="5" t="n"/>
      <c r="R2521" s="4" t="n"/>
      <c r="S2521" s="4" t="n"/>
      <c r="T2521" s="5" t="n"/>
      <c r="U2521" s="8">
        <f>IF(AND(V2521=1,D2521&lt;&gt;""),IF(D2521&gt;=corte,TODAY()-D2521,""),"")</f>
        <v/>
      </c>
      <c r="V2521" s="8">
        <f>IF(D2521="",0,IF(OR(AND(P2521&lt;&gt;"",S2521=""),AND(N(J2521)&gt;0,N(K2521)&lt;J2521),OR(M2521="PENDENTE",M2521="PARCIAL"),OR(N2521="PENDENTE",N2521="PARCIAL")),1,0))</f>
        <v/>
      </c>
      <c r="W2521" s="8">
        <f>IF(AND(V2521=1,D2521&lt;&gt;""),IF(D2521&gt;=corte,(B2521="CRÍTICO")*1E9+(100000-D2521)*10000+10000-ROW(),""),"")</f>
        <v/>
      </c>
      <c r="X2521" s="8">
        <f>IF(AND(V2521=1,D2521=pas_data,E2521=pas_turno),10000-ROW(),"")</f>
        <v/>
      </c>
    </row>
    <row r="2522">
      <c r="A2522" s="3">
        <f>IF(D2522="","","TT-"&amp;TEXT(ROW()-1,"00000"))</f>
        <v/>
      </c>
      <c r="B2522" s="3">
        <f>IF(D2522="","",IF(V2522=0,"CONCLUÍDO",IF(D2522&lt;corte,"HISTÓRICO",IF(OR(AND(ISNUMBER(R2522),R2522&lt;TODAY()),AND(OR(N2522="PENDENTE",N2522="PARCIAL"),D2522&lt;TODAY()-1)),"CRÍTICO",IF(OR(AND(P2522&lt;&gt;"",S2522=""),AND(N2522="REALIZADO",M2522="PENDENTE"),AND(ISNUMBER(R2522),R2522=TODAY())),"ATENÇÃO",IF(N(K2522)=0,"PENDENTE","EM ANDAMENTO"))))))</f>
        <v/>
      </c>
      <c r="C2522" s="3">
        <f>IF(D2522="","",IF(V2522=0,"🟢 OK",IF(D2522&lt;corte,"⚪ HISTÓRICO (sem baixa)",IF(AND(ISNUMBER(R2522),R2522&lt;TODAY()),"🔴 PRAZO VENCIDO",IF(AND(OR(N2522="PENDENTE",N2522="PARCIAL"),D2522&lt;TODAY()-1),"🔴 EMBARQUE ATRASADO",IF(AND(N2522="REALIZADO",M2522="PENDENTE"),"🟡 EMBARCADO SEM FATURAR",IF(AND(P2522&lt;&gt;"",S2522="",OR(Q2522="",R2522="")),"🟡 PENDÊNCIA SEM RESPONSÁVEL/PRAZO",IF(AND(ISNUMBER(R2522),R2522=TODAY()),"🟡 VENCE HOJE",IF(AND(P2522&lt;&gt;"",S2522=""),"🟡 PENDÊNCIA ABERTA",IF(AND(N(J2522)&gt;0,N(K2522)&lt;J2522),"🟡 FALTA EXECUTAR",IF(OR(M2522="PENDENTE",M2522="PARCIAL"),"🟡 FATURAMENTO PENDENTE","🟡 EMBARQUE PENDENTE")))))))))))</f>
        <v/>
      </c>
      <c r="D2522" s="4" t="n"/>
      <c r="E2522" s="5" t="n"/>
      <c r="F2522" s="5" t="n"/>
      <c r="G2522" s="5" t="n"/>
      <c r="H2522" s="5" t="n"/>
      <c r="I2522" s="5" t="n"/>
      <c r="J2522" s="6" t="n"/>
      <c r="K2522" s="6" t="n"/>
      <c r="L2522" s="7">
        <f>IF(OR(D2522="",N(J2522)=0),"",MIN(1,N(K2522)/J2522))</f>
        <v/>
      </c>
      <c r="M2522" s="5" t="n"/>
      <c r="N2522" s="5" t="n"/>
      <c r="O2522" s="5" t="n"/>
      <c r="P2522" s="5" t="n"/>
      <c r="Q2522" s="5" t="n"/>
      <c r="R2522" s="4" t="n"/>
      <c r="S2522" s="4" t="n"/>
      <c r="T2522" s="5" t="n"/>
      <c r="U2522" s="8">
        <f>IF(AND(V2522=1,D2522&lt;&gt;""),IF(D2522&gt;=corte,TODAY()-D2522,""),"")</f>
        <v/>
      </c>
      <c r="V2522" s="8">
        <f>IF(D2522="",0,IF(OR(AND(P2522&lt;&gt;"",S2522=""),AND(N(J2522)&gt;0,N(K2522)&lt;J2522),OR(M2522="PENDENTE",M2522="PARCIAL"),OR(N2522="PENDENTE",N2522="PARCIAL")),1,0))</f>
        <v/>
      </c>
      <c r="W2522" s="8">
        <f>IF(AND(V2522=1,D2522&lt;&gt;""),IF(D2522&gt;=corte,(B2522="CRÍTICO")*1E9+(100000-D2522)*10000+10000-ROW(),""),"")</f>
        <v/>
      </c>
      <c r="X2522" s="8">
        <f>IF(AND(V2522=1,D2522=pas_data,E2522=pas_turno),10000-ROW(),"")</f>
        <v/>
      </c>
    </row>
    <row r="2523">
      <c r="A2523" s="3">
        <f>IF(D2523="","","TT-"&amp;TEXT(ROW()-1,"00000"))</f>
        <v/>
      </c>
      <c r="B2523" s="3">
        <f>IF(D2523="","",IF(V2523=0,"CONCLUÍDO",IF(D2523&lt;corte,"HISTÓRICO",IF(OR(AND(ISNUMBER(R2523),R2523&lt;TODAY()),AND(OR(N2523="PENDENTE",N2523="PARCIAL"),D2523&lt;TODAY()-1)),"CRÍTICO",IF(OR(AND(P2523&lt;&gt;"",S2523=""),AND(N2523="REALIZADO",M2523="PENDENTE"),AND(ISNUMBER(R2523),R2523=TODAY())),"ATENÇÃO",IF(N(K2523)=0,"PENDENTE","EM ANDAMENTO"))))))</f>
        <v/>
      </c>
      <c r="C2523" s="3">
        <f>IF(D2523="","",IF(V2523=0,"🟢 OK",IF(D2523&lt;corte,"⚪ HISTÓRICO (sem baixa)",IF(AND(ISNUMBER(R2523),R2523&lt;TODAY()),"🔴 PRAZO VENCIDO",IF(AND(OR(N2523="PENDENTE",N2523="PARCIAL"),D2523&lt;TODAY()-1),"🔴 EMBARQUE ATRASADO",IF(AND(N2523="REALIZADO",M2523="PENDENTE"),"🟡 EMBARCADO SEM FATURAR",IF(AND(P2523&lt;&gt;"",S2523="",OR(Q2523="",R2523="")),"🟡 PENDÊNCIA SEM RESPONSÁVEL/PRAZO",IF(AND(ISNUMBER(R2523),R2523=TODAY()),"🟡 VENCE HOJE",IF(AND(P2523&lt;&gt;"",S2523=""),"🟡 PENDÊNCIA ABERTA",IF(AND(N(J2523)&gt;0,N(K2523)&lt;J2523),"🟡 FALTA EXECUTAR",IF(OR(M2523="PENDENTE",M2523="PARCIAL"),"🟡 FATURAMENTO PENDENTE","🟡 EMBARQUE PENDENTE")))))))))))</f>
        <v/>
      </c>
      <c r="D2523" s="4" t="n"/>
      <c r="E2523" s="5" t="n"/>
      <c r="F2523" s="5" t="n"/>
      <c r="G2523" s="5" t="n"/>
      <c r="H2523" s="5" t="n"/>
      <c r="I2523" s="5" t="n"/>
      <c r="J2523" s="6" t="n"/>
      <c r="K2523" s="6" t="n"/>
      <c r="L2523" s="7">
        <f>IF(OR(D2523="",N(J2523)=0),"",MIN(1,N(K2523)/J2523))</f>
        <v/>
      </c>
      <c r="M2523" s="5" t="n"/>
      <c r="N2523" s="5" t="n"/>
      <c r="O2523" s="5" t="n"/>
      <c r="P2523" s="5" t="n"/>
      <c r="Q2523" s="5" t="n"/>
      <c r="R2523" s="4" t="n"/>
      <c r="S2523" s="4" t="n"/>
      <c r="T2523" s="5" t="n"/>
      <c r="U2523" s="8">
        <f>IF(AND(V2523=1,D2523&lt;&gt;""),IF(D2523&gt;=corte,TODAY()-D2523,""),"")</f>
        <v/>
      </c>
      <c r="V2523" s="8">
        <f>IF(D2523="",0,IF(OR(AND(P2523&lt;&gt;"",S2523=""),AND(N(J2523)&gt;0,N(K2523)&lt;J2523),OR(M2523="PENDENTE",M2523="PARCIAL"),OR(N2523="PENDENTE",N2523="PARCIAL")),1,0))</f>
        <v/>
      </c>
      <c r="W2523" s="8">
        <f>IF(AND(V2523=1,D2523&lt;&gt;""),IF(D2523&gt;=corte,(B2523="CRÍTICO")*1E9+(100000-D2523)*10000+10000-ROW(),""),"")</f>
        <v/>
      </c>
      <c r="X2523" s="8">
        <f>IF(AND(V2523=1,D2523=pas_data,E2523=pas_turno),10000-ROW(),"")</f>
        <v/>
      </c>
    </row>
    <row r="2524">
      <c r="A2524" s="3">
        <f>IF(D2524="","","TT-"&amp;TEXT(ROW()-1,"00000"))</f>
        <v/>
      </c>
      <c r="B2524" s="3">
        <f>IF(D2524="","",IF(V2524=0,"CONCLUÍDO",IF(D2524&lt;corte,"HISTÓRICO",IF(OR(AND(ISNUMBER(R2524),R2524&lt;TODAY()),AND(OR(N2524="PENDENTE",N2524="PARCIAL"),D2524&lt;TODAY()-1)),"CRÍTICO",IF(OR(AND(P2524&lt;&gt;"",S2524=""),AND(N2524="REALIZADO",M2524="PENDENTE"),AND(ISNUMBER(R2524),R2524=TODAY())),"ATENÇÃO",IF(N(K2524)=0,"PENDENTE","EM ANDAMENTO"))))))</f>
        <v/>
      </c>
      <c r="C2524" s="3">
        <f>IF(D2524="","",IF(V2524=0,"🟢 OK",IF(D2524&lt;corte,"⚪ HISTÓRICO (sem baixa)",IF(AND(ISNUMBER(R2524),R2524&lt;TODAY()),"🔴 PRAZO VENCIDO",IF(AND(OR(N2524="PENDENTE",N2524="PARCIAL"),D2524&lt;TODAY()-1),"🔴 EMBARQUE ATRASADO",IF(AND(N2524="REALIZADO",M2524="PENDENTE"),"🟡 EMBARCADO SEM FATURAR",IF(AND(P2524&lt;&gt;"",S2524="",OR(Q2524="",R2524="")),"🟡 PENDÊNCIA SEM RESPONSÁVEL/PRAZO",IF(AND(ISNUMBER(R2524),R2524=TODAY()),"🟡 VENCE HOJE",IF(AND(P2524&lt;&gt;"",S2524=""),"🟡 PENDÊNCIA ABERTA",IF(AND(N(J2524)&gt;0,N(K2524)&lt;J2524),"🟡 FALTA EXECUTAR",IF(OR(M2524="PENDENTE",M2524="PARCIAL"),"🟡 FATURAMENTO PENDENTE","🟡 EMBARQUE PENDENTE")))))))))))</f>
        <v/>
      </c>
      <c r="D2524" s="4" t="n"/>
      <c r="E2524" s="5" t="n"/>
      <c r="F2524" s="5" t="n"/>
      <c r="G2524" s="5" t="n"/>
      <c r="H2524" s="5" t="n"/>
      <c r="I2524" s="5" t="n"/>
      <c r="J2524" s="6" t="n"/>
      <c r="K2524" s="6" t="n"/>
      <c r="L2524" s="7">
        <f>IF(OR(D2524="",N(J2524)=0),"",MIN(1,N(K2524)/J2524))</f>
        <v/>
      </c>
      <c r="M2524" s="5" t="n"/>
      <c r="N2524" s="5" t="n"/>
      <c r="O2524" s="5" t="n"/>
      <c r="P2524" s="5" t="n"/>
      <c r="Q2524" s="5" t="n"/>
      <c r="R2524" s="4" t="n"/>
      <c r="S2524" s="4" t="n"/>
      <c r="T2524" s="5" t="n"/>
      <c r="U2524" s="8">
        <f>IF(AND(V2524=1,D2524&lt;&gt;""),IF(D2524&gt;=corte,TODAY()-D2524,""),"")</f>
        <v/>
      </c>
      <c r="V2524" s="8">
        <f>IF(D2524="",0,IF(OR(AND(P2524&lt;&gt;"",S2524=""),AND(N(J2524)&gt;0,N(K2524)&lt;J2524),OR(M2524="PENDENTE",M2524="PARCIAL"),OR(N2524="PENDENTE",N2524="PARCIAL")),1,0))</f>
        <v/>
      </c>
      <c r="W2524" s="8">
        <f>IF(AND(V2524=1,D2524&lt;&gt;""),IF(D2524&gt;=corte,(B2524="CRÍTICO")*1E9+(100000-D2524)*10000+10000-ROW(),""),"")</f>
        <v/>
      </c>
      <c r="X2524" s="8">
        <f>IF(AND(V2524=1,D2524=pas_data,E2524=pas_turno),10000-ROW(),"")</f>
        <v/>
      </c>
    </row>
    <row r="2525">
      <c r="A2525" s="3">
        <f>IF(D2525="","","TT-"&amp;TEXT(ROW()-1,"00000"))</f>
        <v/>
      </c>
      <c r="B2525" s="3">
        <f>IF(D2525="","",IF(V2525=0,"CONCLUÍDO",IF(D2525&lt;corte,"HISTÓRICO",IF(OR(AND(ISNUMBER(R2525),R2525&lt;TODAY()),AND(OR(N2525="PENDENTE",N2525="PARCIAL"),D2525&lt;TODAY()-1)),"CRÍTICO",IF(OR(AND(P2525&lt;&gt;"",S2525=""),AND(N2525="REALIZADO",M2525="PENDENTE"),AND(ISNUMBER(R2525),R2525=TODAY())),"ATENÇÃO",IF(N(K2525)=0,"PENDENTE","EM ANDAMENTO"))))))</f>
        <v/>
      </c>
      <c r="C2525" s="3">
        <f>IF(D2525="","",IF(V2525=0,"🟢 OK",IF(D2525&lt;corte,"⚪ HISTÓRICO (sem baixa)",IF(AND(ISNUMBER(R2525),R2525&lt;TODAY()),"🔴 PRAZO VENCIDO",IF(AND(OR(N2525="PENDENTE",N2525="PARCIAL"),D2525&lt;TODAY()-1),"🔴 EMBARQUE ATRASADO",IF(AND(N2525="REALIZADO",M2525="PENDENTE"),"🟡 EMBARCADO SEM FATURAR",IF(AND(P2525&lt;&gt;"",S2525="",OR(Q2525="",R2525="")),"🟡 PENDÊNCIA SEM RESPONSÁVEL/PRAZO",IF(AND(ISNUMBER(R2525),R2525=TODAY()),"🟡 VENCE HOJE",IF(AND(P2525&lt;&gt;"",S2525=""),"🟡 PENDÊNCIA ABERTA",IF(AND(N(J2525)&gt;0,N(K2525)&lt;J2525),"🟡 FALTA EXECUTAR",IF(OR(M2525="PENDENTE",M2525="PARCIAL"),"🟡 FATURAMENTO PENDENTE","🟡 EMBARQUE PENDENTE")))))))))))</f>
        <v/>
      </c>
      <c r="D2525" s="4" t="n"/>
      <c r="E2525" s="5" t="n"/>
      <c r="F2525" s="5" t="n"/>
      <c r="G2525" s="5" t="n"/>
      <c r="H2525" s="5" t="n"/>
      <c r="I2525" s="5" t="n"/>
      <c r="J2525" s="6" t="n"/>
      <c r="K2525" s="6" t="n"/>
      <c r="L2525" s="7">
        <f>IF(OR(D2525="",N(J2525)=0),"",MIN(1,N(K2525)/J2525))</f>
        <v/>
      </c>
      <c r="M2525" s="5" t="n"/>
      <c r="N2525" s="5" t="n"/>
      <c r="O2525" s="5" t="n"/>
      <c r="P2525" s="5" t="n"/>
      <c r="Q2525" s="5" t="n"/>
      <c r="R2525" s="4" t="n"/>
      <c r="S2525" s="4" t="n"/>
      <c r="T2525" s="5" t="n"/>
      <c r="U2525" s="8">
        <f>IF(AND(V2525=1,D2525&lt;&gt;""),IF(D2525&gt;=corte,TODAY()-D2525,""),"")</f>
        <v/>
      </c>
      <c r="V2525" s="8">
        <f>IF(D2525="",0,IF(OR(AND(P2525&lt;&gt;"",S2525=""),AND(N(J2525)&gt;0,N(K2525)&lt;J2525),OR(M2525="PENDENTE",M2525="PARCIAL"),OR(N2525="PENDENTE",N2525="PARCIAL")),1,0))</f>
        <v/>
      </c>
      <c r="W2525" s="8">
        <f>IF(AND(V2525=1,D2525&lt;&gt;""),IF(D2525&gt;=corte,(B2525="CRÍTICO")*1E9+(100000-D2525)*10000+10000-ROW(),""),"")</f>
        <v/>
      </c>
      <c r="X2525" s="8">
        <f>IF(AND(V2525=1,D2525=pas_data,E2525=pas_turno),10000-ROW(),"")</f>
        <v/>
      </c>
    </row>
    <row r="2526">
      <c r="A2526" s="3">
        <f>IF(D2526="","","TT-"&amp;TEXT(ROW()-1,"00000"))</f>
        <v/>
      </c>
      <c r="B2526" s="3">
        <f>IF(D2526="","",IF(V2526=0,"CONCLUÍDO",IF(D2526&lt;corte,"HISTÓRICO",IF(OR(AND(ISNUMBER(R2526),R2526&lt;TODAY()),AND(OR(N2526="PENDENTE",N2526="PARCIAL"),D2526&lt;TODAY()-1)),"CRÍTICO",IF(OR(AND(P2526&lt;&gt;"",S2526=""),AND(N2526="REALIZADO",M2526="PENDENTE"),AND(ISNUMBER(R2526),R2526=TODAY())),"ATENÇÃO",IF(N(K2526)=0,"PENDENTE","EM ANDAMENTO"))))))</f>
        <v/>
      </c>
      <c r="C2526" s="3">
        <f>IF(D2526="","",IF(V2526=0,"🟢 OK",IF(D2526&lt;corte,"⚪ HISTÓRICO (sem baixa)",IF(AND(ISNUMBER(R2526),R2526&lt;TODAY()),"🔴 PRAZO VENCIDO",IF(AND(OR(N2526="PENDENTE",N2526="PARCIAL"),D2526&lt;TODAY()-1),"🔴 EMBARQUE ATRASADO",IF(AND(N2526="REALIZADO",M2526="PENDENTE"),"🟡 EMBARCADO SEM FATURAR",IF(AND(P2526&lt;&gt;"",S2526="",OR(Q2526="",R2526="")),"🟡 PENDÊNCIA SEM RESPONSÁVEL/PRAZO",IF(AND(ISNUMBER(R2526),R2526=TODAY()),"🟡 VENCE HOJE",IF(AND(P2526&lt;&gt;"",S2526=""),"🟡 PENDÊNCIA ABERTA",IF(AND(N(J2526)&gt;0,N(K2526)&lt;J2526),"🟡 FALTA EXECUTAR",IF(OR(M2526="PENDENTE",M2526="PARCIAL"),"🟡 FATURAMENTO PENDENTE","🟡 EMBARQUE PENDENTE")))))))))))</f>
        <v/>
      </c>
      <c r="D2526" s="4" t="n"/>
      <c r="E2526" s="5" t="n"/>
      <c r="F2526" s="5" t="n"/>
      <c r="G2526" s="5" t="n"/>
      <c r="H2526" s="5" t="n"/>
      <c r="I2526" s="5" t="n"/>
      <c r="J2526" s="6" t="n"/>
      <c r="K2526" s="6" t="n"/>
      <c r="L2526" s="7">
        <f>IF(OR(D2526="",N(J2526)=0),"",MIN(1,N(K2526)/J2526))</f>
        <v/>
      </c>
      <c r="M2526" s="5" t="n"/>
      <c r="N2526" s="5" t="n"/>
      <c r="O2526" s="5" t="n"/>
      <c r="P2526" s="5" t="n"/>
      <c r="Q2526" s="5" t="n"/>
      <c r="R2526" s="4" t="n"/>
      <c r="S2526" s="4" t="n"/>
      <c r="T2526" s="5" t="n"/>
      <c r="U2526" s="8">
        <f>IF(AND(V2526=1,D2526&lt;&gt;""),IF(D2526&gt;=corte,TODAY()-D2526,""),"")</f>
        <v/>
      </c>
      <c r="V2526" s="8">
        <f>IF(D2526="",0,IF(OR(AND(P2526&lt;&gt;"",S2526=""),AND(N(J2526)&gt;0,N(K2526)&lt;J2526),OR(M2526="PENDENTE",M2526="PARCIAL"),OR(N2526="PENDENTE",N2526="PARCIAL")),1,0))</f>
        <v/>
      </c>
      <c r="W2526" s="8">
        <f>IF(AND(V2526=1,D2526&lt;&gt;""),IF(D2526&gt;=corte,(B2526="CRÍTICO")*1E9+(100000-D2526)*10000+10000-ROW(),""),"")</f>
        <v/>
      </c>
      <c r="X2526" s="8">
        <f>IF(AND(V2526=1,D2526=pas_data,E2526=pas_turno),10000-ROW(),"")</f>
        <v/>
      </c>
    </row>
    <row r="2527">
      <c r="A2527" s="3">
        <f>IF(D2527="","","TT-"&amp;TEXT(ROW()-1,"00000"))</f>
        <v/>
      </c>
      <c r="B2527" s="3">
        <f>IF(D2527="","",IF(V2527=0,"CONCLUÍDO",IF(D2527&lt;corte,"HISTÓRICO",IF(OR(AND(ISNUMBER(R2527),R2527&lt;TODAY()),AND(OR(N2527="PENDENTE",N2527="PARCIAL"),D2527&lt;TODAY()-1)),"CRÍTICO",IF(OR(AND(P2527&lt;&gt;"",S2527=""),AND(N2527="REALIZADO",M2527="PENDENTE"),AND(ISNUMBER(R2527),R2527=TODAY())),"ATENÇÃO",IF(N(K2527)=0,"PENDENTE","EM ANDAMENTO"))))))</f>
        <v/>
      </c>
      <c r="C2527" s="3">
        <f>IF(D2527="","",IF(V2527=0,"🟢 OK",IF(D2527&lt;corte,"⚪ HISTÓRICO (sem baixa)",IF(AND(ISNUMBER(R2527),R2527&lt;TODAY()),"🔴 PRAZO VENCIDO",IF(AND(OR(N2527="PENDENTE",N2527="PARCIAL"),D2527&lt;TODAY()-1),"🔴 EMBARQUE ATRASADO",IF(AND(N2527="REALIZADO",M2527="PENDENTE"),"🟡 EMBARCADO SEM FATURAR",IF(AND(P2527&lt;&gt;"",S2527="",OR(Q2527="",R2527="")),"🟡 PENDÊNCIA SEM RESPONSÁVEL/PRAZO",IF(AND(ISNUMBER(R2527),R2527=TODAY()),"🟡 VENCE HOJE",IF(AND(P2527&lt;&gt;"",S2527=""),"🟡 PENDÊNCIA ABERTA",IF(AND(N(J2527)&gt;0,N(K2527)&lt;J2527),"🟡 FALTA EXECUTAR",IF(OR(M2527="PENDENTE",M2527="PARCIAL"),"🟡 FATURAMENTO PENDENTE","🟡 EMBARQUE PENDENTE")))))))))))</f>
        <v/>
      </c>
      <c r="D2527" s="4" t="n"/>
      <c r="E2527" s="5" t="n"/>
      <c r="F2527" s="5" t="n"/>
      <c r="G2527" s="5" t="n"/>
      <c r="H2527" s="5" t="n"/>
      <c r="I2527" s="5" t="n"/>
      <c r="J2527" s="6" t="n"/>
      <c r="K2527" s="6" t="n"/>
      <c r="L2527" s="7">
        <f>IF(OR(D2527="",N(J2527)=0),"",MIN(1,N(K2527)/J2527))</f>
        <v/>
      </c>
      <c r="M2527" s="5" t="n"/>
      <c r="N2527" s="5" t="n"/>
      <c r="O2527" s="5" t="n"/>
      <c r="P2527" s="5" t="n"/>
      <c r="Q2527" s="5" t="n"/>
      <c r="R2527" s="4" t="n"/>
      <c r="S2527" s="4" t="n"/>
      <c r="T2527" s="5" t="n"/>
      <c r="U2527" s="8">
        <f>IF(AND(V2527=1,D2527&lt;&gt;""),IF(D2527&gt;=corte,TODAY()-D2527,""),"")</f>
        <v/>
      </c>
      <c r="V2527" s="8">
        <f>IF(D2527="",0,IF(OR(AND(P2527&lt;&gt;"",S2527=""),AND(N(J2527)&gt;0,N(K2527)&lt;J2527),OR(M2527="PENDENTE",M2527="PARCIAL"),OR(N2527="PENDENTE",N2527="PARCIAL")),1,0))</f>
        <v/>
      </c>
      <c r="W2527" s="8">
        <f>IF(AND(V2527=1,D2527&lt;&gt;""),IF(D2527&gt;=corte,(B2527="CRÍTICO")*1E9+(100000-D2527)*10000+10000-ROW(),""),"")</f>
        <v/>
      </c>
      <c r="X2527" s="8">
        <f>IF(AND(V2527=1,D2527=pas_data,E2527=pas_turno),10000-ROW(),"")</f>
        <v/>
      </c>
    </row>
    <row r="2528">
      <c r="A2528" s="3">
        <f>IF(D2528="","","TT-"&amp;TEXT(ROW()-1,"00000"))</f>
        <v/>
      </c>
      <c r="B2528" s="3">
        <f>IF(D2528="","",IF(V2528=0,"CONCLUÍDO",IF(D2528&lt;corte,"HISTÓRICO",IF(OR(AND(ISNUMBER(R2528),R2528&lt;TODAY()),AND(OR(N2528="PENDENTE",N2528="PARCIAL"),D2528&lt;TODAY()-1)),"CRÍTICO",IF(OR(AND(P2528&lt;&gt;"",S2528=""),AND(N2528="REALIZADO",M2528="PENDENTE"),AND(ISNUMBER(R2528),R2528=TODAY())),"ATENÇÃO",IF(N(K2528)=0,"PENDENTE","EM ANDAMENTO"))))))</f>
        <v/>
      </c>
      <c r="C2528" s="3">
        <f>IF(D2528="","",IF(V2528=0,"🟢 OK",IF(D2528&lt;corte,"⚪ HISTÓRICO (sem baixa)",IF(AND(ISNUMBER(R2528),R2528&lt;TODAY()),"🔴 PRAZO VENCIDO",IF(AND(OR(N2528="PENDENTE",N2528="PARCIAL"),D2528&lt;TODAY()-1),"🔴 EMBARQUE ATRASADO",IF(AND(N2528="REALIZADO",M2528="PENDENTE"),"🟡 EMBARCADO SEM FATURAR",IF(AND(P2528&lt;&gt;"",S2528="",OR(Q2528="",R2528="")),"🟡 PENDÊNCIA SEM RESPONSÁVEL/PRAZO",IF(AND(ISNUMBER(R2528),R2528=TODAY()),"🟡 VENCE HOJE",IF(AND(P2528&lt;&gt;"",S2528=""),"🟡 PENDÊNCIA ABERTA",IF(AND(N(J2528)&gt;0,N(K2528)&lt;J2528),"🟡 FALTA EXECUTAR",IF(OR(M2528="PENDENTE",M2528="PARCIAL"),"🟡 FATURAMENTO PENDENTE","🟡 EMBARQUE PENDENTE")))))))))))</f>
        <v/>
      </c>
      <c r="D2528" s="4" t="n"/>
      <c r="E2528" s="5" t="n"/>
      <c r="F2528" s="5" t="n"/>
      <c r="G2528" s="5" t="n"/>
      <c r="H2528" s="5" t="n"/>
      <c r="I2528" s="5" t="n"/>
      <c r="J2528" s="6" t="n"/>
      <c r="K2528" s="6" t="n"/>
      <c r="L2528" s="7">
        <f>IF(OR(D2528="",N(J2528)=0),"",MIN(1,N(K2528)/J2528))</f>
        <v/>
      </c>
      <c r="M2528" s="5" t="n"/>
      <c r="N2528" s="5" t="n"/>
      <c r="O2528" s="5" t="n"/>
      <c r="P2528" s="5" t="n"/>
      <c r="Q2528" s="5" t="n"/>
      <c r="R2528" s="4" t="n"/>
      <c r="S2528" s="4" t="n"/>
      <c r="T2528" s="5" t="n"/>
      <c r="U2528" s="8">
        <f>IF(AND(V2528=1,D2528&lt;&gt;""),IF(D2528&gt;=corte,TODAY()-D2528,""),"")</f>
        <v/>
      </c>
      <c r="V2528" s="8">
        <f>IF(D2528="",0,IF(OR(AND(P2528&lt;&gt;"",S2528=""),AND(N(J2528)&gt;0,N(K2528)&lt;J2528),OR(M2528="PENDENTE",M2528="PARCIAL"),OR(N2528="PENDENTE",N2528="PARCIAL")),1,0))</f>
        <v/>
      </c>
      <c r="W2528" s="8">
        <f>IF(AND(V2528=1,D2528&lt;&gt;""),IF(D2528&gt;=corte,(B2528="CRÍTICO")*1E9+(100000-D2528)*10000+10000-ROW(),""),"")</f>
        <v/>
      </c>
      <c r="X2528" s="8">
        <f>IF(AND(V2528=1,D2528=pas_data,E2528=pas_turno),10000-ROW(),"")</f>
        <v/>
      </c>
    </row>
    <row r="2529">
      <c r="A2529" s="3">
        <f>IF(D2529="","","TT-"&amp;TEXT(ROW()-1,"00000"))</f>
        <v/>
      </c>
      <c r="B2529" s="3">
        <f>IF(D2529="","",IF(V2529=0,"CONCLUÍDO",IF(D2529&lt;corte,"HISTÓRICO",IF(OR(AND(ISNUMBER(R2529),R2529&lt;TODAY()),AND(OR(N2529="PENDENTE",N2529="PARCIAL"),D2529&lt;TODAY()-1)),"CRÍTICO",IF(OR(AND(P2529&lt;&gt;"",S2529=""),AND(N2529="REALIZADO",M2529="PENDENTE"),AND(ISNUMBER(R2529),R2529=TODAY())),"ATENÇÃO",IF(N(K2529)=0,"PENDENTE","EM ANDAMENTO"))))))</f>
        <v/>
      </c>
      <c r="C2529" s="3">
        <f>IF(D2529="","",IF(V2529=0,"🟢 OK",IF(D2529&lt;corte,"⚪ HISTÓRICO (sem baixa)",IF(AND(ISNUMBER(R2529),R2529&lt;TODAY()),"🔴 PRAZO VENCIDO",IF(AND(OR(N2529="PENDENTE",N2529="PARCIAL"),D2529&lt;TODAY()-1),"🔴 EMBARQUE ATRASADO",IF(AND(N2529="REALIZADO",M2529="PENDENTE"),"🟡 EMBARCADO SEM FATURAR",IF(AND(P2529&lt;&gt;"",S2529="",OR(Q2529="",R2529="")),"🟡 PENDÊNCIA SEM RESPONSÁVEL/PRAZO",IF(AND(ISNUMBER(R2529),R2529=TODAY()),"🟡 VENCE HOJE",IF(AND(P2529&lt;&gt;"",S2529=""),"🟡 PENDÊNCIA ABERTA",IF(AND(N(J2529)&gt;0,N(K2529)&lt;J2529),"🟡 FALTA EXECUTAR",IF(OR(M2529="PENDENTE",M2529="PARCIAL"),"🟡 FATURAMENTO PENDENTE","🟡 EMBARQUE PENDENTE")))))))))))</f>
        <v/>
      </c>
      <c r="D2529" s="4" t="n"/>
      <c r="E2529" s="5" t="n"/>
      <c r="F2529" s="5" t="n"/>
      <c r="G2529" s="5" t="n"/>
      <c r="H2529" s="5" t="n"/>
      <c r="I2529" s="5" t="n"/>
      <c r="J2529" s="6" t="n"/>
      <c r="K2529" s="6" t="n"/>
      <c r="L2529" s="7">
        <f>IF(OR(D2529="",N(J2529)=0),"",MIN(1,N(K2529)/J2529))</f>
        <v/>
      </c>
      <c r="M2529" s="5" t="n"/>
      <c r="N2529" s="5" t="n"/>
      <c r="O2529" s="5" t="n"/>
      <c r="P2529" s="5" t="n"/>
      <c r="Q2529" s="5" t="n"/>
      <c r="R2529" s="4" t="n"/>
      <c r="S2529" s="4" t="n"/>
      <c r="T2529" s="5" t="n"/>
      <c r="U2529" s="8">
        <f>IF(AND(V2529=1,D2529&lt;&gt;""),IF(D2529&gt;=corte,TODAY()-D2529,""),"")</f>
        <v/>
      </c>
      <c r="V2529" s="8">
        <f>IF(D2529="",0,IF(OR(AND(P2529&lt;&gt;"",S2529=""),AND(N(J2529)&gt;0,N(K2529)&lt;J2529),OR(M2529="PENDENTE",M2529="PARCIAL"),OR(N2529="PENDENTE",N2529="PARCIAL")),1,0))</f>
        <v/>
      </c>
      <c r="W2529" s="8">
        <f>IF(AND(V2529=1,D2529&lt;&gt;""),IF(D2529&gt;=corte,(B2529="CRÍTICO")*1E9+(100000-D2529)*10000+10000-ROW(),""),"")</f>
        <v/>
      </c>
      <c r="X2529" s="8">
        <f>IF(AND(V2529=1,D2529=pas_data,E2529=pas_turno),10000-ROW(),"")</f>
        <v/>
      </c>
    </row>
    <row r="2530">
      <c r="A2530" s="3">
        <f>IF(D2530="","","TT-"&amp;TEXT(ROW()-1,"00000"))</f>
        <v/>
      </c>
      <c r="B2530" s="3">
        <f>IF(D2530="","",IF(V2530=0,"CONCLUÍDO",IF(D2530&lt;corte,"HISTÓRICO",IF(OR(AND(ISNUMBER(R2530),R2530&lt;TODAY()),AND(OR(N2530="PENDENTE",N2530="PARCIAL"),D2530&lt;TODAY()-1)),"CRÍTICO",IF(OR(AND(P2530&lt;&gt;"",S2530=""),AND(N2530="REALIZADO",M2530="PENDENTE"),AND(ISNUMBER(R2530),R2530=TODAY())),"ATENÇÃO",IF(N(K2530)=0,"PENDENTE","EM ANDAMENTO"))))))</f>
        <v/>
      </c>
      <c r="C2530" s="3">
        <f>IF(D2530="","",IF(V2530=0,"🟢 OK",IF(D2530&lt;corte,"⚪ HISTÓRICO (sem baixa)",IF(AND(ISNUMBER(R2530),R2530&lt;TODAY()),"🔴 PRAZO VENCIDO",IF(AND(OR(N2530="PENDENTE",N2530="PARCIAL"),D2530&lt;TODAY()-1),"🔴 EMBARQUE ATRASADO",IF(AND(N2530="REALIZADO",M2530="PENDENTE"),"🟡 EMBARCADO SEM FATURAR",IF(AND(P2530&lt;&gt;"",S2530="",OR(Q2530="",R2530="")),"🟡 PENDÊNCIA SEM RESPONSÁVEL/PRAZO",IF(AND(ISNUMBER(R2530),R2530=TODAY()),"🟡 VENCE HOJE",IF(AND(P2530&lt;&gt;"",S2530=""),"🟡 PENDÊNCIA ABERTA",IF(AND(N(J2530)&gt;0,N(K2530)&lt;J2530),"🟡 FALTA EXECUTAR",IF(OR(M2530="PENDENTE",M2530="PARCIAL"),"🟡 FATURAMENTO PENDENTE","🟡 EMBARQUE PENDENTE")))))))))))</f>
        <v/>
      </c>
      <c r="D2530" s="4" t="n"/>
      <c r="E2530" s="5" t="n"/>
      <c r="F2530" s="5" t="n"/>
      <c r="G2530" s="5" t="n"/>
      <c r="H2530" s="5" t="n"/>
      <c r="I2530" s="5" t="n"/>
      <c r="J2530" s="6" t="n"/>
      <c r="K2530" s="6" t="n"/>
      <c r="L2530" s="7">
        <f>IF(OR(D2530="",N(J2530)=0),"",MIN(1,N(K2530)/J2530))</f>
        <v/>
      </c>
      <c r="M2530" s="5" t="n"/>
      <c r="N2530" s="5" t="n"/>
      <c r="O2530" s="5" t="n"/>
      <c r="P2530" s="5" t="n"/>
      <c r="Q2530" s="5" t="n"/>
      <c r="R2530" s="4" t="n"/>
      <c r="S2530" s="4" t="n"/>
      <c r="T2530" s="5" t="n"/>
      <c r="U2530" s="8">
        <f>IF(AND(V2530=1,D2530&lt;&gt;""),IF(D2530&gt;=corte,TODAY()-D2530,""),"")</f>
        <v/>
      </c>
      <c r="V2530" s="8">
        <f>IF(D2530="",0,IF(OR(AND(P2530&lt;&gt;"",S2530=""),AND(N(J2530)&gt;0,N(K2530)&lt;J2530),OR(M2530="PENDENTE",M2530="PARCIAL"),OR(N2530="PENDENTE",N2530="PARCIAL")),1,0))</f>
        <v/>
      </c>
      <c r="W2530" s="8">
        <f>IF(AND(V2530=1,D2530&lt;&gt;""),IF(D2530&gt;=corte,(B2530="CRÍTICO")*1E9+(100000-D2530)*10000+10000-ROW(),""),"")</f>
        <v/>
      </c>
      <c r="X2530" s="8">
        <f>IF(AND(V2530=1,D2530=pas_data,E2530=pas_turno),10000-ROW(),"")</f>
        <v/>
      </c>
    </row>
    <row r="2531">
      <c r="A2531" s="3">
        <f>IF(D2531="","","TT-"&amp;TEXT(ROW()-1,"00000"))</f>
        <v/>
      </c>
      <c r="B2531" s="3">
        <f>IF(D2531="","",IF(V2531=0,"CONCLUÍDO",IF(D2531&lt;corte,"HISTÓRICO",IF(OR(AND(ISNUMBER(R2531),R2531&lt;TODAY()),AND(OR(N2531="PENDENTE",N2531="PARCIAL"),D2531&lt;TODAY()-1)),"CRÍTICO",IF(OR(AND(P2531&lt;&gt;"",S2531=""),AND(N2531="REALIZADO",M2531="PENDENTE"),AND(ISNUMBER(R2531),R2531=TODAY())),"ATENÇÃO",IF(N(K2531)=0,"PENDENTE","EM ANDAMENTO"))))))</f>
        <v/>
      </c>
      <c r="C2531" s="3">
        <f>IF(D2531="","",IF(V2531=0,"🟢 OK",IF(D2531&lt;corte,"⚪ HISTÓRICO (sem baixa)",IF(AND(ISNUMBER(R2531),R2531&lt;TODAY()),"🔴 PRAZO VENCIDO",IF(AND(OR(N2531="PENDENTE",N2531="PARCIAL"),D2531&lt;TODAY()-1),"🔴 EMBARQUE ATRASADO",IF(AND(N2531="REALIZADO",M2531="PENDENTE"),"🟡 EMBARCADO SEM FATURAR",IF(AND(P2531&lt;&gt;"",S2531="",OR(Q2531="",R2531="")),"🟡 PENDÊNCIA SEM RESPONSÁVEL/PRAZO",IF(AND(ISNUMBER(R2531),R2531=TODAY()),"🟡 VENCE HOJE",IF(AND(P2531&lt;&gt;"",S2531=""),"🟡 PENDÊNCIA ABERTA",IF(AND(N(J2531)&gt;0,N(K2531)&lt;J2531),"🟡 FALTA EXECUTAR",IF(OR(M2531="PENDENTE",M2531="PARCIAL"),"🟡 FATURAMENTO PENDENTE","🟡 EMBARQUE PENDENTE")))))))))))</f>
        <v/>
      </c>
      <c r="D2531" s="4" t="n"/>
      <c r="E2531" s="5" t="n"/>
      <c r="F2531" s="5" t="n"/>
      <c r="G2531" s="5" t="n"/>
      <c r="H2531" s="5" t="n"/>
      <c r="I2531" s="5" t="n"/>
      <c r="J2531" s="6" t="n"/>
      <c r="K2531" s="6" t="n"/>
      <c r="L2531" s="7">
        <f>IF(OR(D2531="",N(J2531)=0),"",MIN(1,N(K2531)/J2531))</f>
        <v/>
      </c>
      <c r="M2531" s="5" t="n"/>
      <c r="N2531" s="5" t="n"/>
      <c r="O2531" s="5" t="n"/>
      <c r="P2531" s="5" t="n"/>
      <c r="Q2531" s="5" t="n"/>
      <c r="R2531" s="4" t="n"/>
      <c r="S2531" s="4" t="n"/>
      <c r="T2531" s="5" t="n"/>
      <c r="U2531" s="8">
        <f>IF(AND(V2531=1,D2531&lt;&gt;""),IF(D2531&gt;=corte,TODAY()-D2531,""),"")</f>
        <v/>
      </c>
      <c r="V2531" s="8">
        <f>IF(D2531="",0,IF(OR(AND(P2531&lt;&gt;"",S2531=""),AND(N(J2531)&gt;0,N(K2531)&lt;J2531),OR(M2531="PENDENTE",M2531="PARCIAL"),OR(N2531="PENDENTE",N2531="PARCIAL")),1,0))</f>
        <v/>
      </c>
      <c r="W2531" s="8">
        <f>IF(AND(V2531=1,D2531&lt;&gt;""),IF(D2531&gt;=corte,(B2531="CRÍTICO")*1E9+(100000-D2531)*10000+10000-ROW(),""),"")</f>
        <v/>
      </c>
      <c r="X2531" s="8">
        <f>IF(AND(V2531=1,D2531=pas_data,E2531=pas_turno),10000-ROW(),"")</f>
        <v/>
      </c>
    </row>
    <row r="2532">
      <c r="A2532" s="3">
        <f>IF(D2532="","","TT-"&amp;TEXT(ROW()-1,"00000"))</f>
        <v/>
      </c>
      <c r="B2532" s="3">
        <f>IF(D2532="","",IF(V2532=0,"CONCLUÍDO",IF(D2532&lt;corte,"HISTÓRICO",IF(OR(AND(ISNUMBER(R2532),R2532&lt;TODAY()),AND(OR(N2532="PENDENTE",N2532="PARCIAL"),D2532&lt;TODAY()-1)),"CRÍTICO",IF(OR(AND(P2532&lt;&gt;"",S2532=""),AND(N2532="REALIZADO",M2532="PENDENTE"),AND(ISNUMBER(R2532),R2532=TODAY())),"ATENÇÃO",IF(N(K2532)=0,"PENDENTE","EM ANDAMENTO"))))))</f>
        <v/>
      </c>
      <c r="C2532" s="3">
        <f>IF(D2532="","",IF(V2532=0,"🟢 OK",IF(D2532&lt;corte,"⚪ HISTÓRICO (sem baixa)",IF(AND(ISNUMBER(R2532),R2532&lt;TODAY()),"🔴 PRAZO VENCIDO",IF(AND(OR(N2532="PENDENTE",N2532="PARCIAL"),D2532&lt;TODAY()-1),"🔴 EMBARQUE ATRASADO",IF(AND(N2532="REALIZADO",M2532="PENDENTE"),"🟡 EMBARCADO SEM FATURAR",IF(AND(P2532&lt;&gt;"",S2532="",OR(Q2532="",R2532="")),"🟡 PENDÊNCIA SEM RESPONSÁVEL/PRAZO",IF(AND(ISNUMBER(R2532),R2532=TODAY()),"🟡 VENCE HOJE",IF(AND(P2532&lt;&gt;"",S2532=""),"🟡 PENDÊNCIA ABERTA",IF(AND(N(J2532)&gt;0,N(K2532)&lt;J2532),"🟡 FALTA EXECUTAR",IF(OR(M2532="PENDENTE",M2532="PARCIAL"),"🟡 FATURAMENTO PENDENTE","🟡 EMBARQUE PENDENTE")))))))))))</f>
        <v/>
      </c>
      <c r="D2532" s="4" t="n"/>
      <c r="E2532" s="5" t="n"/>
      <c r="F2532" s="5" t="n"/>
      <c r="G2532" s="5" t="n"/>
      <c r="H2532" s="5" t="n"/>
      <c r="I2532" s="5" t="n"/>
      <c r="J2532" s="6" t="n"/>
      <c r="K2532" s="6" t="n"/>
      <c r="L2532" s="7">
        <f>IF(OR(D2532="",N(J2532)=0),"",MIN(1,N(K2532)/J2532))</f>
        <v/>
      </c>
      <c r="M2532" s="5" t="n"/>
      <c r="N2532" s="5" t="n"/>
      <c r="O2532" s="5" t="n"/>
      <c r="P2532" s="5" t="n"/>
      <c r="Q2532" s="5" t="n"/>
      <c r="R2532" s="4" t="n"/>
      <c r="S2532" s="4" t="n"/>
      <c r="T2532" s="5" t="n"/>
      <c r="U2532" s="8">
        <f>IF(AND(V2532=1,D2532&lt;&gt;""),IF(D2532&gt;=corte,TODAY()-D2532,""),"")</f>
        <v/>
      </c>
      <c r="V2532" s="8">
        <f>IF(D2532="",0,IF(OR(AND(P2532&lt;&gt;"",S2532=""),AND(N(J2532)&gt;0,N(K2532)&lt;J2532),OR(M2532="PENDENTE",M2532="PARCIAL"),OR(N2532="PENDENTE",N2532="PARCIAL")),1,0))</f>
        <v/>
      </c>
      <c r="W2532" s="8">
        <f>IF(AND(V2532=1,D2532&lt;&gt;""),IF(D2532&gt;=corte,(B2532="CRÍTICO")*1E9+(100000-D2532)*10000+10000-ROW(),""),"")</f>
        <v/>
      </c>
      <c r="X2532" s="8">
        <f>IF(AND(V2532=1,D2532=pas_data,E2532=pas_turno),10000-ROW(),"")</f>
        <v/>
      </c>
    </row>
    <row r="2533">
      <c r="A2533" s="3">
        <f>IF(D2533="","","TT-"&amp;TEXT(ROW()-1,"00000"))</f>
        <v/>
      </c>
      <c r="B2533" s="3">
        <f>IF(D2533="","",IF(V2533=0,"CONCLUÍDO",IF(D2533&lt;corte,"HISTÓRICO",IF(OR(AND(ISNUMBER(R2533),R2533&lt;TODAY()),AND(OR(N2533="PENDENTE",N2533="PARCIAL"),D2533&lt;TODAY()-1)),"CRÍTICO",IF(OR(AND(P2533&lt;&gt;"",S2533=""),AND(N2533="REALIZADO",M2533="PENDENTE"),AND(ISNUMBER(R2533),R2533=TODAY())),"ATENÇÃO",IF(N(K2533)=0,"PENDENTE","EM ANDAMENTO"))))))</f>
        <v/>
      </c>
      <c r="C2533" s="3">
        <f>IF(D2533="","",IF(V2533=0,"🟢 OK",IF(D2533&lt;corte,"⚪ HISTÓRICO (sem baixa)",IF(AND(ISNUMBER(R2533),R2533&lt;TODAY()),"🔴 PRAZO VENCIDO",IF(AND(OR(N2533="PENDENTE",N2533="PARCIAL"),D2533&lt;TODAY()-1),"🔴 EMBARQUE ATRASADO",IF(AND(N2533="REALIZADO",M2533="PENDENTE"),"🟡 EMBARCADO SEM FATURAR",IF(AND(P2533&lt;&gt;"",S2533="",OR(Q2533="",R2533="")),"🟡 PENDÊNCIA SEM RESPONSÁVEL/PRAZO",IF(AND(ISNUMBER(R2533),R2533=TODAY()),"🟡 VENCE HOJE",IF(AND(P2533&lt;&gt;"",S2533=""),"🟡 PENDÊNCIA ABERTA",IF(AND(N(J2533)&gt;0,N(K2533)&lt;J2533),"🟡 FALTA EXECUTAR",IF(OR(M2533="PENDENTE",M2533="PARCIAL"),"🟡 FATURAMENTO PENDENTE","🟡 EMBARQUE PENDENTE")))))))))))</f>
        <v/>
      </c>
      <c r="D2533" s="4" t="n"/>
      <c r="E2533" s="5" t="n"/>
      <c r="F2533" s="5" t="n"/>
      <c r="G2533" s="5" t="n"/>
      <c r="H2533" s="5" t="n"/>
      <c r="I2533" s="5" t="n"/>
      <c r="J2533" s="6" t="n"/>
      <c r="K2533" s="6" t="n"/>
      <c r="L2533" s="7">
        <f>IF(OR(D2533="",N(J2533)=0),"",MIN(1,N(K2533)/J2533))</f>
        <v/>
      </c>
      <c r="M2533" s="5" t="n"/>
      <c r="N2533" s="5" t="n"/>
      <c r="O2533" s="5" t="n"/>
      <c r="P2533" s="5" t="n"/>
      <c r="Q2533" s="5" t="n"/>
      <c r="R2533" s="4" t="n"/>
      <c r="S2533" s="4" t="n"/>
      <c r="T2533" s="5" t="n"/>
      <c r="U2533" s="8">
        <f>IF(AND(V2533=1,D2533&lt;&gt;""),IF(D2533&gt;=corte,TODAY()-D2533,""),"")</f>
        <v/>
      </c>
      <c r="V2533" s="8">
        <f>IF(D2533="",0,IF(OR(AND(P2533&lt;&gt;"",S2533=""),AND(N(J2533)&gt;0,N(K2533)&lt;J2533),OR(M2533="PENDENTE",M2533="PARCIAL"),OR(N2533="PENDENTE",N2533="PARCIAL")),1,0))</f>
        <v/>
      </c>
      <c r="W2533" s="8">
        <f>IF(AND(V2533=1,D2533&lt;&gt;""),IF(D2533&gt;=corte,(B2533="CRÍTICO")*1E9+(100000-D2533)*10000+10000-ROW(),""),"")</f>
        <v/>
      </c>
      <c r="X2533" s="8">
        <f>IF(AND(V2533=1,D2533=pas_data,E2533=pas_turno),10000-ROW(),"")</f>
        <v/>
      </c>
    </row>
    <row r="2534">
      <c r="A2534" s="3">
        <f>IF(D2534="","","TT-"&amp;TEXT(ROW()-1,"00000"))</f>
        <v/>
      </c>
      <c r="B2534" s="3">
        <f>IF(D2534="","",IF(V2534=0,"CONCLUÍDO",IF(D2534&lt;corte,"HISTÓRICO",IF(OR(AND(ISNUMBER(R2534),R2534&lt;TODAY()),AND(OR(N2534="PENDENTE",N2534="PARCIAL"),D2534&lt;TODAY()-1)),"CRÍTICO",IF(OR(AND(P2534&lt;&gt;"",S2534=""),AND(N2534="REALIZADO",M2534="PENDENTE"),AND(ISNUMBER(R2534),R2534=TODAY())),"ATENÇÃO",IF(N(K2534)=0,"PENDENTE","EM ANDAMENTO"))))))</f>
        <v/>
      </c>
      <c r="C2534" s="3">
        <f>IF(D2534="","",IF(V2534=0,"🟢 OK",IF(D2534&lt;corte,"⚪ HISTÓRICO (sem baixa)",IF(AND(ISNUMBER(R2534),R2534&lt;TODAY()),"🔴 PRAZO VENCIDO",IF(AND(OR(N2534="PENDENTE",N2534="PARCIAL"),D2534&lt;TODAY()-1),"🔴 EMBARQUE ATRASADO",IF(AND(N2534="REALIZADO",M2534="PENDENTE"),"🟡 EMBARCADO SEM FATURAR",IF(AND(P2534&lt;&gt;"",S2534="",OR(Q2534="",R2534="")),"🟡 PENDÊNCIA SEM RESPONSÁVEL/PRAZO",IF(AND(ISNUMBER(R2534),R2534=TODAY()),"🟡 VENCE HOJE",IF(AND(P2534&lt;&gt;"",S2534=""),"🟡 PENDÊNCIA ABERTA",IF(AND(N(J2534)&gt;0,N(K2534)&lt;J2534),"🟡 FALTA EXECUTAR",IF(OR(M2534="PENDENTE",M2534="PARCIAL"),"🟡 FATURAMENTO PENDENTE","🟡 EMBARQUE PENDENTE")))))))))))</f>
        <v/>
      </c>
      <c r="D2534" s="4" t="n"/>
      <c r="E2534" s="5" t="n"/>
      <c r="F2534" s="5" t="n"/>
      <c r="G2534" s="5" t="n"/>
      <c r="H2534" s="5" t="n"/>
      <c r="I2534" s="5" t="n"/>
      <c r="J2534" s="6" t="n"/>
      <c r="K2534" s="6" t="n"/>
      <c r="L2534" s="7">
        <f>IF(OR(D2534="",N(J2534)=0),"",MIN(1,N(K2534)/J2534))</f>
        <v/>
      </c>
      <c r="M2534" s="5" t="n"/>
      <c r="N2534" s="5" t="n"/>
      <c r="O2534" s="5" t="n"/>
      <c r="P2534" s="5" t="n"/>
      <c r="Q2534" s="5" t="n"/>
      <c r="R2534" s="4" t="n"/>
      <c r="S2534" s="4" t="n"/>
      <c r="T2534" s="5" t="n"/>
      <c r="U2534" s="8">
        <f>IF(AND(V2534=1,D2534&lt;&gt;""),IF(D2534&gt;=corte,TODAY()-D2534,""),"")</f>
        <v/>
      </c>
      <c r="V2534" s="8">
        <f>IF(D2534="",0,IF(OR(AND(P2534&lt;&gt;"",S2534=""),AND(N(J2534)&gt;0,N(K2534)&lt;J2534),OR(M2534="PENDENTE",M2534="PARCIAL"),OR(N2534="PENDENTE",N2534="PARCIAL")),1,0))</f>
        <v/>
      </c>
      <c r="W2534" s="8">
        <f>IF(AND(V2534=1,D2534&lt;&gt;""),IF(D2534&gt;=corte,(B2534="CRÍTICO")*1E9+(100000-D2534)*10000+10000-ROW(),""),"")</f>
        <v/>
      </c>
      <c r="X2534" s="8">
        <f>IF(AND(V2534=1,D2534=pas_data,E2534=pas_turno),10000-ROW(),"")</f>
        <v/>
      </c>
    </row>
    <row r="2535">
      <c r="A2535" s="3">
        <f>IF(D2535="","","TT-"&amp;TEXT(ROW()-1,"00000"))</f>
        <v/>
      </c>
      <c r="B2535" s="3">
        <f>IF(D2535="","",IF(V2535=0,"CONCLUÍDO",IF(D2535&lt;corte,"HISTÓRICO",IF(OR(AND(ISNUMBER(R2535),R2535&lt;TODAY()),AND(OR(N2535="PENDENTE",N2535="PARCIAL"),D2535&lt;TODAY()-1)),"CRÍTICO",IF(OR(AND(P2535&lt;&gt;"",S2535=""),AND(N2535="REALIZADO",M2535="PENDENTE"),AND(ISNUMBER(R2535),R2535=TODAY())),"ATENÇÃO",IF(N(K2535)=0,"PENDENTE","EM ANDAMENTO"))))))</f>
        <v/>
      </c>
      <c r="C2535" s="3">
        <f>IF(D2535="","",IF(V2535=0,"🟢 OK",IF(D2535&lt;corte,"⚪ HISTÓRICO (sem baixa)",IF(AND(ISNUMBER(R2535),R2535&lt;TODAY()),"🔴 PRAZO VENCIDO",IF(AND(OR(N2535="PENDENTE",N2535="PARCIAL"),D2535&lt;TODAY()-1),"🔴 EMBARQUE ATRASADO",IF(AND(N2535="REALIZADO",M2535="PENDENTE"),"🟡 EMBARCADO SEM FATURAR",IF(AND(P2535&lt;&gt;"",S2535="",OR(Q2535="",R2535="")),"🟡 PENDÊNCIA SEM RESPONSÁVEL/PRAZO",IF(AND(ISNUMBER(R2535),R2535=TODAY()),"🟡 VENCE HOJE",IF(AND(P2535&lt;&gt;"",S2535=""),"🟡 PENDÊNCIA ABERTA",IF(AND(N(J2535)&gt;0,N(K2535)&lt;J2535),"🟡 FALTA EXECUTAR",IF(OR(M2535="PENDENTE",M2535="PARCIAL"),"🟡 FATURAMENTO PENDENTE","🟡 EMBARQUE PENDENTE")))))))))))</f>
        <v/>
      </c>
      <c r="D2535" s="4" t="n"/>
      <c r="E2535" s="5" t="n"/>
      <c r="F2535" s="5" t="n"/>
      <c r="G2535" s="5" t="n"/>
      <c r="H2535" s="5" t="n"/>
      <c r="I2535" s="5" t="n"/>
      <c r="J2535" s="6" t="n"/>
      <c r="K2535" s="6" t="n"/>
      <c r="L2535" s="7">
        <f>IF(OR(D2535="",N(J2535)=0),"",MIN(1,N(K2535)/J2535))</f>
        <v/>
      </c>
      <c r="M2535" s="5" t="n"/>
      <c r="N2535" s="5" t="n"/>
      <c r="O2535" s="5" t="n"/>
      <c r="P2535" s="5" t="n"/>
      <c r="Q2535" s="5" t="n"/>
      <c r="R2535" s="4" t="n"/>
      <c r="S2535" s="4" t="n"/>
      <c r="T2535" s="5" t="n"/>
      <c r="U2535" s="8">
        <f>IF(AND(V2535=1,D2535&lt;&gt;""),IF(D2535&gt;=corte,TODAY()-D2535,""),"")</f>
        <v/>
      </c>
      <c r="V2535" s="8">
        <f>IF(D2535="",0,IF(OR(AND(P2535&lt;&gt;"",S2535=""),AND(N(J2535)&gt;0,N(K2535)&lt;J2535),OR(M2535="PENDENTE",M2535="PARCIAL"),OR(N2535="PENDENTE",N2535="PARCIAL")),1,0))</f>
        <v/>
      </c>
      <c r="W2535" s="8">
        <f>IF(AND(V2535=1,D2535&lt;&gt;""),IF(D2535&gt;=corte,(B2535="CRÍTICO")*1E9+(100000-D2535)*10000+10000-ROW(),""),"")</f>
        <v/>
      </c>
      <c r="X2535" s="8">
        <f>IF(AND(V2535=1,D2535=pas_data,E2535=pas_turno),10000-ROW(),"")</f>
        <v/>
      </c>
    </row>
    <row r="2536">
      <c r="A2536" s="3">
        <f>IF(D2536="","","TT-"&amp;TEXT(ROW()-1,"00000"))</f>
        <v/>
      </c>
      <c r="B2536" s="3">
        <f>IF(D2536="","",IF(V2536=0,"CONCLUÍDO",IF(D2536&lt;corte,"HISTÓRICO",IF(OR(AND(ISNUMBER(R2536),R2536&lt;TODAY()),AND(OR(N2536="PENDENTE",N2536="PARCIAL"),D2536&lt;TODAY()-1)),"CRÍTICO",IF(OR(AND(P2536&lt;&gt;"",S2536=""),AND(N2536="REALIZADO",M2536="PENDENTE"),AND(ISNUMBER(R2536),R2536=TODAY())),"ATENÇÃO",IF(N(K2536)=0,"PENDENTE","EM ANDAMENTO"))))))</f>
        <v/>
      </c>
      <c r="C2536" s="3">
        <f>IF(D2536="","",IF(V2536=0,"🟢 OK",IF(D2536&lt;corte,"⚪ HISTÓRICO (sem baixa)",IF(AND(ISNUMBER(R2536),R2536&lt;TODAY()),"🔴 PRAZO VENCIDO",IF(AND(OR(N2536="PENDENTE",N2536="PARCIAL"),D2536&lt;TODAY()-1),"🔴 EMBARQUE ATRASADO",IF(AND(N2536="REALIZADO",M2536="PENDENTE"),"🟡 EMBARCADO SEM FATURAR",IF(AND(P2536&lt;&gt;"",S2536="",OR(Q2536="",R2536="")),"🟡 PENDÊNCIA SEM RESPONSÁVEL/PRAZO",IF(AND(ISNUMBER(R2536),R2536=TODAY()),"🟡 VENCE HOJE",IF(AND(P2536&lt;&gt;"",S2536=""),"🟡 PENDÊNCIA ABERTA",IF(AND(N(J2536)&gt;0,N(K2536)&lt;J2536),"🟡 FALTA EXECUTAR",IF(OR(M2536="PENDENTE",M2536="PARCIAL"),"🟡 FATURAMENTO PENDENTE","🟡 EMBARQUE PENDENTE")))))))))))</f>
        <v/>
      </c>
      <c r="D2536" s="4" t="n"/>
      <c r="E2536" s="5" t="n"/>
      <c r="F2536" s="5" t="n"/>
      <c r="G2536" s="5" t="n"/>
      <c r="H2536" s="5" t="n"/>
      <c r="I2536" s="5" t="n"/>
      <c r="J2536" s="6" t="n"/>
      <c r="K2536" s="6" t="n"/>
      <c r="L2536" s="7">
        <f>IF(OR(D2536="",N(J2536)=0),"",MIN(1,N(K2536)/J2536))</f>
        <v/>
      </c>
      <c r="M2536" s="5" t="n"/>
      <c r="N2536" s="5" t="n"/>
      <c r="O2536" s="5" t="n"/>
      <c r="P2536" s="5" t="n"/>
      <c r="Q2536" s="5" t="n"/>
      <c r="R2536" s="4" t="n"/>
      <c r="S2536" s="4" t="n"/>
      <c r="T2536" s="5" t="n"/>
      <c r="U2536" s="8">
        <f>IF(AND(V2536=1,D2536&lt;&gt;""),IF(D2536&gt;=corte,TODAY()-D2536,""),"")</f>
        <v/>
      </c>
      <c r="V2536" s="8">
        <f>IF(D2536="",0,IF(OR(AND(P2536&lt;&gt;"",S2536=""),AND(N(J2536)&gt;0,N(K2536)&lt;J2536),OR(M2536="PENDENTE",M2536="PARCIAL"),OR(N2536="PENDENTE",N2536="PARCIAL")),1,0))</f>
        <v/>
      </c>
      <c r="W2536" s="8">
        <f>IF(AND(V2536=1,D2536&lt;&gt;""),IF(D2536&gt;=corte,(B2536="CRÍTICO")*1E9+(100000-D2536)*10000+10000-ROW(),""),"")</f>
        <v/>
      </c>
      <c r="X2536" s="8">
        <f>IF(AND(V2536=1,D2536=pas_data,E2536=pas_turno),10000-ROW(),"")</f>
        <v/>
      </c>
    </row>
    <row r="2537">
      <c r="A2537" s="3">
        <f>IF(D2537="","","TT-"&amp;TEXT(ROW()-1,"00000"))</f>
        <v/>
      </c>
      <c r="B2537" s="3">
        <f>IF(D2537="","",IF(V2537=0,"CONCLUÍDO",IF(D2537&lt;corte,"HISTÓRICO",IF(OR(AND(ISNUMBER(R2537),R2537&lt;TODAY()),AND(OR(N2537="PENDENTE",N2537="PARCIAL"),D2537&lt;TODAY()-1)),"CRÍTICO",IF(OR(AND(P2537&lt;&gt;"",S2537=""),AND(N2537="REALIZADO",M2537="PENDENTE"),AND(ISNUMBER(R2537),R2537=TODAY())),"ATENÇÃO",IF(N(K2537)=0,"PENDENTE","EM ANDAMENTO"))))))</f>
        <v/>
      </c>
      <c r="C2537" s="3">
        <f>IF(D2537="","",IF(V2537=0,"🟢 OK",IF(D2537&lt;corte,"⚪ HISTÓRICO (sem baixa)",IF(AND(ISNUMBER(R2537),R2537&lt;TODAY()),"🔴 PRAZO VENCIDO",IF(AND(OR(N2537="PENDENTE",N2537="PARCIAL"),D2537&lt;TODAY()-1),"🔴 EMBARQUE ATRASADO",IF(AND(N2537="REALIZADO",M2537="PENDENTE"),"🟡 EMBARCADO SEM FATURAR",IF(AND(P2537&lt;&gt;"",S2537="",OR(Q2537="",R2537="")),"🟡 PENDÊNCIA SEM RESPONSÁVEL/PRAZO",IF(AND(ISNUMBER(R2537),R2537=TODAY()),"🟡 VENCE HOJE",IF(AND(P2537&lt;&gt;"",S2537=""),"🟡 PENDÊNCIA ABERTA",IF(AND(N(J2537)&gt;0,N(K2537)&lt;J2537),"🟡 FALTA EXECUTAR",IF(OR(M2537="PENDENTE",M2537="PARCIAL"),"🟡 FATURAMENTO PENDENTE","🟡 EMBARQUE PENDENTE")))))))))))</f>
        <v/>
      </c>
      <c r="D2537" s="4" t="n"/>
      <c r="E2537" s="5" t="n"/>
      <c r="F2537" s="5" t="n"/>
      <c r="G2537" s="5" t="n"/>
      <c r="H2537" s="5" t="n"/>
      <c r="I2537" s="5" t="n"/>
      <c r="J2537" s="6" t="n"/>
      <c r="K2537" s="6" t="n"/>
      <c r="L2537" s="7">
        <f>IF(OR(D2537="",N(J2537)=0),"",MIN(1,N(K2537)/J2537))</f>
        <v/>
      </c>
      <c r="M2537" s="5" t="n"/>
      <c r="N2537" s="5" t="n"/>
      <c r="O2537" s="5" t="n"/>
      <c r="P2537" s="5" t="n"/>
      <c r="Q2537" s="5" t="n"/>
      <c r="R2537" s="4" t="n"/>
      <c r="S2537" s="4" t="n"/>
      <c r="T2537" s="5" t="n"/>
      <c r="U2537" s="8">
        <f>IF(AND(V2537=1,D2537&lt;&gt;""),IF(D2537&gt;=corte,TODAY()-D2537,""),"")</f>
        <v/>
      </c>
      <c r="V2537" s="8">
        <f>IF(D2537="",0,IF(OR(AND(P2537&lt;&gt;"",S2537=""),AND(N(J2537)&gt;0,N(K2537)&lt;J2537),OR(M2537="PENDENTE",M2537="PARCIAL"),OR(N2537="PENDENTE",N2537="PARCIAL")),1,0))</f>
        <v/>
      </c>
      <c r="W2537" s="8">
        <f>IF(AND(V2537=1,D2537&lt;&gt;""),IF(D2537&gt;=corte,(B2537="CRÍTICO")*1E9+(100000-D2537)*10000+10000-ROW(),""),"")</f>
        <v/>
      </c>
      <c r="X2537" s="8">
        <f>IF(AND(V2537=1,D2537=pas_data,E2537=pas_turno),10000-ROW(),"")</f>
        <v/>
      </c>
    </row>
    <row r="2538">
      <c r="A2538" s="3">
        <f>IF(D2538="","","TT-"&amp;TEXT(ROW()-1,"00000"))</f>
        <v/>
      </c>
      <c r="B2538" s="3">
        <f>IF(D2538="","",IF(V2538=0,"CONCLUÍDO",IF(D2538&lt;corte,"HISTÓRICO",IF(OR(AND(ISNUMBER(R2538),R2538&lt;TODAY()),AND(OR(N2538="PENDENTE",N2538="PARCIAL"),D2538&lt;TODAY()-1)),"CRÍTICO",IF(OR(AND(P2538&lt;&gt;"",S2538=""),AND(N2538="REALIZADO",M2538="PENDENTE"),AND(ISNUMBER(R2538),R2538=TODAY())),"ATENÇÃO",IF(N(K2538)=0,"PENDENTE","EM ANDAMENTO"))))))</f>
        <v/>
      </c>
      <c r="C2538" s="3">
        <f>IF(D2538="","",IF(V2538=0,"🟢 OK",IF(D2538&lt;corte,"⚪ HISTÓRICO (sem baixa)",IF(AND(ISNUMBER(R2538),R2538&lt;TODAY()),"🔴 PRAZO VENCIDO",IF(AND(OR(N2538="PENDENTE",N2538="PARCIAL"),D2538&lt;TODAY()-1),"🔴 EMBARQUE ATRASADO",IF(AND(N2538="REALIZADO",M2538="PENDENTE"),"🟡 EMBARCADO SEM FATURAR",IF(AND(P2538&lt;&gt;"",S2538="",OR(Q2538="",R2538="")),"🟡 PENDÊNCIA SEM RESPONSÁVEL/PRAZO",IF(AND(ISNUMBER(R2538),R2538=TODAY()),"🟡 VENCE HOJE",IF(AND(P2538&lt;&gt;"",S2538=""),"🟡 PENDÊNCIA ABERTA",IF(AND(N(J2538)&gt;0,N(K2538)&lt;J2538),"🟡 FALTA EXECUTAR",IF(OR(M2538="PENDENTE",M2538="PARCIAL"),"🟡 FATURAMENTO PENDENTE","🟡 EMBARQUE PENDENTE")))))))))))</f>
        <v/>
      </c>
      <c r="D2538" s="4" t="n"/>
      <c r="E2538" s="5" t="n"/>
      <c r="F2538" s="5" t="n"/>
      <c r="G2538" s="5" t="n"/>
      <c r="H2538" s="5" t="n"/>
      <c r="I2538" s="5" t="n"/>
      <c r="J2538" s="6" t="n"/>
      <c r="K2538" s="6" t="n"/>
      <c r="L2538" s="7">
        <f>IF(OR(D2538="",N(J2538)=0),"",MIN(1,N(K2538)/J2538))</f>
        <v/>
      </c>
      <c r="M2538" s="5" t="n"/>
      <c r="N2538" s="5" t="n"/>
      <c r="O2538" s="5" t="n"/>
      <c r="P2538" s="5" t="n"/>
      <c r="Q2538" s="5" t="n"/>
      <c r="R2538" s="4" t="n"/>
      <c r="S2538" s="4" t="n"/>
      <c r="T2538" s="5" t="n"/>
      <c r="U2538" s="8">
        <f>IF(AND(V2538=1,D2538&lt;&gt;""),IF(D2538&gt;=corte,TODAY()-D2538,""),"")</f>
        <v/>
      </c>
      <c r="V2538" s="8">
        <f>IF(D2538="",0,IF(OR(AND(P2538&lt;&gt;"",S2538=""),AND(N(J2538)&gt;0,N(K2538)&lt;J2538),OR(M2538="PENDENTE",M2538="PARCIAL"),OR(N2538="PENDENTE",N2538="PARCIAL")),1,0))</f>
        <v/>
      </c>
      <c r="W2538" s="8">
        <f>IF(AND(V2538=1,D2538&lt;&gt;""),IF(D2538&gt;=corte,(B2538="CRÍTICO")*1E9+(100000-D2538)*10000+10000-ROW(),""),"")</f>
        <v/>
      </c>
      <c r="X2538" s="8">
        <f>IF(AND(V2538=1,D2538=pas_data,E2538=pas_turno),10000-ROW(),"")</f>
        <v/>
      </c>
    </row>
    <row r="2539">
      <c r="A2539" s="3">
        <f>IF(D2539="","","TT-"&amp;TEXT(ROW()-1,"00000"))</f>
        <v/>
      </c>
      <c r="B2539" s="3">
        <f>IF(D2539="","",IF(V2539=0,"CONCLUÍDO",IF(D2539&lt;corte,"HISTÓRICO",IF(OR(AND(ISNUMBER(R2539),R2539&lt;TODAY()),AND(OR(N2539="PENDENTE",N2539="PARCIAL"),D2539&lt;TODAY()-1)),"CRÍTICO",IF(OR(AND(P2539&lt;&gt;"",S2539=""),AND(N2539="REALIZADO",M2539="PENDENTE"),AND(ISNUMBER(R2539),R2539=TODAY())),"ATENÇÃO",IF(N(K2539)=0,"PENDENTE","EM ANDAMENTO"))))))</f>
        <v/>
      </c>
      <c r="C2539" s="3">
        <f>IF(D2539="","",IF(V2539=0,"🟢 OK",IF(D2539&lt;corte,"⚪ HISTÓRICO (sem baixa)",IF(AND(ISNUMBER(R2539),R2539&lt;TODAY()),"🔴 PRAZO VENCIDO",IF(AND(OR(N2539="PENDENTE",N2539="PARCIAL"),D2539&lt;TODAY()-1),"🔴 EMBARQUE ATRASADO",IF(AND(N2539="REALIZADO",M2539="PENDENTE"),"🟡 EMBARCADO SEM FATURAR",IF(AND(P2539&lt;&gt;"",S2539="",OR(Q2539="",R2539="")),"🟡 PENDÊNCIA SEM RESPONSÁVEL/PRAZO",IF(AND(ISNUMBER(R2539),R2539=TODAY()),"🟡 VENCE HOJE",IF(AND(P2539&lt;&gt;"",S2539=""),"🟡 PENDÊNCIA ABERTA",IF(AND(N(J2539)&gt;0,N(K2539)&lt;J2539),"🟡 FALTA EXECUTAR",IF(OR(M2539="PENDENTE",M2539="PARCIAL"),"🟡 FATURAMENTO PENDENTE","🟡 EMBARQUE PENDENTE")))))))))))</f>
        <v/>
      </c>
      <c r="D2539" s="4" t="n"/>
      <c r="E2539" s="5" t="n"/>
      <c r="F2539" s="5" t="n"/>
      <c r="G2539" s="5" t="n"/>
      <c r="H2539" s="5" t="n"/>
      <c r="I2539" s="5" t="n"/>
      <c r="J2539" s="6" t="n"/>
      <c r="K2539" s="6" t="n"/>
      <c r="L2539" s="7">
        <f>IF(OR(D2539="",N(J2539)=0),"",MIN(1,N(K2539)/J2539))</f>
        <v/>
      </c>
      <c r="M2539" s="5" t="n"/>
      <c r="N2539" s="5" t="n"/>
      <c r="O2539" s="5" t="n"/>
      <c r="P2539" s="5" t="n"/>
      <c r="Q2539" s="5" t="n"/>
      <c r="R2539" s="4" t="n"/>
      <c r="S2539" s="4" t="n"/>
      <c r="T2539" s="5" t="n"/>
      <c r="U2539" s="8">
        <f>IF(AND(V2539=1,D2539&lt;&gt;""),IF(D2539&gt;=corte,TODAY()-D2539,""),"")</f>
        <v/>
      </c>
      <c r="V2539" s="8">
        <f>IF(D2539="",0,IF(OR(AND(P2539&lt;&gt;"",S2539=""),AND(N(J2539)&gt;0,N(K2539)&lt;J2539),OR(M2539="PENDENTE",M2539="PARCIAL"),OR(N2539="PENDENTE",N2539="PARCIAL")),1,0))</f>
        <v/>
      </c>
      <c r="W2539" s="8">
        <f>IF(AND(V2539=1,D2539&lt;&gt;""),IF(D2539&gt;=corte,(B2539="CRÍTICO")*1E9+(100000-D2539)*10000+10000-ROW(),""),"")</f>
        <v/>
      </c>
      <c r="X2539" s="8">
        <f>IF(AND(V2539=1,D2539=pas_data,E2539=pas_turno),10000-ROW(),"")</f>
        <v/>
      </c>
    </row>
    <row r="2540">
      <c r="A2540" s="3">
        <f>IF(D2540="","","TT-"&amp;TEXT(ROW()-1,"00000"))</f>
        <v/>
      </c>
      <c r="B2540" s="3">
        <f>IF(D2540="","",IF(V2540=0,"CONCLUÍDO",IF(D2540&lt;corte,"HISTÓRICO",IF(OR(AND(ISNUMBER(R2540),R2540&lt;TODAY()),AND(OR(N2540="PENDENTE",N2540="PARCIAL"),D2540&lt;TODAY()-1)),"CRÍTICO",IF(OR(AND(P2540&lt;&gt;"",S2540=""),AND(N2540="REALIZADO",M2540="PENDENTE"),AND(ISNUMBER(R2540),R2540=TODAY())),"ATENÇÃO",IF(N(K2540)=0,"PENDENTE","EM ANDAMENTO"))))))</f>
        <v/>
      </c>
      <c r="C2540" s="3">
        <f>IF(D2540="","",IF(V2540=0,"🟢 OK",IF(D2540&lt;corte,"⚪ HISTÓRICO (sem baixa)",IF(AND(ISNUMBER(R2540),R2540&lt;TODAY()),"🔴 PRAZO VENCIDO",IF(AND(OR(N2540="PENDENTE",N2540="PARCIAL"),D2540&lt;TODAY()-1),"🔴 EMBARQUE ATRASADO",IF(AND(N2540="REALIZADO",M2540="PENDENTE"),"🟡 EMBARCADO SEM FATURAR",IF(AND(P2540&lt;&gt;"",S2540="",OR(Q2540="",R2540="")),"🟡 PENDÊNCIA SEM RESPONSÁVEL/PRAZO",IF(AND(ISNUMBER(R2540),R2540=TODAY()),"🟡 VENCE HOJE",IF(AND(P2540&lt;&gt;"",S2540=""),"🟡 PENDÊNCIA ABERTA",IF(AND(N(J2540)&gt;0,N(K2540)&lt;J2540),"🟡 FALTA EXECUTAR",IF(OR(M2540="PENDENTE",M2540="PARCIAL"),"🟡 FATURAMENTO PENDENTE","🟡 EMBARQUE PENDENTE")))))))))))</f>
        <v/>
      </c>
      <c r="D2540" s="4" t="n"/>
      <c r="E2540" s="5" t="n"/>
      <c r="F2540" s="5" t="n"/>
      <c r="G2540" s="5" t="n"/>
      <c r="H2540" s="5" t="n"/>
      <c r="I2540" s="5" t="n"/>
      <c r="J2540" s="6" t="n"/>
      <c r="K2540" s="6" t="n"/>
      <c r="L2540" s="7">
        <f>IF(OR(D2540="",N(J2540)=0),"",MIN(1,N(K2540)/J2540))</f>
        <v/>
      </c>
      <c r="M2540" s="5" t="n"/>
      <c r="N2540" s="5" t="n"/>
      <c r="O2540" s="5" t="n"/>
      <c r="P2540" s="5" t="n"/>
      <c r="Q2540" s="5" t="n"/>
      <c r="R2540" s="4" t="n"/>
      <c r="S2540" s="4" t="n"/>
      <c r="T2540" s="5" t="n"/>
      <c r="U2540" s="8">
        <f>IF(AND(V2540=1,D2540&lt;&gt;""),IF(D2540&gt;=corte,TODAY()-D2540,""),"")</f>
        <v/>
      </c>
      <c r="V2540" s="8">
        <f>IF(D2540="",0,IF(OR(AND(P2540&lt;&gt;"",S2540=""),AND(N(J2540)&gt;0,N(K2540)&lt;J2540),OR(M2540="PENDENTE",M2540="PARCIAL"),OR(N2540="PENDENTE",N2540="PARCIAL")),1,0))</f>
        <v/>
      </c>
      <c r="W2540" s="8">
        <f>IF(AND(V2540=1,D2540&lt;&gt;""),IF(D2540&gt;=corte,(B2540="CRÍTICO")*1E9+(100000-D2540)*10000+10000-ROW(),""),"")</f>
        <v/>
      </c>
      <c r="X2540" s="8">
        <f>IF(AND(V2540=1,D2540=pas_data,E2540=pas_turno),10000-ROW(),"")</f>
        <v/>
      </c>
    </row>
    <row r="2541">
      <c r="A2541" s="3">
        <f>IF(D2541="","","TT-"&amp;TEXT(ROW()-1,"00000"))</f>
        <v/>
      </c>
      <c r="B2541" s="3">
        <f>IF(D2541="","",IF(V2541=0,"CONCLUÍDO",IF(D2541&lt;corte,"HISTÓRICO",IF(OR(AND(ISNUMBER(R2541),R2541&lt;TODAY()),AND(OR(N2541="PENDENTE",N2541="PARCIAL"),D2541&lt;TODAY()-1)),"CRÍTICO",IF(OR(AND(P2541&lt;&gt;"",S2541=""),AND(N2541="REALIZADO",M2541="PENDENTE"),AND(ISNUMBER(R2541),R2541=TODAY())),"ATENÇÃO",IF(N(K2541)=0,"PENDENTE","EM ANDAMENTO"))))))</f>
        <v/>
      </c>
      <c r="C2541" s="3">
        <f>IF(D2541="","",IF(V2541=0,"🟢 OK",IF(D2541&lt;corte,"⚪ HISTÓRICO (sem baixa)",IF(AND(ISNUMBER(R2541),R2541&lt;TODAY()),"🔴 PRAZO VENCIDO",IF(AND(OR(N2541="PENDENTE",N2541="PARCIAL"),D2541&lt;TODAY()-1),"🔴 EMBARQUE ATRASADO",IF(AND(N2541="REALIZADO",M2541="PENDENTE"),"🟡 EMBARCADO SEM FATURAR",IF(AND(P2541&lt;&gt;"",S2541="",OR(Q2541="",R2541="")),"🟡 PENDÊNCIA SEM RESPONSÁVEL/PRAZO",IF(AND(ISNUMBER(R2541),R2541=TODAY()),"🟡 VENCE HOJE",IF(AND(P2541&lt;&gt;"",S2541=""),"🟡 PENDÊNCIA ABERTA",IF(AND(N(J2541)&gt;0,N(K2541)&lt;J2541),"🟡 FALTA EXECUTAR",IF(OR(M2541="PENDENTE",M2541="PARCIAL"),"🟡 FATURAMENTO PENDENTE","🟡 EMBARQUE PENDENTE")))))))))))</f>
        <v/>
      </c>
      <c r="D2541" s="4" t="n"/>
      <c r="E2541" s="5" t="n"/>
      <c r="F2541" s="5" t="n"/>
      <c r="G2541" s="5" t="n"/>
      <c r="H2541" s="5" t="n"/>
      <c r="I2541" s="5" t="n"/>
      <c r="J2541" s="6" t="n"/>
      <c r="K2541" s="6" t="n"/>
      <c r="L2541" s="7">
        <f>IF(OR(D2541="",N(J2541)=0),"",MIN(1,N(K2541)/J2541))</f>
        <v/>
      </c>
      <c r="M2541" s="5" t="n"/>
      <c r="N2541" s="5" t="n"/>
      <c r="O2541" s="5" t="n"/>
      <c r="P2541" s="5" t="n"/>
      <c r="Q2541" s="5" t="n"/>
      <c r="R2541" s="4" t="n"/>
      <c r="S2541" s="4" t="n"/>
      <c r="T2541" s="5" t="n"/>
      <c r="U2541" s="8">
        <f>IF(AND(V2541=1,D2541&lt;&gt;""),IF(D2541&gt;=corte,TODAY()-D2541,""),"")</f>
        <v/>
      </c>
      <c r="V2541" s="8">
        <f>IF(D2541="",0,IF(OR(AND(P2541&lt;&gt;"",S2541=""),AND(N(J2541)&gt;0,N(K2541)&lt;J2541),OR(M2541="PENDENTE",M2541="PARCIAL"),OR(N2541="PENDENTE",N2541="PARCIAL")),1,0))</f>
        <v/>
      </c>
      <c r="W2541" s="8">
        <f>IF(AND(V2541=1,D2541&lt;&gt;""),IF(D2541&gt;=corte,(B2541="CRÍTICO")*1E9+(100000-D2541)*10000+10000-ROW(),""),"")</f>
        <v/>
      </c>
      <c r="X2541" s="8">
        <f>IF(AND(V2541=1,D2541=pas_data,E2541=pas_turno),10000-ROW(),"")</f>
        <v/>
      </c>
    </row>
    <row r="2542">
      <c r="A2542" s="3">
        <f>IF(D2542="","","TT-"&amp;TEXT(ROW()-1,"00000"))</f>
        <v/>
      </c>
      <c r="B2542" s="3">
        <f>IF(D2542="","",IF(V2542=0,"CONCLUÍDO",IF(D2542&lt;corte,"HISTÓRICO",IF(OR(AND(ISNUMBER(R2542),R2542&lt;TODAY()),AND(OR(N2542="PENDENTE",N2542="PARCIAL"),D2542&lt;TODAY()-1)),"CRÍTICO",IF(OR(AND(P2542&lt;&gt;"",S2542=""),AND(N2542="REALIZADO",M2542="PENDENTE"),AND(ISNUMBER(R2542),R2542=TODAY())),"ATENÇÃO",IF(N(K2542)=0,"PENDENTE","EM ANDAMENTO"))))))</f>
        <v/>
      </c>
      <c r="C2542" s="3">
        <f>IF(D2542="","",IF(V2542=0,"🟢 OK",IF(D2542&lt;corte,"⚪ HISTÓRICO (sem baixa)",IF(AND(ISNUMBER(R2542),R2542&lt;TODAY()),"🔴 PRAZO VENCIDO",IF(AND(OR(N2542="PENDENTE",N2542="PARCIAL"),D2542&lt;TODAY()-1),"🔴 EMBARQUE ATRASADO",IF(AND(N2542="REALIZADO",M2542="PENDENTE"),"🟡 EMBARCADO SEM FATURAR",IF(AND(P2542&lt;&gt;"",S2542="",OR(Q2542="",R2542="")),"🟡 PENDÊNCIA SEM RESPONSÁVEL/PRAZO",IF(AND(ISNUMBER(R2542),R2542=TODAY()),"🟡 VENCE HOJE",IF(AND(P2542&lt;&gt;"",S2542=""),"🟡 PENDÊNCIA ABERTA",IF(AND(N(J2542)&gt;0,N(K2542)&lt;J2542),"🟡 FALTA EXECUTAR",IF(OR(M2542="PENDENTE",M2542="PARCIAL"),"🟡 FATURAMENTO PENDENTE","🟡 EMBARQUE PENDENTE")))))))))))</f>
        <v/>
      </c>
      <c r="D2542" s="4" t="n"/>
      <c r="E2542" s="5" t="n"/>
      <c r="F2542" s="5" t="n"/>
      <c r="G2542" s="5" t="n"/>
      <c r="H2542" s="5" t="n"/>
      <c r="I2542" s="5" t="n"/>
      <c r="J2542" s="6" t="n"/>
      <c r="K2542" s="6" t="n"/>
      <c r="L2542" s="7">
        <f>IF(OR(D2542="",N(J2542)=0),"",MIN(1,N(K2542)/J2542))</f>
        <v/>
      </c>
      <c r="M2542" s="5" t="n"/>
      <c r="N2542" s="5" t="n"/>
      <c r="O2542" s="5" t="n"/>
      <c r="P2542" s="5" t="n"/>
      <c r="Q2542" s="5" t="n"/>
      <c r="R2542" s="4" t="n"/>
      <c r="S2542" s="4" t="n"/>
      <c r="T2542" s="5" t="n"/>
      <c r="U2542" s="8">
        <f>IF(AND(V2542=1,D2542&lt;&gt;""),IF(D2542&gt;=corte,TODAY()-D2542,""),"")</f>
        <v/>
      </c>
      <c r="V2542" s="8">
        <f>IF(D2542="",0,IF(OR(AND(P2542&lt;&gt;"",S2542=""),AND(N(J2542)&gt;0,N(K2542)&lt;J2542),OR(M2542="PENDENTE",M2542="PARCIAL"),OR(N2542="PENDENTE",N2542="PARCIAL")),1,0))</f>
        <v/>
      </c>
      <c r="W2542" s="8">
        <f>IF(AND(V2542=1,D2542&lt;&gt;""),IF(D2542&gt;=corte,(B2542="CRÍTICO")*1E9+(100000-D2542)*10000+10000-ROW(),""),"")</f>
        <v/>
      </c>
      <c r="X2542" s="8">
        <f>IF(AND(V2542=1,D2542=pas_data,E2542=pas_turno),10000-ROW(),"")</f>
        <v/>
      </c>
    </row>
    <row r="2543">
      <c r="A2543" s="3">
        <f>IF(D2543="","","TT-"&amp;TEXT(ROW()-1,"00000"))</f>
        <v/>
      </c>
      <c r="B2543" s="3">
        <f>IF(D2543="","",IF(V2543=0,"CONCLUÍDO",IF(D2543&lt;corte,"HISTÓRICO",IF(OR(AND(ISNUMBER(R2543),R2543&lt;TODAY()),AND(OR(N2543="PENDENTE",N2543="PARCIAL"),D2543&lt;TODAY()-1)),"CRÍTICO",IF(OR(AND(P2543&lt;&gt;"",S2543=""),AND(N2543="REALIZADO",M2543="PENDENTE"),AND(ISNUMBER(R2543),R2543=TODAY())),"ATENÇÃO",IF(N(K2543)=0,"PENDENTE","EM ANDAMENTO"))))))</f>
        <v/>
      </c>
      <c r="C2543" s="3">
        <f>IF(D2543="","",IF(V2543=0,"🟢 OK",IF(D2543&lt;corte,"⚪ HISTÓRICO (sem baixa)",IF(AND(ISNUMBER(R2543),R2543&lt;TODAY()),"🔴 PRAZO VENCIDO",IF(AND(OR(N2543="PENDENTE",N2543="PARCIAL"),D2543&lt;TODAY()-1),"🔴 EMBARQUE ATRASADO",IF(AND(N2543="REALIZADO",M2543="PENDENTE"),"🟡 EMBARCADO SEM FATURAR",IF(AND(P2543&lt;&gt;"",S2543="",OR(Q2543="",R2543="")),"🟡 PENDÊNCIA SEM RESPONSÁVEL/PRAZO",IF(AND(ISNUMBER(R2543),R2543=TODAY()),"🟡 VENCE HOJE",IF(AND(P2543&lt;&gt;"",S2543=""),"🟡 PENDÊNCIA ABERTA",IF(AND(N(J2543)&gt;0,N(K2543)&lt;J2543),"🟡 FALTA EXECUTAR",IF(OR(M2543="PENDENTE",M2543="PARCIAL"),"🟡 FATURAMENTO PENDENTE","🟡 EMBARQUE PENDENTE")))))))))))</f>
        <v/>
      </c>
      <c r="D2543" s="4" t="n"/>
      <c r="E2543" s="5" t="n"/>
      <c r="F2543" s="5" t="n"/>
      <c r="G2543" s="5" t="n"/>
      <c r="H2543" s="5" t="n"/>
      <c r="I2543" s="5" t="n"/>
      <c r="J2543" s="6" t="n"/>
      <c r="K2543" s="6" t="n"/>
      <c r="L2543" s="7">
        <f>IF(OR(D2543="",N(J2543)=0),"",MIN(1,N(K2543)/J2543))</f>
        <v/>
      </c>
      <c r="M2543" s="5" t="n"/>
      <c r="N2543" s="5" t="n"/>
      <c r="O2543" s="5" t="n"/>
      <c r="P2543" s="5" t="n"/>
      <c r="Q2543" s="5" t="n"/>
      <c r="R2543" s="4" t="n"/>
      <c r="S2543" s="4" t="n"/>
      <c r="T2543" s="5" t="n"/>
      <c r="U2543" s="8">
        <f>IF(AND(V2543=1,D2543&lt;&gt;""),IF(D2543&gt;=corte,TODAY()-D2543,""),"")</f>
        <v/>
      </c>
      <c r="V2543" s="8">
        <f>IF(D2543="",0,IF(OR(AND(P2543&lt;&gt;"",S2543=""),AND(N(J2543)&gt;0,N(K2543)&lt;J2543),OR(M2543="PENDENTE",M2543="PARCIAL"),OR(N2543="PENDENTE",N2543="PARCIAL")),1,0))</f>
        <v/>
      </c>
      <c r="W2543" s="8">
        <f>IF(AND(V2543=1,D2543&lt;&gt;""),IF(D2543&gt;=corte,(B2543="CRÍTICO")*1E9+(100000-D2543)*10000+10000-ROW(),""),"")</f>
        <v/>
      </c>
      <c r="X2543" s="8">
        <f>IF(AND(V2543=1,D2543=pas_data,E2543=pas_turno),10000-ROW(),"")</f>
        <v/>
      </c>
    </row>
    <row r="2544">
      <c r="A2544" s="3">
        <f>IF(D2544="","","TT-"&amp;TEXT(ROW()-1,"00000"))</f>
        <v/>
      </c>
      <c r="B2544" s="3">
        <f>IF(D2544="","",IF(V2544=0,"CONCLUÍDO",IF(D2544&lt;corte,"HISTÓRICO",IF(OR(AND(ISNUMBER(R2544),R2544&lt;TODAY()),AND(OR(N2544="PENDENTE",N2544="PARCIAL"),D2544&lt;TODAY()-1)),"CRÍTICO",IF(OR(AND(P2544&lt;&gt;"",S2544=""),AND(N2544="REALIZADO",M2544="PENDENTE"),AND(ISNUMBER(R2544),R2544=TODAY())),"ATENÇÃO",IF(N(K2544)=0,"PENDENTE","EM ANDAMENTO"))))))</f>
        <v/>
      </c>
      <c r="C2544" s="3">
        <f>IF(D2544="","",IF(V2544=0,"🟢 OK",IF(D2544&lt;corte,"⚪ HISTÓRICO (sem baixa)",IF(AND(ISNUMBER(R2544),R2544&lt;TODAY()),"🔴 PRAZO VENCIDO",IF(AND(OR(N2544="PENDENTE",N2544="PARCIAL"),D2544&lt;TODAY()-1),"🔴 EMBARQUE ATRASADO",IF(AND(N2544="REALIZADO",M2544="PENDENTE"),"🟡 EMBARCADO SEM FATURAR",IF(AND(P2544&lt;&gt;"",S2544="",OR(Q2544="",R2544="")),"🟡 PENDÊNCIA SEM RESPONSÁVEL/PRAZO",IF(AND(ISNUMBER(R2544),R2544=TODAY()),"🟡 VENCE HOJE",IF(AND(P2544&lt;&gt;"",S2544=""),"🟡 PENDÊNCIA ABERTA",IF(AND(N(J2544)&gt;0,N(K2544)&lt;J2544),"🟡 FALTA EXECUTAR",IF(OR(M2544="PENDENTE",M2544="PARCIAL"),"🟡 FATURAMENTO PENDENTE","🟡 EMBARQUE PENDENTE")))))))))))</f>
        <v/>
      </c>
      <c r="D2544" s="4" t="n"/>
      <c r="E2544" s="5" t="n"/>
      <c r="F2544" s="5" t="n"/>
      <c r="G2544" s="5" t="n"/>
      <c r="H2544" s="5" t="n"/>
      <c r="I2544" s="5" t="n"/>
      <c r="J2544" s="6" t="n"/>
      <c r="K2544" s="6" t="n"/>
      <c r="L2544" s="7">
        <f>IF(OR(D2544="",N(J2544)=0),"",MIN(1,N(K2544)/J2544))</f>
        <v/>
      </c>
      <c r="M2544" s="5" t="n"/>
      <c r="N2544" s="5" t="n"/>
      <c r="O2544" s="5" t="n"/>
      <c r="P2544" s="5" t="n"/>
      <c r="Q2544" s="5" t="n"/>
      <c r="R2544" s="4" t="n"/>
      <c r="S2544" s="4" t="n"/>
      <c r="T2544" s="5" t="n"/>
      <c r="U2544" s="8">
        <f>IF(AND(V2544=1,D2544&lt;&gt;""),IF(D2544&gt;=corte,TODAY()-D2544,""),"")</f>
        <v/>
      </c>
      <c r="V2544" s="8">
        <f>IF(D2544="",0,IF(OR(AND(P2544&lt;&gt;"",S2544=""),AND(N(J2544)&gt;0,N(K2544)&lt;J2544),OR(M2544="PENDENTE",M2544="PARCIAL"),OR(N2544="PENDENTE",N2544="PARCIAL")),1,0))</f>
        <v/>
      </c>
      <c r="W2544" s="8">
        <f>IF(AND(V2544=1,D2544&lt;&gt;""),IF(D2544&gt;=corte,(B2544="CRÍTICO")*1E9+(100000-D2544)*10000+10000-ROW(),""),"")</f>
        <v/>
      </c>
      <c r="X2544" s="8">
        <f>IF(AND(V2544=1,D2544=pas_data,E2544=pas_turno),10000-ROW(),"")</f>
        <v/>
      </c>
    </row>
    <row r="2545">
      <c r="A2545" s="3">
        <f>IF(D2545="","","TT-"&amp;TEXT(ROW()-1,"00000"))</f>
        <v/>
      </c>
      <c r="B2545" s="3">
        <f>IF(D2545="","",IF(V2545=0,"CONCLUÍDO",IF(D2545&lt;corte,"HISTÓRICO",IF(OR(AND(ISNUMBER(R2545),R2545&lt;TODAY()),AND(OR(N2545="PENDENTE",N2545="PARCIAL"),D2545&lt;TODAY()-1)),"CRÍTICO",IF(OR(AND(P2545&lt;&gt;"",S2545=""),AND(N2545="REALIZADO",M2545="PENDENTE"),AND(ISNUMBER(R2545),R2545=TODAY())),"ATENÇÃO",IF(N(K2545)=0,"PENDENTE","EM ANDAMENTO"))))))</f>
        <v/>
      </c>
      <c r="C2545" s="3">
        <f>IF(D2545="","",IF(V2545=0,"🟢 OK",IF(D2545&lt;corte,"⚪ HISTÓRICO (sem baixa)",IF(AND(ISNUMBER(R2545),R2545&lt;TODAY()),"🔴 PRAZO VENCIDO",IF(AND(OR(N2545="PENDENTE",N2545="PARCIAL"),D2545&lt;TODAY()-1),"🔴 EMBARQUE ATRASADO",IF(AND(N2545="REALIZADO",M2545="PENDENTE"),"🟡 EMBARCADO SEM FATURAR",IF(AND(P2545&lt;&gt;"",S2545="",OR(Q2545="",R2545="")),"🟡 PENDÊNCIA SEM RESPONSÁVEL/PRAZO",IF(AND(ISNUMBER(R2545),R2545=TODAY()),"🟡 VENCE HOJE",IF(AND(P2545&lt;&gt;"",S2545=""),"🟡 PENDÊNCIA ABERTA",IF(AND(N(J2545)&gt;0,N(K2545)&lt;J2545),"🟡 FALTA EXECUTAR",IF(OR(M2545="PENDENTE",M2545="PARCIAL"),"🟡 FATURAMENTO PENDENTE","🟡 EMBARQUE PENDENTE")))))))))))</f>
        <v/>
      </c>
      <c r="D2545" s="4" t="n"/>
      <c r="E2545" s="5" t="n"/>
      <c r="F2545" s="5" t="n"/>
      <c r="G2545" s="5" t="n"/>
      <c r="H2545" s="5" t="n"/>
      <c r="I2545" s="5" t="n"/>
      <c r="J2545" s="6" t="n"/>
      <c r="K2545" s="6" t="n"/>
      <c r="L2545" s="7">
        <f>IF(OR(D2545="",N(J2545)=0),"",MIN(1,N(K2545)/J2545))</f>
        <v/>
      </c>
      <c r="M2545" s="5" t="n"/>
      <c r="N2545" s="5" t="n"/>
      <c r="O2545" s="5" t="n"/>
      <c r="P2545" s="5" t="n"/>
      <c r="Q2545" s="5" t="n"/>
      <c r="R2545" s="4" t="n"/>
      <c r="S2545" s="4" t="n"/>
      <c r="T2545" s="5" t="n"/>
      <c r="U2545" s="8">
        <f>IF(AND(V2545=1,D2545&lt;&gt;""),IF(D2545&gt;=corte,TODAY()-D2545,""),"")</f>
        <v/>
      </c>
      <c r="V2545" s="8">
        <f>IF(D2545="",0,IF(OR(AND(P2545&lt;&gt;"",S2545=""),AND(N(J2545)&gt;0,N(K2545)&lt;J2545),OR(M2545="PENDENTE",M2545="PARCIAL"),OR(N2545="PENDENTE",N2545="PARCIAL")),1,0))</f>
        <v/>
      </c>
      <c r="W2545" s="8">
        <f>IF(AND(V2545=1,D2545&lt;&gt;""),IF(D2545&gt;=corte,(B2545="CRÍTICO")*1E9+(100000-D2545)*10000+10000-ROW(),""),"")</f>
        <v/>
      </c>
      <c r="X2545" s="8">
        <f>IF(AND(V2545=1,D2545=pas_data,E2545=pas_turno),10000-ROW(),"")</f>
        <v/>
      </c>
    </row>
    <row r="2546">
      <c r="A2546" s="3">
        <f>IF(D2546="","","TT-"&amp;TEXT(ROW()-1,"00000"))</f>
        <v/>
      </c>
      <c r="B2546" s="3">
        <f>IF(D2546="","",IF(V2546=0,"CONCLUÍDO",IF(D2546&lt;corte,"HISTÓRICO",IF(OR(AND(ISNUMBER(R2546),R2546&lt;TODAY()),AND(OR(N2546="PENDENTE",N2546="PARCIAL"),D2546&lt;TODAY()-1)),"CRÍTICO",IF(OR(AND(P2546&lt;&gt;"",S2546=""),AND(N2546="REALIZADO",M2546="PENDENTE"),AND(ISNUMBER(R2546),R2546=TODAY())),"ATENÇÃO",IF(N(K2546)=0,"PENDENTE","EM ANDAMENTO"))))))</f>
        <v/>
      </c>
      <c r="C2546" s="3">
        <f>IF(D2546="","",IF(V2546=0,"🟢 OK",IF(D2546&lt;corte,"⚪ HISTÓRICO (sem baixa)",IF(AND(ISNUMBER(R2546),R2546&lt;TODAY()),"🔴 PRAZO VENCIDO",IF(AND(OR(N2546="PENDENTE",N2546="PARCIAL"),D2546&lt;TODAY()-1),"🔴 EMBARQUE ATRASADO",IF(AND(N2546="REALIZADO",M2546="PENDENTE"),"🟡 EMBARCADO SEM FATURAR",IF(AND(P2546&lt;&gt;"",S2546="",OR(Q2546="",R2546="")),"🟡 PENDÊNCIA SEM RESPONSÁVEL/PRAZO",IF(AND(ISNUMBER(R2546),R2546=TODAY()),"🟡 VENCE HOJE",IF(AND(P2546&lt;&gt;"",S2546=""),"🟡 PENDÊNCIA ABERTA",IF(AND(N(J2546)&gt;0,N(K2546)&lt;J2546),"🟡 FALTA EXECUTAR",IF(OR(M2546="PENDENTE",M2546="PARCIAL"),"🟡 FATURAMENTO PENDENTE","🟡 EMBARQUE PENDENTE")))))))))))</f>
        <v/>
      </c>
      <c r="D2546" s="4" t="n"/>
      <c r="E2546" s="5" t="n"/>
      <c r="F2546" s="5" t="n"/>
      <c r="G2546" s="5" t="n"/>
      <c r="H2546" s="5" t="n"/>
      <c r="I2546" s="5" t="n"/>
      <c r="J2546" s="6" t="n"/>
      <c r="K2546" s="6" t="n"/>
      <c r="L2546" s="7">
        <f>IF(OR(D2546="",N(J2546)=0),"",MIN(1,N(K2546)/J2546))</f>
        <v/>
      </c>
      <c r="M2546" s="5" t="n"/>
      <c r="N2546" s="5" t="n"/>
      <c r="O2546" s="5" t="n"/>
      <c r="P2546" s="5" t="n"/>
      <c r="Q2546" s="5" t="n"/>
      <c r="R2546" s="4" t="n"/>
      <c r="S2546" s="4" t="n"/>
      <c r="T2546" s="5" t="n"/>
      <c r="U2546" s="8">
        <f>IF(AND(V2546=1,D2546&lt;&gt;""),IF(D2546&gt;=corte,TODAY()-D2546,""),"")</f>
        <v/>
      </c>
      <c r="V2546" s="8">
        <f>IF(D2546="",0,IF(OR(AND(P2546&lt;&gt;"",S2546=""),AND(N(J2546)&gt;0,N(K2546)&lt;J2546),OR(M2546="PENDENTE",M2546="PARCIAL"),OR(N2546="PENDENTE",N2546="PARCIAL")),1,0))</f>
        <v/>
      </c>
      <c r="W2546" s="8">
        <f>IF(AND(V2546=1,D2546&lt;&gt;""),IF(D2546&gt;=corte,(B2546="CRÍTICO")*1E9+(100000-D2546)*10000+10000-ROW(),""),"")</f>
        <v/>
      </c>
      <c r="X2546" s="8">
        <f>IF(AND(V2546=1,D2546=pas_data,E2546=pas_turno),10000-ROW(),"")</f>
        <v/>
      </c>
    </row>
    <row r="2547">
      <c r="A2547" s="3">
        <f>IF(D2547="","","TT-"&amp;TEXT(ROW()-1,"00000"))</f>
        <v/>
      </c>
      <c r="B2547" s="3">
        <f>IF(D2547="","",IF(V2547=0,"CONCLUÍDO",IF(D2547&lt;corte,"HISTÓRICO",IF(OR(AND(ISNUMBER(R2547),R2547&lt;TODAY()),AND(OR(N2547="PENDENTE",N2547="PARCIAL"),D2547&lt;TODAY()-1)),"CRÍTICO",IF(OR(AND(P2547&lt;&gt;"",S2547=""),AND(N2547="REALIZADO",M2547="PENDENTE"),AND(ISNUMBER(R2547),R2547=TODAY())),"ATENÇÃO",IF(N(K2547)=0,"PENDENTE","EM ANDAMENTO"))))))</f>
        <v/>
      </c>
      <c r="C2547" s="3">
        <f>IF(D2547="","",IF(V2547=0,"🟢 OK",IF(D2547&lt;corte,"⚪ HISTÓRICO (sem baixa)",IF(AND(ISNUMBER(R2547),R2547&lt;TODAY()),"🔴 PRAZO VENCIDO",IF(AND(OR(N2547="PENDENTE",N2547="PARCIAL"),D2547&lt;TODAY()-1),"🔴 EMBARQUE ATRASADO",IF(AND(N2547="REALIZADO",M2547="PENDENTE"),"🟡 EMBARCADO SEM FATURAR",IF(AND(P2547&lt;&gt;"",S2547="",OR(Q2547="",R2547="")),"🟡 PENDÊNCIA SEM RESPONSÁVEL/PRAZO",IF(AND(ISNUMBER(R2547),R2547=TODAY()),"🟡 VENCE HOJE",IF(AND(P2547&lt;&gt;"",S2547=""),"🟡 PENDÊNCIA ABERTA",IF(AND(N(J2547)&gt;0,N(K2547)&lt;J2547),"🟡 FALTA EXECUTAR",IF(OR(M2547="PENDENTE",M2547="PARCIAL"),"🟡 FATURAMENTO PENDENTE","🟡 EMBARQUE PENDENTE")))))))))))</f>
        <v/>
      </c>
      <c r="D2547" s="4" t="n"/>
      <c r="E2547" s="5" t="n"/>
      <c r="F2547" s="5" t="n"/>
      <c r="G2547" s="5" t="n"/>
      <c r="H2547" s="5" t="n"/>
      <c r="I2547" s="5" t="n"/>
      <c r="J2547" s="6" t="n"/>
      <c r="K2547" s="6" t="n"/>
      <c r="L2547" s="7">
        <f>IF(OR(D2547="",N(J2547)=0),"",MIN(1,N(K2547)/J2547))</f>
        <v/>
      </c>
      <c r="M2547" s="5" t="n"/>
      <c r="N2547" s="5" t="n"/>
      <c r="O2547" s="5" t="n"/>
      <c r="P2547" s="5" t="n"/>
      <c r="Q2547" s="5" t="n"/>
      <c r="R2547" s="4" t="n"/>
      <c r="S2547" s="4" t="n"/>
      <c r="T2547" s="5" t="n"/>
      <c r="U2547" s="8">
        <f>IF(AND(V2547=1,D2547&lt;&gt;""),IF(D2547&gt;=corte,TODAY()-D2547,""),"")</f>
        <v/>
      </c>
      <c r="V2547" s="8">
        <f>IF(D2547="",0,IF(OR(AND(P2547&lt;&gt;"",S2547=""),AND(N(J2547)&gt;0,N(K2547)&lt;J2547),OR(M2547="PENDENTE",M2547="PARCIAL"),OR(N2547="PENDENTE",N2547="PARCIAL")),1,0))</f>
        <v/>
      </c>
      <c r="W2547" s="8">
        <f>IF(AND(V2547=1,D2547&lt;&gt;""),IF(D2547&gt;=corte,(B2547="CRÍTICO")*1E9+(100000-D2547)*10000+10000-ROW(),""),"")</f>
        <v/>
      </c>
      <c r="X2547" s="8">
        <f>IF(AND(V2547=1,D2547=pas_data,E2547=pas_turno),10000-ROW(),"")</f>
        <v/>
      </c>
    </row>
    <row r="2548">
      <c r="A2548" s="3">
        <f>IF(D2548="","","TT-"&amp;TEXT(ROW()-1,"00000"))</f>
        <v/>
      </c>
      <c r="B2548" s="3">
        <f>IF(D2548="","",IF(V2548=0,"CONCLUÍDO",IF(D2548&lt;corte,"HISTÓRICO",IF(OR(AND(ISNUMBER(R2548),R2548&lt;TODAY()),AND(OR(N2548="PENDENTE",N2548="PARCIAL"),D2548&lt;TODAY()-1)),"CRÍTICO",IF(OR(AND(P2548&lt;&gt;"",S2548=""),AND(N2548="REALIZADO",M2548="PENDENTE"),AND(ISNUMBER(R2548),R2548=TODAY())),"ATENÇÃO",IF(N(K2548)=0,"PENDENTE","EM ANDAMENTO"))))))</f>
        <v/>
      </c>
      <c r="C2548" s="3">
        <f>IF(D2548="","",IF(V2548=0,"🟢 OK",IF(D2548&lt;corte,"⚪ HISTÓRICO (sem baixa)",IF(AND(ISNUMBER(R2548),R2548&lt;TODAY()),"🔴 PRAZO VENCIDO",IF(AND(OR(N2548="PENDENTE",N2548="PARCIAL"),D2548&lt;TODAY()-1),"🔴 EMBARQUE ATRASADO",IF(AND(N2548="REALIZADO",M2548="PENDENTE"),"🟡 EMBARCADO SEM FATURAR",IF(AND(P2548&lt;&gt;"",S2548="",OR(Q2548="",R2548="")),"🟡 PENDÊNCIA SEM RESPONSÁVEL/PRAZO",IF(AND(ISNUMBER(R2548),R2548=TODAY()),"🟡 VENCE HOJE",IF(AND(P2548&lt;&gt;"",S2548=""),"🟡 PENDÊNCIA ABERTA",IF(AND(N(J2548)&gt;0,N(K2548)&lt;J2548),"🟡 FALTA EXECUTAR",IF(OR(M2548="PENDENTE",M2548="PARCIAL"),"🟡 FATURAMENTO PENDENTE","🟡 EMBARQUE PENDENTE")))))))))))</f>
        <v/>
      </c>
      <c r="D2548" s="4" t="n"/>
      <c r="E2548" s="5" t="n"/>
      <c r="F2548" s="5" t="n"/>
      <c r="G2548" s="5" t="n"/>
      <c r="H2548" s="5" t="n"/>
      <c r="I2548" s="5" t="n"/>
      <c r="J2548" s="6" t="n"/>
      <c r="K2548" s="6" t="n"/>
      <c r="L2548" s="7">
        <f>IF(OR(D2548="",N(J2548)=0),"",MIN(1,N(K2548)/J2548))</f>
        <v/>
      </c>
      <c r="M2548" s="5" t="n"/>
      <c r="N2548" s="5" t="n"/>
      <c r="O2548" s="5" t="n"/>
      <c r="P2548" s="5" t="n"/>
      <c r="Q2548" s="5" t="n"/>
      <c r="R2548" s="4" t="n"/>
      <c r="S2548" s="4" t="n"/>
      <c r="T2548" s="5" t="n"/>
      <c r="U2548" s="8">
        <f>IF(AND(V2548=1,D2548&lt;&gt;""),IF(D2548&gt;=corte,TODAY()-D2548,""),"")</f>
        <v/>
      </c>
      <c r="V2548" s="8">
        <f>IF(D2548="",0,IF(OR(AND(P2548&lt;&gt;"",S2548=""),AND(N(J2548)&gt;0,N(K2548)&lt;J2548),OR(M2548="PENDENTE",M2548="PARCIAL"),OR(N2548="PENDENTE",N2548="PARCIAL")),1,0))</f>
        <v/>
      </c>
      <c r="W2548" s="8">
        <f>IF(AND(V2548=1,D2548&lt;&gt;""),IF(D2548&gt;=corte,(B2548="CRÍTICO")*1E9+(100000-D2548)*10000+10000-ROW(),""),"")</f>
        <v/>
      </c>
      <c r="X2548" s="8">
        <f>IF(AND(V2548=1,D2548=pas_data,E2548=pas_turno),10000-ROW(),"")</f>
        <v/>
      </c>
    </row>
    <row r="2549">
      <c r="A2549" s="3">
        <f>IF(D2549="","","TT-"&amp;TEXT(ROW()-1,"00000"))</f>
        <v/>
      </c>
      <c r="B2549" s="3">
        <f>IF(D2549="","",IF(V2549=0,"CONCLUÍDO",IF(D2549&lt;corte,"HISTÓRICO",IF(OR(AND(ISNUMBER(R2549),R2549&lt;TODAY()),AND(OR(N2549="PENDENTE",N2549="PARCIAL"),D2549&lt;TODAY()-1)),"CRÍTICO",IF(OR(AND(P2549&lt;&gt;"",S2549=""),AND(N2549="REALIZADO",M2549="PENDENTE"),AND(ISNUMBER(R2549),R2549=TODAY())),"ATENÇÃO",IF(N(K2549)=0,"PENDENTE","EM ANDAMENTO"))))))</f>
        <v/>
      </c>
      <c r="C2549" s="3">
        <f>IF(D2549="","",IF(V2549=0,"🟢 OK",IF(D2549&lt;corte,"⚪ HISTÓRICO (sem baixa)",IF(AND(ISNUMBER(R2549),R2549&lt;TODAY()),"🔴 PRAZO VENCIDO",IF(AND(OR(N2549="PENDENTE",N2549="PARCIAL"),D2549&lt;TODAY()-1),"🔴 EMBARQUE ATRASADO",IF(AND(N2549="REALIZADO",M2549="PENDENTE"),"🟡 EMBARCADO SEM FATURAR",IF(AND(P2549&lt;&gt;"",S2549="",OR(Q2549="",R2549="")),"🟡 PENDÊNCIA SEM RESPONSÁVEL/PRAZO",IF(AND(ISNUMBER(R2549),R2549=TODAY()),"🟡 VENCE HOJE",IF(AND(P2549&lt;&gt;"",S2549=""),"🟡 PENDÊNCIA ABERTA",IF(AND(N(J2549)&gt;0,N(K2549)&lt;J2549),"🟡 FALTA EXECUTAR",IF(OR(M2549="PENDENTE",M2549="PARCIAL"),"🟡 FATURAMENTO PENDENTE","🟡 EMBARQUE PENDENTE")))))))))))</f>
        <v/>
      </c>
      <c r="D2549" s="4" t="n"/>
      <c r="E2549" s="5" t="n"/>
      <c r="F2549" s="5" t="n"/>
      <c r="G2549" s="5" t="n"/>
      <c r="H2549" s="5" t="n"/>
      <c r="I2549" s="5" t="n"/>
      <c r="J2549" s="6" t="n"/>
      <c r="K2549" s="6" t="n"/>
      <c r="L2549" s="7">
        <f>IF(OR(D2549="",N(J2549)=0),"",MIN(1,N(K2549)/J2549))</f>
        <v/>
      </c>
      <c r="M2549" s="5" t="n"/>
      <c r="N2549" s="5" t="n"/>
      <c r="O2549" s="5" t="n"/>
      <c r="P2549" s="5" t="n"/>
      <c r="Q2549" s="5" t="n"/>
      <c r="R2549" s="4" t="n"/>
      <c r="S2549" s="4" t="n"/>
      <c r="T2549" s="5" t="n"/>
      <c r="U2549" s="8">
        <f>IF(AND(V2549=1,D2549&lt;&gt;""),IF(D2549&gt;=corte,TODAY()-D2549,""),"")</f>
        <v/>
      </c>
      <c r="V2549" s="8">
        <f>IF(D2549="",0,IF(OR(AND(P2549&lt;&gt;"",S2549=""),AND(N(J2549)&gt;0,N(K2549)&lt;J2549),OR(M2549="PENDENTE",M2549="PARCIAL"),OR(N2549="PENDENTE",N2549="PARCIAL")),1,0))</f>
        <v/>
      </c>
      <c r="W2549" s="8">
        <f>IF(AND(V2549=1,D2549&lt;&gt;""),IF(D2549&gt;=corte,(B2549="CRÍTICO")*1E9+(100000-D2549)*10000+10000-ROW(),""),"")</f>
        <v/>
      </c>
      <c r="X2549" s="8">
        <f>IF(AND(V2549=1,D2549=pas_data,E2549=pas_turno),10000-ROW(),"")</f>
        <v/>
      </c>
    </row>
    <row r="2550">
      <c r="A2550" s="3">
        <f>IF(D2550="","","TT-"&amp;TEXT(ROW()-1,"00000"))</f>
        <v/>
      </c>
      <c r="B2550" s="3">
        <f>IF(D2550="","",IF(V2550=0,"CONCLUÍDO",IF(D2550&lt;corte,"HISTÓRICO",IF(OR(AND(ISNUMBER(R2550),R2550&lt;TODAY()),AND(OR(N2550="PENDENTE",N2550="PARCIAL"),D2550&lt;TODAY()-1)),"CRÍTICO",IF(OR(AND(P2550&lt;&gt;"",S2550=""),AND(N2550="REALIZADO",M2550="PENDENTE"),AND(ISNUMBER(R2550),R2550=TODAY())),"ATENÇÃO",IF(N(K2550)=0,"PENDENTE","EM ANDAMENTO"))))))</f>
        <v/>
      </c>
      <c r="C2550" s="3">
        <f>IF(D2550="","",IF(V2550=0,"🟢 OK",IF(D2550&lt;corte,"⚪ HISTÓRICO (sem baixa)",IF(AND(ISNUMBER(R2550),R2550&lt;TODAY()),"🔴 PRAZO VENCIDO",IF(AND(OR(N2550="PENDENTE",N2550="PARCIAL"),D2550&lt;TODAY()-1),"🔴 EMBARQUE ATRASADO",IF(AND(N2550="REALIZADO",M2550="PENDENTE"),"🟡 EMBARCADO SEM FATURAR",IF(AND(P2550&lt;&gt;"",S2550="",OR(Q2550="",R2550="")),"🟡 PENDÊNCIA SEM RESPONSÁVEL/PRAZO",IF(AND(ISNUMBER(R2550),R2550=TODAY()),"🟡 VENCE HOJE",IF(AND(P2550&lt;&gt;"",S2550=""),"🟡 PENDÊNCIA ABERTA",IF(AND(N(J2550)&gt;0,N(K2550)&lt;J2550),"🟡 FALTA EXECUTAR",IF(OR(M2550="PENDENTE",M2550="PARCIAL"),"🟡 FATURAMENTO PENDENTE","🟡 EMBARQUE PENDENTE")))))))))))</f>
        <v/>
      </c>
      <c r="D2550" s="4" t="n"/>
      <c r="E2550" s="5" t="n"/>
      <c r="F2550" s="5" t="n"/>
      <c r="G2550" s="5" t="n"/>
      <c r="H2550" s="5" t="n"/>
      <c r="I2550" s="5" t="n"/>
      <c r="J2550" s="6" t="n"/>
      <c r="K2550" s="6" t="n"/>
      <c r="L2550" s="7">
        <f>IF(OR(D2550="",N(J2550)=0),"",MIN(1,N(K2550)/J2550))</f>
        <v/>
      </c>
      <c r="M2550" s="5" t="n"/>
      <c r="N2550" s="5" t="n"/>
      <c r="O2550" s="5" t="n"/>
      <c r="P2550" s="5" t="n"/>
      <c r="Q2550" s="5" t="n"/>
      <c r="R2550" s="4" t="n"/>
      <c r="S2550" s="4" t="n"/>
      <c r="T2550" s="5" t="n"/>
      <c r="U2550" s="8">
        <f>IF(AND(V2550=1,D2550&lt;&gt;""),IF(D2550&gt;=corte,TODAY()-D2550,""),"")</f>
        <v/>
      </c>
      <c r="V2550" s="8">
        <f>IF(D2550="",0,IF(OR(AND(P2550&lt;&gt;"",S2550=""),AND(N(J2550)&gt;0,N(K2550)&lt;J2550),OR(M2550="PENDENTE",M2550="PARCIAL"),OR(N2550="PENDENTE",N2550="PARCIAL")),1,0))</f>
        <v/>
      </c>
      <c r="W2550" s="8">
        <f>IF(AND(V2550=1,D2550&lt;&gt;""),IF(D2550&gt;=corte,(B2550="CRÍTICO")*1E9+(100000-D2550)*10000+10000-ROW(),""),"")</f>
        <v/>
      </c>
      <c r="X2550" s="8">
        <f>IF(AND(V2550=1,D2550=pas_data,E2550=pas_turno),10000-ROW(),"")</f>
        <v/>
      </c>
    </row>
    <row r="2551">
      <c r="A2551" s="3">
        <f>IF(D2551="","","TT-"&amp;TEXT(ROW()-1,"00000"))</f>
        <v/>
      </c>
      <c r="B2551" s="3">
        <f>IF(D2551="","",IF(V2551=0,"CONCLUÍDO",IF(D2551&lt;corte,"HISTÓRICO",IF(OR(AND(ISNUMBER(R2551),R2551&lt;TODAY()),AND(OR(N2551="PENDENTE",N2551="PARCIAL"),D2551&lt;TODAY()-1)),"CRÍTICO",IF(OR(AND(P2551&lt;&gt;"",S2551=""),AND(N2551="REALIZADO",M2551="PENDENTE"),AND(ISNUMBER(R2551),R2551=TODAY())),"ATENÇÃO",IF(N(K2551)=0,"PENDENTE","EM ANDAMENTO"))))))</f>
        <v/>
      </c>
      <c r="C2551" s="3">
        <f>IF(D2551="","",IF(V2551=0,"🟢 OK",IF(D2551&lt;corte,"⚪ HISTÓRICO (sem baixa)",IF(AND(ISNUMBER(R2551),R2551&lt;TODAY()),"🔴 PRAZO VENCIDO",IF(AND(OR(N2551="PENDENTE",N2551="PARCIAL"),D2551&lt;TODAY()-1),"🔴 EMBARQUE ATRASADO",IF(AND(N2551="REALIZADO",M2551="PENDENTE"),"🟡 EMBARCADO SEM FATURAR",IF(AND(P2551&lt;&gt;"",S2551="",OR(Q2551="",R2551="")),"🟡 PENDÊNCIA SEM RESPONSÁVEL/PRAZO",IF(AND(ISNUMBER(R2551),R2551=TODAY()),"🟡 VENCE HOJE",IF(AND(P2551&lt;&gt;"",S2551=""),"🟡 PENDÊNCIA ABERTA",IF(AND(N(J2551)&gt;0,N(K2551)&lt;J2551),"🟡 FALTA EXECUTAR",IF(OR(M2551="PENDENTE",M2551="PARCIAL"),"🟡 FATURAMENTO PENDENTE","🟡 EMBARQUE PENDENTE")))))))))))</f>
        <v/>
      </c>
      <c r="D2551" s="4" t="n"/>
      <c r="E2551" s="5" t="n"/>
      <c r="F2551" s="5" t="n"/>
      <c r="G2551" s="5" t="n"/>
      <c r="H2551" s="5" t="n"/>
      <c r="I2551" s="5" t="n"/>
      <c r="J2551" s="6" t="n"/>
      <c r="K2551" s="6" t="n"/>
      <c r="L2551" s="7">
        <f>IF(OR(D2551="",N(J2551)=0),"",MIN(1,N(K2551)/J2551))</f>
        <v/>
      </c>
      <c r="M2551" s="5" t="n"/>
      <c r="N2551" s="5" t="n"/>
      <c r="O2551" s="5" t="n"/>
      <c r="P2551" s="5" t="n"/>
      <c r="Q2551" s="5" t="n"/>
      <c r="R2551" s="4" t="n"/>
      <c r="S2551" s="4" t="n"/>
      <c r="T2551" s="5" t="n"/>
      <c r="U2551" s="8">
        <f>IF(AND(V2551=1,D2551&lt;&gt;""),IF(D2551&gt;=corte,TODAY()-D2551,""),"")</f>
        <v/>
      </c>
      <c r="V2551" s="8">
        <f>IF(D2551="",0,IF(OR(AND(P2551&lt;&gt;"",S2551=""),AND(N(J2551)&gt;0,N(K2551)&lt;J2551),OR(M2551="PENDENTE",M2551="PARCIAL"),OR(N2551="PENDENTE",N2551="PARCIAL")),1,0))</f>
        <v/>
      </c>
      <c r="W2551" s="8">
        <f>IF(AND(V2551=1,D2551&lt;&gt;""),IF(D2551&gt;=corte,(B2551="CRÍTICO")*1E9+(100000-D2551)*10000+10000-ROW(),""),"")</f>
        <v/>
      </c>
      <c r="X2551" s="8">
        <f>IF(AND(V2551=1,D2551=pas_data,E2551=pas_turno),10000-ROW(),"")</f>
        <v/>
      </c>
    </row>
    <row r="2552">
      <c r="A2552" s="3">
        <f>IF(D2552="","","TT-"&amp;TEXT(ROW()-1,"00000"))</f>
        <v/>
      </c>
      <c r="B2552" s="3">
        <f>IF(D2552="","",IF(V2552=0,"CONCLUÍDO",IF(D2552&lt;corte,"HISTÓRICO",IF(OR(AND(ISNUMBER(R2552),R2552&lt;TODAY()),AND(OR(N2552="PENDENTE",N2552="PARCIAL"),D2552&lt;TODAY()-1)),"CRÍTICO",IF(OR(AND(P2552&lt;&gt;"",S2552=""),AND(N2552="REALIZADO",M2552="PENDENTE"),AND(ISNUMBER(R2552),R2552=TODAY())),"ATENÇÃO",IF(N(K2552)=0,"PENDENTE","EM ANDAMENTO"))))))</f>
        <v/>
      </c>
      <c r="C2552" s="3">
        <f>IF(D2552="","",IF(V2552=0,"🟢 OK",IF(D2552&lt;corte,"⚪ HISTÓRICO (sem baixa)",IF(AND(ISNUMBER(R2552),R2552&lt;TODAY()),"🔴 PRAZO VENCIDO",IF(AND(OR(N2552="PENDENTE",N2552="PARCIAL"),D2552&lt;TODAY()-1),"🔴 EMBARQUE ATRASADO",IF(AND(N2552="REALIZADO",M2552="PENDENTE"),"🟡 EMBARCADO SEM FATURAR",IF(AND(P2552&lt;&gt;"",S2552="",OR(Q2552="",R2552="")),"🟡 PENDÊNCIA SEM RESPONSÁVEL/PRAZO",IF(AND(ISNUMBER(R2552),R2552=TODAY()),"🟡 VENCE HOJE",IF(AND(P2552&lt;&gt;"",S2552=""),"🟡 PENDÊNCIA ABERTA",IF(AND(N(J2552)&gt;0,N(K2552)&lt;J2552),"🟡 FALTA EXECUTAR",IF(OR(M2552="PENDENTE",M2552="PARCIAL"),"🟡 FATURAMENTO PENDENTE","🟡 EMBARQUE PENDENTE")))))))))))</f>
        <v/>
      </c>
      <c r="D2552" s="4" t="n"/>
      <c r="E2552" s="5" t="n"/>
      <c r="F2552" s="5" t="n"/>
      <c r="G2552" s="5" t="n"/>
      <c r="H2552" s="5" t="n"/>
      <c r="I2552" s="5" t="n"/>
      <c r="J2552" s="6" t="n"/>
      <c r="K2552" s="6" t="n"/>
      <c r="L2552" s="7">
        <f>IF(OR(D2552="",N(J2552)=0),"",MIN(1,N(K2552)/J2552))</f>
        <v/>
      </c>
      <c r="M2552" s="5" t="n"/>
      <c r="N2552" s="5" t="n"/>
      <c r="O2552" s="5" t="n"/>
      <c r="P2552" s="5" t="n"/>
      <c r="Q2552" s="5" t="n"/>
      <c r="R2552" s="4" t="n"/>
      <c r="S2552" s="4" t="n"/>
      <c r="T2552" s="5" t="n"/>
      <c r="U2552" s="8">
        <f>IF(AND(V2552=1,D2552&lt;&gt;""),IF(D2552&gt;=corte,TODAY()-D2552,""),"")</f>
        <v/>
      </c>
      <c r="V2552" s="8">
        <f>IF(D2552="",0,IF(OR(AND(P2552&lt;&gt;"",S2552=""),AND(N(J2552)&gt;0,N(K2552)&lt;J2552),OR(M2552="PENDENTE",M2552="PARCIAL"),OR(N2552="PENDENTE",N2552="PARCIAL")),1,0))</f>
        <v/>
      </c>
      <c r="W2552" s="8">
        <f>IF(AND(V2552=1,D2552&lt;&gt;""),IF(D2552&gt;=corte,(B2552="CRÍTICO")*1E9+(100000-D2552)*10000+10000-ROW(),""),"")</f>
        <v/>
      </c>
      <c r="X2552" s="8">
        <f>IF(AND(V2552=1,D2552=pas_data,E2552=pas_turno),10000-ROW(),"")</f>
        <v/>
      </c>
    </row>
    <row r="2553">
      <c r="A2553" s="3">
        <f>IF(D2553="","","TT-"&amp;TEXT(ROW()-1,"00000"))</f>
        <v/>
      </c>
      <c r="B2553" s="3">
        <f>IF(D2553="","",IF(V2553=0,"CONCLUÍDO",IF(D2553&lt;corte,"HISTÓRICO",IF(OR(AND(ISNUMBER(R2553),R2553&lt;TODAY()),AND(OR(N2553="PENDENTE",N2553="PARCIAL"),D2553&lt;TODAY()-1)),"CRÍTICO",IF(OR(AND(P2553&lt;&gt;"",S2553=""),AND(N2553="REALIZADO",M2553="PENDENTE"),AND(ISNUMBER(R2553),R2553=TODAY())),"ATENÇÃO",IF(N(K2553)=0,"PENDENTE","EM ANDAMENTO"))))))</f>
        <v/>
      </c>
      <c r="C2553" s="3">
        <f>IF(D2553="","",IF(V2553=0,"🟢 OK",IF(D2553&lt;corte,"⚪ HISTÓRICO (sem baixa)",IF(AND(ISNUMBER(R2553),R2553&lt;TODAY()),"🔴 PRAZO VENCIDO",IF(AND(OR(N2553="PENDENTE",N2553="PARCIAL"),D2553&lt;TODAY()-1),"🔴 EMBARQUE ATRASADO",IF(AND(N2553="REALIZADO",M2553="PENDENTE"),"🟡 EMBARCADO SEM FATURAR",IF(AND(P2553&lt;&gt;"",S2553="",OR(Q2553="",R2553="")),"🟡 PENDÊNCIA SEM RESPONSÁVEL/PRAZO",IF(AND(ISNUMBER(R2553),R2553=TODAY()),"🟡 VENCE HOJE",IF(AND(P2553&lt;&gt;"",S2553=""),"🟡 PENDÊNCIA ABERTA",IF(AND(N(J2553)&gt;0,N(K2553)&lt;J2553),"🟡 FALTA EXECUTAR",IF(OR(M2553="PENDENTE",M2553="PARCIAL"),"🟡 FATURAMENTO PENDENTE","🟡 EMBARQUE PENDENTE")))))))))))</f>
        <v/>
      </c>
      <c r="D2553" s="4" t="n"/>
      <c r="E2553" s="5" t="n"/>
      <c r="F2553" s="5" t="n"/>
      <c r="G2553" s="5" t="n"/>
      <c r="H2553" s="5" t="n"/>
      <c r="I2553" s="5" t="n"/>
      <c r="J2553" s="6" t="n"/>
      <c r="K2553" s="6" t="n"/>
      <c r="L2553" s="7">
        <f>IF(OR(D2553="",N(J2553)=0),"",MIN(1,N(K2553)/J2553))</f>
        <v/>
      </c>
      <c r="M2553" s="5" t="n"/>
      <c r="N2553" s="5" t="n"/>
      <c r="O2553" s="5" t="n"/>
      <c r="P2553" s="5" t="n"/>
      <c r="Q2553" s="5" t="n"/>
      <c r="R2553" s="4" t="n"/>
      <c r="S2553" s="4" t="n"/>
      <c r="T2553" s="5" t="n"/>
      <c r="U2553" s="8">
        <f>IF(AND(V2553=1,D2553&lt;&gt;""),IF(D2553&gt;=corte,TODAY()-D2553,""),"")</f>
        <v/>
      </c>
      <c r="V2553" s="8">
        <f>IF(D2553="",0,IF(OR(AND(P2553&lt;&gt;"",S2553=""),AND(N(J2553)&gt;0,N(K2553)&lt;J2553),OR(M2553="PENDENTE",M2553="PARCIAL"),OR(N2553="PENDENTE",N2553="PARCIAL")),1,0))</f>
        <v/>
      </c>
      <c r="W2553" s="8">
        <f>IF(AND(V2553=1,D2553&lt;&gt;""),IF(D2553&gt;=corte,(B2553="CRÍTICO")*1E9+(100000-D2553)*10000+10000-ROW(),""),"")</f>
        <v/>
      </c>
      <c r="X2553" s="8">
        <f>IF(AND(V2553=1,D2553=pas_data,E2553=pas_turno),10000-ROW(),"")</f>
        <v/>
      </c>
    </row>
    <row r="2554">
      <c r="A2554" s="3">
        <f>IF(D2554="","","TT-"&amp;TEXT(ROW()-1,"00000"))</f>
        <v/>
      </c>
      <c r="B2554" s="3">
        <f>IF(D2554="","",IF(V2554=0,"CONCLUÍDO",IF(D2554&lt;corte,"HISTÓRICO",IF(OR(AND(ISNUMBER(R2554),R2554&lt;TODAY()),AND(OR(N2554="PENDENTE",N2554="PARCIAL"),D2554&lt;TODAY()-1)),"CRÍTICO",IF(OR(AND(P2554&lt;&gt;"",S2554=""),AND(N2554="REALIZADO",M2554="PENDENTE"),AND(ISNUMBER(R2554),R2554=TODAY())),"ATENÇÃO",IF(N(K2554)=0,"PENDENTE","EM ANDAMENTO"))))))</f>
        <v/>
      </c>
      <c r="C2554" s="3">
        <f>IF(D2554="","",IF(V2554=0,"🟢 OK",IF(D2554&lt;corte,"⚪ HISTÓRICO (sem baixa)",IF(AND(ISNUMBER(R2554),R2554&lt;TODAY()),"🔴 PRAZO VENCIDO",IF(AND(OR(N2554="PENDENTE",N2554="PARCIAL"),D2554&lt;TODAY()-1),"🔴 EMBARQUE ATRASADO",IF(AND(N2554="REALIZADO",M2554="PENDENTE"),"🟡 EMBARCADO SEM FATURAR",IF(AND(P2554&lt;&gt;"",S2554="",OR(Q2554="",R2554="")),"🟡 PENDÊNCIA SEM RESPONSÁVEL/PRAZO",IF(AND(ISNUMBER(R2554),R2554=TODAY()),"🟡 VENCE HOJE",IF(AND(P2554&lt;&gt;"",S2554=""),"🟡 PENDÊNCIA ABERTA",IF(AND(N(J2554)&gt;0,N(K2554)&lt;J2554),"🟡 FALTA EXECUTAR",IF(OR(M2554="PENDENTE",M2554="PARCIAL"),"🟡 FATURAMENTO PENDENTE","🟡 EMBARQUE PENDENTE")))))))))))</f>
        <v/>
      </c>
      <c r="D2554" s="4" t="n"/>
      <c r="E2554" s="5" t="n"/>
      <c r="F2554" s="5" t="n"/>
      <c r="G2554" s="5" t="n"/>
      <c r="H2554" s="5" t="n"/>
      <c r="I2554" s="5" t="n"/>
      <c r="J2554" s="6" t="n"/>
      <c r="K2554" s="6" t="n"/>
      <c r="L2554" s="7">
        <f>IF(OR(D2554="",N(J2554)=0),"",MIN(1,N(K2554)/J2554))</f>
        <v/>
      </c>
      <c r="M2554" s="5" t="n"/>
      <c r="N2554" s="5" t="n"/>
      <c r="O2554" s="5" t="n"/>
      <c r="P2554" s="5" t="n"/>
      <c r="Q2554" s="5" t="n"/>
      <c r="R2554" s="4" t="n"/>
      <c r="S2554" s="4" t="n"/>
      <c r="T2554" s="5" t="n"/>
      <c r="U2554" s="8">
        <f>IF(AND(V2554=1,D2554&lt;&gt;""),IF(D2554&gt;=corte,TODAY()-D2554,""),"")</f>
        <v/>
      </c>
      <c r="V2554" s="8">
        <f>IF(D2554="",0,IF(OR(AND(P2554&lt;&gt;"",S2554=""),AND(N(J2554)&gt;0,N(K2554)&lt;J2554),OR(M2554="PENDENTE",M2554="PARCIAL"),OR(N2554="PENDENTE",N2554="PARCIAL")),1,0))</f>
        <v/>
      </c>
      <c r="W2554" s="8">
        <f>IF(AND(V2554=1,D2554&lt;&gt;""),IF(D2554&gt;=corte,(B2554="CRÍTICO")*1E9+(100000-D2554)*10000+10000-ROW(),""),"")</f>
        <v/>
      </c>
      <c r="X2554" s="8">
        <f>IF(AND(V2554=1,D2554=pas_data,E2554=pas_turno),10000-ROW(),"")</f>
        <v/>
      </c>
    </row>
    <row r="2555">
      <c r="A2555" s="3">
        <f>IF(D2555="","","TT-"&amp;TEXT(ROW()-1,"00000"))</f>
        <v/>
      </c>
      <c r="B2555" s="3">
        <f>IF(D2555="","",IF(V2555=0,"CONCLUÍDO",IF(D2555&lt;corte,"HISTÓRICO",IF(OR(AND(ISNUMBER(R2555),R2555&lt;TODAY()),AND(OR(N2555="PENDENTE",N2555="PARCIAL"),D2555&lt;TODAY()-1)),"CRÍTICO",IF(OR(AND(P2555&lt;&gt;"",S2555=""),AND(N2555="REALIZADO",M2555="PENDENTE"),AND(ISNUMBER(R2555),R2555=TODAY())),"ATENÇÃO",IF(N(K2555)=0,"PENDENTE","EM ANDAMENTO"))))))</f>
        <v/>
      </c>
      <c r="C2555" s="3">
        <f>IF(D2555="","",IF(V2555=0,"🟢 OK",IF(D2555&lt;corte,"⚪ HISTÓRICO (sem baixa)",IF(AND(ISNUMBER(R2555),R2555&lt;TODAY()),"🔴 PRAZO VENCIDO",IF(AND(OR(N2555="PENDENTE",N2555="PARCIAL"),D2555&lt;TODAY()-1),"🔴 EMBARQUE ATRASADO",IF(AND(N2555="REALIZADO",M2555="PENDENTE"),"🟡 EMBARCADO SEM FATURAR",IF(AND(P2555&lt;&gt;"",S2555="",OR(Q2555="",R2555="")),"🟡 PENDÊNCIA SEM RESPONSÁVEL/PRAZO",IF(AND(ISNUMBER(R2555),R2555=TODAY()),"🟡 VENCE HOJE",IF(AND(P2555&lt;&gt;"",S2555=""),"🟡 PENDÊNCIA ABERTA",IF(AND(N(J2555)&gt;0,N(K2555)&lt;J2555),"🟡 FALTA EXECUTAR",IF(OR(M2555="PENDENTE",M2555="PARCIAL"),"🟡 FATURAMENTO PENDENTE","🟡 EMBARQUE PENDENTE")))))))))))</f>
        <v/>
      </c>
      <c r="D2555" s="4" t="n"/>
      <c r="E2555" s="5" t="n"/>
      <c r="F2555" s="5" t="n"/>
      <c r="G2555" s="5" t="n"/>
      <c r="H2555" s="5" t="n"/>
      <c r="I2555" s="5" t="n"/>
      <c r="J2555" s="6" t="n"/>
      <c r="K2555" s="6" t="n"/>
      <c r="L2555" s="7">
        <f>IF(OR(D2555="",N(J2555)=0),"",MIN(1,N(K2555)/J2555))</f>
        <v/>
      </c>
      <c r="M2555" s="5" t="n"/>
      <c r="N2555" s="5" t="n"/>
      <c r="O2555" s="5" t="n"/>
      <c r="P2555" s="5" t="n"/>
      <c r="Q2555" s="5" t="n"/>
      <c r="R2555" s="4" t="n"/>
      <c r="S2555" s="4" t="n"/>
      <c r="T2555" s="5" t="n"/>
      <c r="U2555" s="8">
        <f>IF(AND(V2555=1,D2555&lt;&gt;""),IF(D2555&gt;=corte,TODAY()-D2555,""),"")</f>
        <v/>
      </c>
      <c r="V2555" s="8">
        <f>IF(D2555="",0,IF(OR(AND(P2555&lt;&gt;"",S2555=""),AND(N(J2555)&gt;0,N(K2555)&lt;J2555),OR(M2555="PENDENTE",M2555="PARCIAL"),OR(N2555="PENDENTE",N2555="PARCIAL")),1,0))</f>
        <v/>
      </c>
      <c r="W2555" s="8">
        <f>IF(AND(V2555=1,D2555&lt;&gt;""),IF(D2555&gt;=corte,(B2555="CRÍTICO")*1E9+(100000-D2555)*10000+10000-ROW(),""),"")</f>
        <v/>
      </c>
      <c r="X2555" s="8">
        <f>IF(AND(V2555=1,D2555=pas_data,E2555=pas_turno),10000-ROW(),"")</f>
        <v/>
      </c>
    </row>
    <row r="2556">
      <c r="A2556" s="3">
        <f>IF(D2556="","","TT-"&amp;TEXT(ROW()-1,"00000"))</f>
        <v/>
      </c>
      <c r="B2556" s="3">
        <f>IF(D2556="","",IF(V2556=0,"CONCLUÍDO",IF(D2556&lt;corte,"HISTÓRICO",IF(OR(AND(ISNUMBER(R2556),R2556&lt;TODAY()),AND(OR(N2556="PENDENTE",N2556="PARCIAL"),D2556&lt;TODAY()-1)),"CRÍTICO",IF(OR(AND(P2556&lt;&gt;"",S2556=""),AND(N2556="REALIZADO",M2556="PENDENTE"),AND(ISNUMBER(R2556),R2556=TODAY())),"ATENÇÃO",IF(N(K2556)=0,"PENDENTE","EM ANDAMENTO"))))))</f>
        <v/>
      </c>
      <c r="C2556" s="3">
        <f>IF(D2556="","",IF(V2556=0,"🟢 OK",IF(D2556&lt;corte,"⚪ HISTÓRICO (sem baixa)",IF(AND(ISNUMBER(R2556),R2556&lt;TODAY()),"🔴 PRAZO VENCIDO",IF(AND(OR(N2556="PENDENTE",N2556="PARCIAL"),D2556&lt;TODAY()-1),"🔴 EMBARQUE ATRASADO",IF(AND(N2556="REALIZADO",M2556="PENDENTE"),"🟡 EMBARCADO SEM FATURAR",IF(AND(P2556&lt;&gt;"",S2556="",OR(Q2556="",R2556="")),"🟡 PENDÊNCIA SEM RESPONSÁVEL/PRAZO",IF(AND(ISNUMBER(R2556),R2556=TODAY()),"🟡 VENCE HOJE",IF(AND(P2556&lt;&gt;"",S2556=""),"🟡 PENDÊNCIA ABERTA",IF(AND(N(J2556)&gt;0,N(K2556)&lt;J2556),"🟡 FALTA EXECUTAR",IF(OR(M2556="PENDENTE",M2556="PARCIAL"),"🟡 FATURAMENTO PENDENTE","🟡 EMBARQUE PENDENTE")))))))))))</f>
        <v/>
      </c>
      <c r="D2556" s="4" t="n"/>
      <c r="E2556" s="5" t="n"/>
      <c r="F2556" s="5" t="n"/>
      <c r="G2556" s="5" t="n"/>
      <c r="H2556" s="5" t="n"/>
      <c r="I2556" s="5" t="n"/>
      <c r="J2556" s="6" t="n"/>
      <c r="K2556" s="6" t="n"/>
      <c r="L2556" s="7">
        <f>IF(OR(D2556="",N(J2556)=0),"",MIN(1,N(K2556)/J2556))</f>
        <v/>
      </c>
      <c r="M2556" s="5" t="n"/>
      <c r="N2556" s="5" t="n"/>
      <c r="O2556" s="5" t="n"/>
      <c r="P2556" s="5" t="n"/>
      <c r="Q2556" s="5" t="n"/>
      <c r="R2556" s="4" t="n"/>
      <c r="S2556" s="4" t="n"/>
      <c r="T2556" s="5" t="n"/>
      <c r="U2556" s="8">
        <f>IF(AND(V2556=1,D2556&lt;&gt;""),IF(D2556&gt;=corte,TODAY()-D2556,""),"")</f>
        <v/>
      </c>
      <c r="V2556" s="8">
        <f>IF(D2556="",0,IF(OR(AND(P2556&lt;&gt;"",S2556=""),AND(N(J2556)&gt;0,N(K2556)&lt;J2556),OR(M2556="PENDENTE",M2556="PARCIAL"),OR(N2556="PENDENTE",N2556="PARCIAL")),1,0))</f>
        <v/>
      </c>
      <c r="W2556" s="8">
        <f>IF(AND(V2556=1,D2556&lt;&gt;""),IF(D2556&gt;=corte,(B2556="CRÍTICO")*1E9+(100000-D2556)*10000+10000-ROW(),""),"")</f>
        <v/>
      </c>
      <c r="X2556" s="8">
        <f>IF(AND(V2556=1,D2556=pas_data,E2556=pas_turno),10000-ROW(),"")</f>
        <v/>
      </c>
    </row>
    <row r="2557">
      <c r="A2557" s="3">
        <f>IF(D2557="","","TT-"&amp;TEXT(ROW()-1,"00000"))</f>
        <v/>
      </c>
      <c r="B2557" s="3">
        <f>IF(D2557="","",IF(V2557=0,"CONCLUÍDO",IF(D2557&lt;corte,"HISTÓRICO",IF(OR(AND(ISNUMBER(R2557),R2557&lt;TODAY()),AND(OR(N2557="PENDENTE",N2557="PARCIAL"),D2557&lt;TODAY()-1)),"CRÍTICO",IF(OR(AND(P2557&lt;&gt;"",S2557=""),AND(N2557="REALIZADO",M2557="PENDENTE"),AND(ISNUMBER(R2557),R2557=TODAY())),"ATENÇÃO",IF(N(K2557)=0,"PENDENTE","EM ANDAMENTO"))))))</f>
        <v/>
      </c>
      <c r="C2557" s="3">
        <f>IF(D2557="","",IF(V2557=0,"🟢 OK",IF(D2557&lt;corte,"⚪ HISTÓRICO (sem baixa)",IF(AND(ISNUMBER(R2557),R2557&lt;TODAY()),"🔴 PRAZO VENCIDO",IF(AND(OR(N2557="PENDENTE",N2557="PARCIAL"),D2557&lt;TODAY()-1),"🔴 EMBARQUE ATRASADO",IF(AND(N2557="REALIZADO",M2557="PENDENTE"),"🟡 EMBARCADO SEM FATURAR",IF(AND(P2557&lt;&gt;"",S2557="",OR(Q2557="",R2557="")),"🟡 PENDÊNCIA SEM RESPONSÁVEL/PRAZO",IF(AND(ISNUMBER(R2557),R2557=TODAY()),"🟡 VENCE HOJE",IF(AND(P2557&lt;&gt;"",S2557=""),"🟡 PENDÊNCIA ABERTA",IF(AND(N(J2557)&gt;0,N(K2557)&lt;J2557),"🟡 FALTA EXECUTAR",IF(OR(M2557="PENDENTE",M2557="PARCIAL"),"🟡 FATURAMENTO PENDENTE","🟡 EMBARQUE PENDENTE")))))))))))</f>
        <v/>
      </c>
      <c r="D2557" s="4" t="n"/>
      <c r="E2557" s="5" t="n"/>
      <c r="F2557" s="5" t="n"/>
      <c r="G2557" s="5" t="n"/>
      <c r="H2557" s="5" t="n"/>
      <c r="I2557" s="5" t="n"/>
      <c r="J2557" s="6" t="n"/>
      <c r="K2557" s="6" t="n"/>
      <c r="L2557" s="7">
        <f>IF(OR(D2557="",N(J2557)=0),"",MIN(1,N(K2557)/J2557))</f>
        <v/>
      </c>
      <c r="M2557" s="5" t="n"/>
      <c r="N2557" s="5" t="n"/>
      <c r="O2557" s="5" t="n"/>
      <c r="P2557" s="5" t="n"/>
      <c r="Q2557" s="5" t="n"/>
      <c r="R2557" s="4" t="n"/>
      <c r="S2557" s="4" t="n"/>
      <c r="T2557" s="5" t="n"/>
      <c r="U2557" s="8">
        <f>IF(AND(V2557=1,D2557&lt;&gt;""),IF(D2557&gt;=corte,TODAY()-D2557,""),"")</f>
        <v/>
      </c>
      <c r="V2557" s="8">
        <f>IF(D2557="",0,IF(OR(AND(P2557&lt;&gt;"",S2557=""),AND(N(J2557)&gt;0,N(K2557)&lt;J2557),OR(M2557="PENDENTE",M2557="PARCIAL"),OR(N2557="PENDENTE",N2557="PARCIAL")),1,0))</f>
        <v/>
      </c>
      <c r="W2557" s="8">
        <f>IF(AND(V2557=1,D2557&lt;&gt;""),IF(D2557&gt;=corte,(B2557="CRÍTICO")*1E9+(100000-D2557)*10000+10000-ROW(),""),"")</f>
        <v/>
      </c>
      <c r="X2557" s="8">
        <f>IF(AND(V2557=1,D2557=pas_data,E2557=pas_turno),10000-ROW(),"")</f>
        <v/>
      </c>
    </row>
    <row r="2558">
      <c r="A2558" s="3">
        <f>IF(D2558="","","TT-"&amp;TEXT(ROW()-1,"00000"))</f>
        <v/>
      </c>
      <c r="B2558" s="3">
        <f>IF(D2558="","",IF(V2558=0,"CONCLUÍDO",IF(D2558&lt;corte,"HISTÓRICO",IF(OR(AND(ISNUMBER(R2558),R2558&lt;TODAY()),AND(OR(N2558="PENDENTE",N2558="PARCIAL"),D2558&lt;TODAY()-1)),"CRÍTICO",IF(OR(AND(P2558&lt;&gt;"",S2558=""),AND(N2558="REALIZADO",M2558="PENDENTE"),AND(ISNUMBER(R2558),R2558=TODAY())),"ATENÇÃO",IF(N(K2558)=0,"PENDENTE","EM ANDAMENTO"))))))</f>
        <v/>
      </c>
      <c r="C2558" s="3">
        <f>IF(D2558="","",IF(V2558=0,"🟢 OK",IF(D2558&lt;corte,"⚪ HISTÓRICO (sem baixa)",IF(AND(ISNUMBER(R2558),R2558&lt;TODAY()),"🔴 PRAZO VENCIDO",IF(AND(OR(N2558="PENDENTE",N2558="PARCIAL"),D2558&lt;TODAY()-1),"🔴 EMBARQUE ATRASADO",IF(AND(N2558="REALIZADO",M2558="PENDENTE"),"🟡 EMBARCADO SEM FATURAR",IF(AND(P2558&lt;&gt;"",S2558="",OR(Q2558="",R2558="")),"🟡 PENDÊNCIA SEM RESPONSÁVEL/PRAZO",IF(AND(ISNUMBER(R2558),R2558=TODAY()),"🟡 VENCE HOJE",IF(AND(P2558&lt;&gt;"",S2558=""),"🟡 PENDÊNCIA ABERTA",IF(AND(N(J2558)&gt;0,N(K2558)&lt;J2558),"🟡 FALTA EXECUTAR",IF(OR(M2558="PENDENTE",M2558="PARCIAL"),"🟡 FATURAMENTO PENDENTE","🟡 EMBARQUE PENDENTE")))))))))))</f>
        <v/>
      </c>
      <c r="D2558" s="4" t="n"/>
      <c r="E2558" s="5" t="n"/>
      <c r="F2558" s="5" t="n"/>
      <c r="G2558" s="5" t="n"/>
      <c r="H2558" s="5" t="n"/>
      <c r="I2558" s="5" t="n"/>
      <c r="J2558" s="6" t="n"/>
      <c r="K2558" s="6" t="n"/>
      <c r="L2558" s="7">
        <f>IF(OR(D2558="",N(J2558)=0),"",MIN(1,N(K2558)/J2558))</f>
        <v/>
      </c>
      <c r="M2558" s="5" t="n"/>
      <c r="N2558" s="5" t="n"/>
      <c r="O2558" s="5" t="n"/>
      <c r="P2558" s="5" t="n"/>
      <c r="Q2558" s="5" t="n"/>
      <c r="R2558" s="4" t="n"/>
      <c r="S2558" s="4" t="n"/>
      <c r="T2558" s="5" t="n"/>
      <c r="U2558" s="8">
        <f>IF(AND(V2558=1,D2558&lt;&gt;""),IF(D2558&gt;=corte,TODAY()-D2558,""),"")</f>
        <v/>
      </c>
      <c r="V2558" s="8">
        <f>IF(D2558="",0,IF(OR(AND(P2558&lt;&gt;"",S2558=""),AND(N(J2558)&gt;0,N(K2558)&lt;J2558),OR(M2558="PENDENTE",M2558="PARCIAL"),OR(N2558="PENDENTE",N2558="PARCIAL")),1,0))</f>
        <v/>
      </c>
      <c r="W2558" s="8">
        <f>IF(AND(V2558=1,D2558&lt;&gt;""),IF(D2558&gt;=corte,(B2558="CRÍTICO")*1E9+(100000-D2558)*10000+10000-ROW(),""),"")</f>
        <v/>
      </c>
      <c r="X2558" s="8">
        <f>IF(AND(V2558=1,D2558=pas_data,E2558=pas_turno),10000-ROW(),"")</f>
        <v/>
      </c>
    </row>
    <row r="2559">
      <c r="A2559" s="3">
        <f>IF(D2559="","","TT-"&amp;TEXT(ROW()-1,"00000"))</f>
        <v/>
      </c>
      <c r="B2559" s="3">
        <f>IF(D2559="","",IF(V2559=0,"CONCLUÍDO",IF(D2559&lt;corte,"HISTÓRICO",IF(OR(AND(ISNUMBER(R2559),R2559&lt;TODAY()),AND(OR(N2559="PENDENTE",N2559="PARCIAL"),D2559&lt;TODAY()-1)),"CRÍTICO",IF(OR(AND(P2559&lt;&gt;"",S2559=""),AND(N2559="REALIZADO",M2559="PENDENTE"),AND(ISNUMBER(R2559),R2559=TODAY())),"ATENÇÃO",IF(N(K2559)=0,"PENDENTE","EM ANDAMENTO"))))))</f>
        <v/>
      </c>
      <c r="C2559" s="3">
        <f>IF(D2559="","",IF(V2559=0,"🟢 OK",IF(D2559&lt;corte,"⚪ HISTÓRICO (sem baixa)",IF(AND(ISNUMBER(R2559),R2559&lt;TODAY()),"🔴 PRAZO VENCIDO",IF(AND(OR(N2559="PENDENTE",N2559="PARCIAL"),D2559&lt;TODAY()-1),"🔴 EMBARQUE ATRASADO",IF(AND(N2559="REALIZADO",M2559="PENDENTE"),"🟡 EMBARCADO SEM FATURAR",IF(AND(P2559&lt;&gt;"",S2559="",OR(Q2559="",R2559="")),"🟡 PENDÊNCIA SEM RESPONSÁVEL/PRAZO",IF(AND(ISNUMBER(R2559),R2559=TODAY()),"🟡 VENCE HOJE",IF(AND(P2559&lt;&gt;"",S2559=""),"🟡 PENDÊNCIA ABERTA",IF(AND(N(J2559)&gt;0,N(K2559)&lt;J2559),"🟡 FALTA EXECUTAR",IF(OR(M2559="PENDENTE",M2559="PARCIAL"),"🟡 FATURAMENTO PENDENTE","🟡 EMBARQUE PENDENTE")))))))))))</f>
        <v/>
      </c>
      <c r="D2559" s="4" t="n"/>
      <c r="E2559" s="5" t="n"/>
      <c r="F2559" s="5" t="n"/>
      <c r="G2559" s="5" t="n"/>
      <c r="H2559" s="5" t="n"/>
      <c r="I2559" s="5" t="n"/>
      <c r="J2559" s="6" t="n"/>
      <c r="K2559" s="6" t="n"/>
      <c r="L2559" s="7">
        <f>IF(OR(D2559="",N(J2559)=0),"",MIN(1,N(K2559)/J2559))</f>
        <v/>
      </c>
      <c r="M2559" s="5" t="n"/>
      <c r="N2559" s="5" t="n"/>
      <c r="O2559" s="5" t="n"/>
      <c r="P2559" s="5" t="n"/>
      <c r="Q2559" s="5" t="n"/>
      <c r="R2559" s="4" t="n"/>
      <c r="S2559" s="4" t="n"/>
      <c r="T2559" s="5" t="n"/>
      <c r="U2559" s="8">
        <f>IF(AND(V2559=1,D2559&lt;&gt;""),IF(D2559&gt;=corte,TODAY()-D2559,""),"")</f>
        <v/>
      </c>
      <c r="V2559" s="8">
        <f>IF(D2559="",0,IF(OR(AND(P2559&lt;&gt;"",S2559=""),AND(N(J2559)&gt;0,N(K2559)&lt;J2559),OR(M2559="PENDENTE",M2559="PARCIAL"),OR(N2559="PENDENTE",N2559="PARCIAL")),1,0))</f>
        <v/>
      </c>
      <c r="W2559" s="8">
        <f>IF(AND(V2559=1,D2559&lt;&gt;""),IF(D2559&gt;=corte,(B2559="CRÍTICO")*1E9+(100000-D2559)*10000+10000-ROW(),""),"")</f>
        <v/>
      </c>
      <c r="X2559" s="8">
        <f>IF(AND(V2559=1,D2559=pas_data,E2559=pas_turno),10000-ROW(),"")</f>
        <v/>
      </c>
    </row>
    <row r="2560">
      <c r="A2560" s="3">
        <f>IF(D2560="","","TT-"&amp;TEXT(ROW()-1,"00000"))</f>
        <v/>
      </c>
      <c r="B2560" s="3">
        <f>IF(D2560="","",IF(V2560=0,"CONCLUÍDO",IF(D2560&lt;corte,"HISTÓRICO",IF(OR(AND(ISNUMBER(R2560),R2560&lt;TODAY()),AND(OR(N2560="PENDENTE",N2560="PARCIAL"),D2560&lt;TODAY()-1)),"CRÍTICO",IF(OR(AND(P2560&lt;&gt;"",S2560=""),AND(N2560="REALIZADO",M2560="PENDENTE"),AND(ISNUMBER(R2560),R2560=TODAY())),"ATENÇÃO",IF(N(K2560)=0,"PENDENTE","EM ANDAMENTO"))))))</f>
        <v/>
      </c>
      <c r="C2560" s="3">
        <f>IF(D2560="","",IF(V2560=0,"🟢 OK",IF(D2560&lt;corte,"⚪ HISTÓRICO (sem baixa)",IF(AND(ISNUMBER(R2560),R2560&lt;TODAY()),"🔴 PRAZO VENCIDO",IF(AND(OR(N2560="PENDENTE",N2560="PARCIAL"),D2560&lt;TODAY()-1),"🔴 EMBARQUE ATRASADO",IF(AND(N2560="REALIZADO",M2560="PENDENTE"),"🟡 EMBARCADO SEM FATURAR",IF(AND(P2560&lt;&gt;"",S2560="",OR(Q2560="",R2560="")),"🟡 PENDÊNCIA SEM RESPONSÁVEL/PRAZO",IF(AND(ISNUMBER(R2560),R2560=TODAY()),"🟡 VENCE HOJE",IF(AND(P2560&lt;&gt;"",S2560=""),"🟡 PENDÊNCIA ABERTA",IF(AND(N(J2560)&gt;0,N(K2560)&lt;J2560),"🟡 FALTA EXECUTAR",IF(OR(M2560="PENDENTE",M2560="PARCIAL"),"🟡 FATURAMENTO PENDENTE","🟡 EMBARQUE PENDENTE")))))))))))</f>
        <v/>
      </c>
      <c r="D2560" s="4" t="n"/>
      <c r="E2560" s="5" t="n"/>
      <c r="F2560" s="5" t="n"/>
      <c r="G2560" s="5" t="n"/>
      <c r="H2560" s="5" t="n"/>
      <c r="I2560" s="5" t="n"/>
      <c r="J2560" s="6" t="n"/>
      <c r="K2560" s="6" t="n"/>
      <c r="L2560" s="7">
        <f>IF(OR(D2560="",N(J2560)=0),"",MIN(1,N(K2560)/J2560))</f>
        <v/>
      </c>
      <c r="M2560" s="5" t="n"/>
      <c r="N2560" s="5" t="n"/>
      <c r="O2560" s="5" t="n"/>
      <c r="P2560" s="5" t="n"/>
      <c r="Q2560" s="5" t="n"/>
      <c r="R2560" s="4" t="n"/>
      <c r="S2560" s="4" t="n"/>
      <c r="T2560" s="5" t="n"/>
      <c r="U2560" s="8">
        <f>IF(AND(V2560=1,D2560&lt;&gt;""),IF(D2560&gt;=corte,TODAY()-D2560,""),"")</f>
        <v/>
      </c>
      <c r="V2560" s="8">
        <f>IF(D2560="",0,IF(OR(AND(P2560&lt;&gt;"",S2560=""),AND(N(J2560)&gt;0,N(K2560)&lt;J2560),OR(M2560="PENDENTE",M2560="PARCIAL"),OR(N2560="PENDENTE",N2560="PARCIAL")),1,0))</f>
        <v/>
      </c>
      <c r="W2560" s="8">
        <f>IF(AND(V2560=1,D2560&lt;&gt;""),IF(D2560&gt;=corte,(B2560="CRÍTICO")*1E9+(100000-D2560)*10000+10000-ROW(),""),"")</f>
        <v/>
      </c>
      <c r="X2560" s="8">
        <f>IF(AND(V2560=1,D2560=pas_data,E2560=pas_turno),10000-ROW(),"")</f>
        <v/>
      </c>
    </row>
    <row r="2561">
      <c r="A2561" s="3">
        <f>IF(D2561="","","TT-"&amp;TEXT(ROW()-1,"00000"))</f>
        <v/>
      </c>
      <c r="B2561" s="3">
        <f>IF(D2561="","",IF(V2561=0,"CONCLUÍDO",IF(D2561&lt;corte,"HISTÓRICO",IF(OR(AND(ISNUMBER(R2561),R2561&lt;TODAY()),AND(OR(N2561="PENDENTE",N2561="PARCIAL"),D2561&lt;TODAY()-1)),"CRÍTICO",IF(OR(AND(P2561&lt;&gt;"",S2561=""),AND(N2561="REALIZADO",M2561="PENDENTE"),AND(ISNUMBER(R2561),R2561=TODAY())),"ATENÇÃO",IF(N(K2561)=0,"PENDENTE","EM ANDAMENTO"))))))</f>
        <v/>
      </c>
      <c r="C2561" s="3">
        <f>IF(D2561="","",IF(V2561=0,"🟢 OK",IF(D2561&lt;corte,"⚪ HISTÓRICO (sem baixa)",IF(AND(ISNUMBER(R2561),R2561&lt;TODAY()),"🔴 PRAZO VENCIDO",IF(AND(OR(N2561="PENDENTE",N2561="PARCIAL"),D2561&lt;TODAY()-1),"🔴 EMBARQUE ATRASADO",IF(AND(N2561="REALIZADO",M2561="PENDENTE"),"🟡 EMBARCADO SEM FATURAR",IF(AND(P2561&lt;&gt;"",S2561="",OR(Q2561="",R2561="")),"🟡 PENDÊNCIA SEM RESPONSÁVEL/PRAZO",IF(AND(ISNUMBER(R2561),R2561=TODAY()),"🟡 VENCE HOJE",IF(AND(P2561&lt;&gt;"",S2561=""),"🟡 PENDÊNCIA ABERTA",IF(AND(N(J2561)&gt;0,N(K2561)&lt;J2561),"🟡 FALTA EXECUTAR",IF(OR(M2561="PENDENTE",M2561="PARCIAL"),"🟡 FATURAMENTO PENDENTE","🟡 EMBARQUE PENDENTE")))))))))))</f>
        <v/>
      </c>
      <c r="D2561" s="4" t="n"/>
      <c r="E2561" s="5" t="n"/>
      <c r="F2561" s="5" t="n"/>
      <c r="G2561" s="5" t="n"/>
      <c r="H2561" s="5" t="n"/>
      <c r="I2561" s="5" t="n"/>
      <c r="J2561" s="6" t="n"/>
      <c r="K2561" s="6" t="n"/>
      <c r="L2561" s="7">
        <f>IF(OR(D2561="",N(J2561)=0),"",MIN(1,N(K2561)/J2561))</f>
        <v/>
      </c>
      <c r="M2561" s="5" t="n"/>
      <c r="N2561" s="5" t="n"/>
      <c r="O2561" s="5" t="n"/>
      <c r="P2561" s="5" t="n"/>
      <c r="Q2561" s="5" t="n"/>
      <c r="R2561" s="4" t="n"/>
      <c r="S2561" s="4" t="n"/>
      <c r="T2561" s="5" t="n"/>
      <c r="U2561" s="8">
        <f>IF(AND(V2561=1,D2561&lt;&gt;""),IF(D2561&gt;=corte,TODAY()-D2561,""),"")</f>
        <v/>
      </c>
      <c r="V2561" s="8">
        <f>IF(D2561="",0,IF(OR(AND(P2561&lt;&gt;"",S2561=""),AND(N(J2561)&gt;0,N(K2561)&lt;J2561),OR(M2561="PENDENTE",M2561="PARCIAL"),OR(N2561="PENDENTE",N2561="PARCIAL")),1,0))</f>
        <v/>
      </c>
      <c r="W2561" s="8">
        <f>IF(AND(V2561=1,D2561&lt;&gt;""),IF(D2561&gt;=corte,(B2561="CRÍTICO")*1E9+(100000-D2561)*10000+10000-ROW(),""),"")</f>
        <v/>
      </c>
      <c r="X2561" s="8">
        <f>IF(AND(V2561=1,D2561=pas_data,E2561=pas_turno),10000-ROW(),"")</f>
        <v/>
      </c>
    </row>
    <row r="2562">
      <c r="A2562" s="3">
        <f>IF(D2562="","","TT-"&amp;TEXT(ROW()-1,"00000"))</f>
        <v/>
      </c>
      <c r="B2562" s="3">
        <f>IF(D2562="","",IF(V2562=0,"CONCLUÍDO",IF(D2562&lt;corte,"HISTÓRICO",IF(OR(AND(ISNUMBER(R2562),R2562&lt;TODAY()),AND(OR(N2562="PENDENTE",N2562="PARCIAL"),D2562&lt;TODAY()-1)),"CRÍTICO",IF(OR(AND(P2562&lt;&gt;"",S2562=""),AND(N2562="REALIZADO",M2562="PENDENTE"),AND(ISNUMBER(R2562),R2562=TODAY())),"ATENÇÃO",IF(N(K2562)=0,"PENDENTE","EM ANDAMENTO"))))))</f>
        <v/>
      </c>
      <c r="C2562" s="3">
        <f>IF(D2562="","",IF(V2562=0,"🟢 OK",IF(D2562&lt;corte,"⚪ HISTÓRICO (sem baixa)",IF(AND(ISNUMBER(R2562),R2562&lt;TODAY()),"🔴 PRAZO VENCIDO",IF(AND(OR(N2562="PENDENTE",N2562="PARCIAL"),D2562&lt;TODAY()-1),"🔴 EMBARQUE ATRASADO",IF(AND(N2562="REALIZADO",M2562="PENDENTE"),"🟡 EMBARCADO SEM FATURAR",IF(AND(P2562&lt;&gt;"",S2562="",OR(Q2562="",R2562="")),"🟡 PENDÊNCIA SEM RESPONSÁVEL/PRAZO",IF(AND(ISNUMBER(R2562),R2562=TODAY()),"🟡 VENCE HOJE",IF(AND(P2562&lt;&gt;"",S2562=""),"🟡 PENDÊNCIA ABERTA",IF(AND(N(J2562)&gt;0,N(K2562)&lt;J2562),"🟡 FALTA EXECUTAR",IF(OR(M2562="PENDENTE",M2562="PARCIAL"),"🟡 FATURAMENTO PENDENTE","🟡 EMBARQUE PENDENTE")))))))))))</f>
        <v/>
      </c>
      <c r="D2562" s="4" t="n"/>
      <c r="E2562" s="5" t="n"/>
      <c r="F2562" s="5" t="n"/>
      <c r="G2562" s="5" t="n"/>
      <c r="H2562" s="5" t="n"/>
      <c r="I2562" s="5" t="n"/>
      <c r="J2562" s="6" t="n"/>
      <c r="K2562" s="6" t="n"/>
      <c r="L2562" s="7">
        <f>IF(OR(D2562="",N(J2562)=0),"",MIN(1,N(K2562)/J2562))</f>
        <v/>
      </c>
      <c r="M2562" s="5" t="n"/>
      <c r="N2562" s="5" t="n"/>
      <c r="O2562" s="5" t="n"/>
      <c r="P2562" s="5" t="n"/>
      <c r="Q2562" s="5" t="n"/>
      <c r="R2562" s="4" t="n"/>
      <c r="S2562" s="4" t="n"/>
      <c r="T2562" s="5" t="n"/>
      <c r="U2562" s="8">
        <f>IF(AND(V2562=1,D2562&lt;&gt;""),IF(D2562&gt;=corte,TODAY()-D2562,""),"")</f>
        <v/>
      </c>
      <c r="V2562" s="8">
        <f>IF(D2562="",0,IF(OR(AND(P2562&lt;&gt;"",S2562=""),AND(N(J2562)&gt;0,N(K2562)&lt;J2562),OR(M2562="PENDENTE",M2562="PARCIAL"),OR(N2562="PENDENTE",N2562="PARCIAL")),1,0))</f>
        <v/>
      </c>
      <c r="W2562" s="8">
        <f>IF(AND(V2562=1,D2562&lt;&gt;""),IF(D2562&gt;=corte,(B2562="CRÍTICO")*1E9+(100000-D2562)*10000+10000-ROW(),""),"")</f>
        <v/>
      </c>
      <c r="X2562" s="8">
        <f>IF(AND(V2562=1,D2562=pas_data,E2562=pas_turno),10000-ROW(),"")</f>
        <v/>
      </c>
    </row>
    <row r="2563">
      <c r="A2563" s="3">
        <f>IF(D2563="","","TT-"&amp;TEXT(ROW()-1,"00000"))</f>
        <v/>
      </c>
      <c r="B2563" s="3">
        <f>IF(D2563="","",IF(V2563=0,"CONCLUÍDO",IF(D2563&lt;corte,"HISTÓRICO",IF(OR(AND(ISNUMBER(R2563),R2563&lt;TODAY()),AND(OR(N2563="PENDENTE",N2563="PARCIAL"),D2563&lt;TODAY()-1)),"CRÍTICO",IF(OR(AND(P2563&lt;&gt;"",S2563=""),AND(N2563="REALIZADO",M2563="PENDENTE"),AND(ISNUMBER(R2563),R2563=TODAY())),"ATENÇÃO",IF(N(K2563)=0,"PENDENTE","EM ANDAMENTO"))))))</f>
        <v/>
      </c>
      <c r="C2563" s="3">
        <f>IF(D2563="","",IF(V2563=0,"🟢 OK",IF(D2563&lt;corte,"⚪ HISTÓRICO (sem baixa)",IF(AND(ISNUMBER(R2563),R2563&lt;TODAY()),"🔴 PRAZO VENCIDO",IF(AND(OR(N2563="PENDENTE",N2563="PARCIAL"),D2563&lt;TODAY()-1),"🔴 EMBARQUE ATRASADO",IF(AND(N2563="REALIZADO",M2563="PENDENTE"),"🟡 EMBARCADO SEM FATURAR",IF(AND(P2563&lt;&gt;"",S2563="",OR(Q2563="",R2563="")),"🟡 PENDÊNCIA SEM RESPONSÁVEL/PRAZO",IF(AND(ISNUMBER(R2563),R2563=TODAY()),"🟡 VENCE HOJE",IF(AND(P2563&lt;&gt;"",S2563=""),"🟡 PENDÊNCIA ABERTA",IF(AND(N(J2563)&gt;0,N(K2563)&lt;J2563),"🟡 FALTA EXECUTAR",IF(OR(M2563="PENDENTE",M2563="PARCIAL"),"🟡 FATURAMENTO PENDENTE","🟡 EMBARQUE PENDENTE")))))))))))</f>
        <v/>
      </c>
      <c r="D2563" s="4" t="n"/>
      <c r="E2563" s="5" t="n"/>
      <c r="F2563" s="5" t="n"/>
      <c r="G2563" s="5" t="n"/>
      <c r="H2563" s="5" t="n"/>
      <c r="I2563" s="5" t="n"/>
      <c r="J2563" s="6" t="n"/>
      <c r="K2563" s="6" t="n"/>
      <c r="L2563" s="7">
        <f>IF(OR(D2563="",N(J2563)=0),"",MIN(1,N(K2563)/J2563))</f>
        <v/>
      </c>
      <c r="M2563" s="5" t="n"/>
      <c r="N2563" s="5" t="n"/>
      <c r="O2563" s="5" t="n"/>
      <c r="P2563" s="5" t="n"/>
      <c r="Q2563" s="5" t="n"/>
      <c r="R2563" s="4" t="n"/>
      <c r="S2563" s="4" t="n"/>
      <c r="T2563" s="5" t="n"/>
      <c r="U2563" s="8">
        <f>IF(AND(V2563=1,D2563&lt;&gt;""),IF(D2563&gt;=corte,TODAY()-D2563,""),"")</f>
        <v/>
      </c>
      <c r="V2563" s="8">
        <f>IF(D2563="",0,IF(OR(AND(P2563&lt;&gt;"",S2563=""),AND(N(J2563)&gt;0,N(K2563)&lt;J2563),OR(M2563="PENDENTE",M2563="PARCIAL"),OR(N2563="PENDENTE",N2563="PARCIAL")),1,0))</f>
        <v/>
      </c>
      <c r="W2563" s="8">
        <f>IF(AND(V2563=1,D2563&lt;&gt;""),IF(D2563&gt;=corte,(B2563="CRÍTICO")*1E9+(100000-D2563)*10000+10000-ROW(),""),"")</f>
        <v/>
      </c>
      <c r="X2563" s="8">
        <f>IF(AND(V2563=1,D2563=pas_data,E2563=pas_turno),10000-ROW(),"")</f>
        <v/>
      </c>
    </row>
    <row r="2564">
      <c r="A2564" s="3">
        <f>IF(D2564="","","TT-"&amp;TEXT(ROW()-1,"00000"))</f>
        <v/>
      </c>
      <c r="B2564" s="3">
        <f>IF(D2564="","",IF(V2564=0,"CONCLUÍDO",IF(D2564&lt;corte,"HISTÓRICO",IF(OR(AND(ISNUMBER(R2564),R2564&lt;TODAY()),AND(OR(N2564="PENDENTE",N2564="PARCIAL"),D2564&lt;TODAY()-1)),"CRÍTICO",IF(OR(AND(P2564&lt;&gt;"",S2564=""),AND(N2564="REALIZADO",M2564="PENDENTE"),AND(ISNUMBER(R2564),R2564=TODAY())),"ATENÇÃO",IF(N(K2564)=0,"PENDENTE","EM ANDAMENTO"))))))</f>
        <v/>
      </c>
      <c r="C2564" s="3">
        <f>IF(D2564="","",IF(V2564=0,"🟢 OK",IF(D2564&lt;corte,"⚪ HISTÓRICO (sem baixa)",IF(AND(ISNUMBER(R2564),R2564&lt;TODAY()),"🔴 PRAZO VENCIDO",IF(AND(OR(N2564="PENDENTE",N2564="PARCIAL"),D2564&lt;TODAY()-1),"🔴 EMBARQUE ATRASADO",IF(AND(N2564="REALIZADO",M2564="PENDENTE"),"🟡 EMBARCADO SEM FATURAR",IF(AND(P2564&lt;&gt;"",S2564="",OR(Q2564="",R2564="")),"🟡 PENDÊNCIA SEM RESPONSÁVEL/PRAZO",IF(AND(ISNUMBER(R2564),R2564=TODAY()),"🟡 VENCE HOJE",IF(AND(P2564&lt;&gt;"",S2564=""),"🟡 PENDÊNCIA ABERTA",IF(AND(N(J2564)&gt;0,N(K2564)&lt;J2564),"🟡 FALTA EXECUTAR",IF(OR(M2564="PENDENTE",M2564="PARCIAL"),"🟡 FATURAMENTO PENDENTE","🟡 EMBARQUE PENDENTE")))))))))))</f>
        <v/>
      </c>
      <c r="D2564" s="4" t="n"/>
      <c r="E2564" s="5" t="n"/>
      <c r="F2564" s="5" t="n"/>
      <c r="G2564" s="5" t="n"/>
      <c r="H2564" s="5" t="n"/>
      <c r="I2564" s="5" t="n"/>
      <c r="J2564" s="6" t="n"/>
      <c r="K2564" s="6" t="n"/>
      <c r="L2564" s="7">
        <f>IF(OR(D2564="",N(J2564)=0),"",MIN(1,N(K2564)/J2564))</f>
        <v/>
      </c>
      <c r="M2564" s="5" t="n"/>
      <c r="N2564" s="5" t="n"/>
      <c r="O2564" s="5" t="n"/>
      <c r="P2564" s="5" t="n"/>
      <c r="Q2564" s="5" t="n"/>
      <c r="R2564" s="4" t="n"/>
      <c r="S2564" s="4" t="n"/>
      <c r="T2564" s="5" t="n"/>
      <c r="U2564" s="8">
        <f>IF(AND(V2564=1,D2564&lt;&gt;""),IF(D2564&gt;=corte,TODAY()-D2564,""),"")</f>
        <v/>
      </c>
      <c r="V2564" s="8">
        <f>IF(D2564="",0,IF(OR(AND(P2564&lt;&gt;"",S2564=""),AND(N(J2564)&gt;0,N(K2564)&lt;J2564),OR(M2564="PENDENTE",M2564="PARCIAL"),OR(N2564="PENDENTE",N2564="PARCIAL")),1,0))</f>
        <v/>
      </c>
      <c r="W2564" s="8">
        <f>IF(AND(V2564=1,D2564&lt;&gt;""),IF(D2564&gt;=corte,(B2564="CRÍTICO")*1E9+(100000-D2564)*10000+10000-ROW(),""),"")</f>
        <v/>
      </c>
      <c r="X2564" s="8">
        <f>IF(AND(V2564=1,D2564=pas_data,E2564=pas_turno),10000-ROW(),"")</f>
        <v/>
      </c>
    </row>
    <row r="2565">
      <c r="A2565" s="3">
        <f>IF(D2565="","","TT-"&amp;TEXT(ROW()-1,"00000"))</f>
        <v/>
      </c>
      <c r="B2565" s="3">
        <f>IF(D2565="","",IF(V2565=0,"CONCLUÍDO",IF(D2565&lt;corte,"HISTÓRICO",IF(OR(AND(ISNUMBER(R2565),R2565&lt;TODAY()),AND(OR(N2565="PENDENTE",N2565="PARCIAL"),D2565&lt;TODAY()-1)),"CRÍTICO",IF(OR(AND(P2565&lt;&gt;"",S2565=""),AND(N2565="REALIZADO",M2565="PENDENTE"),AND(ISNUMBER(R2565),R2565=TODAY())),"ATENÇÃO",IF(N(K2565)=0,"PENDENTE","EM ANDAMENTO"))))))</f>
        <v/>
      </c>
      <c r="C2565" s="3">
        <f>IF(D2565="","",IF(V2565=0,"🟢 OK",IF(D2565&lt;corte,"⚪ HISTÓRICO (sem baixa)",IF(AND(ISNUMBER(R2565),R2565&lt;TODAY()),"🔴 PRAZO VENCIDO",IF(AND(OR(N2565="PENDENTE",N2565="PARCIAL"),D2565&lt;TODAY()-1),"🔴 EMBARQUE ATRASADO",IF(AND(N2565="REALIZADO",M2565="PENDENTE"),"🟡 EMBARCADO SEM FATURAR",IF(AND(P2565&lt;&gt;"",S2565="",OR(Q2565="",R2565="")),"🟡 PENDÊNCIA SEM RESPONSÁVEL/PRAZO",IF(AND(ISNUMBER(R2565),R2565=TODAY()),"🟡 VENCE HOJE",IF(AND(P2565&lt;&gt;"",S2565=""),"🟡 PENDÊNCIA ABERTA",IF(AND(N(J2565)&gt;0,N(K2565)&lt;J2565),"🟡 FALTA EXECUTAR",IF(OR(M2565="PENDENTE",M2565="PARCIAL"),"🟡 FATURAMENTO PENDENTE","🟡 EMBARQUE PENDENTE")))))))))))</f>
        <v/>
      </c>
      <c r="D2565" s="4" t="n"/>
      <c r="E2565" s="5" t="n"/>
      <c r="F2565" s="5" t="n"/>
      <c r="G2565" s="5" t="n"/>
      <c r="H2565" s="5" t="n"/>
      <c r="I2565" s="5" t="n"/>
      <c r="J2565" s="6" t="n"/>
      <c r="K2565" s="6" t="n"/>
      <c r="L2565" s="7">
        <f>IF(OR(D2565="",N(J2565)=0),"",MIN(1,N(K2565)/J2565))</f>
        <v/>
      </c>
      <c r="M2565" s="5" t="n"/>
      <c r="N2565" s="5" t="n"/>
      <c r="O2565" s="5" t="n"/>
      <c r="P2565" s="5" t="n"/>
      <c r="Q2565" s="5" t="n"/>
      <c r="R2565" s="4" t="n"/>
      <c r="S2565" s="4" t="n"/>
      <c r="T2565" s="5" t="n"/>
      <c r="U2565" s="8">
        <f>IF(AND(V2565=1,D2565&lt;&gt;""),IF(D2565&gt;=corte,TODAY()-D2565,""),"")</f>
        <v/>
      </c>
      <c r="V2565" s="8">
        <f>IF(D2565="",0,IF(OR(AND(P2565&lt;&gt;"",S2565=""),AND(N(J2565)&gt;0,N(K2565)&lt;J2565),OR(M2565="PENDENTE",M2565="PARCIAL"),OR(N2565="PENDENTE",N2565="PARCIAL")),1,0))</f>
        <v/>
      </c>
      <c r="W2565" s="8">
        <f>IF(AND(V2565=1,D2565&lt;&gt;""),IF(D2565&gt;=corte,(B2565="CRÍTICO")*1E9+(100000-D2565)*10000+10000-ROW(),""),"")</f>
        <v/>
      </c>
      <c r="X2565" s="8">
        <f>IF(AND(V2565=1,D2565=pas_data,E2565=pas_turno),10000-ROW(),"")</f>
        <v/>
      </c>
    </row>
    <row r="2566">
      <c r="A2566" s="3">
        <f>IF(D2566="","","TT-"&amp;TEXT(ROW()-1,"00000"))</f>
        <v/>
      </c>
      <c r="B2566" s="3">
        <f>IF(D2566="","",IF(V2566=0,"CONCLUÍDO",IF(D2566&lt;corte,"HISTÓRICO",IF(OR(AND(ISNUMBER(R2566),R2566&lt;TODAY()),AND(OR(N2566="PENDENTE",N2566="PARCIAL"),D2566&lt;TODAY()-1)),"CRÍTICO",IF(OR(AND(P2566&lt;&gt;"",S2566=""),AND(N2566="REALIZADO",M2566="PENDENTE"),AND(ISNUMBER(R2566),R2566=TODAY())),"ATENÇÃO",IF(N(K2566)=0,"PENDENTE","EM ANDAMENTO"))))))</f>
        <v/>
      </c>
      <c r="C2566" s="3">
        <f>IF(D2566="","",IF(V2566=0,"🟢 OK",IF(D2566&lt;corte,"⚪ HISTÓRICO (sem baixa)",IF(AND(ISNUMBER(R2566),R2566&lt;TODAY()),"🔴 PRAZO VENCIDO",IF(AND(OR(N2566="PENDENTE",N2566="PARCIAL"),D2566&lt;TODAY()-1),"🔴 EMBARQUE ATRASADO",IF(AND(N2566="REALIZADO",M2566="PENDENTE"),"🟡 EMBARCADO SEM FATURAR",IF(AND(P2566&lt;&gt;"",S2566="",OR(Q2566="",R2566="")),"🟡 PENDÊNCIA SEM RESPONSÁVEL/PRAZO",IF(AND(ISNUMBER(R2566),R2566=TODAY()),"🟡 VENCE HOJE",IF(AND(P2566&lt;&gt;"",S2566=""),"🟡 PENDÊNCIA ABERTA",IF(AND(N(J2566)&gt;0,N(K2566)&lt;J2566),"🟡 FALTA EXECUTAR",IF(OR(M2566="PENDENTE",M2566="PARCIAL"),"🟡 FATURAMENTO PENDENTE","🟡 EMBARQUE PENDENTE")))))))))))</f>
        <v/>
      </c>
      <c r="D2566" s="4" t="n"/>
      <c r="E2566" s="5" t="n"/>
      <c r="F2566" s="5" t="n"/>
      <c r="G2566" s="5" t="n"/>
      <c r="H2566" s="5" t="n"/>
      <c r="I2566" s="5" t="n"/>
      <c r="J2566" s="6" t="n"/>
      <c r="K2566" s="6" t="n"/>
      <c r="L2566" s="7">
        <f>IF(OR(D2566="",N(J2566)=0),"",MIN(1,N(K2566)/J2566))</f>
        <v/>
      </c>
      <c r="M2566" s="5" t="n"/>
      <c r="N2566" s="5" t="n"/>
      <c r="O2566" s="5" t="n"/>
      <c r="P2566" s="5" t="n"/>
      <c r="Q2566" s="5" t="n"/>
      <c r="R2566" s="4" t="n"/>
      <c r="S2566" s="4" t="n"/>
      <c r="T2566" s="5" t="n"/>
      <c r="U2566" s="8">
        <f>IF(AND(V2566=1,D2566&lt;&gt;""),IF(D2566&gt;=corte,TODAY()-D2566,""),"")</f>
        <v/>
      </c>
      <c r="V2566" s="8">
        <f>IF(D2566="",0,IF(OR(AND(P2566&lt;&gt;"",S2566=""),AND(N(J2566)&gt;0,N(K2566)&lt;J2566),OR(M2566="PENDENTE",M2566="PARCIAL"),OR(N2566="PENDENTE",N2566="PARCIAL")),1,0))</f>
        <v/>
      </c>
      <c r="W2566" s="8">
        <f>IF(AND(V2566=1,D2566&lt;&gt;""),IF(D2566&gt;=corte,(B2566="CRÍTICO")*1E9+(100000-D2566)*10000+10000-ROW(),""),"")</f>
        <v/>
      </c>
      <c r="X2566" s="8">
        <f>IF(AND(V2566=1,D2566=pas_data,E2566=pas_turno),10000-ROW(),"")</f>
        <v/>
      </c>
    </row>
    <row r="2567">
      <c r="A2567" s="3">
        <f>IF(D2567="","","TT-"&amp;TEXT(ROW()-1,"00000"))</f>
        <v/>
      </c>
      <c r="B2567" s="3">
        <f>IF(D2567="","",IF(V2567=0,"CONCLUÍDO",IF(D2567&lt;corte,"HISTÓRICO",IF(OR(AND(ISNUMBER(R2567),R2567&lt;TODAY()),AND(OR(N2567="PENDENTE",N2567="PARCIAL"),D2567&lt;TODAY()-1)),"CRÍTICO",IF(OR(AND(P2567&lt;&gt;"",S2567=""),AND(N2567="REALIZADO",M2567="PENDENTE"),AND(ISNUMBER(R2567),R2567=TODAY())),"ATENÇÃO",IF(N(K2567)=0,"PENDENTE","EM ANDAMENTO"))))))</f>
        <v/>
      </c>
      <c r="C2567" s="3">
        <f>IF(D2567="","",IF(V2567=0,"🟢 OK",IF(D2567&lt;corte,"⚪ HISTÓRICO (sem baixa)",IF(AND(ISNUMBER(R2567),R2567&lt;TODAY()),"🔴 PRAZO VENCIDO",IF(AND(OR(N2567="PENDENTE",N2567="PARCIAL"),D2567&lt;TODAY()-1),"🔴 EMBARQUE ATRASADO",IF(AND(N2567="REALIZADO",M2567="PENDENTE"),"🟡 EMBARCADO SEM FATURAR",IF(AND(P2567&lt;&gt;"",S2567="",OR(Q2567="",R2567="")),"🟡 PENDÊNCIA SEM RESPONSÁVEL/PRAZO",IF(AND(ISNUMBER(R2567),R2567=TODAY()),"🟡 VENCE HOJE",IF(AND(P2567&lt;&gt;"",S2567=""),"🟡 PENDÊNCIA ABERTA",IF(AND(N(J2567)&gt;0,N(K2567)&lt;J2567),"🟡 FALTA EXECUTAR",IF(OR(M2567="PENDENTE",M2567="PARCIAL"),"🟡 FATURAMENTO PENDENTE","🟡 EMBARQUE PENDENTE")))))))))))</f>
        <v/>
      </c>
      <c r="D2567" s="4" t="n"/>
      <c r="E2567" s="5" t="n"/>
      <c r="F2567" s="5" t="n"/>
      <c r="G2567" s="5" t="n"/>
      <c r="H2567" s="5" t="n"/>
      <c r="I2567" s="5" t="n"/>
      <c r="J2567" s="6" t="n"/>
      <c r="K2567" s="6" t="n"/>
      <c r="L2567" s="7">
        <f>IF(OR(D2567="",N(J2567)=0),"",MIN(1,N(K2567)/J2567))</f>
        <v/>
      </c>
      <c r="M2567" s="5" t="n"/>
      <c r="N2567" s="5" t="n"/>
      <c r="O2567" s="5" t="n"/>
      <c r="P2567" s="5" t="n"/>
      <c r="Q2567" s="5" t="n"/>
      <c r="R2567" s="4" t="n"/>
      <c r="S2567" s="4" t="n"/>
      <c r="T2567" s="5" t="n"/>
      <c r="U2567" s="8">
        <f>IF(AND(V2567=1,D2567&lt;&gt;""),IF(D2567&gt;=corte,TODAY()-D2567,""),"")</f>
        <v/>
      </c>
      <c r="V2567" s="8">
        <f>IF(D2567="",0,IF(OR(AND(P2567&lt;&gt;"",S2567=""),AND(N(J2567)&gt;0,N(K2567)&lt;J2567),OR(M2567="PENDENTE",M2567="PARCIAL"),OR(N2567="PENDENTE",N2567="PARCIAL")),1,0))</f>
        <v/>
      </c>
      <c r="W2567" s="8">
        <f>IF(AND(V2567=1,D2567&lt;&gt;""),IF(D2567&gt;=corte,(B2567="CRÍTICO")*1E9+(100000-D2567)*10000+10000-ROW(),""),"")</f>
        <v/>
      </c>
      <c r="X2567" s="8">
        <f>IF(AND(V2567=1,D2567=pas_data,E2567=pas_turno),10000-ROW(),"")</f>
        <v/>
      </c>
    </row>
    <row r="2568">
      <c r="A2568" s="3">
        <f>IF(D2568="","","TT-"&amp;TEXT(ROW()-1,"00000"))</f>
        <v/>
      </c>
      <c r="B2568" s="3">
        <f>IF(D2568="","",IF(V2568=0,"CONCLUÍDO",IF(D2568&lt;corte,"HISTÓRICO",IF(OR(AND(ISNUMBER(R2568),R2568&lt;TODAY()),AND(OR(N2568="PENDENTE",N2568="PARCIAL"),D2568&lt;TODAY()-1)),"CRÍTICO",IF(OR(AND(P2568&lt;&gt;"",S2568=""),AND(N2568="REALIZADO",M2568="PENDENTE"),AND(ISNUMBER(R2568),R2568=TODAY())),"ATENÇÃO",IF(N(K2568)=0,"PENDENTE","EM ANDAMENTO"))))))</f>
        <v/>
      </c>
      <c r="C2568" s="3">
        <f>IF(D2568="","",IF(V2568=0,"🟢 OK",IF(D2568&lt;corte,"⚪ HISTÓRICO (sem baixa)",IF(AND(ISNUMBER(R2568),R2568&lt;TODAY()),"🔴 PRAZO VENCIDO",IF(AND(OR(N2568="PENDENTE",N2568="PARCIAL"),D2568&lt;TODAY()-1),"🔴 EMBARQUE ATRASADO",IF(AND(N2568="REALIZADO",M2568="PENDENTE"),"🟡 EMBARCADO SEM FATURAR",IF(AND(P2568&lt;&gt;"",S2568="",OR(Q2568="",R2568="")),"🟡 PENDÊNCIA SEM RESPONSÁVEL/PRAZO",IF(AND(ISNUMBER(R2568),R2568=TODAY()),"🟡 VENCE HOJE",IF(AND(P2568&lt;&gt;"",S2568=""),"🟡 PENDÊNCIA ABERTA",IF(AND(N(J2568)&gt;0,N(K2568)&lt;J2568),"🟡 FALTA EXECUTAR",IF(OR(M2568="PENDENTE",M2568="PARCIAL"),"🟡 FATURAMENTO PENDENTE","🟡 EMBARQUE PENDENTE")))))))))))</f>
        <v/>
      </c>
      <c r="D2568" s="4" t="n"/>
      <c r="E2568" s="5" t="n"/>
      <c r="F2568" s="5" t="n"/>
      <c r="G2568" s="5" t="n"/>
      <c r="H2568" s="5" t="n"/>
      <c r="I2568" s="5" t="n"/>
      <c r="J2568" s="6" t="n"/>
      <c r="K2568" s="6" t="n"/>
      <c r="L2568" s="7">
        <f>IF(OR(D2568="",N(J2568)=0),"",MIN(1,N(K2568)/J2568))</f>
        <v/>
      </c>
      <c r="M2568" s="5" t="n"/>
      <c r="N2568" s="5" t="n"/>
      <c r="O2568" s="5" t="n"/>
      <c r="P2568" s="5" t="n"/>
      <c r="Q2568" s="5" t="n"/>
      <c r="R2568" s="4" t="n"/>
      <c r="S2568" s="4" t="n"/>
      <c r="T2568" s="5" t="n"/>
      <c r="U2568" s="8">
        <f>IF(AND(V2568=1,D2568&lt;&gt;""),IF(D2568&gt;=corte,TODAY()-D2568,""),"")</f>
        <v/>
      </c>
      <c r="V2568" s="8">
        <f>IF(D2568="",0,IF(OR(AND(P2568&lt;&gt;"",S2568=""),AND(N(J2568)&gt;0,N(K2568)&lt;J2568),OR(M2568="PENDENTE",M2568="PARCIAL"),OR(N2568="PENDENTE",N2568="PARCIAL")),1,0))</f>
        <v/>
      </c>
      <c r="W2568" s="8">
        <f>IF(AND(V2568=1,D2568&lt;&gt;""),IF(D2568&gt;=corte,(B2568="CRÍTICO")*1E9+(100000-D2568)*10000+10000-ROW(),""),"")</f>
        <v/>
      </c>
      <c r="X2568" s="8">
        <f>IF(AND(V2568=1,D2568=pas_data,E2568=pas_turno),10000-ROW(),"")</f>
        <v/>
      </c>
    </row>
    <row r="2569">
      <c r="A2569" s="3">
        <f>IF(D2569="","","TT-"&amp;TEXT(ROW()-1,"00000"))</f>
        <v/>
      </c>
      <c r="B2569" s="3">
        <f>IF(D2569="","",IF(V2569=0,"CONCLUÍDO",IF(D2569&lt;corte,"HISTÓRICO",IF(OR(AND(ISNUMBER(R2569),R2569&lt;TODAY()),AND(OR(N2569="PENDENTE",N2569="PARCIAL"),D2569&lt;TODAY()-1)),"CRÍTICO",IF(OR(AND(P2569&lt;&gt;"",S2569=""),AND(N2569="REALIZADO",M2569="PENDENTE"),AND(ISNUMBER(R2569),R2569=TODAY())),"ATENÇÃO",IF(N(K2569)=0,"PENDENTE","EM ANDAMENTO"))))))</f>
        <v/>
      </c>
      <c r="C2569" s="3">
        <f>IF(D2569="","",IF(V2569=0,"🟢 OK",IF(D2569&lt;corte,"⚪ HISTÓRICO (sem baixa)",IF(AND(ISNUMBER(R2569),R2569&lt;TODAY()),"🔴 PRAZO VENCIDO",IF(AND(OR(N2569="PENDENTE",N2569="PARCIAL"),D2569&lt;TODAY()-1),"🔴 EMBARQUE ATRASADO",IF(AND(N2569="REALIZADO",M2569="PENDENTE"),"🟡 EMBARCADO SEM FATURAR",IF(AND(P2569&lt;&gt;"",S2569="",OR(Q2569="",R2569="")),"🟡 PENDÊNCIA SEM RESPONSÁVEL/PRAZO",IF(AND(ISNUMBER(R2569),R2569=TODAY()),"🟡 VENCE HOJE",IF(AND(P2569&lt;&gt;"",S2569=""),"🟡 PENDÊNCIA ABERTA",IF(AND(N(J2569)&gt;0,N(K2569)&lt;J2569),"🟡 FALTA EXECUTAR",IF(OR(M2569="PENDENTE",M2569="PARCIAL"),"🟡 FATURAMENTO PENDENTE","🟡 EMBARQUE PENDENTE")))))))))))</f>
        <v/>
      </c>
      <c r="D2569" s="4" t="n"/>
      <c r="E2569" s="5" t="n"/>
      <c r="F2569" s="5" t="n"/>
      <c r="G2569" s="5" t="n"/>
      <c r="H2569" s="5" t="n"/>
      <c r="I2569" s="5" t="n"/>
      <c r="J2569" s="6" t="n"/>
      <c r="K2569" s="6" t="n"/>
      <c r="L2569" s="7">
        <f>IF(OR(D2569="",N(J2569)=0),"",MIN(1,N(K2569)/J2569))</f>
        <v/>
      </c>
      <c r="M2569" s="5" t="n"/>
      <c r="N2569" s="5" t="n"/>
      <c r="O2569" s="5" t="n"/>
      <c r="P2569" s="5" t="n"/>
      <c r="Q2569" s="5" t="n"/>
      <c r="R2569" s="4" t="n"/>
      <c r="S2569" s="4" t="n"/>
      <c r="T2569" s="5" t="n"/>
      <c r="U2569" s="8">
        <f>IF(AND(V2569=1,D2569&lt;&gt;""),IF(D2569&gt;=corte,TODAY()-D2569,""),"")</f>
        <v/>
      </c>
      <c r="V2569" s="8">
        <f>IF(D2569="",0,IF(OR(AND(P2569&lt;&gt;"",S2569=""),AND(N(J2569)&gt;0,N(K2569)&lt;J2569),OR(M2569="PENDENTE",M2569="PARCIAL"),OR(N2569="PENDENTE",N2569="PARCIAL")),1,0))</f>
        <v/>
      </c>
      <c r="W2569" s="8">
        <f>IF(AND(V2569=1,D2569&lt;&gt;""),IF(D2569&gt;=corte,(B2569="CRÍTICO")*1E9+(100000-D2569)*10000+10000-ROW(),""),"")</f>
        <v/>
      </c>
      <c r="X2569" s="8">
        <f>IF(AND(V2569=1,D2569=pas_data,E2569=pas_turno),10000-ROW(),"")</f>
        <v/>
      </c>
    </row>
    <row r="2570">
      <c r="A2570" s="3">
        <f>IF(D2570="","","TT-"&amp;TEXT(ROW()-1,"00000"))</f>
        <v/>
      </c>
      <c r="B2570" s="3">
        <f>IF(D2570="","",IF(V2570=0,"CONCLUÍDO",IF(D2570&lt;corte,"HISTÓRICO",IF(OR(AND(ISNUMBER(R2570),R2570&lt;TODAY()),AND(OR(N2570="PENDENTE",N2570="PARCIAL"),D2570&lt;TODAY()-1)),"CRÍTICO",IF(OR(AND(P2570&lt;&gt;"",S2570=""),AND(N2570="REALIZADO",M2570="PENDENTE"),AND(ISNUMBER(R2570),R2570=TODAY())),"ATENÇÃO",IF(N(K2570)=0,"PENDENTE","EM ANDAMENTO"))))))</f>
        <v/>
      </c>
      <c r="C2570" s="3">
        <f>IF(D2570="","",IF(V2570=0,"🟢 OK",IF(D2570&lt;corte,"⚪ HISTÓRICO (sem baixa)",IF(AND(ISNUMBER(R2570),R2570&lt;TODAY()),"🔴 PRAZO VENCIDO",IF(AND(OR(N2570="PENDENTE",N2570="PARCIAL"),D2570&lt;TODAY()-1),"🔴 EMBARQUE ATRASADO",IF(AND(N2570="REALIZADO",M2570="PENDENTE"),"🟡 EMBARCADO SEM FATURAR",IF(AND(P2570&lt;&gt;"",S2570="",OR(Q2570="",R2570="")),"🟡 PENDÊNCIA SEM RESPONSÁVEL/PRAZO",IF(AND(ISNUMBER(R2570),R2570=TODAY()),"🟡 VENCE HOJE",IF(AND(P2570&lt;&gt;"",S2570=""),"🟡 PENDÊNCIA ABERTA",IF(AND(N(J2570)&gt;0,N(K2570)&lt;J2570),"🟡 FALTA EXECUTAR",IF(OR(M2570="PENDENTE",M2570="PARCIAL"),"🟡 FATURAMENTO PENDENTE","🟡 EMBARQUE PENDENTE")))))))))))</f>
        <v/>
      </c>
      <c r="D2570" s="4" t="n"/>
      <c r="E2570" s="5" t="n"/>
      <c r="F2570" s="5" t="n"/>
      <c r="G2570" s="5" t="n"/>
      <c r="H2570" s="5" t="n"/>
      <c r="I2570" s="5" t="n"/>
      <c r="J2570" s="6" t="n"/>
      <c r="K2570" s="6" t="n"/>
      <c r="L2570" s="7">
        <f>IF(OR(D2570="",N(J2570)=0),"",MIN(1,N(K2570)/J2570))</f>
        <v/>
      </c>
      <c r="M2570" s="5" t="n"/>
      <c r="N2570" s="5" t="n"/>
      <c r="O2570" s="5" t="n"/>
      <c r="P2570" s="5" t="n"/>
      <c r="Q2570" s="5" t="n"/>
      <c r="R2570" s="4" t="n"/>
      <c r="S2570" s="4" t="n"/>
      <c r="T2570" s="5" t="n"/>
      <c r="U2570" s="8">
        <f>IF(AND(V2570=1,D2570&lt;&gt;""),IF(D2570&gt;=corte,TODAY()-D2570,""),"")</f>
        <v/>
      </c>
      <c r="V2570" s="8">
        <f>IF(D2570="",0,IF(OR(AND(P2570&lt;&gt;"",S2570=""),AND(N(J2570)&gt;0,N(K2570)&lt;J2570),OR(M2570="PENDENTE",M2570="PARCIAL"),OR(N2570="PENDENTE",N2570="PARCIAL")),1,0))</f>
        <v/>
      </c>
      <c r="W2570" s="8">
        <f>IF(AND(V2570=1,D2570&lt;&gt;""),IF(D2570&gt;=corte,(B2570="CRÍTICO")*1E9+(100000-D2570)*10000+10000-ROW(),""),"")</f>
        <v/>
      </c>
      <c r="X2570" s="8">
        <f>IF(AND(V2570=1,D2570=pas_data,E2570=pas_turno),10000-ROW(),"")</f>
        <v/>
      </c>
    </row>
    <row r="2571">
      <c r="A2571" s="3">
        <f>IF(D2571="","","TT-"&amp;TEXT(ROW()-1,"00000"))</f>
        <v/>
      </c>
      <c r="B2571" s="3">
        <f>IF(D2571="","",IF(V2571=0,"CONCLUÍDO",IF(D2571&lt;corte,"HISTÓRICO",IF(OR(AND(ISNUMBER(R2571),R2571&lt;TODAY()),AND(OR(N2571="PENDENTE",N2571="PARCIAL"),D2571&lt;TODAY()-1)),"CRÍTICO",IF(OR(AND(P2571&lt;&gt;"",S2571=""),AND(N2571="REALIZADO",M2571="PENDENTE"),AND(ISNUMBER(R2571),R2571=TODAY())),"ATENÇÃO",IF(N(K2571)=0,"PENDENTE","EM ANDAMENTO"))))))</f>
        <v/>
      </c>
      <c r="C2571" s="3">
        <f>IF(D2571="","",IF(V2571=0,"🟢 OK",IF(D2571&lt;corte,"⚪ HISTÓRICO (sem baixa)",IF(AND(ISNUMBER(R2571),R2571&lt;TODAY()),"🔴 PRAZO VENCIDO",IF(AND(OR(N2571="PENDENTE",N2571="PARCIAL"),D2571&lt;TODAY()-1),"🔴 EMBARQUE ATRASADO",IF(AND(N2571="REALIZADO",M2571="PENDENTE"),"🟡 EMBARCADO SEM FATURAR",IF(AND(P2571&lt;&gt;"",S2571="",OR(Q2571="",R2571="")),"🟡 PENDÊNCIA SEM RESPONSÁVEL/PRAZO",IF(AND(ISNUMBER(R2571),R2571=TODAY()),"🟡 VENCE HOJE",IF(AND(P2571&lt;&gt;"",S2571=""),"🟡 PENDÊNCIA ABERTA",IF(AND(N(J2571)&gt;0,N(K2571)&lt;J2571),"🟡 FALTA EXECUTAR",IF(OR(M2571="PENDENTE",M2571="PARCIAL"),"🟡 FATURAMENTO PENDENTE","🟡 EMBARQUE PENDENTE")))))))))))</f>
        <v/>
      </c>
      <c r="D2571" s="4" t="n"/>
      <c r="E2571" s="5" t="n"/>
      <c r="F2571" s="5" t="n"/>
      <c r="G2571" s="5" t="n"/>
      <c r="H2571" s="5" t="n"/>
      <c r="I2571" s="5" t="n"/>
      <c r="J2571" s="6" t="n"/>
      <c r="K2571" s="6" t="n"/>
      <c r="L2571" s="7">
        <f>IF(OR(D2571="",N(J2571)=0),"",MIN(1,N(K2571)/J2571))</f>
        <v/>
      </c>
      <c r="M2571" s="5" t="n"/>
      <c r="N2571" s="5" t="n"/>
      <c r="O2571" s="5" t="n"/>
      <c r="P2571" s="5" t="n"/>
      <c r="Q2571" s="5" t="n"/>
      <c r="R2571" s="4" t="n"/>
      <c r="S2571" s="4" t="n"/>
      <c r="T2571" s="5" t="n"/>
      <c r="U2571" s="8">
        <f>IF(AND(V2571=1,D2571&lt;&gt;""),IF(D2571&gt;=corte,TODAY()-D2571,""),"")</f>
        <v/>
      </c>
      <c r="V2571" s="8">
        <f>IF(D2571="",0,IF(OR(AND(P2571&lt;&gt;"",S2571=""),AND(N(J2571)&gt;0,N(K2571)&lt;J2571),OR(M2571="PENDENTE",M2571="PARCIAL"),OR(N2571="PENDENTE",N2571="PARCIAL")),1,0))</f>
        <v/>
      </c>
      <c r="W2571" s="8">
        <f>IF(AND(V2571=1,D2571&lt;&gt;""),IF(D2571&gt;=corte,(B2571="CRÍTICO")*1E9+(100000-D2571)*10000+10000-ROW(),""),"")</f>
        <v/>
      </c>
      <c r="X2571" s="8">
        <f>IF(AND(V2571=1,D2571=pas_data,E2571=pas_turno),10000-ROW(),"")</f>
        <v/>
      </c>
    </row>
    <row r="2572">
      <c r="A2572" s="3">
        <f>IF(D2572="","","TT-"&amp;TEXT(ROW()-1,"00000"))</f>
        <v/>
      </c>
      <c r="B2572" s="3">
        <f>IF(D2572="","",IF(V2572=0,"CONCLUÍDO",IF(D2572&lt;corte,"HISTÓRICO",IF(OR(AND(ISNUMBER(R2572),R2572&lt;TODAY()),AND(OR(N2572="PENDENTE",N2572="PARCIAL"),D2572&lt;TODAY()-1)),"CRÍTICO",IF(OR(AND(P2572&lt;&gt;"",S2572=""),AND(N2572="REALIZADO",M2572="PENDENTE"),AND(ISNUMBER(R2572),R2572=TODAY())),"ATENÇÃO",IF(N(K2572)=0,"PENDENTE","EM ANDAMENTO"))))))</f>
        <v/>
      </c>
      <c r="C2572" s="3">
        <f>IF(D2572="","",IF(V2572=0,"🟢 OK",IF(D2572&lt;corte,"⚪ HISTÓRICO (sem baixa)",IF(AND(ISNUMBER(R2572),R2572&lt;TODAY()),"🔴 PRAZO VENCIDO",IF(AND(OR(N2572="PENDENTE",N2572="PARCIAL"),D2572&lt;TODAY()-1),"🔴 EMBARQUE ATRASADO",IF(AND(N2572="REALIZADO",M2572="PENDENTE"),"🟡 EMBARCADO SEM FATURAR",IF(AND(P2572&lt;&gt;"",S2572="",OR(Q2572="",R2572="")),"🟡 PENDÊNCIA SEM RESPONSÁVEL/PRAZO",IF(AND(ISNUMBER(R2572),R2572=TODAY()),"🟡 VENCE HOJE",IF(AND(P2572&lt;&gt;"",S2572=""),"🟡 PENDÊNCIA ABERTA",IF(AND(N(J2572)&gt;0,N(K2572)&lt;J2572),"🟡 FALTA EXECUTAR",IF(OR(M2572="PENDENTE",M2572="PARCIAL"),"🟡 FATURAMENTO PENDENTE","🟡 EMBARQUE PENDENTE")))))))))))</f>
        <v/>
      </c>
      <c r="D2572" s="4" t="n"/>
      <c r="E2572" s="5" t="n"/>
      <c r="F2572" s="5" t="n"/>
      <c r="G2572" s="5" t="n"/>
      <c r="H2572" s="5" t="n"/>
      <c r="I2572" s="5" t="n"/>
      <c r="J2572" s="6" t="n"/>
      <c r="K2572" s="6" t="n"/>
      <c r="L2572" s="7">
        <f>IF(OR(D2572="",N(J2572)=0),"",MIN(1,N(K2572)/J2572))</f>
        <v/>
      </c>
      <c r="M2572" s="5" t="n"/>
      <c r="N2572" s="5" t="n"/>
      <c r="O2572" s="5" t="n"/>
      <c r="P2572" s="5" t="n"/>
      <c r="Q2572" s="5" t="n"/>
      <c r="R2572" s="4" t="n"/>
      <c r="S2572" s="4" t="n"/>
      <c r="T2572" s="5" t="n"/>
      <c r="U2572" s="8">
        <f>IF(AND(V2572=1,D2572&lt;&gt;""),IF(D2572&gt;=corte,TODAY()-D2572,""),"")</f>
        <v/>
      </c>
      <c r="V2572" s="8">
        <f>IF(D2572="",0,IF(OR(AND(P2572&lt;&gt;"",S2572=""),AND(N(J2572)&gt;0,N(K2572)&lt;J2572),OR(M2572="PENDENTE",M2572="PARCIAL"),OR(N2572="PENDENTE",N2572="PARCIAL")),1,0))</f>
        <v/>
      </c>
      <c r="W2572" s="8">
        <f>IF(AND(V2572=1,D2572&lt;&gt;""),IF(D2572&gt;=corte,(B2572="CRÍTICO")*1E9+(100000-D2572)*10000+10000-ROW(),""),"")</f>
        <v/>
      </c>
      <c r="X2572" s="8">
        <f>IF(AND(V2572=1,D2572=pas_data,E2572=pas_turno),10000-ROW(),"")</f>
        <v/>
      </c>
    </row>
    <row r="2573">
      <c r="A2573" s="3">
        <f>IF(D2573="","","TT-"&amp;TEXT(ROW()-1,"00000"))</f>
        <v/>
      </c>
      <c r="B2573" s="3">
        <f>IF(D2573="","",IF(V2573=0,"CONCLUÍDO",IF(D2573&lt;corte,"HISTÓRICO",IF(OR(AND(ISNUMBER(R2573),R2573&lt;TODAY()),AND(OR(N2573="PENDENTE",N2573="PARCIAL"),D2573&lt;TODAY()-1)),"CRÍTICO",IF(OR(AND(P2573&lt;&gt;"",S2573=""),AND(N2573="REALIZADO",M2573="PENDENTE"),AND(ISNUMBER(R2573),R2573=TODAY())),"ATENÇÃO",IF(N(K2573)=0,"PENDENTE","EM ANDAMENTO"))))))</f>
        <v/>
      </c>
      <c r="C2573" s="3">
        <f>IF(D2573="","",IF(V2573=0,"🟢 OK",IF(D2573&lt;corte,"⚪ HISTÓRICO (sem baixa)",IF(AND(ISNUMBER(R2573),R2573&lt;TODAY()),"🔴 PRAZO VENCIDO",IF(AND(OR(N2573="PENDENTE",N2573="PARCIAL"),D2573&lt;TODAY()-1),"🔴 EMBARQUE ATRASADO",IF(AND(N2573="REALIZADO",M2573="PENDENTE"),"🟡 EMBARCADO SEM FATURAR",IF(AND(P2573&lt;&gt;"",S2573="",OR(Q2573="",R2573="")),"🟡 PENDÊNCIA SEM RESPONSÁVEL/PRAZO",IF(AND(ISNUMBER(R2573),R2573=TODAY()),"🟡 VENCE HOJE",IF(AND(P2573&lt;&gt;"",S2573=""),"🟡 PENDÊNCIA ABERTA",IF(AND(N(J2573)&gt;0,N(K2573)&lt;J2573),"🟡 FALTA EXECUTAR",IF(OR(M2573="PENDENTE",M2573="PARCIAL"),"🟡 FATURAMENTO PENDENTE","🟡 EMBARQUE PENDENTE")))))))))))</f>
        <v/>
      </c>
      <c r="D2573" s="4" t="n"/>
      <c r="E2573" s="5" t="n"/>
      <c r="F2573" s="5" t="n"/>
      <c r="G2573" s="5" t="n"/>
      <c r="H2573" s="5" t="n"/>
      <c r="I2573" s="5" t="n"/>
      <c r="J2573" s="6" t="n"/>
      <c r="K2573" s="6" t="n"/>
      <c r="L2573" s="7">
        <f>IF(OR(D2573="",N(J2573)=0),"",MIN(1,N(K2573)/J2573))</f>
        <v/>
      </c>
      <c r="M2573" s="5" t="n"/>
      <c r="N2573" s="5" t="n"/>
      <c r="O2573" s="5" t="n"/>
      <c r="P2573" s="5" t="n"/>
      <c r="Q2573" s="5" t="n"/>
      <c r="R2573" s="4" t="n"/>
      <c r="S2573" s="4" t="n"/>
      <c r="T2573" s="5" t="n"/>
      <c r="U2573" s="8">
        <f>IF(AND(V2573=1,D2573&lt;&gt;""),IF(D2573&gt;=corte,TODAY()-D2573,""),"")</f>
        <v/>
      </c>
      <c r="V2573" s="8">
        <f>IF(D2573="",0,IF(OR(AND(P2573&lt;&gt;"",S2573=""),AND(N(J2573)&gt;0,N(K2573)&lt;J2573),OR(M2573="PENDENTE",M2573="PARCIAL"),OR(N2573="PENDENTE",N2573="PARCIAL")),1,0))</f>
        <v/>
      </c>
      <c r="W2573" s="8">
        <f>IF(AND(V2573=1,D2573&lt;&gt;""),IF(D2573&gt;=corte,(B2573="CRÍTICO")*1E9+(100000-D2573)*10000+10000-ROW(),""),"")</f>
        <v/>
      </c>
      <c r="X2573" s="8">
        <f>IF(AND(V2573=1,D2573=pas_data,E2573=pas_turno),10000-ROW(),"")</f>
        <v/>
      </c>
    </row>
    <row r="2574">
      <c r="A2574" s="3">
        <f>IF(D2574="","","TT-"&amp;TEXT(ROW()-1,"00000"))</f>
        <v/>
      </c>
      <c r="B2574" s="3">
        <f>IF(D2574="","",IF(V2574=0,"CONCLUÍDO",IF(D2574&lt;corte,"HISTÓRICO",IF(OR(AND(ISNUMBER(R2574),R2574&lt;TODAY()),AND(OR(N2574="PENDENTE",N2574="PARCIAL"),D2574&lt;TODAY()-1)),"CRÍTICO",IF(OR(AND(P2574&lt;&gt;"",S2574=""),AND(N2574="REALIZADO",M2574="PENDENTE"),AND(ISNUMBER(R2574),R2574=TODAY())),"ATENÇÃO",IF(N(K2574)=0,"PENDENTE","EM ANDAMENTO"))))))</f>
        <v/>
      </c>
      <c r="C2574" s="3">
        <f>IF(D2574="","",IF(V2574=0,"🟢 OK",IF(D2574&lt;corte,"⚪ HISTÓRICO (sem baixa)",IF(AND(ISNUMBER(R2574),R2574&lt;TODAY()),"🔴 PRAZO VENCIDO",IF(AND(OR(N2574="PENDENTE",N2574="PARCIAL"),D2574&lt;TODAY()-1),"🔴 EMBARQUE ATRASADO",IF(AND(N2574="REALIZADO",M2574="PENDENTE"),"🟡 EMBARCADO SEM FATURAR",IF(AND(P2574&lt;&gt;"",S2574="",OR(Q2574="",R2574="")),"🟡 PENDÊNCIA SEM RESPONSÁVEL/PRAZO",IF(AND(ISNUMBER(R2574),R2574=TODAY()),"🟡 VENCE HOJE",IF(AND(P2574&lt;&gt;"",S2574=""),"🟡 PENDÊNCIA ABERTA",IF(AND(N(J2574)&gt;0,N(K2574)&lt;J2574),"🟡 FALTA EXECUTAR",IF(OR(M2574="PENDENTE",M2574="PARCIAL"),"🟡 FATURAMENTO PENDENTE","🟡 EMBARQUE PENDENTE")))))))))))</f>
        <v/>
      </c>
      <c r="D2574" s="4" t="n"/>
      <c r="E2574" s="5" t="n"/>
      <c r="F2574" s="5" t="n"/>
      <c r="G2574" s="5" t="n"/>
      <c r="H2574" s="5" t="n"/>
      <c r="I2574" s="5" t="n"/>
      <c r="J2574" s="6" t="n"/>
      <c r="K2574" s="6" t="n"/>
      <c r="L2574" s="7">
        <f>IF(OR(D2574="",N(J2574)=0),"",MIN(1,N(K2574)/J2574))</f>
        <v/>
      </c>
      <c r="M2574" s="5" t="n"/>
      <c r="N2574" s="5" t="n"/>
      <c r="O2574" s="5" t="n"/>
      <c r="P2574" s="5" t="n"/>
      <c r="Q2574" s="5" t="n"/>
      <c r="R2574" s="4" t="n"/>
      <c r="S2574" s="4" t="n"/>
      <c r="T2574" s="5" t="n"/>
      <c r="U2574" s="8">
        <f>IF(AND(V2574=1,D2574&lt;&gt;""),IF(D2574&gt;=corte,TODAY()-D2574,""),"")</f>
        <v/>
      </c>
      <c r="V2574" s="8">
        <f>IF(D2574="",0,IF(OR(AND(P2574&lt;&gt;"",S2574=""),AND(N(J2574)&gt;0,N(K2574)&lt;J2574),OR(M2574="PENDENTE",M2574="PARCIAL"),OR(N2574="PENDENTE",N2574="PARCIAL")),1,0))</f>
        <v/>
      </c>
      <c r="W2574" s="8">
        <f>IF(AND(V2574=1,D2574&lt;&gt;""),IF(D2574&gt;=corte,(B2574="CRÍTICO")*1E9+(100000-D2574)*10000+10000-ROW(),""),"")</f>
        <v/>
      </c>
      <c r="X2574" s="8">
        <f>IF(AND(V2574=1,D2574=pas_data,E2574=pas_turno),10000-ROW(),"")</f>
        <v/>
      </c>
    </row>
    <row r="2575">
      <c r="A2575" s="3">
        <f>IF(D2575="","","TT-"&amp;TEXT(ROW()-1,"00000"))</f>
        <v/>
      </c>
      <c r="B2575" s="3">
        <f>IF(D2575="","",IF(V2575=0,"CONCLUÍDO",IF(D2575&lt;corte,"HISTÓRICO",IF(OR(AND(ISNUMBER(R2575),R2575&lt;TODAY()),AND(OR(N2575="PENDENTE",N2575="PARCIAL"),D2575&lt;TODAY()-1)),"CRÍTICO",IF(OR(AND(P2575&lt;&gt;"",S2575=""),AND(N2575="REALIZADO",M2575="PENDENTE"),AND(ISNUMBER(R2575),R2575=TODAY())),"ATENÇÃO",IF(N(K2575)=0,"PENDENTE","EM ANDAMENTO"))))))</f>
        <v/>
      </c>
      <c r="C2575" s="3">
        <f>IF(D2575="","",IF(V2575=0,"🟢 OK",IF(D2575&lt;corte,"⚪ HISTÓRICO (sem baixa)",IF(AND(ISNUMBER(R2575),R2575&lt;TODAY()),"🔴 PRAZO VENCIDO",IF(AND(OR(N2575="PENDENTE",N2575="PARCIAL"),D2575&lt;TODAY()-1),"🔴 EMBARQUE ATRASADO",IF(AND(N2575="REALIZADO",M2575="PENDENTE"),"🟡 EMBARCADO SEM FATURAR",IF(AND(P2575&lt;&gt;"",S2575="",OR(Q2575="",R2575="")),"🟡 PENDÊNCIA SEM RESPONSÁVEL/PRAZO",IF(AND(ISNUMBER(R2575),R2575=TODAY()),"🟡 VENCE HOJE",IF(AND(P2575&lt;&gt;"",S2575=""),"🟡 PENDÊNCIA ABERTA",IF(AND(N(J2575)&gt;0,N(K2575)&lt;J2575),"🟡 FALTA EXECUTAR",IF(OR(M2575="PENDENTE",M2575="PARCIAL"),"🟡 FATURAMENTO PENDENTE","🟡 EMBARQUE PENDENTE")))))))))))</f>
        <v/>
      </c>
      <c r="D2575" s="4" t="n"/>
      <c r="E2575" s="5" t="n"/>
      <c r="F2575" s="5" t="n"/>
      <c r="G2575" s="5" t="n"/>
      <c r="H2575" s="5" t="n"/>
      <c r="I2575" s="5" t="n"/>
      <c r="J2575" s="6" t="n"/>
      <c r="K2575" s="6" t="n"/>
      <c r="L2575" s="7">
        <f>IF(OR(D2575="",N(J2575)=0),"",MIN(1,N(K2575)/J2575))</f>
        <v/>
      </c>
      <c r="M2575" s="5" t="n"/>
      <c r="N2575" s="5" t="n"/>
      <c r="O2575" s="5" t="n"/>
      <c r="P2575" s="5" t="n"/>
      <c r="Q2575" s="5" t="n"/>
      <c r="R2575" s="4" t="n"/>
      <c r="S2575" s="4" t="n"/>
      <c r="T2575" s="5" t="n"/>
      <c r="U2575" s="8">
        <f>IF(AND(V2575=1,D2575&lt;&gt;""),IF(D2575&gt;=corte,TODAY()-D2575,""),"")</f>
        <v/>
      </c>
      <c r="V2575" s="8">
        <f>IF(D2575="",0,IF(OR(AND(P2575&lt;&gt;"",S2575=""),AND(N(J2575)&gt;0,N(K2575)&lt;J2575),OR(M2575="PENDENTE",M2575="PARCIAL"),OR(N2575="PENDENTE",N2575="PARCIAL")),1,0))</f>
        <v/>
      </c>
      <c r="W2575" s="8">
        <f>IF(AND(V2575=1,D2575&lt;&gt;""),IF(D2575&gt;=corte,(B2575="CRÍTICO")*1E9+(100000-D2575)*10000+10000-ROW(),""),"")</f>
        <v/>
      </c>
      <c r="X2575" s="8">
        <f>IF(AND(V2575=1,D2575=pas_data,E2575=pas_turno),10000-ROW(),"")</f>
        <v/>
      </c>
    </row>
    <row r="2576">
      <c r="A2576" s="3">
        <f>IF(D2576="","","TT-"&amp;TEXT(ROW()-1,"00000"))</f>
        <v/>
      </c>
      <c r="B2576" s="3">
        <f>IF(D2576="","",IF(V2576=0,"CONCLUÍDO",IF(D2576&lt;corte,"HISTÓRICO",IF(OR(AND(ISNUMBER(R2576),R2576&lt;TODAY()),AND(OR(N2576="PENDENTE",N2576="PARCIAL"),D2576&lt;TODAY()-1)),"CRÍTICO",IF(OR(AND(P2576&lt;&gt;"",S2576=""),AND(N2576="REALIZADO",M2576="PENDENTE"),AND(ISNUMBER(R2576),R2576=TODAY())),"ATENÇÃO",IF(N(K2576)=0,"PENDENTE","EM ANDAMENTO"))))))</f>
        <v/>
      </c>
      <c r="C2576" s="3">
        <f>IF(D2576="","",IF(V2576=0,"🟢 OK",IF(D2576&lt;corte,"⚪ HISTÓRICO (sem baixa)",IF(AND(ISNUMBER(R2576),R2576&lt;TODAY()),"🔴 PRAZO VENCIDO",IF(AND(OR(N2576="PENDENTE",N2576="PARCIAL"),D2576&lt;TODAY()-1),"🔴 EMBARQUE ATRASADO",IF(AND(N2576="REALIZADO",M2576="PENDENTE"),"🟡 EMBARCADO SEM FATURAR",IF(AND(P2576&lt;&gt;"",S2576="",OR(Q2576="",R2576="")),"🟡 PENDÊNCIA SEM RESPONSÁVEL/PRAZO",IF(AND(ISNUMBER(R2576),R2576=TODAY()),"🟡 VENCE HOJE",IF(AND(P2576&lt;&gt;"",S2576=""),"🟡 PENDÊNCIA ABERTA",IF(AND(N(J2576)&gt;0,N(K2576)&lt;J2576),"🟡 FALTA EXECUTAR",IF(OR(M2576="PENDENTE",M2576="PARCIAL"),"🟡 FATURAMENTO PENDENTE","🟡 EMBARQUE PENDENTE")))))))))))</f>
        <v/>
      </c>
      <c r="D2576" s="4" t="n"/>
      <c r="E2576" s="5" t="n"/>
      <c r="F2576" s="5" t="n"/>
      <c r="G2576" s="5" t="n"/>
      <c r="H2576" s="5" t="n"/>
      <c r="I2576" s="5" t="n"/>
      <c r="J2576" s="6" t="n"/>
      <c r="K2576" s="6" t="n"/>
      <c r="L2576" s="7">
        <f>IF(OR(D2576="",N(J2576)=0),"",MIN(1,N(K2576)/J2576))</f>
        <v/>
      </c>
      <c r="M2576" s="5" t="n"/>
      <c r="N2576" s="5" t="n"/>
      <c r="O2576" s="5" t="n"/>
      <c r="P2576" s="5" t="n"/>
      <c r="Q2576" s="5" t="n"/>
      <c r="R2576" s="4" t="n"/>
      <c r="S2576" s="4" t="n"/>
      <c r="T2576" s="5" t="n"/>
      <c r="U2576" s="8">
        <f>IF(AND(V2576=1,D2576&lt;&gt;""),IF(D2576&gt;=corte,TODAY()-D2576,""),"")</f>
        <v/>
      </c>
      <c r="V2576" s="8">
        <f>IF(D2576="",0,IF(OR(AND(P2576&lt;&gt;"",S2576=""),AND(N(J2576)&gt;0,N(K2576)&lt;J2576),OR(M2576="PENDENTE",M2576="PARCIAL"),OR(N2576="PENDENTE",N2576="PARCIAL")),1,0))</f>
        <v/>
      </c>
      <c r="W2576" s="8">
        <f>IF(AND(V2576=1,D2576&lt;&gt;""),IF(D2576&gt;=corte,(B2576="CRÍTICO")*1E9+(100000-D2576)*10000+10000-ROW(),""),"")</f>
        <v/>
      </c>
      <c r="X2576" s="8">
        <f>IF(AND(V2576=1,D2576=pas_data,E2576=pas_turno),10000-ROW(),"")</f>
        <v/>
      </c>
    </row>
    <row r="2577">
      <c r="A2577" s="3">
        <f>IF(D2577="","","TT-"&amp;TEXT(ROW()-1,"00000"))</f>
        <v/>
      </c>
      <c r="B2577" s="3">
        <f>IF(D2577="","",IF(V2577=0,"CONCLUÍDO",IF(D2577&lt;corte,"HISTÓRICO",IF(OR(AND(ISNUMBER(R2577),R2577&lt;TODAY()),AND(OR(N2577="PENDENTE",N2577="PARCIAL"),D2577&lt;TODAY()-1)),"CRÍTICO",IF(OR(AND(P2577&lt;&gt;"",S2577=""),AND(N2577="REALIZADO",M2577="PENDENTE"),AND(ISNUMBER(R2577),R2577=TODAY())),"ATENÇÃO",IF(N(K2577)=0,"PENDENTE","EM ANDAMENTO"))))))</f>
        <v/>
      </c>
      <c r="C2577" s="3">
        <f>IF(D2577="","",IF(V2577=0,"🟢 OK",IF(D2577&lt;corte,"⚪ HISTÓRICO (sem baixa)",IF(AND(ISNUMBER(R2577),R2577&lt;TODAY()),"🔴 PRAZO VENCIDO",IF(AND(OR(N2577="PENDENTE",N2577="PARCIAL"),D2577&lt;TODAY()-1),"🔴 EMBARQUE ATRASADO",IF(AND(N2577="REALIZADO",M2577="PENDENTE"),"🟡 EMBARCADO SEM FATURAR",IF(AND(P2577&lt;&gt;"",S2577="",OR(Q2577="",R2577="")),"🟡 PENDÊNCIA SEM RESPONSÁVEL/PRAZO",IF(AND(ISNUMBER(R2577),R2577=TODAY()),"🟡 VENCE HOJE",IF(AND(P2577&lt;&gt;"",S2577=""),"🟡 PENDÊNCIA ABERTA",IF(AND(N(J2577)&gt;0,N(K2577)&lt;J2577),"🟡 FALTA EXECUTAR",IF(OR(M2577="PENDENTE",M2577="PARCIAL"),"🟡 FATURAMENTO PENDENTE","🟡 EMBARQUE PENDENTE")))))))))))</f>
        <v/>
      </c>
      <c r="D2577" s="4" t="n"/>
      <c r="E2577" s="5" t="n"/>
      <c r="F2577" s="5" t="n"/>
      <c r="G2577" s="5" t="n"/>
      <c r="H2577" s="5" t="n"/>
      <c r="I2577" s="5" t="n"/>
      <c r="J2577" s="6" t="n"/>
      <c r="K2577" s="6" t="n"/>
      <c r="L2577" s="7">
        <f>IF(OR(D2577="",N(J2577)=0),"",MIN(1,N(K2577)/J2577))</f>
        <v/>
      </c>
      <c r="M2577" s="5" t="n"/>
      <c r="N2577" s="5" t="n"/>
      <c r="O2577" s="5" t="n"/>
      <c r="P2577" s="5" t="n"/>
      <c r="Q2577" s="5" t="n"/>
      <c r="R2577" s="4" t="n"/>
      <c r="S2577" s="4" t="n"/>
      <c r="T2577" s="5" t="n"/>
      <c r="U2577" s="8">
        <f>IF(AND(V2577=1,D2577&lt;&gt;""),IF(D2577&gt;=corte,TODAY()-D2577,""),"")</f>
        <v/>
      </c>
      <c r="V2577" s="8">
        <f>IF(D2577="",0,IF(OR(AND(P2577&lt;&gt;"",S2577=""),AND(N(J2577)&gt;0,N(K2577)&lt;J2577),OR(M2577="PENDENTE",M2577="PARCIAL"),OR(N2577="PENDENTE",N2577="PARCIAL")),1,0))</f>
        <v/>
      </c>
      <c r="W2577" s="8">
        <f>IF(AND(V2577=1,D2577&lt;&gt;""),IF(D2577&gt;=corte,(B2577="CRÍTICO")*1E9+(100000-D2577)*10000+10000-ROW(),""),"")</f>
        <v/>
      </c>
      <c r="X2577" s="8">
        <f>IF(AND(V2577=1,D2577=pas_data,E2577=pas_turno),10000-ROW(),"")</f>
        <v/>
      </c>
    </row>
    <row r="2578">
      <c r="A2578" s="3">
        <f>IF(D2578="","","TT-"&amp;TEXT(ROW()-1,"00000"))</f>
        <v/>
      </c>
      <c r="B2578" s="3">
        <f>IF(D2578="","",IF(V2578=0,"CONCLUÍDO",IF(D2578&lt;corte,"HISTÓRICO",IF(OR(AND(ISNUMBER(R2578),R2578&lt;TODAY()),AND(OR(N2578="PENDENTE",N2578="PARCIAL"),D2578&lt;TODAY()-1)),"CRÍTICO",IF(OR(AND(P2578&lt;&gt;"",S2578=""),AND(N2578="REALIZADO",M2578="PENDENTE"),AND(ISNUMBER(R2578),R2578=TODAY())),"ATENÇÃO",IF(N(K2578)=0,"PENDENTE","EM ANDAMENTO"))))))</f>
        <v/>
      </c>
      <c r="C2578" s="3">
        <f>IF(D2578="","",IF(V2578=0,"🟢 OK",IF(D2578&lt;corte,"⚪ HISTÓRICO (sem baixa)",IF(AND(ISNUMBER(R2578),R2578&lt;TODAY()),"🔴 PRAZO VENCIDO",IF(AND(OR(N2578="PENDENTE",N2578="PARCIAL"),D2578&lt;TODAY()-1),"🔴 EMBARQUE ATRASADO",IF(AND(N2578="REALIZADO",M2578="PENDENTE"),"🟡 EMBARCADO SEM FATURAR",IF(AND(P2578&lt;&gt;"",S2578="",OR(Q2578="",R2578="")),"🟡 PENDÊNCIA SEM RESPONSÁVEL/PRAZO",IF(AND(ISNUMBER(R2578),R2578=TODAY()),"🟡 VENCE HOJE",IF(AND(P2578&lt;&gt;"",S2578=""),"🟡 PENDÊNCIA ABERTA",IF(AND(N(J2578)&gt;0,N(K2578)&lt;J2578),"🟡 FALTA EXECUTAR",IF(OR(M2578="PENDENTE",M2578="PARCIAL"),"🟡 FATURAMENTO PENDENTE","🟡 EMBARQUE PENDENTE")))))))))))</f>
        <v/>
      </c>
      <c r="D2578" s="4" t="n"/>
      <c r="E2578" s="5" t="n"/>
      <c r="F2578" s="5" t="n"/>
      <c r="G2578" s="5" t="n"/>
      <c r="H2578" s="5" t="n"/>
      <c r="I2578" s="5" t="n"/>
      <c r="J2578" s="6" t="n"/>
      <c r="K2578" s="6" t="n"/>
      <c r="L2578" s="7">
        <f>IF(OR(D2578="",N(J2578)=0),"",MIN(1,N(K2578)/J2578))</f>
        <v/>
      </c>
      <c r="M2578" s="5" t="n"/>
      <c r="N2578" s="5" t="n"/>
      <c r="O2578" s="5" t="n"/>
      <c r="P2578" s="5" t="n"/>
      <c r="Q2578" s="5" t="n"/>
      <c r="R2578" s="4" t="n"/>
      <c r="S2578" s="4" t="n"/>
      <c r="T2578" s="5" t="n"/>
      <c r="U2578" s="8">
        <f>IF(AND(V2578=1,D2578&lt;&gt;""),IF(D2578&gt;=corte,TODAY()-D2578,""),"")</f>
        <v/>
      </c>
      <c r="V2578" s="8">
        <f>IF(D2578="",0,IF(OR(AND(P2578&lt;&gt;"",S2578=""),AND(N(J2578)&gt;0,N(K2578)&lt;J2578),OR(M2578="PENDENTE",M2578="PARCIAL"),OR(N2578="PENDENTE",N2578="PARCIAL")),1,0))</f>
        <v/>
      </c>
      <c r="W2578" s="8">
        <f>IF(AND(V2578=1,D2578&lt;&gt;""),IF(D2578&gt;=corte,(B2578="CRÍTICO")*1E9+(100000-D2578)*10000+10000-ROW(),""),"")</f>
        <v/>
      </c>
      <c r="X2578" s="8">
        <f>IF(AND(V2578=1,D2578=pas_data,E2578=pas_turno),10000-ROW(),"")</f>
        <v/>
      </c>
    </row>
    <row r="2579">
      <c r="A2579" s="3">
        <f>IF(D2579="","","TT-"&amp;TEXT(ROW()-1,"00000"))</f>
        <v/>
      </c>
      <c r="B2579" s="3">
        <f>IF(D2579="","",IF(V2579=0,"CONCLUÍDO",IF(D2579&lt;corte,"HISTÓRICO",IF(OR(AND(ISNUMBER(R2579),R2579&lt;TODAY()),AND(OR(N2579="PENDENTE",N2579="PARCIAL"),D2579&lt;TODAY()-1)),"CRÍTICO",IF(OR(AND(P2579&lt;&gt;"",S2579=""),AND(N2579="REALIZADO",M2579="PENDENTE"),AND(ISNUMBER(R2579),R2579=TODAY())),"ATENÇÃO",IF(N(K2579)=0,"PENDENTE","EM ANDAMENTO"))))))</f>
        <v/>
      </c>
      <c r="C2579" s="3">
        <f>IF(D2579="","",IF(V2579=0,"🟢 OK",IF(D2579&lt;corte,"⚪ HISTÓRICO (sem baixa)",IF(AND(ISNUMBER(R2579),R2579&lt;TODAY()),"🔴 PRAZO VENCIDO",IF(AND(OR(N2579="PENDENTE",N2579="PARCIAL"),D2579&lt;TODAY()-1),"🔴 EMBARQUE ATRASADO",IF(AND(N2579="REALIZADO",M2579="PENDENTE"),"🟡 EMBARCADO SEM FATURAR",IF(AND(P2579&lt;&gt;"",S2579="",OR(Q2579="",R2579="")),"🟡 PENDÊNCIA SEM RESPONSÁVEL/PRAZO",IF(AND(ISNUMBER(R2579),R2579=TODAY()),"🟡 VENCE HOJE",IF(AND(P2579&lt;&gt;"",S2579=""),"🟡 PENDÊNCIA ABERTA",IF(AND(N(J2579)&gt;0,N(K2579)&lt;J2579),"🟡 FALTA EXECUTAR",IF(OR(M2579="PENDENTE",M2579="PARCIAL"),"🟡 FATURAMENTO PENDENTE","🟡 EMBARQUE PENDENTE")))))))))))</f>
        <v/>
      </c>
      <c r="D2579" s="4" t="n"/>
      <c r="E2579" s="5" t="n"/>
      <c r="F2579" s="5" t="n"/>
      <c r="G2579" s="5" t="n"/>
      <c r="H2579" s="5" t="n"/>
      <c r="I2579" s="5" t="n"/>
      <c r="J2579" s="6" t="n"/>
      <c r="K2579" s="6" t="n"/>
      <c r="L2579" s="7">
        <f>IF(OR(D2579="",N(J2579)=0),"",MIN(1,N(K2579)/J2579))</f>
        <v/>
      </c>
      <c r="M2579" s="5" t="n"/>
      <c r="N2579" s="5" t="n"/>
      <c r="O2579" s="5" t="n"/>
      <c r="P2579" s="5" t="n"/>
      <c r="Q2579" s="5" t="n"/>
      <c r="R2579" s="4" t="n"/>
      <c r="S2579" s="4" t="n"/>
      <c r="T2579" s="5" t="n"/>
      <c r="U2579" s="8">
        <f>IF(AND(V2579=1,D2579&lt;&gt;""),IF(D2579&gt;=corte,TODAY()-D2579,""),"")</f>
        <v/>
      </c>
      <c r="V2579" s="8">
        <f>IF(D2579="",0,IF(OR(AND(P2579&lt;&gt;"",S2579=""),AND(N(J2579)&gt;0,N(K2579)&lt;J2579),OR(M2579="PENDENTE",M2579="PARCIAL"),OR(N2579="PENDENTE",N2579="PARCIAL")),1,0))</f>
        <v/>
      </c>
      <c r="W2579" s="8">
        <f>IF(AND(V2579=1,D2579&lt;&gt;""),IF(D2579&gt;=corte,(B2579="CRÍTICO")*1E9+(100000-D2579)*10000+10000-ROW(),""),"")</f>
        <v/>
      </c>
      <c r="X2579" s="8">
        <f>IF(AND(V2579=1,D2579=pas_data,E2579=pas_turno),10000-ROW(),"")</f>
        <v/>
      </c>
    </row>
    <row r="2580">
      <c r="A2580" s="3">
        <f>IF(D2580="","","TT-"&amp;TEXT(ROW()-1,"00000"))</f>
        <v/>
      </c>
      <c r="B2580" s="3">
        <f>IF(D2580="","",IF(V2580=0,"CONCLUÍDO",IF(D2580&lt;corte,"HISTÓRICO",IF(OR(AND(ISNUMBER(R2580),R2580&lt;TODAY()),AND(OR(N2580="PENDENTE",N2580="PARCIAL"),D2580&lt;TODAY()-1)),"CRÍTICO",IF(OR(AND(P2580&lt;&gt;"",S2580=""),AND(N2580="REALIZADO",M2580="PENDENTE"),AND(ISNUMBER(R2580),R2580=TODAY())),"ATENÇÃO",IF(N(K2580)=0,"PENDENTE","EM ANDAMENTO"))))))</f>
        <v/>
      </c>
      <c r="C2580" s="3">
        <f>IF(D2580="","",IF(V2580=0,"🟢 OK",IF(D2580&lt;corte,"⚪ HISTÓRICO (sem baixa)",IF(AND(ISNUMBER(R2580),R2580&lt;TODAY()),"🔴 PRAZO VENCIDO",IF(AND(OR(N2580="PENDENTE",N2580="PARCIAL"),D2580&lt;TODAY()-1),"🔴 EMBARQUE ATRASADO",IF(AND(N2580="REALIZADO",M2580="PENDENTE"),"🟡 EMBARCADO SEM FATURAR",IF(AND(P2580&lt;&gt;"",S2580="",OR(Q2580="",R2580="")),"🟡 PENDÊNCIA SEM RESPONSÁVEL/PRAZO",IF(AND(ISNUMBER(R2580),R2580=TODAY()),"🟡 VENCE HOJE",IF(AND(P2580&lt;&gt;"",S2580=""),"🟡 PENDÊNCIA ABERTA",IF(AND(N(J2580)&gt;0,N(K2580)&lt;J2580),"🟡 FALTA EXECUTAR",IF(OR(M2580="PENDENTE",M2580="PARCIAL"),"🟡 FATURAMENTO PENDENTE","🟡 EMBARQUE PENDENTE")))))))))))</f>
        <v/>
      </c>
      <c r="D2580" s="4" t="n"/>
      <c r="E2580" s="5" t="n"/>
      <c r="F2580" s="5" t="n"/>
      <c r="G2580" s="5" t="n"/>
      <c r="H2580" s="5" t="n"/>
      <c r="I2580" s="5" t="n"/>
      <c r="J2580" s="6" t="n"/>
      <c r="K2580" s="6" t="n"/>
      <c r="L2580" s="7">
        <f>IF(OR(D2580="",N(J2580)=0),"",MIN(1,N(K2580)/J2580))</f>
        <v/>
      </c>
      <c r="M2580" s="5" t="n"/>
      <c r="N2580" s="5" t="n"/>
      <c r="O2580" s="5" t="n"/>
      <c r="P2580" s="5" t="n"/>
      <c r="Q2580" s="5" t="n"/>
      <c r="R2580" s="4" t="n"/>
      <c r="S2580" s="4" t="n"/>
      <c r="T2580" s="5" t="n"/>
      <c r="U2580" s="8">
        <f>IF(AND(V2580=1,D2580&lt;&gt;""),IF(D2580&gt;=corte,TODAY()-D2580,""),"")</f>
        <v/>
      </c>
      <c r="V2580" s="8">
        <f>IF(D2580="",0,IF(OR(AND(P2580&lt;&gt;"",S2580=""),AND(N(J2580)&gt;0,N(K2580)&lt;J2580),OR(M2580="PENDENTE",M2580="PARCIAL"),OR(N2580="PENDENTE",N2580="PARCIAL")),1,0))</f>
        <v/>
      </c>
      <c r="W2580" s="8">
        <f>IF(AND(V2580=1,D2580&lt;&gt;""),IF(D2580&gt;=corte,(B2580="CRÍTICO")*1E9+(100000-D2580)*10000+10000-ROW(),""),"")</f>
        <v/>
      </c>
      <c r="X2580" s="8">
        <f>IF(AND(V2580=1,D2580=pas_data,E2580=pas_turno),10000-ROW(),"")</f>
        <v/>
      </c>
    </row>
    <row r="2581">
      <c r="A2581" s="3">
        <f>IF(D2581="","","TT-"&amp;TEXT(ROW()-1,"00000"))</f>
        <v/>
      </c>
      <c r="B2581" s="3">
        <f>IF(D2581="","",IF(V2581=0,"CONCLUÍDO",IF(D2581&lt;corte,"HISTÓRICO",IF(OR(AND(ISNUMBER(R2581),R2581&lt;TODAY()),AND(OR(N2581="PENDENTE",N2581="PARCIAL"),D2581&lt;TODAY()-1)),"CRÍTICO",IF(OR(AND(P2581&lt;&gt;"",S2581=""),AND(N2581="REALIZADO",M2581="PENDENTE"),AND(ISNUMBER(R2581),R2581=TODAY())),"ATENÇÃO",IF(N(K2581)=0,"PENDENTE","EM ANDAMENTO"))))))</f>
        <v/>
      </c>
      <c r="C2581" s="3">
        <f>IF(D2581="","",IF(V2581=0,"🟢 OK",IF(D2581&lt;corte,"⚪ HISTÓRICO (sem baixa)",IF(AND(ISNUMBER(R2581),R2581&lt;TODAY()),"🔴 PRAZO VENCIDO",IF(AND(OR(N2581="PENDENTE",N2581="PARCIAL"),D2581&lt;TODAY()-1),"🔴 EMBARQUE ATRASADO",IF(AND(N2581="REALIZADO",M2581="PENDENTE"),"🟡 EMBARCADO SEM FATURAR",IF(AND(P2581&lt;&gt;"",S2581="",OR(Q2581="",R2581="")),"🟡 PENDÊNCIA SEM RESPONSÁVEL/PRAZO",IF(AND(ISNUMBER(R2581),R2581=TODAY()),"🟡 VENCE HOJE",IF(AND(P2581&lt;&gt;"",S2581=""),"🟡 PENDÊNCIA ABERTA",IF(AND(N(J2581)&gt;0,N(K2581)&lt;J2581),"🟡 FALTA EXECUTAR",IF(OR(M2581="PENDENTE",M2581="PARCIAL"),"🟡 FATURAMENTO PENDENTE","🟡 EMBARQUE PENDENTE")))))))))))</f>
        <v/>
      </c>
      <c r="D2581" s="4" t="n"/>
      <c r="E2581" s="5" t="n"/>
      <c r="F2581" s="5" t="n"/>
      <c r="G2581" s="5" t="n"/>
      <c r="H2581" s="5" t="n"/>
      <c r="I2581" s="5" t="n"/>
      <c r="J2581" s="6" t="n"/>
      <c r="K2581" s="6" t="n"/>
      <c r="L2581" s="7">
        <f>IF(OR(D2581="",N(J2581)=0),"",MIN(1,N(K2581)/J2581))</f>
        <v/>
      </c>
      <c r="M2581" s="5" t="n"/>
      <c r="N2581" s="5" t="n"/>
      <c r="O2581" s="5" t="n"/>
      <c r="P2581" s="5" t="n"/>
      <c r="Q2581" s="5" t="n"/>
      <c r="R2581" s="4" t="n"/>
      <c r="S2581" s="4" t="n"/>
      <c r="T2581" s="5" t="n"/>
      <c r="U2581" s="8">
        <f>IF(AND(V2581=1,D2581&lt;&gt;""),IF(D2581&gt;=corte,TODAY()-D2581,""),"")</f>
        <v/>
      </c>
      <c r="V2581" s="8">
        <f>IF(D2581="",0,IF(OR(AND(P2581&lt;&gt;"",S2581=""),AND(N(J2581)&gt;0,N(K2581)&lt;J2581),OR(M2581="PENDENTE",M2581="PARCIAL"),OR(N2581="PENDENTE",N2581="PARCIAL")),1,0))</f>
        <v/>
      </c>
      <c r="W2581" s="8">
        <f>IF(AND(V2581=1,D2581&lt;&gt;""),IF(D2581&gt;=corte,(B2581="CRÍTICO")*1E9+(100000-D2581)*10000+10000-ROW(),""),"")</f>
        <v/>
      </c>
      <c r="X2581" s="8">
        <f>IF(AND(V2581=1,D2581=pas_data,E2581=pas_turno),10000-ROW(),"")</f>
        <v/>
      </c>
    </row>
    <row r="2582">
      <c r="A2582" s="3">
        <f>IF(D2582="","","TT-"&amp;TEXT(ROW()-1,"00000"))</f>
        <v/>
      </c>
      <c r="B2582" s="3">
        <f>IF(D2582="","",IF(V2582=0,"CONCLUÍDO",IF(D2582&lt;corte,"HISTÓRICO",IF(OR(AND(ISNUMBER(R2582),R2582&lt;TODAY()),AND(OR(N2582="PENDENTE",N2582="PARCIAL"),D2582&lt;TODAY()-1)),"CRÍTICO",IF(OR(AND(P2582&lt;&gt;"",S2582=""),AND(N2582="REALIZADO",M2582="PENDENTE"),AND(ISNUMBER(R2582),R2582=TODAY())),"ATENÇÃO",IF(N(K2582)=0,"PENDENTE","EM ANDAMENTO"))))))</f>
        <v/>
      </c>
      <c r="C2582" s="3">
        <f>IF(D2582="","",IF(V2582=0,"🟢 OK",IF(D2582&lt;corte,"⚪ HISTÓRICO (sem baixa)",IF(AND(ISNUMBER(R2582),R2582&lt;TODAY()),"🔴 PRAZO VENCIDO",IF(AND(OR(N2582="PENDENTE",N2582="PARCIAL"),D2582&lt;TODAY()-1),"🔴 EMBARQUE ATRASADO",IF(AND(N2582="REALIZADO",M2582="PENDENTE"),"🟡 EMBARCADO SEM FATURAR",IF(AND(P2582&lt;&gt;"",S2582="",OR(Q2582="",R2582="")),"🟡 PENDÊNCIA SEM RESPONSÁVEL/PRAZO",IF(AND(ISNUMBER(R2582),R2582=TODAY()),"🟡 VENCE HOJE",IF(AND(P2582&lt;&gt;"",S2582=""),"🟡 PENDÊNCIA ABERTA",IF(AND(N(J2582)&gt;0,N(K2582)&lt;J2582),"🟡 FALTA EXECUTAR",IF(OR(M2582="PENDENTE",M2582="PARCIAL"),"🟡 FATURAMENTO PENDENTE","🟡 EMBARQUE PENDENTE")))))))))))</f>
        <v/>
      </c>
      <c r="D2582" s="4" t="n"/>
      <c r="E2582" s="5" t="n"/>
      <c r="F2582" s="5" t="n"/>
      <c r="G2582" s="5" t="n"/>
      <c r="H2582" s="5" t="n"/>
      <c r="I2582" s="5" t="n"/>
      <c r="J2582" s="6" t="n"/>
      <c r="K2582" s="6" t="n"/>
      <c r="L2582" s="7">
        <f>IF(OR(D2582="",N(J2582)=0),"",MIN(1,N(K2582)/J2582))</f>
        <v/>
      </c>
      <c r="M2582" s="5" t="n"/>
      <c r="N2582" s="5" t="n"/>
      <c r="O2582" s="5" t="n"/>
      <c r="P2582" s="5" t="n"/>
      <c r="Q2582" s="5" t="n"/>
      <c r="R2582" s="4" t="n"/>
      <c r="S2582" s="4" t="n"/>
      <c r="T2582" s="5" t="n"/>
      <c r="U2582" s="8">
        <f>IF(AND(V2582=1,D2582&lt;&gt;""),IF(D2582&gt;=corte,TODAY()-D2582,""),"")</f>
        <v/>
      </c>
      <c r="V2582" s="8">
        <f>IF(D2582="",0,IF(OR(AND(P2582&lt;&gt;"",S2582=""),AND(N(J2582)&gt;0,N(K2582)&lt;J2582),OR(M2582="PENDENTE",M2582="PARCIAL"),OR(N2582="PENDENTE",N2582="PARCIAL")),1,0))</f>
        <v/>
      </c>
      <c r="W2582" s="8">
        <f>IF(AND(V2582=1,D2582&lt;&gt;""),IF(D2582&gt;=corte,(B2582="CRÍTICO")*1E9+(100000-D2582)*10000+10000-ROW(),""),"")</f>
        <v/>
      </c>
      <c r="X2582" s="8">
        <f>IF(AND(V2582=1,D2582=pas_data,E2582=pas_turno),10000-ROW(),"")</f>
        <v/>
      </c>
    </row>
    <row r="2583">
      <c r="A2583" s="3">
        <f>IF(D2583="","","TT-"&amp;TEXT(ROW()-1,"00000"))</f>
        <v/>
      </c>
      <c r="B2583" s="3">
        <f>IF(D2583="","",IF(V2583=0,"CONCLUÍDO",IF(D2583&lt;corte,"HISTÓRICO",IF(OR(AND(ISNUMBER(R2583),R2583&lt;TODAY()),AND(OR(N2583="PENDENTE",N2583="PARCIAL"),D2583&lt;TODAY()-1)),"CRÍTICO",IF(OR(AND(P2583&lt;&gt;"",S2583=""),AND(N2583="REALIZADO",M2583="PENDENTE"),AND(ISNUMBER(R2583),R2583=TODAY())),"ATENÇÃO",IF(N(K2583)=0,"PENDENTE","EM ANDAMENTO"))))))</f>
        <v/>
      </c>
      <c r="C2583" s="3">
        <f>IF(D2583="","",IF(V2583=0,"🟢 OK",IF(D2583&lt;corte,"⚪ HISTÓRICO (sem baixa)",IF(AND(ISNUMBER(R2583),R2583&lt;TODAY()),"🔴 PRAZO VENCIDO",IF(AND(OR(N2583="PENDENTE",N2583="PARCIAL"),D2583&lt;TODAY()-1),"🔴 EMBARQUE ATRASADO",IF(AND(N2583="REALIZADO",M2583="PENDENTE"),"🟡 EMBARCADO SEM FATURAR",IF(AND(P2583&lt;&gt;"",S2583="",OR(Q2583="",R2583="")),"🟡 PENDÊNCIA SEM RESPONSÁVEL/PRAZO",IF(AND(ISNUMBER(R2583),R2583=TODAY()),"🟡 VENCE HOJE",IF(AND(P2583&lt;&gt;"",S2583=""),"🟡 PENDÊNCIA ABERTA",IF(AND(N(J2583)&gt;0,N(K2583)&lt;J2583),"🟡 FALTA EXECUTAR",IF(OR(M2583="PENDENTE",M2583="PARCIAL"),"🟡 FATURAMENTO PENDENTE","🟡 EMBARQUE PENDENTE")))))))))))</f>
        <v/>
      </c>
      <c r="D2583" s="4" t="n"/>
      <c r="E2583" s="5" t="n"/>
      <c r="F2583" s="5" t="n"/>
      <c r="G2583" s="5" t="n"/>
      <c r="H2583" s="5" t="n"/>
      <c r="I2583" s="5" t="n"/>
      <c r="J2583" s="6" t="n"/>
      <c r="K2583" s="6" t="n"/>
      <c r="L2583" s="7">
        <f>IF(OR(D2583="",N(J2583)=0),"",MIN(1,N(K2583)/J2583))</f>
        <v/>
      </c>
      <c r="M2583" s="5" t="n"/>
      <c r="N2583" s="5" t="n"/>
      <c r="O2583" s="5" t="n"/>
      <c r="P2583" s="5" t="n"/>
      <c r="Q2583" s="5" t="n"/>
      <c r="R2583" s="4" t="n"/>
      <c r="S2583" s="4" t="n"/>
      <c r="T2583" s="5" t="n"/>
      <c r="U2583" s="8">
        <f>IF(AND(V2583=1,D2583&lt;&gt;""),IF(D2583&gt;=corte,TODAY()-D2583,""),"")</f>
        <v/>
      </c>
      <c r="V2583" s="8">
        <f>IF(D2583="",0,IF(OR(AND(P2583&lt;&gt;"",S2583=""),AND(N(J2583)&gt;0,N(K2583)&lt;J2583),OR(M2583="PENDENTE",M2583="PARCIAL"),OR(N2583="PENDENTE",N2583="PARCIAL")),1,0))</f>
        <v/>
      </c>
      <c r="W2583" s="8">
        <f>IF(AND(V2583=1,D2583&lt;&gt;""),IF(D2583&gt;=corte,(B2583="CRÍTICO")*1E9+(100000-D2583)*10000+10000-ROW(),""),"")</f>
        <v/>
      </c>
      <c r="X2583" s="8">
        <f>IF(AND(V2583=1,D2583=pas_data,E2583=pas_turno),10000-ROW(),"")</f>
        <v/>
      </c>
    </row>
    <row r="2584">
      <c r="A2584" s="3">
        <f>IF(D2584="","","TT-"&amp;TEXT(ROW()-1,"00000"))</f>
        <v/>
      </c>
      <c r="B2584" s="3">
        <f>IF(D2584="","",IF(V2584=0,"CONCLUÍDO",IF(D2584&lt;corte,"HISTÓRICO",IF(OR(AND(ISNUMBER(R2584),R2584&lt;TODAY()),AND(OR(N2584="PENDENTE",N2584="PARCIAL"),D2584&lt;TODAY()-1)),"CRÍTICO",IF(OR(AND(P2584&lt;&gt;"",S2584=""),AND(N2584="REALIZADO",M2584="PENDENTE"),AND(ISNUMBER(R2584),R2584=TODAY())),"ATENÇÃO",IF(N(K2584)=0,"PENDENTE","EM ANDAMENTO"))))))</f>
        <v/>
      </c>
      <c r="C2584" s="3">
        <f>IF(D2584="","",IF(V2584=0,"🟢 OK",IF(D2584&lt;corte,"⚪ HISTÓRICO (sem baixa)",IF(AND(ISNUMBER(R2584),R2584&lt;TODAY()),"🔴 PRAZO VENCIDO",IF(AND(OR(N2584="PENDENTE",N2584="PARCIAL"),D2584&lt;TODAY()-1),"🔴 EMBARQUE ATRASADO",IF(AND(N2584="REALIZADO",M2584="PENDENTE"),"🟡 EMBARCADO SEM FATURAR",IF(AND(P2584&lt;&gt;"",S2584="",OR(Q2584="",R2584="")),"🟡 PENDÊNCIA SEM RESPONSÁVEL/PRAZO",IF(AND(ISNUMBER(R2584),R2584=TODAY()),"🟡 VENCE HOJE",IF(AND(P2584&lt;&gt;"",S2584=""),"🟡 PENDÊNCIA ABERTA",IF(AND(N(J2584)&gt;0,N(K2584)&lt;J2584),"🟡 FALTA EXECUTAR",IF(OR(M2584="PENDENTE",M2584="PARCIAL"),"🟡 FATURAMENTO PENDENTE","🟡 EMBARQUE PENDENTE")))))))))))</f>
        <v/>
      </c>
      <c r="D2584" s="4" t="n"/>
      <c r="E2584" s="5" t="n"/>
      <c r="F2584" s="5" t="n"/>
      <c r="G2584" s="5" t="n"/>
      <c r="H2584" s="5" t="n"/>
      <c r="I2584" s="5" t="n"/>
      <c r="J2584" s="6" t="n"/>
      <c r="K2584" s="6" t="n"/>
      <c r="L2584" s="7">
        <f>IF(OR(D2584="",N(J2584)=0),"",MIN(1,N(K2584)/J2584))</f>
        <v/>
      </c>
      <c r="M2584" s="5" t="n"/>
      <c r="N2584" s="5" t="n"/>
      <c r="O2584" s="5" t="n"/>
      <c r="P2584" s="5" t="n"/>
      <c r="Q2584" s="5" t="n"/>
      <c r="R2584" s="4" t="n"/>
      <c r="S2584" s="4" t="n"/>
      <c r="T2584" s="5" t="n"/>
      <c r="U2584" s="8">
        <f>IF(AND(V2584=1,D2584&lt;&gt;""),IF(D2584&gt;=corte,TODAY()-D2584,""),"")</f>
        <v/>
      </c>
      <c r="V2584" s="8">
        <f>IF(D2584="",0,IF(OR(AND(P2584&lt;&gt;"",S2584=""),AND(N(J2584)&gt;0,N(K2584)&lt;J2584),OR(M2584="PENDENTE",M2584="PARCIAL"),OR(N2584="PENDENTE",N2584="PARCIAL")),1,0))</f>
        <v/>
      </c>
      <c r="W2584" s="8">
        <f>IF(AND(V2584=1,D2584&lt;&gt;""),IF(D2584&gt;=corte,(B2584="CRÍTICO")*1E9+(100000-D2584)*10000+10000-ROW(),""),"")</f>
        <v/>
      </c>
      <c r="X2584" s="8">
        <f>IF(AND(V2584=1,D2584=pas_data,E2584=pas_turno),10000-ROW(),"")</f>
        <v/>
      </c>
    </row>
    <row r="2585">
      <c r="A2585" s="3">
        <f>IF(D2585="","","TT-"&amp;TEXT(ROW()-1,"00000"))</f>
        <v/>
      </c>
      <c r="B2585" s="3">
        <f>IF(D2585="","",IF(V2585=0,"CONCLUÍDO",IF(D2585&lt;corte,"HISTÓRICO",IF(OR(AND(ISNUMBER(R2585),R2585&lt;TODAY()),AND(OR(N2585="PENDENTE",N2585="PARCIAL"),D2585&lt;TODAY()-1)),"CRÍTICO",IF(OR(AND(P2585&lt;&gt;"",S2585=""),AND(N2585="REALIZADO",M2585="PENDENTE"),AND(ISNUMBER(R2585),R2585=TODAY())),"ATENÇÃO",IF(N(K2585)=0,"PENDENTE","EM ANDAMENTO"))))))</f>
        <v/>
      </c>
      <c r="C2585" s="3">
        <f>IF(D2585="","",IF(V2585=0,"🟢 OK",IF(D2585&lt;corte,"⚪ HISTÓRICO (sem baixa)",IF(AND(ISNUMBER(R2585),R2585&lt;TODAY()),"🔴 PRAZO VENCIDO",IF(AND(OR(N2585="PENDENTE",N2585="PARCIAL"),D2585&lt;TODAY()-1),"🔴 EMBARQUE ATRASADO",IF(AND(N2585="REALIZADO",M2585="PENDENTE"),"🟡 EMBARCADO SEM FATURAR",IF(AND(P2585&lt;&gt;"",S2585="",OR(Q2585="",R2585="")),"🟡 PENDÊNCIA SEM RESPONSÁVEL/PRAZO",IF(AND(ISNUMBER(R2585),R2585=TODAY()),"🟡 VENCE HOJE",IF(AND(P2585&lt;&gt;"",S2585=""),"🟡 PENDÊNCIA ABERTA",IF(AND(N(J2585)&gt;0,N(K2585)&lt;J2585),"🟡 FALTA EXECUTAR",IF(OR(M2585="PENDENTE",M2585="PARCIAL"),"🟡 FATURAMENTO PENDENTE","🟡 EMBARQUE PENDENTE")))))))))))</f>
        <v/>
      </c>
      <c r="D2585" s="4" t="n"/>
      <c r="E2585" s="5" t="n"/>
      <c r="F2585" s="5" t="n"/>
      <c r="G2585" s="5" t="n"/>
      <c r="H2585" s="5" t="n"/>
      <c r="I2585" s="5" t="n"/>
      <c r="J2585" s="6" t="n"/>
      <c r="K2585" s="6" t="n"/>
      <c r="L2585" s="7">
        <f>IF(OR(D2585="",N(J2585)=0),"",MIN(1,N(K2585)/J2585))</f>
        <v/>
      </c>
      <c r="M2585" s="5" t="n"/>
      <c r="N2585" s="5" t="n"/>
      <c r="O2585" s="5" t="n"/>
      <c r="P2585" s="5" t="n"/>
      <c r="Q2585" s="5" t="n"/>
      <c r="R2585" s="4" t="n"/>
      <c r="S2585" s="4" t="n"/>
      <c r="T2585" s="5" t="n"/>
      <c r="U2585" s="8">
        <f>IF(AND(V2585=1,D2585&lt;&gt;""),IF(D2585&gt;=corte,TODAY()-D2585,""),"")</f>
        <v/>
      </c>
      <c r="V2585" s="8">
        <f>IF(D2585="",0,IF(OR(AND(P2585&lt;&gt;"",S2585=""),AND(N(J2585)&gt;0,N(K2585)&lt;J2585),OR(M2585="PENDENTE",M2585="PARCIAL"),OR(N2585="PENDENTE",N2585="PARCIAL")),1,0))</f>
        <v/>
      </c>
      <c r="W2585" s="8">
        <f>IF(AND(V2585=1,D2585&lt;&gt;""),IF(D2585&gt;=corte,(B2585="CRÍTICO")*1E9+(100000-D2585)*10000+10000-ROW(),""),"")</f>
        <v/>
      </c>
      <c r="X2585" s="8">
        <f>IF(AND(V2585=1,D2585=pas_data,E2585=pas_turno),10000-ROW(),"")</f>
        <v/>
      </c>
    </row>
    <row r="2586">
      <c r="A2586" s="3">
        <f>IF(D2586="","","TT-"&amp;TEXT(ROW()-1,"00000"))</f>
        <v/>
      </c>
      <c r="B2586" s="3">
        <f>IF(D2586="","",IF(V2586=0,"CONCLUÍDO",IF(D2586&lt;corte,"HISTÓRICO",IF(OR(AND(ISNUMBER(R2586),R2586&lt;TODAY()),AND(OR(N2586="PENDENTE",N2586="PARCIAL"),D2586&lt;TODAY()-1)),"CRÍTICO",IF(OR(AND(P2586&lt;&gt;"",S2586=""),AND(N2586="REALIZADO",M2586="PENDENTE"),AND(ISNUMBER(R2586),R2586=TODAY())),"ATENÇÃO",IF(N(K2586)=0,"PENDENTE","EM ANDAMENTO"))))))</f>
        <v/>
      </c>
      <c r="C2586" s="3">
        <f>IF(D2586="","",IF(V2586=0,"🟢 OK",IF(D2586&lt;corte,"⚪ HISTÓRICO (sem baixa)",IF(AND(ISNUMBER(R2586),R2586&lt;TODAY()),"🔴 PRAZO VENCIDO",IF(AND(OR(N2586="PENDENTE",N2586="PARCIAL"),D2586&lt;TODAY()-1),"🔴 EMBARQUE ATRASADO",IF(AND(N2586="REALIZADO",M2586="PENDENTE"),"🟡 EMBARCADO SEM FATURAR",IF(AND(P2586&lt;&gt;"",S2586="",OR(Q2586="",R2586="")),"🟡 PENDÊNCIA SEM RESPONSÁVEL/PRAZO",IF(AND(ISNUMBER(R2586),R2586=TODAY()),"🟡 VENCE HOJE",IF(AND(P2586&lt;&gt;"",S2586=""),"🟡 PENDÊNCIA ABERTA",IF(AND(N(J2586)&gt;0,N(K2586)&lt;J2586),"🟡 FALTA EXECUTAR",IF(OR(M2586="PENDENTE",M2586="PARCIAL"),"🟡 FATURAMENTO PENDENTE","🟡 EMBARQUE PENDENTE")))))))))))</f>
        <v/>
      </c>
      <c r="D2586" s="4" t="n"/>
      <c r="E2586" s="5" t="n"/>
      <c r="F2586" s="5" t="n"/>
      <c r="G2586" s="5" t="n"/>
      <c r="H2586" s="5" t="n"/>
      <c r="I2586" s="5" t="n"/>
      <c r="J2586" s="6" t="n"/>
      <c r="K2586" s="6" t="n"/>
      <c r="L2586" s="7">
        <f>IF(OR(D2586="",N(J2586)=0),"",MIN(1,N(K2586)/J2586))</f>
        <v/>
      </c>
      <c r="M2586" s="5" t="n"/>
      <c r="N2586" s="5" t="n"/>
      <c r="O2586" s="5" t="n"/>
      <c r="P2586" s="5" t="n"/>
      <c r="Q2586" s="5" t="n"/>
      <c r="R2586" s="4" t="n"/>
      <c r="S2586" s="4" t="n"/>
      <c r="T2586" s="5" t="n"/>
      <c r="U2586" s="8">
        <f>IF(AND(V2586=1,D2586&lt;&gt;""),IF(D2586&gt;=corte,TODAY()-D2586,""),"")</f>
        <v/>
      </c>
      <c r="V2586" s="8">
        <f>IF(D2586="",0,IF(OR(AND(P2586&lt;&gt;"",S2586=""),AND(N(J2586)&gt;0,N(K2586)&lt;J2586),OR(M2586="PENDENTE",M2586="PARCIAL"),OR(N2586="PENDENTE",N2586="PARCIAL")),1,0))</f>
        <v/>
      </c>
      <c r="W2586" s="8">
        <f>IF(AND(V2586=1,D2586&lt;&gt;""),IF(D2586&gt;=corte,(B2586="CRÍTICO")*1E9+(100000-D2586)*10000+10000-ROW(),""),"")</f>
        <v/>
      </c>
      <c r="X2586" s="8">
        <f>IF(AND(V2586=1,D2586=pas_data,E2586=pas_turno),10000-ROW(),"")</f>
        <v/>
      </c>
    </row>
    <row r="2587">
      <c r="A2587" s="3">
        <f>IF(D2587="","","TT-"&amp;TEXT(ROW()-1,"00000"))</f>
        <v/>
      </c>
      <c r="B2587" s="3">
        <f>IF(D2587="","",IF(V2587=0,"CONCLUÍDO",IF(D2587&lt;corte,"HISTÓRICO",IF(OR(AND(ISNUMBER(R2587),R2587&lt;TODAY()),AND(OR(N2587="PENDENTE",N2587="PARCIAL"),D2587&lt;TODAY()-1)),"CRÍTICO",IF(OR(AND(P2587&lt;&gt;"",S2587=""),AND(N2587="REALIZADO",M2587="PENDENTE"),AND(ISNUMBER(R2587),R2587=TODAY())),"ATENÇÃO",IF(N(K2587)=0,"PENDENTE","EM ANDAMENTO"))))))</f>
        <v/>
      </c>
      <c r="C2587" s="3">
        <f>IF(D2587="","",IF(V2587=0,"🟢 OK",IF(D2587&lt;corte,"⚪ HISTÓRICO (sem baixa)",IF(AND(ISNUMBER(R2587),R2587&lt;TODAY()),"🔴 PRAZO VENCIDO",IF(AND(OR(N2587="PENDENTE",N2587="PARCIAL"),D2587&lt;TODAY()-1),"🔴 EMBARQUE ATRASADO",IF(AND(N2587="REALIZADO",M2587="PENDENTE"),"🟡 EMBARCADO SEM FATURAR",IF(AND(P2587&lt;&gt;"",S2587="",OR(Q2587="",R2587="")),"🟡 PENDÊNCIA SEM RESPONSÁVEL/PRAZO",IF(AND(ISNUMBER(R2587),R2587=TODAY()),"🟡 VENCE HOJE",IF(AND(P2587&lt;&gt;"",S2587=""),"🟡 PENDÊNCIA ABERTA",IF(AND(N(J2587)&gt;0,N(K2587)&lt;J2587),"🟡 FALTA EXECUTAR",IF(OR(M2587="PENDENTE",M2587="PARCIAL"),"🟡 FATURAMENTO PENDENTE","🟡 EMBARQUE PENDENTE")))))))))))</f>
        <v/>
      </c>
      <c r="D2587" s="4" t="n"/>
      <c r="E2587" s="5" t="n"/>
      <c r="F2587" s="5" t="n"/>
      <c r="G2587" s="5" t="n"/>
      <c r="H2587" s="5" t="n"/>
      <c r="I2587" s="5" t="n"/>
      <c r="J2587" s="6" t="n"/>
      <c r="K2587" s="6" t="n"/>
      <c r="L2587" s="7">
        <f>IF(OR(D2587="",N(J2587)=0),"",MIN(1,N(K2587)/J2587))</f>
        <v/>
      </c>
      <c r="M2587" s="5" t="n"/>
      <c r="N2587" s="5" t="n"/>
      <c r="O2587" s="5" t="n"/>
      <c r="P2587" s="5" t="n"/>
      <c r="Q2587" s="5" t="n"/>
      <c r="R2587" s="4" t="n"/>
      <c r="S2587" s="4" t="n"/>
      <c r="T2587" s="5" t="n"/>
      <c r="U2587" s="8">
        <f>IF(AND(V2587=1,D2587&lt;&gt;""),IF(D2587&gt;=corte,TODAY()-D2587,""),"")</f>
        <v/>
      </c>
      <c r="V2587" s="8">
        <f>IF(D2587="",0,IF(OR(AND(P2587&lt;&gt;"",S2587=""),AND(N(J2587)&gt;0,N(K2587)&lt;J2587),OR(M2587="PENDENTE",M2587="PARCIAL"),OR(N2587="PENDENTE",N2587="PARCIAL")),1,0))</f>
        <v/>
      </c>
      <c r="W2587" s="8">
        <f>IF(AND(V2587=1,D2587&lt;&gt;""),IF(D2587&gt;=corte,(B2587="CRÍTICO")*1E9+(100000-D2587)*10000+10000-ROW(),""),"")</f>
        <v/>
      </c>
      <c r="X2587" s="8">
        <f>IF(AND(V2587=1,D2587=pas_data,E2587=pas_turno),10000-ROW(),"")</f>
        <v/>
      </c>
    </row>
    <row r="2588">
      <c r="A2588" s="3">
        <f>IF(D2588="","","TT-"&amp;TEXT(ROW()-1,"00000"))</f>
        <v/>
      </c>
      <c r="B2588" s="3">
        <f>IF(D2588="","",IF(V2588=0,"CONCLUÍDO",IF(D2588&lt;corte,"HISTÓRICO",IF(OR(AND(ISNUMBER(R2588),R2588&lt;TODAY()),AND(OR(N2588="PENDENTE",N2588="PARCIAL"),D2588&lt;TODAY()-1)),"CRÍTICO",IF(OR(AND(P2588&lt;&gt;"",S2588=""),AND(N2588="REALIZADO",M2588="PENDENTE"),AND(ISNUMBER(R2588),R2588=TODAY())),"ATENÇÃO",IF(N(K2588)=0,"PENDENTE","EM ANDAMENTO"))))))</f>
        <v/>
      </c>
      <c r="C2588" s="3">
        <f>IF(D2588="","",IF(V2588=0,"🟢 OK",IF(D2588&lt;corte,"⚪ HISTÓRICO (sem baixa)",IF(AND(ISNUMBER(R2588),R2588&lt;TODAY()),"🔴 PRAZO VENCIDO",IF(AND(OR(N2588="PENDENTE",N2588="PARCIAL"),D2588&lt;TODAY()-1),"🔴 EMBARQUE ATRASADO",IF(AND(N2588="REALIZADO",M2588="PENDENTE"),"🟡 EMBARCADO SEM FATURAR",IF(AND(P2588&lt;&gt;"",S2588="",OR(Q2588="",R2588="")),"🟡 PENDÊNCIA SEM RESPONSÁVEL/PRAZO",IF(AND(ISNUMBER(R2588),R2588=TODAY()),"🟡 VENCE HOJE",IF(AND(P2588&lt;&gt;"",S2588=""),"🟡 PENDÊNCIA ABERTA",IF(AND(N(J2588)&gt;0,N(K2588)&lt;J2588),"🟡 FALTA EXECUTAR",IF(OR(M2588="PENDENTE",M2588="PARCIAL"),"🟡 FATURAMENTO PENDENTE","🟡 EMBARQUE PENDENTE")))))))))))</f>
        <v/>
      </c>
      <c r="D2588" s="4" t="n"/>
      <c r="E2588" s="5" t="n"/>
      <c r="F2588" s="5" t="n"/>
      <c r="G2588" s="5" t="n"/>
      <c r="H2588" s="5" t="n"/>
      <c r="I2588" s="5" t="n"/>
      <c r="J2588" s="6" t="n"/>
      <c r="K2588" s="6" t="n"/>
      <c r="L2588" s="7">
        <f>IF(OR(D2588="",N(J2588)=0),"",MIN(1,N(K2588)/J2588))</f>
        <v/>
      </c>
      <c r="M2588" s="5" t="n"/>
      <c r="N2588" s="5" t="n"/>
      <c r="O2588" s="5" t="n"/>
      <c r="P2588" s="5" t="n"/>
      <c r="Q2588" s="5" t="n"/>
      <c r="R2588" s="4" t="n"/>
      <c r="S2588" s="4" t="n"/>
      <c r="T2588" s="5" t="n"/>
      <c r="U2588" s="8">
        <f>IF(AND(V2588=1,D2588&lt;&gt;""),IF(D2588&gt;=corte,TODAY()-D2588,""),"")</f>
        <v/>
      </c>
      <c r="V2588" s="8">
        <f>IF(D2588="",0,IF(OR(AND(P2588&lt;&gt;"",S2588=""),AND(N(J2588)&gt;0,N(K2588)&lt;J2588),OR(M2588="PENDENTE",M2588="PARCIAL"),OR(N2588="PENDENTE",N2588="PARCIAL")),1,0))</f>
        <v/>
      </c>
      <c r="W2588" s="8">
        <f>IF(AND(V2588=1,D2588&lt;&gt;""),IF(D2588&gt;=corte,(B2588="CRÍTICO")*1E9+(100000-D2588)*10000+10000-ROW(),""),"")</f>
        <v/>
      </c>
      <c r="X2588" s="8">
        <f>IF(AND(V2588=1,D2588=pas_data,E2588=pas_turno),10000-ROW(),"")</f>
        <v/>
      </c>
    </row>
    <row r="2589">
      <c r="A2589" s="3">
        <f>IF(D2589="","","TT-"&amp;TEXT(ROW()-1,"00000"))</f>
        <v/>
      </c>
      <c r="B2589" s="3">
        <f>IF(D2589="","",IF(V2589=0,"CONCLUÍDO",IF(D2589&lt;corte,"HISTÓRICO",IF(OR(AND(ISNUMBER(R2589),R2589&lt;TODAY()),AND(OR(N2589="PENDENTE",N2589="PARCIAL"),D2589&lt;TODAY()-1)),"CRÍTICO",IF(OR(AND(P2589&lt;&gt;"",S2589=""),AND(N2589="REALIZADO",M2589="PENDENTE"),AND(ISNUMBER(R2589),R2589=TODAY())),"ATENÇÃO",IF(N(K2589)=0,"PENDENTE","EM ANDAMENTO"))))))</f>
        <v/>
      </c>
      <c r="C2589" s="3">
        <f>IF(D2589="","",IF(V2589=0,"🟢 OK",IF(D2589&lt;corte,"⚪ HISTÓRICO (sem baixa)",IF(AND(ISNUMBER(R2589),R2589&lt;TODAY()),"🔴 PRAZO VENCIDO",IF(AND(OR(N2589="PENDENTE",N2589="PARCIAL"),D2589&lt;TODAY()-1),"🔴 EMBARQUE ATRASADO",IF(AND(N2589="REALIZADO",M2589="PENDENTE"),"🟡 EMBARCADO SEM FATURAR",IF(AND(P2589&lt;&gt;"",S2589="",OR(Q2589="",R2589="")),"🟡 PENDÊNCIA SEM RESPONSÁVEL/PRAZO",IF(AND(ISNUMBER(R2589),R2589=TODAY()),"🟡 VENCE HOJE",IF(AND(P2589&lt;&gt;"",S2589=""),"🟡 PENDÊNCIA ABERTA",IF(AND(N(J2589)&gt;0,N(K2589)&lt;J2589),"🟡 FALTA EXECUTAR",IF(OR(M2589="PENDENTE",M2589="PARCIAL"),"🟡 FATURAMENTO PENDENTE","🟡 EMBARQUE PENDENTE")))))))))))</f>
        <v/>
      </c>
      <c r="D2589" s="4" t="n"/>
      <c r="E2589" s="5" t="n"/>
      <c r="F2589" s="5" t="n"/>
      <c r="G2589" s="5" t="n"/>
      <c r="H2589" s="5" t="n"/>
      <c r="I2589" s="5" t="n"/>
      <c r="J2589" s="6" t="n"/>
      <c r="K2589" s="6" t="n"/>
      <c r="L2589" s="7">
        <f>IF(OR(D2589="",N(J2589)=0),"",MIN(1,N(K2589)/J2589))</f>
        <v/>
      </c>
      <c r="M2589" s="5" t="n"/>
      <c r="N2589" s="5" t="n"/>
      <c r="O2589" s="5" t="n"/>
      <c r="P2589" s="5" t="n"/>
      <c r="Q2589" s="5" t="n"/>
      <c r="R2589" s="4" t="n"/>
      <c r="S2589" s="4" t="n"/>
      <c r="T2589" s="5" t="n"/>
      <c r="U2589" s="8">
        <f>IF(AND(V2589=1,D2589&lt;&gt;""),IF(D2589&gt;=corte,TODAY()-D2589,""),"")</f>
        <v/>
      </c>
      <c r="V2589" s="8">
        <f>IF(D2589="",0,IF(OR(AND(P2589&lt;&gt;"",S2589=""),AND(N(J2589)&gt;0,N(K2589)&lt;J2589),OR(M2589="PENDENTE",M2589="PARCIAL"),OR(N2589="PENDENTE",N2589="PARCIAL")),1,0))</f>
        <v/>
      </c>
      <c r="W2589" s="8">
        <f>IF(AND(V2589=1,D2589&lt;&gt;""),IF(D2589&gt;=corte,(B2589="CRÍTICO")*1E9+(100000-D2589)*10000+10000-ROW(),""),"")</f>
        <v/>
      </c>
      <c r="X2589" s="8">
        <f>IF(AND(V2589=1,D2589=pas_data,E2589=pas_turno),10000-ROW(),"")</f>
        <v/>
      </c>
    </row>
    <row r="2590">
      <c r="A2590" s="3">
        <f>IF(D2590="","","TT-"&amp;TEXT(ROW()-1,"00000"))</f>
        <v/>
      </c>
      <c r="B2590" s="3">
        <f>IF(D2590="","",IF(V2590=0,"CONCLUÍDO",IF(D2590&lt;corte,"HISTÓRICO",IF(OR(AND(ISNUMBER(R2590),R2590&lt;TODAY()),AND(OR(N2590="PENDENTE",N2590="PARCIAL"),D2590&lt;TODAY()-1)),"CRÍTICO",IF(OR(AND(P2590&lt;&gt;"",S2590=""),AND(N2590="REALIZADO",M2590="PENDENTE"),AND(ISNUMBER(R2590),R2590=TODAY())),"ATENÇÃO",IF(N(K2590)=0,"PENDENTE","EM ANDAMENTO"))))))</f>
        <v/>
      </c>
      <c r="C2590" s="3">
        <f>IF(D2590="","",IF(V2590=0,"🟢 OK",IF(D2590&lt;corte,"⚪ HISTÓRICO (sem baixa)",IF(AND(ISNUMBER(R2590),R2590&lt;TODAY()),"🔴 PRAZO VENCIDO",IF(AND(OR(N2590="PENDENTE",N2590="PARCIAL"),D2590&lt;TODAY()-1),"🔴 EMBARQUE ATRASADO",IF(AND(N2590="REALIZADO",M2590="PENDENTE"),"🟡 EMBARCADO SEM FATURAR",IF(AND(P2590&lt;&gt;"",S2590="",OR(Q2590="",R2590="")),"🟡 PENDÊNCIA SEM RESPONSÁVEL/PRAZO",IF(AND(ISNUMBER(R2590),R2590=TODAY()),"🟡 VENCE HOJE",IF(AND(P2590&lt;&gt;"",S2590=""),"🟡 PENDÊNCIA ABERTA",IF(AND(N(J2590)&gt;0,N(K2590)&lt;J2590),"🟡 FALTA EXECUTAR",IF(OR(M2590="PENDENTE",M2590="PARCIAL"),"🟡 FATURAMENTO PENDENTE","🟡 EMBARQUE PENDENTE")))))))))))</f>
        <v/>
      </c>
      <c r="D2590" s="4" t="n"/>
      <c r="E2590" s="5" t="n"/>
      <c r="F2590" s="5" t="n"/>
      <c r="G2590" s="5" t="n"/>
      <c r="H2590" s="5" t="n"/>
      <c r="I2590" s="5" t="n"/>
      <c r="J2590" s="6" t="n"/>
      <c r="K2590" s="6" t="n"/>
      <c r="L2590" s="7">
        <f>IF(OR(D2590="",N(J2590)=0),"",MIN(1,N(K2590)/J2590))</f>
        <v/>
      </c>
      <c r="M2590" s="5" t="n"/>
      <c r="N2590" s="5" t="n"/>
      <c r="O2590" s="5" t="n"/>
      <c r="P2590" s="5" t="n"/>
      <c r="Q2590" s="5" t="n"/>
      <c r="R2590" s="4" t="n"/>
      <c r="S2590" s="4" t="n"/>
      <c r="T2590" s="5" t="n"/>
      <c r="U2590" s="8">
        <f>IF(AND(V2590=1,D2590&lt;&gt;""),IF(D2590&gt;=corte,TODAY()-D2590,""),"")</f>
        <v/>
      </c>
      <c r="V2590" s="8">
        <f>IF(D2590="",0,IF(OR(AND(P2590&lt;&gt;"",S2590=""),AND(N(J2590)&gt;0,N(K2590)&lt;J2590),OR(M2590="PENDENTE",M2590="PARCIAL"),OR(N2590="PENDENTE",N2590="PARCIAL")),1,0))</f>
        <v/>
      </c>
      <c r="W2590" s="8">
        <f>IF(AND(V2590=1,D2590&lt;&gt;""),IF(D2590&gt;=corte,(B2590="CRÍTICO")*1E9+(100000-D2590)*10000+10000-ROW(),""),"")</f>
        <v/>
      </c>
      <c r="X2590" s="8">
        <f>IF(AND(V2590=1,D2590=pas_data,E2590=pas_turno),10000-ROW(),"")</f>
        <v/>
      </c>
    </row>
    <row r="2591">
      <c r="A2591" s="3">
        <f>IF(D2591="","","TT-"&amp;TEXT(ROW()-1,"00000"))</f>
        <v/>
      </c>
      <c r="B2591" s="3">
        <f>IF(D2591="","",IF(V2591=0,"CONCLUÍDO",IF(D2591&lt;corte,"HISTÓRICO",IF(OR(AND(ISNUMBER(R2591),R2591&lt;TODAY()),AND(OR(N2591="PENDENTE",N2591="PARCIAL"),D2591&lt;TODAY()-1)),"CRÍTICO",IF(OR(AND(P2591&lt;&gt;"",S2591=""),AND(N2591="REALIZADO",M2591="PENDENTE"),AND(ISNUMBER(R2591),R2591=TODAY())),"ATENÇÃO",IF(N(K2591)=0,"PENDENTE","EM ANDAMENTO"))))))</f>
        <v/>
      </c>
      <c r="C2591" s="3">
        <f>IF(D2591="","",IF(V2591=0,"🟢 OK",IF(D2591&lt;corte,"⚪ HISTÓRICO (sem baixa)",IF(AND(ISNUMBER(R2591),R2591&lt;TODAY()),"🔴 PRAZO VENCIDO",IF(AND(OR(N2591="PENDENTE",N2591="PARCIAL"),D2591&lt;TODAY()-1),"🔴 EMBARQUE ATRASADO",IF(AND(N2591="REALIZADO",M2591="PENDENTE"),"🟡 EMBARCADO SEM FATURAR",IF(AND(P2591&lt;&gt;"",S2591="",OR(Q2591="",R2591="")),"🟡 PENDÊNCIA SEM RESPONSÁVEL/PRAZO",IF(AND(ISNUMBER(R2591),R2591=TODAY()),"🟡 VENCE HOJE",IF(AND(P2591&lt;&gt;"",S2591=""),"🟡 PENDÊNCIA ABERTA",IF(AND(N(J2591)&gt;0,N(K2591)&lt;J2591),"🟡 FALTA EXECUTAR",IF(OR(M2591="PENDENTE",M2591="PARCIAL"),"🟡 FATURAMENTO PENDENTE","🟡 EMBARQUE PENDENTE")))))))))))</f>
        <v/>
      </c>
      <c r="D2591" s="4" t="n"/>
      <c r="E2591" s="5" t="n"/>
      <c r="F2591" s="5" t="n"/>
      <c r="G2591" s="5" t="n"/>
      <c r="H2591" s="5" t="n"/>
      <c r="I2591" s="5" t="n"/>
      <c r="J2591" s="6" t="n"/>
      <c r="K2591" s="6" t="n"/>
      <c r="L2591" s="7">
        <f>IF(OR(D2591="",N(J2591)=0),"",MIN(1,N(K2591)/J2591))</f>
        <v/>
      </c>
      <c r="M2591" s="5" t="n"/>
      <c r="N2591" s="5" t="n"/>
      <c r="O2591" s="5" t="n"/>
      <c r="P2591" s="5" t="n"/>
      <c r="Q2591" s="5" t="n"/>
      <c r="R2591" s="4" t="n"/>
      <c r="S2591" s="4" t="n"/>
      <c r="T2591" s="5" t="n"/>
      <c r="U2591" s="8">
        <f>IF(AND(V2591=1,D2591&lt;&gt;""),IF(D2591&gt;=corte,TODAY()-D2591,""),"")</f>
        <v/>
      </c>
      <c r="V2591" s="8">
        <f>IF(D2591="",0,IF(OR(AND(P2591&lt;&gt;"",S2591=""),AND(N(J2591)&gt;0,N(K2591)&lt;J2591),OR(M2591="PENDENTE",M2591="PARCIAL"),OR(N2591="PENDENTE",N2591="PARCIAL")),1,0))</f>
        <v/>
      </c>
      <c r="W2591" s="8">
        <f>IF(AND(V2591=1,D2591&lt;&gt;""),IF(D2591&gt;=corte,(B2591="CRÍTICO")*1E9+(100000-D2591)*10000+10000-ROW(),""),"")</f>
        <v/>
      </c>
      <c r="X2591" s="8">
        <f>IF(AND(V2591=1,D2591=pas_data,E2591=pas_turno),10000-ROW(),"")</f>
        <v/>
      </c>
    </row>
    <row r="2592">
      <c r="A2592" s="3">
        <f>IF(D2592="","","TT-"&amp;TEXT(ROW()-1,"00000"))</f>
        <v/>
      </c>
      <c r="B2592" s="3">
        <f>IF(D2592="","",IF(V2592=0,"CONCLUÍDO",IF(D2592&lt;corte,"HISTÓRICO",IF(OR(AND(ISNUMBER(R2592),R2592&lt;TODAY()),AND(OR(N2592="PENDENTE",N2592="PARCIAL"),D2592&lt;TODAY()-1)),"CRÍTICO",IF(OR(AND(P2592&lt;&gt;"",S2592=""),AND(N2592="REALIZADO",M2592="PENDENTE"),AND(ISNUMBER(R2592),R2592=TODAY())),"ATENÇÃO",IF(N(K2592)=0,"PENDENTE","EM ANDAMENTO"))))))</f>
        <v/>
      </c>
      <c r="C2592" s="3">
        <f>IF(D2592="","",IF(V2592=0,"🟢 OK",IF(D2592&lt;corte,"⚪ HISTÓRICO (sem baixa)",IF(AND(ISNUMBER(R2592),R2592&lt;TODAY()),"🔴 PRAZO VENCIDO",IF(AND(OR(N2592="PENDENTE",N2592="PARCIAL"),D2592&lt;TODAY()-1),"🔴 EMBARQUE ATRASADO",IF(AND(N2592="REALIZADO",M2592="PENDENTE"),"🟡 EMBARCADO SEM FATURAR",IF(AND(P2592&lt;&gt;"",S2592="",OR(Q2592="",R2592="")),"🟡 PENDÊNCIA SEM RESPONSÁVEL/PRAZO",IF(AND(ISNUMBER(R2592),R2592=TODAY()),"🟡 VENCE HOJE",IF(AND(P2592&lt;&gt;"",S2592=""),"🟡 PENDÊNCIA ABERTA",IF(AND(N(J2592)&gt;0,N(K2592)&lt;J2592),"🟡 FALTA EXECUTAR",IF(OR(M2592="PENDENTE",M2592="PARCIAL"),"🟡 FATURAMENTO PENDENTE","🟡 EMBARQUE PENDENTE")))))))))))</f>
        <v/>
      </c>
      <c r="D2592" s="4" t="n"/>
      <c r="E2592" s="5" t="n"/>
      <c r="F2592" s="5" t="n"/>
      <c r="G2592" s="5" t="n"/>
      <c r="H2592" s="5" t="n"/>
      <c r="I2592" s="5" t="n"/>
      <c r="J2592" s="6" t="n"/>
      <c r="K2592" s="6" t="n"/>
      <c r="L2592" s="7">
        <f>IF(OR(D2592="",N(J2592)=0),"",MIN(1,N(K2592)/J2592))</f>
        <v/>
      </c>
      <c r="M2592" s="5" t="n"/>
      <c r="N2592" s="5" t="n"/>
      <c r="O2592" s="5" t="n"/>
      <c r="P2592" s="5" t="n"/>
      <c r="Q2592" s="5" t="n"/>
      <c r="R2592" s="4" t="n"/>
      <c r="S2592" s="4" t="n"/>
      <c r="T2592" s="5" t="n"/>
      <c r="U2592" s="8">
        <f>IF(AND(V2592=1,D2592&lt;&gt;""),IF(D2592&gt;=corte,TODAY()-D2592,""),"")</f>
        <v/>
      </c>
      <c r="V2592" s="8">
        <f>IF(D2592="",0,IF(OR(AND(P2592&lt;&gt;"",S2592=""),AND(N(J2592)&gt;0,N(K2592)&lt;J2592),OR(M2592="PENDENTE",M2592="PARCIAL"),OR(N2592="PENDENTE",N2592="PARCIAL")),1,0))</f>
        <v/>
      </c>
      <c r="W2592" s="8">
        <f>IF(AND(V2592=1,D2592&lt;&gt;""),IF(D2592&gt;=corte,(B2592="CRÍTICO")*1E9+(100000-D2592)*10000+10000-ROW(),""),"")</f>
        <v/>
      </c>
      <c r="X2592" s="8">
        <f>IF(AND(V2592=1,D2592=pas_data,E2592=pas_turno),10000-ROW(),"")</f>
        <v/>
      </c>
    </row>
    <row r="2593">
      <c r="A2593" s="3">
        <f>IF(D2593="","","TT-"&amp;TEXT(ROW()-1,"00000"))</f>
        <v/>
      </c>
      <c r="B2593" s="3">
        <f>IF(D2593="","",IF(V2593=0,"CONCLUÍDO",IF(D2593&lt;corte,"HISTÓRICO",IF(OR(AND(ISNUMBER(R2593),R2593&lt;TODAY()),AND(OR(N2593="PENDENTE",N2593="PARCIAL"),D2593&lt;TODAY()-1)),"CRÍTICO",IF(OR(AND(P2593&lt;&gt;"",S2593=""),AND(N2593="REALIZADO",M2593="PENDENTE"),AND(ISNUMBER(R2593),R2593=TODAY())),"ATENÇÃO",IF(N(K2593)=0,"PENDENTE","EM ANDAMENTO"))))))</f>
        <v/>
      </c>
      <c r="C2593" s="3">
        <f>IF(D2593="","",IF(V2593=0,"🟢 OK",IF(D2593&lt;corte,"⚪ HISTÓRICO (sem baixa)",IF(AND(ISNUMBER(R2593),R2593&lt;TODAY()),"🔴 PRAZO VENCIDO",IF(AND(OR(N2593="PENDENTE",N2593="PARCIAL"),D2593&lt;TODAY()-1),"🔴 EMBARQUE ATRASADO",IF(AND(N2593="REALIZADO",M2593="PENDENTE"),"🟡 EMBARCADO SEM FATURAR",IF(AND(P2593&lt;&gt;"",S2593="",OR(Q2593="",R2593="")),"🟡 PENDÊNCIA SEM RESPONSÁVEL/PRAZO",IF(AND(ISNUMBER(R2593),R2593=TODAY()),"🟡 VENCE HOJE",IF(AND(P2593&lt;&gt;"",S2593=""),"🟡 PENDÊNCIA ABERTA",IF(AND(N(J2593)&gt;0,N(K2593)&lt;J2593),"🟡 FALTA EXECUTAR",IF(OR(M2593="PENDENTE",M2593="PARCIAL"),"🟡 FATURAMENTO PENDENTE","🟡 EMBARQUE PENDENTE")))))))))))</f>
        <v/>
      </c>
      <c r="D2593" s="4" t="n"/>
      <c r="E2593" s="5" t="n"/>
      <c r="F2593" s="5" t="n"/>
      <c r="G2593" s="5" t="n"/>
      <c r="H2593" s="5" t="n"/>
      <c r="I2593" s="5" t="n"/>
      <c r="J2593" s="6" t="n"/>
      <c r="K2593" s="6" t="n"/>
      <c r="L2593" s="7">
        <f>IF(OR(D2593="",N(J2593)=0),"",MIN(1,N(K2593)/J2593))</f>
        <v/>
      </c>
      <c r="M2593" s="5" t="n"/>
      <c r="N2593" s="5" t="n"/>
      <c r="O2593" s="5" t="n"/>
      <c r="P2593" s="5" t="n"/>
      <c r="Q2593" s="5" t="n"/>
      <c r="R2593" s="4" t="n"/>
      <c r="S2593" s="4" t="n"/>
      <c r="T2593" s="5" t="n"/>
      <c r="U2593" s="8">
        <f>IF(AND(V2593=1,D2593&lt;&gt;""),IF(D2593&gt;=corte,TODAY()-D2593,""),"")</f>
        <v/>
      </c>
      <c r="V2593" s="8">
        <f>IF(D2593="",0,IF(OR(AND(P2593&lt;&gt;"",S2593=""),AND(N(J2593)&gt;0,N(K2593)&lt;J2593),OR(M2593="PENDENTE",M2593="PARCIAL"),OR(N2593="PENDENTE",N2593="PARCIAL")),1,0))</f>
        <v/>
      </c>
      <c r="W2593" s="8">
        <f>IF(AND(V2593=1,D2593&lt;&gt;""),IF(D2593&gt;=corte,(B2593="CRÍTICO")*1E9+(100000-D2593)*10000+10000-ROW(),""),"")</f>
        <v/>
      </c>
      <c r="X2593" s="8">
        <f>IF(AND(V2593=1,D2593=pas_data,E2593=pas_turno),10000-ROW(),"")</f>
        <v/>
      </c>
    </row>
    <row r="2594">
      <c r="A2594" s="3">
        <f>IF(D2594="","","TT-"&amp;TEXT(ROW()-1,"00000"))</f>
        <v/>
      </c>
      <c r="B2594" s="3">
        <f>IF(D2594="","",IF(V2594=0,"CONCLUÍDO",IF(D2594&lt;corte,"HISTÓRICO",IF(OR(AND(ISNUMBER(R2594),R2594&lt;TODAY()),AND(OR(N2594="PENDENTE",N2594="PARCIAL"),D2594&lt;TODAY()-1)),"CRÍTICO",IF(OR(AND(P2594&lt;&gt;"",S2594=""),AND(N2594="REALIZADO",M2594="PENDENTE"),AND(ISNUMBER(R2594),R2594=TODAY())),"ATENÇÃO",IF(N(K2594)=0,"PENDENTE","EM ANDAMENTO"))))))</f>
        <v/>
      </c>
      <c r="C2594" s="3">
        <f>IF(D2594="","",IF(V2594=0,"🟢 OK",IF(D2594&lt;corte,"⚪ HISTÓRICO (sem baixa)",IF(AND(ISNUMBER(R2594),R2594&lt;TODAY()),"🔴 PRAZO VENCIDO",IF(AND(OR(N2594="PENDENTE",N2594="PARCIAL"),D2594&lt;TODAY()-1),"🔴 EMBARQUE ATRASADO",IF(AND(N2594="REALIZADO",M2594="PENDENTE"),"🟡 EMBARCADO SEM FATURAR",IF(AND(P2594&lt;&gt;"",S2594="",OR(Q2594="",R2594="")),"🟡 PENDÊNCIA SEM RESPONSÁVEL/PRAZO",IF(AND(ISNUMBER(R2594),R2594=TODAY()),"🟡 VENCE HOJE",IF(AND(P2594&lt;&gt;"",S2594=""),"🟡 PENDÊNCIA ABERTA",IF(AND(N(J2594)&gt;0,N(K2594)&lt;J2594),"🟡 FALTA EXECUTAR",IF(OR(M2594="PENDENTE",M2594="PARCIAL"),"🟡 FATURAMENTO PENDENTE","🟡 EMBARQUE PENDENTE")))))))))))</f>
        <v/>
      </c>
      <c r="D2594" s="4" t="n"/>
      <c r="E2594" s="5" t="n"/>
      <c r="F2594" s="5" t="n"/>
      <c r="G2594" s="5" t="n"/>
      <c r="H2594" s="5" t="n"/>
      <c r="I2594" s="5" t="n"/>
      <c r="J2594" s="6" t="n"/>
      <c r="K2594" s="6" t="n"/>
      <c r="L2594" s="7">
        <f>IF(OR(D2594="",N(J2594)=0),"",MIN(1,N(K2594)/J2594))</f>
        <v/>
      </c>
      <c r="M2594" s="5" t="n"/>
      <c r="N2594" s="5" t="n"/>
      <c r="O2594" s="5" t="n"/>
      <c r="P2594" s="5" t="n"/>
      <c r="Q2594" s="5" t="n"/>
      <c r="R2594" s="4" t="n"/>
      <c r="S2594" s="4" t="n"/>
      <c r="T2594" s="5" t="n"/>
      <c r="U2594" s="8">
        <f>IF(AND(V2594=1,D2594&lt;&gt;""),IF(D2594&gt;=corte,TODAY()-D2594,""),"")</f>
        <v/>
      </c>
      <c r="V2594" s="8">
        <f>IF(D2594="",0,IF(OR(AND(P2594&lt;&gt;"",S2594=""),AND(N(J2594)&gt;0,N(K2594)&lt;J2594),OR(M2594="PENDENTE",M2594="PARCIAL"),OR(N2594="PENDENTE",N2594="PARCIAL")),1,0))</f>
        <v/>
      </c>
      <c r="W2594" s="8">
        <f>IF(AND(V2594=1,D2594&lt;&gt;""),IF(D2594&gt;=corte,(B2594="CRÍTICO")*1E9+(100000-D2594)*10000+10000-ROW(),""),"")</f>
        <v/>
      </c>
      <c r="X2594" s="8">
        <f>IF(AND(V2594=1,D2594=pas_data,E2594=pas_turno),10000-ROW(),"")</f>
        <v/>
      </c>
    </row>
    <row r="2595">
      <c r="A2595" s="3">
        <f>IF(D2595="","","TT-"&amp;TEXT(ROW()-1,"00000"))</f>
        <v/>
      </c>
      <c r="B2595" s="3">
        <f>IF(D2595="","",IF(V2595=0,"CONCLUÍDO",IF(D2595&lt;corte,"HISTÓRICO",IF(OR(AND(ISNUMBER(R2595),R2595&lt;TODAY()),AND(OR(N2595="PENDENTE",N2595="PARCIAL"),D2595&lt;TODAY()-1)),"CRÍTICO",IF(OR(AND(P2595&lt;&gt;"",S2595=""),AND(N2595="REALIZADO",M2595="PENDENTE"),AND(ISNUMBER(R2595),R2595=TODAY())),"ATENÇÃO",IF(N(K2595)=0,"PENDENTE","EM ANDAMENTO"))))))</f>
        <v/>
      </c>
      <c r="C2595" s="3">
        <f>IF(D2595="","",IF(V2595=0,"🟢 OK",IF(D2595&lt;corte,"⚪ HISTÓRICO (sem baixa)",IF(AND(ISNUMBER(R2595),R2595&lt;TODAY()),"🔴 PRAZO VENCIDO",IF(AND(OR(N2595="PENDENTE",N2595="PARCIAL"),D2595&lt;TODAY()-1),"🔴 EMBARQUE ATRASADO",IF(AND(N2595="REALIZADO",M2595="PENDENTE"),"🟡 EMBARCADO SEM FATURAR",IF(AND(P2595&lt;&gt;"",S2595="",OR(Q2595="",R2595="")),"🟡 PENDÊNCIA SEM RESPONSÁVEL/PRAZO",IF(AND(ISNUMBER(R2595),R2595=TODAY()),"🟡 VENCE HOJE",IF(AND(P2595&lt;&gt;"",S2595=""),"🟡 PENDÊNCIA ABERTA",IF(AND(N(J2595)&gt;0,N(K2595)&lt;J2595),"🟡 FALTA EXECUTAR",IF(OR(M2595="PENDENTE",M2595="PARCIAL"),"🟡 FATURAMENTO PENDENTE","🟡 EMBARQUE PENDENTE")))))))))))</f>
        <v/>
      </c>
      <c r="D2595" s="4" t="n"/>
      <c r="E2595" s="5" t="n"/>
      <c r="F2595" s="5" t="n"/>
      <c r="G2595" s="5" t="n"/>
      <c r="H2595" s="5" t="n"/>
      <c r="I2595" s="5" t="n"/>
      <c r="J2595" s="6" t="n"/>
      <c r="K2595" s="6" t="n"/>
      <c r="L2595" s="7">
        <f>IF(OR(D2595="",N(J2595)=0),"",MIN(1,N(K2595)/J2595))</f>
        <v/>
      </c>
      <c r="M2595" s="5" t="n"/>
      <c r="N2595" s="5" t="n"/>
      <c r="O2595" s="5" t="n"/>
      <c r="P2595" s="5" t="n"/>
      <c r="Q2595" s="5" t="n"/>
      <c r="R2595" s="4" t="n"/>
      <c r="S2595" s="4" t="n"/>
      <c r="T2595" s="5" t="n"/>
      <c r="U2595" s="8">
        <f>IF(AND(V2595=1,D2595&lt;&gt;""),IF(D2595&gt;=corte,TODAY()-D2595,""),"")</f>
        <v/>
      </c>
      <c r="V2595" s="8">
        <f>IF(D2595="",0,IF(OR(AND(P2595&lt;&gt;"",S2595=""),AND(N(J2595)&gt;0,N(K2595)&lt;J2595),OR(M2595="PENDENTE",M2595="PARCIAL"),OR(N2595="PENDENTE",N2595="PARCIAL")),1,0))</f>
        <v/>
      </c>
      <c r="W2595" s="8">
        <f>IF(AND(V2595=1,D2595&lt;&gt;""),IF(D2595&gt;=corte,(B2595="CRÍTICO")*1E9+(100000-D2595)*10000+10000-ROW(),""),"")</f>
        <v/>
      </c>
      <c r="X2595" s="8">
        <f>IF(AND(V2595=1,D2595=pas_data,E2595=pas_turno),10000-ROW(),"")</f>
        <v/>
      </c>
    </row>
    <row r="2596">
      <c r="A2596" s="3">
        <f>IF(D2596="","","TT-"&amp;TEXT(ROW()-1,"00000"))</f>
        <v/>
      </c>
      <c r="B2596" s="3">
        <f>IF(D2596="","",IF(V2596=0,"CONCLUÍDO",IF(D2596&lt;corte,"HISTÓRICO",IF(OR(AND(ISNUMBER(R2596),R2596&lt;TODAY()),AND(OR(N2596="PENDENTE",N2596="PARCIAL"),D2596&lt;TODAY()-1)),"CRÍTICO",IF(OR(AND(P2596&lt;&gt;"",S2596=""),AND(N2596="REALIZADO",M2596="PENDENTE"),AND(ISNUMBER(R2596),R2596=TODAY())),"ATENÇÃO",IF(N(K2596)=0,"PENDENTE","EM ANDAMENTO"))))))</f>
        <v/>
      </c>
      <c r="C2596" s="3">
        <f>IF(D2596="","",IF(V2596=0,"🟢 OK",IF(D2596&lt;corte,"⚪ HISTÓRICO (sem baixa)",IF(AND(ISNUMBER(R2596),R2596&lt;TODAY()),"🔴 PRAZO VENCIDO",IF(AND(OR(N2596="PENDENTE",N2596="PARCIAL"),D2596&lt;TODAY()-1),"🔴 EMBARQUE ATRASADO",IF(AND(N2596="REALIZADO",M2596="PENDENTE"),"🟡 EMBARCADO SEM FATURAR",IF(AND(P2596&lt;&gt;"",S2596="",OR(Q2596="",R2596="")),"🟡 PENDÊNCIA SEM RESPONSÁVEL/PRAZO",IF(AND(ISNUMBER(R2596),R2596=TODAY()),"🟡 VENCE HOJE",IF(AND(P2596&lt;&gt;"",S2596=""),"🟡 PENDÊNCIA ABERTA",IF(AND(N(J2596)&gt;0,N(K2596)&lt;J2596),"🟡 FALTA EXECUTAR",IF(OR(M2596="PENDENTE",M2596="PARCIAL"),"🟡 FATURAMENTO PENDENTE","🟡 EMBARQUE PENDENTE")))))))))))</f>
        <v/>
      </c>
      <c r="D2596" s="4" t="n"/>
      <c r="E2596" s="5" t="n"/>
      <c r="F2596" s="5" t="n"/>
      <c r="G2596" s="5" t="n"/>
      <c r="H2596" s="5" t="n"/>
      <c r="I2596" s="5" t="n"/>
      <c r="J2596" s="6" t="n"/>
      <c r="K2596" s="6" t="n"/>
      <c r="L2596" s="7">
        <f>IF(OR(D2596="",N(J2596)=0),"",MIN(1,N(K2596)/J2596))</f>
        <v/>
      </c>
      <c r="M2596" s="5" t="n"/>
      <c r="N2596" s="5" t="n"/>
      <c r="O2596" s="5" t="n"/>
      <c r="P2596" s="5" t="n"/>
      <c r="Q2596" s="5" t="n"/>
      <c r="R2596" s="4" t="n"/>
      <c r="S2596" s="4" t="n"/>
      <c r="T2596" s="5" t="n"/>
      <c r="U2596" s="8">
        <f>IF(AND(V2596=1,D2596&lt;&gt;""),IF(D2596&gt;=corte,TODAY()-D2596,""),"")</f>
        <v/>
      </c>
      <c r="V2596" s="8">
        <f>IF(D2596="",0,IF(OR(AND(P2596&lt;&gt;"",S2596=""),AND(N(J2596)&gt;0,N(K2596)&lt;J2596),OR(M2596="PENDENTE",M2596="PARCIAL"),OR(N2596="PENDENTE",N2596="PARCIAL")),1,0))</f>
        <v/>
      </c>
      <c r="W2596" s="8">
        <f>IF(AND(V2596=1,D2596&lt;&gt;""),IF(D2596&gt;=corte,(B2596="CRÍTICO")*1E9+(100000-D2596)*10000+10000-ROW(),""),"")</f>
        <v/>
      </c>
      <c r="X2596" s="8">
        <f>IF(AND(V2596=1,D2596=pas_data,E2596=pas_turno),10000-ROW(),"")</f>
        <v/>
      </c>
    </row>
    <row r="2597">
      <c r="A2597" s="3">
        <f>IF(D2597="","","TT-"&amp;TEXT(ROW()-1,"00000"))</f>
        <v/>
      </c>
      <c r="B2597" s="3">
        <f>IF(D2597="","",IF(V2597=0,"CONCLUÍDO",IF(D2597&lt;corte,"HISTÓRICO",IF(OR(AND(ISNUMBER(R2597),R2597&lt;TODAY()),AND(OR(N2597="PENDENTE",N2597="PARCIAL"),D2597&lt;TODAY()-1)),"CRÍTICO",IF(OR(AND(P2597&lt;&gt;"",S2597=""),AND(N2597="REALIZADO",M2597="PENDENTE"),AND(ISNUMBER(R2597),R2597=TODAY())),"ATENÇÃO",IF(N(K2597)=0,"PENDENTE","EM ANDAMENTO"))))))</f>
        <v/>
      </c>
      <c r="C2597" s="3">
        <f>IF(D2597="","",IF(V2597=0,"🟢 OK",IF(D2597&lt;corte,"⚪ HISTÓRICO (sem baixa)",IF(AND(ISNUMBER(R2597),R2597&lt;TODAY()),"🔴 PRAZO VENCIDO",IF(AND(OR(N2597="PENDENTE",N2597="PARCIAL"),D2597&lt;TODAY()-1),"🔴 EMBARQUE ATRASADO",IF(AND(N2597="REALIZADO",M2597="PENDENTE"),"🟡 EMBARCADO SEM FATURAR",IF(AND(P2597&lt;&gt;"",S2597="",OR(Q2597="",R2597="")),"🟡 PENDÊNCIA SEM RESPONSÁVEL/PRAZO",IF(AND(ISNUMBER(R2597),R2597=TODAY()),"🟡 VENCE HOJE",IF(AND(P2597&lt;&gt;"",S2597=""),"🟡 PENDÊNCIA ABERTA",IF(AND(N(J2597)&gt;0,N(K2597)&lt;J2597),"🟡 FALTA EXECUTAR",IF(OR(M2597="PENDENTE",M2597="PARCIAL"),"🟡 FATURAMENTO PENDENTE","🟡 EMBARQUE PENDENTE")))))))))))</f>
        <v/>
      </c>
      <c r="D2597" s="4" t="n"/>
      <c r="E2597" s="5" t="n"/>
      <c r="F2597" s="5" t="n"/>
      <c r="G2597" s="5" t="n"/>
      <c r="H2597" s="5" t="n"/>
      <c r="I2597" s="5" t="n"/>
      <c r="J2597" s="6" t="n"/>
      <c r="K2597" s="6" t="n"/>
      <c r="L2597" s="7">
        <f>IF(OR(D2597="",N(J2597)=0),"",MIN(1,N(K2597)/J2597))</f>
        <v/>
      </c>
      <c r="M2597" s="5" t="n"/>
      <c r="N2597" s="5" t="n"/>
      <c r="O2597" s="5" t="n"/>
      <c r="P2597" s="5" t="n"/>
      <c r="Q2597" s="5" t="n"/>
      <c r="R2597" s="4" t="n"/>
      <c r="S2597" s="4" t="n"/>
      <c r="T2597" s="5" t="n"/>
      <c r="U2597" s="8">
        <f>IF(AND(V2597=1,D2597&lt;&gt;""),IF(D2597&gt;=corte,TODAY()-D2597,""),"")</f>
        <v/>
      </c>
      <c r="V2597" s="8">
        <f>IF(D2597="",0,IF(OR(AND(P2597&lt;&gt;"",S2597=""),AND(N(J2597)&gt;0,N(K2597)&lt;J2597),OR(M2597="PENDENTE",M2597="PARCIAL"),OR(N2597="PENDENTE",N2597="PARCIAL")),1,0))</f>
        <v/>
      </c>
      <c r="W2597" s="8">
        <f>IF(AND(V2597=1,D2597&lt;&gt;""),IF(D2597&gt;=corte,(B2597="CRÍTICO")*1E9+(100000-D2597)*10000+10000-ROW(),""),"")</f>
        <v/>
      </c>
      <c r="X2597" s="8">
        <f>IF(AND(V2597=1,D2597=pas_data,E2597=pas_turno),10000-ROW(),"")</f>
        <v/>
      </c>
    </row>
    <row r="2598">
      <c r="A2598" s="3">
        <f>IF(D2598="","","TT-"&amp;TEXT(ROW()-1,"00000"))</f>
        <v/>
      </c>
      <c r="B2598" s="3">
        <f>IF(D2598="","",IF(V2598=0,"CONCLUÍDO",IF(D2598&lt;corte,"HISTÓRICO",IF(OR(AND(ISNUMBER(R2598),R2598&lt;TODAY()),AND(OR(N2598="PENDENTE",N2598="PARCIAL"),D2598&lt;TODAY()-1)),"CRÍTICO",IF(OR(AND(P2598&lt;&gt;"",S2598=""),AND(N2598="REALIZADO",M2598="PENDENTE"),AND(ISNUMBER(R2598),R2598=TODAY())),"ATENÇÃO",IF(N(K2598)=0,"PENDENTE","EM ANDAMENTO"))))))</f>
        <v/>
      </c>
      <c r="C2598" s="3">
        <f>IF(D2598="","",IF(V2598=0,"🟢 OK",IF(D2598&lt;corte,"⚪ HISTÓRICO (sem baixa)",IF(AND(ISNUMBER(R2598),R2598&lt;TODAY()),"🔴 PRAZO VENCIDO",IF(AND(OR(N2598="PENDENTE",N2598="PARCIAL"),D2598&lt;TODAY()-1),"🔴 EMBARQUE ATRASADO",IF(AND(N2598="REALIZADO",M2598="PENDENTE"),"🟡 EMBARCADO SEM FATURAR",IF(AND(P2598&lt;&gt;"",S2598="",OR(Q2598="",R2598="")),"🟡 PENDÊNCIA SEM RESPONSÁVEL/PRAZO",IF(AND(ISNUMBER(R2598),R2598=TODAY()),"🟡 VENCE HOJE",IF(AND(P2598&lt;&gt;"",S2598=""),"🟡 PENDÊNCIA ABERTA",IF(AND(N(J2598)&gt;0,N(K2598)&lt;J2598),"🟡 FALTA EXECUTAR",IF(OR(M2598="PENDENTE",M2598="PARCIAL"),"🟡 FATURAMENTO PENDENTE","🟡 EMBARQUE PENDENTE")))))))))))</f>
        <v/>
      </c>
      <c r="D2598" s="4" t="n"/>
      <c r="E2598" s="5" t="n"/>
      <c r="F2598" s="5" t="n"/>
      <c r="G2598" s="5" t="n"/>
      <c r="H2598" s="5" t="n"/>
      <c r="I2598" s="5" t="n"/>
      <c r="J2598" s="6" t="n"/>
      <c r="K2598" s="6" t="n"/>
      <c r="L2598" s="7">
        <f>IF(OR(D2598="",N(J2598)=0),"",MIN(1,N(K2598)/J2598))</f>
        <v/>
      </c>
      <c r="M2598" s="5" t="n"/>
      <c r="N2598" s="5" t="n"/>
      <c r="O2598" s="5" t="n"/>
      <c r="P2598" s="5" t="n"/>
      <c r="Q2598" s="5" t="n"/>
      <c r="R2598" s="4" t="n"/>
      <c r="S2598" s="4" t="n"/>
      <c r="T2598" s="5" t="n"/>
      <c r="U2598" s="8">
        <f>IF(AND(V2598=1,D2598&lt;&gt;""),IF(D2598&gt;=corte,TODAY()-D2598,""),"")</f>
        <v/>
      </c>
      <c r="V2598" s="8">
        <f>IF(D2598="",0,IF(OR(AND(P2598&lt;&gt;"",S2598=""),AND(N(J2598)&gt;0,N(K2598)&lt;J2598),OR(M2598="PENDENTE",M2598="PARCIAL"),OR(N2598="PENDENTE",N2598="PARCIAL")),1,0))</f>
        <v/>
      </c>
      <c r="W2598" s="8">
        <f>IF(AND(V2598=1,D2598&lt;&gt;""),IF(D2598&gt;=corte,(B2598="CRÍTICO")*1E9+(100000-D2598)*10000+10000-ROW(),""),"")</f>
        <v/>
      </c>
      <c r="X2598" s="8">
        <f>IF(AND(V2598=1,D2598=pas_data,E2598=pas_turno),10000-ROW(),"")</f>
        <v/>
      </c>
    </row>
    <row r="2599">
      <c r="A2599" s="3">
        <f>IF(D2599="","","TT-"&amp;TEXT(ROW()-1,"00000"))</f>
        <v/>
      </c>
      <c r="B2599" s="3">
        <f>IF(D2599="","",IF(V2599=0,"CONCLUÍDO",IF(D2599&lt;corte,"HISTÓRICO",IF(OR(AND(ISNUMBER(R2599),R2599&lt;TODAY()),AND(OR(N2599="PENDENTE",N2599="PARCIAL"),D2599&lt;TODAY()-1)),"CRÍTICO",IF(OR(AND(P2599&lt;&gt;"",S2599=""),AND(N2599="REALIZADO",M2599="PENDENTE"),AND(ISNUMBER(R2599),R2599=TODAY())),"ATENÇÃO",IF(N(K2599)=0,"PENDENTE","EM ANDAMENTO"))))))</f>
        <v/>
      </c>
      <c r="C2599" s="3">
        <f>IF(D2599="","",IF(V2599=0,"🟢 OK",IF(D2599&lt;corte,"⚪ HISTÓRICO (sem baixa)",IF(AND(ISNUMBER(R2599),R2599&lt;TODAY()),"🔴 PRAZO VENCIDO",IF(AND(OR(N2599="PENDENTE",N2599="PARCIAL"),D2599&lt;TODAY()-1),"🔴 EMBARQUE ATRASADO",IF(AND(N2599="REALIZADO",M2599="PENDENTE"),"🟡 EMBARCADO SEM FATURAR",IF(AND(P2599&lt;&gt;"",S2599="",OR(Q2599="",R2599="")),"🟡 PENDÊNCIA SEM RESPONSÁVEL/PRAZO",IF(AND(ISNUMBER(R2599),R2599=TODAY()),"🟡 VENCE HOJE",IF(AND(P2599&lt;&gt;"",S2599=""),"🟡 PENDÊNCIA ABERTA",IF(AND(N(J2599)&gt;0,N(K2599)&lt;J2599),"🟡 FALTA EXECUTAR",IF(OR(M2599="PENDENTE",M2599="PARCIAL"),"🟡 FATURAMENTO PENDENTE","🟡 EMBARQUE PENDENTE")))))))))))</f>
        <v/>
      </c>
      <c r="D2599" s="4" t="n"/>
      <c r="E2599" s="5" t="n"/>
      <c r="F2599" s="5" t="n"/>
      <c r="G2599" s="5" t="n"/>
      <c r="H2599" s="5" t="n"/>
      <c r="I2599" s="5" t="n"/>
      <c r="J2599" s="6" t="n"/>
      <c r="K2599" s="6" t="n"/>
      <c r="L2599" s="7">
        <f>IF(OR(D2599="",N(J2599)=0),"",MIN(1,N(K2599)/J2599))</f>
        <v/>
      </c>
      <c r="M2599" s="5" t="n"/>
      <c r="N2599" s="5" t="n"/>
      <c r="O2599" s="5" t="n"/>
      <c r="P2599" s="5" t="n"/>
      <c r="Q2599" s="5" t="n"/>
      <c r="R2599" s="4" t="n"/>
      <c r="S2599" s="4" t="n"/>
      <c r="T2599" s="5" t="n"/>
      <c r="U2599" s="8">
        <f>IF(AND(V2599=1,D2599&lt;&gt;""),IF(D2599&gt;=corte,TODAY()-D2599,""),"")</f>
        <v/>
      </c>
      <c r="V2599" s="8">
        <f>IF(D2599="",0,IF(OR(AND(P2599&lt;&gt;"",S2599=""),AND(N(J2599)&gt;0,N(K2599)&lt;J2599),OR(M2599="PENDENTE",M2599="PARCIAL"),OR(N2599="PENDENTE",N2599="PARCIAL")),1,0))</f>
        <v/>
      </c>
      <c r="W2599" s="8">
        <f>IF(AND(V2599=1,D2599&lt;&gt;""),IF(D2599&gt;=corte,(B2599="CRÍTICO")*1E9+(100000-D2599)*10000+10000-ROW(),""),"")</f>
        <v/>
      </c>
      <c r="X2599" s="8">
        <f>IF(AND(V2599=1,D2599=pas_data,E2599=pas_turno),10000-ROW(),"")</f>
        <v/>
      </c>
    </row>
    <row r="2600">
      <c r="A2600" s="3">
        <f>IF(D2600="","","TT-"&amp;TEXT(ROW()-1,"00000"))</f>
        <v/>
      </c>
      <c r="B2600" s="3">
        <f>IF(D2600="","",IF(V2600=0,"CONCLUÍDO",IF(D2600&lt;corte,"HISTÓRICO",IF(OR(AND(ISNUMBER(R2600),R2600&lt;TODAY()),AND(OR(N2600="PENDENTE",N2600="PARCIAL"),D2600&lt;TODAY()-1)),"CRÍTICO",IF(OR(AND(P2600&lt;&gt;"",S2600=""),AND(N2600="REALIZADO",M2600="PENDENTE"),AND(ISNUMBER(R2600),R2600=TODAY())),"ATENÇÃO",IF(N(K2600)=0,"PENDENTE","EM ANDAMENTO"))))))</f>
        <v/>
      </c>
      <c r="C2600" s="3">
        <f>IF(D2600="","",IF(V2600=0,"🟢 OK",IF(D2600&lt;corte,"⚪ HISTÓRICO (sem baixa)",IF(AND(ISNUMBER(R2600),R2600&lt;TODAY()),"🔴 PRAZO VENCIDO",IF(AND(OR(N2600="PENDENTE",N2600="PARCIAL"),D2600&lt;TODAY()-1),"🔴 EMBARQUE ATRASADO",IF(AND(N2600="REALIZADO",M2600="PENDENTE"),"🟡 EMBARCADO SEM FATURAR",IF(AND(P2600&lt;&gt;"",S2600="",OR(Q2600="",R2600="")),"🟡 PENDÊNCIA SEM RESPONSÁVEL/PRAZO",IF(AND(ISNUMBER(R2600),R2600=TODAY()),"🟡 VENCE HOJE",IF(AND(P2600&lt;&gt;"",S2600=""),"🟡 PENDÊNCIA ABERTA",IF(AND(N(J2600)&gt;0,N(K2600)&lt;J2600),"🟡 FALTA EXECUTAR",IF(OR(M2600="PENDENTE",M2600="PARCIAL"),"🟡 FATURAMENTO PENDENTE","🟡 EMBARQUE PENDENTE")))))))))))</f>
        <v/>
      </c>
      <c r="D2600" s="4" t="n"/>
      <c r="E2600" s="5" t="n"/>
      <c r="F2600" s="5" t="n"/>
      <c r="G2600" s="5" t="n"/>
      <c r="H2600" s="5" t="n"/>
      <c r="I2600" s="5" t="n"/>
      <c r="J2600" s="6" t="n"/>
      <c r="K2600" s="6" t="n"/>
      <c r="L2600" s="7">
        <f>IF(OR(D2600="",N(J2600)=0),"",MIN(1,N(K2600)/J2600))</f>
        <v/>
      </c>
      <c r="M2600" s="5" t="n"/>
      <c r="N2600" s="5" t="n"/>
      <c r="O2600" s="5" t="n"/>
      <c r="P2600" s="5" t="n"/>
      <c r="Q2600" s="5" t="n"/>
      <c r="R2600" s="4" t="n"/>
      <c r="S2600" s="4" t="n"/>
      <c r="T2600" s="5" t="n"/>
      <c r="U2600" s="8">
        <f>IF(AND(V2600=1,D2600&lt;&gt;""),IF(D2600&gt;=corte,TODAY()-D2600,""),"")</f>
        <v/>
      </c>
      <c r="V2600" s="8">
        <f>IF(D2600="",0,IF(OR(AND(P2600&lt;&gt;"",S2600=""),AND(N(J2600)&gt;0,N(K2600)&lt;J2600),OR(M2600="PENDENTE",M2600="PARCIAL"),OR(N2600="PENDENTE",N2600="PARCIAL")),1,0))</f>
        <v/>
      </c>
      <c r="W2600" s="8">
        <f>IF(AND(V2600=1,D2600&lt;&gt;""),IF(D2600&gt;=corte,(B2600="CRÍTICO")*1E9+(100000-D2600)*10000+10000-ROW(),""),"")</f>
        <v/>
      </c>
      <c r="X2600" s="8">
        <f>IF(AND(V2600=1,D2600=pas_data,E2600=pas_turno),10000-ROW(),"")</f>
        <v/>
      </c>
    </row>
    <row r="2601">
      <c r="A2601" s="3">
        <f>IF(D2601="","","TT-"&amp;TEXT(ROW()-1,"00000"))</f>
        <v/>
      </c>
      <c r="B2601" s="3">
        <f>IF(D2601="","",IF(V2601=0,"CONCLUÍDO",IF(D2601&lt;corte,"HISTÓRICO",IF(OR(AND(ISNUMBER(R2601),R2601&lt;TODAY()),AND(OR(N2601="PENDENTE",N2601="PARCIAL"),D2601&lt;TODAY()-1)),"CRÍTICO",IF(OR(AND(P2601&lt;&gt;"",S2601=""),AND(N2601="REALIZADO",M2601="PENDENTE"),AND(ISNUMBER(R2601),R2601=TODAY())),"ATENÇÃO",IF(N(K2601)=0,"PENDENTE","EM ANDAMENTO"))))))</f>
        <v/>
      </c>
      <c r="C2601" s="3">
        <f>IF(D2601="","",IF(V2601=0,"🟢 OK",IF(D2601&lt;corte,"⚪ HISTÓRICO (sem baixa)",IF(AND(ISNUMBER(R2601),R2601&lt;TODAY()),"🔴 PRAZO VENCIDO",IF(AND(OR(N2601="PENDENTE",N2601="PARCIAL"),D2601&lt;TODAY()-1),"🔴 EMBARQUE ATRASADO",IF(AND(N2601="REALIZADO",M2601="PENDENTE"),"🟡 EMBARCADO SEM FATURAR",IF(AND(P2601&lt;&gt;"",S2601="",OR(Q2601="",R2601="")),"🟡 PENDÊNCIA SEM RESPONSÁVEL/PRAZO",IF(AND(ISNUMBER(R2601),R2601=TODAY()),"🟡 VENCE HOJE",IF(AND(P2601&lt;&gt;"",S2601=""),"🟡 PENDÊNCIA ABERTA",IF(AND(N(J2601)&gt;0,N(K2601)&lt;J2601),"🟡 FALTA EXECUTAR",IF(OR(M2601="PENDENTE",M2601="PARCIAL"),"🟡 FATURAMENTO PENDENTE","🟡 EMBARQUE PENDENTE")))))))))))</f>
        <v/>
      </c>
      <c r="D2601" s="4" t="n"/>
      <c r="E2601" s="5" t="n"/>
      <c r="F2601" s="5" t="n"/>
      <c r="G2601" s="5" t="n"/>
      <c r="H2601" s="5" t="n"/>
      <c r="I2601" s="5" t="n"/>
      <c r="J2601" s="6" t="n"/>
      <c r="K2601" s="6" t="n"/>
      <c r="L2601" s="7">
        <f>IF(OR(D2601="",N(J2601)=0),"",MIN(1,N(K2601)/J2601))</f>
        <v/>
      </c>
      <c r="M2601" s="5" t="n"/>
      <c r="N2601" s="5" t="n"/>
      <c r="O2601" s="5" t="n"/>
      <c r="P2601" s="5" t="n"/>
      <c r="Q2601" s="5" t="n"/>
      <c r="R2601" s="4" t="n"/>
      <c r="S2601" s="4" t="n"/>
      <c r="T2601" s="5" t="n"/>
      <c r="U2601" s="8">
        <f>IF(AND(V2601=1,D2601&lt;&gt;""),IF(D2601&gt;=corte,TODAY()-D2601,""),"")</f>
        <v/>
      </c>
      <c r="V2601" s="8">
        <f>IF(D2601="",0,IF(OR(AND(P2601&lt;&gt;"",S2601=""),AND(N(J2601)&gt;0,N(K2601)&lt;J2601),OR(M2601="PENDENTE",M2601="PARCIAL"),OR(N2601="PENDENTE",N2601="PARCIAL")),1,0))</f>
        <v/>
      </c>
      <c r="W2601" s="8">
        <f>IF(AND(V2601=1,D2601&lt;&gt;""),IF(D2601&gt;=corte,(B2601="CRÍTICO")*1E9+(100000-D2601)*10000+10000-ROW(),""),"")</f>
        <v/>
      </c>
      <c r="X2601" s="8">
        <f>IF(AND(V2601=1,D2601=pas_data,E2601=pas_turno),10000-ROW(),"")</f>
        <v/>
      </c>
    </row>
    <row r="2602">
      <c r="A2602" s="3">
        <f>IF(D2602="","","TT-"&amp;TEXT(ROW()-1,"00000"))</f>
        <v/>
      </c>
      <c r="B2602" s="3">
        <f>IF(D2602="","",IF(V2602=0,"CONCLUÍDO",IF(D2602&lt;corte,"HISTÓRICO",IF(OR(AND(ISNUMBER(R2602),R2602&lt;TODAY()),AND(OR(N2602="PENDENTE",N2602="PARCIAL"),D2602&lt;TODAY()-1)),"CRÍTICO",IF(OR(AND(P2602&lt;&gt;"",S2602=""),AND(N2602="REALIZADO",M2602="PENDENTE"),AND(ISNUMBER(R2602),R2602=TODAY())),"ATENÇÃO",IF(N(K2602)=0,"PENDENTE","EM ANDAMENTO"))))))</f>
        <v/>
      </c>
      <c r="C2602" s="3">
        <f>IF(D2602="","",IF(V2602=0,"🟢 OK",IF(D2602&lt;corte,"⚪ HISTÓRICO (sem baixa)",IF(AND(ISNUMBER(R2602),R2602&lt;TODAY()),"🔴 PRAZO VENCIDO",IF(AND(OR(N2602="PENDENTE",N2602="PARCIAL"),D2602&lt;TODAY()-1),"🔴 EMBARQUE ATRASADO",IF(AND(N2602="REALIZADO",M2602="PENDENTE"),"🟡 EMBARCADO SEM FATURAR",IF(AND(P2602&lt;&gt;"",S2602="",OR(Q2602="",R2602="")),"🟡 PENDÊNCIA SEM RESPONSÁVEL/PRAZO",IF(AND(ISNUMBER(R2602),R2602=TODAY()),"🟡 VENCE HOJE",IF(AND(P2602&lt;&gt;"",S2602=""),"🟡 PENDÊNCIA ABERTA",IF(AND(N(J2602)&gt;0,N(K2602)&lt;J2602),"🟡 FALTA EXECUTAR",IF(OR(M2602="PENDENTE",M2602="PARCIAL"),"🟡 FATURAMENTO PENDENTE","🟡 EMBARQUE PENDENTE")))))))))))</f>
        <v/>
      </c>
      <c r="D2602" s="4" t="n"/>
      <c r="E2602" s="5" t="n"/>
      <c r="F2602" s="5" t="n"/>
      <c r="G2602" s="5" t="n"/>
      <c r="H2602" s="5" t="n"/>
      <c r="I2602" s="5" t="n"/>
      <c r="J2602" s="6" t="n"/>
      <c r="K2602" s="6" t="n"/>
      <c r="L2602" s="7">
        <f>IF(OR(D2602="",N(J2602)=0),"",MIN(1,N(K2602)/J2602))</f>
        <v/>
      </c>
      <c r="M2602" s="5" t="n"/>
      <c r="N2602" s="5" t="n"/>
      <c r="O2602" s="5" t="n"/>
      <c r="P2602" s="5" t="n"/>
      <c r="Q2602" s="5" t="n"/>
      <c r="R2602" s="4" t="n"/>
      <c r="S2602" s="4" t="n"/>
      <c r="T2602" s="5" t="n"/>
      <c r="U2602" s="8">
        <f>IF(AND(V2602=1,D2602&lt;&gt;""),IF(D2602&gt;=corte,TODAY()-D2602,""),"")</f>
        <v/>
      </c>
      <c r="V2602" s="8">
        <f>IF(D2602="",0,IF(OR(AND(P2602&lt;&gt;"",S2602=""),AND(N(J2602)&gt;0,N(K2602)&lt;J2602),OR(M2602="PENDENTE",M2602="PARCIAL"),OR(N2602="PENDENTE",N2602="PARCIAL")),1,0))</f>
        <v/>
      </c>
      <c r="W2602" s="8">
        <f>IF(AND(V2602=1,D2602&lt;&gt;""),IF(D2602&gt;=corte,(B2602="CRÍTICO")*1E9+(100000-D2602)*10000+10000-ROW(),""),"")</f>
        <v/>
      </c>
      <c r="X2602" s="8">
        <f>IF(AND(V2602=1,D2602=pas_data,E2602=pas_turno),10000-ROW(),"")</f>
        <v/>
      </c>
    </row>
    <row r="2603">
      <c r="A2603" s="3">
        <f>IF(D2603="","","TT-"&amp;TEXT(ROW()-1,"00000"))</f>
        <v/>
      </c>
      <c r="B2603" s="3">
        <f>IF(D2603="","",IF(V2603=0,"CONCLUÍDO",IF(D2603&lt;corte,"HISTÓRICO",IF(OR(AND(ISNUMBER(R2603),R2603&lt;TODAY()),AND(OR(N2603="PENDENTE",N2603="PARCIAL"),D2603&lt;TODAY()-1)),"CRÍTICO",IF(OR(AND(P2603&lt;&gt;"",S2603=""),AND(N2603="REALIZADO",M2603="PENDENTE"),AND(ISNUMBER(R2603),R2603=TODAY())),"ATENÇÃO",IF(N(K2603)=0,"PENDENTE","EM ANDAMENTO"))))))</f>
        <v/>
      </c>
      <c r="C2603" s="3">
        <f>IF(D2603="","",IF(V2603=0,"🟢 OK",IF(D2603&lt;corte,"⚪ HISTÓRICO (sem baixa)",IF(AND(ISNUMBER(R2603),R2603&lt;TODAY()),"🔴 PRAZO VENCIDO",IF(AND(OR(N2603="PENDENTE",N2603="PARCIAL"),D2603&lt;TODAY()-1),"🔴 EMBARQUE ATRASADO",IF(AND(N2603="REALIZADO",M2603="PENDENTE"),"🟡 EMBARCADO SEM FATURAR",IF(AND(P2603&lt;&gt;"",S2603="",OR(Q2603="",R2603="")),"🟡 PENDÊNCIA SEM RESPONSÁVEL/PRAZO",IF(AND(ISNUMBER(R2603),R2603=TODAY()),"🟡 VENCE HOJE",IF(AND(P2603&lt;&gt;"",S2603=""),"🟡 PENDÊNCIA ABERTA",IF(AND(N(J2603)&gt;0,N(K2603)&lt;J2603),"🟡 FALTA EXECUTAR",IF(OR(M2603="PENDENTE",M2603="PARCIAL"),"🟡 FATURAMENTO PENDENTE","🟡 EMBARQUE PENDENTE")))))))))))</f>
        <v/>
      </c>
      <c r="D2603" s="4" t="n"/>
      <c r="E2603" s="5" t="n"/>
      <c r="F2603" s="5" t="n"/>
      <c r="G2603" s="5" t="n"/>
      <c r="H2603" s="5" t="n"/>
      <c r="I2603" s="5" t="n"/>
      <c r="J2603" s="6" t="n"/>
      <c r="K2603" s="6" t="n"/>
      <c r="L2603" s="7">
        <f>IF(OR(D2603="",N(J2603)=0),"",MIN(1,N(K2603)/J2603))</f>
        <v/>
      </c>
      <c r="M2603" s="5" t="n"/>
      <c r="N2603" s="5" t="n"/>
      <c r="O2603" s="5" t="n"/>
      <c r="P2603" s="5" t="n"/>
      <c r="Q2603" s="5" t="n"/>
      <c r="R2603" s="4" t="n"/>
      <c r="S2603" s="4" t="n"/>
      <c r="T2603" s="5" t="n"/>
      <c r="U2603" s="8">
        <f>IF(AND(V2603=1,D2603&lt;&gt;""),IF(D2603&gt;=corte,TODAY()-D2603,""),"")</f>
        <v/>
      </c>
      <c r="V2603" s="8">
        <f>IF(D2603="",0,IF(OR(AND(P2603&lt;&gt;"",S2603=""),AND(N(J2603)&gt;0,N(K2603)&lt;J2603),OR(M2603="PENDENTE",M2603="PARCIAL"),OR(N2603="PENDENTE",N2603="PARCIAL")),1,0))</f>
        <v/>
      </c>
      <c r="W2603" s="8">
        <f>IF(AND(V2603=1,D2603&lt;&gt;""),IF(D2603&gt;=corte,(B2603="CRÍTICO")*1E9+(100000-D2603)*10000+10000-ROW(),""),"")</f>
        <v/>
      </c>
      <c r="X2603" s="8">
        <f>IF(AND(V2603=1,D2603=pas_data,E2603=pas_turno),10000-ROW(),"")</f>
        <v/>
      </c>
    </row>
    <row r="2604">
      <c r="A2604" s="3">
        <f>IF(D2604="","","TT-"&amp;TEXT(ROW()-1,"00000"))</f>
        <v/>
      </c>
      <c r="B2604" s="3">
        <f>IF(D2604="","",IF(V2604=0,"CONCLUÍDO",IF(D2604&lt;corte,"HISTÓRICO",IF(OR(AND(ISNUMBER(R2604),R2604&lt;TODAY()),AND(OR(N2604="PENDENTE",N2604="PARCIAL"),D2604&lt;TODAY()-1)),"CRÍTICO",IF(OR(AND(P2604&lt;&gt;"",S2604=""),AND(N2604="REALIZADO",M2604="PENDENTE"),AND(ISNUMBER(R2604),R2604=TODAY())),"ATENÇÃO",IF(N(K2604)=0,"PENDENTE","EM ANDAMENTO"))))))</f>
        <v/>
      </c>
      <c r="C2604" s="3">
        <f>IF(D2604="","",IF(V2604=0,"🟢 OK",IF(D2604&lt;corte,"⚪ HISTÓRICO (sem baixa)",IF(AND(ISNUMBER(R2604),R2604&lt;TODAY()),"🔴 PRAZO VENCIDO",IF(AND(OR(N2604="PENDENTE",N2604="PARCIAL"),D2604&lt;TODAY()-1),"🔴 EMBARQUE ATRASADO",IF(AND(N2604="REALIZADO",M2604="PENDENTE"),"🟡 EMBARCADO SEM FATURAR",IF(AND(P2604&lt;&gt;"",S2604="",OR(Q2604="",R2604="")),"🟡 PENDÊNCIA SEM RESPONSÁVEL/PRAZO",IF(AND(ISNUMBER(R2604),R2604=TODAY()),"🟡 VENCE HOJE",IF(AND(P2604&lt;&gt;"",S2604=""),"🟡 PENDÊNCIA ABERTA",IF(AND(N(J2604)&gt;0,N(K2604)&lt;J2604),"🟡 FALTA EXECUTAR",IF(OR(M2604="PENDENTE",M2604="PARCIAL"),"🟡 FATURAMENTO PENDENTE","🟡 EMBARQUE PENDENTE")))))))))))</f>
        <v/>
      </c>
      <c r="D2604" s="4" t="n"/>
      <c r="E2604" s="5" t="n"/>
      <c r="F2604" s="5" t="n"/>
      <c r="G2604" s="5" t="n"/>
      <c r="H2604" s="5" t="n"/>
      <c r="I2604" s="5" t="n"/>
      <c r="J2604" s="6" t="n"/>
      <c r="K2604" s="6" t="n"/>
      <c r="L2604" s="7">
        <f>IF(OR(D2604="",N(J2604)=0),"",MIN(1,N(K2604)/J2604))</f>
        <v/>
      </c>
      <c r="M2604" s="5" t="n"/>
      <c r="N2604" s="5" t="n"/>
      <c r="O2604" s="5" t="n"/>
      <c r="P2604" s="5" t="n"/>
      <c r="Q2604" s="5" t="n"/>
      <c r="R2604" s="4" t="n"/>
      <c r="S2604" s="4" t="n"/>
      <c r="T2604" s="5" t="n"/>
      <c r="U2604" s="8">
        <f>IF(AND(V2604=1,D2604&lt;&gt;""),IF(D2604&gt;=corte,TODAY()-D2604,""),"")</f>
        <v/>
      </c>
      <c r="V2604" s="8">
        <f>IF(D2604="",0,IF(OR(AND(P2604&lt;&gt;"",S2604=""),AND(N(J2604)&gt;0,N(K2604)&lt;J2604),OR(M2604="PENDENTE",M2604="PARCIAL"),OR(N2604="PENDENTE",N2604="PARCIAL")),1,0))</f>
        <v/>
      </c>
      <c r="W2604" s="8">
        <f>IF(AND(V2604=1,D2604&lt;&gt;""),IF(D2604&gt;=corte,(B2604="CRÍTICO")*1E9+(100000-D2604)*10000+10000-ROW(),""),"")</f>
        <v/>
      </c>
      <c r="X2604" s="8">
        <f>IF(AND(V2604=1,D2604=pas_data,E2604=pas_turno),10000-ROW(),"")</f>
        <v/>
      </c>
    </row>
    <row r="2605">
      <c r="A2605" s="3">
        <f>IF(D2605="","","TT-"&amp;TEXT(ROW()-1,"00000"))</f>
        <v/>
      </c>
      <c r="B2605" s="3">
        <f>IF(D2605="","",IF(V2605=0,"CONCLUÍDO",IF(D2605&lt;corte,"HISTÓRICO",IF(OR(AND(ISNUMBER(R2605),R2605&lt;TODAY()),AND(OR(N2605="PENDENTE",N2605="PARCIAL"),D2605&lt;TODAY()-1)),"CRÍTICO",IF(OR(AND(P2605&lt;&gt;"",S2605=""),AND(N2605="REALIZADO",M2605="PENDENTE"),AND(ISNUMBER(R2605),R2605=TODAY())),"ATENÇÃO",IF(N(K2605)=0,"PENDENTE","EM ANDAMENTO"))))))</f>
        <v/>
      </c>
      <c r="C2605" s="3">
        <f>IF(D2605="","",IF(V2605=0,"🟢 OK",IF(D2605&lt;corte,"⚪ HISTÓRICO (sem baixa)",IF(AND(ISNUMBER(R2605),R2605&lt;TODAY()),"🔴 PRAZO VENCIDO",IF(AND(OR(N2605="PENDENTE",N2605="PARCIAL"),D2605&lt;TODAY()-1),"🔴 EMBARQUE ATRASADO",IF(AND(N2605="REALIZADO",M2605="PENDENTE"),"🟡 EMBARCADO SEM FATURAR",IF(AND(P2605&lt;&gt;"",S2605="",OR(Q2605="",R2605="")),"🟡 PENDÊNCIA SEM RESPONSÁVEL/PRAZO",IF(AND(ISNUMBER(R2605),R2605=TODAY()),"🟡 VENCE HOJE",IF(AND(P2605&lt;&gt;"",S2605=""),"🟡 PENDÊNCIA ABERTA",IF(AND(N(J2605)&gt;0,N(K2605)&lt;J2605),"🟡 FALTA EXECUTAR",IF(OR(M2605="PENDENTE",M2605="PARCIAL"),"🟡 FATURAMENTO PENDENTE","🟡 EMBARQUE PENDENTE")))))))))))</f>
        <v/>
      </c>
      <c r="D2605" s="4" t="n"/>
      <c r="E2605" s="5" t="n"/>
      <c r="F2605" s="5" t="n"/>
      <c r="G2605" s="5" t="n"/>
      <c r="H2605" s="5" t="n"/>
      <c r="I2605" s="5" t="n"/>
      <c r="J2605" s="6" t="n"/>
      <c r="K2605" s="6" t="n"/>
      <c r="L2605" s="7">
        <f>IF(OR(D2605="",N(J2605)=0),"",MIN(1,N(K2605)/J2605))</f>
        <v/>
      </c>
      <c r="M2605" s="5" t="n"/>
      <c r="N2605" s="5" t="n"/>
      <c r="O2605" s="5" t="n"/>
      <c r="P2605" s="5" t="n"/>
      <c r="Q2605" s="5" t="n"/>
      <c r="R2605" s="4" t="n"/>
      <c r="S2605" s="4" t="n"/>
      <c r="T2605" s="5" t="n"/>
      <c r="U2605" s="8">
        <f>IF(AND(V2605=1,D2605&lt;&gt;""),IF(D2605&gt;=corte,TODAY()-D2605,""),"")</f>
        <v/>
      </c>
      <c r="V2605" s="8">
        <f>IF(D2605="",0,IF(OR(AND(P2605&lt;&gt;"",S2605=""),AND(N(J2605)&gt;0,N(K2605)&lt;J2605),OR(M2605="PENDENTE",M2605="PARCIAL"),OR(N2605="PENDENTE",N2605="PARCIAL")),1,0))</f>
        <v/>
      </c>
      <c r="W2605" s="8">
        <f>IF(AND(V2605=1,D2605&lt;&gt;""),IF(D2605&gt;=corte,(B2605="CRÍTICO")*1E9+(100000-D2605)*10000+10000-ROW(),""),"")</f>
        <v/>
      </c>
      <c r="X2605" s="8">
        <f>IF(AND(V2605=1,D2605=pas_data,E2605=pas_turno),10000-ROW(),"")</f>
        <v/>
      </c>
    </row>
    <row r="2606">
      <c r="A2606" s="3">
        <f>IF(D2606="","","TT-"&amp;TEXT(ROW()-1,"00000"))</f>
        <v/>
      </c>
      <c r="B2606" s="3">
        <f>IF(D2606="","",IF(V2606=0,"CONCLUÍDO",IF(D2606&lt;corte,"HISTÓRICO",IF(OR(AND(ISNUMBER(R2606),R2606&lt;TODAY()),AND(OR(N2606="PENDENTE",N2606="PARCIAL"),D2606&lt;TODAY()-1)),"CRÍTICO",IF(OR(AND(P2606&lt;&gt;"",S2606=""),AND(N2606="REALIZADO",M2606="PENDENTE"),AND(ISNUMBER(R2606),R2606=TODAY())),"ATENÇÃO",IF(N(K2606)=0,"PENDENTE","EM ANDAMENTO"))))))</f>
        <v/>
      </c>
      <c r="C2606" s="3">
        <f>IF(D2606="","",IF(V2606=0,"🟢 OK",IF(D2606&lt;corte,"⚪ HISTÓRICO (sem baixa)",IF(AND(ISNUMBER(R2606),R2606&lt;TODAY()),"🔴 PRAZO VENCIDO",IF(AND(OR(N2606="PENDENTE",N2606="PARCIAL"),D2606&lt;TODAY()-1),"🔴 EMBARQUE ATRASADO",IF(AND(N2606="REALIZADO",M2606="PENDENTE"),"🟡 EMBARCADO SEM FATURAR",IF(AND(P2606&lt;&gt;"",S2606="",OR(Q2606="",R2606="")),"🟡 PENDÊNCIA SEM RESPONSÁVEL/PRAZO",IF(AND(ISNUMBER(R2606),R2606=TODAY()),"🟡 VENCE HOJE",IF(AND(P2606&lt;&gt;"",S2606=""),"🟡 PENDÊNCIA ABERTA",IF(AND(N(J2606)&gt;0,N(K2606)&lt;J2606),"🟡 FALTA EXECUTAR",IF(OR(M2606="PENDENTE",M2606="PARCIAL"),"🟡 FATURAMENTO PENDENTE","🟡 EMBARQUE PENDENTE")))))))))))</f>
        <v/>
      </c>
      <c r="D2606" s="4" t="n"/>
      <c r="E2606" s="5" t="n"/>
      <c r="F2606" s="5" t="n"/>
      <c r="G2606" s="5" t="n"/>
      <c r="H2606" s="5" t="n"/>
      <c r="I2606" s="5" t="n"/>
      <c r="J2606" s="6" t="n"/>
      <c r="K2606" s="6" t="n"/>
      <c r="L2606" s="7">
        <f>IF(OR(D2606="",N(J2606)=0),"",MIN(1,N(K2606)/J2606))</f>
        <v/>
      </c>
      <c r="M2606" s="5" t="n"/>
      <c r="N2606" s="5" t="n"/>
      <c r="O2606" s="5" t="n"/>
      <c r="P2606" s="5" t="n"/>
      <c r="Q2606" s="5" t="n"/>
      <c r="R2606" s="4" t="n"/>
      <c r="S2606" s="4" t="n"/>
      <c r="T2606" s="5" t="n"/>
      <c r="U2606" s="8">
        <f>IF(AND(V2606=1,D2606&lt;&gt;""),IF(D2606&gt;=corte,TODAY()-D2606,""),"")</f>
        <v/>
      </c>
      <c r="V2606" s="8">
        <f>IF(D2606="",0,IF(OR(AND(P2606&lt;&gt;"",S2606=""),AND(N(J2606)&gt;0,N(K2606)&lt;J2606),OR(M2606="PENDENTE",M2606="PARCIAL"),OR(N2606="PENDENTE",N2606="PARCIAL")),1,0))</f>
        <v/>
      </c>
      <c r="W2606" s="8">
        <f>IF(AND(V2606=1,D2606&lt;&gt;""),IF(D2606&gt;=corte,(B2606="CRÍTICO")*1E9+(100000-D2606)*10000+10000-ROW(),""),"")</f>
        <v/>
      </c>
      <c r="X2606" s="8">
        <f>IF(AND(V2606=1,D2606=pas_data,E2606=pas_turno),10000-ROW(),"")</f>
        <v/>
      </c>
    </row>
    <row r="2607">
      <c r="A2607" s="3">
        <f>IF(D2607="","","TT-"&amp;TEXT(ROW()-1,"00000"))</f>
        <v/>
      </c>
      <c r="B2607" s="3">
        <f>IF(D2607="","",IF(V2607=0,"CONCLUÍDO",IF(D2607&lt;corte,"HISTÓRICO",IF(OR(AND(ISNUMBER(R2607),R2607&lt;TODAY()),AND(OR(N2607="PENDENTE",N2607="PARCIAL"),D2607&lt;TODAY()-1)),"CRÍTICO",IF(OR(AND(P2607&lt;&gt;"",S2607=""),AND(N2607="REALIZADO",M2607="PENDENTE"),AND(ISNUMBER(R2607),R2607=TODAY())),"ATENÇÃO",IF(N(K2607)=0,"PENDENTE","EM ANDAMENTO"))))))</f>
        <v/>
      </c>
      <c r="C2607" s="3">
        <f>IF(D2607="","",IF(V2607=0,"🟢 OK",IF(D2607&lt;corte,"⚪ HISTÓRICO (sem baixa)",IF(AND(ISNUMBER(R2607),R2607&lt;TODAY()),"🔴 PRAZO VENCIDO",IF(AND(OR(N2607="PENDENTE",N2607="PARCIAL"),D2607&lt;TODAY()-1),"🔴 EMBARQUE ATRASADO",IF(AND(N2607="REALIZADO",M2607="PENDENTE"),"🟡 EMBARCADO SEM FATURAR",IF(AND(P2607&lt;&gt;"",S2607="",OR(Q2607="",R2607="")),"🟡 PENDÊNCIA SEM RESPONSÁVEL/PRAZO",IF(AND(ISNUMBER(R2607),R2607=TODAY()),"🟡 VENCE HOJE",IF(AND(P2607&lt;&gt;"",S2607=""),"🟡 PENDÊNCIA ABERTA",IF(AND(N(J2607)&gt;0,N(K2607)&lt;J2607),"🟡 FALTA EXECUTAR",IF(OR(M2607="PENDENTE",M2607="PARCIAL"),"🟡 FATURAMENTO PENDENTE","🟡 EMBARQUE PENDENTE")))))))))))</f>
        <v/>
      </c>
      <c r="D2607" s="4" t="n"/>
      <c r="E2607" s="5" t="n"/>
      <c r="F2607" s="5" t="n"/>
      <c r="G2607" s="5" t="n"/>
      <c r="H2607" s="5" t="n"/>
      <c r="I2607" s="5" t="n"/>
      <c r="J2607" s="6" t="n"/>
      <c r="K2607" s="6" t="n"/>
      <c r="L2607" s="7">
        <f>IF(OR(D2607="",N(J2607)=0),"",MIN(1,N(K2607)/J2607))</f>
        <v/>
      </c>
      <c r="M2607" s="5" t="n"/>
      <c r="N2607" s="5" t="n"/>
      <c r="O2607" s="5" t="n"/>
      <c r="P2607" s="5" t="n"/>
      <c r="Q2607" s="5" t="n"/>
      <c r="R2607" s="4" t="n"/>
      <c r="S2607" s="4" t="n"/>
      <c r="T2607" s="5" t="n"/>
      <c r="U2607" s="8">
        <f>IF(AND(V2607=1,D2607&lt;&gt;""),IF(D2607&gt;=corte,TODAY()-D2607,""),"")</f>
        <v/>
      </c>
      <c r="V2607" s="8">
        <f>IF(D2607="",0,IF(OR(AND(P2607&lt;&gt;"",S2607=""),AND(N(J2607)&gt;0,N(K2607)&lt;J2607),OR(M2607="PENDENTE",M2607="PARCIAL"),OR(N2607="PENDENTE",N2607="PARCIAL")),1,0))</f>
        <v/>
      </c>
      <c r="W2607" s="8">
        <f>IF(AND(V2607=1,D2607&lt;&gt;""),IF(D2607&gt;=corte,(B2607="CRÍTICO")*1E9+(100000-D2607)*10000+10000-ROW(),""),"")</f>
        <v/>
      </c>
      <c r="X2607" s="8">
        <f>IF(AND(V2607=1,D2607=pas_data,E2607=pas_turno),10000-ROW(),"")</f>
        <v/>
      </c>
    </row>
    <row r="2608">
      <c r="A2608" s="3">
        <f>IF(D2608="","","TT-"&amp;TEXT(ROW()-1,"00000"))</f>
        <v/>
      </c>
      <c r="B2608" s="3">
        <f>IF(D2608="","",IF(V2608=0,"CONCLUÍDO",IF(D2608&lt;corte,"HISTÓRICO",IF(OR(AND(ISNUMBER(R2608),R2608&lt;TODAY()),AND(OR(N2608="PENDENTE",N2608="PARCIAL"),D2608&lt;TODAY()-1)),"CRÍTICO",IF(OR(AND(P2608&lt;&gt;"",S2608=""),AND(N2608="REALIZADO",M2608="PENDENTE"),AND(ISNUMBER(R2608),R2608=TODAY())),"ATENÇÃO",IF(N(K2608)=0,"PENDENTE","EM ANDAMENTO"))))))</f>
        <v/>
      </c>
      <c r="C2608" s="3">
        <f>IF(D2608="","",IF(V2608=0,"🟢 OK",IF(D2608&lt;corte,"⚪ HISTÓRICO (sem baixa)",IF(AND(ISNUMBER(R2608),R2608&lt;TODAY()),"🔴 PRAZO VENCIDO",IF(AND(OR(N2608="PENDENTE",N2608="PARCIAL"),D2608&lt;TODAY()-1),"🔴 EMBARQUE ATRASADO",IF(AND(N2608="REALIZADO",M2608="PENDENTE"),"🟡 EMBARCADO SEM FATURAR",IF(AND(P2608&lt;&gt;"",S2608="",OR(Q2608="",R2608="")),"🟡 PENDÊNCIA SEM RESPONSÁVEL/PRAZO",IF(AND(ISNUMBER(R2608),R2608=TODAY()),"🟡 VENCE HOJE",IF(AND(P2608&lt;&gt;"",S2608=""),"🟡 PENDÊNCIA ABERTA",IF(AND(N(J2608)&gt;0,N(K2608)&lt;J2608),"🟡 FALTA EXECUTAR",IF(OR(M2608="PENDENTE",M2608="PARCIAL"),"🟡 FATURAMENTO PENDENTE","🟡 EMBARQUE PENDENTE")))))))))))</f>
        <v/>
      </c>
      <c r="D2608" s="4" t="n"/>
      <c r="E2608" s="5" t="n"/>
      <c r="F2608" s="5" t="n"/>
      <c r="G2608" s="5" t="n"/>
      <c r="H2608" s="5" t="n"/>
      <c r="I2608" s="5" t="n"/>
      <c r="J2608" s="6" t="n"/>
      <c r="K2608" s="6" t="n"/>
      <c r="L2608" s="7">
        <f>IF(OR(D2608="",N(J2608)=0),"",MIN(1,N(K2608)/J2608))</f>
        <v/>
      </c>
      <c r="M2608" s="5" t="n"/>
      <c r="N2608" s="5" t="n"/>
      <c r="O2608" s="5" t="n"/>
      <c r="P2608" s="5" t="n"/>
      <c r="Q2608" s="5" t="n"/>
      <c r="R2608" s="4" t="n"/>
      <c r="S2608" s="4" t="n"/>
      <c r="T2608" s="5" t="n"/>
      <c r="U2608" s="8">
        <f>IF(AND(V2608=1,D2608&lt;&gt;""),IF(D2608&gt;=corte,TODAY()-D2608,""),"")</f>
        <v/>
      </c>
      <c r="V2608" s="8">
        <f>IF(D2608="",0,IF(OR(AND(P2608&lt;&gt;"",S2608=""),AND(N(J2608)&gt;0,N(K2608)&lt;J2608),OR(M2608="PENDENTE",M2608="PARCIAL"),OR(N2608="PENDENTE",N2608="PARCIAL")),1,0))</f>
        <v/>
      </c>
      <c r="W2608" s="8">
        <f>IF(AND(V2608=1,D2608&lt;&gt;""),IF(D2608&gt;=corte,(B2608="CRÍTICO")*1E9+(100000-D2608)*10000+10000-ROW(),""),"")</f>
        <v/>
      </c>
      <c r="X2608" s="8">
        <f>IF(AND(V2608=1,D2608=pas_data,E2608=pas_turno),10000-ROW(),"")</f>
        <v/>
      </c>
    </row>
    <row r="2609">
      <c r="A2609" s="3">
        <f>IF(D2609="","","TT-"&amp;TEXT(ROW()-1,"00000"))</f>
        <v/>
      </c>
      <c r="B2609" s="3">
        <f>IF(D2609="","",IF(V2609=0,"CONCLUÍDO",IF(D2609&lt;corte,"HISTÓRICO",IF(OR(AND(ISNUMBER(R2609),R2609&lt;TODAY()),AND(OR(N2609="PENDENTE",N2609="PARCIAL"),D2609&lt;TODAY()-1)),"CRÍTICO",IF(OR(AND(P2609&lt;&gt;"",S2609=""),AND(N2609="REALIZADO",M2609="PENDENTE"),AND(ISNUMBER(R2609),R2609=TODAY())),"ATENÇÃO",IF(N(K2609)=0,"PENDENTE","EM ANDAMENTO"))))))</f>
        <v/>
      </c>
      <c r="C2609" s="3">
        <f>IF(D2609="","",IF(V2609=0,"🟢 OK",IF(D2609&lt;corte,"⚪ HISTÓRICO (sem baixa)",IF(AND(ISNUMBER(R2609),R2609&lt;TODAY()),"🔴 PRAZO VENCIDO",IF(AND(OR(N2609="PENDENTE",N2609="PARCIAL"),D2609&lt;TODAY()-1),"🔴 EMBARQUE ATRASADO",IF(AND(N2609="REALIZADO",M2609="PENDENTE"),"🟡 EMBARCADO SEM FATURAR",IF(AND(P2609&lt;&gt;"",S2609="",OR(Q2609="",R2609="")),"🟡 PENDÊNCIA SEM RESPONSÁVEL/PRAZO",IF(AND(ISNUMBER(R2609),R2609=TODAY()),"🟡 VENCE HOJE",IF(AND(P2609&lt;&gt;"",S2609=""),"🟡 PENDÊNCIA ABERTA",IF(AND(N(J2609)&gt;0,N(K2609)&lt;J2609),"🟡 FALTA EXECUTAR",IF(OR(M2609="PENDENTE",M2609="PARCIAL"),"🟡 FATURAMENTO PENDENTE","🟡 EMBARQUE PENDENTE")))))))))))</f>
        <v/>
      </c>
      <c r="D2609" s="4" t="n"/>
      <c r="E2609" s="5" t="n"/>
      <c r="F2609" s="5" t="n"/>
      <c r="G2609" s="5" t="n"/>
      <c r="H2609" s="5" t="n"/>
      <c r="I2609" s="5" t="n"/>
      <c r="J2609" s="6" t="n"/>
      <c r="K2609" s="6" t="n"/>
      <c r="L2609" s="7">
        <f>IF(OR(D2609="",N(J2609)=0),"",MIN(1,N(K2609)/J2609))</f>
        <v/>
      </c>
      <c r="M2609" s="5" t="n"/>
      <c r="N2609" s="5" t="n"/>
      <c r="O2609" s="5" t="n"/>
      <c r="P2609" s="5" t="n"/>
      <c r="Q2609" s="5" t="n"/>
      <c r="R2609" s="4" t="n"/>
      <c r="S2609" s="4" t="n"/>
      <c r="T2609" s="5" t="n"/>
      <c r="U2609" s="8">
        <f>IF(AND(V2609=1,D2609&lt;&gt;""),IF(D2609&gt;=corte,TODAY()-D2609,""),"")</f>
        <v/>
      </c>
      <c r="V2609" s="8">
        <f>IF(D2609="",0,IF(OR(AND(P2609&lt;&gt;"",S2609=""),AND(N(J2609)&gt;0,N(K2609)&lt;J2609),OR(M2609="PENDENTE",M2609="PARCIAL"),OR(N2609="PENDENTE",N2609="PARCIAL")),1,0))</f>
        <v/>
      </c>
      <c r="W2609" s="8">
        <f>IF(AND(V2609=1,D2609&lt;&gt;""),IF(D2609&gt;=corte,(B2609="CRÍTICO")*1E9+(100000-D2609)*10000+10000-ROW(),""),"")</f>
        <v/>
      </c>
      <c r="X2609" s="8">
        <f>IF(AND(V2609=1,D2609=pas_data,E2609=pas_turno),10000-ROW(),"")</f>
        <v/>
      </c>
    </row>
    <row r="2610">
      <c r="A2610" s="3">
        <f>IF(D2610="","","TT-"&amp;TEXT(ROW()-1,"00000"))</f>
        <v/>
      </c>
      <c r="B2610" s="3">
        <f>IF(D2610="","",IF(V2610=0,"CONCLUÍDO",IF(D2610&lt;corte,"HISTÓRICO",IF(OR(AND(ISNUMBER(R2610),R2610&lt;TODAY()),AND(OR(N2610="PENDENTE",N2610="PARCIAL"),D2610&lt;TODAY()-1)),"CRÍTICO",IF(OR(AND(P2610&lt;&gt;"",S2610=""),AND(N2610="REALIZADO",M2610="PENDENTE"),AND(ISNUMBER(R2610),R2610=TODAY())),"ATENÇÃO",IF(N(K2610)=0,"PENDENTE","EM ANDAMENTO"))))))</f>
        <v/>
      </c>
      <c r="C2610" s="3">
        <f>IF(D2610="","",IF(V2610=0,"🟢 OK",IF(D2610&lt;corte,"⚪ HISTÓRICO (sem baixa)",IF(AND(ISNUMBER(R2610),R2610&lt;TODAY()),"🔴 PRAZO VENCIDO",IF(AND(OR(N2610="PENDENTE",N2610="PARCIAL"),D2610&lt;TODAY()-1),"🔴 EMBARQUE ATRASADO",IF(AND(N2610="REALIZADO",M2610="PENDENTE"),"🟡 EMBARCADO SEM FATURAR",IF(AND(P2610&lt;&gt;"",S2610="",OR(Q2610="",R2610="")),"🟡 PENDÊNCIA SEM RESPONSÁVEL/PRAZO",IF(AND(ISNUMBER(R2610),R2610=TODAY()),"🟡 VENCE HOJE",IF(AND(P2610&lt;&gt;"",S2610=""),"🟡 PENDÊNCIA ABERTA",IF(AND(N(J2610)&gt;0,N(K2610)&lt;J2610),"🟡 FALTA EXECUTAR",IF(OR(M2610="PENDENTE",M2610="PARCIAL"),"🟡 FATURAMENTO PENDENTE","🟡 EMBARQUE PENDENTE")))))))))))</f>
        <v/>
      </c>
      <c r="D2610" s="4" t="n"/>
      <c r="E2610" s="5" t="n"/>
      <c r="F2610" s="5" t="n"/>
      <c r="G2610" s="5" t="n"/>
      <c r="H2610" s="5" t="n"/>
      <c r="I2610" s="5" t="n"/>
      <c r="J2610" s="6" t="n"/>
      <c r="K2610" s="6" t="n"/>
      <c r="L2610" s="7">
        <f>IF(OR(D2610="",N(J2610)=0),"",MIN(1,N(K2610)/J2610))</f>
        <v/>
      </c>
      <c r="M2610" s="5" t="n"/>
      <c r="N2610" s="5" t="n"/>
      <c r="O2610" s="5" t="n"/>
      <c r="P2610" s="5" t="n"/>
      <c r="Q2610" s="5" t="n"/>
      <c r="R2610" s="4" t="n"/>
      <c r="S2610" s="4" t="n"/>
      <c r="T2610" s="5" t="n"/>
      <c r="U2610" s="8">
        <f>IF(AND(V2610=1,D2610&lt;&gt;""),IF(D2610&gt;=corte,TODAY()-D2610,""),"")</f>
        <v/>
      </c>
      <c r="V2610" s="8">
        <f>IF(D2610="",0,IF(OR(AND(P2610&lt;&gt;"",S2610=""),AND(N(J2610)&gt;0,N(K2610)&lt;J2610),OR(M2610="PENDENTE",M2610="PARCIAL"),OR(N2610="PENDENTE",N2610="PARCIAL")),1,0))</f>
        <v/>
      </c>
      <c r="W2610" s="8">
        <f>IF(AND(V2610=1,D2610&lt;&gt;""),IF(D2610&gt;=corte,(B2610="CRÍTICO")*1E9+(100000-D2610)*10000+10000-ROW(),""),"")</f>
        <v/>
      </c>
      <c r="X2610" s="8">
        <f>IF(AND(V2610=1,D2610=pas_data,E2610=pas_turno),10000-ROW(),"")</f>
        <v/>
      </c>
    </row>
    <row r="2611">
      <c r="A2611" s="3">
        <f>IF(D2611="","","TT-"&amp;TEXT(ROW()-1,"00000"))</f>
        <v/>
      </c>
      <c r="B2611" s="3">
        <f>IF(D2611="","",IF(V2611=0,"CONCLUÍDO",IF(D2611&lt;corte,"HISTÓRICO",IF(OR(AND(ISNUMBER(R2611),R2611&lt;TODAY()),AND(OR(N2611="PENDENTE",N2611="PARCIAL"),D2611&lt;TODAY()-1)),"CRÍTICO",IF(OR(AND(P2611&lt;&gt;"",S2611=""),AND(N2611="REALIZADO",M2611="PENDENTE"),AND(ISNUMBER(R2611),R2611=TODAY())),"ATENÇÃO",IF(N(K2611)=0,"PENDENTE","EM ANDAMENTO"))))))</f>
        <v/>
      </c>
      <c r="C2611" s="3">
        <f>IF(D2611="","",IF(V2611=0,"🟢 OK",IF(D2611&lt;corte,"⚪ HISTÓRICO (sem baixa)",IF(AND(ISNUMBER(R2611),R2611&lt;TODAY()),"🔴 PRAZO VENCIDO",IF(AND(OR(N2611="PENDENTE",N2611="PARCIAL"),D2611&lt;TODAY()-1),"🔴 EMBARQUE ATRASADO",IF(AND(N2611="REALIZADO",M2611="PENDENTE"),"🟡 EMBARCADO SEM FATURAR",IF(AND(P2611&lt;&gt;"",S2611="",OR(Q2611="",R2611="")),"🟡 PENDÊNCIA SEM RESPONSÁVEL/PRAZO",IF(AND(ISNUMBER(R2611),R2611=TODAY()),"🟡 VENCE HOJE",IF(AND(P2611&lt;&gt;"",S2611=""),"🟡 PENDÊNCIA ABERTA",IF(AND(N(J2611)&gt;0,N(K2611)&lt;J2611),"🟡 FALTA EXECUTAR",IF(OR(M2611="PENDENTE",M2611="PARCIAL"),"🟡 FATURAMENTO PENDENTE","🟡 EMBARQUE PENDENTE")))))))))))</f>
        <v/>
      </c>
      <c r="D2611" s="4" t="n"/>
      <c r="E2611" s="5" t="n"/>
      <c r="F2611" s="5" t="n"/>
      <c r="G2611" s="5" t="n"/>
      <c r="H2611" s="5" t="n"/>
      <c r="I2611" s="5" t="n"/>
      <c r="J2611" s="6" t="n"/>
      <c r="K2611" s="6" t="n"/>
      <c r="L2611" s="7">
        <f>IF(OR(D2611="",N(J2611)=0),"",MIN(1,N(K2611)/J2611))</f>
        <v/>
      </c>
      <c r="M2611" s="5" t="n"/>
      <c r="N2611" s="5" t="n"/>
      <c r="O2611" s="5" t="n"/>
      <c r="P2611" s="5" t="n"/>
      <c r="Q2611" s="5" t="n"/>
      <c r="R2611" s="4" t="n"/>
      <c r="S2611" s="4" t="n"/>
      <c r="T2611" s="5" t="n"/>
      <c r="U2611" s="8">
        <f>IF(AND(V2611=1,D2611&lt;&gt;""),IF(D2611&gt;=corte,TODAY()-D2611,""),"")</f>
        <v/>
      </c>
      <c r="V2611" s="8">
        <f>IF(D2611="",0,IF(OR(AND(P2611&lt;&gt;"",S2611=""),AND(N(J2611)&gt;0,N(K2611)&lt;J2611),OR(M2611="PENDENTE",M2611="PARCIAL"),OR(N2611="PENDENTE",N2611="PARCIAL")),1,0))</f>
        <v/>
      </c>
      <c r="W2611" s="8">
        <f>IF(AND(V2611=1,D2611&lt;&gt;""),IF(D2611&gt;=corte,(B2611="CRÍTICO")*1E9+(100000-D2611)*10000+10000-ROW(),""),"")</f>
        <v/>
      </c>
      <c r="X2611" s="8">
        <f>IF(AND(V2611=1,D2611=pas_data,E2611=pas_turno),10000-ROW(),"")</f>
        <v/>
      </c>
    </row>
    <row r="2612">
      <c r="A2612" s="3">
        <f>IF(D2612="","","TT-"&amp;TEXT(ROW()-1,"00000"))</f>
        <v/>
      </c>
      <c r="B2612" s="3">
        <f>IF(D2612="","",IF(V2612=0,"CONCLUÍDO",IF(D2612&lt;corte,"HISTÓRICO",IF(OR(AND(ISNUMBER(R2612),R2612&lt;TODAY()),AND(OR(N2612="PENDENTE",N2612="PARCIAL"),D2612&lt;TODAY()-1)),"CRÍTICO",IF(OR(AND(P2612&lt;&gt;"",S2612=""),AND(N2612="REALIZADO",M2612="PENDENTE"),AND(ISNUMBER(R2612),R2612=TODAY())),"ATENÇÃO",IF(N(K2612)=0,"PENDENTE","EM ANDAMENTO"))))))</f>
        <v/>
      </c>
      <c r="C2612" s="3">
        <f>IF(D2612="","",IF(V2612=0,"🟢 OK",IF(D2612&lt;corte,"⚪ HISTÓRICO (sem baixa)",IF(AND(ISNUMBER(R2612),R2612&lt;TODAY()),"🔴 PRAZO VENCIDO",IF(AND(OR(N2612="PENDENTE",N2612="PARCIAL"),D2612&lt;TODAY()-1),"🔴 EMBARQUE ATRASADO",IF(AND(N2612="REALIZADO",M2612="PENDENTE"),"🟡 EMBARCADO SEM FATURAR",IF(AND(P2612&lt;&gt;"",S2612="",OR(Q2612="",R2612="")),"🟡 PENDÊNCIA SEM RESPONSÁVEL/PRAZO",IF(AND(ISNUMBER(R2612),R2612=TODAY()),"🟡 VENCE HOJE",IF(AND(P2612&lt;&gt;"",S2612=""),"🟡 PENDÊNCIA ABERTA",IF(AND(N(J2612)&gt;0,N(K2612)&lt;J2612),"🟡 FALTA EXECUTAR",IF(OR(M2612="PENDENTE",M2612="PARCIAL"),"🟡 FATURAMENTO PENDENTE","🟡 EMBARQUE PENDENTE")))))))))))</f>
        <v/>
      </c>
      <c r="D2612" s="4" t="n"/>
      <c r="E2612" s="5" t="n"/>
      <c r="F2612" s="5" t="n"/>
      <c r="G2612" s="5" t="n"/>
      <c r="H2612" s="5" t="n"/>
      <c r="I2612" s="5" t="n"/>
      <c r="J2612" s="6" t="n"/>
      <c r="K2612" s="6" t="n"/>
      <c r="L2612" s="7">
        <f>IF(OR(D2612="",N(J2612)=0),"",MIN(1,N(K2612)/J2612))</f>
        <v/>
      </c>
      <c r="M2612" s="5" t="n"/>
      <c r="N2612" s="5" t="n"/>
      <c r="O2612" s="5" t="n"/>
      <c r="P2612" s="5" t="n"/>
      <c r="Q2612" s="5" t="n"/>
      <c r="R2612" s="4" t="n"/>
      <c r="S2612" s="4" t="n"/>
      <c r="T2612" s="5" t="n"/>
      <c r="U2612" s="8">
        <f>IF(AND(V2612=1,D2612&lt;&gt;""),IF(D2612&gt;=corte,TODAY()-D2612,""),"")</f>
        <v/>
      </c>
      <c r="V2612" s="8">
        <f>IF(D2612="",0,IF(OR(AND(P2612&lt;&gt;"",S2612=""),AND(N(J2612)&gt;0,N(K2612)&lt;J2612),OR(M2612="PENDENTE",M2612="PARCIAL"),OR(N2612="PENDENTE",N2612="PARCIAL")),1,0))</f>
        <v/>
      </c>
      <c r="W2612" s="8">
        <f>IF(AND(V2612=1,D2612&lt;&gt;""),IF(D2612&gt;=corte,(B2612="CRÍTICO")*1E9+(100000-D2612)*10000+10000-ROW(),""),"")</f>
        <v/>
      </c>
      <c r="X2612" s="8">
        <f>IF(AND(V2612=1,D2612=pas_data,E2612=pas_turno),10000-ROW(),"")</f>
        <v/>
      </c>
    </row>
    <row r="2613">
      <c r="A2613" s="3">
        <f>IF(D2613="","","TT-"&amp;TEXT(ROW()-1,"00000"))</f>
        <v/>
      </c>
      <c r="B2613" s="3">
        <f>IF(D2613="","",IF(V2613=0,"CONCLUÍDO",IF(D2613&lt;corte,"HISTÓRICO",IF(OR(AND(ISNUMBER(R2613),R2613&lt;TODAY()),AND(OR(N2613="PENDENTE",N2613="PARCIAL"),D2613&lt;TODAY()-1)),"CRÍTICO",IF(OR(AND(P2613&lt;&gt;"",S2613=""),AND(N2613="REALIZADO",M2613="PENDENTE"),AND(ISNUMBER(R2613),R2613=TODAY())),"ATENÇÃO",IF(N(K2613)=0,"PENDENTE","EM ANDAMENTO"))))))</f>
        <v/>
      </c>
      <c r="C2613" s="3">
        <f>IF(D2613="","",IF(V2613=0,"🟢 OK",IF(D2613&lt;corte,"⚪ HISTÓRICO (sem baixa)",IF(AND(ISNUMBER(R2613),R2613&lt;TODAY()),"🔴 PRAZO VENCIDO",IF(AND(OR(N2613="PENDENTE",N2613="PARCIAL"),D2613&lt;TODAY()-1),"🔴 EMBARQUE ATRASADO",IF(AND(N2613="REALIZADO",M2613="PENDENTE"),"🟡 EMBARCADO SEM FATURAR",IF(AND(P2613&lt;&gt;"",S2613="",OR(Q2613="",R2613="")),"🟡 PENDÊNCIA SEM RESPONSÁVEL/PRAZO",IF(AND(ISNUMBER(R2613),R2613=TODAY()),"🟡 VENCE HOJE",IF(AND(P2613&lt;&gt;"",S2613=""),"🟡 PENDÊNCIA ABERTA",IF(AND(N(J2613)&gt;0,N(K2613)&lt;J2613),"🟡 FALTA EXECUTAR",IF(OR(M2613="PENDENTE",M2613="PARCIAL"),"🟡 FATURAMENTO PENDENTE","🟡 EMBARQUE PENDENTE")))))))))))</f>
        <v/>
      </c>
      <c r="D2613" s="4" t="n"/>
      <c r="E2613" s="5" t="n"/>
      <c r="F2613" s="5" t="n"/>
      <c r="G2613" s="5" t="n"/>
      <c r="H2613" s="5" t="n"/>
      <c r="I2613" s="5" t="n"/>
      <c r="J2613" s="6" t="n"/>
      <c r="K2613" s="6" t="n"/>
      <c r="L2613" s="7">
        <f>IF(OR(D2613="",N(J2613)=0),"",MIN(1,N(K2613)/J2613))</f>
        <v/>
      </c>
      <c r="M2613" s="5" t="n"/>
      <c r="N2613" s="5" t="n"/>
      <c r="O2613" s="5" t="n"/>
      <c r="P2613" s="5" t="n"/>
      <c r="Q2613" s="5" t="n"/>
      <c r="R2613" s="4" t="n"/>
      <c r="S2613" s="4" t="n"/>
      <c r="T2613" s="5" t="n"/>
      <c r="U2613" s="8">
        <f>IF(AND(V2613=1,D2613&lt;&gt;""),IF(D2613&gt;=corte,TODAY()-D2613,""),"")</f>
        <v/>
      </c>
      <c r="V2613" s="8">
        <f>IF(D2613="",0,IF(OR(AND(P2613&lt;&gt;"",S2613=""),AND(N(J2613)&gt;0,N(K2613)&lt;J2613),OR(M2613="PENDENTE",M2613="PARCIAL"),OR(N2613="PENDENTE",N2613="PARCIAL")),1,0))</f>
        <v/>
      </c>
      <c r="W2613" s="8">
        <f>IF(AND(V2613=1,D2613&lt;&gt;""),IF(D2613&gt;=corte,(B2613="CRÍTICO")*1E9+(100000-D2613)*10000+10000-ROW(),""),"")</f>
        <v/>
      </c>
      <c r="X2613" s="8">
        <f>IF(AND(V2613=1,D2613=pas_data,E2613=pas_turno),10000-ROW(),"")</f>
        <v/>
      </c>
    </row>
    <row r="2614">
      <c r="A2614" s="3">
        <f>IF(D2614="","","TT-"&amp;TEXT(ROW()-1,"00000"))</f>
        <v/>
      </c>
      <c r="B2614" s="3">
        <f>IF(D2614="","",IF(V2614=0,"CONCLUÍDO",IF(D2614&lt;corte,"HISTÓRICO",IF(OR(AND(ISNUMBER(R2614),R2614&lt;TODAY()),AND(OR(N2614="PENDENTE",N2614="PARCIAL"),D2614&lt;TODAY()-1)),"CRÍTICO",IF(OR(AND(P2614&lt;&gt;"",S2614=""),AND(N2614="REALIZADO",M2614="PENDENTE"),AND(ISNUMBER(R2614),R2614=TODAY())),"ATENÇÃO",IF(N(K2614)=0,"PENDENTE","EM ANDAMENTO"))))))</f>
        <v/>
      </c>
      <c r="C2614" s="3">
        <f>IF(D2614="","",IF(V2614=0,"🟢 OK",IF(D2614&lt;corte,"⚪ HISTÓRICO (sem baixa)",IF(AND(ISNUMBER(R2614),R2614&lt;TODAY()),"🔴 PRAZO VENCIDO",IF(AND(OR(N2614="PENDENTE",N2614="PARCIAL"),D2614&lt;TODAY()-1),"🔴 EMBARQUE ATRASADO",IF(AND(N2614="REALIZADO",M2614="PENDENTE"),"🟡 EMBARCADO SEM FATURAR",IF(AND(P2614&lt;&gt;"",S2614="",OR(Q2614="",R2614="")),"🟡 PENDÊNCIA SEM RESPONSÁVEL/PRAZO",IF(AND(ISNUMBER(R2614),R2614=TODAY()),"🟡 VENCE HOJE",IF(AND(P2614&lt;&gt;"",S2614=""),"🟡 PENDÊNCIA ABERTA",IF(AND(N(J2614)&gt;0,N(K2614)&lt;J2614),"🟡 FALTA EXECUTAR",IF(OR(M2614="PENDENTE",M2614="PARCIAL"),"🟡 FATURAMENTO PENDENTE","🟡 EMBARQUE PENDENTE")))))))))))</f>
        <v/>
      </c>
      <c r="D2614" s="4" t="n"/>
      <c r="E2614" s="5" t="n"/>
      <c r="F2614" s="5" t="n"/>
      <c r="G2614" s="5" t="n"/>
      <c r="H2614" s="5" t="n"/>
      <c r="I2614" s="5" t="n"/>
      <c r="J2614" s="6" t="n"/>
      <c r="K2614" s="6" t="n"/>
      <c r="L2614" s="7">
        <f>IF(OR(D2614="",N(J2614)=0),"",MIN(1,N(K2614)/J2614))</f>
        <v/>
      </c>
      <c r="M2614" s="5" t="n"/>
      <c r="N2614" s="5" t="n"/>
      <c r="O2614" s="5" t="n"/>
      <c r="P2614" s="5" t="n"/>
      <c r="Q2614" s="5" t="n"/>
      <c r="R2614" s="4" t="n"/>
      <c r="S2614" s="4" t="n"/>
      <c r="T2614" s="5" t="n"/>
      <c r="U2614" s="8">
        <f>IF(AND(V2614=1,D2614&lt;&gt;""),IF(D2614&gt;=corte,TODAY()-D2614,""),"")</f>
        <v/>
      </c>
      <c r="V2614" s="8">
        <f>IF(D2614="",0,IF(OR(AND(P2614&lt;&gt;"",S2614=""),AND(N(J2614)&gt;0,N(K2614)&lt;J2614),OR(M2614="PENDENTE",M2614="PARCIAL"),OR(N2614="PENDENTE",N2614="PARCIAL")),1,0))</f>
        <v/>
      </c>
      <c r="W2614" s="8">
        <f>IF(AND(V2614=1,D2614&lt;&gt;""),IF(D2614&gt;=corte,(B2614="CRÍTICO")*1E9+(100000-D2614)*10000+10000-ROW(),""),"")</f>
        <v/>
      </c>
      <c r="X2614" s="8">
        <f>IF(AND(V2614=1,D2614=pas_data,E2614=pas_turno),10000-ROW(),"")</f>
        <v/>
      </c>
    </row>
    <row r="2615">
      <c r="A2615" s="3">
        <f>IF(D2615="","","TT-"&amp;TEXT(ROW()-1,"00000"))</f>
        <v/>
      </c>
      <c r="B2615" s="3">
        <f>IF(D2615="","",IF(V2615=0,"CONCLUÍDO",IF(D2615&lt;corte,"HISTÓRICO",IF(OR(AND(ISNUMBER(R2615),R2615&lt;TODAY()),AND(OR(N2615="PENDENTE",N2615="PARCIAL"),D2615&lt;TODAY()-1)),"CRÍTICO",IF(OR(AND(P2615&lt;&gt;"",S2615=""),AND(N2615="REALIZADO",M2615="PENDENTE"),AND(ISNUMBER(R2615),R2615=TODAY())),"ATENÇÃO",IF(N(K2615)=0,"PENDENTE","EM ANDAMENTO"))))))</f>
        <v/>
      </c>
      <c r="C2615" s="3">
        <f>IF(D2615="","",IF(V2615=0,"🟢 OK",IF(D2615&lt;corte,"⚪ HISTÓRICO (sem baixa)",IF(AND(ISNUMBER(R2615),R2615&lt;TODAY()),"🔴 PRAZO VENCIDO",IF(AND(OR(N2615="PENDENTE",N2615="PARCIAL"),D2615&lt;TODAY()-1),"🔴 EMBARQUE ATRASADO",IF(AND(N2615="REALIZADO",M2615="PENDENTE"),"🟡 EMBARCADO SEM FATURAR",IF(AND(P2615&lt;&gt;"",S2615="",OR(Q2615="",R2615="")),"🟡 PENDÊNCIA SEM RESPONSÁVEL/PRAZO",IF(AND(ISNUMBER(R2615),R2615=TODAY()),"🟡 VENCE HOJE",IF(AND(P2615&lt;&gt;"",S2615=""),"🟡 PENDÊNCIA ABERTA",IF(AND(N(J2615)&gt;0,N(K2615)&lt;J2615),"🟡 FALTA EXECUTAR",IF(OR(M2615="PENDENTE",M2615="PARCIAL"),"🟡 FATURAMENTO PENDENTE","🟡 EMBARQUE PENDENTE")))))))))))</f>
        <v/>
      </c>
      <c r="D2615" s="4" t="n"/>
      <c r="E2615" s="5" t="n"/>
      <c r="F2615" s="5" t="n"/>
      <c r="G2615" s="5" t="n"/>
      <c r="H2615" s="5" t="n"/>
      <c r="I2615" s="5" t="n"/>
      <c r="J2615" s="6" t="n"/>
      <c r="K2615" s="6" t="n"/>
      <c r="L2615" s="7">
        <f>IF(OR(D2615="",N(J2615)=0),"",MIN(1,N(K2615)/J2615))</f>
        <v/>
      </c>
      <c r="M2615" s="5" t="n"/>
      <c r="N2615" s="5" t="n"/>
      <c r="O2615" s="5" t="n"/>
      <c r="P2615" s="5" t="n"/>
      <c r="Q2615" s="5" t="n"/>
      <c r="R2615" s="4" t="n"/>
      <c r="S2615" s="4" t="n"/>
      <c r="T2615" s="5" t="n"/>
      <c r="U2615" s="8">
        <f>IF(AND(V2615=1,D2615&lt;&gt;""),IF(D2615&gt;=corte,TODAY()-D2615,""),"")</f>
        <v/>
      </c>
      <c r="V2615" s="8">
        <f>IF(D2615="",0,IF(OR(AND(P2615&lt;&gt;"",S2615=""),AND(N(J2615)&gt;0,N(K2615)&lt;J2615),OR(M2615="PENDENTE",M2615="PARCIAL"),OR(N2615="PENDENTE",N2615="PARCIAL")),1,0))</f>
        <v/>
      </c>
      <c r="W2615" s="8">
        <f>IF(AND(V2615=1,D2615&lt;&gt;""),IF(D2615&gt;=corte,(B2615="CRÍTICO")*1E9+(100000-D2615)*10000+10000-ROW(),""),"")</f>
        <v/>
      </c>
      <c r="X2615" s="8">
        <f>IF(AND(V2615=1,D2615=pas_data,E2615=pas_turno),10000-ROW(),"")</f>
        <v/>
      </c>
    </row>
    <row r="2616">
      <c r="A2616" s="3">
        <f>IF(D2616="","","TT-"&amp;TEXT(ROW()-1,"00000"))</f>
        <v/>
      </c>
      <c r="B2616" s="3">
        <f>IF(D2616="","",IF(V2616=0,"CONCLUÍDO",IF(D2616&lt;corte,"HISTÓRICO",IF(OR(AND(ISNUMBER(R2616),R2616&lt;TODAY()),AND(OR(N2616="PENDENTE",N2616="PARCIAL"),D2616&lt;TODAY()-1)),"CRÍTICO",IF(OR(AND(P2616&lt;&gt;"",S2616=""),AND(N2616="REALIZADO",M2616="PENDENTE"),AND(ISNUMBER(R2616),R2616=TODAY())),"ATENÇÃO",IF(N(K2616)=0,"PENDENTE","EM ANDAMENTO"))))))</f>
        <v/>
      </c>
      <c r="C2616" s="3">
        <f>IF(D2616="","",IF(V2616=0,"🟢 OK",IF(D2616&lt;corte,"⚪ HISTÓRICO (sem baixa)",IF(AND(ISNUMBER(R2616),R2616&lt;TODAY()),"🔴 PRAZO VENCIDO",IF(AND(OR(N2616="PENDENTE",N2616="PARCIAL"),D2616&lt;TODAY()-1),"🔴 EMBARQUE ATRASADO",IF(AND(N2616="REALIZADO",M2616="PENDENTE"),"🟡 EMBARCADO SEM FATURAR",IF(AND(P2616&lt;&gt;"",S2616="",OR(Q2616="",R2616="")),"🟡 PENDÊNCIA SEM RESPONSÁVEL/PRAZO",IF(AND(ISNUMBER(R2616),R2616=TODAY()),"🟡 VENCE HOJE",IF(AND(P2616&lt;&gt;"",S2616=""),"🟡 PENDÊNCIA ABERTA",IF(AND(N(J2616)&gt;0,N(K2616)&lt;J2616),"🟡 FALTA EXECUTAR",IF(OR(M2616="PENDENTE",M2616="PARCIAL"),"🟡 FATURAMENTO PENDENTE","🟡 EMBARQUE PENDENTE")))))))))))</f>
        <v/>
      </c>
      <c r="D2616" s="4" t="n"/>
      <c r="E2616" s="5" t="n"/>
      <c r="F2616" s="5" t="n"/>
      <c r="G2616" s="5" t="n"/>
      <c r="H2616" s="5" t="n"/>
      <c r="I2616" s="5" t="n"/>
      <c r="J2616" s="6" t="n"/>
      <c r="K2616" s="6" t="n"/>
      <c r="L2616" s="7">
        <f>IF(OR(D2616="",N(J2616)=0),"",MIN(1,N(K2616)/J2616))</f>
        <v/>
      </c>
      <c r="M2616" s="5" t="n"/>
      <c r="N2616" s="5" t="n"/>
      <c r="O2616" s="5" t="n"/>
      <c r="P2616" s="5" t="n"/>
      <c r="Q2616" s="5" t="n"/>
      <c r="R2616" s="4" t="n"/>
      <c r="S2616" s="4" t="n"/>
      <c r="T2616" s="5" t="n"/>
      <c r="U2616" s="8">
        <f>IF(AND(V2616=1,D2616&lt;&gt;""),IF(D2616&gt;=corte,TODAY()-D2616,""),"")</f>
        <v/>
      </c>
      <c r="V2616" s="8">
        <f>IF(D2616="",0,IF(OR(AND(P2616&lt;&gt;"",S2616=""),AND(N(J2616)&gt;0,N(K2616)&lt;J2616),OR(M2616="PENDENTE",M2616="PARCIAL"),OR(N2616="PENDENTE",N2616="PARCIAL")),1,0))</f>
        <v/>
      </c>
      <c r="W2616" s="8">
        <f>IF(AND(V2616=1,D2616&lt;&gt;""),IF(D2616&gt;=corte,(B2616="CRÍTICO")*1E9+(100000-D2616)*10000+10000-ROW(),""),"")</f>
        <v/>
      </c>
      <c r="X2616" s="8">
        <f>IF(AND(V2616=1,D2616=pas_data,E2616=pas_turno),10000-ROW(),"")</f>
        <v/>
      </c>
    </row>
    <row r="2617">
      <c r="A2617" s="3">
        <f>IF(D2617="","","TT-"&amp;TEXT(ROW()-1,"00000"))</f>
        <v/>
      </c>
      <c r="B2617" s="3">
        <f>IF(D2617="","",IF(V2617=0,"CONCLUÍDO",IF(D2617&lt;corte,"HISTÓRICO",IF(OR(AND(ISNUMBER(R2617),R2617&lt;TODAY()),AND(OR(N2617="PENDENTE",N2617="PARCIAL"),D2617&lt;TODAY()-1)),"CRÍTICO",IF(OR(AND(P2617&lt;&gt;"",S2617=""),AND(N2617="REALIZADO",M2617="PENDENTE"),AND(ISNUMBER(R2617),R2617=TODAY())),"ATENÇÃO",IF(N(K2617)=0,"PENDENTE","EM ANDAMENTO"))))))</f>
        <v/>
      </c>
      <c r="C2617" s="3">
        <f>IF(D2617="","",IF(V2617=0,"🟢 OK",IF(D2617&lt;corte,"⚪ HISTÓRICO (sem baixa)",IF(AND(ISNUMBER(R2617),R2617&lt;TODAY()),"🔴 PRAZO VENCIDO",IF(AND(OR(N2617="PENDENTE",N2617="PARCIAL"),D2617&lt;TODAY()-1),"🔴 EMBARQUE ATRASADO",IF(AND(N2617="REALIZADO",M2617="PENDENTE"),"🟡 EMBARCADO SEM FATURAR",IF(AND(P2617&lt;&gt;"",S2617="",OR(Q2617="",R2617="")),"🟡 PENDÊNCIA SEM RESPONSÁVEL/PRAZO",IF(AND(ISNUMBER(R2617),R2617=TODAY()),"🟡 VENCE HOJE",IF(AND(P2617&lt;&gt;"",S2617=""),"🟡 PENDÊNCIA ABERTA",IF(AND(N(J2617)&gt;0,N(K2617)&lt;J2617),"🟡 FALTA EXECUTAR",IF(OR(M2617="PENDENTE",M2617="PARCIAL"),"🟡 FATURAMENTO PENDENTE","🟡 EMBARQUE PENDENTE")))))))))))</f>
        <v/>
      </c>
      <c r="D2617" s="4" t="n"/>
      <c r="E2617" s="5" t="n"/>
      <c r="F2617" s="5" t="n"/>
      <c r="G2617" s="5" t="n"/>
      <c r="H2617" s="5" t="n"/>
      <c r="I2617" s="5" t="n"/>
      <c r="J2617" s="6" t="n"/>
      <c r="K2617" s="6" t="n"/>
      <c r="L2617" s="7">
        <f>IF(OR(D2617="",N(J2617)=0),"",MIN(1,N(K2617)/J2617))</f>
        <v/>
      </c>
      <c r="M2617" s="5" t="n"/>
      <c r="N2617" s="5" t="n"/>
      <c r="O2617" s="5" t="n"/>
      <c r="P2617" s="5" t="n"/>
      <c r="Q2617" s="5" t="n"/>
      <c r="R2617" s="4" t="n"/>
      <c r="S2617" s="4" t="n"/>
      <c r="T2617" s="5" t="n"/>
      <c r="U2617" s="8">
        <f>IF(AND(V2617=1,D2617&lt;&gt;""),IF(D2617&gt;=corte,TODAY()-D2617,""),"")</f>
        <v/>
      </c>
      <c r="V2617" s="8">
        <f>IF(D2617="",0,IF(OR(AND(P2617&lt;&gt;"",S2617=""),AND(N(J2617)&gt;0,N(K2617)&lt;J2617),OR(M2617="PENDENTE",M2617="PARCIAL"),OR(N2617="PENDENTE",N2617="PARCIAL")),1,0))</f>
        <v/>
      </c>
      <c r="W2617" s="8">
        <f>IF(AND(V2617=1,D2617&lt;&gt;""),IF(D2617&gt;=corte,(B2617="CRÍTICO")*1E9+(100000-D2617)*10000+10000-ROW(),""),"")</f>
        <v/>
      </c>
      <c r="X2617" s="8">
        <f>IF(AND(V2617=1,D2617=pas_data,E2617=pas_turno),10000-ROW(),"")</f>
        <v/>
      </c>
    </row>
    <row r="2618">
      <c r="A2618" s="3">
        <f>IF(D2618="","","TT-"&amp;TEXT(ROW()-1,"00000"))</f>
        <v/>
      </c>
      <c r="B2618" s="3">
        <f>IF(D2618="","",IF(V2618=0,"CONCLUÍDO",IF(D2618&lt;corte,"HISTÓRICO",IF(OR(AND(ISNUMBER(R2618),R2618&lt;TODAY()),AND(OR(N2618="PENDENTE",N2618="PARCIAL"),D2618&lt;TODAY()-1)),"CRÍTICO",IF(OR(AND(P2618&lt;&gt;"",S2618=""),AND(N2618="REALIZADO",M2618="PENDENTE"),AND(ISNUMBER(R2618),R2618=TODAY())),"ATENÇÃO",IF(N(K2618)=0,"PENDENTE","EM ANDAMENTO"))))))</f>
        <v/>
      </c>
      <c r="C2618" s="3">
        <f>IF(D2618="","",IF(V2618=0,"🟢 OK",IF(D2618&lt;corte,"⚪ HISTÓRICO (sem baixa)",IF(AND(ISNUMBER(R2618),R2618&lt;TODAY()),"🔴 PRAZO VENCIDO",IF(AND(OR(N2618="PENDENTE",N2618="PARCIAL"),D2618&lt;TODAY()-1),"🔴 EMBARQUE ATRASADO",IF(AND(N2618="REALIZADO",M2618="PENDENTE"),"🟡 EMBARCADO SEM FATURAR",IF(AND(P2618&lt;&gt;"",S2618="",OR(Q2618="",R2618="")),"🟡 PENDÊNCIA SEM RESPONSÁVEL/PRAZO",IF(AND(ISNUMBER(R2618),R2618=TODAY()),"🟡 VENCE HOJE",IF(AND(P2618&lt;&gt;"",S2618=""),"🟡 PENDÊNCIA ABERTA",IF(AND(N(J2618)&gt;0,N(K2618)&lt;J2618),"🟡 FALTA EXECUTAR",IF(OR(M2618="PENDENTE",M2618="PARCIAL"),"🟡 FATURAMENTO PENDENTE","🟡 EMBARQUE PENDENTE")))))))))))</f>
        <v/>
      </c>
      <c r="D2618" s="4" t="n"/>
      <c r="E2618" s="5" t="n"/>
      <c r="F2618" s="5" t="n"/>
      <c r="G2618" s="5" t="n"/>
      <c r="H2618" s="5" t="n"/>
      <c r="I2618" s="5" t="n"/>
      <c r="J2618" s="6" t="n"/>
      <c r="K2618" s="6" t="n"/>
      <c r="L2618" s="7">
        <f>IF(OR(D2618="",N(J2618)=0),"",MIN(1,N(K2618)/J2618))</f>
        <v/>
      </c>
      <c r="M2618" s="5" t="n"/>
      <c r="N2618" s="5" t="n"/>
      <c r="O2618" s="5" t="n"/>
      <c r="P2618" s="5" t="n"/>
      <c r="Q2618" s="5" t="n"/>
      <c r="R2618" s="4" t="n"/>
      <c r="S2618" s="4" t="n"/>
      <c r="T2618" s="5" t="n"/>
      <c r="U2618" s="8">
        <f>IF(AND(V2618=1,D2618&lt;&gt;""),IF(D2618&gt;=corte,TODAY()-D2618,""),"")</f>
        <v/>
      </c>
      <c r="V2618" s="8">
        <f>IF(D2618="",0,IF(OR(AND(P2618&lt;&gt;"",S2618=""),AND(N(J2618)&gt;0,N(K2618)&lt;J2618),OR(M2618="PENDENTE",M2618="PARCIAL"),OR(N2618="PENDENTE",N2618="PARCIAL")),1,0))</f>
        <v/>
      </c>
      <c r="W2618" s="8">
        <f>IF(AND(V2618=1,D2618&lt;&gt;""),IF(D2618&gt;=corte,(B2618="CRÍTICO")*1E9+(100000-D2618)*10000+10000-ROW(),""),"")</f>
        <v/>
      </c>
      <c r="X2618" s="8">
        <f>IF(AND(V2618=1,D2618=pas_data,E2618=pas_turno),10000-ROW(),"")</f>
        <v/>
      </c>
    </row>
    <row r="2619">
      <c r="A2619" s="3">
        <f>IF(D2619="","","TT-"&amp;TEXT(ROW()-1,"00000"))</f>
        <v/>
      </c>
      <c r="B2619" s="3">
        <f>IF(D2619="","",IF(V2619=0,"CONCLUÍDO",IF(D2619&lt;corte,"HISTÓRICO",IF(OR(AND(ISNUMBER(R2619),R2619&lt;TODAY()),AND(OR(N2619="PENDENTE",N2619="PARCIAL"),D2619&lt;TODAY()-1)),"CRÍTICO",IF(OR(AND(P2619&lt;&gt;"",S2619=""),AND(N2619="REALIZADO",M2619="PENDENTE"),AND(ISNUMBER(R2619),R2619=TODAY())),"ATENÇÃO",IF(N(K2619)=0,"PENDENTE","EM ANDAMENTO"))))))</f>
        <v/>
      </c>
      <c r="C2619" s="3">
        <f>IF(D2619="","",IF(V2619=0,"🟢 OK",IF(D2619&lt;corte,"⚪ HISTÓRICO (sem baixa)",IF(AND(ISNUMBER(R2619),R2619&lt;TODAY()),"🔴 PRAZO VENCIDO",IF(AND(OR(N2619="PENDENTE",N2619="PARCIAL"),D2619&lt;TODAY()-1),"🔴 EMBARQUE ATRASADO",IF(AND(N2619="REALIZADO",M2619="PENDENTE"),"🟡 EMBARCADO SEM FATURAR",IF(AND(P2619&lt;&gt;"",S2619="",OR(Q2619="",R2619="")),"🟡 PENDÊNCIA SEM RESPONSÁVEL/PRAZO",IF(AND(ISNUMBER(R2619),R2619=TODAY()),"🟡 VENCE HOJE",IF(AND(P2619&lt;&gt;"",S2619=""),"🟡 PENDÊNCIA ABERTA",IF(AND(N(J2619)&gt;0,N(K2619)&lt;J2619),"🟡 FALTA EXECUTAR",IF(OR(M2619="PENDENTE",M2619="PARCIAL"),"🟡 FATURAMENTO PENDENTE","🟡 EMBARQUE PENDENTE")))))))))))</f>
        <v/>
      </c>
      <c r="D2619" s="4" t="n"/>
      <c r="E2619" s="5" t="n"/>
      <c r="F2619" s="5" t="n"/>
      <c r="G2619" s="5" t="n"/>
      <c r="H2619" s="5" t="n"/>
      <c r="I2619" s="5" t="n"/>
      <c r="J2619" s="6" t="n"/>
      <c r="K2619" s="6" t="n"/>
      <c r="L2619" s="7">
        <f>IF(OR(D2619="",N(J2619)=0),"",MIN(1,N(K2619)/J2619))</f>
        <v/>
      </c>
      <c r="M2619" s="5" t="n"/>
      <c r="N2619" s="5" t="n"/>
      <c r="O2619" s="5" t="n"/>
      <c r="P2619" s="5" t="n"/>
      <c r="Q2619" s="5" t="n"/>
      <c r="R2619" s="4" t="n"/>
      <c r="S2619" s="4" t="n"/>
      <c r="T2619" s="5" t="n"/>
      <c r="U2619" s="8">
        <f>IF(AND(V2619=1,D2619&lt;&gt;""),IF(D2619&gt;=corte,TODAY()-D2619,""),"")</f>
        <v/>
      </c>
      <c r="V2619" s="8">
        <f>IF(D2619="",0,IF(OR(AND(P2619&lt;&gt;"",S2619=""),AND(N(J2619)&gt;0,N(K2619)&lt;J2619),OR(M2619="PENDENTE",M2619="PARCIAL"),OR(N2619="PENDENTE",N2619="PARCIAL")),1,0))</f>
        <v/>
      </c>
      <c r="W2619" s="8">
        <f>IF(AND(V2619=1,D2619&lt;&gt;""),IF(D2619&gt;=corte,(B2619="CRÍTICO")*1E9+(100000-D2619)*10000+10000-ROW(),""),"")</f>
        <v/>
      </c>
      <c r="X2619" s="8">
        <f>IF(AND(V2619=1,D2619=pas_data,E2619=pas_turno),10000-ROW(),"")</f>
        <v/>
      </c>
    </row>
    <row r="2620">
      <c r="A2620" s="3">
        <f>IF(D2620="","","TT-"&amp;TEXT(ROW()-1,"00000"))</f>
        <v/>
      </c>
      <c r="B2620" s="3">
        <f>IF(D2620="","",IF(V2620=0,"CONCLUÍDO",IF(D2620&lt;corte,"HISTÓRICO",IF(OR(AND(ISNUMBER(R2620),R2620&lt;TODAY()),AND(OR(N2620="PENDENTE",N2620="PARCIAL"),D2620&lt;TODAY()-1)),"CRÍTICO",IF(OR(AND(P2620&lt;&gt;"",S2620=""),AND(N2620="REALIZADO",M2620="PENDENTE"),AND(ISNUMBER(R2620),R2620=TODAY())),"ATENÇÃO",IF(N(K2620)=0,"PENDENTE","EM ANDAMENTO"))))))</f>
        <v/>
      </c>
      <c r="C2620" s="3">
        <f>IF(D2620="","",IF(V2620=0,"🟢 OK",IF(D2620&lt;corte,"⚪ HISTÓRICO (sem baixa)",IF(AND(ISNUMBER(R2620),R2620&lt;TODAY()),"🔴 PRAZO VENCIDO",IF(AND(OR(N2620="PENDENTE",N2620="PARCIAL"),D2620&lt;TODAY()-1),"🔴 EMBARQUE ATRASADO",IF(AND(N2620="REALIZADO",M2620="PENDENTE"),"🟡 EMBARCADO SEM FATURAR",IF(AND(P2620&lt;&gt;"",S2620="",OR(Q2620="",R2620="")),"🟡 PENDÊNCIA SEM RESPONSÁVEL/PRAZO",IF(AND(ISNUMBER(R2620),R2620=TODAY()),"🟡 VENCE HOJE",IF(AND(P2620&lt;&gt;"",S2620=""),"🟡 PENDÊNCIA ABERTA",IF(AND(N(J2620)&gt;0,N(K2620)&lt;J2620),"🟡 FALTA EXECUTAR",IF(OR(M2620="PENDENTE",M2620="PARCIAL"),"🟡 FATURAMENTO PENDENTE","🟡 EMBARQUE PENDENTE")))))))))))</f>
        <v/>
      </c>
      <c r="D2620" s="4" t="n"/>
      <c r="E2620" s="5" t="n"/>
      <c r="F2620" s="5" t="n"/>
      <c r="G2620" s="5" t="n"/>
      <c r="H2620" s="5" t="n"/>
      <c r="I2620" s="5" t="n"/>
      <c r="J2620" s="6" t="n"/>
      <c r="K2620" s="6" t="n"/>
      <c r="L2620" s="7">
        <f>IF(OR(D2620="",N(J2620)=0),"",MIN(1,N(K2620)/J2620))</f>
        <v/>
      </c>
      <c r="M2620" s="5" t="n"/>
      <c r="N2620" s="5" t="n"/>
      <c r="O2620" s="5" t="n"/>
      <c r="P2620" s="5" t="n"/>
      <c r="Q2620" s="5" t="n"/>
      <c r="R2620" s="4" t="n"/>
      <c r="S2620" s="4" t="n"/>
      <c r="T2620" s="5" t="n"/>
      <c r="U2620" s="8">
        <f>IF(AND(V2620=1,D2620&lt;&gt;""),IF(D2620&gt;=corte,TODAY()-D2620,""),"")</f>
        <v/>
      </c>
      <c r="V2620" s="8">
        <f>IF(D2620="",0,IF(OR(AND(P2620&lt;&gt;"",S2620=""),AND(N(J2620)&gt;0,N(K2620)&lt;J2620),OR(M2620="PENDENTE",M2620="PARCIAL"),OR(N2620="PENDENTE",N2620="PARCIAL")),1,0))</f>
        <v/>
      </c>
      <c r="W2620" s="8">
        <f>IF(AND(V2620=1,D2620&lt;&gt;""),IF(D2620&gt;=corte,(B2620="CRÍTICO")*1E9+(100000-D2620)*10000+10000-ROW(),""),"")</f>
        <v/>
      </c>
      <c r="X2620" s="8">
        <f>IF(AND(V2620=1,D2620=pas_data,E2620=pas_turno),10000-ROW(),"")</f>
        <v/>
      </c>
    </row>
    <row r="2621">
      <c r="A2621" s="3">
        <f>IF(D2621="","","TT-"&amp;TEXT(ROW()-1,"00000"))</f>
        <v/>
      </c>
      <c r="B2621" s="3">
        <f>IF(D2621="","",IF(V2621=0,"CONCLUÍDO",IF(D2621&lt;corte,"HISTÓRICO",IF(OR(AND(ISNUMBER(R2621),R2621&lt;TODAY()),AND(OR(N2621="PENDENTE",N2621="PARCIAL"),D2621&lt;TODAY()-1)),"CRÍTICO",IF(OR(AND(P2621&lt;&gt;"",S2621=""),AND(N2621="REALIZADO",M2621="PENDENTE"),AND(ISNUMBER(R2621),R2621=TODAY())),"ATENÇÃO",IF(N(K2621)=0,"PENDENTE","EM ANDAMENTO"))))))</f>
        <v/>
      </c>
      <c r="C2621" s="3">
        <f>IF(D2621="","",IF(V2621=0,"🟢 OK",IF(D2621&lt;corte,"⚪ HISTÓRICO (sem baixa)",IF(AND(ISNUMBER(R2621),R2621&lt;TODAY()),"🔴 PRAZO VENCIDO",IF(AND(OR(N2621="PENDENTE",N2621="PARCIAL"),D2621&lt;TODAY()-1),"🔴 EMBARQUE ATRASADO",IF(AND(N2621="REALIZADO",M2621="PENDENTE"),"🟡 EMBARCADO SEM FATURAR",IF(AND(P2621&lt;&gt;"",S2621="",OR(Q2621="",R2621="")),"🟡 PENDÊNCIA SEM RESPONSÁVEL/PRAZO",IF(AND(ISNUMBER(R2621),R2621=TODAY()),"🟡 VENCE HOJE",IF(AND(P2621&lt;&gt;"",S2621=""),"🟡 PENDÊNCIA ABERTA",IF(AND(N(J2621)&gt;0,N(K2621)&lt;J2621),"🟡 FALTA EXECUTAR",IF(OR(M2621="PENDENTE",M2621="PARCIAL"),"🟡 FATURAMENTO PENDENTE","🟡 EMBARQUE PENDENTE")))))))))))</f>
        <v/>
      </c>
      <c r="D2621" s="4" t="n"/>
      <c r="E2621" s="5" t="n"/>
      <c r="F2621" s="5" t="n"/>
      <c r="G2621" s="5" t="n"/>
      <c r="H2621" s="5" t="n"/>
      <c r="I2621" s="5" t="n"/>
      <c r="J2621" s="6" t="n"/>
      <c r="K2621" s="6" t="n"/>
      <c r="L2621" s="7">
        <f>IF(OR(D2621="",N(J2621)=0),"",MIN(1,N(K2621)/J2621))</f>
        <v/>
      </c>
      <c r="M2621" s="5" t="n"/>
      <c r="N2621" s="5" t="n"/>
      <c r="O2621" s="5" t="n"/>
      <c r="P2621" s="5" t="n"/>
      <c r="Q2621" s="5" t="n"/>
      <c r="R2621" s="4" t="n"/>
      <c r="S2621" s="4" t="n"/>
      <c r="T2621" s="5" t="n"/>
      <c r="U2621" s="8">
        <f>IF(AND(V2621=1,D2621&lt;&gt;""),IF(D2621&gt;=corte,TODAY()-D2621,""),"")</f>
        <v/>
      </c>
      <c r="V2621" s="8">
        <f>IF(D2621="",0,IF(OR(AND(P2621&lt;&gt;"",S2621=""),AND(N(J2621)&gt;0,N(K2621)&lt;J2621),OR(M2621="PENDENTE",M2621="PARCIAL"),OR(N2621="PENDENTE",N2621="PARCIAL")),1,0))</f>
        <v/>
      </c>
      <c r="W2621" s="8">
        <f>IF(AND(V2621=1,D2621&lt;&gt;""),IF(D2621&gt;=corte,(B2621="CRÍTICO")*1E9+(100000-D2621)*10000+10000-ROW(),""),"")</f>
        <v/>
      </c>
      <c r="X2621" s="8">
        <f>IF(AND(V2621=1,D2621=pas_data,E2621=pas_turno),10000-ROW(),"")</f>
        <v/>
      </c>
    </row>
    <row r="2622">
      <c r="A2622" s="3">
        <f>IF(D2622="","","TT-"&amp;TEXT(ROW()-1,"00000"))</f>
        <v/>
      </c>
      <c r="B2622" s="3">
        <f>IF(D2622="","",IF(V2622=0,"CONCLUÍDO",IF(D2622&lt;corte,"HISTÓRICO",IF(OR(AND(ISNUMBER(R2622),R2622&lt;TODAY()),AND(OR(N2622="PENDENTE",N2622="PARCIAL"),D2622&lt;TODAY()-1)),"CRÍTICO",IF(OR(AND(P2622&lt;&gt;"",S2622=""),AND(N2622="REALIZADO",M2622="PENDENTE"),AND(ISNUMBER(R2622),R2622=TODAY())),"ATENÇÃO",IF(N(K2622)=0,"PENDENTE","EM ANDAMENTO"))))))</f>
        <v/>
      </c>
      <c r="C2622" s="3">
        <f>IF(D2622="","",IF(V2622=0,"🟢 OK",IF(D2622&lt;corte,"⚪ HISTÓRICO (sem baixa)",IF(AND(ISNUMBER(R2622),R2622&lt;TODAY()),"🔴 PRAZO VENCIDO",IF(AND(OR(N2622="PENDENTE",N2622="PARCIAL"),D2622&lt;TODAY()-1),"🔴 EMBARQUE ATRASADO",IF(AND(N2622="REALIZADO",M2622="PENDENTE"),"🟡 EMBARCADO SEM FATURAR",IF(AND(P2622&lt;&gt;"",S2622="",OR(Q2622="",R2622="")),"🟡 PENDÊNCIA SEM RESPONSÁVEL/PRAZO",IF(AND(ISNUMBER(R2622),R2622=TODAY()),"🟡 VENCE HOJE",IF(AND(P2622&lt;&gt;"",S2622=""),"🟡 PENDÊNCIA ABERTA",IF(AND(N(J2622)&gt;0,N(K2622)&lt;J2622),"🟡 FALTA EXECUTAR",IF(OR(M2622="PENDENTE",M2622="PARCIAL"),"🟡 FATURAMENTO PENDENTE","🟡 EMBARQUE PENDENTE")))))))))))</f>
        <v/>
      </c>
      <c r="D2622" s="4" t="n"/>
      <c r="E2622" s="5" t="n"/>
      <c r="F2622" s="5" t="n"/>
      <c r="G2622" s="5" t="n"/>
      <c r="H2622" s="5" t="n"/>
      <c r="I2622" s="5" t="n"/>
      <c r="J2622" s="6" t="n"/>
      <c r="K2622" s="6" t="n"/>
      <c r="L2622" s="7">
        <f>IF(OR(D2622="",N(J2622)=0),"",MIN(1,N(K2622)/J2622))</f>
        <v/>
      </c>
      <c r="M2622" s="5" t="n"/>
      <c r="N2622" s="5" t="n"/>
      <c r="O2622" s="5" t="n"/>
      <c r="P2622" s="5" t="n"/>
      <c r="Q2622" s="5" t="n"/>
      <c r="R2622" s="4" t="n"/>
      <c r="S2622" s="4" t="n"/>
      <c r="T2622" s="5" t="n"/>
      <c r="U2622" s="8">
        <f>IF(AND(V2622=1,D2622&lt;&gt;""),IF(D2622&gt;=corte,TODAY()-D2622,""),"")</f>
        <v/>
      </c>
      <c r="V2622" s="8">
        <f>IF(D2622="",0,IF(OR(AND(P2622&lt;&gt;"",S2622=""),AND(N(J2622)&gt;0,N(K2622)&lt;J2622),OR(M2622="PENDENTE",M2622="PARCIAL"),OR(N2622="PENDENTE",N2622="PARCIAL")),1,0))</f>
        <v/>
      </c>
      <c r="W2622" s="8">
        <f>IF(AND(V2622=1,D2622&lt;&gt;""),IF(D2622&gt;=corte,(B2622="CRÍTICO")*1E9+(100000-D2622)*10000+10000-ROW(),""),"")</f>
        <v/>
      </c>
      <c r="X2622" s="8">
        <f>IF(AND(V2622=1,D2622=pas_data,E2622=pas_turno),10000-ROW(),"")</f>
        <v/>
      </c>
    </row>
    <row r="2623">
      <c r="A2623" s="3">
        <f>IF(D2623="","","TT-"&amp;TEXT(ROW()-1,"00000"))</f>
        <v/>
      </c>
      <c r="B2623" s="3">
        <f>IF(D2623="","",IF(V2623=0,"CONCLUÍDO",IF(D2623&lt;corte,"HISTÓRICO",IF(OR(AND(ISNUMBER(R2623),R2623&lt;TODAY()),AND(OR(N2623="PENDENTE",N2623="PARCIAL"),D2623&lt;TODAY()-1)),"CRÍTICO",IF(OR(AND(P2623&lt;&gt;"",S2623=""),AND(N2623="REALIZADO",M2623="PENDENTE"),AND(ISNUMBER(R2623),R2623=TODAY())),"ATENÇÃO",IF(N(K2623)=0,"PENDENTE","EM ANDAMENTO"))))))</f>
        <v/>
      </c>
      <c r="C2623" s="3">
        <f>IF(D2623="","",IF(V2623=0,"🟢 OK",IF(D2623&lt;corte,"⚪ HISTÓRICO (sem baixa)",IF(AND(ISNUMBER(R2623),R2623&lt;TODAY()),"🔴 PRAZO VENCIDO",IF(AND(OR(N2623="PENDENTE",N2623="PARCIAL"),D2623&lt;TODAY()-1),"🔴 EMBARQUE ATRASADO",IF(AND(N2623="REALIZADO",M2623="PENDENTE"),"🟡 EMBARCADO SEM FATURAR",IF(AND(P2623&lt;&gt;"",S2623="",OR(Q2623="",R2623="")),"🟡 PENDÊNCIA SEM RESPONSÁVEL/PRAZO",IF(AND(ISNUMBER(R2623),R2623=TODAY()),"🟡 VENCE HOJE",IF(AND(P2623&lt;&gt;"",S2623=""),"🟡 PENDÊNCIA ABERTA",IF(AND(N(J2623)&gt;0,N(K2623)&lt;J2623),"🟡 FALTA EXECUTAR",IF(OR(M2623="PENDENTE",M2623="PARCIAL"),"🟡 FATURAMENTO PENDENTE","🟡 EMBARQUE PENDENTE")))))))))))</f>
        <v/>
      </c>
      <c r="D2623" s="4" t="n"/>
      <c r="E2623" s="5" t="n"/>
      <c r="F2623" s="5" t="n"/>
      <c r="G2623" s="5" t="n"/>
      <c r="H2623" s="5" t="n"/>
      <c r="I2623" s="5" t="n"/>
      <c r="J2623" s="6" t="n"/>
      <c r="K2623" s="6" t="n"/>
      <c r="L2623" s="7">
        <f>IF(OR(D2623="",N(J2623)=0),"",MIN(1,N(K2623)/J2623))</f>
        <v/>
      </c>
      <c r="M2623" s="5" t="n"/>
      <c r="N2623" s="5" t="n"/>
      <c r="O2623" s="5" t="n"/>
      <c r="P2623" s="5" t="n"/>
      <c r="Q2623" s="5" t="n"/>
      <c r="R2623" s="4" t="n"/>
      <c r="S2623" s="4" t="n"/>
      <c r="T2623" s="5" t="n"/>
      <c r="U2623" s="8">
        <f>IF(AND(V2623=1,D2623&lt;&gt;""),IF(D2623&gt;=corte,TODAY()-D2623,""),"")</f>
        <v/>
      </c>
      <c r="V2623" s="8">
        <f>IF(D2623="",0,IF(OR(AND(P2623&lt;&gt;"",S2623=""),AND(N(J2623)&gt;0,N(K2623)&lt;J2623),OR(M2623="PENDENTE",M2623="PARCIAL"),OR(N2623="PENDENTE",N2623="PARCIAL")),1,0))</f>
        <v/>
      </c>
      <c r="W2623" s="8">
        <f>IF(AND(V2623=1,D2623&lt;&gt;""),IF(D2623&gt;=corte,(B2623="CRÍTICO")*1E9+(100000-D2623)*10000+10000-ROW(),""),"")</f>
        <v/>
      </c>
      <c r="X2623" s="8">
        <f>IF(AND(V2623=1,D2623=pas_data,E2623=pas_turno),10000-ROW(),"")</f>
        <v/>
      </c>
    </row>
    <row r="2624">
      <c r="A2624" s="3">
        <f>IF(D2624="","","TT-"&amp;TEXT(ROW()-1,"00000"))</f>
        <v/>
      </c>
      <c r="B2624" s="3">
        <f>IF(D2624="","",IF(V2624=0,"CONCLUÍDO",IF(D2624&lt;corte,"HISTÓRICO",IF(OR(AND(ISNUMBER(R2624),R2624&lt;TODAY()),AND(OR(N2624="PENDENTE",N2624="PARCIAL"),D2624&lt;TODAY()-1)),"CRÍTICO",IF(OR(AND(P2624&lt;&gt;"",S2624=""),AND(N2624="REALIZADO",M2624="PENDENTE"),AND(ISNUMBER(R2624),R2624=TODAY())),"ATENÇÃO",IF(N(K2624)=0,"PENDENTE","EM ANDAMENTO"))))))</f>
        <v/>
      </c>
      <c r="C2624" s="3">
        <f>IF(D2624="","",IF(V2624=0,"🟢 OK",IF(D2624&lt;corte,"⚪ HISTÓRICO (sem baixa)",IF(AND(ISNUMBER(R2624),R2624&lt;TODAY()),"🔴 PRAZO VENCIDO",IF(AND(OR(N2624="PENDENTE",N2624="PARCIAL"),D2624&lt;TODAY()-1),"🔴 EMBARQUE ATRASADO",IF(AND(N2624="REALIZADO",M2624="PENDENTE"),"🟡 EMBARCADO SEM FATURAR",IF(AND(P2624&lt;&gt;"",S2624="",OR(Q2624="",R2624="")),"🟡 PENDÊNCIA SEM RESPONSÁVEL/PRAZO",IF(AND(ISNUMBER(R2624),R2624=TODAY()),"🟡 VENCE HOJE",IF(AND(P2624&lt;&gt;"",S2624=""),"🟡 PENDÊNCIA ABERTA",IF(AND(N(J2624)&gt;0,N(K2624)&lt;J2624),"🟡 FALTA EXECUTAR",IF(OR(M2624="PENDENTE",M2624="PARCIAL"),"🟡 FATURAMENTO PENDENTE","🟡 EMBARQUE PENDENTE")))))))))))</f>
        <v/>
      </c>
      <c r="D2624" s="4" t="n"/>
      <c r="E2624" s="5" t="n"/>
      <c r="F2624" s="5" t="n"/>
      <c r="G2624" s="5" t="n"/>
      <c r="H2624" s="5" t="n"/>
      <c r="I2624" s="5" t="n"/>
      <c r="J2624" s="6" t="n"/>
      <c r="K2624" s="6" t="n"/>
      <c r="L2624" s="7">
        <f>IF(OR(D2624="",N(J2624)=0),"",MIN(1,N(K2624)/J2624))</f>
        <v/>
      </c>
      <c r="M2624" s="5" t="n"/>
      <c r="N2624" s="5" t="n"/>
      <c r="O2624" s="5" t="n"/>
      <c r="P2624" s="5" t="n"/>
      <c r="Q2624" s="5" t="n"/>
      <c r="R2624" s="4" t="n"/>
      <c r="S2624" s="4" t="n"/>
      <c r="T2624" s="5" t="n"/>
      <c r="U2624" s="8">
        <f>IF(AND(V2624=1,D2624&lt;&gt;""),IF(D2624&gt;=corte,TODAY()-D2624,""),"")</f>
        <v/>
      </c>
      <c r="V2624" s="8">
        <f>IF(D2624="",0,IF(OR(AND(P2624&lt;&gt;"",S2624=""),AND(N(J2624)&gt;0,N(K2624)&lt;J2624),OR(M2624="PENDENTE",M2624="PARCIAL"),OR(N2624="PENDENTE",N2624="PARCIAL")),1,0))</f>
        <v/>
      </c>
      <c r="W2624" s="8">
        <f>IF(AND(V2624=1,D2624&lt;&gt;""),IF(D2624&gt;=corte,(B2624="CRÍTICO")*1E9+(100000-D2624)*10000+10000-ROW(),""),"")</f>
        <v/>
      </c>
      <c r="X2624" s="8">
        <f>IF(AND(V2624=1,D2624=pas_data,E2624=pas_turno),10000-ROW(),"")</f>
        <v/>
      </c>
    </row>
    <row r="2625">
      <c r="A2625" s="3">
        <f>IF(D2625="","","TT-"&amp;TEXT(ROW()-1,"00000"))</f>
        <v/>
      </c>
      <c r="B2625" s="3">
        <f>IF(D2625="","",IF(V2625=0,"CONCLUÍDO",IF(D2625&lt;corte,"HISTÓRICO",IF(OR(AND(ISNUMBER(R2625),R2625&lt;TODAY()),AND(OR(N2625="PENDENTE",N2625="PARCIAL"),D2625&lt;TODAY()-1)),"CRÍTICO",IF(OR(AND(P2625&lt;&gt;"",S2625=""),AND(N2625="REALIZADO",M2625="PENDENTE"),AND(ISNUMBER(R2625),R2625=TODAY())),"ATENÇÃO",IF(N(K2625)=0,"PENDENTE","EM ANDAMENTO"))))))</f>
        <v/>
      </c>
      <c r="C2625" s="3">
        <f>IF(D2625="","",IF(V2625=0,"🟢 OK",IF(D2625&lt;corte,"⚪ HISTÓRICO (sem baixa)",IF(AND(ISNUMBER(R2625),R2625&lt;TODAY()),"🔴 PRAZO VENCIDO",IF(AND(OR(N2625="PENDENTE",N2625="PARCIAL"),D2625&lt;TODAY()-1),"🔴 EMBARQUE ATRASADO",IF(AND(N2625="REALIZADO",M2625="PENDENTE"),"🟡 EMBARCADO SEM FATURAR",IF(AND(P2625&lt;&gt;"",S2625="",OR(Q2625="",R2625="")),"🟡 PENDÊNCIA SEM RESPONSÁVEL/PRAZO",IF(AND(ISNUMBER(R2625),R2625=TODAY()),"🟡 VENCE HOJE",IF(AND(P2625&lt;&gt;"",S2625=""),"🟡 PENDÊNCIA ABERTA",IF(AND(N(J2625)&gt;0,N(K2625)&lt;J2625),"🟡 FALTA EXECUTAR",IF(OR(M2625="PENDENTE",M2625="PARCIAL"),"🟡 FATURAMENTO PENDENTE","🟡 EMBARQUE PENDENTE")))))))))))</f>
        <v/>
      </c>
      <c r="D2625" s="4" t="n"/>
      <c r="E2625" s="5" t="n"/>
      <c r="F2625" s="5" t="n"/>
      <c r="G2625" s="5" t="n"/>
      <c r="H2625" s="5" t="n"/>
      <c r="I2625" s="5" t="n"/>
      <c r="J2625" s="6" t="n"/>
      <c r="K2625" s="6" t="n"/>
      <c r="L2625" s="7">
        <f>IF(OR(D2625="",N(J2625)=0),"",MIN(1,N(K2625)/J2625))</f>
        <v/>
      </c>
      <c r="M2625" s="5" t="n"/>
      <c r="N2625" s="5" t="n"/>
      <c r="O2625" s="5" t="n"/>
      <c r="P2625" s="5" t="n"/>
      <c r="Q2625" s="5" t="n"/>
      <c r="R2625" s="4" t="n"/>
      <c r="S2625" s="4" t="n"/>
      <c r="T2625" s="5" t="n"/>
      <c r="U2625" s="8">
        <f>IF(AND(V2625=1,D2625&lt;&gt;""),IF(D2625&gt;=corte,TODAY()-D2625,""),"")</f>
        <v/>
      </c>
      <c r="V2625" s="8">
        <f>IF(D2625="",0,IF(OR(AND(P2625&lt;&gt;"",S2625=""),AND(N(J2625)&gt;0,N(K2625)&lt;J2625),OR(M2625="PENDENTE",M2625="PARCIAL"),OR(N2625="PENDENTE",N2625="PARCIAL")),1,0))</f>
        <v/>
      </c>
      <c r="W2625" s="8">
        <f>IF(AND(V2625=1,D2625&lt;&gt;""),IF(D2625&gt;=corte,(B2625="CRÍTICO")*1E9+(100000-D2625)*10000+10000-ROW(),""),"")</f>
        <v/>
      </c>
      <c r="X2625" s="8">
        <f>IF(AND(V2625=1,D2625=pas_data,E2625=pas_turno),10000-ROW(),"")</f>
        <v/>
      </c>
    </row>
    <row r="2626">
      <c r="A2626" s="3">
        <f>IF(D2626="","","TT-"&amp;TEXT(ROW()-1,"00000"))</f>
        <v/>
      </c>
      <c r="B2626" s="3">
        <f>IF(D2626="","",IF(V2626=0,"CONCLUÍDO",IF(D2626&lt;corte,"HISTÓRICO",IF(OR(AND(ISNUMBER(R2626),R2626&lt;TODAY()),AND(OR(N2626="PENDENTE",N2626="PARCIAL"),D2626&lt;TODAY()-1)),"CRÍTICO",IF(OR(AND(P2626&lt;&gt;"",S2626=""),AND(N2626="REALIZADO",M2626="PENDENTE"),AND(ISNUMBER(R2626),R2626=TODAY())),"ATENÇÃO",IF(N(K2626)=0,"PENDENTE","EM ANDAMENTO"))))))</f>
        <v/>
      </c>
      <c r="C2626" s="3">
        <f>IF(D2626="","",IF(V2626=0,"🟢 OK",IF(D2626&lt;corte,"⚪ HISTÓRICO (sem baixa)",IF(AND(ISNUMBER(R2626),R2626&lt;TODAY()),"🔴 PRAZO VENCIDO",IF(AND(OR(N2626="PENDENTE",N2626="PARCIAL"),D2626&lt;TODAY()-1),"🔴 EMBARQUE ATRASADO",IF(AND(N2626="REALIZADO",M2626="PENDENTE"),"🟡 EMBARCADO SEM FATURAR",IF(AND(P2626&lt;&gt;"",S2626="",OR(Q2626="",R2626="")),"🟡 PENDÊNCIA SEM RESPONSÁVEL/PRAZO",IF(AND(ISNUMBER(R2626),R2626=TODAY()),"🟡 VENCE HOJE",IF(AND(P2626&lt;&gt;"",S2626=""),"🟡 PENDÊNCIA ABERTA",IF(AND(N(J2626)&gt;0,N(K2626)&lt;J2626),"🟡 FALTA EXECUTAR",IF(OR(M2626="PENDENTE",M2626="PARCIAL"),"🟡 FATURAMENTO PENDENTE","🟡 EMBARQUE PENDENTE")))))))))))</f>
        <v/>
      </c>
      <c r="D2626" s="4" t="n"/>
      <c r="E2626" s="5" t="n"/>
      <c r="F2626" s="5" t="n"/>
      <c r="G2626" s="5" t="n"/>
      <c r="H2626" s="5" t="n"/>
      <c r="I2626" s="5" t="n"/>
      <c r="J2626" s="6" t="n"/>
      <c r="K2626" s="6" t="n"/>
      <c r="L2626" s="7">
        <f>IF(OR(D2626="",N(J2626)=0),"",MIN(1,N(K2626)/J2626))</f>
        <v/>
      </c>
      <c r="M2626" s="5" t="n"/>
      <c r="N2626" s="5" t="n"/>
      <c r="O2626" s="5" t="n"/>
      <c r="P2626" s="5" t="n"/>
      <c r="Q2626" s="5" t="n"/>
      <c r="R2626" s="4" t="n"/>
      <c r="S2626" s="4" t="n"/>
      <c r="T2626" s="5" t="n"/>
      <c r="U2626" s="8">
        <f>IF(AND(V2626=1,D2626&lt;&gt;""),IF(D2626&gt;=corte,TODAY()-D2626,""),"")</f>
        <v/>
      </c>
      <c r="V2626" s="8">
        <f>IF(D2626="",0,IF(OR(AND(P2626&lt;&gt;"",S2626=""),AND(N(J2626)&gt;0,N(K2626)&lt;J2626),OR(M2626="PENDENTE",M2626="PARCIAL"),OR(N2626="PENDENTE",N2626="PARCIAL")),1,0))</f>
        <v/>
      </c>
      <c r="W2626" s="8">
        <f>IF(AND(V2626=1,D2626&lt;&gt;""),IF(D2626&gt;=corte,(B2626="CRÍTICO")*1E9+(100000-D2626)*10000+10000-ROW(),""),"")</f>
        <v/>
      </c>
      <c r="X2626" s="8">
        <f>IF(AND(V2626=1,D2626=pas_data,E2626=pas_turno),10000-ROW(),"")</f>
        <v/>
      </c>
    </row>
    <row r="2627">
      <c r="A2627" s="3">
        <f>IF(D2627="","","TT-"&amp;TEXT(ROW()-1,"00000"))</f>
        <v/>
      </c>
      <c r="B2627" s="3">
        <f>IF(D2627="","",IF(V2627=0,"CONCLUÍDO",IF(D2627&lt;corte,"HISTÓRICO",IF(OR(AND(ISNUMBER(R2627),R2627&lt;TODAY()),AND(OR(N2627="PENDENTE",N2627="PARCIAL"),D2627&lt;TODAY()-1)),"CRÍTICO",IF(OR(AND(P2627&lt;&gt;"",S2627=""),AND(N2627="REALIZADO",M2627="PENDENTE"),AND(ISNUMBER(R2627),R2627=TODAY())),"ATENÇÃO",IF(N(K2627)=0,"PENDENTE","EM ANDAMENTO"))))))</f>
        <v/>
      </c>
      <c r="C2627" s="3">
        <f>IF(D2627="","",IF(V2627=0,"🟢 OK",IF(D2627&lt;corte,"⚪ HISTÓRICO (sem baixa)",IF(AND(ISNUMBER(R2627),R2627&lt;TODAY()),"🔴 PRAZO VENCIDO",IF(AND(OR(N2627="PENDENTE",N2627="PARCIAL"),D2627&lt;TODAY()-1),"🔴 EMBARQUE ATRASADO",IF(AND(N2627="REALIZADO",M2627="PENDENTE"),"🟡 EMBARCADO SEM FATURAR",IF(AND(P2627&lt;&gt;"",S2627="",OR(Q2627="",R2627="")),"🟡 PENDÊNCIA SEM RESPONSÁVEL/PRAZO",IF(AND(ISNUMBER(R2627),R2627=TODAY()),"🟡 VENCE HOJE",IF(AND(P2627&lt;&gt;"",S2627=""),"🟡 PENDÊNCIA ABERTA",IF(AND(N(J2627)&gt;0,N(K2627)&lt;J2627),"🟡 FALTA EXECUTAR",IF(OR(M2627="PENDENTE",M2627="PARCIAL"),"🟡 FATURAMENTO PENDENTE","🟡 EMBARQUE PENDENTE")))))))))))</f>
        <v/>
      </c>
      <c r="D2627" s="4" t="n"/>
      <c r="E2627" s="5" t="n"/>
      <c r="F2627" s="5" t="n"/>
      <c r="G2627" s="5" t="n"/>
      <c r="H2627" s="5" t="n"/>
      <c r="I2627" s="5" t="n"/>
      <c r="J2627" s="6" t="n"/>
      <c r="K2627" s="6" t="n"/>
      <c r="L2627" s="7">
        <f>IF(OR(D2627="",N(J2627)=0),"",MIN(1,N(K2627)/J2627))</f>
        <v/>
      </c>
      <c r="M2627" s="5" t="n"/>
      <c r="N2627" s="5" t="n"/>
      <c r="O2627" s="5" t="n"/>
      <c r="P2627" s="5" t="n"/>
      <c r="Q2627" s="5" t="n"/>
      <c r="R2627" s="4" t="n"/>
      <c r="S2627" s="4" t="n"/>
      <c r="T2627" s="5" t="n"/>
      <c r="U2627" s="8">
        <f>IF(AND(V2627=1,D2627&lt;&gt;""),IF(D2627&gt;=corte,TODAY()-D2627,""),"")</f>
        <v/>
      </c>
      <c r="V2627" s="8">
        <f>IF(D2627="",0,IF(OR(AND(P2627&lt;&gt;"",S2627=""),AND(N(J2627)&gt;0,N(K2627)&lt;J2627),OR(M2627="PENDENTE",M2627="PARCIAL"),OR(N2627="PENDENTE",N2627="PARCIAL")),1,0))</f>
        <v/>
      </c>
      <c r="W2627" s="8">
        <f>IF(AND(V2627=1,D2627&lt;&gt;""),IF(D2627&gt;=corte,(B2627="CRÍTICO")*1E9+(100000-D2627)*10000+10000-ROW(),""),"")</f>
        <v/>
      </c>
      <c r="X2627" s="8">
        <f>IF(AND(V2627=1,D2627=pas_data,E2627=pas_turno),10000-ROW(),"")</f>
        <v/>
      </c>
    </row>
    <row r="2628">
      <c r="A2628" s="3">
        <f>IF(D2628="","","TT-"&amp;TEXT(ROW()-1,"00000"))</f>
        <v/>
      </c>
      <c r="B2628" s="3">
        <f>IF(D2628="","",IF(V2628=0,"CONCLUÍDO",IF(D2628&lt;corte,"HISTÓRICO",IF(OR(AND(ISNUMBER(R2628),R2628&lt;TODAY()),AND(OR(N2628="PENDENTE",N2628="PARCIAL"),D2628&lt;TODAY()-1)),"CRÍTICO",IF(OR(AND(P2628&lt;&gt;"",S2628=""),AND(N2628="REALIZADO",M2628="PENDENTE"),AND(ISNUMBER(R2628),R2628=TODAY())),"ATENÇÃO",IF(N(K2628)=0,"PENDENTE","EM ANDAMENTO"))))))</f>
        <v/>
      </c>
      <c r="C2628" s="3">
        <f>IF(D2628="","",IF(V2628=0,"🟢 OK",IF(D2628&lt;corte,"⚪ HISTÓRICO (sem baixa)",IF(AND(ISNUMBER(R2628),R2628&lt;TODAY()),"🔴 PRAZO VENCIDO",IF(AND(OR(N2628="PENDENTE",N2628="PARCIAL"),D2628&lt;TODAY()-1),"🔴 EMBARQUE ATRASADO",IF(AND(N2628="REALIZADO",M2628="PENDENTE"),"🟡 EMBARCADO SEM FATURAR",IF(AND(P2628&lt;&gt;"",S2628="",OR(Q2628="",R2628="")),"🟡 PENDÊNCIA SEM RESPONSÁVEL/PRAZO",IF(AND(ISNUMBER(R2628),R2628=TODAY()),"🟡 VENCE HOJE",IF(AND(P2628&lt;&gt;"",S2628=""),"🟡 PENDÊNCIA ABERTA",IF(AND(N(J2628)&gt;0,N(K2628)&lt;J2628),"🟡 FALTA EXECUTAR",IF(OR(M2628="PENDENTE",M2628="PARCIAL"),"🟡 FATURAMENTO PENDENTE","🟡 EMBARQUE PENDENTE")))))))))))</f>
        <v/>
      </c>
      <c r="D2628" s="4" t="n"/>
      <c r="E2628" s="5" t="n"/>
      <c r="F2628" s="5" t="n"/>
      <c r="G2628" s="5" t="n"/>
      <c r="H2628" s="5" t="n"/>
      <c r="I2628" s="5" t="n"/>
      <c r="J2628" s="6" t="n"/>
      <c r="K2628" s="6" t="n"/>
      <c r="L2628" s="7">
        <f>IF(OR(D2628="",N(J2628)=0),"",MIN(1,N(K2628)/J2628))</f>
        <v/>
      </c>
      <c r="M2628" s="5" t="n"/>
      <c r="N2628" s="5" t="n"/>
      <c r="O2628" s="5" t="n"/>
      <c r="P2628" s="5" t="n"/>
      <c r="Q2628" s="5" t="n"/>
      <c r="R2628" s="4" t="n"/>
      <c r="S2628" s="4" t="n"/>
      <c r="T2628" s="5" t="n"/>
      <c r="U2628" s="8">
        <f>IF(AND(V2628=1,D2628&lt;&gt;""),IF(D2628&gt;=corte,TODAY()-D2628,""),"")</f>
        <v/>
      </c>
      <c r="V2628" s="8">
        <f>IF(D2628="",0,IF(OR(AND(P2628&lt;&gt;"",S2628=""),AND(N(J2628)&gt;0,N(K2628)&lt;J2628),OR(M2628="PENDENTE",M2628="PARCIAL"),OR(N2628="PENDENTE",N2628="PARCIAL")),1,0))</f>
        <v/>
      </c>
      <c r="W2628" s="8">
        <f>IF(AND(V2628=1,D2628&lt;&gt;""),IF(D2628&gt;=corte,(B2628="CRÍTICO")*1E9+(100000-D2628)*10000+10000-ROW(),""),"")</f>
        <v/>
      </c>
      <c r="X2628" s="8">
        <f>IF(AND(V2628=1,D2628=pas_data,E2628=pas_turno),10000-ROW(),"")</f>
        <v/>
      </c>
    </row>
    <row r="2629">
      <c r="A2629" s="3">
        <f>IF(D2629="","","TT-"&amp;TEXT(ROW()-1,"00000"))</f>
        <v/>
      </c>
      <c r="B2629" s="3">
        <f>IF(D2629="","",IF(V2629=0,"CONCLUÍDO",IF(D2629&lt;corte,"HISTÓRICO",IF(OR(AND(ISNUMBER(R2629),R2629&lt;TODAY()),AND(OR(N2629="PENDENTE",N2629="PARCIAL"),D2629&lt;TODAY()-1)),"CRÍTICO",IF(OR(AND(P2629&lt;&gt;"",S2629=""),AND(N2629="REALIZADO",M2629="PENDENTE"),AND(ISNUMBER(R2629),R2629=TODAY())),"ATENÇÃO",IF(N(K2629)=0,"PENDENTE","EM ANDAMENTO"))))))</f>
        <v/>
      </c>
      <c r="C2629" s="3">
        <f>IF(D2629="","",IF(V2629=0,"🟢 OK",IF(D2629&lt;corte,"⚪ HISTÓRICO (sem baixa)",IF(AND(ISNUMBER(R2629),R2629&lt;TODAY()),"🔴 PRAZO VENCIDO",IF(AND(OR(N2629="PENDENTE",N2629="PARCIAL"),D2629&lt;TODAY()-1),"🔴 EMBARQUE ATRASADO",IF(AND(N2629="REALIZADO",M2629="PENDENTE"),"🟡 EMBARCADO SEM FATURAR",IF(AND(P2629&lt;&gt;"",S2629="",OR(Q2629="",R2629="")),"🟡 PENDÊNCIA SEM RESPONSÁVEL/PRAZO",IF(AND(ISNUMBER(R2629),R2629=TODAY()),"🟡 VENCE HOJE",IF(AND(P2629&lt;&gt;"",S2629=""),"🟡 PENDÊNCIA ABERTA",IF(AND(N(J2629)&gt;0,N(K2629)&lt;J2629),"🟡 FALTA EXECUTAR",IF(OR(M2629="PENDENTE",M2629="PARCIAL"),"🟡 FATURAMENTO PENDENTE","🟡 EMBARQUE PENDENTE")))))))))))</f>
        <v/>
      </c>
      <c r="D2629" s="4" t="n"/>
      <c r="E2629" s="5" t="n"/>
      <c r="F2629" s="5" t="n"/>
      <c r="G2629" s="5" t="n"/>
      <c r="H2629" s="5" t="n"/>
      <c r="I2629" s="5" t="n"/>
      <c r="J2629" s="6" t="n"/>
      <c r="K2629" s="6" t="n"/>
      <c r="L2629" s="7">
        <f>IF(OR(D2629="",N(J2629)=0),"",MIN(1,N(K2629)/J2629))</f>
        <v/>
      </c>
      <c r="M2629" s="5" t="n"/>
      <c r="N2629" s="5" t="n"/>
      <c r="O2629" s="5" t="n"/>
      <c r="P2629" s="5" t="n"/>
      <c r="Q2629" s="5" t="n"/>
      <c r="R2629" s="4" t="n"/>
      <c r="S2629" s="4" t="n"/>
      <c r="T2629" s="5" t="n"/>
      <c r="U2629" s="8">
        <f>IF(AND(V2629=1,D2629&lt;&gt;""),IF(D2629&gt;=corte,TODAY()-D2629,""),"")</f>
        <v/>
      </c>
      <c r="V2629" s="8">
        <f>IF(D2629="",0,IF(OR(AND(P2629&lt;&gt;"",S2629=""),AND(N(J2629)&gt;0,N(K2629)&lt;J2629),OR(M2629="PENDENTE",M2629="PARCIAL"),OR(N2629="PENDENTE",N2629="PARCIAL")),1,0))</f>
        <v/>
      </c>
      <c r="W2629" s="8">
        <f>IF(AND(V2629=1,D2629&lt;&gt;""),IF(D2629&gt;=corte,(B2629="CRÍTICO")*1E9+(100000-D2629)*10000+10000-ROW(),""),"")</f>
        <v/>
      </c>
      <c r="X2629" s="8">
        <f>IF(AND(V2629=1,D2629=pas_data,E2629=pas_turno),10000-ROW(),"")</f>
        <v/>
      </c>
    </row>
    <row r="2630">
      <c r="A2630" s="3">
        <f>IF(D2630="","","TT-"&amp;TEXT(ROW()-1,"00000"))</f>
        <v/>
      </c>
      <c r="B2630" s="3">
        <f>IF(D2630="","",IF(V2630=0,"CONCLUÍDO",IF(D2630&lt;corte,"HISTÓRICO",IF(OR(AND(ISNUMBER(R2630),R2630&lt;TODAY()),AND(OR(N2630="PENDENTE",N2630="PARCIAL"),D2630&lt;TODAY()-1)),"CRÍTICO",IF(OR(AND(P2630&lt;&gt;"",S2630=""),AND(N2630="REALIZADO",M2630="PENDENTE"),AND(ISNUMBER(R2630),R2630=TODAY())),"ATENÇÃO",IF(N(K2630)=0,"PENDENTE","EM ANDAMENTO"))))))</f>
        <v/>
      </c>
      <c r="C2630" s="3">
        <f>IF(D2630="","",IF(V2630=0,"🟢 OK",IF(D2630&lt;corte,"⚪ HISTÓRICO (sem baixa)",IF(AND(ISNUMBER(R2630),R2630&lt;TODAY()),"🔴 PRAZO VENCIDO",IF(AND(OR(N2630="PENDENTE",N2630="PARCIAL"),D2630&lt;TODAY()-1),"🔴 EMBARQUE ATRASADO",IF(AND(N2630="REALIZADO",M2630="PENDENTE"),"🟡 EMBARCADO SEM FATURAR",IF(AND(P2630&lt;&gt;"",S2630="",OR(Q2630="",R2630="")),"🟡 PENDÊNCIA SEM RESPONSÁVEL/PRAZO",IF(AND(ISNUMBER(R2630),R2630=TODAY()),"🟡 VENCE HOJE",IF(AND(P2630&lt;&gt;"",S2630=""),"🟡 PENDÊNCIA ABERTA",IF(AND(N(J2630)&gt;0,N(K2630)&lt;J2630),"🟡 FALTA EXECUTAR",IF(OR(M2630="PENDENTE",M2630="PARCIAL"),"🟡 FATURAMENTO PENDENTE","🟡 EMBARQUE PENDENTE")))))))))))</f>
        <v/>
      </c>
      <c r="D2630" s="4" t="n"/>
      <c r="E2630" s="5" t="n"/>
      <c r="F2630" s="5" t="n"/>
      <c r="G2630" s="5" t="n"/>
      <c r="H2630" s="5" t="n"/>
      <c r="I2630" s="5" t="n"/>
      <c r="J2630" s="6" t="n"/>
      <c r="K2630" s="6" t="n"/>
      <c r="L2630" s="7">
        <f>IF(OR(D2630="",N(J2630)=0),"",MIN(1,N(K2630)/J2630))</f>
        <v/>
      </c>
      <c r="M2630" s="5" t="n"/>
      <c r="N2630" s="5" t="n"/>
      <c r="O2630" s="5" t="n"/>
      <c r="P2630" s="5" t="n"/>
      <c r="Q2630" s="5" t="n"/>
      <c r="R2630" s="4" t="n"/>
      <c r="S2630" s="4" t="n"/>
      <c r="T2630" s="5" t="n"/>
      <c r="U2630" s="8">
        <f>IF(AND(V2630=1,D2630&lt;&gt;""),IF(D2630&gt;=corte,TODAY()-D2630,""),"")</f>
        <v/>
      </c>
      <c r="V2630" s="8">
        <f>IF(D2630="",0,IF(OR(AND(P2630&lt;&gt;"",S2630=""),AND(N(J2630)&gt;0,N(K2630)&lt;J2630),OR(M2630="PENDENTE",M2630="PARCIAL"),OR(N2630="PENDENTE",N2630="PARCIAL")),1,0))</f>
        <v/>
      </c>
      <c r="W2630" s="8">
        <f>IF(AND(V2630=1,D2630&lt;&gt;""),IF(D2630&gt;=corte,(B2630="CRÍTICO")*1E9+(100000-D2630)*10000+10000-ROW(),""),"")</f>
        <v/>
      </c>
      <c r="X2630" s="8">
        <f>IF(AND(V2630=1,D2630=pas_data,E2630=pas_turno),10000-ROW(),"")</f>
        <v/>
      </c>
    </row>
    <row r="2631">
      <c r="A2631" s="3">
        <f>IF(D2631="","","TT-"&amp;TEXT(ROW()-1,"00000"))</f>
        <v/>
      </c>
      <c r="B2631" s="3">
        <f>IF(D2631="","",IF(V2631=0,"CONCLUÍDO",IF(D2631&lt;corte,"HISTÓRICO",IF(OR(AND(ISNUMBER(R2631),R2631&lt;TODAY()),AND(OR(N2631="PENDENTE",N2631="PARCIAL"),D2631&lt;TODAY()-1)),"CRÍTICO",IF(OR(AND(P2631&lt;&gt;"",S2631=""),AND(N2631="REALIZADO",M2631="PENDENTE"),AND(ISNUMBER(R2631),R2631=TODAY())),"ATENÇÃO",IF(N(K2631)=0,"PENDENTE","EM ANDAMENTO"))))))</f>
        <v/>
      </c>
      <c r="C2631" s="3">
        <f>IF(D2631="","",IF(V2631=0,"🟢 OK",IF(D2631&lt;corte,"⚪ HISTÓRICO (sem baixa)",IF(AND(ISNUMBER(R2631),R2631&lt;TODAY()),"🔴 PRAZO VENCIDO",IF(AND(OR(N2631="PENDENTE",N2631="PARCIAL"),D2631&lt;TODAY()-1),"🔴 EMBARQUE ATRASADO",IF(AND(N2631="REALIZADO",M2631="PENDENTE"),"🟡 EMBARCADO SEM FATURAR",IF(AND(P2631&lt;&gt;"",S2631="",OR(Q2631="",R2631="")),"🟡 PENDÊNCIA SEM RESPONSÁVEL/PRAZO",IF(AND(ISNUMBER(R2631),R2631=TODAY()),"🟡 VENCE HOJE",IF(AND(P2631&lt;&gt;"",S2631=""),"🟡 PENDÊNCIA ABERTA",IF(AND(N(J2631)&gt;0,N(K2631)&lt;J2631),"🟡 FALTA EXECUTAR",IF(OR(M2631="PENDENTE",M2631="PARCIAL"),"🟡 FATURAMENTO PENDENTE","🟡 EMBARQUE PENDENTE")))))))))))</f>
        <v/>
      </c>
      <c r="D2631" s="4" t="n"/>
      <c r="E2631" s="5" t="n"/>
      <c r="F2631" s="5" t="n"/>
      <c r="G2631" s="5" t="n"/>
      <c r="H2631" s="5" t="n"/>
      <c r="I2631" s="5" t="n"/>
      <c r="J2631" s="6" t="n"/>
      <c r="K2631" s="6" t="n"/>
      <c r="L2631" s="7">
        <f>IF(OR(D2631="",N(J2631)=0),"",MIN(1,N(K2631)/J2631))</f>
        <v/>
      </c>
      <c r="M2631" s="5" t="n"/>
      <c r="N2631" s="5" t="n"/>
      <c r="O2631" s="5" t="n"/>
      <c r="P2631" s="5" t="n"/>
      <c r="Q2631" s="5" t="n"/>
      <c r="R2631" s="4" t="n"/>
      <c r="S2631" s="4" t="n"/>
      <c r="T2631" s="5" t="n"/>
      <c r="U2631" s="8">
        <f>IF(AND(V2631=1,D2631&lt;&gt;""),IF(D2631&gt;=corte,TODAY()-D2631,""),"")</f>
        <v/>
      </c>
      <c r="V2631" s="8">
        <f>IF(D2631="",0,IF(OR(AND(P2631&lt;&gt;"",S2631=""),AND(N(J2631)&gt;0,N(K2631)&lt;J2631),OR(M2631="PENDENTE",M2631="PARCIAL"),OR(N2631="PENDENTE",N2631="PARCIAL")),1,0))</f>
        <v/>
      </c>
      <c r="W2631" s="8">
        <f>IF(AND(V2631=1,D2631&lt;&gt;""),IF(D2631&gt;=corte,(B2631="CRÍTICO")*1E9+(100000-D2631)*10000+10000-ROW(),""),"")</f>
        <v/>
      </c>
      <c r="X2631" s="8">
        <f>IF(AND(V2631=1,D2631=pas_data,E2631=pas_turno),10000-ROW(),"")</f>
        <v/>
      </c>
    </row>
    <row r="2632">
      <c r="A2632" s="3">
        <f>IF(D2632="","","TT-"&amp;TEXT(ROW()-1,"00000"))</f>
        <v/>
      </c>
      <c r="B2632" s="3">
        <f>IF(D2632="","",IF(V2632=0,"CONCLUÍDO",IF(D2632&lt;corte,"HISTÓRICO",IF(OR(AND(ISNUMBER(R2632),R2632&lt;TODAY()),AND(OR(N2632="PENDENTE",N2632="PARCIAL"),D2632&lt;TODAY()-1)),"CRÍTICO",IF(OR(AND(P2632&lt;&gt;"",S2632=""),AND(N2632="REALIZADO",M2632="PENDENTE"),AND(ISNUMBER(R2632),R2632=TODAY())),"ATENÇÃO",IF(N(K2632)=0,"PENDENTE","EM ANDAMENTO"))))))</f>
        <v/>
      </c>
      <c r="C2632" s="3">
        <f>IF(D2632="","",IF(V2632=0,"🟢 OK",IF(D2632&lt;corte,"⚪ HISTÓRICO (sem baixa)",IF(AND(ISNUMBER(R2632),R2632&lt;TODAY()),"🔴 PRAZO VENCIDO",IF(AND(OR(N2632="PENDENTE",N2632="PARCIAL"),D2632&lt;TODAY()-1),"🔴 EMBARQUE ATRASADO",IF(AND(N2632="REALIZADO",M2632="PENDENTE"),"🟡 EMBARCADO SEM FATURAR",IF(AND(P2632&lt;&gt;"",S2632="",OR(Q2632="",R2632="")),"🟡 PENDÊNCIA SEM RESPONSÁVEL/PRAZO",IF(AND(ISNUMBER(R2632),R2632=TODAY()),"🟡 VENCE HOJE",IF(AND(P2632&lt;&gt;"",S2632=""),"🟡 PENDÊNCIA ABERTA",IF(AND(N(J2632)&gt;0,N(K2632)&lt;J2632),"🟡 FALTA EXECUTAR",IF(OR(M2632="PENDENTE",M2632="PARCIAL"),"🟡 FATURAMENTO PENDENTE","🟡 EMBARQUE PENDENTE")))))))))))</f>
        <v/>
      </c>
      <c r="D2632" s="4" t="n"/>
      <c r="E2632" s="5" t="n"/>
      <c r="F2632" s="5" t="n"/>
      <c r="G2632" s="5" t="n"/>
      <c r="H2632" s="5" t="n"/>
      <c r="I2632" s="5" t="n"/>
      <c r="J2632" s="6" t="n"/>
      <c r="K2632" s="6" t="n"/>
      <c r="L2632" s="7">
        <f>IF(OR(D2632="",N(J2632)=0),"",MIN(1,N(K2632)/J2632))</f>
        <v/>
      </c>
      <c r="M2632" s="5" t="n"/>
      <c r="N2632" s="5" t="n"/>
      <c r="O2632" s="5" t="n"/>
      <c r="P2632" s="5" t="n"/>
      <c r="Q2632" s="5" t="n"/>
      <c r="R2632" s="4" t="n"/>
      <c r="S2632" s="4" t="n"/>
      <c r="T2632" s="5" t="n"/>
      <c r="U2632" s="8">
        <f>IF(AND(V2632=1,D2632&lt;&gt;""),IF(D2632&gt;=corte,TODAY()-D2632,""),"")</f>
        <v/>
      </c>
      <c r="V2632" s="8">
        <f>IF(D2632="",0,IF(OR(AND(P2632&lt;&gt;"",S2632=""),AND(N(J2632)&gt;0,N(K2632)&lt;J2632),OR(M2632="PENDENTE",M2632="PARCIAL"),OR(N2632="PENDENTE",N2632="PARCIAL")),1,0))</f>
        <v/>
      </c>
      <c r="W2632" s="8">
        <f>IF(AND(V2632=1,D2632&lt;&gt;""),IF(D2632&gt;=corte,(B2632="CRÍTICO")*1E9+(100000-D2632)*10000+10000-ROW(),""),"")</f>
        <v/>
      </c>
      <c r="X2632" s="8">
        <f>IF(AND(V2632=1,D2632=pas_data,E2632=pas_turno),10000-ROW(),"")</f>
        <v/>
      </c>
    </row>
    <row r="2633">
      <c r="A2633" s="3">
        <f>IF(D2633="","","TT-"&amp;TEXT(ROW()-1,"00000"))</f>
        <v/>
      </c>
      <c r="B2633" s="3">
        <f>IF(D2633="","",IF(V2633=0,"CONCLUÍDO",IF(D2633&lt;corte,"HISTÓRICO",IF(OR(AND(ISNUMBER(R2633),R2633&lt;TODAY()),AND(OR(N2633="PENDENTE",N2633="PARCIAL"),D2633&lt;TODAY()-1)),"CRÍTICO",IF(OR(AND(P2633&lt;&gt;"",S2633=""),AND(N2633="REALIZADO",M2633="PENDENTE"),AND(ISNUMBER(R2633),R2633=TODAY())),"ATENÇÃO",IF(N(K2633)=0,"PENDENTE","EM ANDAMENTO"))))))</f>
        <v/>
      </c>
      <c r="C2633" s="3">
        <f>IF(D2633="","",IF(V2633=0,"🟢 OK",IF(D2633&lt;corte,"⚪ HISTÓRICO (sem baixa)",IF(AND(ISNUMBER(R2633),R2633&lt;TODAY()),"🔴 PRAZO VENCIDO",IF(AND(OR(N2633="PENDENTE",N2633="PARCIAL"),D2633&lt;TODAY()-1),"🔴 EMBARQUE ATRASADO",IF(AND(N2633="REALIZADO",M2633="PENDENTE"),"🟡 EMBARCADO SEM FATURAR",IF(AND(P2633&lt;&gt;"",S2633="",OR(Q2633="",R2633="")),"🟡 PENDÊNCIA SEM RESPONSÁVEL/PRAZO",IF(AND(ISNUMBER(R2633),R2633=TODAY()),"🟡 VENCE HOJE",IF(AND(P2633&lt;&gt;"",S2633=""),"🟡 PENDÊNCIA ABERTA",IF(AND(N(J2633)&gt;0,N(K2633)&lt;J2633),"🟡 FALTA EXECUTAR",IF(OR(M2633="PENDENTE",M2633="PARCIAL"),"🟡 FATURAMENTO PENDENTE","🟡 EMBARQUE PENDENTE")))))))))))</f>
        <v/>
      </c>
      <c r="D2633" s="4" t="n"/>
      <c r="E2633" s="5" t="n"/>
      <c r="F2633" s="5" t="n"/>
      <c r="G2633" s="5" t="n"/>
      <c r="H2633" s="5" t="n"/>
      <c r="I2633" s="5" t="n"/>
      <c r="J2633" s="6" t="n"/>
      <c r="K2633" s="6" t="n"/>
      <c r="L2633" s="7">
        <f>IF(OR(D2633="",N(J2633)=0),"",MIN(1,N(K2633)/J2633))</f>
        <v/>
      </c>
      <c r="M2633" s="5" t="n"/>
      <c r="N2633" s="5" t="n"/>
      <c r="O2633" s="5" t="n"/>
      <c r="P2633" s="5" t="n"/>
      <c r="Q2633" s="5" t="n"/>
      <c r="R2633" s="4" t="n"/>
      <c r="S2633" s="4" t="n"/>
      <c r="T2633" s="5" t="n"/>
      <c r="U2633" s="8">
        <f>IF(AND(V2633=1,D2633&lt;&gt;""),IF(D2633&gt;=corte,TODAY()-D2633,""),"")</f>
        <v/>
      </c>
      <c r="V2633" s="8">
        <f>IF(D2633="",0,IF(OR(AND(P2633&lt;&gt;"",S2633=""),AND(N(J2633)&gt;0,N(K2633)&lt;J2633),OR(M2633="PENDENTE",M2633="PARCIAL"),OR(N2633="PENDENTE",N2633="PARCIAL")),1,0))</f>
        <v/>
      </c>
      <c r="W2633" s="8">
        <f>IF(AND(V2633=1,D2633&lt;&gt;""),IF(D2633&gt;=corte,(B2633="CRÍTICO")*1E9+(100000-D2633)*10000+10000-ROW(),""),"")</f>
        <v/>
      </c>
      <c r="X2633" s="8">
        <f>IF(AND(V2633=1,D2633=pas_data,E2633=pas_turno),10000-ROW(),"")</f>
        <v/>
      </c>
    </row>
    <row r="2634">
      <c r="A2634" s="3">
        <f>IF(D2634="","","TT-"&amp;TEXT(ROW()-1,"00000"))</f>
        <v/>
      </c>
      <c r="B2634" s="3">
        <f>IF(D2634="","",IF(V2634=0,"CONCLUÍDO",IF(D2634&lt;corte,"HISTÓRICO",IF(OR(AND(ISNUMBER(R2634),R2634&lt;TODAY()),AND(OR(N2634="PENDENTE",N2634="PARCIAL"),D2634&lt;TODAY()-1)),"CRÍTICO",IF(OR(AND(P2634&lt;&gt;"",S2634=""),AND(N2634="REALIZADO",M2634="PENDENTE"),AND(ISNUMBER(R2634),R2634=TODAY())),"ATENÇÃO",IF(N(K2634)=0,"PENDENTE","EM ANDAMENTO"))))))</f>
        <v/>
      </c>
      <c r="C2634" s="3">
        <f>IF(D2634="","",IF(V2634=0,"🟢 OK",IF(D2634&lt;corte,"⚪ HISTÓRICO (sem baixa)",IF(AND(ISNUMBER(R2634),R2634&lt;TODAY()),"🔴 PRAZO VENCIDO",IF(AND(OR(N2634="PENDENTE",N2634="PARCIAL"),D2634&lt;TODAY()-1),"🔴 EMBARQUE ATRASADO",IF(AND(N2634="REALIZADO",M2634="PENDENTE"),"🟡 EMBARCADO SEM FATURAR",IF(AND(P2634&lt;&gt;"",S2634="",OR(Q2634="",R2634="")),"🟡 PENDÊNCIA SEM RESPONSÁVEL/PRAZO",IF(AND(ISNUMBER(R2634),R2634=TODAY()),"🟡 VENCE HOJE",IF(AND(P2634&lt;&gt;"",S2634=""),"🟡 PENDÊNCIA ABERTA",IF(AND(N(J2634)&gt;0,N(K2634)&lt;J2634),"🟡 FALTA EXECUTAR",IF(OR(M2634="PENDENTE",M2634="PARCIAL"),"🟡 FATURAMENTO PENDENTE","🟡 EMBARQUE PENDENTE")))))))))))</f>
        <v/>
      </c>
      <c r="D2634" s="4" t="n"/>
      <c r="E2634" s="5" t="n"/>
      <c r="F2634" s="5" t="n"/>
      <c r="G2634" s="5" t="n"/>
      <c r="H2634" s="5" t="n"/>
      <c r="I2634" s="5" t="n"/>
      <c r="J2634" s="6" t="n"/>
      <c r="K2634" s="6" t="n"/>
      <c r="L2634" s="7">
        <f>IF(OR(D2634="",N(J2634)=0),"",MIN(1,N(K2634)/J2634))</f>
        <v/>
      </c>
      <c r="M2634" s="5" t="n"/>
      <c r="N2634" s="5" t="n"/>
      <c r="O2634" s="5" t="n"/>
      <c r="P2634" s="5" t="n"/>
      <c r="Q2634" s="5" t="n"/>
      <c r="R2634" s="4" t="n"/>
      <c r="S2634" s="4" t="n"/>
      <c r="T2634" s="5" t="n"/>
      <c r="U2634" s="8">
        <f>IF(AND(V2634=1,D2634&lt;&gt;""),IF(D2634&gt;=corte,TODAY()-D2634,""),"")</f>
        <v/>
      </c>
      <c r="V2634" s="8">
        <f>IF(D2634="",0,IF(OR(AND(P2634&lt;&gt;"",S2634=""),AND(N(J2634)&gt;0,N(K2634)&lt;J2634),OR(M2634="PENDENTE",M2634="PARCIAL"),OR(N2634="PENDENTE",N2634="PARCIAL")),1,0))</f>
        <v/>
      </c>
      <c r="W2634" s="8">
        <f>IF(AND(V2634=1,D2634&lt;&gt;""),IF(D2634&gt;=corte,(B2634="CRÍTICO")*1E9+(100000-D2634)*10000+10000-ROW(),""),"")</f>
        <v/>
      </c>
      <c r="X2634" s="8">
        <f>IF(AND(V2634=1,D2634=pas_data,E2634=pas_turno),10000-ROW(),"")</f>
        <v/>
      </c>
    </row>
    <row r="2635">
      <c r="A2635" s="3">
        <f>IF(D2635="","","TT-"&amp;TEXT(ROW()-1,"00000"))</f>
        <v/>
      </c>
      <c r="B2635" s="3">
        <f>IF(D2635="","",IF(V2635=0,"CONCLUÍDO",IF(D2635&lt;corte,"HISTÓRICO",IF(OR(AND(ISNUMBER(R2635),R2635&lt;TODAY()),AND(OR(N2635="PENDENTE",N2635="PARCIAL"),D2635&lt;TODAY()-1)),"CRÍTICO",IF(OR(AND(P2635&lt;&gt;"",S2635=""),AND(N2635="REALIZADO",M2635="PENDENTE"),AND(ISNUMBER(R2635),R2635=TODAY())),"ATENÇÃO",IF(N(K2635)=0,"PENDENTE","EM ANDAMENTO"))))))</f>
        <v/>
      </c>
      <c r="C2635" s="3">
        <f>IF(D2635="","",IF(V2635=0,"🟢 OK",IF(D2635&lt;corte,"⚪ HISTÓRICO (sem baixa)",IF(AND(ISNUMBER(R2635),R2635&lt;TODAY()),"🔴 PRAZO VENCIDO",IF(AND(OR(N2635="PENDENTE",N2635="PARCIAL"),D2635&lt;TODAY()-1),"🔴 EMBARQUE ATRASADO",IF(AND(N2635="REALIZADO",M2635="PENDENTE"),"🟡 EMBARCADO SEM FATURAR",IF(AND(P2635&lt;&gt;"",S2635="",OR(Q2635="",R2635="")),"🟡 PENDÊNCIA SEM RESPONSÁVEL/PRAZO",IF(AND(ISNUMBER(R2635),R2635=TODAY()),"🟡 VENCE HOJE",IF(AND(P2635&lt;&gt;"",S2635=""),"🟡 PENDÊNCIA ABERTA",IF(AND(N(J2635)&gt;0,N(K2635)&lt;J2635),"🟡 FALTA EXECUTAR",IF(OR(M2635="PENDENTE",M2635="PARCIAL"),"🟡 FATURAMENTO PENDENTE","🟡 EMBARQUE PENDENTE")))))))))))</f>
        <v/>
      </c>
      <c r="D2635" s="4" t="n"/>
      <c r="E2635" s="5" t="n"/>
      <c r="F2635" s="5" t="n"/>
      <c r="G2635" s="5" t="n"/>
      <c r="H2635" s="5" t="n"/>
      <c r="I2635" s="5" t="n"/>
      <c r="J2635" s="6" t="n"/>
      <c r="K2635" s="6" t="n"/>
      <c r="L2635" s="7">
        <f>IF(OR(D2635="",N(J2635)=0),"",MIN(1,N(K2635)/J2635))</f>
        <v/>
      </c>
      <c r="M2635" s="5" t="n"/>
      <c r="N2635" s="5" t="n"/>
      <c r="O2635" s="5" t="n"/>
      <c r="P2635" s="5" t="n"/>
      <c r="Q2635" s="5" t="n"/>
      <c r="R2635" s="4" t="n"/>
      <c r="S2635" s="4" t="n"/>
      <c r="T2635" s="5" t="n"/>
      <c r="U2635" s="8">
        <f>IF(AND(V2635=1,D2635&lt;&gt;""),IF(D2635&gt;=corte,TODAY()-D2635,""),"")</f>
        <v/>
      </c>
      <c r="V2635" s="8">
        <f>IF(D2635="",0,IF(OR(AND(P2635&lt;&gt;"",S2635=""),AND(N(J2635)&gt;0,N(K2635)&lt;J2635),OR(M2635="PENDENTE",M2635="PARCIAL"),OR(N2635="PENDENTE",N2635="PARCIAL")),1,0))</f>
        <v/>
      </c>
      <c r="W2635" s="8">
        <f>IF(AND(V2635=1,D2635&lt;&gt;""),IF(D2635&gt;=corte,(B2635="CRÍTICO")*1E9+(100000-D2635)*10000+10000-ROW(),""),"")</f>
        <v/>
      </c>
      <c r="X2635" s="8">
        <f>IF(AND(V2635=1,D2635=pas_data,E2635=pas_turno),10000-ROW(),"")</f>
        <v/>
      </c>
    </row>
    <row r="2636">
      <c r="A2636" s="3">
        <f>IF(D2636="","","TT-"&amp;TEXT(ROW()-1,"00000"))</f>
        <v/>
      </c>
      <c r="B2636" s="3">
        <f>IF(D2636="","",IF(V2636=0,"CONCLUÍDO",IF(D2636&lt;corte,"HISTÓRICO",IF(OR(AND(ISNUMBER(R2636),R2636&lt;TODAY()),AND(OR(N2636="PENDENTE",N2636="PARCIAL"),D2636&lt;TODAY()-1)),"CRÍTICO",IF(OR(AND(P2636&lt;&gt;"",S2636=""),AND(N2636="REALIZADO",M2636="PENDENTE"),AND(ISNUMBER(R2636),R2636=TODAY())),"ATENÇÃO",IF(N(K2636)=0,"PENDENTE","EM ANDAMENTO"))))))</f>
        <v/>
      </c>
      <c r="C2636" s="3">
        <f>IF(D2636="","",IF(V2636=0,"🟢 OK",IF(D2636&lt;corte,"⚪ HISTÓRICO (sem baixa)",IF(AND(ISNUMBER(R2636),R2636&lt;TODAY()),"🔴 PRAZO VENCIDO",IF(AND(OR(N2636="PENDENTE",N2636="PARCIAL"),D2636&lt;TODAY()-1),"🔴 EMBARQUE ATRASADO",IF(AND(N2636="REALIZADO",M2636="PENDENTE"),"🟡 EMBARCADO SEM FATURAR",IF(AND(P2636&lt;&gt;"",S2636="",OR(Q2636="",R2636="")),"🟡 PENDÊNCIA SEM RESPONSÁVEL/PRAZO",IF(AND(ISNUMBER(R2636),R2636=TODAY()),"🟡 VENCE HOJE",IF(AND(P2636&lt;&gt;"",S2636=""),"🟡 PENDÊNCIA ABERTA",IF(AND(N(J2636)&gt;0,N(K2636)&lt;J2636),"🟡 FALTA EXECUTAR",IF(OR(M2636="PENDENTE",M2636="PARCIAL"),"🟡 FATURAMENTO PENDENTE","🟡 EMBARQUE PENDENTE")))))))))))</f>
        <v/>
      </c>
      <c r="D2636" s="4" t="n"/>
      <c r="E2636" s="5" t="n"/>
      <c r="F2636" s="5" t="n"/>
      <c r="G2636" s="5" t="n"/>
      <c r="H2636" s="5" t="n"/>
      <c r="I2636" s="5" t="n"/>
      <c r="J2636" s="6" t="n"/>
      <c r="K2636" s="6" t="n"/>
      <c r="L2636" s="7">
        <f>IF(OR(D2636="",N(J2636)=0),"",MIN(1,N(K2636)/J2636))</f>
        <v/>
      </c>
      <c r="M2636" s="5" t="n"/>
      <c r="N2636" s="5" t="n"/>
      <c r="O2636" s="5" t="n"/>
      <c r="P2636" s="5" t="n"/>
      <c r="Q2636" s="5" t="n"/>
      <c r="R2636" s="4" t="n"/>
      <c r="S2636" s="4" t="n"/>
      <c r="T2636" s="5" t="n"/>
      <c r="U2636" s="8">
        <f>IF(AND(V2636=1,D2636&lt;&gt;""),IF(D2636&gt;=corte,TODAY()-D2636,""),"")</f>
        <v/>
      </c>
      <c r="V2636" s="8">
        <f>IF(D2636="",0,IF(OR(AND(P2636&lt;&gt;"",S2636=""),AND(N(J2636)&gt;0,N(K2636)&lt;J2636),OR(M2636="PENDENTE",M2636="PARCIAL"),OR(N2636="PENDENTE",N2636="PARCIAL")),1,0))</f>
        <v/>
      </c>
      <c r="W2636" s="8">
        <f>IF(AND(V2636=1,D2636&lt;&gt;""),IF(D2636&gt;=corte,(B2636="CRÍTICO")*1E9+(100000-D2636)*10000+10000-ROW(),""),"")</f>
        <v/>
      </c>
      <c r="X2636" s="8">
        <f>IF(AND(V2636=1,D2636=pas_data,E2636=pas_turno),10000-ROW(),"")</f>
        <v/>
      </c>
    </row>
    <row r="2637">
      <c r="A2637" s="3">
        <f>IF(D2637="","","TT-"&amp;TEXT(ROW()-1,"00000"))</f>
        <v/>
      </c>
      <c r="B2637" s="3">
        <f>IF(D2637="","",IF(V2637=0,"CONCLUÍDO",IF(D2637&lt;corte,"HISTÓRICO",IF(OR(AND(ISNUMBER(R2637),R2637&lt;TODAY()),AND(OR(N2637="PENDENTE",N2637="PARCIAL"),D2637&lt;TODAY()-1)),"CRÍTICO",IF(OR(AND(P2637&lt;&gt;"",S2637=""),AND(N2637="REALIZADO",M2637="PENDENTE"),AND(ISNUMBER(R2637),R2637=TODAY())),"ATENÇÃO",IF(N(K2637)=0,"PENDENTE","EM ANDAMENTO"))))))</f>
        <v/>
      </c>
      <c r="C2637" s="3">
        <f>IF(D2637="","",IF(V2637=0,"🟢 OK",IF(D2637&lt;corte,"⚪ HISTÓRICO (sem baixa)",IF(AND(ISNUMBER(R2637),R2637&lt;TODAY()),"🔴 PRAZO VENCIDO",IF(AND(OR(N2637="PENDENTE",N2637="PARCIAL"),D2637&lt;TODAY()-1),"🔴 EMBARQUE ATRASADO",IF(AND(N2637="REALIZADO",M2637="PENDENTE"),"🟡 EMBARCADO SEM FATURAR",IF(AND(P2637&lt;&gt;"",S2637="",OR(Q2637="",R2637="")),"🟡 PENDÊNCIA SEM RESPONSÁVEL/PRAZO",IF(AND(ISNUMBER(R2637),R2637=TODAY()),"🟡 VENCE HOJE",IF(AND(P2637&lt;&gt;"",S2637=""),"🟡 PENDÊNCIA ABERTA",IF(AND(N(J2637)&gt;0,N(K2637)&lt;J2637),"🟡 FALTA EXECUTAR",IF(OR(M2637="PENDENTE",M2637="PARCIAL"),"🟡 FATURAMENTO PENDENTE","🟡 EMBARQUE PENDENTE")))))))))))</f>
        <v/>
      </c>
      <c r="D2637" s="4" t="n"/>
      <c r="E2637" s="5" t="n"/>
      <c r="F2637" s="5" t="n"/>
      <c r="G2637" s="5" t="n"/>
      <c r="H2637" s="5" t="n"/>
      <c r="I2637" s="5" t="n"/>
      <c r="J2637" s="6" t="n"/>
      <c r="K2637" s="6" t="n"/>
      <c r="L2637" s="7">
        <f>IF(OR(D2637="",N(J2637)=0),"",MIN(1,N(K2637)/J2637))</f>
        <v/>
      </c>
      <c r="M2637" s="5" t="n"/>
      <c r="N2637" s="5" t="n"/>
      <c r="O2637" s="5" t="n"/>
      <c r="P2637" s="5" t="n"/>
      <c r="Q2637" s="5" t="n"/>
      <c r="R2637" s="4" t="n"/>
      <c r="S2637" s="4" t="n"/>
      <c r="T2637" s="5" t="n"/>
      <c r="U2637" s="8">
        <f>IF(AND(V2637=1,D2637&lt;&gt;""),IF(D2637&gt;=corte,TODAY()-D2637,""),"")</f>
        <v/>
      </c>
      <c r="V2637" s="8">
        <f>IF(D2637="",0,IF(OR(AND(P2637&lt;&gt;"",S2637=""),AND(N(J2637)&gt;0,N(K2637)&lt;J2637),OR(M2637="PENDENTE",M2637="PARCIAL"),OR(N2637="PENDENTE",N2637="PARCIAL")),1,0))</f>
        <v/>
      </c>
      <c r="W2637" s="8">
        <f>IF(AND(V2637=1,D2637&lt;&gt;""),IF(D2637&gt;=corte,(B2637="CRÍTICO")*1E9+(100000-D2637)*10000+10000-ROW(),""),"")</f>
        <v/>
      </c>
      <c r="X2637" s="8">
        <f>IF(AND(V2637=1,D2637=pas_data,E2637=pas_turno),10000-ROW(),"")</f>
        <v/>
      </c>
    </row>
    <row r="2638">
      <c r="A2638" s="3">
        <f>IF(D2638="","","TT-"&amp;TEXT(ROW()-1,"00000"))</f>
        <v/>
      </c>
      <c r="B2638" s="3">
        <f>IF(D2638="","",IF(V2638=0,"CONCLUÍDO",IF(D2638&lt;corte,"HISTÓRICO",IF(OR(AND(ISNUMBER(R2638),R2638&lt;TODAY()),AND(OR(N2638="PENDENTE",N2638="PARCIAL"),D2638&lt;TODAY()-1)),"CRÍTICO",IF(OR(AND(P2638&lt;&gt;"",S2638=""),AND(N2638="REALIZADO",M2638="PENDENTE"),AND(ISNUMBER(R2638),R2638=TODAY())),"ATENÇÃO",IF(N(K2638)=0,"PENDENTE","EM ANDAMENTO"))))))</f>
        <v/>
      </c>
      <c r="C2638" s="3">
        <f>IF(D2638="","",IF(V2638=0,"🟢 OK",IF(D2638&lt;corte,"⚪ HISTÓRICO (sem baixa)",IF(AND(ISNUMBER(R2638),R2638&lt;TODAY()),"🔴 PRAZO VENCIDO",IF(AND(OR(N2638="PENDENTE",N2638="PARCIAL"),D2638&lt;TODAY()-1),"🔴 EMBARQUE ATRASADO",IF(AND(N2638="REALIZADO",M2638="PENDENTE"),"🟡 EMBARCADO SEM FATURAR",IF(AND(P2638&lt;&gt;"",S2638="",OR(Q2638="",R2638="")),"🟡 PENDÊNCIA SEM RESPONSÁVEL/PRAZO",IF(AND(ISNUMBER(R2638),R2638=TODAY()),"🟡 VENCE HOJE",IF(AND(P2638&lt;&gt;"",S2638=""),"🟡 PENDÊNCIA ABERTA",IF(AND(N(J2638)&gt;0,N(K2638)&lt;J2638),"🟡 FALTA EXECUTAR",IF(OR(M2638="PENDENTE",M2638="PARCIAL"),"🟡 FATURAMENTO PENDENTE","🟡 EMBARQUE PENDENTE")))))))))))</f>
        <v/>
      </c>
      <c r="D2638" s="4" t="n"/>
      <c r="E2638" s="5" t="n"/>
      <c r="F2638" s="5" t="n"/>
      <c r="G2638" s="5" t="n"/>
      <c r="H2638" s="5" t="n"/>
      <c r="I2638" s="5" t="n"/>
      <c r="J2638" s="6" t="n"/>
      <c r="K2638" s="6" t="n"/>
      <c r="L2638" s="7">
        <f>IF(OR(D2638="",N(J2638)=0),"",MIN(1,N(K2638)/J2638))</f>
        <v/>
      </c>
      <c r="M2638" s="5" t="n"/>
      <c r="N2638" s="5" t="n"/>
      <c r="O2638" s="5" t="n"/>
      <c r="P2638" s="5" t="n"/>
      <c r="Q2638" s="5" t="n"/>
      <c r="R2638" s="4" t="n"/>
      <c r="S2638" s="4" t="n"/>
      <c r="T2638" s="5" t="n"/>
      <c r="U2638" s="8">
        <f>IF(AND(V2638=1,D2638&lt;&gt;""),IF(D2638&gt;=corte,TODAY()-D2638,""),"")</f>
        <v/>
      </c>
      <c r="V2638" s="8">
        <f>IF(D2638="",0,IF(OR(AND(P2638&lt;&gt;"",S2638=""),AND(N(J2638)&gt;0,N(K2638)&lt;J2638),OR(M2638="PENDENTE",M2638="PARCIAL"),OR(N2638="PENDENTE",N2638="PARCIAL")),1,0))</f>
        <v/>
      </c>
      <c r="W2638" s="8">
        <f>IF(AND(V2638=1,D2638&lt;&gt;""),IF(D2638&gt;=corte,(B2638="CRÍTICO")*1E9+(100000-D2638)*10000+10000-ROW(),""),"")</f>
        <v/>
      </c>
      <c r="X2638" s="8">
        <f>IF(AND(V2638=1,D2638=pas_data,E2638=pas_turno),10000-ROW(),"")</f>
        <v/>
      </c>
    </row>
    <row r="2639">
      <c r="A2639" s="3">
        <f>IF(D2639="","","TT-"&amp;TEXT(ROW()-1,"00000"))</f>
        <v/>
      </c>
      <c r="B2639" s="3">
        <f>IF(D2639="","",IF(V2639=0,"CONCLUÍDO",IF(D2639&lt;corte,"HISTÓRICO",IF(OR(AND(ISNUMBER(R2639),R2639&lt;TODAY()),AND(OR(N2639="PENDENTE",N2639="PARCIAL"),D2639&lt;TODAY()-1)),"CRÍTICO",IF(OR(AND(P2639&lt;&gt;"",S2639=""),AND(N2639="REALIZADO",M2639="PENDENTE"),AND(ISNUMBER(R2639),R2639=TODAY())),"ATENÇÃO",IF(N(K2639)=0,"PENDENTE","EM ANDAMENTO"))))))</f>
        <v/>
      </c>
      <c r="C2639" s="3">
        <f>IF(D2639="","",IF(V2639=0,"🟢 OK",IF(D2639&lt;corte,"⚪ HISTÓRICO (sem baixa)",IF(AND(ISNUMBER(R2639),R2639&lt;TODAY()),"🔴 PRAZO VENCIDO",IF(AND(OR(N2639="PENDENTE",N2639="PARCIAL"),D2639&lt;TODAY()-1),"🔴 EMBARQUE ATRASADO",IF(AND(N2639="REALIZADO",M2639="PENDENTE"),"🟡 EMBARCADO SEM FATURAR",IF(AND(P2639&lt;&gt;"",S2639="",OR(Q2639="",R2639="")),"🟡 PENDÊNCIA SEM RESPONSÁVEL/PRAZO",IF(AND(ISNUMBER(R2639),R2639=TODAY()),"🟡 VENCE HOJE",IF(AND(P2639&lt;&gt;"",S2639=""),"🟡 PENDÊNCIA ABERTA",IF(AND(N(J2639)&gt;0,N(K2639)&lt;J2639),"🟡 FALTA EXECUTAR",IF(OR(M2639="PENDENTE",M2639="PARCIAL"),"🟡 FATURAMENTO PENDENTE","🟡 EMBARQUE PENDENTE")))))))))))</f>
        <v/>
      </c>
      <c r="D2639" s="4" t="n"/>
      <c r="E2639" s="5" t="n"/>
      <c r="F2639" s="5" t="n"/>
      <c r="G2639" s="5" t="n"/>
      <c r="H2639" s="5" t="n"/>
      <c r="I2639" s="5" t="n"/>
      <c r="J2639" s="6" t="n"/>
      <c r="K2639" s="6" t="n"/>
      <c r="L2639" s="7">
        <f>IF(OR(D2639="",N(J2639)=0),"",MIN(1,N(K2639)/J2639))</f>
        <v/>
      </c>
      <c r="M2639" s="5" t="n"/>
      <c r="N2639" s="5" t="n"/>
      <c r="O2639" s="5" t="n"/>
      <c r="P2639" s="5" t="n"/>
      <c r="Q2639" s="5" t="n"/>
      <c r="R2639" s="4" t="n"/>
      <c r="S2639" s="4" t="n"/>
      <c r="T2639" s="5" t="n"/>
      <c r="U2639" s="8">
        <f>IF(AND(V2639=1,D2639&lt;&gt;""),IF(D2639&gt;=corte,TODAY()-D2639,""),"")</f>
        <v/>
      </c>
      <c r="V2639" s="8">
        <f>IF(D2639="",0,IF(OR(AND(P2639&lt;&gt;"",S2639=""),AND(N(J2639)&gt;0,N(K2639)&lt;J2639),OR(M2639="PENDENTE",M2639="PARCIAL"),OR(N2639="PENDENTE",N2639="PARCIAL")),1,0))</f>
        <v/>
      </c>
      <c r="W2639" s="8">
        <f>IF(AND(V2639=1,D2639&lt;&gt;""),IF(D2639&gt;=corte,(B2639="CRÍTICO")*1E9+(100000-D2639)*10000+10000-ROW(),""),"")</f>
        <v/>
      </c>
      <c r="X2639" s="8">
        <f>IF(AND(V2639=1,D2639=pas_data,E2639=pas_turno),10000-ROW(),"")</f>
        <v/>
      </c>
    </row>
    <row r="2640">
      <c r="A2640" s="3">
        <f>IF(D2640="","","TT-"&amp;TEXT(ROW()-1,"00000"))</f>
        <v/>
      </c>
      <c r="B2640" s="3">
        <f>IF(D2640="","",IF(V2640=0,"CONCLUÍDO",IF(D2640&lt;corte,"HISTÓRICO",IF(OR(AND(ISNUMBER(R2640),R2640&lt;TODAY()),AND(OR(N2640="PENDENTE",N2640="PARCIAL"),D2640&lt;TODAY()-1)),"CRÍTICO",IF(OR(AND(P2640&lt;&gt;"",S2640=""),AND(N2640="REALIZADO",M2640="PENDENTE"),AND(ISNUMBER(R2640),R2640=TODAY())),"ATENÇÃO",IF(N(K2640)=0,"PENDENTE","EM ANDAMENTO"))))))</f>
        <v/>
      </c>
      <c r="C2640" s="3">
        <f>IF(D2640="","",IF(V2640=0,"🟢 OK",IF(D2640&lt;corte,"⚪ HISTÓRICO (sem baixa)",IF(AND(ISNUMBER(R2640),R2640&lt;TODAY()),"🔴 PRAZO VENCIDO",IF(AND(OR(N2640="PENDENTE",N2640="PARCIAL"),D2640&lt;TODAY()-1),"🔴 EMBARQUE ATRASADO",IF(AND(N2640="REALIZADO",M2640="PENDENTE"),"🟡 EMBARCADO SEM FATURAR",IF(AND(P2640&lt;&gt;"",S2640="",OR(Q2640="",R2640="")),"🟡 PENDÊNCIA SEM RESPONSÁVEL/PRAZO",IF(AND(ISNUMBER(R2640),R2640=TODAY()),"🟡 VENCE HOJE",IF(AND(P2640&lt;&gt;"",S2640=""),"🟡 PENDÊNCIA ABERTA",IF(AND(N(J2640)&gt;0,N(K2640)&lt;J2640),"🟡 FALTA EXECUTAR",IF(OR(M2640="PENDENTE",M2640="PARCIAL"),"🟡 FATURAMENTO PENDENTE","🟡 EMBARQUE PENDENTE")))))))))))</f>
        <v/>
      </c>
      <c r="D2640" s="4" t="n"/>
      <c r="E2640" s="5" t="n"/>
      <c r="F2640" s="5" t="n"/>
      <c r="G2640" s="5" t="n"/>
      <c r="H2640" s="5" t="n"/>
      <c r="I2640" s="5" t="n"/>
      <c r="J2640" s="6" t="n"/>
      <c r="K2640" s="6" t="n"/>
      <c r="L2640" s="7">
        <f>IF(OR(D2640="",N(J2640)=0),"",MIN(1,N(K2640)/J2640))</f>
        <v/>
      </c>
      <c r="M2640" s="5" t="n"/>
      <c r="N2640" s="5" t="n"/>
      <c r="O2640" s="5" t="n"/>
      <c r="P2640" s="5" t="n"/>
      <c r="Q2640" s="5" t="n"/>
      <c r="R2640" s="4" t="n"/>
      <c r="S2640" s="4" t="n"/>
      <c r="T2640" s="5" t="n"/>
      <c r="U2640" s="8">
        <f>IF(AND(V2640=1,D2640&lt;&gt;""),IF(D2640&gt;=corte,TODAY()-D2640,""),"")</f>
        <v/>
      </c>
      <c r="V2640" s="8">
        <f>IF(D2640="",0,IF(OR(AND(P2640&lt;&gt;"",S2640=""),AND(N(J2640)&gt;0,N(K2640)&lt;J2640),OR(M2640="PENDENTE",M2640="PARCIAL"),OR(N2640="PENDENTE",N2640="PARCIAL")),1,0))</f>
        <v/>
      </c>
      <c r="W2640" s="8">
        <f>IF(AND(V2640=1,D2640&lt;&gt;""),IF(D2640&gt;=corte,(B2640="CRÍTICO")*1E9+(100000-D2640)*10000+10000-ROW(),""),"")</f>
        <v/>
      </c>
      <c r="X2640" s="8">
        <f>IF(AND(V2640=1,D2640=pas_data,E2640=pas_turno),10000-ROW(),"")</f>
        <v/>
      </c>
    </row>
    <row r="2641">
      <c r="A2641" s="3">
        <f>IF(D2641="","","TT-"&amp;TEXT(ROW()-1,"00000"))</f>
        <v/>
      </c>
      <c r="B2641" s="3">
        <f>IF(D2641="","",IF(V2641=0,"CONCLUÍDO",IF(D2641&lt;corte,"HISTÓRICO",IF(OR(AND(ISNUMBER(R2641),R2641&lt;TODAY()),AND(OR(N2641="PENDENTE",N2641="PARCIAL"),D2641&lt;TODAY()-1)),"CRÍTICO",IF(OR(AND(P2641&lt;&gt;"",S2641=""),AND(N2641="REALIZADO",M2641="PENDENTE"),AND(ISNUMBER(R2641),R2641=TODAY())),"ATENÇÃO",IF(N(K2641)=0,"PENDENTE","EM ANDAMENTO"))))))</f>
        <v/>
      </c>
      <c r="C2641" s="3">
        <f>IF(D2641="","",IF(V2641=0,"🟢 OK",IF(D2641&lt;corte,"⚪ HISTÓRICO (sem baixa)",IF(AND(ISNUMBER(R2641),R2641&lt;TODAY()),"🔴 PRAZO VENCIDO",IF(AND(OR(N2641="PENDENTE",N2641="PARCIAL"),D2641&lt;TODAY()-1),"🔴 EMBARQUE ATRASADO",IF(AND(N2641="REALIZADO",M2641="PENDENTE"),"🟡 EMBARCADO SEM FATURAR",IF(AND(P2641&lt;&gt;"",S2641="",OR(Q2641="",R2641="")),"🟡 PENDÊNCIA SEM RESPONSÁVEL/PRAZO",IF(AND(ISNUMBER(R2641),R2641=TODAY()),"🟡 VENCE HOJE",IF(AND(P2641&lt;&gt;"",S2641=""),"🟡 PENDÊNCIA ABERTA",IF(AND(N(J2641)&gt;0,N(K2641)&lt;J2641),"🟡 FALTA EXECUTAR",IF(OR(M2641="PENDENTE",M2641="PARCIAL"),"🟡 FATURAMENTO PENDENTE","🟡 EMBARQUE PENDENTE")))))))))))</f>
        <v/>
      </c>
      <c r="D2641" s="4" t="n"/>
      <c r="E2641" s="5" t="n"/>
      <c r="F2641" s="5" t="n"/>
      <c r="G2641" s="5" t="n"/>
      <c r="H2641" s="5" t="n"/>
      <c r="I2641" s="5" t="n"/>
      <c r="J2641" s="6" t="n"/>
      <c r="K2641" s="6" t="n"/>
      <c r="L2641" s="7">
        <f>IF(OR(D2641="",N(J2641)=0),"",MIN(1,N(K2641)/J2641))</f>
        <v/>
      </c>
      <c r="M2641" s="5" t="n"/>
      <c r="N2641" s="5" t="n"/>
      <c r="O2641" s="5" t="n"/>
      <c r="P2641" s="5" t="n"/>
      <c r="Q2641" s="5" t="n"/>
      <c r="R2641" s="4" t="n"/>
      <c r="S2641" s="4" t="n"/>
      <c r="T2641" s="5" t="n"/>
      <c r="U2641" s="8">
        <f>IF(AND(V2641=1,D2641&lt;&gt;""),IF(D2641&gt;=corte,TODAY()-D2641,""),"")</f>
        <v/>
      </c>
      <c r="V2641" s="8">
        <f>IF(D2641="",0,IF(OR(AND(P2641&lt;&gt;"",S2641=""),AND(N(J2641)&gt;0,N(K2641)&lt;J2641),OR(M2641="PENDENTE",M2641="PARCIAL"),OR(N2641="PENDENTE",N2641="PARCIAL")),1,0))</f>
        <v/>
      </c>
      <c r="W2641" s="8">
        <f>IF(AND(V2641=1,D2641&lt;&gt;""),IF(D2641&gt;=corte,(B2641="CRÍTICO")*1E9+(100000-D2641)*10000+10000-ROW(),""),"")</f>
        <v/>
      </c>
      <c r="X2641" s="8">
        <f>IF(AND(V2641=1,D2641=pas_data,E2641=pas_turno),10000-ROW(),"")</f>
        <v/>
      </c>
    </row>
    <row r="2642">
      <c r="A2642" s="3">
        <f>IF(D2642="","","TT-"&amp;TEXT(ROW()-1,"00000"))</f>
        <v/>
      </c>
      <c r="B2642" s="3">
        <f>IF(D2642="","",IF(V2642=0,"CONCLUÍDO",IF(D2642&lt;corte,"HISTÓRICO",IF(OR(AND(ISNUMBER(R2642),R2642&lt;TODAY()),AND(OR(N2642="PENDENTE",N2642="PARCIAL"),D2642&lt;TODAY()-1)),"CRÍTICO",IF(OR(AND(P2642&lt;&gt;"",S2642=""),AND(N2642="REALIZADO",M2642="PENDENTE"),AND(ISNUMBER(R2642),R2642=TODAY())),"ATENÇÃO",IF(N(K2642)=0,"PENDENTE","EM ANDAMENTO"))))))</f>
        <v/>
      </c>
      <c r="C2642" s="3">
        <f>IF(D2642="","",IF(V2642=0,"🟢 OK",IF(D2642&lt;corte,"⚪ HISTÓRICO (sem baixa)",IF(AND(ISNUMBER(R2642),R2642&lt;TODAY()),"🔴 PRAZO VENCIDO",IF(AND(OR(N2642="PENDENTE",N2642="PARCIAL"),D2642&lt;TODAY()-1),"🔴 EMBARQUE ATRASADO",IF(AND(N2642="REALIZADO",M2642="PENDENTE"),"🟡 EMBARCADO SEM FATURAR",IF(AND(P2642&lt;&gt;"",S2642="",OR(Q2642="",R2642="")),"🟡 PENDÊNCIA SEM RESPONSÁVEL/PRAZO",IF(AND(ISNUMBER(R2642),R2642=TODAY()),"🟡 VENCE HOJE",IF(AND(P2642&lt;&gt;"",S2642=""),"🟡 PENDÊNCIA ABERTA",IF(AND(N(J2642)&gt;0,N(K2642)&lt;J2642),"🟡 FALTA EXECUTAR",IF(OR(M2642="PENDENTE",M2642="PARCIAL"),"🟡 FATURAMENTO PENDENTE","🟡 EMBARQUE PENDENTE")))))))))))</f>
        <v/>
      </c>
      <c r="D2642" s="4" t="n"/>
      <c r="E2642" s="5" t="n"/>
      <c r="F2642" s="5" t="n"/>
      <c r="G2642" s="5" t="n"/>
      <c r="H2642" s="5" t="n"/>
      <c r="I2642" s="5" t="n"/>
      <c r="J2642" s="6" t="n"/>
      <c r="K2642" s="6" t="n"/>
      <c r="L2642" s="7">
        <f>IF(OR(D2642="",N(J2642)=0),"",MIN(1,N(K2642)/J2642))</f>
        <v/>
      </c>
      <c r="M2642" s="5" t="n"/>
      <c r="N2642" s="5" t="n"/>
      <c r="O2642" s="5" t="n"/>
      <c r="P2642" s="5" t="n"/>
      <c r="Q2642" s="5" t="n"/>
      <c r="R2642" s="4" t="n"/>
      <c r="S2642" s="4" t="n"/>
      <c r="T2642" s="5" t="n"/>
      <c r="U2642" s="8">
        <f>IF(AND(V2642=1,D2642&lt;&gt;""),IF(D2642&gt;=corte,TODAY()-D2642,""),"")</f>
        <v/>
      </c>
      <c r="V2642" s="8">
        <f>IF(D2642="",0,IF(OR(AND(P2642&lt;&gt;"",S2642=""),AND(N(J2642)&gt;0,N(K2642)&lt;J2642),OR(M2642="PENDENTE",M2642="PARCIAL"),OR(N2642="PENDENTE",N2642="PARCIAL")),1,0))</f>
        <v/>
      </c>
      <c r="W2642" s="8">
        <f>IF(AND(V2642=1,D2642&lt;&gt;""),IF(D2642&gt;=corte,(B2642="CRÍTICO")*1E9+(100000-D2642)*10000+10000-ROW(),""),"")</f>
        <v/>
      </c>
      <c r="X2642" s="8">
        <f>IF(AND(V2642=1,D2642=pas_data,E2642=pas_turno),10000-ROW(),"")</f>
        <v/>
      </c>
    </row>
    <row r="2643">
      <c r="A2643" s="3">
        <f>IF(D2643="","","TT-"&amp;TEXT(ROW()-1,"00000"))</f>
        <v/>
      </c>
      <c r="B2643" s="3">
        <f>IF(D2643="","",IF(V2643=0,"CONCLUÍDO",IF(D2643&lt;corte,"HISTÓRICO",IF(OR(AND(ISNUMBER(R2643),R2643&lt;TODAY()),AND(OR(N2643="PENDENTE",N2643="PARCIAL"),D2643&lt;TODAY()-1)),"CRÍTICO",IF(OR(AND(P2643&lt;&gt;"",S2643=""),AND(N2643="REALIZADO",M2643="PENDENTE"),AND(ISNUMBER(R2643),R2643=TODAY())),"ATENÇÃO",IF(N(K2643)=0,"PENDENTE","EM ANDAMENTO"))))))</f>
        <v/>
      </c>
      <c r="C2643" s="3">
        <f>IF(D2643="","",IF(V2643=0,"🟢 OK",IF(D2643&lt;corte,"⚪ HISTÓRICO (sem baixa)",IF(AND(ISNUMBER(R2643),R2643&lt;TODAY()),"🔴 PRAZO VENCIDO",IF(AND(OR(N2643="PENDENTE",N2643="PARCIAL"),D2643&lt;TODAY()-1),"🔴 EMBARQUE ATRASADO",IF(AND(N2643="REALIZADO",M2643="PENDENTE"),"🟡 EMBARCADO SEM FATURAR",IF(AND(P2643&lt;&gt;"",S2643="",OR(Q2643="",R2643="")),"🟡 PENDÊNCIA SEM RESPONSÁVEL/PRAZO",IF(AND(ISNUMBER(R2643),R2643=TODAY()),"🟡 VENCE HOJE",IF(AND(P2643&lt;&gt;"",S2643=""),"🟡 PENDÊNCIA ABERTA",IF(AND(N(J2643)&gt;0,N(K2643)&lt;J2643),"🟡 FALTA EXECUTAR",IF(OR(M2643="PENDENTE",M2643="PARCIAL"),"🟡 FATURAMENTO PENDENTE","🟡 EMBARQUE PENDENTE")))))))))))</f>
        <v/>
      </c>
      <c r="D2643" s="4" t="n"/>
      <c r="E2643" s="5" t="n"/>
      <c r="F2643" s="5" t="n"/>
      <c r="G2643" s="5" t="n"/>
      <c r="H2643" s="5" t="n"/>
      <c r="I2643" s="5" t="n"/>
      <c r="J2643" s="6" t="n"/>
      <c r="K2643" s="6" t="n"/>
      <c r="L2643" s="7">
        <f>IF(OR(D2643="",N(J2643)=0),"",MIN(1,N(K2643)/J2643))</f>
        <v/>
      </c>
      <c r="M2643" s="5" t="n"/>
      <c r="N2643" s="5" t="n"/>
      <c r="O2643" s="5" t="n"/>
      <c r="P2643" s="5" t="n"/>
      <c r="Q2643" s="5" t="n"/>
      <c r="R2643" s="4" t="n"/>
      <c r="S2643" s="4" t="n"/>
      <c r="T2643" s="5" t="n"/>
      <c r="U2643" s="8">
        <f>IF(AND(V2643=1,D2643&lt;&gt;""),IF(D2643&gt;=corte,TODAY()-D2643,""),"")</f>
        <v/>
      </c>
      <c r="V2643" s="8">
        <f>IF(D2643="",0,IF(OR(AND(P2643&lt;&gt;"",S2643=""),AND(N(J2643)&gt;0,N(K2643)&lt;J2643),OR(M2643="PENDENTE",M2643="PARCIAL"),OR(N2643="PENDENTE",N2643="PARCIAL")),1,0))</f>
        <v/>
      </c>
      <c r="W2643" s="8">
        <f>IF(AND(V2643=1,D2643&lt;&gt;""),IF(D2643&gt;=corte,(B2643="CRÍTICO")*1E9+(100000-D2643)*10000+10000-ROW(),""),"")</f>
        <v/>
      </c>
      <c r="X2643" s="8">
        <f>IF(AND(V2643=1,D2643=pas_data,E2643=pas_turno),10000-ROW(),"")</f>
        <v/>
      </c>
    </row>
    <row r="2644">
      <c r="A2644" s="3">
        <f>IF(D2644="","","TT-"&amp;TEXT(ROW()-1,"00000"))</f>
        <v/>
      </c>
      <c r="B2644" s="3">
        <f>IF(D2644="","",IF(V2644=0,"CONCLUÍDO",IF(D2644&lt;corte,"HISTÓRICO",IF(OR(AND(ISNUMBER(R2644),R2644&lt;TODAY()),AND(OR(N2644="PENDENTE",N2644="PARCIAL"),D2644&lt;TODAY()-1)),"CRÍTICO",IF(OR(AND(P2644&lt;&gt;"",S2644=""),AND(N2644="REALIZADO",M2644="PENDENTE"),AND(ISNUMBER(R2644),R2644=TODAY())),"ATENÇÃO",IF(N(K2644)=0,"PENDENTE","EM ANDAMENTO"))))))</f>
        <v/>
      </c>
      <c r="C2644" s="3">
        <f>IF(D2644="","",IF(V2644=0,"🟢 OK",IF(D2644&lt;corte,"⚪ HISTÓRICO (sem baixa)",IF(AND(ISNUMBER(R2644),R2644&lt;TODAY()),"🔴 PRAZO VENCIDO",IF(AND(OR(N2644="PENDENTE",N2644="PARCIAL"),D2644&lt;TODAY()-1),"🔴 EMBARQUE ATRASADO",IF(AND(N2644="REALIZADO",M2644="PENDENTE"),"🟡 EMBARCADO SEM FATURAR",IF(AND(P2644&lt;&gt;"",S2644="",OR(Q2644="",R2644="")),"🟡 PENDÊNCIA SEM RESPONSÁVEL/PRAZO",IF(AND(ISNUMBER(R2644),R2644=TODAY()),"🟡 VENCE HOJE",IF(AND(P2644&lt;&gt;"",S2644=""),"🟡 PENDÊNCIA ABERTA",IF(AND(N(J2644)&gt;0,N(K2644)&lt;J2644),"🟡 FALTA EXECUTAR",IF(OR(M2644="PENDENTE",M2644="PARCIAL"),"🟡 FATURAMENTO PENDENTE","🟡 EMBARQUE PENDENTE")))))))))))</f>
        <v/>
      </c>
      <c r="D2644" s="4" t="n"/>
      <c r="E2644" s="5" t="n"/>
      <c r="F2644" s="5" t="n"/>
      <c r="G2644" s="5" t="n"/>
      <c r="H2644" s="5" t="n"/>
      <c r="I2644" s="5" t="n"/>
      <c r="J2644" s="6" t="n"/>
      <c r="K2644" s="6" t="n"/>
      <c r="L2644" s="7">
        <f>IF(OR(D2644="",N(J2644)=0),"",MIN(1,N(K2644)/J2644))</f>
        <v/>
      </c>
      <c r="M2644" s="5" t="n"/>
      <c r="N2644" s="5" t="n"/>
      <c r="O2644" s="5" t="n"/>
      <c r="P2644" s="5" t="n"/>
      <c r="Q2644" s="5" t="n"/>
      <c r="R2644" s="4" t="n"/>
      <c r="S2644" s="4" t="n"/>
      <c r="T2644" s="5" t="n"/>
      <c r="U2644" s="8">
        <f>IF(AND(V2644=1,D2644&lt;&gt;""),IF(D2644&gt;=corte,TODAY()-D2644,""),"")</f>
        <v/>
      </c>
      <c r="V2644" s="8">
        <f>IF(D2644="",0,IF(OR(AND(P2644&lt;&gt;"",S2644=""),AND(N(J2644)&gt;0,N(K2644)&lt;J2644),OR(M2644="PENDENTE",M2644="PARCIAL"),OR(N2644="PENDENTE",N2644="PARCIAL")),1,0))</f>
        <v/>
      </c>
      <c r="W2644" s="8">
        <f>IF(AND(V2644=1,D2644&lt;&gt;""),IF(D2644&gt;=corte,(B2644="CRÍTICO")*1E9+(100000-D2644)*10000+10000-ROW(),""),"")</f>
        <v/>
      </c>
      <c r="X2644" s="8">
        <f>IF(AND(V2644=1,D2644=pas_data,E2644=pas_turno),10000-ROW(),"")</f>
        <v/>
      </c>
    </row>
    <row r="2645">
      <c r="A2645" s="3">
        <f>IF(D2645="","","TT-"&amp;TEXT(ROW()-1,"00000"))</f>
        <v/>
      </c>
      <c r="B2645" s="3">
        <f>IF(D2645="","",IF(V2645=0,"CONCLUÍDO",IF(D2645&lt;corte,"HISTÓRICO",IF(OR(AND(ISNUMBER(R2645),R2645&lt;TODAY()),AND(OR(N2645="PENDENTE",N2645="PARCIAL"),D2645&lt;TODAY()-1)),"CRÍTICO",IF(OR(AND(P2645&lt;&gt;"",S2645=""),AND(N2645="REALIZADO",M2645="PENDENTE"),AND(ISNUMBER(R2645),R2645=TODAY())),"ATENÇÃO",IF(N(K2645)=0,"PENDENTE","EM ANDAMENTO"))))))</f>
        <v/>
      </c>
      <c r="C2645" s="3">
        <f>IF(D2645="","",IF(V2645=0,"🟢 OK",IF(D2645&lt;corte,"⚪ HISTÓRICO (sem baixa)",IF(AND(ISNUMBER(R2645),R2645&lt;TODAY()),"🔴 PRAZO VENCIDO",IF(AND(OR(N2645="PENDENTE",N2645="PARCIAL"),D2645&lt;TODAY()-1),"🔴 EMBARQUE ATRASADO",IF(AND(N2645="REALIZADO",M2645="PENDENTE"),"🟡 EMBARCADO SEM FATURAR",IF(AND(P2645&lt;&gt;"",S2645="",OR(Q2645="",R2645="")),"🟡 PENDÊNCIA SEM RESPONSÁVEL/PRAZO",IF(AND(ISNUMBER(R2645),R2645=TODAY()),"🟡 VENCE HOJE",IF(AND(P2645&lt;&gt;"",S2645=""),"🟡 PENDÊNCIA ABERTA",IF(AND(N(J2645)&gt;0,N(K2645)&lt;J2645),"🟡 FALTA EXECUTAR",IF(OR(M2645="PENDENTE",M2645="PARCIAL"),"🟡 FATURAMENTO PENDENTE","🟡 EMBARQUE PENDENTE")))))))))))</f>
        <v/>
      </c>
      <c r="D2645" s="4" t="n"/>
      <c r="E2645" s="5" t="n"/>
      <c r="F2645" s="5" t="n"/>
      <c r="G2645" s="5" t="n"/>
      <c r="H2645" s="5" t="n"/>
      <c r="I2645" s="5" t="n"/>
      <c r="J2645" s="6" t="n"/>
      <c r="K2645" s="6" t="n"/>
      <c r="L2645" s="7">
        <f>IF(OR(D2645="",N(J2645)=0),"",MIN(1,N(K2645)/J2645))</f>
        <v/>
      </c>
      <c r="M2645" s="5" t="n"/>
      <c r="N2645" s="5" t="n"/>
      <c r="O2645" s="5" t="n"/>
      <c r="P2645" s="5" t="n"/>
      <c r="Q2645" s="5" t="n"/>
      <c r="R2645" s="4" t="n"/>
      <c r="S2645" s="4" t="n"/>
      <c r="T2645" s="5" t="n"/>
      <c r="U2645" s="8">
        <f>IF(AND(V2645=1,D2645&lt;&gt;""),IF(D2645&gt;=corte,TODAY()-D2645,""),"")</f>
        <v/>
      </c>
      <c r="V2645" s="8">
        <f>IF(D2645="",0,IF(OR(AND(P2645&lt;&gt;"",S2645=""),AND(N(J2645)&gt;0,N(K2645)&lt;J2645),OR(M2645="PENDENTE",M2645="PARCIAL"),OR(N2645="PENDENTE",N2645="PARCIAL")),1,0))</f>
        <v/>
      </c>
      <c r="W2645" s="8">
        <f>IF(AND(V2645=1,D2645&lt;&gt;""),IF(D2645&gt;=corte,(B2645="CRÍTICO")*1E9+(100000-D2645)*10000+10000-ROW(),""),"")</f>
        <v/>
      </c>
      <c r="X2645" s="8">
        <f>IF(AND(V2645=1,D2645=pas_data,E2645=pas_turno),10000-ROW(),"")</f>
        <v/>
      </c>
    </row>
    <row r="2646">
      <c r="A2646" s="3">
        <f>IF(D2646="","","TT-"&amp;TEXT(ROW()-1,"00000"))</f>
        <v/>
      </c>
      <c r="B2646" s="3">
        <f>IF(D2646="","",IF(V2646=0,"CONCLUÍDO",IF(D2646&lt;corte,"HISTÓRICO",IF(OR(AND(ISNUMBER(R2646),R2646&lt;TODAY()),AND(OR(N2646="PENDENTE",N2646="PARCIAL"),D2646&lt;TODAY()-1)),"CRÍTICO",IF(OR(AND(P2646&lt;&gt;"",S2646=""),AND(N2646="REALIZADO",M2646="PENDENTE"),AND(ISNUMBER(R2646),R2646=TODAY())),"ATENÇÃO",IF(N(K2646)=0,"PENDENTE","EM ANDAMENTO"))))))</f>
        <v/>
      </c>
      <c r="C2646" s="3">
        <f>IF(D2646="","",IF(V2646=0,"🟢 OK",IF(D2646&lt;corte,"⚪ HISTÓRICO (sem baixa)",IF(AND(ISNUMBER(R2646),R2646&lt;TODAY()),"🔴 PRAZO VENCIDO",IF(AND(OR(N2646="PENDENTE",N2646="PARCIAL"),D2646&lt;TODAY()-1),"🔴 EMBARQUE ATRASADO",IF(AND(N2646="REALIZADO",M2646="PENDENTE"),"🟡 EMBARCADO SEM FATURAR",IF(AND(P2646&lt;&gt;"",S2646="",OR(Q2646="",R2646="")),"🟡 PENDÊNCIA SEM RESPONSÁVEL/PRAZO",IF(AND(ISNUMBER(R2646),R2646=TODAY()),"🟡 VENCE HOJE",IF(AND(P2646&lt;&gt;"",S2646=""),"🟡 PENDÊNCIA ABERTA",IF(AND(N(J2646)&gt;0,N(K2646)&lt;J2646),"🟡 FALTA EXECUTAR",IF(OR(M2646="PENDENTE",M2646="PARCIAL"),"🟡 FATURAMENTO PENDENTE","🟡 EMBARQUE PENDENTE")))))))))))</f>
        <v/>
      </c>
      <c r="D2646" s="4" t="n"/>
      <c r="E2646" s="5" t="n"/>
      <c r="F2646" s="5" t="n"/>
      <c r="G2646" s="5" t="n"/>
      <c r="H2646" s="5" t="n"/>
      <c r="I2646" s="5" t="n"/>
      <c r="J2646" s="6" t="n"/>
      <c r="K2646" s="6" t="n"/>
      <c r="L2646" s="7">
        <f>IF(OR(D2646="",N(J2646)=0),"",MIN(1,N(K2646)/J2646))</f>
        <v/>
      </c>
      <c r="M2646" s="5" t="n"/>
      <c r="N2646" s="5" t="n"/>
      <c r="O2646" s="5" t="n"/>
      <c r="P2646" s="5" t="n"/>
      <c r="Q2646" s="5" t="n"/>
      <c r="R2646" s="4" t="n"/>
      <c r="S2646" s="4" t="n"/>
      <c r="T2646" s="5" t="n"/>
      <c r="U2646" s="8">
        <f>IF(AND(V2646=1,D2646&lt;&gt;""),IF(D2646&gt;=corte,TODAY()-D2646,""),"")</f>
        <v/>
      </c>
      <c r="V2646" s="8">
        <f>IF(D2646="",0,IF(OR(AND(P2646&lt;&gt;"",S2646=""),AND(N(J2646)&gt;0,N(K2646)&lt;J2646),OR(M2646="PENDENTE",M2646="PARCIAL"),OR(N2646="PENDENTE",N2646="PARCIAL")),1,0))</f>
        <v/>
      </c>
      <c r="W2646" s="8">
        <f>IF(AND(V2646=1,D2646&lt;&gt;""),IF(D2646&gt;=corte,(B2646="CRÍTICO")*1E9+(100000-D2646)*10000+10000-ROW(),""),"")</f>
        <v/>
      </c>
      <c r="X2646" s="8">
        <f>IF(AND(V2646=1,D2646=pas_data,E2646=pas_turno),10000-ROW(),"")</f>
        <v/>
      </c>
    </row>
    <row r="2647">
      <c r="A2647" s="3">
        <f>IF(D2647="","","TT-"&amp;TEXT(ROW()-1,"00000"))</f>
        <v/>
      </c>
      <c r="B2647" s="3">
        <f>IF(D2647="","",IF(V2647=0,"CONCLUÍDO",IF(D2647&lt;corte,"HISTÓRICO",IF(OR(AND(ISNUMBER(R2647),R2647&lt;TODAY()),AND(OR(N2647="PENDENTE",N2647="PARCIAL"),D2647&lt;TODAY()-1)),"CRÍTICO",IF(OR(AND(P2647&lt;&gt;"",S2647=""),AND(N2647="REALIZADO",M2647="PENDENTE"),AND(ISNUMBER(R2647),R2647=TODAY())),"ATENÇÃO",IF(N(K2647)=0,"PENDENTE","EM ANDAMENTO"))))))</f>
        <v/>
      </c>
      <c r="C2647" s="3">
        <f>IF(D2647="","",IF(V2647=0,"🟢 OK",IF(D2647&lt;corte,"⚪ HISTÓRICO (sem baixa)",IF(AND(ISNUMBER(R2647),R2647&lt;TODAY()),"🔴 PRAZO VENCIDO",IF(AND(OR(N2647="PENDENTE",N2647="PARCIAL"),D2647&lt;TODAY()-1),"🔴 EMBARQUE ATRASADO",IF(AND(N2647="REALIZADO",M2647="PENDENTE"),"🟡 EMBARCADO SEM FATURAR",IF(AND(P2647&lt;&gt;"",S2647="",OR(Q2647="",R2647="")),"🟡 PENDÊNCIA SEM RESPONSÁVEL/PRAZO",IF(AND(ISNUMBER(R2647),R2647=TODAY()),"🟡 VENCE HOJE",IF(AND(P2647&lt;&gt;"",S2647=""),"🟡 PENDÊNCIA ABERTA",IF(AND(N(J2647)&gt;0,N(K2647)&lt;J2647),"🟡 FALTA EXECUTAR",IF(OR(M2647="PENDENTE",M2647="PARCIAL"),"🟡 FATURAMENTO PENDENTE","🟡 EMBARQUE PENDENTE")))))))))))</f>
        <v/>
      </c>
      <c r="D2647" s="4" t="n"/>
      <c r="E2647" s="5" t="n"/>
      <c r="F2647" s="5" t="n"/>
      <c r="G2647" s="5" t="n"/>
      <c r="H2647" s="5" t="n"/>
      <c r="I2647" s="5" t="n"/>
      <c r="J2647" s="6" t="n"/>
      <c r="K2647" s="6" t="n"/>
      <c r="L2647" s="7">
        <f>IF(OR(D2647="",N(J2647)=0),"",MIN(1,N(K2647)/J2647))</f>
        <v/>
      </c>
      <c r="M2647" s="5" t="n"/>
      <c r="N2647" s="5" t="n"/>
      <c r="O2647" s="5" t="n"/>
      <c r="P2647" s="5" t="n"/>
      <c r="Q2647" s="5" t="n"/>
      <c r="R2647" s="4" t="n"/>
      <c r="S2647" s="4" t="n"/>
      <c r="T2647" s="5" t="n"/>
      <c r="U2647" s="8">
        <f>IF(AND(V2647=1,D2647&lt;&gt;""),IF(D2647&gt;=corte,TODAY()-D2647,""),"")</f>
        <v/>
      </c>
      <c r="V2647" s="8">
        <f>IF(D2647="",0,IF(OR(AND(P2647&lt;&gt;"",S2647=""),AND(N(J2647)&gt;0,N(K2647)&lt;J2647),OR(M2647="PENDENTE",M2647="PARCIAL"),OR(N2647="PENDENTE",N2647="PARCIAL")),1,0))</f>
        <v/>
      </c>
      <c r="W2647" s="8">
        <f>IF(AND(V2647=1,D2647&lt;&gt;""),IF(D2647&gt;=corte,(B2647="CRÍTICO")*1E9+(100000-D2647)*10000+10000-ROW(),""),"")</f>
        <v/>
      </c>
      <c r="X2647" s="8">
        <f>IF(AND(V2647=1,D2647=pas_data,E2647=pas_turno),10000-ROW(),"")</f>
        <v/>
      </c>
    </row>
    <row r="2648">
      <c r="A2648" s="3">
        <f>IF(D2648="","","TT-"&amp;TEXT(ROW()-1,"00000"))</f>
        <v/>
      </c>
      <c r="B2648" s="3">
        <f>IF(D2648="","",IF(V2648=0,"CONCLUÍDO",IF(D2648&lt;corte,"HISTÓRICO",IF(OR(AND(ISNUMBER(R2648),R2648&lt;TODAY()),AND(OR(N2648="PENDENTE",N2648="PARCIAL"),D2648&lt;TODAY()-1)),"CRÍTICO",IF(OR(AND(P2648&lt;&gt;"",S2648=""),AND(N2648="REALIZADO",M2648="PENDENTE"),AND(ISNUMBER(R2648),R2648=TODAY())),"ATENÇÃO",IF(N(K2648)=0,"PENDENTE","EM ANDAMENTO"))))))</f>
        <v/>
      </c>
      <c r="C2648" s="3">
        <f>IF(D2648="","",IF(V2648=0,"🟢 OK",IF(D2648&lt;corte,"⚪ HISTÓRICO (sem baixa)",IF(AND(ISNUMBER(R2648),R2648&lt;TODAY()),"🔴 PRAZO VENCIDO",IF(AND(OR(N2648="PENDENTE",N2648="PARCIAL"),D2648&lt;TODAY()-1),"🔴 EMBARQUE ATRASADO",IF(AND(N2648="REALIZADO",M2648="PENDENTE"),"🟡 EMBARCADO SEM FATURAR",IF(AND(P2648&lt;&gt;"",S2648="",OR(Q2648="",R2648="")),"🟡 PENDÊNCIA SEM RESPONSÁVEL/PRAZO",IF(AND(ISNUMBER(R2648),R2648=TODAY()),"🟡 VENCE HOJE",IF(AND(P2648&lt;&gt;"",S2648=""),"🟡 PENDÊNCIA ABERTA",IF(AND(N(J2648)&gt;0,N(K2648)&lt;J2648),"🟡 FALTA EXECUTAR",IF(OR(M2648="PENDENTE",M2648="PARCIAL"),"🟡 FATURAMENTO PENDENTE","🟡 EMBARQUE PENDENTE")))))))))))</f>
        <v/>
      </c>
      <c r="D2648" s="4" t="n"/>
      <c r="E2648" s="5" t="n"/>
      <c r="F2648" s="5" t="n"/>
      <c r="G2648" s="5" t="n"/>
      <c r="H2648" s="5" t="n"/>
      <c r="I2648" s="5" t="n"/>
      <c r="J2648" s="6" t="n"/>
      <c r="K2648" s="6" t="n"/>
      <c r="L2648" s="7">
        <f>IF(OR(D2648="",N(J2648)=0),"",MIN(1,N(K2648)/J2648))</f>
        <v/>
      </c>
      <c r="M2648" s="5" t="n"/>
      <c r="N2648" s="5" t="n"/>
      <c r="O2648" s="5" t="n"/>
      <c r="P2648" s="5" t="n"/>
      <c r="Q2648" s="5" t="n"/>
      <c r="R2648" s="4" t="n"/>
      <c r="S2648" s="4" t="n"/>
      <c r="T2648" s="5" t="n"/>
      <c r="U2648" s="8">
        <f>IF(AND(V2648=1,D2648&lt;&gt;""),IF(D2648&gt;=corte,TODAY()-D2648,""),"")</f>
        <v/>
      </c>
      <c r="V2648" s="8">
        <f>IF(D2648="",0,IF(OR(AND(P2648&lt;&gt;"",S2648=""),AND(N(J2648)&gt;0,N(K2648)&lt;J2648),OR(M2648="PENDENTE",M2648="PARCIAL"),OR(N2648="PENDENTE",N2648="PARCIAL")),1,0))</f>
        <v/>
      </c>
      <c r="W2648" s="8">
        <f>IF(AND(V2648=1,D2648&lt;&gt;""),IF(D2648&gt;=corte,(B2648="CRÍTICO")*1E9+(100000-D2648)*10000+10000-ROW(),""),"")</f>
        <v/>
      </c>
      <c r="X2648" s="8">
        <f>IF(AND(V2648=1,D2648=pas_data,E2648=pas_turno),10000-ROW(),"")</f>
        <v/>
      </c>
    </row>
    <row r="2649">
      <c r="A2649" s="3">
        <f>IF(D2649="","","TT-"&amp;TEXT(ROW()-1,"00000"))</f>
        <v/>
      </c>
      <c r="B2649" s="3">
        <f>IF(D2649="","",IF(V2649=0,"CONCLUÍDO",IF(D2649&lt;corte,"HISTÓRICO",IF(OR(AND(ISNUMBER(R2649),R2649&lt;TODAY()),AND(OR(N2649="PENDENTE",N2649="PARCIAL"),D2649&lt;TODAY()-1)),"CRÍTICO",IF(OR(AND(P2649&lt;&gt;"",S2649=""),AND(N2649="REALIZADO",M2649="PENDENTE"),AND(ISNUMBER(R2649),R2649=TODAY())),"ATENÇÃO",IF(N(K2649)=0,"PENDENTE","EM ANDAMENTO"))))))</f>
        <v/>
      </c>
      <c r="C2649" s="3">
        <f>IF(D2649="","",IF(V2649=0,"🟢 OK",IF(D2649&lt;corte,"⚪ HISTÓRICO (sem baixa)",IF(AND(ISNUMBER(R2649),R2649&lt;TODAY()),"🔴 PRAZO VENCIDO",IF(AND(OR(N2649="PENDENTE",N2649="PARCIAL"),D2649&lt;TODAY()-1),"🔴 EMBARQUE ATRASADO",IF(AND(N2649="REALIZADO",M2649="PENDENTE"),"🟡 EMBARCADO SEM FATURAR",IF(AND(P2649&lt;&gt;"",S2649="",OR(Q2649="",R2649="")),"🟡 PENDÊNCIA SEM RESPONSÁVEL/PRAZO",IF(AND(ISNUMBER(R2649),R2649=TODAY()),"🟡 VENCE HOJE",IF(AND(P2649&lt;&gt;"",S2649=""),"🟡 PENDÊNCIA ABERTA",IF(AND(N(J2649)&gt;0,N(K2649)&lt;J2649),"🟡 FALTA EXECUTAR",IF(OR(M2649="PENDENTE",M2649="PARCIAL"),"🟡 FATURAMENTO PENDENTE","🟡 EMBARQUE PENDENTE")))))))))))</f>
        <v/>
      </c>
      <c r="D2649" s="4" t="n"/>
      <c r="E2649" s="5" t="n"/>
      <c r="F2649" s="5" t="n"/>
      <c r="G2649" s="5" t="n"/>
      <c r="H2649" s="5" t="n"/>
      <c r="I2649" s="5" t="n"/>
      <c r="J2649" s="6" t="n"/>
      <c r="K2649" s="6" t="n"/>
      <c r="L2649" s="7">
        <f>IF(OR(D2649="",N(J2649)=0),"",MIN(1,N(K2649)/J2649))</f>
        <v/>
      </c>
      <c r="M2649" s="5" t="n"/>
      <c r="N2649" s="5" t="n"/>
      <c r="O2649" s="5" t="n"/>
      <c r="P2649" s="5" t="n"/>
      <c r="Q2649" s="5" t="n"/>
      <c r="R2649" s="4" t="n"/>
      <c r="S2649" s="4" t="n"/>
      <c r="T2649" s="5" t="n"/>
      <c r="U2649" s="8">
        <f>IF(AND(V2649=1,D2649&lt;&gt;""),IF(D2649&gt;=corte,TODAY()-D2649,""),"")</f>
        <v/>
      </c>
      <c r="V2649" s="8">
        <f>IF(D2649="",0,IF(OR(AND(P2649&lt;&gt;"",S2649=""),AND(N(J2649)&gt;0,N(K2649)&lt;J2649),OR(M2649="PENDENTE",M2649="PARCIAL"),OR(N2649="PENDENTE",N2649="PARCIAL")),1,0))</f>
        <v/>
      </c>
      <c r="W2649" s="8">
        <f>IF(AND(V2649=1,D2649&lt;&gt;""),IF(D2649&gt;=corte,(B2649="CRÍTICO")*1E9+(100000-D2649)*10000+10000-ROW(),""),"")</f>
        <v/>
      </c>
      <c r="X2649" s="8">
        <f>IF(AND(V2649=1,D2649=pas_data,E2649=pas_turno),10000-ROW(),"")</f>
        <v/>
      </c>
    </row>
    <row r="2650">
      <c r="A2650" s="3">
        <f>IF(D2650="","","TT-"&amp;TEXT(ROW()-1,"00000"))</f>
        <v/>
      </c>
      <c r="B2650" s="3">
        <f>IF(D2650="","",IF(V2650=0,"CONCLUÍDO",IF(D2650&lt;corte,"HISTÓRICO",IF(OR(AND(ISNUMBER(R2650),R2650&lt;TODAY()),AND(OR(N2650="PENDENTE",N2650="PARCIAL"),D2650&lt;TODAY()-1)),"CRÍTICO",IF(OR(AND(P2650&lt;&gt;"",S2650=""),AND(N2650="REALIZADO",M2650="PENDENTE"),AND(ISNUMBER(R2650),R2650=TODAY())),"ATENÇÃO",IF(N(K2650)=0,"PENDENTE","EM ANDAMENTO"))))))</f>
        <v/>
      </c>
      <c r="C2650" s="3">
        <f>IF(D2650="","",IF(V2650=0,"🟢 OK",IF(D2650&lt;corte,"⚪ HISTÓRICO (sem baixa)",IF(AND(ISNUMBER(R2650),R2650&lt;TODAY()),"🔴 PRAZO VENCIDO",IF(AND(OR(N2650="PENDENTE",N2650="PARCIAL"),D2650&lt;TODAY()-1),"🔴 EMBARQUE ATRASADO",IF(AND(N2650="REALIZADO",M2650="PENDENTE"),"🟡 EMBARCADO SEM FATURAR",IF(AND(P2650&lt;&gt;"",S2650="",OR(Q2650="",R2650="")),"🟡 PENDÊNCIA SEM RESPONSÁVEL/PRAZO",IF(AND(ISNUMBER(R2650),R2650=TODAY()),"🟡 VENCE HOJE",IF(AND(P2650&lt;&gt;"",S2650=""),"🟡 PENDÊNCIA ABERTA",IF(AND(N(J2650)&gt;0,N(K2650)&lt;J2650),"🟡 FALTA EXECUTAR",IF(OR(M2650="PENDENTE",M2650="PARCIAL"),"🟡 FATURAMENTO PENDENTE","🟡 EMBARQUE PENDENTE")))))))))))</f>
        <v/>
      </c>
      <c r="D2650" s="4" t="n"/>
      <c r="E2650" s="5" t="n"/>
      <c r="F2650" s="5" t="n"/>
      <c r="G2650" s="5" t="n"/>
      <c r="H2650" s="5" t="n"/>
      <c r="I2650" s="5" t="n"/>
      <c r="J2650" s="6" t="n"/>
      <c r="K2650" s="6" t="n"/>
      <c r="L2650" s="7">
        <f>IF(OR(D2650="",N(J2650)=0),"",MIN(1,N(K2650)/J2650))</f>
        <v/>
      </c>
      <c r="M2650" s="5" t="n"/>
      <c r="N2650" s="5" t="n"/>
      <c r="O2650" s="5" t="n"/>
      <c r="P2650" s="5" t="n"/>
      <c r="Q2650" s="5" t="n"/>
      <c r="R2650" s="4" t="n"/>
      <c r="S2650" s="4" t="n"/>
      <c r="T2650" s="5" t="n"/>
      <c r="U2650" s="8">
        <f>IF(AND(V2650=1,D2650&lt;&gt;""),IF(D2650&gt;=corte,TODAY()-D2650,""),"")</f>
        <v/>
      </c>
      <c r="V2650" s="8">
        <f>IF(D2650="",0,IF(OR(AND(P2650&lt;&gt;"",S2650=""),AND(N(J2650)&gt;0,N(K2650)&lt;J2650),OR(M2650="PENDENTE",M2650="PARCIAL"),OR(N2650="PENDENTE",N2650="PARCIAL")),1,0))</f>
        <v/>
      </c>
      <c r="W2650" s="8">
        <f>IF(AND(V2650=1,D2650&lt;&gt;""),IF(D2650&gt;=corte,(B2650="CRÍTICO")*1E9+(100000-D2650)*10000+10000-ROW(),""),"")</f>
        <v/>
      </c>
      <c r="X2650" s="8">
        <f>IF(AND(V2650=1,D2650=pas_data,E2650=pas_turno),10000-ROW(),"")</f>
        <v/>
      </c>
    </row>
    <row r="2651">
      <c r="A2651" s="3">
        <f>IF(D2651="","","TT-"&amp;TEXT(ROW()-1,"00000"))</f>
        <v/>
      </c>
      <c r="B2651" s="3">
        <f>IF(D2651="","",IF(V2651=0,"CONCLUÍDO",IF(D2651&lt;corte,"HISTÓRICO",IF(OR(AND(ISNUMBER(R2651),R2651&lt;TODAY()),AND(OR(N2651="PENDENTE",N2651="PARCIAL"),D2651&lt;TODAY()-1)),"CRÍTICO",IF(OR(AND(P2651&lt;&gt;"",S2651=""),AND(N2651="REALIZADO",M2651="PENDENTE"),AND(ISNUMBER(R2651),R2651=TODAY())),"ATENÇÃO",IF(N(K2651)=0,"PENDENTE","EM ANDAMENTO"))))))</f>
        <v/>
      </c>
      <c r="C2651" s="3">
        <f>IF(D2651="","",IF(V2651=0,"🟢 OK",IF(D2651&lt;corte,"⚪ HISTÓRICO (sem baixa)",IF(AND(ISNUMBER(R2651),R2651&lt;TODAY()),"🔴 PRAZO VENCIDO",IF(AND(OR(N2651="PENDENTE",N2651="PARCIAL"),D2651&lt;TODAY()-1),"🔴 EMBARQUE ATRASADO",IF(AND(N2651="REALIZADO",M2651="PENDENTE"),"🟡 EMBARCADO SEM FATURAR",IF(AND(P2651&lt;&gt;"",S2651="",OR(Q2651="",R2651="")),"🟡 PENDÊNCIA SEM RESPONSÁVEL/PRAZO",IF(AND(ISNUMBER(R2651),R2651=TODAY()),"🟡 VENCE HOJE",IF(AND(P2651&lt;&gt;"",S2651=""),"🟡 PENDÊNCIA ABERTA",IF(AND(N(J2651)&gt;0,N(K2651)&lt;J2651),"🟡 FALTA EXECUTAR",IF(OR(M2651="PENDENTE",M2651="PARCIAL"),"🟡 FATURAMENTO PENDENTE","🟡 EMBARQUE PENDENTE")))))))))))</f>
        <v/>
      </c>
      <c r="D2651" s="4" t="n"/>
      <c r="E2651" s="5" t="n"/>
      <c r="F2651" s="5" t="n"/>
      <c r="G2651" s="5" t="n"/>
      <c r="H2651" s="5" t="n"/>
      <c r="I2651" s="5" t="n"/>
      <c r="J2651" s="6" t="n"/>
      <c r="K2651" s="6" t="n"/>
      <c r="L2651" s="7">
        <f>IF(OR(D2651="",N(J2651)=0),"",MIN(1,N(K2651)/J2651))</f>
        <v/>
      </c>
      <c r="M2651" s="5" t="n"/>
      <c r="N2651" s="5" t="n"/>
      <c r="O2651" s="5" t="n"/>
      <c r="P2651" s="5" t="n"/>
      <c r="Q2651" s="5" t="n"/>
      <c r="R2651" s="4" t="n"/>
      <c r="S2651" s="4" t="n"/>
      <c r="T2651" s="5" t="n"/>
      <c r="U2651" s="8">
        <f>IF(AND(V2651=1,D2651&lt;&gt;""),IF(D2651&gt;=corte,TODAY()-D2651,""),"")</f>
        <v/>
      </c>
      <c r="V2651" s="8">
        <f>IF(D2651="",0,IF(OR(AND(P2651&lt;&gt;"",S2651=""),AND(N(J2651)&gt;0,N(K2651)&lt;J2651),OR(M2651="PENDENTE",M2651="PARCIAL"),OR(N2651="PENDENTE",N2651="PARCIAL")),1,0))</f>
        <v/>
      </c>
      <c r="W2651" s="8">
        <f>IF(AND(V2651=1,D2651&lt;&gt;""),IF(D2651&gt;=corte,(B2651="CRÍTICO")*1E9+(100000-D2651)*10000+10000-ROW(),""),"")</f>
        <v/>
      </c>
      <c r="X2651" s="8">
        <f>IF(AND(V2651=1,D2651=pas_data,E2651=pas_turno),10000-ROW(),"")</f>
        <v/>
      </c>
    </row>
    <row r="2652">
      <c r="A2652" s="3">
        <f>IF(D2652="","","TT-"&amp;TEXT(ROW()-1,"00000"))</f>
        <v/>
      </c>
      <c r="B2652" s="3">
        <f>IF(D2652="","",IF(V2652=0,"CONCLUÍDO",IF(D2652&lt;corte,"HISTÓRICO",IF(OR(AND(ISNUMBER(R2652),R2652&lt;TODAY()),AND(OR(N2652="PENDENTE",N2652="PARCIAL"),D2652&lt;TODAY()-1)),"CRÍTICO",IF(OR(AND(P2652&lt;&gt;"",S2652=""),AND(N2652="REALIZADO",M2652="PENDENTE"),AND(ISNUMBER(R2652),R2652=TODAY())),"ATENÇÃO",IF(N(K2652)=0,"PENDENTE","EM ANDAMENTO"))))))</f>
        <v/>
      </c>
      <c r="C2652" s="3">
        <f>IF(D2652="","",IF(V2652=0,"🟢 OK",IF(D2652&lt;corte,"⚪ HISTÓRICO (sem baixa)",IF(AND(ISNUMBER(R2652),R2652&lt;TODAY()),"🔴 PRAZO VENCIDO",IF(AND(OR(N2652="PENDENTE",N2652="PARCIAL"),D2652&lt;TODAY()-1),"🔴 EMBARQUE ATRASADO",IF(AND(N2652="REALIZADO",M2652="PENDENTE"),"🟡 EMBARCADO SEM FATURAR",IF(AND(P2652&lt;&gt;"",S2652="",OR(Q2652="",R2652="")),"🟡 PENDÊNCIA SEM RESPONSÁVEL/PRAZO",IF(AND(ISNUMBER(R2652),R2652=TODAY()),"🟡 VENCE HOJE",IF(AND(P2652&lt;&gt;"",S2652=""),"🟡 PENDÊNCIA ABERTA",IF(AND(N(J2652)&gt;0,N(K2652)&lt;J2652),"🟡 FALTA EXECUTAR",IF(OR(M2652="PENDENTE",M2652="PARCIAL"),"🟡 FATURAMENTO PENDENTE","🟡 EMBARQUE PENDENTE")))))))))))</f>
        <v/>
      </c>
      <c r="D2652" s="4" t="n"/>
      <c r="E2652" s="5" t="n"/>
      <c r="F2652" s="5" t="n"/>
      <c r="G2652" s="5" t="n"/>
      <c r="H2652" s="5" t="n"/>
      <c r="I2652" s="5" t="n"/>
      <c r="J2652" s="6" t="n"/>
      <c r="K2652" s="6" t="n"/>
      <c r="L2652" s="7">
        <f>IF(OR(D2652="",N(J2652)=0),"",MIN(1,N(K2652)/J2652))</f>
        <v/>
      </c>
      <c r="M2652" s="5" t="n"/>
      <c r="N2652" s="5" t="n"/>
      <c r="O2652" s="5" t="n"/>
      <c r="P2652" s="5" t="n"/>
      <c r="Q2652" s="5" t="n"/>
      <c r="R2652" s="4" t="n"/>
      <c r="S2652" s="4" t="n"/>
      <c r="T2652" s="5" t="n"/>
      <c r="U2652" s="8">
        <f>IF(AND(V2652=1,D2652&lt;&gt;""),IF(D2652&gt;=corte,TODAY()-D2652,""),"")</f>
        <v/>
      </c>
      <c r="V2652" s="8">
        <f>IF(D2652="",0,IF(OR(AND(P2652&lt;&gt;"",S2652=""),AND(N(J2652)&gt;0,N(K2652)&lt;J2652),OR(M2652="PENDENTE",M2652="PARCIAL"),OR(N2652="PENDENTE",N2652="PARCIAL")),1,0))</f>
        <v/>
      </c>
      <c r="W2652" s="8">
        <f>IF(AND(V2652=1,D2652&lt;&gt;""),IF(D2652&gt;=corte,(B2652="CRÍTICO")*1E9+(100000-D2652)*10000+10000-ROW(),""),"")</f>
        <v/>
      </c>
      <c r="X2652" s="8">
        <f>IF(AND(V2652=1,D2652=pas_data,E2652=pas_turno),10000-ROW(),"")</f>
        <v/>
      </c>
    </row>
    <row r="2653">
      <c r="A2653" s="3">
        <f>IF(D2653="","","TT-"&amp;TEXT(ROW()-1,"00000"))</f>
        <v/>
      </c>
      <c r="B2653" s="3">
        <f>IF(D2653="","",IF(V2653=0,"CONCLUÍDO",IF(D2653&lt;corte,"HISTÓRICO",IF(OR(AND(ISNUMBER(R2653),R2653&lt;TODAY()),AND(OR(N2653="PENDENTE",N2653="PARCIAL"),D2653&lt;TODAY()-1)),"CRÍTICO",IF(OR(AND(P2653&lt;&gt;"",S2653=""),AND(N2653="REALIZADO",M2653="PENDENTE"),AND(ISNUMBER(R2653),R2653=TODAY())),"ATENÇÃO",IF(N(K2653)=0,"PENDENTE","EM ANDAMENTO"))))))</f>
        <v/>
      </c>
      <c r="C2653" s="3">
        <f>IF(D2653="","",IF(V2653=0,"🟢 OK",IF(D2653&lt;corte,"⚪ HISTÓRICO (sem baixa)",IF(AND(ISNUMBER(R2653),R2653&lt;TODAY()),"🔴 PRAZO VENCIDO",IF(AND(OR(N2653="PENDENTE",N2653="PARCIAL"),D2653&lt;TODAY()-1),"🔴 EMBARQUE ATRASADO",IF(AND(N2653="REALIZADO",M2653="PENDENTE"),"🟡 EMBARCADO SEM FATURAR",IF(AND(P2653&lt;&gt;"",S2653="",OR(Q2653="",R2653="")),"🟡 PENDÊNCIA SEM RESPONSÁVEL/PRAZO",IF(AND(ISNUMBER(R2653),R2653=TODAY()),"🟡 VENCE HOJE",IF(AND(P2653&lt;&gt;"",S2653=""),"🟡 PENDÊNCIA ABERTA",IF(AND(N(J2653)&gt;0,N(K2653)&lt;J2653),"🟡 FALTA EXECUTAR",IF(OR(M2653="PENDENTE",M2653="PARCIAL"),"🟡 FATURAMENTO PENDENTE","🟡 EMBARQUE PENDENTE")))))))))))</f>
        <v/>
      </c>
      <c r="D2653" s="4" t="n"/>
      <c r="E2653" s="5" t="n"/>
      <c r="F2653" s="5" t="n"/>
      <c r="G2653" s="5" t="n"/>
      <c r="H2653" s="5" t="n"/>
      <c r="I2653" s="5" t="n"/>
      <c r="J2653" s="6" t="n"/>
      <c r="K2653" s="6" t="n"/>
      <c r="L2653" s="7">
        <f>IF(OR(D2653="",N(J2653)=0),"",MIN(1,N(K2653)/J2653))</f>
        <v/>
      </c>
      <c r="M2653" s="5" t="n"/>
      <c r="N2653" s="5" t="n"/>
      <c r="O2653" s="5" t="n"/>
      <c r="P2653" s="5" t="n"/>
      <c r="Q2653" s="5" t="n"/>
      <c r="R2653" s="4" t="n"/>
      <c r="S2653" s="4" t="n"/>
      <c r="T2653" s="5" t="n"/>
      <c r="U2653" s="8">
        <f>IF(AND(V2653=1,D2653&lt;&gt;""),IF(D2653&gt;=corte,TODAY()-D2653,""),"")</f>
        <v/>
      </c>
      <c r="V2653" s="8">
        <f>IF(D2653="",0,IF(OR(AND(P2653&lt;&gt;"",S2653=""),AND(N(J2653)&gt;0,N(K2653)&lt;J2653),OR(M2653="PENDENTE",M2653="PARCIAL"),OR(N2653="PENDENTE",N2653="PARCIAL")),1,0))</f>
        <v/>
      </c>
      <c r="W2653" s="8">
        <f>IF(AND(V2653=1,D2653&lt;&gt;""),IF(D2653&gt;=corte,(B2653="CRÍTICO")*1E9+(100000-D2653)*10000+10000-ROW(),""),"")</f>
        <v/>
      </c>
      <c r="X2653" s="8">
        <f>IF(AND(V2653=1,D2653=pas_data,E2653=pas_turno),10000-ROW(),"")</f>
        <v/>
      </c>
    </row>
    <row r="2654">
      <c r="A2654" s="3">
        <f>IF(D2654="","","TT-"&amp;TEXT(ROW()-1,"00000"))</f>
        <v/>
      </c>
      <c r="B2654" s="3">
        <f>IF(D2654="","",IF(V2654=0,"CONCLUÍDO",IF(D2654&lt;corte,"HISTÓRICO",IF(OR(AND(ISNUMBER(R2654),R2654&lt;TODAY()),AND(OR(N2654="PENDENTE",N2654="PARCIAL"),D2654&lt;TODAY()-1)),"CRÍTICO",IF(OR(AND(P2654&lt;&gt;"",S2654=""),AND(N2654="REALIZADO",M2654="PENDENTE"),AND(ISNUMBER(R2654),R2654=TODAY())),"ATENÇÃO",IF(N(K2654)=0,"PENDENTE","EM ANDAMENTO"))))))</f>
        <v/>
      </c>
      <c r="C2654" s="3">
        <f>IF(D2654="","",IF(V2654=0,"🟢 OK",IF(D2654&lt;corte,"⚪ HISTÓRICO (sem baixa)",IF(AND(ISNUMBER(R2654),R2654&lt;TODAY()),"🔴 PRAZO VENCIDO",IF(AND(OR(N2654="PENDENTE",N2654="PARCIAL"),D2654&lt;TODAY()-1),"🔴 EMBARQUE ATRASADO",IF(AND(N2654="REALIZADO",M2654="PENDENTE"),"🟡 EMBARCADO SEM FATURAR",IF(AND(P2654&lt;&gt;"",S2654="",OR(Q2654="",R2654="")),"🟡 PENDÊNCIA SEM RESPONSÁVEL/PRAZO",IF(AND(ISNUMBER(R2654),R2654=TODAY()),"🟡 VENCE HOJE",IF(AND(P2654&lt;&gt;"",S2654=""),"🟡 PENDÊNCIA ABERTA",IF(AND(N(J2654)&gt;0,N(K2654)&lt;J2654),"🟡 FALTA EXECUTAR",IF(OR(M2654="PENDENTE",M2654="PARCIAL"),"🟡 FATURAMENTO PENDENTE","🟡 EMBARQUE PENDENTE")))))))))))</f>
        <v/>
      </c>
      <c r="D2654" s="4" t="n"/>
      <c r="E2654" s="5" t="n"/>
      <c r="F2654" s="5" t="n"/>
      <c r="G2654" s="5" t="n"/>
      <c r="H2654" s="5" t="n"/>
      <c r="I2654" s="5" t="n"/>
      <c r="J2654" s="6" t="n"/>
      <c r="K2654" s="6" t="n"/>
      <c r="L2654" s="7">
        <f>IF(OR(D2654="",N(J2654)=0),"",MIN(1,N(K2654)/J2654))</f>
        <v/>
      </c>
      <c r="M2654" s="5" t="n"/>
      <c r="N2654" s="5" t="n"/>
      <c r="O2654" s="5" t="n"/>
      <c r="P2654" s="5" t="n"/>
      <c r="Q2654" s="5" t="n"/>
      <c r="R2654" s="4" t="n"/>
      <c r="S2654" s="4" t="n"/>
      <c r="T2654" s="5" t="n"/>
      <c r="U2654" s="8">
        <f>IF(AND(V2654=1,D2654&lt;&gt;""),IF(D2654&gt;=corte,TODAY()-D2654,""),"")</f>
        <v/>
      </c>
      <c r="V2654" s="8">
        <f>IF(D2654="",0,IF(OR(AND(P2654&lt;&gt;"",S2654=""),AND(N(J2654)&gt;0,N(K2654)&lt;J2654),OR(M2654="PENDENTE",M2654="PARCIAL"),OR(N2654="PENDENTE",N2654="PARCIAL")),1,0))</f>
        <v/>
      </c>
      <c r="W2654" s="8">
        <f>IF(AND(V2654=1,D2654&lt;&gt;""),IF(D2654&gt;=corte,(B2654="CRÍTICO")*1E9+(100000-D2654)*10000+10000-ROW(),""),"")</f>
        <v/>
      </c>
      <c r="X2654" s="8">
        <f>IF(AND(V2654=1,D2654=pas_data,E2654=pas_turno),10000-ROW(),"")</f>
        <v/>
      </c>
    </row>
    <row r="2655">
      <c r="A2655" s="3">
        <f>IF(D2655="","","TT-"&amp;TEXT(ROW()-1,"00000"))</f>
        <v/>
      </c>
      <c r="B2655" s="3">
        <f>IF(D2655="","",IF(V2655=0,"CONCLUÍDO",IF(D2655&lt;corte,"HISTÓRICO",IF(OR(AND(ISNUMBER(R2655),R2655&lt;TODAY()),AND(OR(N2655="PENDENTE",N2655="PARCIAL"),D2655&lt;TODAY()-1)),"CRÍTICO",IF(OR(AND(P2655&lt;&gt;"",S2655=""),AND(N2655="REALIZADO",M2655="PENDENTE"),AND(ISNUMBER(R2655),R2655=TODAY())),"ATENÇÃO",IF(N(K2655)=0,"PENDENTE","EM ANDAMENTO"))))))</f>
        <v/>
      </c>
      <c r="C2655" s="3">
        <f>IF(D2655="","",IF(V2655=0,"🟢 OK",IF(D2655&lt;corte,"⚪ HISTÓRICO (sem baixa)",IF(AND(ISNUMBER(R2655),R2655&lt;TODAY()),"🔴 PRAZO VENCIDO",IF(AND(OR(N2655="PENDENTE",N2655="PARCIAL"),D2655&lt;TODAY()-1),"🔴 EMBARQUE ATRASADO",IF(AND(N2655="REALIZADO",M2655="PENDENTE"),"🟡 EMBARCADO SEM FATURAR",IF(AND(P2655&lt;&gt;"",S2655="",OR(Q2655="",R2655="")),"🟡 PENDÊNCIA SEM RESPONSÁVEL/PRAZO",IF(AND(ISNUMBER(R2655),R2655=TODAY()),"🟡 VENCE HOJE",IF(AND(P2655&lt;&gt;"",S2655=""),"🟡 PENDÊNCIA ABERTA",IF(AND(N(J2655)&gt;0,N(K2655)&lt;J2655),"🟡 FALTA EXECUTAR",IF(OR(M2655="PENDENTE",M2655="PARCIAL"),"🟡 FATURAMENTO PENDENTE","🟡 EMBARQUE PENDENTE")))))))))))</f>
        <v/>
      </c>
      <c r="D2655" s="4" t="n"/>
      <c r="E2655" s="5" t="n"/>
      <c r="F2655" s="5" t="n"/>
      <c r="G2655" s="5" t="n"/>
      <c r="H2655" s="5" t="n"/>
      <c r="I2655" s="5" t="n"/>
      <c r="J2655" s="6" t="n"/>
      <c r="K2655" s="6" t="n"/>
      <c r="L2655" s="7">
        <f>IF(OR(D2655="",N(J2655)=0),"",MIN(1,N(K2655)/J2655))</f>
        <v/>
      </c>
      <c r="M2655" s="5" t="n"/>
      <c r="N2655" s="5" t="n"/>
      <c r="O2655" s="5" t="n"/>
      <c r="P2655" s="5" t="n"/>
      <c r="Q2655" s="5" t="n"/>
      <c r="R2655" s="4" t="n"/>
      <c r="S2655" s="4" t="n"/>
      <c r="T2655" s="5" t="n"/>
      <c r="U2655" s="8">
        <f>IF(AND(V2655=1,D2655&lt;&gt;""),IF(D2655&gt;=corte,TODAY()-D2655,""),"")</f>
        <v/>
      </c>
      <c r="V2655" s="8">
        <f>IF(D2655="",0,IF(OR(AND(P2655&lt;&gt;"",S2655=""),AND(N(J2655)&gt;0,N(K2655)&lt;J2655),OR(M2655="PENDENTE",M2655="PARCIAL"),OR(N2655="PENDENTE",N2655="PARCIAL")),1,0))</f>
        <v/>
      </c>
      <c r="W2655" s="8">
        <f>IF(AND(V2655=1,D2655&lt;&gt;""),IF(D2655&gt;=corte,(B2655="CRÍTICO")*1E9+(100000-D2655)*10000+10000-ROW(),""),"")</f>
        <v/>
      </c>
      <c r="X2655" s="8">
        <f>IF(AND(V2655=1,D2655=pas_data,E2655=pas_turno),10000-ROW(),"")</f>
        <v/>
      </c>
    </row>
    <row r="2656">
      <c r="A2656" s="3">
        <f>IF(D2656="","","TT-"&amp;TEXT(ROW()-1,"00000"))</f>
        <v/>
      </c>
      <c r="B2656" s="3">
        <f>IF(D2656="","",IF(V2656=0,"CONCLUÍDO",IF(D2656&lt;corte,"HISTÓRICO",IF(OR(AND(ISNUMBER(R2656),R2656&lt;TODAY()),AND(OR(N2656="PENDENTE",N2656="PARCIAL"),D2656&lt;TODAY()-1)),"CRÍTICO",IF(OR(AND(P2656&lt;&gt;"",S2656=""),AND(N2656="REALIZADO",M2656="PENDENTE"),AND(ISNUMBER(R2656),R2656=TODAY())),"ATENÇÃO",IF(N(K2656)=0,"PENDENTE","EM ANDAMENTO"))))))</f>
        <v/>
      </c>
      <c r="C2656" s="3">
        <f>IF(D2656="","",IF(V2656=0,"🟢 OK",IF(D2656&lt;corte,"⚪ HISTÓRICO (sem baixa)",IF(AND(ISNUMBER(R2656),R2656&lt;TODAY()),"🔴 PRAZO VENCIDO",IF(AND(OR(N2656="PENDENTE",N2656="PARCIAL"),D2656&lt;TODAY()-1),"🔴 EMBARQUE ATRASADO",IF(AND(N2656="REALIZADO",M2656="PENDENTE"),"🟡 EMBARCADO SEM FATURAR",IF(AND(P2656&lt;&gt;"",S2656="",OR(Q2656="",R2656="")),"🟡 PENDÊNCIA SEM RESPONSÁVEL/PRAZO",IF(AND(ISNUMBER(R2656),R2656=TODAY()),"🟡 VENCE HOJE",IF(AND(P2656&lt;&gt;"",S2656=""),"🟡 PENDÊNCIA ABERTA",IF(AND(N(J2656)&gt;0,N(K2656)&lt;J2656),"🟡 FALTA EXECUTAR",IF(OR(M2656="PENDENTE",M2656="PARCIAL"),"🟡 FATURAMENTO PENDENTE","🟡 EMBARQUE PENDENTE")))))))))))</f>
        <v/>
      </c>
      <c r="D2656" s="4" t="n"/>
      <c r="E2656" s="5" t="n"/>
      <c r="F2656" s="5" t="n"/>
      <c r="G2656" s="5" t="n"/>
      <c r="H2656" s="5" t="n"/>
      <c r="I2656" s="5" t="n"/>
      <c r="J2656" s="6" t="n"/>
      <c r="K2656" s="6" t="n"/>
      <c r="L2656" s="7">
        <f>IF(OR(D2656="",N(J2656)=0),"",MIN(1,N(K2656)/J2656))</f>
        <v/>
      </c>
      <c r="M2656" s="5" t="n"/>
      <c r="N2656" s="5" t="n"/>
      <c r="O2656" s="5" t="n"/>
      <c r="P2656" s="5" t="n"/>
      <c r="Q2656" s="5" t="n"/>
      <c r="R2656" s="4" t="n"/>
      <c r="S2656" s="4" t="n"/>
      <c r="T2656" s="5" t="n"/>
      <c r="U2656" s="8">
        <f>IF(AND(V2656=1,D2656&lt;&gt;""),IF(D2656&gt;=corte,TODAY()-D2656,""),"")</f>
        <v/>
      </c>
      <c r="V2656" s="8">
        <f>IF(D2656="",0,IF(OR(AND(P2656&lt;&gt;"",S2656=""),AND(N(J2656)&gt;0,N(K2656)&lt;J2656),OR(M2656="PENDENTE",M2656="PARCIAL"),OR(N2656="PENDENTE",N2656="PARCIAL")),1,0))</f>
        <v/>
      </c>
      <c r="W2656" s="8">
        <f>IF(AND(V2656=1,D2656&lt;&gt;""),IF(D2656&gt;=corte,(B2656="CRÍTICO")*1E9+(100000-D2656)*10000+10000-ROW(),""),"")</f>
        <v/>
      </c>
      <c r="X2656" s="8">
        <f>IF(AND(V2656=1,D2656=pas_data,E2656=pas_turno),10000-ROW(),"")</f>
        <v/>
      </c>
    </row>
    <row r="2657">
      <c r="A2657" s="3">
        <f>IF(D2657="","","TT-"&amp;TEXT(ROW()-1,"00000"))</f>
        <v/>
      </c>
      <c r="B2657" s="3">
        <f>IF(D2657="","",IF(V2657=0,"CONCLUÍDO",IF(D2657&lt;corte,"HISTÓRICO",IF(OR(AND(ISNUMBER(R2657),R2657&lt;TODAY()),AND(OR(N2657="PENDENTE",N2657="PARCIAL"),D2657&lt;TODAY()-1)),"CRÍTICO",IF(OR(AND(P2657&lt;&gt;"",S2657=""),AND(N2657="REALIZADO",M2657="PENDENTE"),AND(ISNUMBER(R2657),R2657=TODAY())),"ATENÇÃO",IF(N(K2657)=0,"PENDENTE","EM ANDAMENTO"))))))</f>
        <v/>
      </c>
      <c r="C2657" s="3">
        <f>IF(D2657="","",IF(V2657=0,"🟢 OK",IF(D2657&lt;corte,"⚪ HISTÓRICO (sem baixa)",IF(AND(ISNUMBER(R2657),R2657&lt;TODAY()),"🔴 PRAZO VENCIDO",IF(AND(OR(N2657="PENDENTE",N2657="PARCIAL"),D2657&lt;TODAY()-1),"🔴 EMBARQUE ATRASADO",IF(AND(N2657="REALIZADO",M2657="PENDENTE"),"🟡 EMBARCADO SEM FATURAR",IF(AND(P2657&lt;&gt;"",S2657="",OR(Q2657="",R2657="")),"🟡 PENDÊNCIA SEM RESPONSÁVEL/PRAZO",IF(AND(ISNUMBER(R2657),R2657=TODAY()),"🟡 VENCE HOJE",IF(AND(P2657&lt;&gt;"",S2657=""),"🟡 PENDÊNCIA ABERTA",IF(AND(N(J2657)&gt;0,N(K2657)&lt;J2657),"🟡 FALTA EXECUTAR",IF(OR(M2657="PENDENTE",M2657="PARCIAL"),"🟡 FATURAMENTO PENDENTE","🟡 EMBARQUE PENDENTE")))))))))))</f>
        <v/>
      </c>
      <c r="D2657" s="4" t="n"/>
      <c r="E2657" s="5" t="n"/>
      <c r="F2657" s="5" t="n"/>
      <c r="G2657" s="5" t="n"/>
      <c r="H2657" s="5" t="n"/>
      <c r="I2657" s="5" t="n"/>
      <c r="J2657" s="6" t="n"/>
      <c r="K2657" s="6" t="n"/>
      <c r="L2657" s="7">
        <f>IF(OR(D2657="",N(J2657)=0),"",MIN(1,N(K2657)/J2657))</f>
        <v/>
      </c>
      <c r="M2657" s="5" t="n"/>
      <c r="N2657" s="5" t="n"/>
      <c r="O2657" s="5" t="n"/>
      <c r="P2657" s="5" t="n"/>
      <c r="Q2657" s="5" t="n"/>
      <c r="R2657" s="4" t="n"/>
      <c r="S2657" s="4" t="n"/>
      <c r="T2657" s="5" t="n"/>
      <c r="U2657" s="8">
        <f>IF(AND(V2657=1,D2657&lt;&gt;""),IF(D2657&gt;=corte,TODAY()-D2657,""),"")</f>
        <v/>
      </c>
      <c r="V2657" s="8">
        <f>IF(D2657="",0,IF(OR(AND(P2657&lt;&gt;"",S2657=""),AND(N(J2657)&gt;0,N(K2657)&lt;J2657),OR(M2657="PENDENTE",M2657="PARCIAL"),OR(N2657="PENDENTE",N2657="PARCIAL")),1,0))</f>
        <v/>
      </c>
      <c r="W2657" s="8">
        <f>IF(AND(V2657=1,D2657&lt;&gt;""),IF(D2657&gt;=corte,(B2657="CRÍTICO")*1E9+(100000-D2657)*10000+10000-ROW(),""),"")</f>
        <v/>
      </c>
      <c r="X2657" s="8">
        <f>IF(AND(V2657=1,D2657=pas_data,E2657=pas_turno),10000-ROW(),"")</f>
        <v/>
      </c>
    </row>
    <row r="2658">
      <c r="A2658" s="3">
        <f>IF(D2658="","","TT-"&amp;TEXT(ROW()-1,"00000"))</f>
        <v/>
      </c>
      <c r="B2658" s="3">
        <f>IF(D2658="","",IF(V2658=0,"CONCLUÍDO",IF(D2658&lt;corte,"HISTÓRICO",IF(OR(AND(ISNUMBER(R2658),R2658&lt;TODAY()),AND(OR(N2658="PENDENTE",N2658="PARCIAL"),D2658&lt;TODAY()-1)),"CRÍTICO",IF(OR(AND(P2658&lt;&gt;"",S2658=""),AND(N2658="REALIZADO",M2658="PENDENTE"),AND(ISNUMBER(R2658),R2658=TODAY())),"ATENÇÃO",IF(N(K2658)=0,"PENDENTE","EM ANDAMENTO"))))))</f>
        <v/>
      </c>
      <c r="C2658" s="3">
        <f>IF(D2658="","",IF(V2658=0,"🟢 OK",IF(D2658&lt;corte,"⚪ HISTÓRICO (sem baixa)",IF(AND(ISNUMBER(R2658),R2658&lt;TODAY()),"🔴 PRAZO VENCIDO",IF(AND(OR(N2658="PENDENTE",N2658="PARCIAL"),D2658&lt;TODAY()-1),"🔴 EMBARQUE ATRASADO",IF(AND(N2658="REALIZADO",M2658="PENDENTE"),"🟡 EMBARCADO SEM FATURAR",IF(AND(P2658&lt;&gt;"",S2658="",OR(Q2658="",R2658="")),"🟡 PENDÊNCIA SEM RESPONSÁVEL/PRAZO",IF(AND(ISNUMBER(R2658),R2658=TODAY()),"🟡 VENCE HOJE",IF(AND(P2658&lt;&gt;"",S2658=""),"🟡 PENDÊNCIA ABERTA",IF(AND(N(J2658)&gt;0,N(K2658)&lt;J2658),"🟡 FALTA EXECUTAR",IF(OR(M2658="PENDENTE",M2658="PARCIAL"),"🟡 FATURAMENTO PENDENTE","🟡 EMBARQUE PENDENTE")))))))))))</f>
        <v/>
      </c>
      <c r="D2658" s="4" t="n"/>
      <c r="E2658" s="5" t="n"/>
      <c r="F2658" s="5" t="n"/>
      <c r="G2658" s="5" t="n"/>
      <c r="H2658" s="5" t="n"/>
      <c r="I2658" s="5" t="n"/>
      <c r="J2658" s="6" t="n"/>
      <c r="K2658" s="6" t="n"/>
      <c r="L2658" s="7">
        <f>IF(OR(D2658="",N(J2658)=0),"",MIN(1,N(K2658)/J2658))</f>
        <v/>
      </c>
      <c r="M2658" s="5" t="n"/>
      <c r="N2658" s="5" t="n"/>
      <c r="O2658" s="5" t="n"/>
      <c r="P2658" s="5" t="n"/>
      <c r="Q2658" s="5" t="n"/>
      <c r="R2658" s="4" t="n"/>
      <c r="S2658" s="4" t="n"/>
      <c r="T2658" s="5" t="n"/>
      <c r="U2658" s="8">
        <f>IF(AND(V2658=1,D2658&lt;&gt;""),IF(D2658&gt;=corte,TODAY()-D2658,""),"")</f>
        <v/>
      </c>
      <c r="V2658" s="8">
        <f>IF(D2658="",0,IF(OR(AND(P2658&lt;&gt;"",S2658=""),AND(N(J2658)&gt;0,N(K2658)&lt;J2658),OR(M2658="PENDENTE",M2658="PARCIAL"),OR(N2658="PENDENTE",N2658="PARCIAL")),1,0))</f>
        <v/>
      </c>
      <c r="W2658" s="8">
        <f>IF(AND(V2658=1,D2658&lt;&gt;""),IF(D2658&gt;=corte,(B2658="CRÍTICO")*1E9+(100000-D2658)*10000+10000-ROW(),""),"")</f>
        <v/>
      </c>
      <c r="X2658" s="8">
        <f>IF(AND(V2658=1,D2658=pas_data,E2658=pas_turno),10000-ROW(),"")</f>
        <v/>
      </c>
    </row>
    <row r="2659">
      <c r="A2659" s="3">
        <f>IF(D2659="","","TT-"&amp;TEXT(ROW()-1,"00000"))</f>
        <v/>
      </c>
      <c r="B2659" s="3">
        <f>IF(D2659="","",IF(V2659=0,"CONCLUÍDO",IF(D2659&lt;corte,"HISTÓRICO",IF(OR(AND(ISNUMBER(R2659),R2659&lt;TODAY()),AND(OR(N2659="PENDENTE",N2659="PARCIAL"),D2659&lt;TODAY()-1)),"CRÍTICO",IF(OR(AND(P2659&lt;&gt;"",S2659=""),AND(N2659="REALIZADO",M2659="PENDENTE"),AND(ISNUMBER(R2659),R2659=TODAY())),"ATENÇÃO",IF(N(K2659)=0,"PENDENTE","EM ANDAMENTO"))))))</f>
        <v/>
      </c>
      <c r="C2659" s="3">
        <f>IF(D2659="","",IF(V2659=0,"🟢 OK",IF(D2659&lt;corte,"⚪ HISTÓRICO (sem baixa)",IF(AND(ISNUMBER(R2659),R2659&lt;TODAY()),"🔴 PRAZO VENCIDO",IF(AND(OR(N2659="PENDENTE",N2659="PARCIAL"),D2659&lt;TODAY()-1),"🔴 EMBARQUE ATRASADO",IF(AND(N2659="REALIZADO",M2659="PENDENTE"),"🟡 EMBARCADO SEM FATURAR",IF(AND(P2659&lt;&gt;"",S2659="",OR(Q2659="",R2659="")),"🟡 PENDÊNCIA SEM RESPONSÁVEL/PRAZO",IF(AND(ISNUMBER(R2659),R2659=TODAY()),"🟡 VENCE HOJE",IF(AND(P2659&lt;&gt;"",S2659=""),"🟡 PENDÊNCIA ABERTA",IF(AND(N(J2659)&gt;0,N(K2659)&lt;J2659),"🟡 FALTA EXECUTAR",IF(OR(M2659="PENDENTE",M2659="PARCIAL"),"🟡 FATURAMENTO PENDENTE","🟡 EMBARQUE PENDENTE")))))))))))</f>
        <v/>
      </c>
      <c r="D2659" s="4" t="n"/>
      <c r="E2659" s="5" t="n"/>
      <c r="F2659" s="5" t="n"/>
      <c r="G2659" s="5" t="n"/>
      <c r="H2659" s="5" t="n"/>
      <c r="I2659" s="5" t="n"/>
      <c r="J2659" s="6" t="n"/>
      <c r="K2659" s="6" t="n"/>
      <c r="L2659" s="7">
        <f>IF(OR(D2659="",N(J2659)=0),"",MIN(1,N(K2659)/J2659))</f>
        <v/>
      </c>
      <c r="M2659" s="5" t="n"/>
      <c r="N2659" s="5" t="n"/>
      <c r="O2659" s="5" t="n"/>
      <c r="P2659" s="5" t="n"/>
      <c r="Q2659" s="5" t="n"/>
      <c r="R2659" s="4" t="n"/>
      <c r="S2659" s="4" t="n"/>
      <c r="T2659" s="5" t="n"/>
      <c r="U2659" s="8">
        <f>IF(AND(V2659=1,D2659&lt;&gt;""),IF(D2659&gt;=corte,TODAY()-D2659,""),"")</f>
        <v/>
      </c>
      <c r="V2659" s="8">
        <f>IF(D2659="",0,IF(OR(AND(P2659&lt;&gt;"",S2659=""),AND(N(J2659)&gt;0,N(K2659)&lt;J2659),OR(M2659="PENDENTE",M2659="PARCIAL"),OR(N2659="PENDENTE",N2659="PARCIAL")),1,0))</f>
        <v/>
      </c>
      <c r="W2659" s="8">
        <f>IF(AND(V2659=1,D2659&lt;&gt;""),IF(D2659&gt;=corte,(B2659="CRÍTICO")*1E9+(100000-D2659)*10000+10000-ROW(),""),"")</f>
        <v/>
      </c>
      <c r="X2659" s="8">
        <f>IF(AND(V2659=1,D2659=pas_data,E2659=pas_turno),10000-ROW(),"")</f>
        <v/>
      </c>
    </row>
    <row r="2660">
      <c r="A2660" s="3">
        <f>IF(D2660="","","TT-"&amp;TEXT(ROW()-1,"00000"))</f>
        <v/>
      </c>
      <c r="B2660" s="3">
        <f>IF(D2660="","",IF(V2660=0,"CONCLUÍDO",IF(D2660&lt;corte,"HISTÓRICO",IF(OR(AND(ISNUMBER(R2660),R2660&lt;TODAY()),AND(OR(N2660="PENDENTE",N2660="PARCIAL"),D2660&lt;TODAY()-1)),"CRÍTICO",IF(OR(AND(P2660&lt;&gt;"",S2660=""),AND(N2660="REALIZADO",M2660="PENDENTE"),AND(ISNUMBER(R2660),R2660=TODAY())),"ATENÇÃO",IF(N(K2660)=0,"PENDENTE","EM ANDAMENTO"))))))</f>
        <v/>
      </c>
      <c r="C2660" s="3">
        <f>IF(D2660="","",IF(V2660=0,"🟢 OK",IF(D2660&lt;corte,"⚪ HISTÓRICO (sem baixa)",IF(AND(ISNUMBER(R2660),R2660&lt;TODAY()),"🔴 PRAZO VENCIDO",IF(AND(OR(N2660="PENDENTE",N2660="PARCIAL"),D2660&lt;TODAY()-1),"🔴 EMBARQUE ATRASADO",IF(AND(N2660="REALIZADO",M2660="PENDENTE"),"🟡 EMBARCADO SEM FATURAR",IF(AND(P2660&lt;&gt;"",S2660="",OR(Q2660="",R2660="")),"🟡 PENDÊNCIA SEM RESPONSÁVEL/PRAZO",IF(AND(ISNUMBER(R2660),R2660=TODAY()),"🟡 VENCE HOJE",IF(AND(P2660&lt;&gt;"",S2660=""),"🟡 PENDÊNCIA ABERTA",IF(AND(N(J2660)&gt;0,N(K2660)&lt;J2660),"🟡 FALTA EXECUTAR",IF(OR(M2660="PENDENTE",M2660="PARCIAL"),"🟡 FATURAMENTO PENDENTE","🟡 EMBARQUE PENDENTE")))))))))))</f>
        <v/>
      </c>
      <c r="D2660" s="4" t="n"/>
      <c r="E2660" s="5" t="n"/>
      <c r="F2660" s="5" t="n"/>
      <c r="G2660" s="5" t="n"/>
      <c r="H2660" s="5" t="n"/>
      <c r="I2660" s="5" t="n"/>
      <c r="J2660" s="6" t="n"/>
      <c r="K2660" s="6" t="n"/>
      <c r="L2660" s="7">
        <f>IF(OR(D2660="",N(J2660)=0),"",MIN(1,N(K2660)/J2660))</f>
        <v/>
      </c>
      <c r="M2660" s="5" t="n"/>
      <c r="N2660" s="5" t="n"/>
      <c r="O2660" s="5" t="n"/>
      <c r="P2660" s="5" t="n"/>
      <c r="Q2660" s="5" t="n"/>
      <c r="R2660" s="4" t="n"/>
      <c r="S2660" s="4" t="n"/>
      <c r="T2660" s="5" t="n"/>
      <c r="U2660" s="8">
        <f>IF(AND(V2660=1,D2660&lt;&gt;""),IF(D2660&gt;=corte,TODAY()-D2660,""),"")</f>
        <v/>
      </c>
      <c r="V2660" s="8">
        <f>IF(D2660="",0,IF(OR(AND(P2660&lt;&gt;"",S2660=""),AND(N(J2660)&gt;0,N(K2660)&lt;J2660),OR(M2660="PENDENTE",M2660="PARCIAL"),OR(N2660="PENDENTE",N2660="PARCIAL")),1,0))</f>
        <v/>
      </c>
      <c r="W2660" s="8">
        <f>IF(AND(V2660=1,D2660&lt;&gt;""),IF(D2660&gt;=corte,(B2660="CRÍTICO")*1E9+(100000-D2660)*10000+10000-ROW(),""),"")</f>
        <v/>
      </c>
      <c r="X2660" s="8">
        <f>IF(AND(V2660=1,D2660=pas_data,E2660=pas_turno),10000-ROW(),"")</f>
        <v/>
      </c>
    </row>
    <row r="2661">
      <c r="A2661" s="3">
        <f>IF(D2661="","","TT-"&amp;TEXT(ROW()-1,"00000"))</f>
        <v/>
      </c>
      <c r="B2661" s="3">
        <f>IF(D2661="","",IF(V2661=0,"CONCLUÍDO",IF(D2661&lt;corte,"HISTÓRICO",IF(OR(AND(ISNUMBER(R2661),R2661&lt;TODAY()),AND(OR(N2661="PENDENTE",N2661="PARCIAL"),D2661&lt;TODAY()-1)),"CRÍTICO",IF(OR(AND(P2661&lt;&gt;"",S2661=""),AND(N2661="REALIZADO",M2661="PENDENTE"),AND(ISNUMBER(R2661),R2661=TODAY())),"ATENÇÃO",IF(N(K2661)=0,"PENDENTE","EM ANDAMENTO"))))))</f>
        <v/>
      </c>
      <c r="C2661" s="3">
        <f>IF(D2661="","",IF(V2661=0,"🟢 OK",IF(D2661&lt;corte,"⚪ HISTÓRICO (sem baixa)",IF(AND(ISNUMBER(R2661),R2661&lt;TODAY()),"🔴 PRAZO VENCIDO",IF(AND(OR(N2661="PENDENTE",N2661="PARCIAL"),D2661&lt;TODAY()-1),"🔴 EMBARQUE ATRASADO",IF(AND(N2661="REALIZADO",M2661="PENDENTE"),"🟡 EMBARCADO SEM FATURAR",IF(AND(P2661&lt;&gt;"",S2661="",OR(Q2661="",R2661="")),"🟡 PENDÊNCIA SEM RESPONSÁVEL/PRAZO",IF(AND(ISNUMBER(R2661),R2661=TODAY()),"🟡 VENCE HOJE",IF(AND(P2661&lt;&gt;"",S2661=""),"🟡 PENDÊNCIA ABERTA",IF(AND(N(J2661)&gt;0,N(K2661)&lt;J2661),"🟡 FALTA EXECUTAR",IF(OR(M2661="PENDENTE",M2661="PARCIAL"),"🟡 FATURAMENTO PENDENTE","🟡 EMBARQUE PENDENTE")))))))))))</f>
        <v/>
      </c>
      <c r="D2661" s="4" t="n"/>
      <c r="E2661" s="5" t="n"/>
      <c r="F2661" s="5" t="n"/>
      <c r="G2661" s="5" t="n"/>
      <c r="H2661" s="5" t="n"/>
      <c r="I2661" s="5" t="n"/>
      <c r="J2661" s="6" t="n"/>
      <c r="K2661" s="6" t="n"/>
      <c r="L2661" s="7">
        <f>IF(OR(D2661="",N(J2661)=0),"",MIN(1,N(K2661)/J2661))</f>
        <v/>
      </c>
      <c r="M2661" s="5" t="n"/>
      <c r="N2661" s="5" t="n"/>
      <c r="O2661" s="5" t="n"/>
      <c r="P2661" s="5" t="n"/>
      <c r="Q2661" s="5" t="n"/>
      <c r="R2661" s="4" t="n"/>
      <c r="S2661" s="4" t="n"/>
      <c r="T2661" s="5" t="n"/>
      <c r="U2661" s="8">
        <f>IF(AND(V2661=1,D2661&lt;&gt;""),IF(D2661&gt;=corte,TODAY()-D2661,""),"")</f>
        <v/>
      </c>
      <c r="V2661" s="8">
        <f>IF(D2661="",0,IF(OR(AND(P2661&lt;&gt;"",S2661=""),AND(N(J2661)&gt;0,N(K2661)&lt;J2661),OR(M2661="PENDENTE",M2661="PARCIAL"),OR(N2661="PENDENTE",N2661="PARCIAL")),1,0))</f>
        <v/>
      </c>
      <c r="W2661" s="8">
        <f>IF(AND(V2661=1,D2661&lt;&gt;""),IF(D2661&gt;=corte,(B2661="CRÍTICO")*1E9+(100000-D2661)*10000+10000-ROW(),""),"")</f>
        <v/>
      </c>
      <c r="X2661" s="8">
        <f>IF(AND(V2661=1,D2661=pas_data,E2661=pas_turno),10000-ROW(),"")</f>
        <v/>
      </c>
    </row>
    <row r="2662">
      <c r="A2662" s="3">
        <f>IF(D2662="","","TT-"&amp;TEXT(ROW()-1,"00000"))</f>
        <v/>
      </c>
      <c r="B2662" s="3">
        <f>IF(D2662="","",IF(V2662=0,"CONCLUÍDO",IF(D2662&lt;corte,"HISTÓRICO",IF(OR(AND(ISNUMBER(R2662),R2662&lt;TODAY()),AND(OR(N2662="PENDENTE",N2662="PARCIAL"),D2662&lt;TODAY()-1)),"CRÍTICO",IF(OR(AND(P2662&lt;&gt;"",S2662=""),AND(N2662="REALIZADO",M2662="PENDENTE"),AND(ISNUMBER(R2662),R2662=TODAY())),"ATENÇÃO",IF(N(K2662)=0,"PENDENTE","EM ANDAMENTO"))))))</f>
        <v/>
      </c>
      <c r="C2662" s="3">
        <f>IF(D2662="","",IF(V2662=0,"🟢 OK",IF(D2662&lt;corte,"⚪ HISTÓRICO (sem baixa)",IF(AND(ISNUMBER(R2662),R2662&lt;TODAY()),"🔴 PRAZO VENCIDO",IF(AND(OR(N2662="PENDENTE",N2662="PARCIAL"),D2662&lt;TODAY()-1),"🔴 EMBARQUE ATRASADO",IF(AND(N2662="REALIZADO",M2662="PENDENTE"),"🟡 EMBARCADO SEM FATURAR",IF(AND(P2662&lt;&gt;"",S2662="",OR(Q2662="",R2662="")),"🟡 PENDÊNCIA SEM RESPONSÁVEL/PRAZO",IF(AND(ISNUMBER(R2662),R2662=TODAY()),"🟡 VENCE HOJE",IF(AND(P2662&lt;&gt;"",S2662=""),"🟡 PENDÊNCIA ABERTA",IF(AND(N(J2662)&gt;0,N(K2662)&lt;J2662),"🟡 FALTA EXECUTAR",IF(OR(M2662="PENDENTE",M2662="PARCIAL"),"🟡 FATURAMENTO PENDENTE","🟡 EMBARQUE PENDENTE")))))))))))</f>
        <v/>
      </c>
      <c r="D2662" s="4" t="n"/>
      <c r="E2662" s="5" t="n"/>
      <c r="F2662" s="5" t="n"/>
      <c r="G2662" s="5" t="n"/>
      <c r="H2662" s="5" t="n"/>
      <c r="I2662" s="5" t="n"/>
      <c r="J2662" s="6" t="n"/>
      <c r="K2662" s="6" t="n"/>
      <c r="L2662" s="7">
        <f>IF(OR(D2662="",N(J2662)=0),"",MIN(1,N(K2662)/J2662))</f>
        <v/>
      </c>
      <c r="M2662" s="5" t="n"/>
      <c r="N2662" s="5" t="n"/>
      <c r="O2662" s="5" t="n"/>
      <c r="P2662" s="5" t="n"/>
      <c r="Q2662" s="5" t="n"/>
      <c r="R2662" s="4" t="n"/>
      <c r="S2662" s="4" t="n"/>
      <c r="T2662" s="5" t="n"/>
      <c r="U2662" s="8">
        <f>IF(AND(V2662=1,D2662&lt;&gt;""),IF(D2662&gt;=corte,TODAY()-D2662,""),"")</f>
        <v/>
      </c>
      <c r="V2662" s="8">
        <f>IF(D2662="",0,IF(OR(AND(P2662&lt;&gt;"",S2662=""),AND(N(J2662)&gt;0,N(K2662)&lt;J2662),OR(M2662="PENDENTE",M2662="PARCIAL"),OR(N2662="PENDENTE",N2662="PARCIAL")),1,0))</f>
        <v/>
      </c>
      <c r="W2662" s="8">
        <f>IF(AND(V2662=1,D2662&lt;&gt;""),IF(D2662&gt;=corte,(B2662="CRÍTICO")*1E9+(100000-D2662)*10000+10000-ROW(),""),"")</f>
        <v/>
      </c>
      <c r="X2662" s="8">
        <f>IF(AND(V2662=1,D2662=pas_data,E2662=pas_turno),10000-ROW(),"")</f>
        <v/>
      </c>
    </row>
    <row r="2663">
      <c r="A2663" s="3">
        <f>IF(D2663="","","TT-"&amp;TEXT(ROW()-1,"00000"))</f>
        <v/>
      </c>
      <c r="B2663" s="3">
        <f>IF(D2663="","",IF(V2663=0,"CONCLUÍDO",IF(D2663&lt;corte,"HISTÓRICO",IF(OR(AND(ISNUMBER(R2663),R2663&lt;TODAY()),AND(OR(N2663="PENDENTE",N2663="PARCIAL"),D2663&lt;TODAY()-1)),"CRÍTICO",IF(OR(AND(P2663&lt;&gt;"",S2663=""),AND(N2663="REALIZADO",M2663="PENDENTE"),AND(ISNUMBER(R2663),R2663=TODAY())),"ATENÇÃO",IF(N(K2663)=0,"PENDENTE","EM ANDAMENTO"))))))</f>
        <v/>
      </c>
      <c r="C2663" s="3">
        <f>IF(D2663="","",IF(V2663=0,"🟢 OK",IF(D2663&lt;corte,"⚪ HISTÓRICO (sem baixa)",IF(AND(ISNUMBER(R2663),R2663&lt;TODAY()),"🔴 PRAZO VENCIDO",IF(AND(OR(N2663="PENDENTE",N2663="PARCIAL"),D2663&lt;TODAY()-1),"🔴 EMBARQUE ATRASADO",IF(AND(N2663="REALIZADO",M2663="PENDENTE"),"🟡 EMBARCADO SEM FATURAR",IF(AND(P2663&lt;&gt;"",S2663="",OR(Q2663="",R2663="")),"🟡 PENDÊNCIA SEM RESPONSÁVEL/PRAZO",IF(AND(ISNUMBER(R2663),R2663=TODAY()),"🟡 VENCE HOJE",IF(AND(P2663&lt;&gt;"",S2663=""),"🟡 PENDÊNCIA ABERTA",IF(AND(N(J2663)&gt;0,N(K2663)&lt;J2663),"🟡 FALTA EXECUTAR",IF(OR(M2663="PENDENTE",M2663="PARCIAL"),"🟡 FATURAMENTO PENDENTE","🟡 EMBARQUE PENDENTE")))))))))))</f>
        <v/>
      </c>
      <c r="D2663" s="4" t="n"/>
      <c r="E2663" s="5" t="n"/>
      <c r="F2663" s="5" t="n"/>
      <c r="G2663" s="5" t="n"/>
      <c r="H2663" s="5" t="n"/>
      <c r="I2663" s="5" t="n"/>
      <c r="J2663" s="6" t="n"/>
      <c r="K2663" s="6" t="n"/>
      <c r="L2663" s="7">
        <f>IF(OR(D2663="",N(J2663)=0),"",MIN(1,N(K2663)/J2663))</f>
        <v/>
      </c>
      <c r="M2663" s="5" t="n"/>
      <c r="N2663" s="5" t="n"/>
      <c r="O2663" s="5" t="n"/>
      <c r="P2663" s="5" t="n"/>
      <c r="Q2663" s="5" t="n"/>
      <c r="R2663" s="4" t="n"/>
      <c r="S2663" s="4" t="n"/>
      <c r="T2663" s="5" t="n"/>
      <c r="U2663" s="8">
        <f>IF(AND(V2663=1,D2663&lt;&gt;""),IF(D2663&gt;=corte,TODAY()-D2663,""),"")</f>
        <v/>
      </c>
      <c r="V2663" s="8">
        <f>IF(D2663="",0,IF(OR(AND(P2663&lt;&gt;"",S2663=""),AND(N(J2663)&gt;0,N(K2663)&lt;J2663),OR(M2663="PENDENTE",M2663="PARCIAL"),OR(N2663="PENDENTE",N2663="PARCIAL")),1,0))</f>
        <v/>
      </c>
      <c r="W2663" s="8">
        <f>IF(AND(V2663=1,D2663&lt;&gt;""),IF(D2663&gt;=corte,(B2663="CRÍTICO")*1E9+(100000-D2663)*10000+10000-ROW(),""),"")</f>
        <v/>
      </c>
      <c r="X2663" s="8">
        <f>IF(AND(V2663=1,D2663=pas_data,E2663=pas_turno),10000-ROW(),"")</f>
        <v/>
      </c>
    </row>
    <row r="2664">
      <c r="A2664" s="3">
        <f>IF(D2664="","","TT-"&amp;TEXT(ROW()-1,"00000"))</f>
        <v/>
      </c>
      <c r="B2664" s="3">
        <f>IF(D2664="","",IF(V2664=0,"CONCLUÍDO",IF(D2664&lt;corte,"HISTÓRICO",IF(OR(AND(ISNUMBER(R2664),R2664&lt;TODAY()),AND(OR(N2664="PENDENTE",N2664="PARCIAL"),D2664&lt;TODAY()-1)),"CRÍTICO",IF(OR(AND(P2664&lt;&gt;"",S2664=""),AND(N2664="REALIZADO",M2664="PENDENTE"),AND(ISNUMBER(R2664),R2664=TODAY())),"ATENÇÃO",IF(N(K2664)=0,"PENDENTE","EM ANDAMENTO"))))))</f>
        <v/>
      </c>
      <c r="C2664" s="3">
        <f>IF(D2664="","",IF(V2664=0,"🟢 OK",IF(D2664&lt;corte,"⚪ HISTÓRICO (sem baixa)",IF(AND(ISNUMBER(R2664),R2664&lt;TODAY()),"🔴 PRAZO VENCIDO",IF(AND(OR(N2664="PENDENTE",N2664="PARCIAL"),D2664&lt;TODAY()-1),"🔴 EMBARQUE ATRASADO",IF(AND(N2664="REALIZADO",M2664="PENDENTE"),"🟡 EMBARCADO SEM FATURAR",IF(AND(P2664&lt;&gt;"",S2664="",OR(Q2664="",R2664="")),"🟡 PENDÊNCIA SEM RESPONSÁVEL/PRAZO",IF(AND(ISNUMBER(R2664),R2664=TODAY()),"🟡 VENCE HOJE",IF(AND(P2664&lt;&gt;"",S2664=""),"🟡 PENDÊNCIA ABERTA",IF(AND(N(J2664)&gt;0,N(K2664)&lt;J2664),"🟡 FALTA EXECUTAR",IF(OR(M2664="PENDENTE",M2664="PARCIAL"),"🟡 FATURAMENTO PENDENTE","🟡 EMBARQUE PENDENTE")))))))))))</f>
        <v/>
      </c>
      <c r="D2664" s="4" t="n"/>
      <c r="E2664" s="5" t="n"/>
      <c r="F2664" s="5" t="n"/>
      <c r="G2664" s="5" t="n"/>
      <c r="H2664" s="5" t="n"/>
      <c r="I2664" s="5" t="n"/>
      <c r="J2664" s="6" t="n"/>
      <c r="K2664" s="6" t="n"/>
      <c r="L2664" s="7">
        <f>IF(OR(D2664="",N(J2664)=0),"",MIN(1,N(K2664)/J2664))</f>
        <v/>
      </c>
      <c r="M2664" s="5" t="n"/>
      <c r="N2664" s="5" t="n"/>
      <c r="O2664" s="5" t="n"/>
      <c r="P2664" s="5" t="n"/>
      <c r="Q2664" s="5" t="n"/>
      <c r="R2664" s="4" t="n"/>
      <c r="S2664" s="4" t="n"/>
      <c r="T2664" s="5" t="n"/>
      <c r="U2664" s="8">
        <f>IF(AND(V2664=1,D2664&lt;&gt;""),IF(D2664&gt;=corte,TODAY()-D2664,""),"")</f>
        <v/>
      </c>
      <c r="V2664" s="8">
        <f>IF(D2664="",0,IF(OR(AND(P2664&lt;&gt;"",S2664=""),AND(N(J2664)&gt;0,N(K2664)&lt;J2664),OR(M2664="PENDENTE",M2664="PARCIAL"),OR(N2664="PENDENTE",N2664="PARCIAL")),1,0))</f>
        <v/>
      </c>
      <c r="W2664" s="8">
        <f>IF(AND(V2664=1,D2664&lt;&gt;""),IF(D2664&gt;=corte,(B2664="CRÍTICO")*1E9+(100000-D2664)*10000+10000-ROW(),""),"")</f>
        <v/>
      </c>
      <c r="X2664" s="8">
        <f>IF(AND(V2664=1,D2664=pas_data,E2664=pas_turno),10000-ROW(),"")</f>
        <v/>
      </c>
    </row>
    <row r="2665">
      <c r="A2665" s="3">
        <f>IF(D2665="","","TT-"&amp;TEXT(ROW()-1,"00000"))</f>
        <v/>
      </c>
      <c r="B2665" s="3">
        <f>IF(D2665="","",IF(V2665=0,"CONCLUÍDO",IF(D2665&lt;corte,"HISTÓRICO",IF(OR(AND(ISNUMBER(R2665),R2665&lt;TODAY()),AND(OR(N2665="PENDENTE",N2665="PARCIAL"),D2665&lt;TODAY()-1)),"CRÍTICO",IF(OR(AND(P2665&lt;&gt;"",S2665=""),AND(N2665="REALIZADO",M2665="PENDENTE"),AND(ISNUMBER(R2665),R2665=TODAY())),"ATENÇÃO",IF(N(K2665)=0,"PENDENTE","EM ANDAMENTO"))))))</f>
        <v/>
      </c>
      <c r="C2665" s="3">
        <f>IF(D2665="","",IF(V2665=0,"🟢 OK",IF(D2665&lt;corte,"⚪ HISTÓRICO (sem baixa)",IF(AND(ISNUMBER(R2665),R2665&lt;TODAY()),"🔴 PRAZO VENCIDO",IF(AND(OR(N2665="PENDENTE",N2665="PARCIAL"),D2665&lt;TODAY()-1),"🔴 EMBARQUE ATRASADO",IF(AND(N2665="REALIZADO",M2665="PENDENTE"),"🟡 EMBARCADO SEM FATURAR",IF(AND(P2665&lt;&gt;"",S2665="",OR(Q2665="",R2665="")),"🟡 PENDÊNCIA SEM RESPONSÁVEL/PRAZO",IF(AND(ISNUMBER(R2665),R2665=TODAY()),"🟡 VENCE HOJE",IF(AND(P2665&lt;&gt;"",S2665=""),"🟡 PENDÊNCIA ABERTA",IF(AND(N(J2665)&gt;0,N(K2665)&lt;J2665),"🟡 FALTA EXECUTAR",IF(OR(M2665="PENDENTE",M2665="PARCIAL"),"🟡 FATURAMENTO PENDENTE","🟡 EMBARQUE PENDENTE")))))))))))</f>
        <v/>
      </c>
      <c r="D2665" s="4" t="n"/>
      <c r="E2665" s="5" t="n"/>
      <c r="F2665" s="5" t="n"/>
      <c r="G2665" s="5" t="n"/>
      <c r="H2665" s="5" t="n"/>
      <c r="I2665" s="5" t="n"/>
      <c r="J2665" s="6" t="n"/>
      <c r="K2665" s="6" t="n"/>
      <c r="L2665" s="7">
        <f>IF(OR(D2665="",N(J2665)=0),"",MIN(1,N(K2665)/J2665))</f>
        <v/>
      </c>
      <c r="M2665" s="5" t="n"/>
      <c r="N2665" s="5" t="n"/>
      <c r="O2665" s="5" t="n"/>
      <c r="P2665" s="5" t="n"/>
      <c r="Q2665" s="5" t="n"/>
      <c r="R2665" s="4" t="n"/>
      <c r="S2665" s="4" t="n"/>
      <c r="T2665" s="5" t="n"/>
      <c r="U2665" s="8">
        <f>IF(AND(V2665=1,D2665&lt;&gt;""),IF(D2665&gt;=corte,TODAY()-D2665,""),"")</f>
        <v/>
      </c>
      <c r="V2665" s="8">
        <f>IF(D2665="",0,IF(OR(AND(P2665&lt;&gt;"",S2665=""),AND(N(J2665)&gt;0,N(K2665)&lt;J2665),OR(M2665="PENDENTE",M2665="PARCIAL"),OR(N2665="PENDENTE",N2665="PARCIAL")),1,0))</f>
        <v/>
      </c>
      <c r="W2665" s="8">
        <f>IF(AND(V2665=1,D2665&lt;&gt;""),IF(D2665&gt;=corte,(B2665="CRÍTICO")*1E9+(100000-D2665)*10000+10000-ROW(),""),"")</f>
        <v/>
      </c>
      <c r="X2665" s="8">
        <f>IF(AND(V2665=1,D2665=pas_data,E2665=pas_turno),10000-ROW(),"")</f>
        <v/>
      </c>
    </row>
    <row r="2666">
      <c r="A2666" s="3">
        <f>IF(D2666="","","TT-"&amp;TEXT(ROW()-1,"00000"))</f>
        <v/>
      </c>
      <c r="B2666" s="3">
        <f>IF(D2666="","",IF(V2666=0,"CONCLUÍDO",IF(D2666&lt;corte,"HISTÓRICO",IF(OR(AND(ISNUMBER(R2666),R2666&lt;TODAY()),AND(OR(N2666="PENDENTE",N2666="PARCIAL"),D2666&lt;TODAY()-1)),"CRÍTICO",IF(OR(AND(P2666&lt;&gt;"",S2666=""),AND(N2666="REALIZADO",M2666="PENDENTE"),AND(ISNUMBER(R2666),R2666=TODAY())),"ATENÇÃO",IF(N(K2666)=0,"PENDENTE","EM ANDAMENTO"))))))</f>
        <v/>
      </c>
      <c r="C2666" s="3">
        <f>IF(D2666="","",IF(V2666=0,"🟢 OK",IF(D2666&lt;corte,"⚪ HISTÓRICO (sem baixa)",IF(AND(ISNUMBER(R2666),R2666&lt;TODAY()),"🔴 PRAZO VENCIDO",IF(AND(OR(N2666="PENDENTE",N2666="PARCIAL"),D2666&lt;TODAY()-1),"🔴 EMBARQUE ATRASADO",IF(AND(N2666="REALIZADO",M2666="PENDENTE"),"🟡 EMBARCADO SEM FATURAR",IF(AND(P2666&lt;&gt;"",S2666="",OR(Q2666="",R2666="")),"🟡 PENDÊNCIA SEM RESPONSÁVEL/PRAZO",IF(AND(ISNUMBER(R2666),R2666=TODAY()),"🟡 VENCE HOJE",IF(AND(P2666&lt;&gt;"",S2666=""),"🟡 PENDÊNCIA ABERTA",IF(AND(N(J2666)&gt;0,N(K2666)&lt;J2666),"🟡 FALTA EXECUTAR",IF(OR(M2666="PENDENTE",M2666="PARCIAL"),"🟡 FATURAMENTO PENDENTE","🟡 EMBARQUE PENDENTE")))))))))))</f>
        <v/>
      </c>
      <c r="D2666" s="4" t="n"/>
      <c r="E2666" s="5" t="n"/>
      <c r="F2666" s="5" t="n"/>
      <c r="G2666" s="5" t="n"/>
      <c r="H2666" s="5" t="n"/>
      <c r="I2666" s="5" t="n"/>
      <c r="J2666" s="6" t="n"/>
      <c r="K2666" s="6" t="n"/>
      <c r="L2666" s="7">
        <f>IF(OR(D2666="",N(J2666)=0),"",MIN(1,N(K2666)/J2666))</f>
        <v/>
      </c>
      <c r="M2666" s="5" t="n"/>
      <c r="N2666" s="5" t="n"/>
      <c r="O2666" s="5" t="n"/>
      <c r="P2666" s="5" t="n"/>
      <c r="Q2666" s="5" t="n"/>
      <c r="R2666" s="4" t="n"/>
      <c r="S2666" s="4" t="n"/>
      <c r="T2666" s="5" t="n"/>
      <c r="U2666" s="8">
        <f>IF(AND(V2666=1,D2666&lt;&gt;""),IF(D2666&gt;=corte,TODAY()-D2666,""),"")</f>
        <v/>
      </c>
      <c r="V2666" s="8">
        <f>IF(D2666="",0,IF(OR(AND(P2666&lt;&gt;"",S2666=""),AND(N(J2666)&gt;0,N(K2666)&lt;J2666),OR(M2666="PENDENTE",M2666="PARCIAL"),OR(N2666="PENDENTE",N2666="PARCIAL")),1,0))</f>
        <v/>
      </c>
      <c r="W2666" s="8">
        <f>IF(AND(V2666=1,D2666&lt;&gt;""),IF(D2666&gt;=corte,(B2666="CRÍTICO")*1E9+(100000-D2666)*10000+10000-ROW(),""),"")</f>
        <v/>
      </c>
      <c r="X2666" s="8">
        <f>IF(AND(V2666=1,D2666=pas_data,E2666=pas_turno),10000-ROW(),"")</f>
        <v/>
      </c>
    </row>
    <row r="2667">
      <c r="A2667" s="3">
        <f>IF(D2667="","","TT-"&amp;TEXT(ROW()-1,"00000"))</f>
        <v/>
      </c>
      <c r="B2667" s="3">
        <f>IF(D2667="","",IF(V2667=0,"CONCLUÍDO",IF(D2667&lt;corte,"HISTÓRICO",IF(OR(AND(ISNUMBER(R2667),R2667&lt;TODAY()),AND(OR(N2667="PENDENTE",N2667="PARCIAL"),D2667&lt;TODAY()-1)),"CRÍTICO",IF(OR(AND(P2667&lt;&gt;"",S2667=""),AND(N2667="REALIZADO",M2667="PENDENTE"),AND(ISNUMBER(R2667),R2667=TODAY())),"ATENÇÃO",IF(N(K2667)=0,"PENDENTE","EM ANDAMENTO"))))))</f>
        <v/>
      </c>
      <c r="C2667" s="3">
        <f>IF(D2667="","",IF(V2667=0,"🟢 OK",IF(D2667&lt;corte,"⚪ HISTÓRICO (sem baixa)",IF(AND(ISNUMBER(R2667),R2667&lt;TODAY()),"🔴 PRAZO VENCIDO",IF(AND(OR(N2667="PENDENTE",N2667="PARCIAL"),D2667&lt;TODAY()-1),"🔴 EMBARQUE ATRASADO",IF(AND(N2667="REALIZADO",M2667="PENDENTE"),"🟡 EMBARCADO SEM FATURAR",IF(AND(P2667&lt;&gt;"",S2667="",OR(Q2667="",R2667="")),"🟡 PENDÊNCIA SEM RESPONSÁVEL/PRAZO",IF(AND(ISNUMBER(R2667),R2667=TODAY()),"🟡 VENCE HOJE",IF(AND(P2667&lt;&gt;"",S2667=""),"🟡 PENDÊNCIA ABERTA",IF(AND(N(J2667)&gt;0,N(K2667)&lt;J2667),"🟡 FALTA EXECUTAR",IF(OR(M2667="PENDENTE",M2667="PARCIAL"),"🟡 FATURAMENTO PENDENTE","🟡 EMBARQUE PENDENTE")))))))))))</f>
        <v/>
      </c>
      <c r="D2667" s="4" t="n"/>
      <c r="E2667" s="5" t="n"/>
      <c r="F2667" s="5" t="n"/>
      <c r="G2667" s="5" t="n"/>
      <c r="H2667" s="5" t="n"/>
      <c r="I2667" s="5" t="n"/>
      <c r="J2667" s="6" t="n"/>
      <c r="K2667" s="6" t="n"/>
      <c r="L2667" s="7">
        <f>IF(OR(D2667="",N(J2667)=0),"",MIN(1,N(K2667)/J2667))</f>
        <v/>
      </c>
      <c r="M2667" s="5" t="n"/>
      <c r="N2667" s="5" t="n"/>
      <c r="O2667" s="5" t="n"/>
      <c r="P2667" s="5" t="n"/>
      <c r="Q2667" s="5" t="n"/>
      <c r="R2667" s="4" t="n"/>
      <c r="S2667" s="4" t="n"/>
      <c r="T2667" s="5" t="n"/>
      <c r="U2667" s="8">
        <f>IF(AND(V2667=1,D2667&lt;&gt;""),IF(D2667&gt;=corte,TODAY()-D2667,""),"")</f>
        <v/>
      </c>
      <c r="V2667" s="8">
        <f>IF(D2667="",0,IF(OR(AND(P2667&lt;&gt;"",S2667=""),AND(N(J2667)&gt;0,N(K2667)&lt;J2667),OR(M2667="PENDENTE",M2667="PARCIAL"),OR(N2667="PENDENTE",N2667="PARCIAL")),1,0))</f>
        <v/>
      </c>
      <c r="W2667" s="8">
        <f>IF(AND(V2667=1,D2667&lt;&gt;""),IF(D2667&gt;=corte,(B2667="CRÍTICO")*1E9+(100000-D2667)*10000+10000-ROW(),""),"")</f>
        <v/>
      </c>
      <c r="X2667" s="8">
        <f>IF(AND(V2667=1,D2667=pas_data,E2667=pas_turno),10000-ROW(),"")</f>
        <v/>
      </c>
    </row>
    <row r="2668">
      <c r="A2668" s="3">
        <f>IF(D2668="","","TT-"&amp;TEXT(ROW()-1,"00000"))</f>
        <v/>
      </c>
      <c r="B2668" s="3">
        <f>IF(D2668="","",IF(V2668=0,"CONCLUÍDO",IF(D2668&lt;corte,"HISTÓRICO",IF(OR(AND(ISNUMBER(R2668),R2668&lt;TODAY()),AND(OR(N2668="PENDENTE",N2668="PARCIAL"),D2668&lt;TODAY()-1)),"CRÍTICO",IF(OR(AND(P2668&lt;&gt;"",S2668=""),AND(N2668="REALIZADO",M2668="PENDENTE"),AND(ISNUMBER(R2668),R2668=TODAY())),"ATENÇÃO",IF(N(K2668)=0,"PENDENTE","EM ANDAMENTO"))))))</f>
        <v/>
      </c>
      <c r="C2668" s="3">
        <f>IF(D2668="","",IF(V2668=0,"🟢 OK",IF(D2668&lt;corte,"⚪ HISTÓRICO (sem baixa)",IF(AND(ISNUMBER(R2668),R2668&lt;TODAY()),"🔴 PRAZO VENCIDO",IF(AND(OR(N2668="PENDENTE",N2668="PARCIAL"),D2668&lt;TODAY()-1),"🔴 EMBARQUE ATRASADO",IF(AND(N2668="REALIZADO",M2668="PENDENTE"),"🟡 EMBARCADO SEM FATURAR",IF(AND(P2668&lt;&gt;"",S2668="",OR(Q2668="",R2668="")),"🟡 PENDÊNCIA SEM RESPONSÁVEL/PRAZO",IF(AND(ISNUMBER(R2668),R2668=TODAY()),"🟡 VENCE HOJE",IF(AND(P2668&lt;&gt;"",S2668=""),"🟡 PENDÊNCIA ABERTA",IF(AND(N(J2668)&gt;0,N(K2668)&lt;J2668),"🟡 FALTA EXECUTAR",IF(OR(M2668="PENDENTE",M2668="PARCIAL"),"🟡 FATURAMENTO PENDENTE","🟡 EMBARQUE PENDENTE")))))))))))</f>
        <v/>
      </c>
      <c r="D2668" s="4" t="n"/>
      <c r="E2668" s="5" t="n"/>
      <c r="F2668" s="5" t="n"/>
      <c r="G2668" s="5" t="n"/>
      <c r="H2668" s="5" t="n"/>
      <c r="I2668" s="5" t="n"/>
      <c r="J2668" s="6" t="n"/>
      <c r="K2668" s="6" t="n"/>
      <c r="L2668" s="7">
        <f>IF(OR(D2668="",N(J2668)=0),"",MIN(1,N(K2668)/J2668))</f>
        <v/>
      </c>
      <c r="M2668" s="5" t="n"/>
      <c r="N2668" s="5" t="n"/>
      <c r="O2668" s="5" t="n"/>
      <c r="P2668" s="5" t="n"/>
      <c r="Q2668" s="5" t="n"/>
      <c r="R2668" s="4" t="n"/>
      <c r="S2668" s="4" t="n"/>
      <c r="T2668" s="5" t="n"/>
      <c r="U2668" s="8">
        <f>IF(AND(V2668=1,D2668&lt;&gt;""),IF(D2668&gt;=corte,TODAY()-D2668,""),"")</f>
        <v/>
      </c>
      <c r="V2668" s="8">
        <f>IF(D2668="",0,IF(OR(AND(P2668&lt;&gt;"",S2668=""),AND(N(J2668)&gt;0,N(K2668)&lt;J2668),OR(M2668="PENDENTE",M2668="PARCIAL"),OR(N2668="PENDENTE",N2668="PARCIAL")),1,0))</f>
        <v/>
      </c>
      <c r="W2668" s="8">
        <f>IF(AND(V2668=1,D2668&lt;&gt;""),IF(D2668&gt;=corte,(B2668="CRÍTICO")*1E9+(100000-D2668)*10000+10000-ROW(),""),"")</f>
        <v/>
      </c>
      <c r="X2668" s="8">
        <f>IF(AND(V2668=1,D2668=pas_data,E2668=pas_turno),10000-ROW(),"")</f>
        <v/>
      </c>
    </row>
    <row r="2669">
      <c r="A2669" s="3">
        <f>IF(D2669="","","TT-"&amp;TEXT(ROW()-1,"00000"))</f>
        <v/>
      </c>
      <c r="B2669" s="3">
        <f>IF(D2669="","",IF(V2669=0,"CONCLUÍDO",IF(D2669&lt;corte,"HISTÓRICO",IF(OR(AND(ISNUMBER(R2669),R2669&lt;TODAY()),AND(OR(N2669="PENDENTE",N2669="PARCIAL"),D2669&lt;TODAY()-1)),"CRÍTICO",IF(OR(AND(P2669&lt;&gt;"",S2669=""),AND(N2669="REALIZADO",M2669="PENDENTE"),AND(ISNUMBER(R2669),R2669=TODAY())),"ATENÇÃO",IF(N(K2669)=0,"PENDENTE","EM ANDAMENTO"))))))</f>
        <v/>
      </c>
      <c r="C2669" s="3">
        <f>IF(D2669="","",IF(V2669=0,"🟢 OK",IF(D2669&lt;corte,"⚪ HISTÓRICO (sem baixa)",IF(AND(ISNUMBER(R2669),R2669&lt;TODAY()),"🔴 PRAZO VENCIDO",IF(AND(OR(N2669="PENDENTE",N2669="PARCIAL"),D2669&lt;TODAY()-1),"🔴 EMBARQUE ATRASADO",IF(AND(N2669="REALIZADO",M2669="PENDENTE"),"🟡 EMBARCADO SEM FATURAR",IF(AND(P2669&lt;&gt;"",S2669="",OR(Q2669="",R2669="")),"🟡 PENDÊNCIA SEM RESPONSÁVEL/PRAZO",IF(AND(ISNUMBER(R2669),R2669=TODAY()),"🟡 VENCE HOJE",IF(AND(P2669&lt;&gt;"",S2669=""),"🟡 PENDÊNCIA ABERTA",IF(AND(N(J2669)&gt;0,N(K2669)&lt;J2669),"🟡 FALTA EXECUTAR",IF(OR(M2669="PENDENTE",M2669="PARCIAL"),"🟡 FATURAMENTO PENDENTE","🟡 EMBARQUE PENDENTE")))))))))))</f>
        <v/>
      </c>
      <c r="D2669" s="4" t="n"/>
      <c r="E2669" s="5" t="n"/>
      <c r="F2669" s="5" t="n"/>
      <c r="G2669" s="5" t="n"/>
      <c r="H2669" s="5" t="n"/>
      <c r="I2669" s="5" t="n"/>
      <c r="J2669" s="6" t="n"/>
      <c r="K2669" s="6" t="n"/>
      <c r="L2669" s="7">
        <f>IF(OR(D2669="",N(J2669)=0),"",MIN(1,N(K2669)/J2669))</f>
        <v/>
      </c>
      <c r="M2669" s="5" t="n"/>
      <c r="N2669" s="5" t="n"/>
      <c r="O2669" s="5" t="n"/>
      <c r="P2669" s="5" t="n"/>
      <c r="Q2669" s="5" t="n"/>
      <c r="R2669" s="4" t="n"/>
      <c r="S2669" s="4" t="n"/>
      <c r="T2669" s="5" t="n"/>
      <c r="U2669" s="8">
        <f>IF(AND(V2669=1,D2669&lt;&gt;""),IF(D2669&gt;=corte,TODAY()-D2669,""),"")</f>
        <v/>
      </c>
      <c r="V2669" s="8">
        <f>IF(D2669="",0,IF(OR(AND(P2669&lt;&gt;"",S2669=""),AND(N(J2669)&gt;0,N(K2669)&lt;J2669),OR(M2669="PENDENTE",M2669="PARCIAL"),OR(N2669="PENDENTE",N2669="PARCIAL")),1,0))</f>
        <v/>
      </c>
      <c r="W2669" s="8">
        <f>IF(AND(V2669=1,D2669&lt;&gt;""),IF(D2669&gt;=corte,(B2669="CRÍTICO")*1E9+(100000-D2669)*10000+10000-ROW(),""),"")</f>
        <v/>
      </c>
      <c r="X2669" s="8">
        <f>IF(AND(V2669=1,D2669=pas_data,E2669=pas_turno),10000-ROW(),"")</f>
        <v/>
      </c>
    </row>
    <row r="2670">
      <c r="A2670" s="3">
        <f>IF(D2670="","","TT-"&amp;TEXT(ROW()-1,"00000"))</f>
        <v/>
      </c>
      <c r="B2670" s="3">
        <f>IF(D2670="","",IF(V2670=0,"CONCLUÍDO",IF(D2670&lt;corte,"HISTÓRICO",IF(OR(AND(ISNUMBER(R2670),R2670&lt;TODAY()),AND(OR(N2670="PENDENTE",N2670="PARCIAL"),D2670&lt;TODAY()-1)),"CRÍTICO",IF(OR(AND(P2670&lt;&gt;"",S2670=""),AND(N2670="REALIZADO",M2670="PENDENTE"),AND(ISNUMBER(R2670),R2670=TODAY())),"ATENÇÃO",IF(N(K2670)=0,"PENDENTE","EM ANDAMENTO"))))))</f>
        <v/>
      </c>
      <c r="C2670" s="3">
        <f>IF(D2670="","",IF(V2670=0,"🟢 OK",IF(D2670&lt;corte,"⚪ HISTÓRICO (sem baixa)",IF(AND(ISNUMBER(R2670),R2670&lt;TODAY()),"🔴 PRAZO VENCIDO",IF(AND(OR(N2670="PENDENTE",N2670="PARCIAL"),D2670&lt;TODAY()-1),"🔴 EMBARQUE ATRASADO",IF(AND(N2670="REALIZADO",M2670="PENDENTE"),"🟡 EMBARCADO SEM FATURAR",IF(AND(P2670&lt;&gt;"",S2670="",OR(Q2670="",R2670="")),"🟡 PENDÊNCIA SEM RESPONSÁVEL/PRAZO",IF(AND(ISNUMBER(R2670),R2670=TODAY()),"🟡 VENCE HOJE",IF(AND(P2670&lt;&gt;"",S2670=""),"🟡 PENDÊNCIA ABERTA",IF(AND(N(J2670)&gt;0,N(K2670)&lt;J2670),"🟡 FALTA EXECUTAR",IF(OR(M2670="PENDENTE",M2670="PARCIAL"),"🟡 FATURAMENTO PENDENTE","🟡 EMBARQUE PENDENTE")))))))))))</f>
        <v/>
      </c>
      <c r="D2670" s="4" t="n"/>
      <c r="E2670" s="5" t="n"/>
      <c r="F2670" s="5" t="n"/>
      <c r="G2670" s="5" t="n"/>
      <c r="H2670" s="5" t="n"/>
      <c r="I2670" s="5" t="n"/>
      <c r="J2670" s="6" t="n"/>
      <c r="K2670" s="6" t="n"/>
      <c r="L2670" s="7">
        <f>IF(OR(D2670="",N(J2670)=0),"",MIN(1,N(K2670)/J2670))</f>
        <v/>
      </c>
      <c r="M2670" s="5" t="n"/>
      <c r="N2670" s="5" t="n"/>
      <c r="O2670" s="5" t="n"/>
      <c r="P2670" s="5" t="n"/>
      <c r="Q2670" s="5" t="n"/>
      <c r="R2670" s="4" t="n"/>
      <c r="S2670" s="4" t="n"/>
      <c r="T2670" s="5" t="n"/>
      <c r="U2670" s="8">
        <f>IF(AND(V2670=1,D2670&lt;&gt;""),IF(D2670&gt;=corte,TODAY()-D2670,""),"")</f>
        <v/>
      </c>
      <c r="V2670" s="8">
        <f>IF(D2670="",0,IF(OR(AND(P2670&lt;&gt;"",S2670=""),AND(N(J2670)&gt;0,N(K2670)&lt;J2670),OR(M2670="PENDENTE",M2670="PARCIAL"),OR(N2670="PENDENTE",N2670="PARCIAL")),1,0))</f>
        <v/>
      </c>
      <c r="W2670" s="8">
        <f>IF(AND(V2670=1,D2670&lt;&gt;""),IF(D2670&gt;=corte,(B2670="CRÍTICO")*1E9+(100000-D2670)*10000+10000-ROW(),""),"")</f>
        <v/>
      </c>
      <c r="X2670" s="8">
        <f>IF(AND(V2670=1,D2670=pas_data,E2670=pas_turno),10000-ROW(),"")</f>
        <v/>
      </c>
    </row>
    <row r="2671">
      <c r="A2671" s="3">
        <f>IF(D2671="","","TT-"&amp;TEXT(ROW()-1,"00000"))</f>
        <v/>
      </c>
      <c r="B2671" s="3">
        <f>IF(D2671="","",IF(V2671=0,"CONCLUÍDO",IF(D2671&lt;corte,"HISTÓRICO",IF(OR(AND(ISNUMBER(R2671),R2671&lt;TODAY()),AND(OR(N2671="PENDENTE",N2671="PARCIAL"),D2671&lt;TODAY()-1)),"CRÍTICO",IF(OR(AND(P2671&lt;&gt;"",S2671=""),AND(N2671="REALIZADO",M2671="PENDENTE"),AND(ISNUMBER(R2671),R2671=TODAY())),"ATENÇÃO",IF(N(K2671)=0,"PENDENTE","EM ANDAMENTO"))))))</f>
        <v/>
      </c>
      <c r="C2671" s="3">
        <f>IF(D2671="","",IF(V2671=0,"🟢 OK",IF(D2671&lt;corte,"⚪ HISTÓRICO (sem baixa)",IF(AND(ISNUMBER(R2671),R2671&lt;TODAY()),"🔴 PRAZO VENCIDO",IF(AND(OR(N2671="PENDENTE",N2671="PARCIAL"),D2671&lt;TODAY()-1),"🔴 EMBARQUE ATRASADO",IF(AND(N2671="REALIZADO",M2671="PENDENTE"),"🟡 EMBARCADO SEM FATURAR",IF(AND(P2671&lt;&gt;"",S2671="",OR(Q2671="",R2671="")),"🟡 PENDÊNCIA SEM RESPONSÁVEL/PRAZO",IF(AND(ISNUMBER(R2671),R2671=TODAY()),"🟡 VENCE HOJE",IF(AND(P2671&lt;&gt;"",S2671=""),"🟡 PENDÊNCIA ABERTA",IF(AND(N(J2671)&gt;0,N(K2671)&lt;J2671),"🟡 FALTA EXECUTAR",IF(OR(M2671="PENDENTE",M2671="PARCIAL"),"🟡 FATURAMENTO PENDENTE","🟡 EMBARQUE PENDENTE")))))))))))</f>
        <v/>
      </c>
      <c r="D2671" s="4" t="n"/>
      <c r="E2671" s="5" t="n"/>
      <c r="F2671" s="5" t="n"/>
      <c r="G2671" s="5" t="n"/>
      <c r="H2671" s="5" t="n"/>
      <c r="I2671" s="5" t="n"/>
      <c r="J2671" s="6" t="n"/>
      <c r="K2671" s="6" t="n"/>
      <c r="L2671" s="7">
        <f>IF(OR(D2671="",N(J2671)=0),"",MIN(1,N(K2671)/J2671))</f>
        <v/>
      </c>
      <c r="M2671" s="5" t="n"/>
      <c r="N2671" s="5" t="n"/>
      <c r="O2671" s="5" t="n"/>
      <c r="P2671" s="5" t="n"/>
      <c r="Q2671" s="5" t="n"/>
      <c r="R2671" s="4" t="n"/>
      <c r="S2671" s="4" t="n"/>
      <c r="T2671" s="5" t="n"/>
      <c r="U2671" s="8">
        <f>IF(AND(V2671=1,D2671&lt;&gt;""),IF(D2671&gt;=corte,TODAY()-D2671,""),"")</f>
        <v/>
      </c>
      <c r="V2671" s="8">
        <f>IF(D2671="",0,IF(OR(AND(P2671&lt;&gt;"",S2671=""),AND(N(J2671)&gt;0,N(K2671)&lt;J2671),OR(M2671="PENDENTE",M2671="PARCIAL"),OR(N2671="PENDENTE",N2671="PARCIAL")),1,0))</f>
        <v/>
      </c>
      <c r="W2671" s="8">
        <f>IF(AND(V2671=1,D2671&lt;&gt;""),IF(D2671&gt;=corte,(B2671="CRÍTICO")*1E9+(100000-D2671)*10000+10000-ROW(),""),"")</f>
        <v/>
      </c>
      <c r="X2671" s="8">
        <f>IF(AND(V2671=1,D2671=pas_data,E2671=pas_turno),10000-ROW(),"")</f>
        <v/>
      </c>
    </row>
    <row r="2672">
      <c r="A2672" s="3">
        <f>IF(D2672="","","TT-"&amp;TEXT(ROW()-1,"00000"))</f>
        <v/>
      </c>
      <c r="B2672" s="3">
        <f>IF(D2672="","",IF(V2672=0,"CONCLUÍDO",IF(D2672&lt;corte,"HISTÓRICO",IF(OR(AND(ISNUMBER(R2672),R2672&lt;TODAY()),AND(OR(N2672="PENDENTE",N2672="PARCIAL"),D2672&lt;TODAY()-1)),"CRÍTICO",IF(OR(AND(P2672&lt;&gt;"",S2672=""),AND(N2672="REALIZADO",M2672="PENDENTE"),AND(ISNUMBER(R2672),R2672=TODAY())),"ATENÇÃO",IF(N(K2672)=0,"PENDENTE","EM ANDAMENTO"))))))</f>
        <v/>
      </c>
      <c r="C2672" s="3">
        <f>IF(D2672="","",IF(V2672=0,"🟢 OK",IF(D2672&lt;corte,"⚪ HISTÓRICO (sem baixa)",IF(AND(ISNUMBER(R2672),R2672&lt;TODAY()),"🔴 PRAZO VENCIDO",IF(AND(OR(N2672="PENDENTE",N2672="PARCIAL"),D2672&lt;TODAY()-1),"🔴 EMBARQUE ATRASADO",IF(AND(N2672="REALIZADO",M2672="PENDENTE"),"🟡 EMBARCADO SEM FATURAR",IF(AND(P2672&lt;&gt;"",S2672="",OR(Q2672="",R2672="")),"🟡 PENDÊNCIA SEM RESPONSÁVEL/PRAZO",IF(AND(ISNUMBER(R2672),R2672=TODAY()),"🟡 VENCE HOJE",IF(AND(P2672&lt;&gt;"",S2672=""),"🟡 PENDÊNCIA ABERTA",IF(AND(N(J2672)&gt;0,N(K2672)&lt;J2672),"🟡 FALTA EXECUTAR",IF(OR(M2672="PENDENTE",M2672="PARCIAL"),"🟡 FATURAMENTO PENDENTE","🟡 EMBARQUE PENDENTE")))))))))))</f>
        <v/>
      </c>
      <c r="D2672" s="4" t="n"/>
      <c r="E2672" s="5" t="n"/>
      <c r="F2672" s="5" t="n"/>
      <c r="G2672" s="5" t="n"/>
      <c r="H2672" s="5" t="n"/>
      <c r="I2672" s="5" t="n"/>
      <c r="J2672" s="6" t="n"/>
      <c r="K2672" s="6" t="n"/>
      <c r="L2672" s="7">
        <f>IF(OR(D2672="",N(J2672)=0),"",MIN(1,N(K2672)/J2672))</f>
        <v/>
      </c>
      <c r="M2672" s="5" t="n"/>
      <c r="N2672" s="5" t="n"/>
      <c r="O2672" s="5" t="n"/>
      <c r="P2672" s="5" t="n"/>
      <c r="Q2672" s="5" t="n"/>
      <c r="R2672" s="4" t="n"/>
      <c r="S2672" s="4" t="n"/>
      <c r="T2672" s="5" t="n"/>
      <c r="U2672" s="8">
        <f>IF(AND(V2672=1,D2672&lt;&gt;""),IF(D2672&gt;=corte,TODAY()-D2672,""),"")</f>
        <v/>
      </c>
      <c r="V2672" s="8">
        <f>IF(D2672="",0,IF(OR(AND(P2672&lt;&gt;"",S2672=""),AND(N(J2672)&gt;0,N(K2672)&lt;J2672),OR(M2672="PENDENTE",M2672="PARCIAL"),OR(N2672="PENDENTE",N2672="PARCIAL")),1,0))</f>
        <v/>
      </c>
      <c r="W2672" s="8">
        <f>IF(AND(V2672=1,D2672&lt;&gt;""),IF(D2672&gt;=corte,(B2672="CRÍTICO")*1E9+(100000-D2672)*10000+10000-ROW(),""),"")</f>
        <v/>
      </c>
      <c r="X2672" s="8">
        <f>IF(AND(V2672=1,D2672=pas_data,E2672=pas_turno),10000-ROW(),"")</f>
        <v/>
      </c>
    </row>
    <row r="2673">
      <c r="A2673" s="3">
        <f>IF(D2673="","","TT-"&amp;TEXT(ROW()-1,"00000"))</f>
        <v/>
      </c>
      <c r="B2673" s="3">
        <f>IF(D2673="","",IF(V2673=0,"CONCLUÍDO",IF(D2673&lt;corte,"HISTÓRICO",IF(OR(AND(ISNUMBER(R2673),R2673&lt;TODAY()),AND(OR(N2673="PENDENTE",N2673="PARCIAL"),D2673&lt;TODAY()-1)),"CRÍTICO",IF(OR(AND(P2673&lt;&gt;"",S2673=""),AND(N2673="REALIZADO",M2673="PENDENTE"),AND(ISNUMBER(R2673),R2673=TODAY())),"ATENÇÃO",IF(N(K2673)=0,"PENDENTE","EM ANDAMENTO"))))))</f>
        <v/>
      </c>
      <c r="C2673" s="3">
        <f>IF(D2673="","",IF(V2673=0,"🟢 OK",IF(D2673&lt;corte,"⚪ HISTÓRICO (sem baixa)",IF(AND(ISNUMBER(R2673),R2673&lt;TODAY()),"🔴 PRAZO VENCIDO",IF(AND(OR(N2673="PENDENTE",N2673="PARCIAL"),D2673&lt;TODAY()-1),"🔴 EMBARQUE ATRASADO",IF(AND(N2673="REALIZADO",M2673="PENDENTE"),"🟡 EMBARCADO SEM FATURAR",IF(AND(P2673&lt;&gt;"",S2673="",OR(Q2673="",R2673="")),"🟡 PENDÊNCIA SEM RESPONSÁVEL/PRAZO",IF(AND(ISNUMBER(R2673),R2673=TODAY()),"🟡 VENCE HOJE",IF(AND(P2673&lt;&gt;"",S2673=""),"🟡 PENDÊNCIA ABERTA",IF(AND(N(J2673)&gt;0,N(K2673)&lt;J2673),"🟡 FALTA EXECUTAR",IF(OR(M2673="PENDENTE",M2673="PARCIAL"),"🟡 FATURAMENTO PENDENTE","🟡 EMBARQUE PENDENTE")))))))))))</f>
        <v/>
      </c>
      <c r="D2673" s="4" t="n"/>
      <c r="E2673" s="5" t="n"/>
      <c r="F2673" s="5" t="n"/>
      <c r="G2673" s="5" t="n"/>
      <c r="H2673" s="5" t="n"/>
      <c r="I2673" s="5" t="n"/>
      <c r="J2673" s="6" t="n"/>
      <c r="K2673" s="6" t="n"/>
      <c r="L2673" s="7">
        <f>IF(OR(D2673="",N(J2673)=0),"",MIN(1,N(K2673)/J2673))</f>
        <v/>
      </c>
      <c r="M2673" s="5" t="n"/>
      <c r="N2673" s="5" t="n"/>
      <c r="O2673" s="5" t="n"/>
      <c r="P2673" s="5" t="n"/>
      <c r="Q2673" s="5" t="n"/>
      <c r="R2673" s="4" t="n"/>
      <c r="S2673" s="4" t="n"/>
      <c r="T2673" s="5" t="n"/>
      <c r="U2673" s="8">
        <f>IF(AND(V2673=1,D2673&lt;&gt;""),IF(D2673&gt;=corte,TODAY()-D2673,""),"")</f>
        <v/>
      </c>
      <c r="V2673" s="8">
        <f>IF(D2673="",0,IF(OR(AND(P2673&lt;&gt;"",S2673=""),AND(N(J2673)&gt;0,N(K2673)&lt;J2673),OR(M2673="PENDENTE",M2673="PARCIAL"),OR(N2673="PENDENTE",N2673="PARCIAL")),1,0))</f>
        <v/>
      </c>
      <c r="W2673" s="8">
        <f>IF(AND(V2673=1,D2673&lt;&gt;""),IF(D2673&gt;=corte,(B2673="CRÍTICO")*1E9+(100000-D2673)*10000+10000-ROW(),""),"")</f>
        <v/>
      </c>
      <c r="X2673" s="8">
        <f>IF(AND(V2673=1,D2673=pas_data,E2673=pas_turno),10000-ROW(),"")</f>
        <v/>
      </c>
    </row>
    <row r="2674">
      <c r="A2674" s="3">
        <f>IF(D2674="","","TT-"&amp;TEXT(ROW()-1,"00000"))</f>
        <v/>
      </c>
      <c r="B2674" s="3">
        <f>IF(D2674="","",IF(V2674=0,"CONCLUÍDO",IF(D2674&lt;corte,"HISTÓRICO",IF(OR(AND(ISNUMBER(R2674),R2674&lt;TODAY()),AND(OR(N2674="PENDENTE",N2674="PARCIAL"),D2674&lt;TODAY()-1)),"CRÍTICO",IF(OR(AND(P2674&lt;&gt;"",S2674=""),AND(N2674="REALIZADO",M2674="PENDENTE"),AND(ISNUMBER(R2674),R2674=TODAY())),"ATENÇÃO",IF(N(K2674)=0,"PENDENTE","EM ANDAMENTO"))))))</f>
        <v/>
      </c>
      <c r="C2674" s="3">
        <f>IF(D2674="","",IF(V2674=0,"🟢 OK",IF(D2674&lt;corte,"⚪ HISTÓRICO (sem baixa)",IF(AND(ISNUMBER(R2674),R2674&lt;TODAY()),"🔴 PRAZO VENCIDO",IF(AND(OR(N2674="PENDENTE",N2674="PARCIAL"),D2674&lt;TODAY()-1),"🔴 EMBARQUE ATRASADO",IF(AND(N2674="REALIZADO",M2674="PENDENTE"),"🟡 EMBARCADO SEM FATURAR",IF(AND(P2674&lt;&gt;"",S2674="",OR(Q2674="",R2674="")),"🟡 PENDÊNCIA SEM RESPONSÁVEL/PRAZO",IF(AND(ISNUMBER(R2674),R2674=TODAY()),"🟡 VENCE HOJE",IF(AND(P2674&lt;&gt;"",S2674=""),"🟡 PENDÊNCIA ABERTA",IF(AND(N(J2674)&gt;0,N(K2674)&lt;J2674),"🟡 FALTA EXECUTAR",IF(OR(M2674="PENDENTE",M2674="PARCIAL"),"🟡 FATURAMENTO PENDENTE","🟡 EMBARQUE PENDENTE")))))))))))</f>
        <v/>
      </c>
      <c r="D2674" s="4" t="n"/>
      <c r="E2674" s="5" t="n"/>
      <c r="F2674" s="5" t="n"/>
      <c r="G2674" s="5" t="n"/>
      <c r="H2674" s="5" t="n"/>
      <c r="I2674" s="5" t="n"/>
      <c r="J2674" s="6" t="n"/>
      <c r="K2674" s="6" t="n"/>
      <c r="L2674" s="7">
        <f>IF(OR(D2674="",N(J2674)=0),"",MIN(1,N(K2674)/J2674))</f>
        <v/>
      </c>
      <c r="M2674" s="5" t="n"/>
      <c r="N2674" s="5" t="n"/>
      <c r="O2674" s="5" t="n"/>
      <c r="P2674" s="5" t="n"/>
      <c r="Q2674" s="5" t="n"/>
      <c r="R2674" s="4" t="n"/>
      <c r="S2674" s="4" t="n"/>
      <c r="T2674" s="5" t="n"/>
      <c r="U2674" s="8">
        <f>IF(AND(V2674=1,D2674&lt;&gt;""),IF(D2674&gt;=corte,TODAY()-D2674,""),"")</f>
        <v/>
      </c>
      <c r="V2674" s="8">
        <f>IF(D2674="",0,IF(OR(AND(P2674&lt;&gt;"",S2674=""),AND(N(J2674)&gt;0,N(K2674)&lt;J2674),OR(M2674="PENDENTE",M2674="PARCIAL"),OR(N2674="PENDENTE",N2674="PARCIAL")),1,0))</f>
        <v/>
      </c>
      <c r="W2674" s="8">
        <f>IF(AND(V2674=1,D2674&lt;&gt;""),IF(D2674&gt;=corte,(B2674="CRÍTICO")*1E9+(100000-D2674)*10000+10000-ROW(),""),"")</f>
        <v/>
      </c>
      <c r="X2674" s="8">
        <f>IF(AND(V2674=1,D2674=pas_data,E2674=pas_turno),10000-ROW(),"")</f>
        <v/>
      </c>
    </row>
    <row r="2675">
      <c r="A2675" s="3">
        <f>IF(D2675="","","TT-"&amp;TEXT(ROW()-1,"00000"))</f>
        <v/>
      </c>
      <c r="B2675" s="3">
        <f>IF(D2675="","",IF(V2675=0,"CONCLUÍDO",IF(D2675&lt;corte,"HISTÓRICO",IF(OR(AND(ISNUMBER(R2675),R2675&lt;TODAY()),AND(OR(N2675="PENDENTE",N2675="PARCIAL"),D2675&lt;TODAY()-1)),"CRÍTICO",IF(OR(AND(P2675&lt;&gt;"",S2675=""),AND(N2675="REALIZADO",M2675="PENDENTE"),AND(ISNUMBER(R2675),R2675=TODAY())),"ATENÇÃO",IF(N(K2675)=0,"PENDENTE","EM ANDAMENTO"))))))</f>
        <v/>
      </c>
      <c r="C2675" s="3">
        <f>IF(D2675="","",IF(V2675=0,"🟢 OK",IF(D2675&lt;corte,"⚪ HISTÓRICO (sem baixa)",IF(AND(ISNUMBER(R2675),R2675&lt;TODAY()),"🔴 PRAZO VENCIDO",IF(AND(OR(N2675="PENDENTE",N2675="PARCIAL"),D2675&lt;TODAY()-1),"🔴 EMBARQUE ATRASADO",IF(AND(N2675="REALIZADO",M2675="PENDENTE"),"🟡 EMBARCADO SEM FATURAR",IF(AND(P2675&lt;&gt;"",S2675="",OR(Q2675="",R2675="")),"🟡 PENDÊNCIA SEM RESPONSÁVEL/PRAZO",IF(AND(ISNUMBER(R2675),R2675=TODAY()),"🟡 VENCE HOJE",IF(AND(P2675&lt;&gt;"",S2675=""),"🟡 PENDÊNCIA ABERTA",IF(AND(N(J2675)&gt;0,N(K2675)&lt;J2675),"🟡 FALTA EXECUTAR",IF(OR(M2675="PENDENTE",M2675="PARCIAL"),"🟡 FATURAMENTO PENDENTE","🟡 EMBARQUE PENDENTE")))))))))))</f>
        <v/>
      </c>
      <c r="D2675" s="4" t="n"/>
      <c r="E2675" s="5" t="n"/>
      <c r="F2675" s="5" t="n"/>
      <c r="G2675" s="5" t="n"/>
      <c r="H2675" s="5" t="n"/>
      <c r="I2675" s="5" t="n"/>
      <c r="J2675" s="6" t="n"/>
      <c r="K2675" s="6" t="n"/>
      <c r="L2675" s="7">
        <f>IF(OR(D2675="",N(J2675)=0),"",MIN(1,N(K2675)/J2675))</f>
        <v/>
      </c>
      <c r="M2675" s="5" t="n"/>
      <c r="N2675" s="5" t="n"/>
      <c r="O2675" s="5" t="n"/>
      <c r="P2675" s="5" t="n"/>
      <c r="Q2675" s="5" t="n"/>
      <c r="R2675" s="4" t="n"/>
      <c r="S2675" s="4" t="n"/>
      <c r="T2675" s="5" t="n"/>
      <c r="U2675" s="8">
        <f>IF(AND(V2675=1,D2675&lt;&gt;""),IF(D2675&gt;=corte,TODAY()-D2675,""),"")</f>
        <v/>
      </c>
      <c r="V2675" s="8">
        <f>IF(D2675="",0,IF(OR(AND(P2675&lt;&gt;"",S2675=""),AND(N(J2675)&gt;0,N(K2675)&lt;J2675),OR(M2675="PENDENTE",M2675="PARCIAL"),OR(N2675="PENDENTE",N2675="PARCIAL")),1,0))</f>
        <v/>
      </c>
      <c r="W2675" s="8">
        <f>IF(AND(V2675=1,D2675&lt;&gt;""),IF(D2675&gt;=corte,(B2675="CRÍTICO")*1E9+(100000-D2675)*10000+10000-ROW(),""),"")</f>
        <v/>
      </c>
      <c r="X2675" s="8">
        <f>IF(AND(V2675=1,D2675=pas_data,E2675=pas_turno),10000-ROW(),"")</f>
        <v/>
      </c>
    </row>
    <row r="2676">
      <c r="A2676" s="3">
        <f>IF(D2676="","","TT-"&amp;TEXT(ROW()-1,"00000"))</f>
        <v/>
      </c>
      <c r="B2676" s="3">
        <f>IF(D2676="","",IF(V2676=0,"CONCLUÍDO",IF(D2676&lt;corte,"HISTÓRICO",IF(OR(AND(ISNUMBER(R2676),R2676&lt;TODAY()),AND(OR(N2676="PENDENTE",N2676="PARCIAL"),D2676&lt;TODAY()-1)),"CRÍTICO",IF(OR(AND(P2676&lt;&gt;"",S2676=""),AND(N2676="REALIZADO",M2676="PENDENTE"),AND(ISNUMBER(R2676),R2676=TODAY())),"ATENÇÃO",IF(N(K2676)=0,"PENDENTE","EM ANDAMENTO"))))))</f>
        <v/>
      </c>
      <c r="C2676" s="3">
        <f>IF(D2676="","",IF(V2676=0,"🟢 OK",IF(D2676&lt;corte,"⚪ HISTÓRICO (sem baixa)",IF(AND(ISNUMBER(R2676),R2676&lt;TODAY()),"🔴 PRAZO VENCIDO",IF(AND(OR(N2676="PENDENTE",N2676="PARCIAL"),D2676&lt;TODAY()-1),"🔴 EMBARQUE ATRASADO",IF(AND(N2676="REALIZADO",M2676="PENDENTE"),"🟡 EMBARCADO SEM FATURAR",IF(AND(P2676&lt;&gt;"",S2676="",OR(Q2676="",R2676="")),"🟡 PENDÊNCIA SEM RESPONSÁVEL/PRAZO",IF(AND(ISNUMBER(R2676),R2676=TODAY()),"🟡 VENCE HOJE",IF(AND(P2676&lt;&gt;"",S2676=""),"🟡 PENDÊNCIA ABERTA",IF(AND(N(J2676)&gt;0,N(K2676)&lt;J2676),"🟡 FALTA EXECUTAR",IF(OR(M2676="PENDENTE",M2676="PARCIAL"),"🟡 FATURAMENTO PENDENTE","🟡 EMBARQUE PENDENTE")))))))))))</f>
        <v/>
      </c>
      <c r="D2676" s="4" t="n"/>
      <c r="E2676" s="5" t="n"/>
      <c r="F2676" s="5" t="n"/>
      <c r="G2676" s="5" t="n"/>
      <c r="H2676" s="5" t="n"/>
      <c r="I2676" s="5" t="n"/>
      <c r="J2676" s="6" t="n"/>
      <c r="K2676" s="6" t="n"/>
      <c r="L2676" s="7">
        <f>IF(OR(D2676="",N(J2676)=0),"",MIN(1,N(K2676)/J2676))</f>
        <v/>
      </c>
      <c r="M2676" s="5" t="n"/>
      <c r="N2676" s="5" t="n"/>
      <c r="O2676" s="5" t="n"/>
      <c r="P2676" s="5" t="n"/>
      <c r="Q2676" s="5" t="n"/>
      <c r="R2676" s="4" t="n"/>
      <c r="S2676" s="4" t="n"/>
      <c r="T2676" s="5" t="n"/>
      <c r="U2676" s="8">
        <f>IF(AND(V2676=1,D2676&lt;&gt;""),IF(D2676&gt;=corte,TODAY()-D2676,""),"")</f>
        <v/>
      </c>
      <c r="V2676" s="8">
        <f>IF(D2676="",0,IF(OR(AND(P2676&lt;&gt;"",S2676=""),AND(N(J2676)&gt;0,N(K2676)&lt;J2676),OR(M2676="PENDENTE",M2676="PARCIAL"),OR(N2676="PENDENTE",N2676="PARCIAL")),1,0))</f>
        <v/>
      </c>
      <c r="W2676" s="8">
        <f>IF(AND(V2676=1,D2676&lt;&gt;""),IF(D2676&gt;=corte,(B2676="CRÍTICO")*1E9+(100000-D2676)*10000+10000-ROW(),""),"")</f>
        <v/>
      </c>
      <c r="X2676" s="8">
        <f>IF(AND(V2676=1,D2676=pas_data,E2676=pas_turno),10000-ROW(),"")</f>
        <v/>
      </c>
    </row>
    <row r="2677">
      <c r="A2677" s="3">
        <f>IF(D2677="","","TT-"&amp;TEXT(ROW()-1,"00000"))</f>
        <v/>
      </c>
      <c r="B2677" s="3">
        <f>IF(D2677="","",IF(V2677=0,"CONCLUÍDO",IF(D2677&lt;corte,"HISTÓRICO",IF(OR(AND(ISNUMBER(R2677),R2677&lt;TODAY()),AND(OR(N2677="PENDENTE",N2677="PARCIAL"),D2677&lt;TODAY()-1)),"CRÍTICO",IF(OR(AND(P2677&lt;&gt;"",S2677=""),AND(N2677="REALIZADO",M2677="PENDENTE"),AND(ISNUMBER(R2677),R2677=TODAY())),"ATENÇÃO",IF(N(K2677)=0,"PENDENTE","EM ANDAMENTO"))))))</f>
        <v/>
      </c>
      <c r="C2677" s="3">
        <f>IF(D2677="","",IF(V2677=0,"🟢 OK",IF(D2677&lt;corte,"⚪ HISTÓRICO (sem baixa)",IF(AND(ISNUMBER(R2677),R2677&lt;TODAY()),"🔴 PRAZO VENCIDO",IF(AND(OR(N2677="PENDENTE",N2677="PARCIAL"),D2677&lt;TODAY()-1),"🔴 EMBARQUE ATRASADO",IF(AND(N2677="REALIZADO",M2677="PENDENTE"),"🟡 EMBARCADO SEM FATURAR",IF(AND(P2677&lt;&gt;"",S2677="",OR(Q2677="",R2677="")),"🟡 PENDÊNCIA SEM RESPONSÁVEL/PRAZO",IF(AND(ISNUMBER(R2677),R2677=TODAY()),"🟡 VENCE HOJE",IF(AND(P2677&lt;&gt;"",S2677=""),"🟡 PENDÊNCIA ABERTA",IF(AND(N(J2677)&gt;0,N(K2677)&lt;J2677),"🟡 FALTA EXECUTAR",IF(OR(M2677="PENDENTE",M2677="PARCIAL"),"🟡 FATURAMENTO PENDENTE","🟡 EMBARQUE PENDENTE")))))))))))</f>
        <v/>
      </c>
      <c r="D2677" s="4" t="n"/>
      <c r="E2677" s="5" t="n"/>
      <c r="F2677" s="5" t="n"/>
      <c r="G2677" s="5" t="n"/>
      <c r="H2677" s="5" t="n"/>
      <c r="I2677" s="5" t="n"/>
      <c r="J2677" s="6" t="n"/>
      <c r="K2677" s="6" t="n"/>
      <c r="L2677" s="7">
        <f>IF(OR(D2677="",N(J2677)=0),"",MIN(1,N(K2677)/J2677))</f>
        <v/>
      </c>
      <c r="M2677" s="5" t="n"/>
      <c r="N2677" s="5" t="n"/>
      <c r="O2677" s="5" t="n"/>
      <c r="P2677" s="5" t="n"/>
      <c r="Q2677" s="5" t="n"/>
      <c r="R2677" s="4" t="n"/>
      <c r="S2677" s="4" t="n"/>
      <c r="T2677" s="5" t="n"/>
      <c r="U2677" s="8">
        <f>IF(AND(V2677=1,D2677&lt;&gt;""),IF(D2677&gt;=corte,TODAY()-D2677,""),"")</f>
        <v/>
      </c>
      <c r="V2677" s="8">
        <f>IF(D2677="",0,IF(OR(AND(P2677&lt;&gt;"",S2677=""),AND(N(J2677)&gt;0,N(K2677)&lt;J2677),OR(M2677="PENDENTE",M2677="PARCIAL"),OR(N2677="PENDENTE",N2677="PARCIAL")),1,0))</f>
        <v/>
      </c>
      <c r="W2677" s="8">
        <f>IF(AND(V2677=1,D2677&lt;&gt;""),IF(D2677&gt;=corte,(B2677="CRÍTICO")*1E9+(100000-D2677)*10000+10000-ROW(),""),"")</f>
        <v/>
      </c>
      <c r="X2677" s="8">
        <f>IF(AND(V2677=1,D2677=pas_data,E2677=pas_turno),10000-ROW(),"")</f>
        <v/>
      </c>
    </row>
    <row r="2678">
      <c r="A2678" s="3">
        <f>IF(D2678="","","TT-"&amp;TEXT(ROW()-1,"00000"))</f>
        <v/>
      </c>
      <c r="B2678" s="3">
        <f>IF(D2678="","",IF(V2678=0,"CONCLUÍDO",IF(D2678&lt;corte,"HISTÓRICO",IF(OR(AND(ISNUMBER(R2678),R2678&lt;TODAY()),AND(OR(N2678="PENDENTE",N2678="PARCIAL"),D2678&lt;TODAY()-1)),"CRÍTICO",IF(OR(AND(P2678&lt;&gt;"",S2678=""),AND(N2678="REALIZADO",M2678="PENDENTE"),AND(ISNUMBER(R2678),R2678=TODAY())),"ATENÇÃO",IF(N(K2678)=0,"PENDENTE","EM ANDAMENTO"))))))</f>
        <v/>
      </c>
      <c r="C2678" s="3">
        <f>IF(D2678="","",IF(V2678=0,"🟢 OK",IF(D2678&lt;corte,"⚪ HISTÓRICO (sem baixa)",IF(AND(ISNUMBER(R2678),R2678&lt;TODAY()),"🔴 PRAZO VENCIDO",IF(AND(OR(N2678="PENDENTE",N2678="PARCIAL"),D2678&lt;TODAY()-1),"🔴 EMBARQUE ATRASADO",IF(AND(N2678="REALIZADO",M2678="PENDENTE"),"🟡 EMBARCADO SEM FATURAR",IF(AND(P2678&lt;&gt;"",S2678="",OR(Q2678="",R2678="")),"🟡 PENDÊNCIA SEM RESPONSÁVEL/PRAZO",IF(AND(ISNUMBER(R2678),R2678=TODAY()),"🟡 VENCE HOJE",IF(AND(P2678&lt;&gt;"",S2678=""),"🟡 PENDÊNCIA ABERTA",IF(AND(N(J2678)&gt;0,N(K2678)&lt;J2678),"🟡 FALTA EXECUTAR",IF(OR(M2678="PENDENTE",M2678="PARCIAL"),"🟡 FATURAMENTO PENDENTE","🟡 EMBARQUE PENDENTE")))))))))))</f>
        <v/>
      </c>
      <c r="D2678" s="4" t="n"/>
      <c r="E2678" s="5" t="n"/>
      <c r="F2678" s="5" t="n"/>
      <c r="G2678" s="5" t="n"/>
      <c r="H2678" s="5" t="n"/>
      <c r="I2678" s="5" t="n"/>
      <c r="J2678" s="6" t="n"/>
      <c r="K2678" s="6" t="n"/>
      <c r="L2678" s="7">
        <f>IF(OR(D2678="",N(J2678)=0),"",MIN(1,N(K2678)/J2678))</f>
        <v/>
      </c>
      <c r="M2678" s="5" t="n"/>
      <c r="N2678" s="5" t="n"/>
      <c r="O2678" s="5" t="n"/>
      <c r="P2678" s="5" t="n"/>
      <c r="Q2678" s="5" t="n"/>
      <c r="R2678" s="4" t="n"/>
      <c r="S2678" s="4" t="n"/>
      <c r="T2678" s="5" t="n"/>
      <c r="U2678" s="8">
        <f>IF(AND(V2678=1,D2678&lt;&gt;""),IF(D2678&gt;=corte,TODAY()-D2678,""),"")</f>
        <v/>
      </c>
      <c r="V2678" s="8">
        <f>IF(D2678="",0,IF(OR(AND(P2678&lt;&gt;"",S2678=""),AND(N(J2678)&gt;0,N(K2678)&lt;J2678),OR(M2678="PENDENTE",M2678="PARCIAL"),OR(N2678="PENDENTE",N2678="PARCIAL")),1,0))</f>
        <v/>
      </c>
      <c r="W2678" s="8">
        <f>IF(AND(V2678=1,D2678&lt;&gt;""),IF(D2678&gt;=corte,(B2678="CRÍTICO")*1E9+(100000-D2678)*10000+10000-ROW(),""),"")</f>
        <v/>
      </c>
      <c r="X2678" s="8">
        <f>IF(AND(V2678=1,D2678=pas_data,E2678=pas_turno),10000-ROW(),"")</f>
        <v/>
      </c>
    </row>
    <row r="2679">
      <c r="A2679" s="3">
        <f>IF(D2679="","","TT-"&amp;TEXT(ROW()-1,"00000"))</f>
        <v/>
      </c>
      <c r="B2679" s="3">
        <f>IF(D2679="","",IF(V2679=0,"CONCLUÍDO",IF(D2679&lt;corte,"HISTÓRICO",IF(OR(AND(ISNUMBER(R2679),R2679&lt;TODAY()),AND(OR(N2679="PENDENTE",N2679="PARCIAL"),D2679&lt;TODAY()-1)),"CRÍTICO",IF(OR(AND(P2679&lt;&gt;"",S2679=""),AND(N2679="REALIZADO",M2679="PENDENTE"),AND(ISNUMBER(R2679),R2679=TODAY())),"ATENÇÃO",IF(N(K2679)=0,"PENDENTE","EM ANDAMENTO"))))))</f>
        <v/>
      </c>
      <c r="C2679" s="3">
        <f>IF(D2679="","",IF(V2679=0,"🟢 OK",IF(D2679&lt;corte,"⚪ HISTÓRICO (sem baixa)",IF(AND(ISNUMBER(R2679),R2679&lt;TODAY()),"🔴 PRAZO VENCIDO",IF(AND(OR(N2679="PENDENTE",N2679="PARCIAL"),D2679&lt;TODAY()-1),"🔴 EMBARQUE ATRASADO",IF(AND(N2679="REALIZADO",M2679="PENDENTE"),"🟡 EMBARCADO SEM FATURAR",IF(AND(P2679&lt;&gt;"",S2679="",OR(Q2679="",R2679="")),"🟡 PENDÊNCIA SEM RESPONSÁVEL/PRAZO",IF(AND(ISNUMBER(R2679),R2679=TODAY()),"🟡 VENCE HOJE",IF(AND(P2679&lt;&gt;"",S2679=""),"🟡 PENDÊNCIA ABERTA",IF(AND(N(J2679)&gt;0,N(K2679)&lt;J2679),"🟡 FALTA EXECUTAR",IF(OR(M2679="PENDENTE",M2679="PARCIAL"),"🟡 FATURAMENTO PENDENTE","🟡 EMBARQUE PENDENTE")))))))))))</f>
        <v/>
      </c>
      <c r="D2679" s="4" t="n"/>
      <c r="E2679" s="5" t="n"/>
      <c r="F2679" s="5" t="n"/>
      <c r="G2679" s="5" t="n"/>
      <c r="H2679" s="5" t="n"/>
      <c r="I2679" s="5" t="n"/>
      <c r="J2679" s="6" t="n"/>
      <c r="K2679" s="6" t="n"/>
      <c r="L2679" s="7">
        <f>IF(OR(D2679="",N(J2679)=0),"",MIN(1,N(K2679)/J2679))</f>
        <v/>
      </c>
      <c r="M2679" s="5" t="n"/>
      <c r="N2679" s="5" t="n"/>
      <c r="O2679" s="5" t="n"/>
      <c r="P2679" s="5" t="n"/>
      <c r="Q2679" s="5" t="n"/>
      <c r="R2679" s="4" t="n"/>
      <c r="S2679" s="4" t="n"/>
      <c r="T2679" s="5" t="n"/>
      <c r="U2679" s="8">
        <f>IF(AND(V2679=1,D2679&lt;&gt;""),IF(D2679&gt;=corte,TODAY()-D2679,""),"")</f>
        <v/>
      </c>
      <c r="V2679" s="8">
        <f>IF(D2679="",0,IF(OR(AND(P2679&lt;&gt;"",S2679=""),AND(N(J2679)&gt;0,N(K2679)&lt;J2679),OR(M2679="PENDENTE",M2679="PARCIAL"),OR(N2679="PENDENTE",N2679="PARCIAL")),1,0))</f>
        <v/>
      </c>
      <c r="W2679" s="8">
        <f>IF(AND(V2679=1,D2679&lt;&gt;""),IF(D2679&gt;=corte,(B2679="CRÍTICO")*1E9+(100000-D2679)*10000+10000-ROW(),""),"")</f>
        <v/>
      </c>
      <c r="X2679" s="8">
        <f>IF(AND(V2679=1,D2679=pas_data,E2679=pas_turno),10000-ROW(),"")</f>
        <v/>
      </c>
    </row>
    <row r="2680">
      <c r="A2680" s="3">
        <f>IF(D2680="","","TT-"&amp;TEXT(ROW()-1,"00000"))</f>
        <v/>
      </c>
      <c r="B2680" s="3">
        <f>IF(D2680="","",IF(V2680=0,"CONCLUÍDO",IF(D2680&lt;corte,"HISTÓRICO",IF(OR(AND(ISNUMBER(R2680),R2680&lt;TODAY()),AND(OR(N2680="PENDENTE",N2680="PARCIAL"),D2680&lt;TODAY()-1)),"CRÍTICO",IF(OR(AND(P2680&lt;&gt;"",S2680=""),AND(N2680="REALIZADO",M2680="PENDENTE"),AND(ISNUMBER(R2680),R2680=TODAY())),"ATENÇÃO",IF(N(K2680)=0,"PENDENTE","EM ANDAMENTO"))))))</f>
        <v/>
      </c>
      <c r="C2680" s="3">
        <f>IF(D2680="","",IF(V2680=0,"🟢 OK",IF(D2680&lt;corte,"⚪ HISTÓRICO (sem baixa)",IF(AND(ISNUMBER(R2680),R2680&lt;TODAY()),"🔴 PRAZO VENCIDO",IF(AND(OR(N2680="PENDENTE",N2680="PARCIAL"),D2680&lt;TODAY()-1),"🔴 EMBARQUE ATRASADO",IF(AND(N2680="REALIZADO",M2680="PENDENTE"),"🟡 EMBARCADO SEM FATURAR",IF(AND(P2680&lt;&gt;"",S2680="",OR(Q2680="",R2680="")),"🟡 PENDÊNCIA SEM RESPONSÁVEL/PRAZO",IF(AND(ISNUMBER(R2680),R2680=TODAY()),"🟡 VENCE HOJE",IF(AND(P2680&lt;&gt;"",S2680=""),"🟡 PENDÊNCIA ABERTA",IF(AND(N(J2680)&gt;0,N(K2680)&lt;J2680),"🟡 FALTA EXECUTAR",IF(OR(M2680="PENDENTE",M2680="PARCIAL"),"🟡 FATURAMENTO PENDENTE","🟡 EMBARQUE PENDENTE")))))))))))</f>
        <v/>
      </c>
      <c r="D2680" s="4" t="n"/>
      <c r="E2680" s="5" t="n"/>
      <c r="F2680" s="5" t="n"/>
      <c r="G2680" s="5" t="n"/>
      <c r="H2680" s="5" t="n"/>
      <c r="I2680" s="5" t="n"/>
      <c r="J2680" s="6" t="n"/>
      <c r="K2680" s="6" t="n"/>
      <c r="L2680" s="7">
        <f>IF(OR(D2680="",N(J2680)=0),"",MIN(1,N(K2680)/J2680))</f>
        <v/>
      </c>
      <c r="M2680" s="5" t="n"/>
      <c r="N2680" s="5" t="n"/>
      <c r="O2680" s="5" t="n"/>
      <c r="P2680" s="5" t="n"/>
      <c r="Q2680" s="5" t="n"/>
      <c r="R2680" s="4" t="n"/>
      <c r="S2680" s="4" t="n"/>
      <c r="T2680" s="5" t="n"/>
      <c r="U2680" s="8">
        <f>IF(AND(V2680=1,D2680&lt;&gt;""),IF(D2680&gt;=corte,TODAY()-D2680,""),"")</f>
        <v/>
      </c>
      <c r="V2680" s="8">
        <f>IF(D2680="",0,IF(OR(AND(P2680&lt;&gt;"",S2680=""),AND(N(J2680)&gt;0,N(K2680)&lt;J2680),OR(M2680="PENDENTE",M2680="PARCIAL"),OR(N2680="PENDENTE",N2680="PARCIAL")),1,0))</f>
        <v/>
      </c>
      <c r="W2680" s="8">
        <f>IF(AND(V2680=1,D2680&lt;&gt;""),IF(D2680&gt;=corte,(B2680="CRÍTICO")*1E9+(100000-D2680)*10000+10000-ROW(),""),"")</f>
        <v/>
      </c>
      <c r="X2680" s="8">
        <f>IF(AND(V2680=1,D2680=pas_data,E2680=pas_turno),10000-ROW(),"")</f>
        <v/>
      </c>
    </row>
    <row r="2681">
      <c r="A2681" s="3">
        <f>IF(D2681="","","TT-"&amp;TEXT(ROW()-1,"00000"))</f>
        <v/>
      </c>
      <c r="B2681" s="3">
        <f>IF(D2681="","",IF(V2681=0,"CONCLUÍDO",IF(D2681&lt;corte,"HISTÓRICO",IF(OR(AND(ISNUMBER(R2681),R2681&lt;TODAY()),AND(OR(N2681="PENDENTE",N2681="PARCIAL"),D2681&lt;TODAY()-1)),"CRÍTICO",IF(OR(AND(P2681&lt;&gt;"",S2681=""),AND(N2681="REALIZADO",M2681="PENDENTE"),AND(ISNUMBER(R2681),R2681=TODAY())),"ATENÇÃO",IF(N(K2681)=0,"PENDENTE","EM ANDAMENTO"))))))</f>
        <v/>
      </c>
      <c r="C2681" s="3">
        <f>IF(D2681="","",IF(V2681=0,"🟢 OK",IF(D2681&lt;corte,"⚪ HISTÓRICO (sem baixa)",IF(AND(ISNUMBER(R2681),R2681&lt;TODAY()),"🔴 PRAZO VENCIDO",IF(AND(OR(N2681="PENDENTE",N2681="PARCIAL"),D2681&lt;TODAY()-1),"🔴 EMBARQUE ATRASADO",IF(AND(N2681="REALIZADO",M2681="PENDENTE"),"🟡 EMBARCADO SEM FATURAR",IF(AND(P2681&lt;&gt;"",S2681="",OR(Q2681="",R2681="")),"🟡 PENDÊNCIA SEM RESPONSÁVEL/PRAZO",IF(AND(ISNUMBER(R2681),R2681=TODAY()),"🟡 VENCE HOJE",IF(AND(P2681&lt;&gt;"",S2681=""),"🟡 PENDÊNCIA ABERTA",IF(AND(N(J2681)&gt;0,N(K2681)&lt;J2681),"🟡 FALTA EXECUTAR",IF(OR(M2681="PENDENTE",M2681="PARCIAL"),"🟡 FATURAMENTO PENDENTE","🟡 EMBARQUE PENDENTE")))))))))))</f>
        <v/>
      </c>
      <c r="D2681" s="4" t="n"/>
      <c r="E2681" s="5" t="n"/>
      <c r="F2681" s="5" t="n"/>
      <c r="G2681" s="5" t="n"/>
      <c r="H2681" s="5" t="n"/>
      <c r="I2681" s="5" t="n"/>
      <c r="J2681" s="6" t="n"/>
      <c r="K2681" s="6" t="n"/>
      <c r="L2681" s="7">
        <f>IF(OR(D2681="",N(J2681)=0),"",MIN(1,N(K2681)/J2681))</f>
        <v/>
      </c>
      <c r="M2681" s="5" t="n"/>
      <c r="N2681" s="5" t="n"/>
      <c r="O2681" s="5" t="n"/>
      <c r="P2681" s="5" t="n"/>
      <c r="Q2681" s="5" t="n"/>
      <c r="R2681" s="4" t="n"/>
      <c r="S2681" s="4" t="n"/>
      <c r="T2681" s="5" t="n"/>
      <c r="U2681" s="8">
        <f>IF(AND(V2681=1,D2681&lt;&gt;""),IF(D2681&gt;=corte,TODAY()-D2681,""),"")</f>
        <v/>
      </c>
      <c r="V2681" s="8">
        <f>IF(D2681="",0,IF(OR(AND(P2681&lt;&gt;"",S2681=""),AND(N(J2681)&gt;0,N(K2681)&lt;J2681),OR(M2681="PENDENTE",M2681="PARCIAL"),OR(N2681="PENDENTE",N2681="PARCIAL")),1,0))</f>
        <v/>
      </c>
      <c r="W2681" s="8">
        <f>IF(AND(V2681=1,D2681&lt;&gt;""),IF(D2681&gt;=corte,(B2681="CRÍTICO")*1E9+(100000-D2681)*10000+10000-ROW(),""),"")</f>
        <v/>
      </c>
      <c r="X2681" s="8">
        <f>IF(AND(V2681=1,D2681=pas_data,E2681=pas_turno),10000-ROW(),"")</f>
        <v/>
      </c>
    </row>
    <row r="2682">
      <c r="A2682" s="3">
        <f>IF(D2682="","","TT-"&amp;TEXT(ROW()-1,"00000"))</f>
        <v/>
      </c>
      <c r="B2682" s="3">
        <f>IF(D2682="","",IF(V2682=0,"CONCLUÍDO",IF(D2682&lt;corte,"HISTÓRICO",IF(OR(AND(ISNUMBER(R2682),R2682&lt;TODAY()),AND(OR(N2682="PENDENTE",N2682="PARCIAL"),D2682&lt;TODAY()-1)),"CRÍTICO",IF(OR(AND(P2682&lt;&gt;"",S2682=""),AND(N2682="REALIZADO",M2682="PENDENTE"),AND(ISNUMBER(R2682),R2682=TODAY())),"ATENÇÃO",IF(N(K2682)=0,"PENDENTE","EM ANDAMENTO"))))))</f>
        <v/>
      </c>
      <c r="C2682" s="3">
        <f>IF(D2682="","",IF(V2682=0,"🟢 OK",IF(D2682&lt;corte,"⚪ HISTÓRICO (sem baixa)",IF(AND(ISNUMBER(R2682),R2682&lt;TODAY()),"🔴 PRAZO VENCIDO",IF(AND(OR(N2682="PENDENTE",N2682="PARCIAL"),D2682&lt;TODAY()-1),"🔴 EMBARQUE ATRASADO",IF(AND(N2682="REALIZADO",M2682="PENDENTE"),"🟡 EMBARCADO SEM FATURAR",IF(AND(P2682&lt;&gt;"",S2682="",OR(Q2682="",R2682="")),"🟡 PENDÊNCIA SEM RESPONSÁVEL/PRAZO",IF(AND(ISNUMBER(R2682),R2682=TODAY()),"🟡 VENCE HOJE",IF(AND(P2682&lt;&gt;"",S2682=""),"🟡 PENDÊNCIA ABERTA",IF(AND(N(J2682)&gt;0,N(K2682)&lt;J2682),"🟡 FALTA EXECUTAR",IF(OR(M2682="PENDENTE",M2682="PARCIAL"),"🟡 FATURAMENTO PENDENTE","🟡 EMBARQUE PENDENTE")))))))))))</f>
        <v/>
      </c>
      <c r="D2682" s="4" t="n"/>
      <c r="E2682" s="5" t="n"/>
      <c r="F2682" s="5" t="n"/>
      <c r="G2682" s="5" t="n"/>
      <c r="H2682" s="5" t="n"/>
      <c r="I2682" s="5" t="n"/>
      <c r="J2682" s="6" t="n"/>
      <c r="K2682" s="6" t="n"/>
      <c r="L2682" s="7">
        <f>IF(OR(D2682="",N(J2682)=0),"",MIN(1,N(K2682)/J2682))</f>
        <v/>
      </c>
      <c r="M2682" s="5" t="n"/>
      <c r="N2682" s="5" t="n"/>
      <c r="O2682" s="5" t="n"/>
      <c r="P2682" s="5" t="n"/>
      <c r="Q2682" s="5" t="n"/>
      <c r="R2682" s="4" t="n"/>
      <c r="S2682" s="4" t="n"/>
      <c r="T2682" s="5" t="n"/>
      <c r="U2682" s="8">
        <f>IF(AND(V2682=1,D2682&lt;&gt;""),IF(D2682&gt;=corte,TODAY()-D2682,""),"")</f>
        <v/>
      </c>
      <c r="V2682" s="8">
        <f>IF(D2682="",0,IF(OR(AND(P2682&lt;&gt;"",S2682=""),AND(N(J2682)&gt;0,N(K2682)&lt;J2682),OR(M2682="PENDENTE",M2682="PARCIAL"),OR(N2682="PENDENTE",N2682="PARCIAL")),1,0))</f>
        <v/>
      </c>
      <c r="W2682" s="8">
        <f>IF(AND(V2682=1,D2682&lt;&gt;""),IF(D2682&gt;=corte,(B2682="CRÍTICO")*1E9+(100000-D2682)*10000+10000-ROW(),""),"")</f>
        <v/>
      </c>
      <c r="X2682" s="8">
        <f>IF(AND(V2682=1,D2682=pas_data,E2682=pas_turno),10000-ROW(),"")</f>
        <v/>
      </c>
    </row>
    <row r="2683">
      <c r="A2683" s="3">
        <f>IF(D2683="","","TT-"&amp;TEXT(ROW()-1,"00000"))</f>
        <v/>
      </c>
      <c r="B2683" s="3">
        <f>IF(D2683="","",IF(V2683=0,"CONCLUÍDO",IF(D2683&lt;corte,"HISTÓRICO",IF(OR(AND(ISNUMBER(R2683),R2683&lt;TODAY()),AND(OR(N2683="PENDENTE",N2683="PARCIAL"),D2683&lt;TODAY()-1)),"CRÍTICO",IF(OR(AND(P2683&lt;&gt;"",S2683=""),AND(N2683="REALIZADO",M2683="PENDENTE"),AND(ISNUMBER(R2683),R2683=TODAY())),"ATENÇÃO",IF(N(K2683)=0,"PENDENTE","EM ANDAMENTO"))))))</f>
        <v/>
      </c>
      <c r="C2683" s="3">
        <f>IF(D2683="","",IF(V2683=0,"🟢 OK",IF(D2683&lt;corte,"⚪ HISTÓRICO (sem baixa)",IF(AND(ISNUMBER(R2683),R2683&lt;TODAY()),"🔴 PRAZO VENCIDO",IF(AND(OR(N2683="PENDENTE",N2683="PARCIAL"),D2683&lt;TODAY()-1),"🔴 EMBARQUE ATRASADO",IF(AND(N2683="REALIZADO",M2683="PENDENTE"),"🟡 EMBARCADO SEM FATURAR",IF(AND(P2683&lt;&gt;"",S2683="",OR(Q2683="",R2683="")),"🟡 PENDÊNCIA SEM RESPONSÁVEL/PRAZO",IF(AND(ISNUMBER(R2683),R2683=TODAY()),"🟡 VENCE HOJE",IF(AND(P2683&lt;&gt;"",S2683=""),"🟡 PENDÊNCIA ABERTA",IF(AND(N(J2683)&gt;0,N(K2683)&lt;J2683),"🟡 FALTA EXECUTAR",IF(OR(M2683="PENDENTE",M2683="PARCIAL"),"🟡 FATURAMENTO PENDENTE","🟡 EMBARQUE PENDENTE")))))))))))</f>
        <v/>
      </c>
      <c r="D2683" s="4" t="n"/>
      <c r="E2683" s="5" t="n"/>
      <c r="F2683" s="5" t="n"/>
      <c r="G2683" s="5" t="n"/>
      <c r="H2683" s="5" t="n"/>
      <c r="I2683" s="5" t="n"/>
      <c r="J2683" s="6" t="n"/>
      <c r="K2683" s="6" t="n"/>
      <c r="L2683" s="7">
        <f>IF(OR(D2683="",N(J2683)=0),"",MIN(1,N(K2683)/J2683))</f>
        <v/>
      </c>
      <c r="M2683" s="5" t="n"/>
      <c r="N2683" s="5" t="n"/>
      <c r="O2683" s="5" t="n"/>
      <c r="P2683" s="5" t="n"/>
      <c r="Q2683" s="5" t="n"/>
      <c r="R2683" s="4" t="n"/>
      <c r="S2683" s="4" t="n"/>
      <c r="T2683" s="5" t="n"/>
      <c r="U2683" s="8">
        <f>IF(AND(V2683=1,D2683&lt;&gt;""),IF(D2683&gt;=corte,TODAY()-D2683,""),"")</f>
        <v/>
      </c>
      <c r="V2683" s="8">
        <f>IF(D2683="",0,IF(OR(AND(P2683&lt;&gt;"",S2683=""),AND(N(J2683)&gt;0,N(K2683)&lt;J2683),OR(M2683="PENDENTE",M2683="PARCIAL"),OR(N2683="PENDENTE",N2683="PARCIAL")),1,0))</f>
        <v/>
      </c>
      <c r="W2683" s="8">
        <f>IF(AND(V2683=1,D2683&lt;&gt;""),IF(D2683&gt;=corte,(B2683="CRÍTICO")*1E9+(100000-D2683)*10000+10000-ROW(),""),"")</f>
        <v/>
      </c>
      <c r="X2683" s="8">
        <f>IF(AND(V2683=1,D2683=pas_data,E2683=pas_turno),10000-ROW(),"")</f>
        <v/>
      </c>
    </row>
    <row r="2684">
      <c r="A2684" s="3">
        <f>IF(D2684="","","TT-"&amp;TEXT(ROW()-1,"00000"))</f>
        <v/>
      </c>
      <c r="B2684" s="3">
        <f>IF(D2684="","",IF(V2684=0,"CONCLUÍDO",IF(D2684&lt;corte,"HISTÓRICO",IF(OR(AND(ISNUMBER(R2684),R2684&lt;TODAY()),AND(OR(N2684="PENDENTE",N2684="PARCIAL"),D2684&lt;TODAY()-1)),"CRÍTICO",IF(OR(AND(P2684&lt;&gt;"",S2684=""),AND(N2684="REALIZADO",M2684="PENDENTE"),AND(ISNUMBER(R2684),R2684=TODAY())),"ATENÇÃO",IF(N(K2684)=0,"PENDENTE","EM ANDAMENTO"))))))</f>
        <v/>
      </c>
      <c r="C2684" s="3">
        <f>IF(D2684="","",IF(V2684=0,"🟢 OK",IF(D2684&lt;corte,"⚪ HISTÓRICO (sem baixa)",IF(AND(ISNUMBER(R2684),R2684&lt;TODAY()),"🔴 PRAZO VENCIDO",IF(AND(OR(N2684="PENDENTE",N2684="PARCIAL"),D2684&lt;TODAY()-1),"🔴 EMBARQUE ATRASADO",IF(AND(N2684="REALIZADO",M2684="PENDENTE"),"🟡 EMBARCADO SEM FATURAR",IF(AND(P2684&lt;&gt;"",S2684="",OR(Q2684="",R2684="")),"🟡 PENDÊNCIA SEM RESPONSÁVEL/PRAZO",IF(AND(ISNUMBER(R2684),R2684=TODAY()),"🟡 VENCE HOJE",IF(AND(P2684&lt;&gt;"",S2684=""),"🟡 PENDÊNCIA ABERTA",IF(AND(N(J2684)&gt;0,N(K2684)&lt;J2684),"🟡 FALTA EXECUTAR",IF(OR(M2684="PENDENTE",M2684="PARCIAL"),"🟡 FATURAMENTO PENDENTE","🟡 EMBARQUE PENDENTE")))))))))))</f>
        <v/>
      </c>
      <c r="D2684" s="4" t="n"/>
      <c r="E2684" s="5" t="n"/>
      <c r="F2684" s="5" t="n"/>
      <c r="G2684" s="5" t="n"/>
      <c r="H2684" s="5" t="n"/>
      <c r="I2684" s="5" t="n"/>
      <c r="J2684" s="6" t="n"/>
      <c r="K2684" s="6" t="n"/>
      <c r="L2684" s="7">
        <f>IF(OR(D2684="",N(J2684)=0),"",MIN(1,N(K2684)/J2684))</f>
        <v/>
      </c>
      <c r="M2684" s="5" t="n"/>
      <c r="N2684" s="5" t="n"/>
      <c r="O2684" s="5" t="n"/>
      <c r="P2684" s="5" t="n"/>
      <c r="Q2684" s="5" t="n"/>
      <c r="R2684" s="4" t="n"/>
      <c r="S2684" s="4" t="n"/>
      <c r="T2684" s="5" t="n"/>
      <c r="U2684" s="8">
        <f>IF(AND(V2684=1,D2684&lt;&gt;""),IF(D2684&gt;=corte,TODAY()-D2684,""),"")</f>
        <v/>
      </c>
      <c r="V2684" s="8">
        <f>IF(D2684="",0,IF(OR(AND(P2684&lt;&gt;"",S2684=""),AND(N(J2684)&gt;0,N(K2684)&lt;J2684),OR(M2684="PENDENTE",M2684="PARCIAL"),OR(N2684="PENDENTE",N2684="PARCIAL")),1,0))</f>
        <v/>
      </c>
      <c r="W2684" s="8">
        <f>IF(AND(V2684=1,D2684&lt;&gt;""),IF(D2684&gt;=corte,(B2684="CRÍTICO")*1E9+(100000-D2684)*10000+10000-ROW(),""),"")</f>
        <v/>
      </c>
      <c r="X2684" s="8">
        <f>IF(AND(V2684=1,D2684=pas_data,E2684=pas_turno),10000-ROW(),"")</f>
        <v/>
      </c>
    </row>
    <row r="2685">
      <c r="A2685" s="3">
        <f>IF(D2685="","","TT-"&amp;TEXT(ROW()-1,"00000"))</f>
        <v/>
      </c>
      <c r="B2685" s="3">
        <f>IF(D2685="","",IF(V2685=0,"CONCLUÍDO",IF(D2685&lt;corte,"HISTÓRICO",IF(OR(AND(ISNUMBER(R2685),R2685&lt;TODAY()),AND(OR(N2685="PENDENTE",N2685="PARCIAL"),D2685&lt;TODAY()-1)),"CRÍTICO",IF(OR(AND(P2685&lt;&gt;"",S2685=""),AND(N2685="REALIZADO",M2685="PENDENTE"),AND(ISNUMBER(R2685),R2685=TODAY())),"ATENÇÃO",IF(N(K2685)=0,"PENDENTE","EM ANDAMENTO"))))))</f>
        <v/>
      </c>
      <c r="C2685" s="3">
        <f>IF(D2685="","",IF(V2685=0,"🟢 OK",IF(D2685&lt;corte,"⚪ HISTÓRICO (sem baixa)",IF(AND(ISNUMBER(R2685),R2685&lt;TODAY()),"🔴 PRAZO VENCIDO",IF(AND(OR(N2685="PENDENTE",N2685="PARCIAL"),D2685&lt;TODAY()-1),"🔴 EMBARQUE ATRASADO",IF(AND(N2685="REALIZADO",M2685="PENDENTE"),"🟡 EMBARCADO SEM FATURAR",IF(AND(P2685&lt;&gt;"",S2685="",OR(Q2685="",R2685="")),"🟡 PENDÊNCIA SEM RESPONSÁVEL/PRAZO",IF(AND(ISNUMBER(R2685),R2685=TODAY()),"🟡 VENCE HOJE",IF(AND(P2685&lt;&gt;"",S2685=""),"🟡 PENDÊNCIA ABERTA",IF(AND(N(J2685)&gt;0,N(K2685)&lt;J2685),"🟡 FALTA EXECUTAR",IF(OR(M2685="PENDENTE",M2685="PARCIAL"),"🟡 FATURAMENTO PENDENTE","🟡 EMBARQUE PENDENTE")))))))))))</f>
        <v/>
      </c>
      <c r="D2685" s="4" t="n"/>
      <c r="E2685" s="5" t="n"/>
      <c r="F2685" s="5" t="n"/>
      <c r="G2685" s="5" t="n"/>
      <c r="H2685" s="5" t="n"/>
      <c r="I2685" s="5" t="n"/>
      <c r="J2685" s="6" t="n"/>
      <c r="K2685" s="6" t="n"/>
      <c r="L2685" s="7">
        <f>IF(OR(D2685="",N(J2685)=0),"",MIN(1,N(K2685)/J2685))</f>
        <v/>
      </c>
      <c r="M2685" s="5" t="n"/>
      <c r="N2685" s="5" t="n"/>
      <c r="O2685" s="5" t="n"/>
      <c r="P2685" s="5" t="n"/>
      <c r="Q2685" s="5" t="n"/>
      <c r="R2685" s="4" t="n"/>
      <c r="S2685" s="4" t="n"/>
      <c r="T2685" s="5" t="n"/>
      <c r="U2685" s="8">
        <f>IF(AND(V2685=1,D2685&lt;&gt;""),IF(D2685&gt;=corte,TODAY()-D2685,""),"")</f>
        <v/>
      </c>
      <c r="V2685" s="8">
        <f>IF(D2685="",0,IF(OR(AND(P2685&lt;&gt;"",S2685=""),AND(N(J2685)&gt;0,N(K2685)&lt;J2685),OR(M2685="PENDENTE",M2685="PARCIAL"),OR(N2685="PENDENTE",N2685="PARCIAL")),1,0))</f>
        <v/>
      </c>
      <c r="W2685" s="8">
        <f>IF(AND(V2685=1,D2685&lt;&gt;""),IF(D2685&gt;=corte,(B2685="CRÍTICO")*1E9+(100000-D2685)*10000+10000-ROW(),""),"")</f>
        <v/>
      </c>
      <c r="X2685" s="8">
        <f>IF(AND(V2685=1,D2685=pas_data,E2685=pas_turno),10000-ROW(),"")</f>
        <v/>
      </c>
    </row>
    <row r="2686">
      <c r="A2686" s="3">
        <f>IF(D2686="","","TT-"&amp;TEXT(ROW()-1,"00000"))</f>
        <v/>
      </c>
      <c r="B2686" s="3">
        <f>IF(D2686="","",IF(V2686=0,"CONCLUÍDO",IF(D2686&lt;corte,"HISTÓRICO",IF(OR(AND(ISNUMBER(R2686),R2686&lt;TODAY()),AND(OR(N2686="PENDENTE",N2686="PARCIAL"),D2686&lt;TODAY()-1)),"CRÍTICO",IF(OR(AND(P2686&lt;&gt;"",S2686=""),AND(N2686="REALIZADO",M2686="PENDENTE"),AND(ISNUMBER(R2686),R2686=TODAY())),"ATENÇÃO",IF(N(K2686)=0,"PENDENTE","EM ANDAMENTO"))))))</f>
        <v/>
      </c>
      <c r="C2686" s="3">
        <f>IF(D2686="","",IF(V2686=0,"🟢 OK",IF(D2686&lt;corte,"⚪ HISTÓRICO (sem baixa)",IF(AND(ISNUMBER(R2686),R2686&lt;TODAY()),"🔴 PRAZO VENCIDO",IF(AND(OR(N2686="PENDENTE",N2686="PARCIAL"),D2686&lt;TODAY()-1),"🔴 EMBARQUE ATRASADO",IF(AND(N2686="REALIZADO",M2686="PENDENTE"),"🟡 EMBARCADO SEM FATURAR",IF(AND(P2686&lt;&gt;"",S2686="",OR(Q2686="",R2686="")),"🟡 PENDÊNCIA SEM RESPONSÁVEL/PRAZO",IF(AND(ISNUMBER(R2686),R2686=TODAY()),"🟡 VENCE HOJE",IF(AND(P2686&lt;&gt;"",S2686=""),"🟡 PENDÊNCIA ABERTA",IF(AND(N(J2686)&gt;0,N(K2686)&lt;J2686),"🟡 FALTA EXECUTAR",IF(OR(M2686="PENDENTE",M2686="PARCIAL"),"🟡 FATURAMENTO PENDENTE","🟡 EMBARQUE PENDENTE")))))))))))</f>
        <v/>
      </c>
      <c r="D2686" s="4" t="n"/>
      <c r="E2686" s="5" t="n"/>
      <c r="F2686" s="5" t="n"/>
      <c r="G2686" s="5" t="n"/>
      <c r="H2686" s="5" t="n"/>
      <c r="I2686" s="5" t="n"/>
      <c r="J2686" s="6" t="n"/>
      <c r="K2686" s="6" t="n"/>
      <c r="L2686" s="7">
        <f>IF(OR(D2686="",N(J2686)=0),"",MIN(1,N(K2686)/J2686))</f>
        <v/>
      </c>
      <c r="M2686" s="5" t="n"/>
      <c r="N2686" s="5" t="n"/>
      <c r="O2686" s="5" t="n"/>
      <c r="P2686" s="5" t="n"/>
      <c r="Q2686" s="5" t="n"/>
      <c r="R2686" s="4" t="n"/>
      <c r="S2686" s="4" t="n"/>
      <c r="T2686" s="5" t="n"/>
      <c r="U2686" s="8">
        <f>IF(AND(V2686=1,D2686&lt;&gt;""),IF(D2686&gt;=corte,TODAY()-D2686,""),"")</f>
        <v/>
      </c>
      <c r="V2686" s="8">
        <f>IF(D2686="",0,IF(OR(AND(P2686&lt;&gt;"",S2686=""),AND(N(J2686)&gt;0,N(K2686)&lt;J2686),OR(M2686="PENDENTE",M2686="PARCIAL"),OR(N2686="PENDENTE",N2686="PARCIAL")),1,0))</f>
        <v/>
      </c>
      <c r="W2686" s="8">
        <f>IF(AND(V2686=1,D2686&lt;&gt;""),IF(D2686&gt;=corte,(B2686="CRÍTICO")*1E9+(100000-D2686)*10000+10000-ROW(),""),"")</f>
        <v/>
      </c>
      <c r="X2686" s="8">
        <f>IF(AND(V2686=1,D2686=pas_data,E2686=pas_turno),10000-ROW(),"")</f>
        <v/>
      </c>
    </row>
    <row r="2687">
      <c r="A2687" s="3">
        <f>IF(D2687="","","TT-"&amp;TEXT(ROW()-1,"00000"))</f>
        <v/>
      </c>
      <c r="B2687" s="3">
        <f>IF(D2687="","",IF(V2687=0,"CONCLUÍDO",IF(D2687&lt;corte,"HISTÓRICO",IF(OR(AND(ISNUMBER(R2687),R2687&lt;TODAY()),AND(OR(N2687="PENDENTE",N2687="PARCIAL"),D2687&lt;TODAY()-1)),"CRÍTICO",IF(OR(AND(P2687&lt;&gt;"",S2687=""),AND(N2687="REALIZADO",M2687="PENDENTE"),AND(ISNUMBER(R2687),R2687=TODAY())),"ATENÇÃO",IF(N(K2687)=0,"PENDENTE","EM ANDAMENTO"))))))</f>
        <v/>
      </c>
      <c r="C2687" s="3">
        <f>IF(D2687="","",IF(V2687=0,"🟢 OK",IF(D2687&lt;corte,"⚪ HISTÓRICO (sem baixa)",IF(AND(ISNUMBER(R2687),R2687&lt;TODAY()),"🔴 PRAZO VENCIDO",IF(AND(OR(N2687="PENDENTE",N2687="PARCIAL"),D2687&lt;TODAY()-1),"🔴 EMBARQUE ATRASADO",IF(AND(N2687="REALIZADO",M2687="PENDENTE"),"🟡 EMBARCADO SEM FATURAR",IF(AND(P2687&lt;&gt;"",S2687="",OR(Q2687="",R2687="")),"🟡 PENDÊNCIA SEM RESPONSÁVEL/PRAZO",IF(AND(ISNUMBER(R2687),R2687=TODAY()),"🟡 VENCE HOJE",IF(AND(P2687&lt;&gt;"",S2687=""),"🟡 PENDÊNCIA ABERTA",IF(AND(N(J2687)&gt;0,N(K2687)&lt;J2687),"🟡 FALTA EXECUTAR",IF(OR(M2687="PENDENTE",M2687="PARCIAL"),"🟡 FATURAMENTO PENDENTE","🟡 EMBARQUE PENDENTE")))))))))))</f>
        <v/>
      </c>
      <c r="D2687" s="4" t="n"/>
      <c r="E2687" s="5" t="n"/>
      <c r="F2687" s="5" t="n"/>
      <c r="G2687" s="5" t="n"/>
      <c r="H2687" s="5" t="n"/>
      <c r="I2687" s="5" t="n"/>
      <c r="J2687" s="6" t="n"/>
      <c r="K2687" s="6" t="n"/>
      <c r="L2687" s="7">
        <f>IF(OR(D2687="",N(J2687)=0),"",MIN(1,N(K2687)/J2687))</f>
        <v/>
      </c>
      <c r="M2687" s="5" t="n"/>
      <c r="N2687" s="5" t="n"/>
      <c r="O2687" s="5" t="n"/>
      <c r="P2687" s="5" t="n"/>
      <c r="Q2687" s="5" t="n"/>
      <c r="R2687" s="4" t="n"/>
      <c r="S2687" s="4" t="n"/>
      <c r="T2687" s="5" t="n"/>
      <c r="U2687" s="8">
        <f>IF(AND(V2687=1,D2687&lt;&gt;""),IF(D2687&gt;=corte,TODAY()-D2687,""),"")</f>
        <v/>
      </c>
      <c r="V2687" s="8">
        <f>IF(D2687="",0,IF(OR(AND(P2687&lt;&gt;"",S2687=""),AND(N(J2687)&gt;0,N(K2687)&lt;J2687),OR(M2687="PENDENTE",M2687="PARCIAL"),OR(N2687="PENDENTE",N2687="PARCIAL")),1,0))</f>
        <v/>
      </c>
      <c r="W2687" s="8">
        <f>IF(AND(V2687=1,D2687&lt;&gt;""),IF(D2687&gt;=corte,(B2687="CRÍTICO")*1E9+(100000-D2687)*10000+10000-ROW(),""),"")</f>
        <v/>
      </c>
      <c r="X2687" s="8">
        <f>IF(AND(V2687=1,D2687=pas_data,E2687=pas_turno),10000-ROW(),"")</f>
        <v/>
      </c>
    </row>
    <row r="2688">
      <c r="A2688" s="3">
        <f>IF(D2688="","","TT-"&amp;TEXT(ROW()-1,"00000"))</f>
        <v/>
      </c>
      <c r="B2688" s="3">
        <f>IF(D2688="","",IF(V2688=0,"CONCLUÍDO",IF(D2688&lt;corte,"HISTÓRICO",IF(OR(AND(ISNUMBER(R2688),R2688&lt;TODAY()),AND(OR(N2688="PENDENTE",N2688="PARCIAL"),D2688&lt;TODAY()-1)),"CRÍTICO",IF(OR(AND(P2688&lt;&gt;"",S2688=""),AND(N2688="REALIZADO",M2688="PENDENTE"),AND(ISNUMBER(R2688),R2688=TODAY())),"ATENÇÃO",IF(N(K2688)=0,"PENDENTE","EM ANDAMENTO"))))))</f>
        <v/>
      </c>
      <c r="C2688" s="3">
        <f>IF(D2688="","",IF(V2688=0,"🟢 OK",IF(D2688&lt;corte,"⚪ HISTÓRICO (sem baixa)",IF(AND(ISNUMBER(R2688),R2688&lt;TODAY()),"🔴 PRAZO VENCIDO",IF(AND(OR(N2688="PENDENTE",N2688="PARCIAL"),D2688&lt;TODAY()-1),"🔴 EMBARQUE ATRASADO",IF(AND(N2688="REALIZADO",M2688="PENDENTE"),"🟡 EMBARCADO SEM FATURAR",IF(AND(P2688&lt;&gt;"",S2688="",OR(Q2688="",R2688="")),"🟡 PENDÊNCIA SEM RESPONSÁVEL/PRAZO",IF(AND(ISNUMBER(R2688),R2688=TODAY()),"🟡 VENCE HOJE",IF(AND(P2688&lt;&gt;"",S2688=""),"🟡 PENDÊNCIA ABERTA",IF(AND(N(J2688)&gt;0,N(K2688)&lt;J2688),"🟡 FALTA EXECUTAR",IF(OR(M2688="PENDENTE",M2688="PARCIAL"),"🟡 FATURAMENTO PENDENTE","🟡 EMBARQUE PENDENTE")))))))))))</f>
        <v/>
      </c>
      <c r="D2688" s="4" t="n"/>
      <c r="E2688" s="5" t="n"/>
      <c r="F2688" s="5" t="n"/>
      <c r="G2688" s="5" t="n"/>
      <c r="H2688" s="5" t="n"/>
      <c r="I2688" s="5" t="n"/>
      <c r="J2688" s="6" t="n"/>
      <c r="K2688" s="6" t="n"/>
      <c r="L2688" s="7">
        <f>IF(OR(D2688="",N(J2688)=0),"",MIN(1,N(K2688)/J2688))</f>
        <v/>
      </c>
      <c r="M2688" s="5" t="n"/>
      <c r="N2688" s="5" t="n"/>
      <c r="O2688" s="5" t="n"/>
      <c r="P2688" s="5" t="n"/>
      <c r="Q2688" s="5" t="n"/>
      <c r="R2688" s="4" t="n"/>
      <c r="S2688" s="4" t="n"/>
      <c r="T2688" s="5" t="n"/>
      <c r="U2688" s="8">
        <f>IF(AND(V2688=1,D2688&lt;&gt;""),IF(D2688&gt;=corte,TODAY()-D2688,""),"")</f>
        <v/>
      </c>
      <c r="V2688" s="8">
        <f>IF(D2688="",0,IF(OR(AND(P2688&lt;&gt;"",S2688=""),AND(N(J2688)&gt;0,N(K2688)&lt;J2688),OR(M2688="PENDENTE",M2688="PARCIAL"),OR(N2688="PENDENTE",N2688="PARCIAL")),1,0))</f>
        <v/>
      </c>
      <c r="W2688" s="8">
        <f>IF(AND(V2688=1,D2688&lt;&gt;""),IF(D2688&gt;=corte,(B2688="CRÍTICO")*1E9+(100000-D2688)*10000+10000-ROW(),""),"")</f>
        <v/>
      </c>
      <c r="X2688" s="8">
        <f>IF(AND(V2688=1,D2688=pas_data,E2688=pas_turno),10000-ROW(),"")</f>
        <v/>
      </c>
    </row>
    <row r="2689">
      <c r="A2689" s="3">
        <f>IF(D2689="","","TT-"&amp;TEXT(ROW()-1,"00000"))</f>
        <v/>
      </c>
      <c r="B2689" s="3">
        <f>IF(D2689="","",IF(V2689=0,"CONCLUÍDO",IF(D2689&lt;corte,"HISTÓRICO",IF(OR(AND(ISNUMBER(R2689),R2689&lt;TODAY()),AND(OR(N2689="PENDENTE",N2689="PARCIAL"),D2689&lt;TODAY()-1)),"CRÍTICO",IF(OR(AND(P2689&lt;&gt;"",S2689=""),AND(N2689="REALIZADO",M2689="PENDENTE"),AND(ISNUMBER(R2689),R2689=TODAY())),"ATENÇÃO",IF(N(K2689)=0,"PENDENTE","EM ANDAMENTO"))))))</f>
        <v/>
      </c>
      <c r="C2689" s="3">
        <f>IF(D2689="","",IF(V2689=0,"🟢 OK",IF(D2689&lt;corte,"⚪ HISTÓRICO (sem baixa)",IF(AND(ISNUMBER(R2689),R2689&lt;TODAY()),"🔴 PRAZO VENCIDO",IF(AND(OR(N2689="PENDENTE",N2689="PARCIAL"),D2689&lt;TODAY()-1),"🔴 EMBARQUE ATRASADO",IF(AND(N2689="REALIZADO",M2689="PENDENTE"),"🟡 EMBARCADO SEM FATURAR",IF(AND(P2689&lt;&gt;"",S2689="",OR(Q2689="",R2689="")),"🟡 PENDÊNCIA SEM RESPONSÁVEL/PRAZO",IF(AND(ISNUMBER(R2689),R2689=TODAY()),"🟡 VENCE HOJE",IF(AND(P2689&lt;&gt;"",S2689=""),"🟡 PENDÊNCIA ABERTA",IF(AND(N(J2689)&gt;0,N(K2689)&lt;J2689),"🟡 FALTA EXECUTAR",IF(OR(M2689="PENDENTE",M2689="PARCIAL"),"🟡 FATURAMENTO PENDENTE","🟡 EMBARQUE PENDENTE")))))))))))</f>
        <v/>
      </c>
      <c r="D2689" s="4" t="n"/>
      <c r="E2689" s="5" t="n"/>
      <c r="F2689" s="5" t="n"/>
      <c r="G2689" s="5" t="n"/>
      <c r="H2689" s="5" t="n"/>
      <c r="I2689" s="5" t="n"/>
      <c r="J2689" s="6" t="n"/>
      <c r="K2689" s="6" t="n"/>
      <c r="L2689" s="7">
        <f>IF(OR(D2689="",N(J2689)=0),"",MIN(1,N(K2689)/J2689))</f>
        <v/>
      </c>
      <c r="M2689" s="5" t="n"/>
      <c r="N2689" s="5" t="n"/>
      <c r="O2689" s="5" t="n"/>
      <c r="P2689" s="5" t="n"/>
      <c r="Q2689" s="5" t="n"/>
      <c r="R2689" s="4" t="n"/>
      <c r="S2689" s="4" t="n"/>
      <c r="T2689" s="5" t="n"/>
      <c r="U2689" s="8">
        <f>IF(AND(V2689=1,D2689&lt;&gt;""),IF(D2689&gt;=corte,TODAY()-D2689,""),"")</f>
        <v/>
      </c>
      <c r="V2689" s="8">
        <f>IF(D2689="",0,IF(OR(AND(P2689&lt;&gt;"",S2689=""),AND(N(J2689)&gt;0,N(K2689)&lt;J2689),OR(M2689="PENDENTE",M2689="PARCIAL"),OR(N2689="PENDENTE",N2689="PARCIAL")),1,0))</f>
        <v/>
      </c>
      <c r="W2689" s="8">
        <f>IF(AND(V2689=1,D2689&lt;&gt;""),IF(D2689&gt;=corte,(B2689="CRÍTICO")*1E9+(100000-D2689)*10000+10000-ROW(),""),"")</f>
        <v/>
      </c>
      <c r="X2689" s="8">
        <f>IF(AND(V2689=1,D2689=pas_data,E2689=pas_turno),10000-ROW(),"")</f>
        <v/>
      </c>
    </row>
    <row r="2690">
      <c r="A2690" s="3">
        <f>IF(D2690="","","TT-"&amp;TEXT(ROW()-1,"00000"))</f>
        <v/>
      </c>
      <c r="B2690" s="3">
        <f>IF(D2690="","",IF(V2690=0,"CONCLUÍDO",IF(D2690&lt;corte,"HISTÓRICO",IF(OR(AND(ISNUMBER(R2690),R2690&lt;TODAY()),AND(OR(N2690="PENDENTE",N2690="PARCIAL"),D2690&lt;TODAY()-1)),"CRÍTICO",IF(OR(AND(P2690&lt;&gt;"",S2690=""),AND(N2690="REALIZADO",M2690="PENDENTE"),AND(ISNUMBER(R2690),R2690=TODAY())),"ATENÇÃO",IF(N(K2690)=0,"PENDENTE","EM ANDAMENTO"))))))</f>
        <v/>
      </c>
      <c r="C2690" s="3">
        <f>IF(D2690="","",IF(V2690=0,"🟢 OK",IF(D2690&lt;corte,"⚪ HISTÓRICO (sem baixa)",IF(AND(ISNUMBER(R2690),R2690&lt;TODAY()),"🔴 PRAZO VENCIDO",IF(AND(OR(N2690="PENDENTE",N2690="PARCIAL"),D2690&lt;TODAY()-1),"🔴 EMBARQUE ATRASADO",IF(AND(N2690="REALIZADO",M2690="PENDENTE"),"🟡 EMBARCADO SEM FATURAR",IF(AND(P2690&lt;&gt;"",S2690="",OR(Q2690="",R2690="")),"🟡 PENDÊNCIA SEM RESPONSÁVEL/PRAZO",IF(AND(ISNUMBER(R2690),R2690=TODAY()),"🟡 VENCE HOJE",IF(AND(P2690&lt;&gt;"",S2690=""),"🟡 PENDÊNCIA ABERTA",IF(AND(N(J2690)&gt;0,N(K2690)&lt;J2690),"🟡 FALTA EXECUTAR",IF(OR(M2690="PENDENTE",M2690="PARCIAL"),"🟡 FATURAMENTO PENDENTE","🟡 EMBARQUE PENDENTE")))))))))))</f>
        <v/>
      </c>
      <c r="D2690" s="4" t="n"/>
      <c r="E2690" s="5" t="n"/>
      <c r="F2690" s="5" t="n"/>
      <c r="G2690" s="5" t="n"/>
      <c r="H2690" s="5" t="n"/>
      <c r="I2690" s="5" t="n"/>
      <c r="J2690" s="6" t="n"/>
      <c r="K2690" s="6" t="n"/>
      <c r="L2690" s="7">
        <f>IF(OR(D2690="",N(J2690)=0),"",MIN(1,N(K2690)/J2690))</f>
        <v/>
      </c>
      <c r="M2690" s="5" t="n"/>
      <c r="N2690" s="5" t="n"/>
      <c r="O2690" s="5" t="n"/>
      <c r="P2690" s="5" t="n"/>
      <c r="Q2690" s="5" t="n"/>
      <c r="R2690" s="4" t="n"/>
      <c r="S2690" s="4" t="n"/>
      <c r="T2690" s="5" t="n"/>
      <c r="U2690" s="8">
        <f>IF(AND(V2690=1,D2690&lt;&gt;""),IF(D2690&gt;=corte,TODAY()-D2690,""),"")</f>
        <v/>
      </c>
      <c r="V2690" s="8">
        <f>IF(D2690="",0,IF(OR(AND(P2690&lt;&gt;"",S2690=""),AND(N(J2690)&gt;0,N(K2690)&lt;J2690),OR(M2690="PENDENTE",M2690="PARCIAL"),OR(N2690="PENDENTE",N2690="PARCIAL")),1,0))</f>
        <v/>
      </c>
      <c r="W2690" s="8">
        <f>IF(AND(V2690=1,D2690&lt;&gt;""),IF(D2690&gt;=corte,(B2690="CRÍTICO")*1E9+(100000-D2690)*10000+10000-ROW(),""),"")</f>
        <v/>
      </c>
      <c r="X2690" s="8">
        <f>IF(AND(V2690=1,D2690=pas_data,E2690=pas_turno),10000-ROW(),"")</f>
        <v/>
      </c>
    </row>
    <row r="2691">
      <c r="A2691" s="3">
        <f>IF(D2691="","","TT-"&amp;TEXT(ROW()-1,"00000"))</f>
        <v/>
      </c>
      <c r="B2691" s="3">
        <f>IF(D2691="","",IF(V2691=0,"CONCLUÍDO",IF(D2691&lt;corte,"HISTÓRICO",IF(OR(AND(ISNUMBER(R2691),R2691&lt;TODAY()),AND(OR(N2691="PENDENTE",N2691="PARCIAL"),D2691&lt;TODAY()-1)),"CRÍTICO",IF(OR(AND(P2691&lt;&gt;"",S2691=""),AND(N2691="REALIZADO",M2691="PENDENTE"),AND(ISNUMBER(R2691),R2691=TODAY())),"ATENÇÃO",IF(N(K2691)=0,"PENDENTE","EM ANDAMENTO"))))))</f>
        <v/>
      </c>
      <c r="C2691" s="3">
        <f>IF(D2691="","",IF(V2691=0,"🟢 OK",IF(D2691&lt;corte,"⚪ HISTÓRICO (sem baixa)",IF(AND(ISNUMBER(R2691),R2691&lt;TODAY()),"🔴 PRAZO VENCIDO",IF(AND(OR(N2691="PENDENTE",N2691="PARCIAL"),D2691&lt;TODAY()-1),"🔴 EMBARQUE ATRASADO",IF(AND(N2691="REALIZADO",M2691="PENDENTE"),"🟡 EMBARCADO SEM FATURAR",IF(AND(P2691&lt;&gt;"",S2691="",OR(Q2691="",R2691="")),"🟡 PENDÊNCIA SEM RESPONSÁVEL/PRAZO",IF(AND(ISNUMBER(R2691),R2691=TODAY()),"🟡 VENCE HOJE",IF(AND(P2691&lt;&gt;"",S2691=""),"🟡 PENDÊNCIA ABERTA",IF(AND(N(J2691)&gt;0,N(K2691)&lt;J2691),"🟡 FALTA EXECUTAR",IF(OR(M2691="PENDENTE",M2691="PARCIAL"),"🟡 FATURAMENTO PENDENTE","🟡 EMBARQUE PENDENTE")))))))))))</f>
        <v/>
      </c>
      <c r="D2691" s="4" t="n"/>
      <c r="E2691" s="5" t="n"/>
      <c r="F2691" s="5" t="n"/>
      <c r="G2691" s="5" t="n"/>
      <c r="H2691" s="5" t="n"/>
      <c r="I2691" s="5" t="n"/>
      <c r="J2691" s="6" t="n"/>
      <c r="K2691" s="6" t="n"/>
      <c r="L2691" s="7">
        <f>IF(OR(D2691="",N(J2691)=0),"",MIN(1,N(K2691)/J2691))</f>
        <v/>
      </c>
      <c r="M2691" s="5" t="n"/>
      <c r="N2691" s="5" t="n"/>
      <c r="O2691" s="5" t="n"/>
      <c r="P2691" s="5" t="n"/>
      <c r="Q2691" s="5" t="n"/>
      <c r="R2691" s="4" t="n"/>
      <c r="S2691" s="4" t="n"/>
      <c r="T2691" s="5" t="n"/>
      <c r="U2691" s="8">
        <f>IF(AND(V2691=1,D2691&lt;&gt;""),IF(D2691&gt;=corte,TODAY()-D2691,""),"")</f>
        <v/>
      </c>
      <c r="V2691" s="8">
        <f>IF(D2691="",0,IF(OR(AND(P2691&lt;&gt;"",S2691=""),AND(N(J2691)&gt;0,N(K2691)&lt;J2691),OR(M2691="PENDENTE",M2691="PARCIAL"),OR(N2691="PENDENTE",N2691="PARCIAL")),1,0))</f>
        <v/>
      </c>
      <c r="W2691" s="8">
        <f>IF(AND(V2691=1,D2691&lt;&gt;""),IF(D2691&gt;=corte,(B2691="CRÍTICO")*1E9+(100000-D2691)*10000+10000-ROW(),""),"")</f>
        <v/>
      </c>
      <c r="X2691" s="8">
        <f>IF(AND(V2691=1,D2691=pas_data,E2691=pas_turno),10000-ROW(),"")</f>
        <v/>
      </c>
    </row>
    <row r="2692">
      <c r="A2692" s="3">
        <f>IF(D2692="","","TT-"&amp;TEXT(ROW()-1,"00000"))</f>
        <v/>
      </c>
      <c r="B2692" s="3">
        <f>IF(D2692="","",IF(V2692=0,"CONCLUÍDO",IF(D2692&lt;corte,"HISTÓRICO",IF(OR(AND(ISNUMBER(R2692),R2692&lt;TODAY()),AND(OR(N2692="PENDENTE",N2692="PARCIAL"),D2692&lt;TODAY()-1)),"CRÍTICO",IF(OR(AND(P2692&lt;&gt;"",S2692=""),AND(N2692="REALIZADO",M2692="PENDENTE"),AND(ISNUMBER(R2692),R2692=TODAY())),"ATENÇÃO",IF(N(K2692)=0,"PENDENTE","EM ANDAMENTO"))))))</f>
        <v/>
      </c>
      <c r="C2692" s="3">
        <f>IF(D2692="","",IF(V2692=0,"🟢 OK",IF(D2692&lt;corte,"⚪ HISTÓRICO (sem baixa)",IF(AND(ISNUMBER(R2692),R2692&lt;TODAY()),"🔴 PRAZO VENCIDO",IF(AND(OR(N2692="PENDENTE",N2692="PARCIAL"),D2692&lt;TODAY()-1),"🔴 EMBARQUE ATRASADO",IF(AND(N2692="REALIZADO",M2692="PENDENTE"),"🟡 EMBARCADO SEM FATURAR",IF(AND(P2692&lt;&gt;"",S2692="",OR(Q2692="",R2692="")),"🟡 PENDÊNCIA SEM RESPONSÁVEL/PRAZO",IF(AND(ISNUMBER(R2692),R2692=TODAY()),"🟡 VENCE HOJE",IF(AND(P2692&lt;&gt;"",S2692=""),"🟡 PENDÊNCIA ABERTA",IF(AND(N(J2692)&gt;0,N(K2692)&lt;J2692),"🟡 FALTA EXECUTAR",IF(OR(M2692="PENDENTE",M2692="PARCIAL"),"🟡 FATURAMENTO PENDENTE","🟡 EMBARQUE PENDENTE")))))))))))</f>
        <v/>
      </c>
      <c r="D2692" s="4" t="n"/>
      <c r="E2692" s="5" t="n"/>
      <c r="F2692" s="5" t="n"/>
      <c r="G2692" s="5" t="n"/>
      <c r="H2692" s="5" t="n"/>
      <c r="I2692" s="5" t="n"/>
      <c r="J2692" s="6" t="n"/>
      <c r="K2692" s="6" t="n"/>
      <c r="L2692" s="7">
        <f>IF(OR(D2692="",N(J2692)=0),"",MIN(1,N(K2692)/J2692))</f>
        <v/>
      </c>
      <c r="M2692" s="5" t="n"/>
      <c r="N2692" s="5" t="n"/>
      <c r="O2692" s="5" t="n"/>
      <c r="P2692" s="5" t="n"/>
      <c r="Q2692" s="5" t="n"/>
      <c r="R2692" s="4" t="n"/>
      <c r="S2692" s="4" t="n"/>
      <c r="T2692" s="5" t="n"/>
      <c r="U2692" s="8">
        <f>IF(AND(V2692=1,D2692&lt;&gt;""),IF(D2692&gt;=corte,TODAY()-D2692,""),"")</f>
        <v/>
      </c>
      <c r="V2692" s="8">
        <f>IF(D2692="",0,IF(OR(AND(P2692&lt;&gt;"",S2692=""),AND(N(J2692)&gt;0,N(K2692)&lt;J2692),OR(M2692="PENDENTE",M2692="PARCIAL"),OR(N2692="PENDENTE",N2692="PARCIAL")),1,0))</f>
        <v/>
      </c>
      <c r="W2692" s="8">
        <f>IF(AND(V2692=1,D2692&lt;&gt;""),IF(D2692&gt;=corte,(B2692="CRÍTICO")*1E9+(100000-D2692)*10000+10000-ROW(),""),"")</f>
        <v/>
      </c>
      <c r="X2692" s="8">
        <f>IF(AND(V2692=1,D2692=pas_data,E2692=pas_turno),10000-ROW(),"")</f>
        <v/>
      </c>
    </row>
    <row r="2693">
      <c r="A2693" s="3">
        <f>IF(D2693="","","TT-"&amp;TEXT(ROW()-1,"00000"))</f>
        <v/>
      </c>
      <c r="B2693" s="3">
        <f>IF(D2693="","",IF(V2693=0,"CONCLUÍDO",IF(D2693&lt;corte,"HISTÓRICO",IF(OR(AND(ISNUMBER(R2693),R2693&lt;TODAY()),AND(OR(N2693="PENDENTE",N2693="PARCIAL"),D2693&lt;TODAY()-1)),"CRÍTICO",IF(OR(AND(P2693&lt;&gt;"",S2693=""),AND(N2693="REALIZADO",M2693="PENDENTE"),AND(ISNUMBER(R2693),R2693=TODAY())),"ATENÇÃO",IF(N(K2693)=0,"PENDENTE","EM ANDAMENTO"))))))</f>
        <v/>
      </c>
      <c r="C2693" s="3">
        <f>IF(D2693="","",IF(V2693=0,"🟢 OK",IF(D2693&lt;corte,"⚪ HISTÓRICO (sem baixa)",IF(AND(ISNUMBER(R2693),R2693&lt;TODAY()),"🔴 PRAZO VENCIDO",IF(AND(OR(N2693="PENDENTE",N2693="PARCIAL"),D2693&lt;TODAY()-1),"🔴 EMBARQUE ATRASADO",IF(AND(N2693="REALIZADO",M2693="PENDENTE"),"🟡 EMBARCADO SEM FATURAR",IF(AND(P2693&lt;&gt;"",S2693="",OR(Q2693="",R2693="")),"🟡 PENDÊNCIA SEM RESPONSÁVEL/PRAZO",IF(AND(ISNUMBER(R2693),R2693=TODAY()),"🟡 VENCE HOJE",IF(AND(P2693&lt;&gt;"",S2693=""),"🟡 PENDÊNCIA ABERTA",IF(AND(N(J2693)&gt;0,N(K2693)&lt;J2693),"🟡 FALTA EXECUTAR",IF(OR(M2693="PENDENTE",M2693="PARCIAL"),"🟡 FATURAMENTO PENDENTE","🟡 EMBARQUE PENDENTE")))))))))))</f>
        <v/>
      </c>
      <c r="D2693" s="4" t="n"/>
      <c r="E2693" s="5" t="n"/>
      <c r="F2693" s="5" t="n"/>
      <c r="G2693" s="5" t="n"/>
      <c r="H2693" s="5" t="n"/>
      <c r="I2693" s="5" t="n"/>
      <c r="J2693" s="6" t="n"/>
      <c r="K2693" s="6" t="n"/>
      <c r="L2693" s="7">
        <f>IF(OR(D2693="",N(J2693)=0),"",MIN(1,N(K2693)/J2693))</f>
        <v/>
      </c>
      <c r="M2693" s="5" t="n"/>
      <c r="N2693" s="5" t="n"/>
      <c r="O2693" s="5" t="n"/>
      <c r="P2693" s="5" t="n"/>
      <c r="Q2693" s="5" t="n"/>
      <c r="R2693" s="4" t="n"/>
      <c r="S2693" s="4" t="n"/>
      <c r="T2693" s="5" t="n"/>
      <c r="U2693" s="8">
        <f>IF(AND(V2693=1,D2693&lt;&gt;""),IF(D2693&gt;=corte,TODAY()-D2693,""),"")</f>
        <v/>
      </c>
      <c r="V2693" s="8">
        <f>IF(D2693="",0,IF(OR(AND(P2693&lt;&gt;"",S2693=""),AND(N(J2693)&gt;0,N(K2693)&lt;J2693),OR(M2693="PENDENTE",M2693="PARCIAL"),OR(N2693="PENDENTE",N2693="PARCIAL")),1,0))</f>
        <v/>
      </c>
      <c r="W2693" s="8">
        <f>IF(AND(V2693=1,D2693&lt;&gt;""),IF(D2693&gt;=corte,(B2693="CRÍTICO")*1E9+(100000-D2693)*10000+10000-ROW(),""),"")</f>
        <v/>
      </c>
      <c r="X2693" s="8">
        <f>IF(AND(V2693=1,D2693=pas_data,E2693=pas_turno),10000-ROW(),"")</f>
        <v/>
      </c>
    </row>
    <row r="2694">
      <c r="A2694" s="3">
        <f>IF(D2694="","","TT-"&amp;TEXT(ROW()-1,"00000"))</f>
        <v/>
      </c>
      <c r="B2694" s="3">
        <f>IF(D2694="","",IF(V2694=0,"CONCLUÍDO",IF(D2694&lt;corte,"HISTÓRICO",IF(OR(AND(ISNUMBER(R2694),R2694&lt;TODAY()),AND(OR(N2694="PENDENTE",N2694="PARCIAL"),D2694&lt;TODAY()-1)),"CRÍTICO",IF(OR(AND(P2694&lt;&gt;"",S2694=""),AND(N2694="REALIZADO",M2694="PENDENTE"),AND(ISNUMBER(R2694),R2694=TODAY())),"ATENÇÃO",IF(N(K2694)=0,"PENDENTE","EM ANDAMENTO"))))))</f>
        <v/>
      </c>
      <c r="C2694" s="3">
        <f>IF(D2694="","",IF(V2694=0,"🟢 OK",IF(D2694&lt;corte,"⚪ HISTÓRICO (sem baixa)",IF(AND(ISNUMBER(R2694),R2694&lt;TODAY()),"🔴 PRAZO VENCIDO",IF(AND(OR(N2694="PENDENTE",N2694="PARCIAL"),D2694&lt;TODAY()-1),"🔴 EMBARQUE ATRASADO",IF(AND(N2694="REALIZADO",M2694="PENDENTE"),"🟡 EMBARCADO SEM FATURAR",IF(AND(P2694&lt;&gt;"",S2694="",OR(Q2694="",R2694="")),"🟡 PENDÊNCIA SEM RESPONSÁVEL/PRAZO",IF(AND(ISNUMBER(R2694),R2694=TODAY()),"🟡 VENCE HOJE",IF(AND(P2694&lt;&gt;"",S2694=""),"🟡 PENDÊNCIA ABERTA",IF(AND(N(J2694)&gt;0,N(K2694)&lt;J2694),"🟡 FALTA EXECUTAR",IF(OR(M2694="PENDENTE",M2694="PARCIAL"),"🟡 FATURAMENTO PENDENTE","🟡 EMBARQUE PENDENTE")))))))))))</f>
        <v/>
      </c>
      <c r="D2694" s="4" t="n"/>
      <c r="E2694" s="5" t="n"/>
      <c r="F2694" s="5" t="n"/>
      <c r="G2694" s="5" t="n"/>
      <c r="H2694" s="5" t="n"/>
      <c r="I2694" s="5" t="n"/>
      <c r="J2694" s="6" t="n"/>
      <c r="K2694" s="6" t="n"/>
      <c r="L2694" s="7">
        <f>IF(OR(D2694="",N(J2694)=0),"",MIN(1,N(K2694)/J2694))</f>
        <v/>
      </c>
      <c r="M2694" s="5" t="n"/>
      <c r="N2694" s="5" t="n"/>
      <c r="O2694" s="5" t="n"/>
      <c r="P2694" s="5" t="n"/>
      <c r="Q2694" s="5" t="n"/>
      <c r="R2694" s="4" t="n"/>
      <c r="S2694" s="4" t="n"/>
      <c r="T2694" s="5" t="n"/>
      <c r="U2694" s="8">
        <f>IF(AND(V2694=1,D2694&lt;&gt;""),IF(D2694&gt;=corte,TODAY()-D2694,""),"")</f>
        <v/>
      </c>
      <c r="V2694" s="8">
        <f>IF(D2694="",0,IF(OR(AND(P2694&lt;&gt;"",S2694=""),AND(N(J2694)&gt;0,N(K2694)&lt;J2694),OR(M2694="PENDENTE",M2694="PARCIAL"),OR(N2694="PENDENTE",N2694="PARCIAL")),1,0))</f>
        <v/>
      </c>
      <c r="W2694" s="8">
        <f>IF(AND(V2694=1,D2694&lt;&gt;""),IF(D2694&gt;=corte,(B2694="CRÍTICO")*1E9+(100000-D2694)*10000+10000-ROW(),""),"")</f>
        <v/>
      </c>
      <c r="X2694" s="8">
        <f>IF(AND(V2694=1,D2694=pas_data,E2694=pas_turno),10000-ROW(),"")</f>
        <v/>
      </c>
    </row>
    <row r="2695">
      <c r="A2695" s="3">
        <f>IF(D2695="","","TT-"&amp;TEXT(ROW()-1,"00000"))</f>
        <v/>
      </c>
      <c r="B2695" s="3">
        <f>IF(D2695="","",IF(V2695=0,"CONCLUÍDO",IF(D2695&lt;corte,"HISTÓRICO",IF(OR(AND(ISNUMBER(R2695),R2695&lt;TODAY()),AND(OR(N2695="PENDENTE",N2695="PARCIAL"),D2695&lt;TODAY()-1)),"CRÍTICO",IF(OR(AND(P2695&lt;&gt;"",S2695=""),AND(N2695="REALIZADO",M2695="PENDENTE"),AND(ISNUMBER(R2695),R2695=TODAY())),"ATENÇÃO",IF(N(K2695)=0,"PENDENTE","EM ANDAMENTO"))))))</f>
        <v/>
      </c>
      <c r="C2695" s="3">
        <f>IF(D2695="","",IF(V2695=0,"🟢 OK",IF(D2695&lt;corte,"⚪ HISTÓRICO (sem baixa)",IF(AND(ISNUMBER(R2695),R2695&lt;TODAY()),"🔴 PRAZO VENCIDO",IF(AND(OR(N2695="PENDENTE",N2695="PARCIAL"),D2695&lt;TODAY()-1),"🔴 EMBARQUE ATRASADO",IF(AND(N2695="REALIZADO",M2695="PENDENTE"),"🟡 EMBARCADO SEM FATURAR",IF(AND(P2695&lt;&gt;"",S2695="",OR(Q2695="",R2695="")),"🟡 PENDÊNCIA SEM RESPONSÁVEL/PRAZO",IF(AND(ISNUMBER(R2695),R2695=TODAY()),"🟡 VENCE HOJE",IF(AND(P2695&lt;&gt;"",S2695=""),"🟡 PENDÊNCIA ABERTA",IF(AND(N(J2695)&gt;0,N(K2695)&lt;J2695),"🟡 FALTA EXECUTAR",IF(OR(M2695="PENDENTE",M2695="PARCIAL"),"🟡 FATURAMENTO PENDENTE","🟡 EMBARQUE PENDENTE")))))))))))</f>
        <v/>
      </c>
      <c r="D2695" s="4" t="n"/>
      <c r="E2695" s="5" t="n"/>
      <c r="F2695" s="5" t="n"/>
      <c r="G2695" s="5" t="n"/>
      <c r="H2695" s="5" t="n"/>
      <c r="I2695" s="5" t="n"/>
      <c r="J2695" s="6" t="n"/>
      <c r="K2695" s="6" t="n"/>
      <c r="L2695" s="7">
        <f>IF(OR(D2695="",N(J2695)=0),"",MIN(1,N(K2695)/J2695))</f>
        <v/>
      </c>
      <c r="M2695" s="5" t="n"/>
      <c r="N2695" s="5" t="n"/>
      <c r="O2695" s="5" t="n"/>
      <c r="P2695" s="5" t="n"/>
      <c r="Q2695" s="5" t="n"/>
      <c r="R2695" s="4" t="n"/>
      <c r="S2695" s="4" t="n"/>
      <c r="T2695" s="5" t="n"/>
      <c r="U2695" s="8">
        <f>IF(AND(V2695=1,D2695&lt;&gt;""),IF(D2695&gt;=corte,TODAY()-D2695,""),"")</f>
        <v/>
      </c>
      <c r="V2695" s="8">
        <f>IF(D2695="",0,IF(OR(AND(P2695&lt;&gt;"",S2695=""),AND(N(J2695)&gt;0,N(K2695)&lt;J2695),OR(M2695="PENDENTE",M2695="PARCIAL"),OR(N2695="PENDENTE",N2695="PARCIAL")),1,0))</f>
        <v/>
      </c>
      <c r="W2695" s="8">
        <f>IF(AND(V2695=1,D2695&lt;&gt;""),IF(D2695&gt;=corte,(B2695="CRÍTICO")*1E9+(100000-D2695)*10000+10000-ROW(),""),"")</f>
        <v/>
      </c>
      <c r="X2695" s="8">
        <f>IF(AND(V2695=1,D2695=pas_data,E2695=pas_turno),10000-ROW(),"")</f>
        <v/>
      </c>
    </row>
    <row r="2696">
      <c r="A2696" s="3">
        <f>IF(D2696="","","TT-"&amp;TEXT(ROW()-1,"00000"))</f>
        <v/>
      </c>
      <c r="B2696" s="3">
        <f>IF(D2696="","",IF(V2696=0,"CONCLUÍDO",IF(D2696&lt;corte,"HISTÓRICO",IF(OR(AND(ISNUMBER(R2696),R2696&lt;TODAY()),AND(OR(N2696="PENDENTE",N2696="PARCIAL"),D2696&lt;TODAY()-1)),"CRÍTICO",IF(OR(AND(P2696&lt;&gt;"",S2696=""),AND(N2696="REALIZADO",M2696="PENDENTE"),AND(ISNUMBER(R2696),R2696=TODAY())),"ATENÇÃO",IF(N(K2696)=0,"PENDENTE","EM ANDAMENTO"))))))</f>
        <v/>
      </c>
      <c r="C2696" s="3">
        <f>IF(D2696="","",IF(V2696=0,"🟢 OK",IF(D2696&lt;corte,"⚪ HISTÓRICO (sem baixa)",IF(AND(ISNUMBER(R2696),R2696&lt;TODAY()),"🔴 PRAZO VENCIDO",IF(AND(OR(N2696="PENDENTE",N2696="PARCIAL"),D2696&lt;TODAY()-1),"🔴 EMBARQUE ATRASADO",IF(AND(N2696="REALIZADO",M2696="PENDENTE"),"🟡 EMBARCADO SEM FATURAR",IF(AND(P2696&lt;&gt;"",S2696="",OR(Q2696="",R2696="")),"🟡 PENDÊNCIA SEM RESPONSÁVEL/PRAZO",IF(AND(ISNUMBER(R2696),R2696=TODAY()),"🟡 VENCE HOJE",IF(AND(P2696&lt;&gt;"",S2696=""),"🟡 PENDÊNCIA ABERTA",IF(AND(N(J2696)&gt;0,N(K2696)&lt;J2696),"🟡 FALTA EXECUTAR",IF(OR(M2696="PENDENTE",M2696="PARCIAL"),"🟡 FATURAMENTO PENDENTE","🟡 EMBARQUE PENDENTE")))))))))))</f>
        <v/>
      </c>
      <c r="D2696" s="4" t="n"/>
      <c r="E2696" s="5" t="n"/>
      <c r="F2696" s="5" t="n"/>
      <c r="G2696" s="5" t="n"/>
      <c r="H2696" s="5" t="n"/>
      <c r="I2696" s="5" t="n"/>
      <c r="J2696" s="6" t="n"/>
      <c r="K2696" s="6" t="n"/>
      <c r="L2696" s="7">
        <f>IF(OR(D2696="",N(J2696)=0),"",MIN(1,N(K2696)/J2696))</f>
        <v/>
      </c>
      <c r="M2696" s="5" t="n"/>
      <c r="N2696" s="5" t="n"/>
      <c r="O2696" s="5" t="n"/>
      <c r="P2696" s="5" t="n"/>
      <c r="Q2696" s="5" t="n"/>
      <c r="R2696" s="4" t="n"/>
      <c r="S2696" s="4" t="n"/>
      <c r="T2696" s="5" t="n"/>
      <c r="U2696" s="8">
        <f>IF(AND(V2696=1,D2696&lt;&gt;""),IF(D2696&gt;=corte,TODAY()-D2696,""),"")</f>
        <v/>
      </c>
      <c r="V2696" s="8">
        <f>IF(D2696="",0,IF(OR(AND(P2696&lt;&gt;"",S2696=""),AND(N(J2696)&gt;0,N(K2696)&lt;J2696),OR(M2696="PENDENTE",M2696="PARCIAL"),OR(N2696="PENDENTE",N2696="PARCIAL")),1,0))</f>
        <v/>
      </c>
      <c r="W2696" s="8">
        <f>IF(AND(V2696=1,D2696&lt;&gt;""),IF(D2696&gt;=corte,(B2696="CRÍTICO")*1E9+(100000-D2696)*10000+10000-ROW(),""),"")</f>
        <v/>
      </c>
      <c r="X2696" s="8">
        <f>IF(AND(V2696=1,D2696=pas_data,E2696=pas_turno),10000-ROW(),"")</f>
        <v/>
      </c>
    </row>
    <row r="2697">
      <c r="A2697" s="3">
        <f>IF(D2697="","","TT-"&amp;TEXT(ROW()-1,"00000"))</f>
        <v/>
      </c>
      <c r="B2697" s="3">
        <f>IF(D2697="","",IF(V2697=0,"CONCLUÍDO",IF(D2697&lt;corte,"HISTÓRICO",IF(OR(AND(ISNUMBER(R2697),R2697&lt;TODAY()),AND(OR(N2697="PENDENTE",N2697="PARCIAL"),D2697&lt;TODAY()-1)),"CRÍTICO",IF(OR(AND(P2697&lt;&gt;"",S2697=""),AND(N2697="REALIZADO",M2697="PENDENTE"),AND(ISNUMBER(R2697),R2697=TODAY())),"ATENÇÃO",IF(N(K2697)=0,"PENDENTE","EM ANDAMENTO"))))))</f>
        <v/>
      </c>
      <c r="C2697" s="3">
        <f>IF(D2697="","",IF(V2697=0,"🟢 OK",IF(D2697&lt;corte,"⚪ HISTÓRICO (sem baixa)",IF(AND(ISNUMBER(R2697),R2697&lt;TODAY()),"🔴 PRAZO VENCIDO",IF(AND(OR(N2697="PENDENTE",N2697="PARCIAL"),D2697&lt;TODAY()-1),"🔴 EMBARQUE ATRASADO",IF(AND(N2697="REALIZADO",M2697="PENDENTE"),"🟡 EMBARCADO SEM FATURAR",IF(AND(P2697&lt;&gt;"",S2697="",OR(Q2697="",R2697="")),"🟡 PENDÊNCIA SEM RESPONSÁVEL/PRAZO",IF(AND(ISNUMBER(R2697),R2697=TODAY()),"🟡 VENCE HOJE",IF(AND(P2697&lt;&gt;"",S2697=""),"🟡 PENDÊNCIA ABERTA",IF(AND(N(J2697)&gt;0,N(K2697)&lt;J2697),"🟡 FALTA EXECUTAR",IF(OR(M2697="PENDENTE",M2697="PARCIAL"),"🟡 FATURAMENTO PENDENTE","🟡 EMBARQUE PENDENTE")))))))))))</f>
        <v/>
      </c>
      <c r="D2697" s="4" t="n"/>
      <c r="E2697" s="5" t="n"/>
      <c r="F2697" s="5" t="n"/>
      <c r="G2697" s="5" t="n"/>
      <c r="H2697" s="5" t="n"/>
      <c r="I2697" s="5" t="n"/>
      <c r="J2697" s="6" t="n"/>
      <c r="K2697" s="6" t="n"/>
      <c r="L2697" s="7">
        <f>IF(OR(D2697="",N(J2697)=0),"",MIN(1,N(K2697)/J2697))</f>
        <v/>
      </c>
      <c r="M2697" s="5" t="n"/>
      <c r="N2697" s="5" t="n"/>
      <c r="O2697" s="5" t="n"/>
      <c r="P2697" s="5" t="n"/>
      <c r="Q2697" s="5" t="n"/>
      <c r="R2697" s="4" t="n"/>
      <c r="S2697" s="4" t="n"/>
      <c r="T2697" s="5" t="n"/>
      <c r="U2697" s="8">
        <f>IF(AND(V2697=1,D2697&lt;&gt;""),IF(D2697&gt;=corte,TODAY()-D2697,""),"")</f>
        <v/>
      </c>
      <c r="V2697" s="8">
        <f>IF(D2697="",0,IF(OR(AND(P2697&lt;&gt;"",S2697=""),AND(N(J2697)&gt;0,N(K2697)&lt;J2697),OR(M2697="PENDENTE",M2697="PARCIAL"),OR(N2697="PENDENTE",N2697="PARCIAL")),1,0))</f>
        <v/>
      </c>
      <c r="W2697" s="8">
        <f>IF(AND(V2697=1,D2697&lt;&gt;""),IF(D2697&gt;=corte,(B2697="CRÍTICO")*1E9+(100000-D2697)*10000+10000-ROW(),""),"")</f>
        <v/>
      </c>
      <c r="X2697" s="8">
        <f>IF(AND(V2697=1,D2697=pas_data,E2697=pas_turno),10000-ROW(),"")</f>
        <v/>
      </c>
    </row>
    <row r="2698">
      <c r="A2698" s="3">
        <f>IF(D2698="","","TT-"&amp;TEXT(ROW()-1,"00000"))</f>
        <v/>
      </c>
      <c r="B2698" s="3">
        <f>IF(D2698="","",IF(V2698=0,"CONCLUÍDO",IF(D2698&lt;corte,"HISTÓRICO",IF(OR(AND(ISNUMBER(R2698),R2698&lt;TODAY()),AND(OR(N2698="PENDENTE",N2698="PARCIAL"),D2698&lt;TODAY()-1)),"CRÍTICO",IF(OR(AND(P2698&lt;&gt;"",S2698=""),AND(N2698="REALIZADO",M2698="PENDENTE"),AND(ISNUMBER(R2698),R2698=TODAY())),"ATENÇÃO",IF(N(K2698)=0,"PENDENTE","EM ANDAMENTO"))))))</f>
        <v/>
      </c>
      <c r="C2698" s="3">
        <f>IF(D2698="","",IF(V2698=0,"🟢 OK",IF(D2698&lt;corte,"⚪ HISTÓRICO (sem baixa)",IF(AND(ISNUMBER(R2698),R2698&lt;TODAY()),"🔴 PRAZO VENCIDO",IF(AND(OR(N2698="PENDENTE",N2698="PARCIAL"),D2698&lt;TODAY()-1),"🔴 EMBARQUE ATRASADO",IF(AND(N2698="REALIZADO",M2698="PENDENTE"),"🟡 EMBARCADO SEM FATURAR",IF(AND(P2698&lt;&gt;"",S2698="",OR(Q2698="",R2698="")),"🟡 PENDÊNCIA SEM RESPONSÁVEL/PRAZO",IF(AND(ISNUMBER(R2698),R2698=TODAY()),"🟡 VENCE HOJE",IF(AND(P2698&lt;&gt;"",S2698=""),"🟡 PENDÊNCIA ABERTA",IF(AND(N(J2698)&gt;0,N(K2698)&lt;J2698),"🟡 FALTA EXECUTAR",IF(OR(M2698="PENDENTE",M2698="PARCIAL"),"🟡 FATURAMENTO PENDENTE","🟡 EMBARQUE PENDENTE")))))))))))</f>
        <v/>
      </c>
      <c r="D2698" s="4" t="n"/>
      <c r="E2698" s="5" t="n"/>
      <c r="F2698" s="5" t="n"/>
      <c r="G2698" s="5" t="n"/>
      <c r="H2698" s="5" t="n"/>
      <c r="I2698" s="5" t="n"/>
      <c r="J2698" s="6" t="n"/>
      <c r="K2698" s="6" t="n"/>
      <c r="L2698" s="7">
        <f>IF(OR(D2698="",N(J2698)=0),"",MIN(1,N(K2698)/J2698))</f>
        <v/>
      </c>
      <c r="M2698" s="5" t="n"/>
      <c r="N2698" s="5" t="n"/>
      <c r="O2698" s="5" t="n"/>
      <c r="P2698" s="5" t="n"/>
      <c r="Q2698" s="5" t="n"/>
      <c r="R2698" s="4" t="n"/>
      <c r="S2698" s="4" t="n"/>
      <c r="T2698" s="5" t="n"/>
      <c r="U2698" s="8">
        <f>IF(AND(V2698=1,D2698&lt;&gt;""),IF(D2698&gt;=corte,TODAY()-D2698,""),"")</f>
        <v/>
      </c>
      <c r="V2698" s="8">
        <f>IF(D2698="",0,IF(OR(AND(P2698&lt;&gt;"",S2698=""),AND(N(J2698)&gt;0,N(K2698)&lt;J2698),OR(M2698="PENDENTE",M2698="PARCIAL"),OR(N2698="PENDENTE",N2698="PARCIAL")),1,0))</f>
        <v/>
      </c>
      <c r="W2698" s="8">
        <f>IF(AND(V2698=1,D2698&lt;&gt;""),IF(D2698&gt;=corte,(B2698="CRÍTICO")*1E9+(100000-D2698)*10000+10000-ROW(),""),"")</f>
        <v/>
      </c>
      <c r="X2698" s="8">
        <f>IF(AND(V2698=1,D2698=pas_data,E2698=pas_turno),10000-ROW(),"")</f>
        <v/>
      </c>
    </row>
    <row r="2699">
      <c r="A2699" s="3">
        <f>IF(D2699="","","TT-"&amp;TEXT(ROW()-1,"00000"))</f>
        <v/>
      </c>
      <c r="B2699" s="3">
        <f>IF(D2699="","",IF(V2699=0,"CONCLUÍDO",IF(D2699&lt;corte,"HISTÓRICO",IF(OR(AND(ISNUMBER(R2699),R2699&lt;TODAY()),AND(OR(N2699="PENDENTE",N2699="PARCIAL"),D2699&lt;TODAY()-1)),"CRÍTICO",IF(OR(AND(P2699&lt;&gt;"",S2699=""),AND(N2699="REALIZADO",M2699="PENDENTE"),AND(ISNUMBER(R2699),R2699=TODAY())),"ATENÇÃO",IF(N(K2699)=0,"PENDENTE","EM ANDAMENTO"))))))</f>
        <v/>
      </c>
      <c r="C2699" s="3">
        <f>IF(D2699="","",IF(V2699=0,"🟢 OK",IF(D2699&lt;corte,"⚪ HISTÓRICO (sem baixa)",IF(AND(ISNUMBER(R2699),R2699&lt;TODAY()),"🔴 PRAZO VENCIDO",IF(AND(OR(N2699="PENDENTE",N2699="PARCIAL"),D2699&lt;TODAY()-1),"🔴 EMBARQUE ATRASADO",IF(AND(N2699="REALIZADO",M2699="PENDENTE"),"🟡 EMBARCADO SEM FATURAR",IF(AND(P2699&lt;&gt;"",S2699="",OR(Q2699="",R2699="")),"🟡 PENDÊNCIA SEM RESPONSÁVEL/PRAZO",IF(AND(ISNUMBER(R2699),R2699=TODAY()),"🟡 VENCE HOJE",IF(AND(P2699&lt;&gt;"",S2699=""),"🟡 PENDÊNCIA ABERTA",IF(AND(N(J2699)&gt;0,N(K2699)&lt;J2699),"🟡 FALTA EXECUTAR",IF(OR(M2699="PENDENTE",M2699="PARCIAL"),"🟡 FATURAMENTO PENDENTE","🟡 EMBARQUE PENDENTE")))))))))))</f>
        <v/>
      </c>
      <c r="D2699" s="4" t="n"/>
      <c r="E2699" s="5" t="n"/>
      <c r="F2699" s="5" t="n"/>
      <c r="G2699" s="5" t="n"/>
      <c r="H2699" s="5" t="n"/>
      <c r="I2699" s="5" t="n"/>
      <c r="J2699" s="6" t="n"/>
      <c r="K2699" s="6" t="n"/>
      <c r="L2699" s="7">
        <f>IF(OR(D2699="",N(J2699)=0),"",MIN(1,N(K2699)/J2699))</f>
        <v/>
      </c>
      <c r="M2699" s="5" t="n"/>
      <c r="N2699" s="5" t="n"/>
      <c r="O2699" s="5" t="n"/>
      <c r="P2699" s="5" t="n"/>
      <c r="Q2699" s="5" t="n"/>
      <c r="R2699" s="4" t="n"/>
      <c r="S2699" s="4" t="n"/>
      <c r="T2699" s="5" t="n"/>
      <c r="U2699" s="8">
        <f>IF(AND(V2699=1,D2699&lt;&gt;""),IF(D2699&gt;=corte,TODAY()-D2699,""),"")</f>
        <v/>
      </c>
      <c r="V2699" s="8">
        <f>IF(D2699="",0,IF(OR(AND(P2699&lt;&gt;"",S2699=""),AND(N(J2699)&gt;0,N(K2699)&lt;J2699),OR(M2699="PENDENTE",M2699="PARCIAL"),OR(N2699="PENDENTE",N2699="PARCIAL")),1,0))</f>
        <v/>
      </c>
      <c r="W2699" s="8">
        <f>IF(AND(V2699=1,D2699&lt;&gt;""),IF(D2699&gt;=corte,(B2699="CRÍTICO")*1E9+(100000-D2699)*10000+10000-ROW(),""),"")</f>
        <v/>
      </c>
      <c r="X2699" s="8">
        <f>IF(AND(V2699=1,D2699=pas_data,E2699=pas_turno),10000-ROW(),"")</f>
        <v/>
      </c>
    </row>
    <row r="2700">
      <c r="A2700" s="3">
        <f>IF(D2700="","","TT-"&amp;TEXT(ROW()-1,"00000"))</f>
        <v/>
      </c>
      <c r="B2700" s="3">
        <f>IF(D2700="","",IF(V2700=0,"CONCLUÍDO",IF(D2700&lt;corte,"HISTÓRICO",IF(OR(AND(ISNUMBER(R2700),R2700&lt;TODAY()),AND(OR(N2700="PENDENTE",N2700="PARCIAL"),D2700&lt;TODAY()-1)),"CRÍTICO",IF(OR(AND(P2700&lt;&gt;"",S2700=""),AND(N2700="REALIZADO",M2700="PENDENTE"),AND(ISNUMBER(R2700),R2700=TODAY())),"ATENÇÃO",IF(N(K2700)=0,"PENDENTE","EM ANDAMENTO"))))))</f>
        <v/>
      </c>
      <c r="C2700" s="3">
        <f>IF(D2700="","",IF(V2700=0,"🟢 OK",IF(D2700&lt;corte,"⚪ HISTÓRICO (sem baixa)",IF(AND(ISNUMBER(R2700),R2700&lt;TODAY()),"🔴 PRAZO VENCIDO",IF(AND(OR(N2700="PENDENTE",N2700="PARCIAL"),D2700&lt;TODAY()-1),"🔴 EMBARQUE ATRASADO",IF(AND(N2700="REALIZADO",M2700="PENDENTE"),"🟡 EMBARCADO SEM FATURAR",IF(AND(P2700&lt;&gt;"",S2700="",OR(Q2700="",R2700="")),"🟡 PENDÊNCIA SEM RESPONSÁVEL/PRAZO",IF(AND(ISNUMBER(R2700),R2700=TODAY()),"🟡 VENCE HOJE",IF(AND(P2700&lt;&gt;"",S2700=""),"🟡 PENDÊNCIA ABERTA",IF(AND(N(J2700)&gt;0,N(K2700)&lt;J2700),"🟡 FALTA EXECUTAR",IF(OR(M2700="PENDENTE",M2700="PARCIAL"),"🟡 FATURAMENTO PENDENTE","🟡 EMBARQUE PENDENTE")))))))))))</f>
        <v/>
      </c>
      <c r="D2700" s="4" t="n"/>
      <c r="E2700" s="5" t="n"/>
      <c r="F2700" s="5" t="n"/>
      <c r="G2700" s="5" t="n"/>
      <c r="H2700" s="5" t="n"/>
      <c r="I2700" s="5" t="n"/>
      <c r="J2700" s="6" t="n"/>
      <c r="K2700" s="6" t="n"/>
      <c r="L2700" s="7">
        <f>IF(OR(D2700="",N(J2700)=0),"",MIN(1,N(K2700)/J2700))</f>
        <v/>
      </c>
      <c r="M2700" s="5" t="n"/>
      <c r="N2700" s="5" t="n"/>
      <c r="O2700" s="5" t="n"/>
      <c r="P2700" s="5" t="n"/>
      <c r="Q2700" s="5" t="n"/>
      <c r="R2700" s="4" t="n"/>
      <c r="S2700" s="4" t="n"/>
      <c r="T2700" s="5" t="n"/>
      <c r="U2700" s="8">
        <f>IF(AND(V2700=1,D2700&lt;&gt;""),IF(D2700&gt;=corte,TODAY()-D2700,""),"")</f>
        <v/>
      </c>
      <c r="V2700" s="8">
        <f>IF(D2700="",0,IF(OR(AND(P2700&lt;&gt;"",S2700=""),AND(N(J2700)&gt;0,N(K2700)&lt;J2700),OR(M2700="PENDENTE",M2700="PARCIAL"),OR(N2700="PENDENTE",N2700="PARCIAL")),1,0))</f>
        <v/>
      </c>
      <c r="W2700" s="8">
        <f>IF(AND(V2700=1,D2700&lt;&gt;""),IF(D2700&gt;=corte,(B2700="CRÍTICO")*1E9+(100000-D2700)*10000+10000-ROW(),""),"")</f>
        <v/>
      </c>
      <c r="X2700" s="8">
        <f>IF(AND(V2700=1,D2700=pas_data,E2700=pas_turno),10000-ROW(),"")</f>
        <v/>
      </c>
    </row>
    <row r="2701">
      <c r="A2701" s="3">
        <f>IF(D2701="","","TT-"&amp;TEXT(ROW()-1,"00000"))</f>
        <v/>
      </c>
      <c r="B2701" s="3">
        <f>IF(D2701="","",IF(V2701=0,"CONCLUÍDO",IF(D2701&lt;corte,"HISTÓRICO",IF(OR(AND(ISNUMBER(R2701),R2701&lt;TODAY()),AND(OR(N2701="PENDENTE",N2701="PARCIAL"),D2701&lt;TODAY()-1)),"CRÍTICO",IF(OR(AND(P2701&lt;&gt;"",S2701=""),AND(N2701="REALIZADO",M2701="PENDENTE"),AND(ISNUMBER(R2701),R2701=TODAY())),"ATENÇÃO",IF(N(K2701)=0,"PENDENTE","EM ANDAMENTO"))))))</f>
        <v/>
      </c>
      <c r="C2701" s="3">
        <f>IF(D2701="","",IF(V2701=0,"🟢 OK",IF(D2701&lt;corte,"⚪ HISTÓRICO (sem baixa)",IF(AND(ISNUMBER(R2701),R2701&lt;TODAY()),"🔴 PRAZO VENCIDO",IF(AND(OR(N2701="PENDENTE",N2701="PARCIAL"),D2701&lt;TODAY()-1),"🔴 EMBARQUE ATRASADO",IF(AND(N2701="REALIZADO",M2701="PENDENTE"),"🟡 EMBARCADO SEM FATURAR",IF(AND(P2701&lt;&gt;"",S2701="",OR(Q2701="",R2701="")),"🟡 PENDÊNCIA SEM RESPONSÁVEL/PRAZO",IF(AND(ISNUMBER(R2701),R2701=TODAY()),"🟡 VENCE HOJE",IF(AND(P2701&lt;&gt;"",S2701=""),"🟡 PENDÊNCIA ABERTA",IF(AND(N(J2701)&gt;0,N(K2701)&lt;J2701),"🟡 FALTA EXECUTAR",IF(OR(M2701="PENDENTE",M2701="PARCIAL"),"🟡 FATURAMENTO PENDENTE","🟡 EMBARQUE PENDENTE")))))))))))</f>
        <v/>
      </c>
      <c r="D2701" s="4" t="n"/>
      <c r="E2701" s="5" t="n"/>
      <c r="F2701" s="5" t="n"/>
      <c r="G2701" s="5" t="n"/>
      <c r="H2701" s="5" t="n"/>
      <c r="I2701" s="5" t="n"/>
      <c r="J2701" s="6" t="n"/>
      <c r="K2701" s="6" t="n"/>
      <c r="L2701" s="7">
        <f>IF(OR(D2701="",N(J2701)=0),"",MIN(1,N(K2701)/J2701))</f>
        <v/>
      </c>
      <c r="M2701" s="5" t="n"/>
      <c r="N2701" s="5" t="n"/>
      <c r="O2701" s="5" t="n"/>
      <c r="P2701" s="5" t="n"/>
      <c r="Q2701" s="5" t="n"/>
      <c r="R2701" s="4" t="n"/>
      <c r="S2701" s="4" t="n"/>
      <c r="T2701" s="5" t="n"/>
      <c r="U2701" s="8">
        <f>IF(AND(V2701=1,D2701&lt;&gt;""),IF(D2701&gt;=corte,TODAY()-D2701,""),"")</f>
        <v/>
      </c>
      <c r="V2701" s="8">
        <f>IF(D2701="",0,IF(OR(AND(P2701&lt;&gt;"",S2701=""),AND(N(J2701)&gt;0,N(K2701)&lt;J2701),OR(M2701="PENDENTE",M2701="PARCIAL"),OR(N2701="PENDENTE",N2701="PARCIAL")),1,0))</f>
        <v/>
      </c>
      <c r="W2701" s="8">
        <f>IF(AND(V2701=1,D2701&lt;&gt;""),IF(D2701&gt;=corte,(B2701="CRÍTICO")*1E9+(100000-D2701)*10000+10000-ROW(),""),"")</f>
        <v/>
      </c>
      <c r="X2701" s="8">
        <f>IF(AND(V2701=1,D2701=pas_data,E2701=pas_turno),10000-ROW(),"")</f>
        <v/>
      </c>
    </row>
    <row r="2702">
      <c r="A2702" s="3">
        <f>IF(D2702="","","TT-"&amp;TEXT(ROW()-1,"00000"))</f>
        <v/>
      </c>
      <c r="B2702" s="3">
        <f>IF(D2702="","",IF(V2702=0,"CONCLUÍDO",IF(D2702&lt;corte,"HISTÓRICO",IF(OR(AND(ISNUMBER(R2702),R2702&lt;TODAY()),AND(OR(N2702="PENDENTE",N2702="PARCIAL"),D2702&lt;TODAY()-1)),"CRÍTICO",IF(OR(AND(P2702&lt;&gt;"",S2702=""),AND(N2702="REALIZADO",M2702="PENDENTE"),AND(ISNUMBER(R2702),R2702=TODAY())),"ATENÇÃO",IF(N(K2702)=0,"PENDENTE","EM ANDAMENTO"))))))</f>
        <v/>
      </c>
      <c r="C2702" s="3">
        <f>IF(D2702="","",IF(V2702=0,"🟢 OK",IF(D2702&lt;corte,"⚪ HISTÓRICO (sem baixa)",IF(AND(ISNUMBER(R2702),R2702&lt;TODAY()),"🔴 PRAZO VENCIDO",IF(AND(OR(N2702="PENDENTE",N2702="PARCIAL"),D2702&lt;TODAY()-1),"🔴 EMBARQUE ATRASADO",IF(AND(N2702="REALIZADO",M2702="PENDENTE"),"🟡 EMBARCADO SEM FATURAR",IF(AND(P2702&lt;&gt;"",S2702="",OR(Q2702="",R2702="")),"🟡 PENDÊNCIA SEM RESPONSÁVEL/PRAZO",IF(AND(ISNUMBER(R2702),R2702=TODAY()),"🟡 VENCE HOJE",IF(AND(P2702&lt;&gt;"",S2702=""),"🟡 PENDÊNCIA ABERTA",IF(AND(N(J2702)&gt;0,N(K2702)&lt;J2702),"🟡 FALTA EXECUTAR",IF(OR(M2702="PENDENTE",M2702="PARCIAL"),"🟡 FATURAMENTO PENDENTE","🟡 EMBARQUE PENDENTE")))))))))))</f>
        <v/>
      </c>
      <c r="D2702" s="4" t="n"/>
      <c r="E2702" s="5" t="n"/>
      <c r="F2702" s="5" t="n"/>
      <c r="G2702" s="5" t="n"/>
      <c r="H2702" s="5" t="n"/>
      <c r="I2702" s="5" t="n"/>
      <c r="J2702" s="6" t="n"/>
      <c r="K2702" s="6" t="n"/>
      <c r="L2702" s="7">
        <f>IF(OR(D2702="",N(J2702)=0),"",MIN(1,N(K2702)/J2702))</f>
        <v/>
      </c>
      <c r="M2702" s="5" t="n"/>
      <c r="N2702" s="5" t="n"/>
      <c r="O2702" s="5" t="n"/>
      <c r="P2702" s="5" t="n"/>
      <c r="Q2702" s="5" t="n"/>
      <c r="R2702" s="4" t="n"/>
      <c r="S2702" s="4" t="n"/>
      <c r="T2702" s="5" t="n"/>
      <c r="U2702" s="8">
        <f>IF(AND(V2702=1,D2702&lt;&gt;""),IF(D2702&gt;=corte,TODAY()-D2702,""),"")</f>
        <v/>
      </c>
      <c r="V2702" s="8">
        <f>IF(D2702="",0,IF(OR(AND(P2702&lt;&gt;"",S2702=""),AND(N(J2702)&gt;0,N(K2702)&lt;J2702),OR(M2702="PENDENTE",M2702="PARCIAL"),OR(N2702="PENDENTE",N2702="PARCIAL")),1,0))</f>
        <v/>
      </c>
      <c r="W2702" s="8">
        <f>IF(AND(V2702=1,D2702&lt;&gt;""),IF(D2702&gt;=corte,(B2702="CRÍTICO")*1E9+(100000-D2702)*10000+10000-ROW(),""),"")</f>
        <v/>
      </c>
      <c r="X2702" s="8">
        <f>IF(AND(V2702=1,D2702=pas_data,E2702=pas_turno),10000-ROW(),"")</f>
        <v/>
      </c>
    </row>
    <row r="2703">
      <c r="A2703" s="3">
        <f>IF(D2703="","","TT-"&amp;TEXT(ROW()-1,"00000"))</f>
        <v/>
      </c>
      <c r="B2703" s="3">
        <f>IF(D2703="","",IF(V2703=0,"CONCLUÍDO",IF(D2703&lt;corte,"HISTÓRICO",IF(OR(AND(ISNUMBER(R2703),R2703&lt;TODAY()),AND(OR(N2703="PENDENTE",N2703="PARCIAL"),D2703&lt;TODAY()-1)),"CRÍTICO",IF(OR(AND(P2703&lt;&gt;"",S2703=""),AND(N2703="REALIZADO",M2703="PENDENTE"),AND(ISNUMBER(R2703),R2703=TODAY())),"ATENÇÃO",IF(N(K2703)=0,"PENDENTE","EM ANDAMENTO"))))))</f>
        <v/>
      </c>
      <c r="C2703" s="3">
        <f>IF(D2703="","",IF(V2703=0,"🟢 OK",IF(D2703&lt;corte,"⚪ HISTÓRICO (sem baixa)",IF(AND(ISNUMBER(R2703),R2703&lt;TODAY()),"🔴 PRAZO VENCIDO",IF(AND(OR(N2703="PENDENTE",N2703="PARCIAL"),D2703&lt;TODAY()-1),"🔴 EMBARQUE ATRASADO",IF(AND(N2703="REALIZADO",M2703="PENDENTE"),"🟡 EMBARCADO SEM FATURAR",IF(AND(P2703&lt;&gt;"",S2703="",OR(Q2703="",R2703="")),"🟡 PENDÊNCIA SEM RESPONSÁVEL/PRAZO",IF(AND(ISNUMBER(R2703),R2703=TODAY()),"🟡 VENCE HOJE",IF(AND(P2703&lt;&gt;"",S2703=""),"🟡 PENDÊNCIA ABERTA",IF(AND(N(J2703)&gt;0,N(K2703)&lt;J2703),"🟡 FALTA EXECUTAR",IF(OR(M2703="PENDENTE",M2703="PARCIAL"),"🟡 FATURAMENTO PENDENTE","🟡 EMBARQUE PENDENTE")))))))))))</f>
        <v/>
      </c>
      <c r="D2703" s="4" t="n"/>
      <c r="E2703" s="5" t="n"/>
      <c r="F2703" s="5" t="n"/>
      <c r="G2703" s="5" t="n"/>
      <c r="H2703" s="5" t="n"/>
      <c r="I2703" s="5" t="n"/>
      <c r="J2703" s="6" t="n"/>
      <c r="K2703" s="6" t="n"/>
      <c r="L2703" s="7">
        <f>IF(OR(D2703="",N(J2703)=0),"",MIN(1,N(K2703)/J2703))</f>
        <v/>
      </c>
      <c r="M2703" s="5" t="n"/>
      <c r="N2703" s="5" t="n"/>
      <c r="O2703" s="5" t="n"/>
      <c r="P2703" s="5" t="n"/>
      <c r="Q2703" s="5" t="n"/>
      <c r="R2703" s="4" t="n"/>
      <c r="S2703" s="4" t="n"/>
      <c r="T2703" s="5" t="n"/>
      <c r="U2703" s="8">
        <f>IF(AND(V2703=1,D2703&lt;&gt;""),IF(D2703&gt;=corte,TODAY()-D2703,""),"")</f>
        <v/>
      </c>
      <c r="V2703" s="8">
        <f>IF(D2703="",0,IF(OR(AND(P2703&lt;&gt;"",S2703=""),AND(N(J2703)&gt;0,N(K2703)&lt;J2703),OR(M2703="PENDENTE",M2703="PARCIAL"),OR(N2703="PENDENTE",N2703="PARCIAL")),1,0))</f>
        <v/>
      </c>
      <c r="W2703" s="8">
        <f>IF(AND(V2703=1,D2703&lt;&gt;""),IF(D2703&gt;=corte,(B2703="CRÍTICO")*1E9+(100000-D2703)*10000+10000-ROW(),""),"")</f>
        <v/>
      </c>
      <c r="X2703" s="8">
        <f>IF(AND(V2703=1,D2703=pas_data,E2703=pas_turno),10000-ROW(),"")</f>
        <v/>
      </c>
    </row>
    <row r="2704">
      <c r="A2704" s="3">
        <f>IF(D2704="","","TT-"&amp;TEXT(ROW()-1,"00000"))</f>
        <v/>
      </c>
      <c r="B2704" s="3">
        <f>IF(D2704="","",IF(V2704=0,"CONCLUÍDO",IF(D2704&lt;corte,"HISTÓRICO",IF(OR(AND(ISNUMBER(R2704),R2704&lt;TODAY()),AND(OR(N2704="PENDENTE",N2704="PARCIAL"),D2704&lt;TODAY()-1)),"CRÍTICO",IF(OR(AND(P2704&lt;&gt;"",S2704=""),AND(N2704="REALIZADO",M2704="PENDENTE"),AND(ISNUMBER(R2704),R2704=TODAY())),"ATENÇÃO",IF(N(K2704)=0,"PENDENTE","EM ANDAMENTO"))))))</f>
        <v/>
      </c>
      <c r="C2704" s="3">
        <f>IF(D2704="","",IF(V2704=0,"🟢 OK",IF(D2704&lt;corte,"⚪ HISTÓRICO (sem baixa)",IF(AND(ISNUMBER(R2704),R2704&lt;TODAY()),"🔴 PRAZO VENCIDO",IF(AND(OR(N2704="PENDENTE",N2704="PARCIAL"),D2704&lt;TODAY()-1),"🔴 EMBARQUE ATRASADO",IF(AND(N2704="REALIZADO",M2704="PENDENTE"),"🟡 EMBARCADO SEM FATURAR",IF(AND(P2704&lt;&gt;"",S2704="",OR(Q2704="",R2704="")),"🟡 PENDÊNCIA SEM RESPONSÁVEL/PRAZO",IF(AND(ISNUMBER(R2704),R2704=TODAY()),"🟡 VENCE HOJE",IF(AND(P2704&lt;&gt;"",S2704=""),"🟡 PENDÊNCIA ABERTA",IF(AND(N(J2704)&gt;0,N(K2704)&lt;J2704),"🟡 FALTA EXECUTAR",IF(OR(M2704="PENDENTE",M2704="PARCIAL"),"🟡 FATURAMENTO PENDENTE","🟡 EMBARQUE PENDENTE")))))))))))</f>
        <v/>
      </c>
      <c r="D2704" s="4" t="n"/>
      <c r="E2704" s="5" t="n"/>
      <c r="F2704" s="5" t="n"/>
      <c r="G2704" s="5" t="n"/>
      <c r="H2704" s="5" t="n"/>
      <c r="I2704" s="5" t="n"/>
      <c r="J2704" s="6" t="n"/>
      <c r="K2704" s="6" t="n"/>
      <c r="L2704" s="7">
        <f>IF(OR(D2704="",N(J2704)=0),"",MIN(1,N(K2704)/J2704))</f>
        <v/>
      </c>
      <c r="M2704" s="5" t="n"/>
      <c r="N2704" s="5" t="n"/>
      <c r="O2704" s="5" t="n"/>
      <c r="P2704" s="5" t="n"/>
      <c r="Q2704" s="5" t="n"/>
      <c r="R2704" s="4" t="n"/>
      <c r="S2704" s="4" t="n"/>
      <c r="T2704" s="5" t="n"/>
      <c r="U2704" s="8">
        <f>IF(AND(V2704=1,D2704&lt;&gt;""),IF(D2704&gt;=corte,TODAY()-D2704,""),"")</f>
        <v/>
      </c>
      <c r="V2704" s="8">
        <f>IF(D2704="",0,IF(OR(AND(P2704&lt;&gt;"",S2704=""),AND(N(J2704)&gt;0,N(K2704)&lt;J2704),OR(M2704="PENDENTE",M2704="PARCIAL"),OR(N2704="PENDENTE",N2704="PARCIAL")),1,0))</f>
        <v/>
      </c>
      <c r="W2704" s="8">
        <f>IF(AND(V2704=1,D2704&lt;&gt;""),IF(D2704&gt;=corte,(B2704="CRÍTICO")*1E9+(100000-D2704)*10000+10000-ROW(),""),"")</f>
        <v/>
      </c>
      <c r="X2704" s="8">
        <f>IF(AND(V2704=1,D2704=pas_data,E2704=pas_turno),10000-ROW(),"")</f>
        <v/>
      </c>
    </row>
    <row r="2705">
      <c r="A2705" s="3">
        <f>IF(D2705="","","TT-"&amp;TEXT(ROW()-1,"00000"))</f>
        <v/>
      </c>
      <c r="B2705" s="3">
        <f>IF(D2705="","",IF(V2705=0,"CONCLUÍDO",IF(D2705&lt;corte,"HISTÓRICO",IF(OR(AND(ISNUMBER(R2705),R2705&lt;TODAY()),AND(OR(N2705="PENDENTE",N2705="PARCIAL"),D2705&lt;TODAY()-1)),"CRÍTICO",IF(OR(AND(P2705&lt;&gt;"",S2705=""),AND(N2705="REALIZADO",M2705="PENDENTE"),AND(ISNUMBER(R2705),R2705=TODAY())),"ATENÇÃO",IF(N(K2705)=0,"PENDENTE","EM ANDAMENTO"))))))</f>
        <v/>
      </c>
      <c r="C2705" s="3">
        <f>IF(D2705="","",IF(V2705=0,"🟢 OK",IF(D2705&lt;corte,"⚪ HISTÓRICO (sem baixa)",IF(AND(ISNUMBER(R2705),R2705&lt;TODAY()),"🔴 PRAZO VENCIDO",IF(AND(OR(N2705="PENDENTE",N2705="PARCIAL"),D2705&lt;TODAY()-1),"🔴 EMBARQUE ATRASADO",IF(AND(N2705="REALIZADO",M2705="PENDENTE"),"🟡 EMBARCADO SEM FATURAR",IF(AND(P2705&lt;&gt;"",S2705="",OR(Q2705="",R2705="")),"🟡 PENDÊNCIA SEM RESPONSÁVEL/PRAZO",IF(AND(ISNUMBER(R2705),R2705=TODAY()),"🟡 VENCE HOJE",IF(AND(P2705&lt;&gt;"",S2705=""),"🟡 PENDÊNCIA ABERTA",IF(AND(N(J2705)&gt;0,N(K2705)&lt;J2705),"🟡 FALTA EXECUTAR",IF(OR(M2705="PENDENTE",M2705="PARCIAL"),"🟡 FATURAMENTO PENDENTE","🟡 EMBARQUE PENDENTE")))))))))))</f>
        <v/>
      </c>
      <c r="D2705" s="4" t="n"/>
      <c r="E2705" s="5" t="n"/>
      <c r="F2705" s="5" t="n"/>
      <c r="G2705" s="5" t="n"/>
      <c r="H2705" s="5" t="n"/>
      <c r="I2705" s="5" t="n"/>
      <c r="J2705" s="6" t="n"/>
      <c r="K2705" s="6" t="n"/>
      <c r="L2705" s="7">
        <f>IF(OR(D2705="",N(J2705)=0),"",MIN(1,N(K2705)/J2705))</f>
        <v/>
      </c>
      <c r="M2705" s="5" t="n"/>
      <c r="N2705" s="5" t="n"/>
      <c r="O2705" s="5" t="n"/>
      <c r="P2705" s="5" t="n"/>
      <c r="Q2705" s="5" t="n"/>
      <c r="R2705" s="4" t="n"/>
      <c r="S2705" s="4" t="n"/>
      <c r="T2705" s="5" t="n"/>
      <c r="U2705" s="8">
        <f>IF(AND(V2705=1,D2705&lt;&gt;""),IF(D2705&gt;=corte,TODAY()-D2705,""),"")</f>
        <v/>
      </c>
      <c r="V2705" s="8">
        <f>IF(D2705="",0,IF(OR(AND(P2705&lt;&gt;"",S2705=""),AND(N(J2705)&gt;0,N(K2705)&lt;J2705),OR(M2705="PENDENTE",M2705="PARCIAL"),OR(N2705="PENDENTE",N2705="PARCIAL")),1,0))</f>
        <v/>
      </c>
      <c r="W2705" s="8">
        <f>IF(AND(V2705=1,D2705&lt;&gt;""),IF(D2705&gt;=corte,(B2705="CRÍTICO")*1E9+(100000-D2705)*10000+10000-ROW(),""),"")</f>
        <v/>
      </c>
      <c r="X2705" s="8">
        <f>IF(AND(V2705=1,D2705=pas_data,E2705=pas_turno),10000-ROW(),"")</f>
        <v/>
      </c>
    </row>
    <row r="2706">
      <c r="A2706" s="3">
        <f>IF(D2706="","","TT-"&amp;TEXT(ROW()-1,"00000"))</f>
        <v/>
      </c>
      <c r="B2706" s="3">
        <f>IF(D2706="","",IF(V2706=0,"CONCLUÍDO",IF(D2706&lt;corte,"HISTÓRICO",IF(OR(AND(ISNUMBER(R2706),R2706&lt;TODAY()),AND(OR(N2706="PENDENTE",N2706="PARCIAL"),D2706&lt;TODAY()-1)),"CRÍTICO",IF(OR(AND(P2706&lt;&gt;"",S2706=""),AND(N2706="REALIZADO",M2706="PENDENTE"),AND(ISNUMBER(R2706),R2706=TODAY())),"ATENÇÃO",IF(N(K2706)=0,"PENDENTE","EM ANDAMENTO"))))))</f>
        <v/>
      </c>
      <c r="C2706" s="3">
        <f>IF(D2706="","",IF(V2706=0,"🟢 OK",IF(D2706&lt;corte,"⚪ HISTÓRICO (sem baixa)",IF(AND(ISNUMBER(R2706),R2706&lt;TODAY()),"🔴 PRAZO VENCIDO",IF(AND(OR(N2706="PENDENTE",N2706="PARCIAL"),D2706&lt;TODAY()-1),"🔴 EMBARQUE ATRASADO",IF(AND(N2706="REALIZADO",M2706="PENDENTE"),"🟡 EMBARCADO SEM FATURAR",IF(AND(P2706&lt;&gt;"",S2706="",OR(Q2706="",R2706="")),"🟡 PENDÊNCIA SEM RESPONSÁVEL/PRAZO",IF(AND(ISNUMBER(R2706),R2706=TODAY()),"🟡 VENCE HOJE",IF(AND(P2706&lt;&gt;"",S2706=""),"🟡 PENDÊNCIA ABERTA",IF(AND(N(J2706)&gt;0,N(K2706)&lt;J2706),"🟡 FALTA EXECUTAR",IF(OR(M2706="PENDENTE",M2706="PARCIAL"),"🟡 FATURAMENTO PENDENTE","🟡 EMBARQUE PENDENTE")))))))))))</f>
        <v/>
      </c>
      <c r="D2706" s="4" t="n"/>
      <c r="E2706" s="5" t="n"/>
      <c r="F2706" s="5" t="n"/>
      <c r="G2706" s="5" t="n"/>
      <c r="H2706" s="5" t="n"/>
      <c r="I2706" s="5" t="n"/>
      <c r="J2706" s="6" t="n"/>
      <c r="K2706" s="6" t="n"/>
      <c r="L2706" s="7">
        <f>IF(OR(D2706="",N(J2706)=0),"",MIN(1,N(K2706)/J2706))</f>
        <v/>
      </c>
      <c r="M2706" s="5" t="n"/>
      <c r="N2706" s="5" t="n"/>
      <c r="O2706" s="5" t="n"/>
      <c r="P2706" s="5" t="n"/>
      <c r="Q2706" s="5" t="n"/>
      <c r="R2706" s="4" t="n"/>
      <c r="S2706" s="4" t="n"/>
      <c r="T2706" s="5" t="n"/>
      <c r="U2706" s="8">
        <f>IF(AND(V2706=1,D2706&lt;&gt;""),IF(D2706&gt;=corte,TODAY()-D2706,""),"")</f>
        <v/>
      </c>
      <c r="V2706" s="8">
        <f>IF(D2706="",0,IF(OR(AND(P2706&lt;&gt;"",S2706=""),AND(N(J2706)&gt;0,N(K2706)&lt;J2706),OR(M2706="PENDENTE",M2706="PARCIAL"),OR(N2706="PENDENTE",N2706="PARCIAL")),1,0))</f>
        <v/>
      </c>
      <c r="W2706" s="8">
        <f>IF(AND(V2706=1,D2706&lt;&gt;""),IF(D2706&gt;=corte,(B2706="CRÍTICO")*1E9+(100000-D2706)*10000+10000-ROW(),""),"")</f>
        <v/>
      </c>
      <c r="X2706" s="8">
        <f>IF(AND(V2706=1,D2706=pas_data,E2706=pas_turno),10000-ROW(),"")</f>
        <v/>
      </c>
    </row>
    <row r="2707">
      <c r="A2707" s="3">
        <f>IF(D2707="","","TT-"&amp;TEXT(ROW()-1,"00000"))</f>
        <v/>
      </c>
      <c r="B2707" s="3">
        <f>IF(D2707="","",IF(V2707=0,"CONCLUÍDO",IF(D2707&lt;corte,"HISTÓRICO",IF(OR(AND(ISNUMBER(R2707),R2707&lt;TODAY()),AND(OR(N2707="PENDENTE",N2707="PARCIAL"),D2707&lt;TODAY()-1)),"CRÍTICO",IF(OR(AND(P2707&lt;&gt;"",S2707=""),AND(N2707="REALIZADO",M2707="PENDENTE"),AND(ISNUMBER(R2707),R2707=TODAY())),"ATENÇÃO",IF(N(K2707)=0,"PENDENTE","EM ANDAMENTO"))))))</f>
        <v/>
      </c>
      <c r="C2707" s="3">
        <f>IF(D2707="","",IF(V2707=0,"🟢 OK",IF(D2707&lt;corte,"⚪ HISTÓRICO (sem baixa)",IF(AND(ISNUMBER(R2707),R2707&lt;TODAY()),"🔴 PRAZO VENCIDO",IF(AND(OR(N2707="PENDENTE",N2707="PARCIAL"),D2707&lt;TODAY()-1),"🔴 EMBARQUE ATRASADO",IF(AND(N2707="REALIZADO",M2707="PENDENTE"),"🟡 EMBARCADO SEM FATURAR",IF(AND(P2707&lt;&gt;"",S2707="",OR(Q2707="",R2707="")),"🟡 PENDÊNCIA SEM RESPONSÁVEL/PRAZO",IF(AND(ISNUMBER(R2707),R2707=TODAY()),"🟡 VENCE HOJE",IF(AND(P2707&lt;&gt;"",S2707=""),"🟡 PENDÊNCIA ABERTA",IF(AND(N(J2707)&gt;0,N(K2707)&lt;J2707),"🟡 FALTA EXECUTAR",IF(OR(M2707="PENDENTE",M2707="PARCIAL"),"🟡 FATURAMENTO PENDENTE","🟡 EMBARQUE PENDENTE")))))))))))</f>
        <v/>
      </c>
      <c r="D2707" s="4" t="n"/>
      <c r="E2707" s="5" t="n"/>
      <c r="F2707" s="5" t="n"/>
      <c r="G2707" s="5" t="n"/>
      <c r="H2707" s="5" t="n"/>
      <c r="I2707" s="5" t="n"/>
      <c r="J2707" s="6" t="n"/>
      <c r="K2707" s="6" t="n"/>
      <c r="L2707" s="7">
        <f>IF(OR(D2707="",N(J2707)=0),"",MIN(1,N(K2707)/J2707))</f>
        <v/>
      </c>
      <c r="M2707" s="5" t="n"/>
      <c r="N2707" s="5" t="n"/>
      <c r="O2707" s="5" t="n"/>
      <c r="P2707" s="5" t="n"/>
      <c r="Q2707" s="5" t="n"/>
      <c r="R2707" s="4" t="n"/>
      <c r="S2707" s="4" t="n"/>
      <c r="T2707" s="5" t="n"/>
      <c r="U2707" s="8">
        <f>IF(AND(V2707=1,D2707&lt;&gt;""),IF(D2707&gt;=corte,TODAY()-D2707,""),"")</f>
        <v/>
      </c>
      <c r="V2707" s="8">
        <f>IF(D2707="",0,IF(OR(AND(P2707&lt;&gt;"",S2707=""),AND(N(J2707)&gt;0,N(K2707)&lt;J2707),OR(M2707="PENDENTE",M2707="PARCIAL"),OR(N2707="PENDENTE",N2707="PARCIAL")),1,0))</f>
        <v/>
      </c>
      <c r="W2707" s="8">
        <f>IF(AND(V2707=1,D2707&lt;&gt;""),IF(D2707&gt;=corte,(B2707="CRÍTICO")*1E9+(100000-D2707)*10000+10000-ROW(),""),"")</f>
        <v/>
      </c>
      <c r="X2707" s="8">
        <f>IF(AND(V2707=1,D2707=pas_data,E2707=pas_turno),10000-ROW(),"")</f>
        <v/>
      </c>
    </row>
    <row r="2708">
      <c r="A2708" s="3">
        <f>IF(D2708="","","TT-"&amp;TEXT(ROW()-1,"00000"))</f>
        <v/>
      </c>
      <c r="B2708" s="3">
        <f>IF(D2708="","",IF(V2708=0,"CONCLUÍDO",IF(D2708&lt;corte,"HISTÓRICO",IF(OR(AND(ISNUMBER(R2708),R2708&lt;TODAY()),AND(OR(N2708="PENDENTE",N2708="PARCIAL"),D2708&lt;TODAY()-1)),"CRÍTICO",IF(OR(AND(P2708&lt;&gt;"",S2708=""),AND(N2708="REALIZADO",M2708="PENDENTE"),AND(ISNUMBER(R2708),R2708=TODAY())),"ATENÇÃO",IF(N(K2708)=0,"PENDENTE","EM ANDAMENTO"))))))</f>
        <v/>
      </c>
      <c r="C2708" s="3">
        <f>IF(D2708="","",IF(V2708=0,"🟢 OK",IF(D2708&lt;corte,"⚪ HISTÓRICO (sem baixa)",IF(AND(ISNUMBER(R2708),R2708&lt;TODAY()),"🔴 PRAZO VENCIDO",IF(AND(OR(N2708="PENDENTE",N2708="PARCIAL"),D2708&lt;TODAY()-1),"🔴 EMBARQUE ATRASADO",IF(AND(N2708="REALIZADO",M2708="PENDENTE"),"🟡 EMBARCADO SEM FATURAR",IF(AND(P2708&lt;&gt;"",S2708="",OR(Q2708="",R2708="")),"🟡 PENDÊNCIA SEM RESPONSÁVEL/PRAZO",IF(AND(ISNUMBER(R2708),R2708=TODAY()),"🟡 VENCE HOJE",IF(AND(P2708&lt;&gt;"",S2708=""),"🟡 PENDÊNCIA ABERTA",IF(AND(N(J2708)&gt;0,N(K2708)&lt;J2708),"🟡 FALTA EXECUTAR",IF(OR(M2708="PENDENTE",M2708="PARCIAL"),"🟡 FATURAMENTO PENDENTE","🟡 EMBARQUE PENDENTE")))))))))))</f>
        <v/>
      </c>
      <c r="D2708" s="4" t="n"/>
      <c r="E2708" s="5" t="n"/>
      <c r="F2708" s="5" t="n"/>
      <c r="G2708" s="5" t="n"/>
      <c r="H2708" s="5" t="n"/>
      <c r="I2708" s="5" t="n"/>
      <c r="J2708" s="6" t="n"/>
      <c r="K2708" s="6" t="n"/>
      <c r="L2708" s="7">
        <f>IF(OR(D2708="",N(J2708)=0),"",MIN(1,N(K2708)/J2708))</f>
        <v/>
      </c>
      <c r="M2708" s="5" t="n"/>
      <c r="N2708" s="5" t="n"/>
      <c r="O2708" s="5" t="n"/>
      <c r="P2708" s="5" t="n"/>
      <c r="Q2708" s="5" t="n"/>
      <c r="R2708" s="4" t="n"/>
      <c r="S2708" s="4" t="n"/>
      <c r="T2708" s="5" t="n"/>
      <c r="U2708" s="8">
        <f>IF(AND(V2708=1,D2708&lt;&gt;""),IF(D2708&gt;=corte,TODAY()-D2708,""),"")</f>
        <v/>
      </c>
      <c r="V2708" s="8">
        <f>IF(D2708="",0,IF(OR(AND(P2708&lt;&gt;"",S2708=""),AND(N(J2708)&gt;0,N(K2708)&lt;J2708),OR(M2708="PENDENTE",M2708="PARCIAL"),OR(N2708="PENDENTE",N2708="PARCIAL")),1,0))</f>
        <v/>
      </c>
      <c r="W2708" s="8">
        <f>IF(AND(V2708=1,D2708&lt;&gt;""),IF(D2708&gt;=corte,(B2708="CRÍTICO")*1E9+(100000-D2708)*10000+10000-ROW(),""),"")</f>
        <v/>
      </c>
      <c r="X2708" s="8">
        <f>IF(AND(V2708=1,D2708=pas_data,E2708=pas_turno),10000-ROW(),"")</f>
        <v/>
      </c>
    </row>
    <row r="2709">
      <c r="A2709" s="3">
        <f>IF(D2709="","","TT-"&amp;TEXT(ROW()-1,"00000"))</f>
        <v/>
      </c>
      <c r="B2709" s="3">
        <f>IF(D2709="","",IF(V2709=0,"CONCLUÍDO",IF(D2709&lt;corte,"HISTÓRICO",IF(OR(AND(ISNUMBER(R2709),R2709&lt;TODAY()),AND(OR(N2709="PENDENTE",N2709="PARCIAL"),D2709&lt;TODAY()-1)),"CRÍTICO",IF(OR(AND(P2709&lt;&gt;"",S2709=""),AND(N2709="REALIZADO",M2709="PENDENTE"),AND(ISNUMBER(R2709),R2709=TODAY())),"ATENÇÃO",IF(N(K2709)=0,"PENDENTE","EM ANDAMENTO"))))))</f>
        <v/>
      </c>
      <c r="C2709" s="3">
        <f>IF(D2709="","",IF(V2709=0,"🟢 OK",IF(D2709&lt;corte,"⚪ HISTÓRICO (sem baixa)",IF(AND(ISNUMBER(R2709),R2709&lt;TODAY()),"🔴 PRAZO VENCIDO",IF(AND(OR(N2709="PENDENTE",N2709="PARCIAL"),D2709&lt;TODAY()-1),"🔴 EMBARQUE ATRASADO",IF(AND(N2709="REALIZADO",M2709="PENDENTE"),"🟡 EMBARCADO SEM FATURAR",IF(AND(P2709&lt;&gt;"",S2709="",OR(Q2709="",R2709="")),"🟡 PENDÊNCIA SEM RESPONSÁVEL/PRAZO",IF(AND(ISNUMBER(R2709),R2709=TODAY()),"🟡 VENCE HOJE",IF(AND(P2709&lt;&gt;"",S2709=""),"🟡 PENDÊNCIA ABERTA",IF(AND(N(J2709)&gt;0,N(K2709)&lt;J2709),"🟡 FALTA EXECUTAR",IF(OR(M2709="PENDENTE",M2709="PARCIAL"),"🟡 FATURAMENTO PENDENTE","🟡 EMBARQUE PENDENTE")))))))))))</f>
        <v/>
      </c>
      <c r="D2709" s="4" t="n"/>
      <c r="E2709" s="5" t="n"/>
      <c r="F2709" s="5" t="n"/>
      <c r="G2709" s="5" t="n"/>
      <c r="H2709" s="5" t="n"/>
      <c r="I2709" s="5" t="n"/>
      <c r="J2709" s="6" t="n"/>
      <c r="K2709" s="6" t="n"/>
      <c r="L2709" s="7">
        <f>IF(OR(D2709="",N(J2709)=0),"",MIN(1,N(K2709)/J2709))</f>
        <v/>
      </c>
      <c r="M2709" s="5" t="n"/>
      <c r="N2709" s="5" t="n"/>
      <c r="O2709" s="5" t="n"/>
      <c r="P2709" s="5" t="n"/>
      <c r="Q2709" s="5" t="n"/>
      <c r="R2709" s="4" t="n"/>
      <c r="S2709" s="4" t="n"/>
      <c r="T2709" s="5" t="n"/>
      <c r="U2709" s="8">
        <f>IF(AND(V2709=1,D2709&lt;&gt;""),IF(D2709&gt;=corte,TODAY()-D2709,""),"")</f>
        <v/>
      </c>
      <c r="V2709" s="8">
        <f>IF(D2709="",0,IF(OR(AND(P2709&lt;&gt;"",S2709=""),AND(N(J2709)&gt;0,N(K2709)&lt;J2709),OR(M2709="PENDENTE",M2709="PARCIAL"),OR(N2709="PENDENTE",N2709="PARCIAL")),1,0))</f>
        <v/>
      </c>
      <c r="W2709" s="8">
        <f>IF(AND(V2709=1,D2709&lt;&gt;""),IF(D2709&gt;=corte,(B2709="CRÍTICO")*1E9+(100000-D2709)*10000+10000-ROW(),""),"")</f>
        <v/>
      </c>
      <c r="X2709" s="8">
        <f>IF(AND(V2709=1,D2709=pas_data,E2709=pas_turno),10000-ROW(),"")</f>
        <v/>
      </c>
    </row>
    <row r="2710">
      <c r="A2710" s="3">
        <f>IF(D2710="","","TT-"&amp;TEXT(ROW()-1,"00000"))</f>
        <v/>
      </c>
      <c r="B2710" s="3">
        <f>IF(D2710="","",IF(V2710=0,"CONCLUÍDO",IF(D2710&lt;corte,"HISTÓRICO",IF(OR(AND(ISNUMBER(R2710),R2710&lt;TODAY()),AND(OR(N2710="PENDENTE",N2710="PARCIAL"),D2710&lt;TODAY()-1)),"CRÍTICO",IF(OR(AND(P2710&lt;&gt;"",S2710=""),AND(N2710="REALIZADO",M2710="PENDENTE"),AND(ISNUMBER(R2710),R2710=TODAY())),"ATENÇÃO",IF(N(K2710)=0,"PENDENTE","EM ANDAMENTO"))))))</f>
        <v/>
      </c>
      <c r="C2710" s="3">
        <f>IF(D2710="","",IF(V2710=0,"🟢 OK",IF(D2710&lt;corte,"⚪ HISTÓRICO (sem baixa)",IF(AND(ISNUMBER(R2710),R2710&lt;TODAY()),"🔴 PRAZO VENCIDO",IF(AND(OR(N2710="PENDENTE",N2710="PARCIAL"),D2710&lt;TODAY()-1),"🔴 EMBARQUE ATRASADO",IF(AND(N2710="REALIZADO",M2710="PENDENTE"),"🟡 EMBARCADO SEM FATURAR",IF(AND(P2710&lt;&gt;"",S2710="",OR(Q2710="",R2710="")),"🟡 PENDÊNCIA SEM RESPONSÁVEL/PRAZO",IF(AND(ISNUMBER(R2710),R2710=TODAY()),"🟡 VENCE HOJE",IF(AND(P2710&lt;&gt;"",S2710=""),"🟡 PENDÊNCIA ABERTA",IF(AND(N(J2710)&gt;0,N(K2710)&lt;J2710),"🟡 FALTA EXECUTAR",IF(OR(M2710="PENDENTE",M2710="PARCIAL"),"🟡 FATURAMENTO PENDENTE","🟡 EMBARQUE PENDENTE")))))))))))</f>
        <v/>
      </c>
      <c r="D2710" s="4" t="n"/>
      <c r="E2710" s="5" t="n"/>
      <c r="F2710" s="5" t="n"/>
      <c r="G2710" s="5" t="n"/>
      <c r="H2710" s="5" t="n"/>
      <c r="I2710" s="5" t="n"/>
      <c r="J2710" s="6" t="n"/>
      <c r="K2710" s="6" t="n"/>
      <c r="L2710" s="7">
        <f>IF(OR(D2710="",N(J2710)=0),"",MIN(1,N(K2710)/J2710))</f>
        <v/>
      </c>
      <c r="M2710" s="5" t="n"/>
      <c r="N2710" s="5" t="n"/>
      <c r="O2710" s="5" t="n"/>
      <c r="P2710" s="5" t="n"/>
      <c r="Q2710" s="5" t="n"/>
      <c r="R2710" s="4" t="n"/>
      <c r="S2710" s="4" t="n"/>
      <c r="T2710" s="5" t="n"/>
      <c r="U2710" s="8">
        <f>IF(AND(V2710=1,D2710&lt;&gt;""),IF(D2710&gt;=corte,TODAY()-D2710,""),"")</f>
        <v/>
      </c>
      <c r="V2710" s="8">
        <f>IF(D2710="",0,IF(OR(AND(P2710&lt;&gt;"",S2710=""),AND(N(J2710)&gt;0,N(K2710)&lt;J2710),OR(M2710="PENDENTE",M2710="PARCIAL"),OR(N2710="PENDENTE",N2710="PARCIAL")),1,0))</f>
        <v/>
      </c>
      <c r="W2710" s="8">
        <f>IF(AND(V2710=1,D2710&lt;&gt;""),IF(D2710&gt;=corte,(B2710="CRÍTICO")*1E9+(100000-D2710)*10000+10000-ROW(),""),"")</f>
        <v/>
      </c>
      <c r="X2710" s="8">
        <f>IF(AND(V2710=1,D2710=pas_data,E2710=pas_turno),10000-ROW(),"")</f>
        <v/>
      </c>
    </row>
    <row r="2711">
      <c r="A2711" s="3">
        <f>IF(D2711="","","TT-"&amp;TEXT(ROW()-1,"00000"))</f>
        <v/>
      </c>
      <c r="B2711" s="3">
        <f>IF(D2711="","",IF(V2711=0,"CONCLUÍDO",IF(D2711&lt;corte,"HISTÓRICO",IF(OR(AND(ISNUMBER(R2711),R2711&lt;TODAY()),AND(OR(N2711="PENDENTE",N2711="PARCIAL"),D2711&lt;TODAY()-1)),"CRÍTICO",IF(OR(AND(P2711&lt;&gt;"",S2711=""),AND(N2711="REALIZADO",M2711="PENDENTE"),AND(ISNUMBER(R2711),R2711=TODAY())),"ATENÇÃO",IF(N(K2711)=0,"PENDENTE","EM ANDAMENTO"))))))</f>
        <v/>
      </c>
      <c r="C2711" s="3">
        <f>IF(D2711="","",IF(V2711=0,"🟢 OK",IF(D2711&lt;corte,"⚪ HISTÓRICO (sem baixa)",IF(AND(ISNUMBER(R2711),R2711&lt;TODAY()),"🔴 PRAZO VENCIDO",IF(AND(OR(N2711="PENDENTE",N2711="PARCIAL"),D2711&lt;TODAY()-1),"🔴 EMBARQUE ATRASADO",IF(AND(N2711="REALIZADO",M2711="PENDENTE"),"🟡 EMBARCADO SEM FATURAR",IF(AND(P2711&lt;&gt;"",S2711="",OR(Q2711="",R2711="")),"🟡 PENDÊNCIA SEM RESPONSÁVEL/PRAZO",IF(AND(ISNUMBER(R2711),R2711=TODAY()),"🟡 VENCE HOJE",IF(AND(P2711&lt;&gt;"",S2711=""),"🟡 PENDÊNCIA ABERTA",IF(AND(N(J2711)&gt;0,N(K2711)&lt;J2711),"🟡 FALTA EXECUTAR",IF(OR(M2711="PENDENTE",M2711="PARCIAL"),"🟡 FATURAMENTO PENDENTE","🟡 EMBARQUE PENDENTE")))))))))))</f>
        <v/>
      </c>
      <c r="D2711" s="4" t="n"/>
      <c r="E2711" s="5" t="n"/>
      <c r="F2711" s="5" t="n"/>
      <c r="G2711" s="5" t="n"/>
      <c r="H2711" s="5" t="n"/>
      <c r="I2711" s="5" t="n"/>
      <c r="J2711" s="6" t="n"/>
      <c r="K2711" s="6" t="n"/>
      <c r="L2711" s="7">
        <f>IF(OR(D2711="",N(J2711)=0),"",MIN(1,N(K2711)/J2711))</f>
        <v/>
      </c>
      <c r="M2711" s="5" t="n"/>
      <c r="N2711" s="5" t="n"/>
      <c r="O2711" s="5" t="n"/>
      <c r="P2711" s="5" t="n"/>
      <c r="Q2711" s="5" t="n"/>
      <c r="R2711" s="4" t="n"/>
      <c r="S2711" s="4" t="n"/>
      <c r="T2711" s="5" t="n"/>
      <c r="U2711" s="8">
        <f>IF(AND(V2711=1,D2711&lt;&gt;""),IF(D2711&gt;=corte,TODAY()-D2711,""),"")</f>
        <v/>
      </c>
      <c r="V2711" s="8">
        <f>IF(D2711="",0,IF(OR(AND(P2711&lt;&gt;"",S2711=""),AND(N(J2711)&gt;0,N(K2711)&lt;J2711),OR(M2711="PENDENTE",M2711="PARCIAL"),OR(N2711="PENDENTE",N2711="PARCIAL")),1,0))</f>
        <v/>
      </c>
      <c r="W2711" s="8">
        <f>IF(AND(V2711=1,D2711&lt;&gt;""),IF(D2711&gt;=corte,(B2711="CRÍTICO")*1E9+(100000-D2711)*10000+10000-ROW(),""),"")</f>
        <v/>
      </c>
      <c r="X2711" s="8">
        <f>IF(AND(V2711=1,D2711=pas_data,E2711=pas_turno),10000-ROW(),"")</f>
        <v/>
      </c>
    </row>
    <row r="2712">
      <c r="A2712" s="3">
        <f>IF(D2712="","","TT-"&amp;TEXT(ROW()-1,"00000"))</f>
        <v/>
      </c>
      <c r="B2712" s="3">
        <f>IF(D2712="","",IF(V2712=0,"CONCLUÍDO",IF(D2712&lt;corte,"HISTÓRICO",IF(OR(AND(ISNUMBER(R2712),R2712&lt;TODAY()),AND(OR(N2712="PENDENTE",N2712="PARCIAL"),D2712&lt;TODAY()-1)),"CRÍTICO",IF(OR(AND(P2712&lt;&gt;"",S2712=""),AND(N2712="REALIZADO",M2712="PENDENTE"),AND(ISNUMBER(R2712),R2712=TODAY())),"ATENÇÃO",IF(N(K2712)=0,"PENDENTE","EM ANDAMENTO"))))))</f>
        <v/>
      </c>
      <c r="C2712" s="3">
        <f>IF(D2712="","",IF(V2712=0,"🟢 OK",IF(D2712&lt;corte,"⚪ HISTÓRICO (sem baixa)",IF(AND(ISNUMBER(R2712),R2712&lt;TODAY()),"🔴 PRAZO VENCIDO",IF(AND(OR(N2712="PENDENTE",N2712="PARCIAL"),D2712&lt;TODAY()-1),"🔴 EMBARQUE ATRASADO",IF(AND(N2712="REALIZADO",M2712="PENDENTE"),"🟡 EMBARCADO SEM FATURAR",IF(AND(P2712&lt;&gt;"",S2712="",OR(Q2712="",R2712="")),"🟡 PENDÊNCIA SEM RESPONSÁVEL/PRAZO",IF(AND(ISNUMBER(R2712),R2712=TODAY()),"🟡 VENCE HOJE",IF(AND(P2712&lt;&gt;"",S2712=""),"🟡 PENDÊNCIA ABERTA",IF(AND(N(J2712)&gt;0,N(K2712)&lt;J2712),"🟡 FALTA EXECUTAR",IF(OR(M2712="PENDENTE",M2712="PARCIAL"),"🟡 FATURAMENTO PENDENTE","🟡 EMBARQUE PENDENTE")))))))))))</f>
        <v/>
      </c>
      <c r="D2712" s="4" t="n"/>
      <c r="E2712" s="5" t="n"/>
      <c r="F2712" s="5" t="n"/>
      <c r="G2712" s="5" t="n"/>
      <c r="H2712" s="5" t="n"/>
      <c r="I2712" s="5" t="n"/>
      <c r="J2712" s="6" t="n"/>
      <c r="K2712" s="6" t="n"/>
      <c r="L2712" s="7">
        <f>IF(OR(D2712="",N(J2712)=0),"",MIN(1,N(K2712)/J2712))</f>
        <v/>
      </c>
      <c r="M2712" s="5" t="n"/>
      <c r="N2712" s="5" t="n"/>
      <c r="O2712" s="5" t="n"/>
      <c r="P2712" s="5" t="n"/>
      <c r="Q2712" s="5" t="n"/>
      <c r="R2712" s="4" t="n"/>
      <c r="S2712" s="4" t="n"/>
      <c r="T2712" s="5" t="n"/>
      <c r="U2712" s="8">
        <f>IF(AND(V2712=1,D2712&lt;&gt;""),IF(D2712&gt;=corte,TODAY()-D2712,""),"")</f>
        <v/>
      </c>
      <c r="V2712" s="8">
        <f>IF(D2712="",0,IF(OR(AND(P2712&lt;&gt;"",S2712=""),AND(N(J2712)&gt;0,N(K2712)&lt;J2712),OR(M2712="PENDENTE",M2712="PARCIAL"),OR(N2712="PENDENTE",N2712="PARCIAL")),1,0))</f>
        <v/>
      </c>
      <c r="W2712" s="8">
        <f>IF(AND(V2712=1,D2712&lt;&gt;""),IF(D2712&gt;=corte,(B2712="CRÍTICO")*1E9+(100000-D2712)*10000+10000-ROW(),""),"")</f>
        <v/>
      </c>
      <c r="X2712" s="8">
        <f>IF(AND(V2712=1,D2712=pas_data,E2712=pas_turno),10000-ROW(),"")</f>
        <v/>
      </c>
    </row>
    <row r="2713">
      <c r="A2713" s="3">
        <f>IF(D2713="","","TT-"&amp;TEXT(ROW()-1,"00000"))</f>
        <v/>
      </c>
      <c r="B2713" s="3">
        <f>IF(D2713="","",IF(V2713=0,"CONCLUÍDO",IF(D2713&lt;corte,"HISTÓRICO",IF(OR(AND(ISNUMBER(R2713),R2713&lt;TODAY()),AND(OR(N2713="PENDENTE",N2713="PARCIAL"),D2713&lt;TODAY()-1)),"CRÍTICO",IF(OR(AND(P2713&lt;&gt;"",S2713=""),AND(N2713="REALIZADO",M2713="PENDENTE"),AND(ISNUMBER(R2713),R2713=TODAY())),"ATENÇÃO",IF(N(K2713)=0,"PENDENTE","EM ANDAMENTO"))))))</f>
        <v/>
      </c>
      <c r="C2713" s="3">
        <f>IF(D2713="","",IF(V2713=0,"🟢 OK",IF(D2713&lt;corte,"⚪ HISTÓRICO (sem baixa)",IF(AND(ISNUMBER(R2713),R2713&lt;TODAY()),"🔴 PRAZO VENCIDO",IF(AND(OR(N2713="PENDENTE",N2713="PARCIAL"),D2713&lt;TODAY()-1),"🔴 EMBARQUE ATRASADO",IF(AND(N2713="REALIZADO",M2713="PENDENTE"),"🟡 EMBARCADO SEM FATURAR",IF(AND(P2713&lt;&gt;"",S2713="",OR(Q2713="",R2713="")),"🟡 PENDÊNCIA SEM RESPONSÁVEL/PRAZO",IF(AND(ISNUMBER(R2713),R2713=TODAY()),"🟡 VENCE HOJE",IF(AND(P2713&lt;&gt;"",S2713=""),"🟡 PENDÊNCIA ABERTA",IF(AND(N(J2713)&gt;0,N(K2713)&lt;J2713),"🟡 FALTA EXECUTAR",IF(OR(M2713="PENDENTE",M2713="PARCIAL"),"🟡 FATURAMENTO PENDENTE","🟡 EMBARQUE PENDENTE")))))))))))</f>
        <v/>
      </c>
      <c r="D2713" s="4" t="n"/>
      <c r="E2713" s="5" t="n"/>
      <c r="F2713" s="5" t="n"/>
      <c r="G2713" s="5" t="n"/>
      <c r="H2713" s="5" t="n"/>
      <c r="I2713" s="5" t="n"/>
      <c r="J2713" s="6" t="n"/>
      <c r="K2713" s="6" t="n"/>
      <c r="L2713" s="7">
        <f>IF(OR(D2713="",N(J2713)=0),"",MIN(1,N(K2713)/J2713))</f>
        <v/>
      </c>
      <c r="M2713" s="5" t="n"/>
      <c r="N2713" s="5" t="n"/>
      <c r="O2713" s="5" t="n"/>
      <c r="P2713" s="5" t="n"/>
      <c r="Q2713" s="5" t="n"/>
      <c r="R2713" s="4" t="n"/>
      <c r="S2713" s="4" t="n"/>
      <c r="T2713" s="5" t="n"/>
      <c r="U2713" s="8">
        <f>IF(AND(V2713=1,D2713&lt;&gt;""),IF(D2713&gt;=corte,TODAY()-D2713,""),"")</f>
        <v/>
      </c>
      <c r="V2713" s="8">
        <f>IF(D2713="",0,IF(OR(AND(P2713&lt;&gt;"",S2713=""),AND(N(J2713)&gt;0,N(K2713)&lt;J2713),OR(M2713="PENDENTE",M2713="PARCIAL"),OR(N2713="PENDENTE",N2713="PARCIAL")),1,0))</f>
        <v/>
      </c>
      <c r="W2713" s="8">
        <f>IF(AND(V2713=1,D2713&lt;&gt;""),IF(D2713&gt;=corte,(B2713="CRÍTICO")*1E9+(100000-D2713)*10000+10000-ROW(),""),"")</f>
        <v/>
      </c>
      <c r="X2713" s="8">
        <f>IF(AND(V2713=1,D2713=pas_data,E2713=pas_turno),10000-ROW(),"")</f>
        <v/>
      </c>
    </row>
    <row r="2714">
      <c r="A2714" s="3">
        <f>IF(D2714="","","TT-"&amp;TEXT(ROW()-1,"00000"))</f>
        <v/>
      </c>
      <c r="B2714" s="3">
        <f>IF(D2714="","",IF(V2714=0,"CONCLUÍDO",IF(D2714&lt;corte,"HISTÓRICO",IF(OR(AND(ISNUMBER(R2714),R2714&lt;TODAY()),AND(OR(N2714="PENDENTE",N2714="PARCIAL"),D2714&lt;TODAY()-1)),"CRÍTICO",IF(OR(AND(P2714&lt;&gt;"",S2714=""),AND(N2714="REALIZADO",M2714="PENDENTE"),AND(ISNUMBER(R2714),R2714=TODAY())),"ATENÇÃO",IF(N(K2714)=0,"PENDENTE","EM ANDAMENTO"))))))</f>
        <v/>
      </c>
      <c r="C2714" s="3">
        <f>IF(D2714="","",IF(V2714=0,"🟢 OK",IF(D2714&lt;corte,"⚪ HISTÓRICO (sem baixa)",IF(AND(ISNUMBER(R2714),R2714&lt;TODAY()),"🔴 PRAZO VENCIDO",IF(AND(OR(N2714="PENDENTE",N2714="PARCIAL"),D2714&lt;TODAY()-1),"🔴 EMBARQUE ATRASADO",IF(AND(N2714="REALIZADO",M2714="PENDENTE"),"🟡 EMBARCADO SEM FATURAR",IF(AND(P2714&lt;&gt;"",S2714="",OR(Q2714="",R2714="")),"🟡 PENDÊNCIA SEM RESPONSÁVEL/PRAZO",IF(AND(ISNUMBER(R2714),R2714=TODAY()),"🟡 VENCE HOJE",IF(AND(P2714&lt;&gt;"",S2714=""),"🟡 PENDÊNCIA ABERTA",IF(AND(N(J2714)&gt;0,N(K2714)&lt;J2714),"🟡 FALTA EXECUTAR",IF(OR(M2714="PENDENTE",M2714="PARCIAL"),"🟡 FATURAMENTO PENDENTE","🟡 EMBARQUE PENDENTE")))))))))))</f>
        <v/>
      </c>
      <c r="D2714" s="4" t="n"/>
      <c r="E2714" s="5" t="n"/>
      <c r="F2714" s="5" t="n"/>
      <c r="G2714" s="5" t="n"/>
      <c r="H2714" s="5" t="n"/>
      <c r="I2714" s="5" t="n"/>
      <c r="J2714" s="6" t="n"/>
      <c r="K2714" s="6" t="n"/>
      <c r="L2714" s="7">
        <f>IF(OR(D2714="",N(J2714)=0),"",MIN(1,N(K2714)/J2714))</f>
        <v/>
      </c>
      <c r="M2714" s="5" t="n"/>
      <c r="N2714" s="5" t="n"/>
      <c r="O2714" s="5" t="n"/>
      <c r="P2714" s="5" t="n"/>
      <c r="Q2714" s="5" t="n"/>
      <c r="R2714" s="4" t="n"/>
      <c r="S2714" s="4" t="n"/>
      <c r="T2714" s="5" t="n"/>
      <c r="U2714" s="8">
        <f>IF(AND(V2714=1,D2714&lt;&gt;""),IF(D2714&gt;=corte,TODAY()-D2714,""),"")</f>
        <v/>
      </c>
      <c r="V2714" s="8">
        <f>IF(D2714="",0,IF(OR(AND(P2714&lt;&gt;"",S2714=""),AND(N(J2714)&gt;0,N(K2714)&lt;J2714),OR(M2714="PENDENTE",M2714="PARCIAL"),OR(N2714="PENDENTE",N2714="PARCIAL")),1,0))</f>
        <v/>
      </c>
      <c r="W2714" s="8">
        <f>IF(AND(V2714=1,D2714&lt;&gt;""),IF(D2714&gt;=corte,(B2714="CRÍTICO")*1E9+(100000-D2714)*10000+10000-ROW(),""),"")</f>
        <v/>
      </c>
      <c r="X2714" s="8">
        <f>IF(AND(V2714=1,D2714=pas_data,E2714=pas_turno),10000-ROW(),"")</f>
        <v/>
      </c>
    </row>
    <row r="2715">
      <c r="A2715" s="3">
        <f>IF(D2715="","","TT-"&amp;TEXT(ROW()-1,"00000"))</f>
        <v/>
      </c>
      <c r="B2715" s="3">
        <f>IF(D2715="","",IF(V2715=0,"CONCLUÍDO",IF(D2715&lt;corte,"HISTÓRICO",IF(OR(AND(ISNUMBER(R2715),R2715&lt;TODAY()),AND(OR(N2715="PENDENTE",N2715="PARCIAL"),D2715&lt;TODAY()-1)),"CRÍTICO",IF(OR(AND(P2715&lt;&gt;"",S2715=""),AND(N2715="REALIZADO",M2715="PENDENTE"),AND(ISNUMBER(R2715),R2715=TODAY())),"ATENÇÃO",IF(N(K2715)=0,"PENDENTE","EM ANDAMENTO"))))))</f>
        <v/>
      </c>
      <c r="C2715" s="3">
        <f>IF(D2715="","",IF(V2715=0,"🟢 OK",IF(D2715&lt;corte,"⚪ HISTÓRICO (sem baixa)",IF(AND(ISNUMBER(R2715),R2715&lt;TODAY()),"🔴 PRAZO VENCIDO",IF(AND(OR(N2715="PENDENTE",N2715="PARCIAL"),D2715&lt;TODAY()-1),"🔴 EMBARQUE ATRASADO",IF(AND(N2715="REALIZADO",M2715="PENDENTE"),"🟡 EMBARCADO SEM FATURAR",IF(AND(P2715&lt;&gt;"",S2715="",OR(Q2715="",R2715="")),"🟡 PENDÊNCIA SEM RESPONSÁVEL/PRAZO",IF(AND(ISNUMBER(R2715),R2715=TODAY()),"🟡 VENCE HOJE",IF(AND(P2715&lt;&gt;"",S2715=""),"🟡 PENDÊNCIA ABERTA",IF(AND(N(J2715)&gt;0,N(K2715)&lt;J2715),"🟡 FALTA EXECUTAR",IF(OR(M2715="PENDENTE",M2715="PARCIAL"),"🟡 FATURAMENTO PENDENTE","🟡 EMBARQUE PENDENTE")))))))))))</f>
        <v/>
      </c>
      <c r="D2715" s="4" t="n"/>
      <c r="E2715" s="5" t="n"/>
      <c r="F2715" s="5" t="n"/>
      <c r="G2715" s="5" t="n"/>
      <c r="H2715" s="5" t="n"/>
      <c r="I2715" s="5" t="n"/>
      <c r="J2715" s="6" t="n"/>
      <c r="K2715" s="6" t="n"/>
      <c r="L2715" s="7">
        <f>IF(OR(D2715="",N(J2715)=0),"",MIN(1,N(K2715)/J2715))</f>
        <v/>
      </c>
      <c r="M2715" s="5" t="n"/>
      <c r="N2715" s="5" t="n"/>
      <c r="O2715" s="5" t="n"/>
      <c r="P2715" s="5" t="n"/>
      <c r="Q2715" s="5" t="n"/>
      <c r="R2715" s="4" t="n"/>
      <c r="S2715" s="4" t="n"/>
      <c r="T2715" s="5" t="n"/>
      <c r="U2715" s="8">
        <f>IF(AND(V2715=1,D2715&lt;&gt;""),IF(D2715&gt;=corte,TODAY()-D2715,""),"")</f>
        <v/>
      </c>
      <c r="V2715" s="8">
        <f>IF(D2715="",0,IF(OR(AND(P2715&lt;&gt;"",S2715=""),AND(N(J2715)&gt;0,N(K2715)&lt;J2715),OR(M2715="PENDENTE",M2715="PARCIAL"),OR(N2715="PENDENTE",N2715="PARCIAL")),1,0))</f>
        <v/>
      </c>
      <c r="W2715" s="8">
        <f>IF(AND(V2715=1,D2715&lt;&gt;""),IF(D2715&gt;=corte,(B2715="CRÍTICO")*1E9+(100000-D2715)*10000+10000-ROW(),""),"")</f>
        <v/>
      </c>
      <c r="X2715" s="8">
        <f>IF(AND(V2715=1,D2715=pas_data,E2715=pas_turno),10000-ROW(),"")</f>
        <v/>
      </c>
    </row>
    <row r="2716">
      <c r="A2716" s="3">
        <f>IF(D2716="","","TT-"&amp;TEXT(ROW()-1,"00000"))</f>
        <v/>
      </c>
      <c r="B2716" s="3">
        <f>IF(D2716="","",IF(V2716=0,"CONCLUÍDO",IF(D2716&lt;corte,"HISTÓRICO",IF(OR(AND(ISNUMBER(R2716),R2716&lt;TODAY()),AND(OR(N2716="PENDENTE",N2716="PARCIAL"),D2716&lt;TODAY()-1)),"CRÍTICO",IF(OR(AND(P2716&lt;&gt;"",S2716=""),AND(N2716="REALIZADO",M2716="PENDENTE"),AND(ISNUMBER(R2716),R2716=TODAY())),"ATENÇÃO",IF(N(K2716)=0,"PENDENTE","EM ANDAMENTO"))))))</f>
        <v/>
      </c>
      <c r="C2716" s="3">
        <f>IF(D2716="","",IF(V2716=0,"🟢 OK",IF(D2716&lt;corte,"⚪ HISTÓRICO (sem baixa)",IF(AND(ISNUMBER(R2716),R2716&lt;TODAY()),"🔴 PRAZO VENCIDO",IF(AND(OR(N2716="PENDENTE",N2716="PARCIAL"),D2716&lt;TODAY()-1),"🔴 EMBARQUE ATRASADO",IF(AND(N2716="REALIZADO",M2716="PENDENTE"),"🟡 EMBARCADO SEM FATURAR",IF(AND(P2716&lt;&gt;"",S2716="",OR(Q2716="",R2716="")),"🟡 PENDÊNCIA SEM RESPONSÁVEL/PRAZO",IF(AND(ISNUMBER(R2716),R2716=TODAY()),"🟡 VENCE HOJE",IF(AND(P2716&lt;&gt;"",S2716=""),"🟡 PENDÊNCIA ABERTA",IF(AND(N(J2716)&gt;0,N(K2716)&lt;J2716),"🟡 FALTA EXECUTAR",IF(OR(M2716="PENDENTE",M2716="PARCIAL"),"🟡 FATURAMENTO PENDENTE","🟡 EMBARQUE PENDENTE")))))))))))</f>
        <v/>
      </c>
      <c r="D2716" s="4" t="n"/>
      <c r="E2716" s="5" t="n"/>
      <c r="F2716" s="5" t="n"/>
      <c r="G2716" s="5" t="n"/>
      <c r="H2716" s="5" t="n"/>
      <c r="I2716" s="5" t="n"/>
      <c r="J2716" s="6" t="n"/>
      <c r="K2716" s="6" t="n"/>
      <c r="L2716" s="7">
        <f>IF(OR(D2716="",N(J2716)=0),"",MIN(1,N(K2716)/J2716))</f>
        <v/>
      </c>
      <c r="M2716" s="5" t="n"/>
      <c r="N2716" s="5" t="n"/>
      <c r="O2716" s="5" t="n"/>
      <c r="P2716" s="5" t="n"/>
      <c r="Q2716" s="5" t="n"/>
      <c r="R2716" s="4" t="n"/>
      <c r="S2716" s="4" t="n"/>
      <c r="T2716" s="5" t="n"/>
      <c r="U2716" s="8">
        <f>IF(AND(V2716=1,D2716&lt;&gt;""),IF(D2716&gt;=corte,TODAY()-D2716,""),"")</f>
        <v/>
      </c>
      <c r="V2716" s="8">
        <f>IF(D2716="",0,IF(OR(AND(P2716&lt;&gt;"",S2716=""),AND(N(J2716)&gt;0,N(K2716)&lt;J2716),OR(M2716="PENDENTE",M2716="PARCIAL"),OR(N2716="PENDENTE",N2716="PARCIAL")),1,0))</f>
        <v/>
      </c>
      <c r="W2716" s="8">
        <f>IF(AND(V2716=1,D2716&lt;&gt;""),IF(D2716&gt;=corte,(B2716="CRÍTICO")*1E9+(100000-D2716)*10000+10000-ROW(),""),"")</f>
        <v/>
      </c>
      <c r="X2716" s="8">
        <f>IF(AND(V2716=1,D2716=pas_data,E2716=pas_turno),10000-ROW(),"")</f>
        <v/>
      </c>
    </row>
    <row r="2717">
      <c r="A2717" s="3">
        <f>IF(D2717="","","TT-"&amp;TEXT(ROW()-1,"00000"))</f>
        <v/>
      </c>
      <c r="B2717" s="3">
        <f>IF(D2717="","",IF(V2717=0,"CONCLUÍDO",IF(D2717&lt;corte,"HISTÓRICO",IF(OR(AND(ISNUMBER(R2717),R2717&lt;TODAY()),AND(OR(N2717="PENDENTE",N2717="PARCIAL"),D2717&lt;TODAY()-1)),"CRÍTICO",IF(OR(AND(P2717&lt;&gt;"",S2717=""),AND(N2717="REALIZADO",M2717="PENDENTE"),AND(ISNUMBER(R2717),R2717=TODAY())),"ATENÇÃO",IF(N(K2717)=0,"PENDENTE","EM ANDAMENTO"))))))</f>
        <v/>
      </c>
      <c r="C2717" s="3">
        <f>IF(D2717="","",IF(V2717=0,"🟢 OK",IF(D2717&lt;corte,"⚪ HISTÓRICO (sem baixa)",IF(AND(ISNUMBER(R2717),R2717&lt;TODAY()),"🔴 PRAZO VENCIDO",IF(AND(OR(N2717="PENDENTE",N2717="PARCIAL"),D2717&lt;TODAY()-1),"🔴 EMBARQUE ATRASADO",IF(AND(N2717="REALIZADO",M2717="PENDENTE"),"🟡 EMBARCADO SEM FATURAR",IF(AND(P2717&lt;&gt;"",S2717="",OR(Q2717="",R2717="")),"🟡 PENDÊNCIA SEM RESPONSÁVEL/PRAZO",IF(AND(ISNUMBER(R2717),R2717=TODAY()),"🟡 VENCE HOJE",IF(AND(P2717&lt;&gt;"",S2717=""),"🟡 PENDÊNCIA ABERTA",IF(AND(N(J2717)&gt;0,N(K2717)&lt;J2717),"🟡 FALTA EXECUTAR",IF(OR(M2717="PENDENTE",M2717="PARCIAL"),"🟡 FATURAMENTO PENDENTE","🟡 EMBARQUE PENDENTE")))))))))))</f>
        <v/>
      </c>
      <c r="D2717" s="4" t="n"/>
      <c r="E2717" s="5" t="n"/>
      <c r="F2717" s="5" t="n"/>
      <c r="G2717" s="5" t="n"/>
      <c r="H2717" s="5" t="n"/>
      <c r="I2717" s="5" t="n"/>
      <c r="J2717" s="6" t="n"/>
      <c r="K2717" s="6" t="n"/>
      <c r="L2717" s="7">
        <f>IF(OR(D2717="",N(J2717)=0),"",MIN(1,N(K2717)/J2717))</f>
        <v/>
      </c>
      <c r="M2717" s="5" t="n"/>
      <c r="N2717" s="5" t="n"/>
      <c r="O2717" s="5" t="n"/>
      <c r="P2717" s="5" t="n"/>
      <c r="Q2717" s="5" t="n"/>
      <c r="R2717" s="4" t="n"/>
      <c r="S2717" s="4" t="n"/>
      <c r="T2717" s="5" t="n"/>
      <c r="U2717" s="8">
        <f>IF(AND(V2717=1,D2717&lt;&gt;""),IF(D2717&gt;=corte,TODAY()-D2717,""),"")</f>
        <v/>
      </c>
      <c r="V2717" s="8">
        <f>IF(D2717="",0,IF(OR(AND(P2717&lt;&gt;"",S2717=""),AND(N(J2717)&gt;0,N(K2717)&lt;J2717),OR(M2717="PENDENTE",M2717="PARCIAL"),OR(N2717="PENDENTE",N2717="PARCIAL")),1,0))</f>
        <v/>
      </c>
      <c r="W2717" s="8">
        <f>IF(AND(V2717=1,D2717&lt;&gt;""),IF(D2717&gt;=corte,(B2717="CRÍTICO")*1E9+(100000-D2717)*10000+10000-ROW(),""),"")</f>
        <v/>
      </c>
      <c r="X2717" s="8">
        <f>IF(AND(V2717=1,D2717=pas_data,E2717=pas_turno),10000-ROW(),"")</f>
        <v/>
      </c>
    </row>
    <row r="2718">
      <c r="A2718" s="3">
        <f>IF(D2718="","","TT-"&amp;TEXT(ROW()-1,"00000"))</f>
        <v/>
      </c>
      <c r="B2718" s="3">
        <f>IF(D2718="","",IF(V2718=0,"CONCLUÍDO",IF(D2718&lt;corte,"HISTÓRICO",IF(OR(AND(ISNUMBER(R2718),R2718&lt;TODAY()),AND(OR(N2718="PENDENTE",N2718="PARCIAL"),D2718&lt;TODAY()-1)),"CRÍTICO",IF(OR(AND(P2718&lt;&gt;"",S2718=""),AND(N2718="REALIZADO",M2718="PENDENTE"),AND(ISNUMBER(R2718),R2718=TODAY())),"ATENÇÃO",IF(N(K2718)=0,"PENDENTE","EM ANDAMENTO"))))))</f>
        <v/>
      </c>
      <c r="C2718" s="3">
        <f>IF(D2718="","",IF(V2718=0,"🟢 OK",IF(D2718&lt;corte,"⚪ HISTÓRICO (sem baixa)",IF(AND(ISNUMBER(R2718),R2718&lt;TODAY()),"🔴 PRAZO VENCIDO",IF(AND(OR(N2718="PENDENTE",N2718="PARCIAL"),D2718&lt;TODAY()-1),"🔴 EMBARQUE ATRASADO",IF(AND(N2718="REALIZADO",M2718="PENDENTE"),"🟡 EMBARCADO SEM FATURAR",IF(AND(P2718&lt;&gt;"",S2718="",OR(Q2718="",R2718="")),"🟡 PENDÊNCIA SEM RESPONSÁVEL/PRAZO",IF(AND(ISNUMBER(R2718),R2718=TODAY()),"🟡 VENCE HOJE",IF(AND(P2718&lt;&gt;"",S2718=""),"🟡 PENDÊNCIA ABERTA",IF(AND(N(J2718)&gt;0,N(K2718)&lt;J2718),"🟡 FALTA EXECUTAR",IF(OR(M2718="PENDENTE",M2718="PARCIAL"),"🟡 FATURAMENTO PENDENTE","🟡 EMBARQUE PENDENTE")))))))))))</f>
        <v/>
      </c>
      <c r="D2718" s="4" t="n"/>
      <c r="E2718" s="5" t="n"/>
      <c r="F2718" s="5" t="n"/>
      <c r="G2718" s="5" t="n"/>
      <c r="H2718" s="5" t="n"/>
      <c r="I2718" s="5" t="n"/>
      <c r="J2718" s="6" t="n"/>
      <c r="K2718" s="6" t="n"/>
      <c r="L2718" s="7">
        <f>IF(OR(D2718="",N(J2718)=0),"",MIN(1,N(K2718)/J2718))</f>
        <v/>
      </c>
      <c r="M2718" s="5" t="n"/>
      <c r="N2718" s="5" t="n"/>
      <c r="O2718" s="5" t="n"/>
      <c r="P2718" s="5" t="n"/>
      <c r="Q2718" s="5" t="n"/>
      <c r="R2718" s="4" t="n"/>
      <c r="S2718" s="4" t="n"/>
      <c r="T2718" s="5" t="n"/>
      <c r="U2718" s="8">
        <f>IF(AND(V2718=1,D2718&lt;&gt;""),IF(D2718&gt;=corte,TODAY()-D2718,""),"")</f>
        <v/>
      </c>
      <c r="V2718" s="8">
        <f>IF(D2718="",0,IF(OR(AND(P2718&lt;&gt;"",S2718=""),AND(N(J2718)&gt;0,N(K2718)&lt;J2718),OR(M2718="PENDENTE",M2718="PARCIAL"),OR(N2718="PENDENTE",N2718="PARCIAL")),1,0))</f>
        <v/>
      </c>
      <c r="W2718" s="8">
        <f>IF(AND(V2718=1,D2718&lt;&gt;""),IF(D2718&gt;=corte,(B2718="CRÍTICO")*1E9+(100000-D2718)*10000+10000-ROW(),""),"")</f>
        <v/>
      </c>
      <c r="X2718" s="8">
        <f>IF(AND(V2718=1,D2718=pas_data,E2718=pas_turno),10000-ROW(),"")</f>
        <v/>
      </c>
    </row>
    <row r="2719">
      <c r="A2719" s="3">
        <f>IF(D2719="","","TT-"&amp;TEXT(ROW()-1,"00000"))</f>
        <v/>
      </c>
      <c r="B2719" s="3">
        <f>IF(D2719="","",IF(V2719=0,"CONCLUÍDO",IF(D2719&lt;corte,"HISTÓRICO",IF(OR(AND(ISNUMBER(R2719),R2719&lt;TODAY()),AND(OR(N2719="PENDENTE",N2719="PARCIAL"),D2719&lt;TODAY()-1)),"CRÍTICO",IF(OR(AND(P2719&lt;&gt;"",S2719=""),AND(N2719="REALIZADO",M2719="PENDENTE"),AND(ISNUMBER(R2719),R2719=TODAY())),"ATENÇÃO",IF(N(K2719)=0,"PENDENTE","EM ANDAMENTO"))))))</f>
        <v/>
      </c>
      <c r="C2719" s="3">
        <f>IF(D2719="","",IF(V2719=0,"🟢 OK",IF(D2719&lt;corte,"⚪ HISTÓRICO (sem baixa)",IF(AND(ISNUMBER(R2719),R2719&lt;TODAY()),"🔴 PRAZO VENCIDO",IF(AND(OR(N2719="PENDENTE",N2719="PARCIAL"),D2719&lt;TODAY()-1),"🔴 EMBARQUE ATRASADO",IF(AND(N2719="REALIZADO",M2719="PENDENTE"),"🟡 EMBARCADO SEM FATURAR",IF(AND(P2719&lt;&gt;"",S2719="",OR(Q2719="",R2719="")),"🟡 PENDÊNCIA SEM RESPONSÁVEL/PRAZO",IF(AND(ISNUMBER(R2719),R2719=TODAY()),"🟡 VENCE HOJE",IF(AND(P2719&lt;&gt;"",S2719=""),"🟡 PENDÊNCIA ABERTA",IF(AND(N(J2719)&gt;0,N(K2719)&lt;J2719),"🟡 FALTA EXECUTAR",IF(OR(M2719="PENDENTE",M2719="PARCIAL"),"🟡 FATURAMENTO PENDENTE","🟡 EMBARQUE PENDENTE")))))))))))</f>
        <v/>
      </c>
      <c r="D2719" s="4" t="n"/>
      <c r="E2719" s="5" t="n"/>
      <c r="F2719" s="5" t="n"/>
      <c r="G2719" s="5" t="n"/>
      <c r="H2719" s="5" t="n"/>
      <c r="I2719" s="5" t="n"/>
      <c r="J2719" s="6" t="n"/>
      <c r="K2719" s="6" t="n"/>
      <c r="L2719" s="7">
        <f>IF(OR(D2719="",N(J2719)=0),"",MIN(1,N(K2719)/J2719))</f>
        <v/>
      </c>
      <c r="M2719" s="5" t="n"/>
      <c r="N2719" s="5" t="n"/>
      <c r="O2719" s="5" t="n"/>
      <c r="P2719" s="5" t="n"/>
      <c r="Q2719" s="5" t="n"/>
      <c r="R2719" s="4" t="n"/>
      <c r="S2719" s="4" t="n"/>
      <c r="T2719" s="5" t="n"/>
      <c r="U2719" s="8">
        <f>IF(AND(V2719=1,D2719&lt;&gt;""),IF(D2719&gt;=corte,TODAY()-D2719,""),"")</f>
        <v/>
      </c>
      <c r="V2719" s="8">
        <f>IF(D2719="",0,IF(OR(AND(P2719&lt;&gt;"",S2719=""),AND(N(J2719)&gt;0,N(K2719)&lt;J2719),OR(M2719="PENDENTE",M2719="PARCIAL"),OR(N2719="PENDENTE",N2719="PARCIAL")),1,0))</f>
        <v/>
      </c>
      <c r="W2719" s="8">
        <f>IF(AND(V2719=1,D2719&lt;&gt;""),IF(D2719&gt;=corte,(B2719="CRÍTICO")*1E9+(100000-D2719)*10000+10000-ROW(),""),"")</f>
        <v/>
      </c>
      <c r="X2719" s="8">
        <f>IF(AND(V2719=1,D2719=pas_data,E2719=pas_turno),10000-ROW(),"")</f>
        <v/>
      </c>
    </row>
    <row r="2720">
      <c r="A2720" s="3">
        <f>IF(D2720="","","TT-"&amp;TEXT(ROW()-1,"00000"))</f>
        <v/>
      </c>
      <c r="B2720" s="3">
        <f>IF(D2720="","",IF(V2720=0,"CONCLUÍDO",IF(D2720&lt;corte,"HISTÓRICO",IF(OR(AND(ISNUMBER(R2720),R2720&lt;TODAY()),AND(OR(N2720="PENDENTE",N2720="PARCIAL"),D2720&lt;TODAY()-1)),"CRÍTICO",IF(OR(AND(P2720&lt;&gt;"",S2720=""),AND(N2720="REALIZADO",M2720="PENDENTE"),AND(ISNUMBER(R2720),R2720=TODAY())),"ATENÇÃO",IF(N(K2720)=0,"PENDENTE","EM ANDAMENTO"))))))</f>
        <v/>
      </c>
      <c r="C2720" s="3">
        <f>IF(D2720="","",IF(V2720=0,"🟢 OK",IF(D2720&lt;corte,"⚪ HISTÓRICO (sem baixa)",IF(AND(ISNUMBER(R2720),R2720&lt;TODAY()),"🔴 PRAZO VENCIDO",IF(AND(OR(N2720="PENDENTE",N2720="PARCIAL"),D2720&lt;TODAY()-1),"🔴 EMBARQUE ATRASADO",IF(AND(N2720="REALIZADO",M2720="PENDENTE"),"🟡 EMBARCADO SEM FATURAR",IF(AND(P2720&lt;&gt;"",S2720="",OR(Q2720="",R2720="")),"🟡 PENDÊNCIA SEM RESPONSÁVEL/PRAZO",IF(AND(ISNUMBER(R2720),R2720=TODAY()),"🟡 VENCE HOJE",IF(AND(P2720&lt;&gt;"",S2720=""),"🟡 PENDÊNCIA ABERTA",IF(AND(N(J2720)&gt;0,N(K2720)&lt;J2720),"🟡 FALTA EXECUTAR",IF(OR(M2720="PENDENTE",M2720="PARCIAL"),"🟡 FATURAMENTO PENDENTE","🟡 EMBARQUE PENDENTE")))))))))))</f>
        <v/>
      </c>
      <c r="D2720" s="4" t="n"/>
      <c r="E2720" s="5" t="n"/>
      <c r="F2720" s="5" t="n"/>
      <c r="G2720" s="5" t="n"/>
      <c r="H2720" s="5" t="n"/>
      <c r="I2720" s="5" t="n"/>
      <c r="J2720" s="6" t="n"/>
      <c r="K2720" s="6" t="n"/>
      <c r="L2720" s="7">
        <f>IF(OR(D2720="",N(J2720)=0),"",MIN(1,N(K2720)/J2720))</f>
        <v/>
      </c>
      <c r="M2720" s="5" t="n"/>
      <c r="N2720" s="5" t="n"/>
      <c r="O2720" s="5" t="n"/>
      <c r="P2720" s="5" t="n"/>
      <c r="Q2720" s="5" t="n"/>
      <c r="R2720" s="4" t="n"/>
      <c r="S2720" s="4" t="n"/>
      <c r="T2720" s="5" t="n"/>
      <c r="U2720" s="8">
        <f>IF(AND(V2720=1,D2720&lt;&gt;""),IF(D2720&gt;=corte,TODAY()-D2720,""),"")</f>
        <v/>
      </c>
      <c r="V2720" s="8">
        <f>IF(D2720="",0,IF(OR(AND(P2720&lt;&gt;"",S2720=""),AND(N(J2720)&gt;0,N(K2720)&lt;J2720),OR(M2720="PENDENTE",M2720="PARCIAL"),OR(N2720="PENDENTE",N2720="PARCIAL")),1,0))</f>
        <v/>
      </c>
      <c r="W2720" s="8">
        <f>IF(AND(V2720=1,D2720&lt;&gt;""),IF(D2720&gt;=corte,(B2720="CRÍTICO")*1E9+(100000-D2720)*10000+10000-ROW(),""),"")</f>
        <v/>
      </c>
      <c r="X2720" s="8">
        <f>IF(AND(V2720=1,D2720=pas_data,E2720=pas_turno),10000-ROW(),"")</f>
        <v/>
      </c>
    </row>
    <row r="2721">
      <c r="A2721" s="3">
        <f>IF(D2721="","","TT-"&amp;TEXT(ROW()-1,"00000"))</f>
        <v/>
      </c>
      <c r="B2721" s="3">
        <f>IF(D2721="","",IF(V2721=0,"CONCLUÍDO",IF(D2721&lt;corte,"HISTÓRICO",IF(OR(AND(ISNUMBER(R2721),R2721&lt;TODAY()),AND(OR(N2721="PENDENTE",N2721="PARCIAL"),D2721&lt;TODAY()-1)),"CRÍTICO",IF(OR(AND(P2721&lt;&gt;"",S2721=""),AND(N2721="REALIZADO",M2721="PENDENTE"),AND(ISNUMBER(R2721),R2721=TODAY())),"ATENÇÃO",IF(N(K2721)=0,"PENDENTE","EM ANDAMENTO"))))))</f>
        <v/>
      </c>
      <c r="C2721" s="3">
        <f>IF(D2721="","",IF(V2721=0,"🟢 OK",IF(D2721&lt;corte,"⚪ HISTÓRICO (sem baixa)",IF(AND(ISNUMBER(R2721),R2721&lt;TODAY()),"🔴 PRAZO VENCIDO",IF(AND(OR(N2721="PENDENTE",N2721="PARCIAL"),D2721&lt;TODAY()-1),"🔴 EMBARQUE ATRASADO",IF(AND(N2721="REALIZADO",M2721="PENDENTE"),"🟡 EMBARCADO SEM FATURAR",IF(AND(P2721&lt;&gt;"",S2721="",OR(Q2721="",R2721="")),"🟡 PENDÊNCIA SEM RESPONSÁVEL/PRAZO",IF(AND(ISNUMBER(R2721),R2721=TODAY()),"🟡 VENCE HOJE",IF(AND(P2721&lt;&gt;"",S2721=""),"🟡 PENDÊNCIA ABERTA",IF(AND(N(J2721)&gt;0,N(K2721)&lt;J2721),"🟡 FALTA EXECUTAR",IF(OR(M2721="PENDENTE",M2721="PARCIAL"),"🟡 FATURAMENTO PENDENTE","🟡 EMBARQUE PENDENTE")))))))))))</f>
        <v/>
      </c>
      <c r="D2721" s="4" t="n"/>
      <c r="E2721" s="5" t="n"/>
      <c r="F2721" s="5" t="n"/>
      <c r="G2721" s="5" t="n"/>
      <c r="H2721" s="5" t="n"/>
      <c r="I2721" s="5" t="n"/>
      <c r="J2721" s="6" t="n"/>
      <c r="K2721" s="6" t="n"/>
      <c r="L2721" s="7">
        <f>IF(OR(D2721="",N(J2721)=0),"",MIN(1,N(K2721)/J2721))</f>
        <v/>
      </c>
      <c r="M2721" s="5" t="n"/>
      <c r="N2721" s="5" t="n"/>
      <c r="O2721" s="5" t="n"/>
      <c r="P2721" s="5" t="n"/>
      <c r="Q2721" s="5" t="n"/>
      <c r="R2721" s="4" t="n"/>
      <c r="S2721" s="4" t="n"/>
      <c r="T2721" s="5" t="n"/>
      <c r="U2721" s="8">
        <f>IF(AND(V2721=1,D2721&lt;&gt;""),IF(D2721&gt;=corte,TODAY()-D2721,""),"")</f>
        <v/>
      </c>
      <c r="V2721" s="8">
        <f>IF(D2721="",0,IF(OR(AND(P2721&lt;&gt;"",S2721=""),AND(N(J2721)&gt;0,N(K2721)&lt;J2721),OR(M2721="PENDENTE",M2721="PARCIAL"),OR(N2721="PENDENTE",N2721="PARCIAL")),1,0))</f>
        <v/>
      </c>
      <c r="W2721" s="8">
        <f>IF(AND(V2721=1,D2721&lt;&gt;""),IF(D2721&gt;=corte,(B2721="CRÍTICO")*1E9+(100000-D2721)*10000+10000-ROW(),""),"")</f>
        <v/>
      </c>
      <c r="X2721" s="8">
        <f>IF(AND(V2721=1,D2721=pas_data,E2721=pas_turno),10000-ROW(),"")</f>
        <v/>
      </c>
    </row>
    <row r="2722">
      <c r="A2722" s="3">
        <f>IF(D2722="","","TT-"&amp;TEXT(ROW()-1,"00000"))</f>
        <v/>
      </c>
      <c r="B2722" s="3">
        <f>IF(D2722="","",IF(V2722=0,"CONCLUÍDO",IF(D2722&lt;corte,"HISTÓRICO",IF(OR(AND(ISNUMBER(R2722),R2722&lt;TODAY()),AND(OR(N2722="PENDENTE",N2722="PARCIAL"),D2722&lt;TODAY()-1)),"CRÍTICO",IF(OR(AND(P2722&lt;&gt;"",S2722=""),AND(N2722="REALIZADO",M2722="PENDENTE"),AND(ISNUMBER(R2722),R2722=TODAY())),"ATENÇÃO",IF(N(K2722)=0,"PENDENTE","EM ANDAMENTO"))))))</f>
        <v/>
      </c>
      <c r="C2722" s="3">
        <f>IF(D2722="","",IF(V2722=0,"🟢 OK",IF(D2722&lt;corte,"⚪ HISTÓRICO (sem baixa)",IF(AND(ISNUMBER(R2722),R2722&lt;TODAY()),"🔴 PRAZO VENCIDO",IF(AND(OR(N2722="PENDENTE",N2722="PARCIAL"),D2722&lt;TODAY()-1),"🔴 EMBARQUE ATRASADO",IF(AND(N2722="REALIZADO",M2722="PENDENTE"),"🟡 EMBARCADO SEM FATURAR",IF(AND(P2722&lt;&gt;"",S2722="",OR(Q2722="",R2722="")),"🟡 PENDÊNCIA SEM RESPONSÁVEL/PRAZO",IF(AND(ISNUMBER(R2722),R2722=TODAY()),"🟡 VENCE HOJE",IF(AND(P2722&lt;&gt;"",S2722=""),"🟡 PENDÊNCIA ABERTA",IF(AND(N(J2722)&gt;0,N(K2722)&lt;J2722),"🟡 FALTA EXECUTAR",IF(OR(M2722="PENDENTE",M2722="PARCIAL"),"🟡 FATURAMENTO PENDENTE","🟡 EMBARQUE PENDENTE")))))))))))</f>
        <v/>
      </c>
      <c r="D2722" s="4" t="n"/>
      <c r="E2722" s="5" t="n"/>
      <c r="F2722" s="5" t="n"/>
      <c r="G2722" s="5" t="n"/>
      <c r="H2722" s="5" t="n"/>
      <c r="I2722" s="5" t="n"/>
      <c r="J2722" s="6" t="n"/>
      <c r="K2722" s="6" t="n"/>
      <c r="L2722" s="7">
        <f>IF(OR(D2722="",N(J2722)=0),"",MIN(1,N(K2722)/J2722))</f>
        <v/>
      </c>
      <c r="M2722" s="5" t="n"/>
      <c r="N2722" s="5" t="n"/>
      <c r="O2722" s="5" t="n"/>
      <c r="P2722" s="5" t="n"/>
      <c r="Q2722" s="5" t="n"/>
      <c r="R2722" s="4" t="n"/>
      <c r="S2722" s="4" t="n"/>
      <c r="T2722" s="5" t="n"/>
      <c r="U2722" s="8">
        <f>IF(AND(V2722=1,D2722&lt;&gt;""),IF(D2722&gt;=corte,TODAY()-D2722,""),"")</f>
        <v/>
      </c>
      <c r="V2722" s="8">
        <f>IF(D2722="",0,IF(OR(AND(P2722&lt;&gt;"",S2722=""),AND(N(J2722)&gt;0,N(K2722)&lt;J2722),OR(M2722="PENDENTE",M2722="PARCIAL"),OR(N2722="PENDENTE",N2722="PARCIAL")),1,0))</f>
        <v/>
      </c>
      <c r="W2722" s="8">
        <f>IF(AND(V2722=1,D2722&lt;&gt;""),IF(D2722&gt;=corte,(B2722="CRÍTICO")*1E9+(100000-D2722)*10000+10000-ROW(),""),"")</f>
        <v/>
      </c>
      <c r="X2722" s="8">
        <f>IF(AND(V2722=1,D2722=pas_data,E2722=pas_turno),10000-ROW(),"")</f>
        <v/>
      </c>
    </row>
    <row r="2723">
      <c r="A2723" s="3">
        <f>IF(D2723="","","TT-"&amp;TEXT(ROW()-1,"00000"))</f>
        <v/>
      </c>
      <c r="B2723" s="3">
        <f>IF(D2723="","",IF(V2723=0,"CONCLUÍDO",IF(D2723&lt;corte,"HISTÓRICO",IF(OR(AND(ISNUMBER(R2723),R2723&lt;TODAY()),AND(OR(N2723="PENDENTE",N2723="PARCIAL"),D2723&lt;TODAY()-1)),"CRÍTICO",IF(OR(AND(P2723&lt;&gt;"",S2723=""),AND(N2723="REALIZADO",M2723="PENDENTE"),AND(ISNUMBER(R2723),R2723=TODAY())),"ATENÇÃO",IF(N(K2723)=0,"PENDENTE","EM ANDAMENTO"))))))</f>
        <v/>
      </c>
      <c r="C2723" s="3">
        <f>IF(D2723="","",IF(V2723=0,"🟢 OK",IF(D2723&lt;corte,"⚪ HISTÓRICO (sem baixa)",IF(AND(ISNUMBER(R2723),R2723&lt;TODAY()),"🔴 PRAZO VENCIDO",IF(AND(OR(N2723="PENDENTE",N2723="PARCIAL"),D2723&lt;TODAY()-1),"🔴 EMBARQUE ATRASADO",IF(AND(N2723="REALIZADO",M2723="PENDENTE"),"🟡 EMBARCADO SEM FATURAR",IF(AND(P2723&lt;&gt;"",S2723="",OR(Q2723="",R2723="")),"🟡 PENDÊNCIA SEM RESPONSÁVEL/PRAZO",IF(AND(ISNUMBER(R2723),R2723=TODAY()),"🟡 VENCE HOJE",IF(AND(P2723&lt;&gt;"",S2723=""),"🟡 PENDÊNCIA ABERTA",IF(AND(N(J2723)&gt;0,N(K2723)&lt;J2723),"🟡 FALTA EXECUTAR",IF(OR(M2723="PENDENTE",M2723="PARCIAL"),"🟡 FATURAMENTO PENDENTE","🟡 EMBARQUE PENDENTE")))))))))))</f>
        <v/>
      </c>
      <c r="D2723" s="4" t="n"/>
      <c r="E2723" s="5" t="n"/>
      <c r="F2723" s="5" t="n"/>
      <c r="G2723" s="5" t="n"/>
      <c r="H2723" s="5" t="n"/>
      <c r="I2723" s="5" t="n"/>
      <c r="J2723" s="6" t="n"/>
      <c r="K2723" s="6" t="n"/>
      <c r="L2723" s="7">
        <f>IF(OR(D2723="",N(J2723)=0),"",MIN(1,N(K2723)/J2723))</f>
        <v/>
      </c>
      <c r="M2723" s="5" t="n"/>
      <c r="N2723" s="5" t="n"/>
      <c r="O2723" s="5" t="n"/>
      <c r="P2723" s="5" t="n"/>
      <c r="Q2723" s="5" t="n"/>
      <c r="R2723" s="4" t="n"/>
      <c r="S2723" s="4" t="n"/>
      <c r="T2723" s="5" t="n"/>
      <c r="U2723" s="8">
        <f>IF(AND(V2723=1,D2723&lt;&gt;""),IF(D2723&gt;=corte,TODAY()-D2723,""),"")</f>
        <v/>
      </c>
      <c r="V2723" s="8">
        <f>IF(D2723="",0,IF(OR(AND(P2723&lt;&gt;"",S2723=""),AND(N(J2723)&gt;0,N(K2723)&lt;J2723),OR(M2723="PENDENTE",M2723="PARCIAL"),OR(N2723="PENDENTE",N2723="PARCIAL")),1,0))</f>
        <v/>
      </c>
      <c r="W2723" s="8">
        <f>IF(AND(V2723=1,D2723&lt;&gt;""),IF(D2723&gt;=corte,(B2723="CRÍTICO")*1E9+(100000-D2723)*10000+10000-ROW(),""),"")</f>
        <v/>
      </c>
      <c r="X2723" s="8">
        <f>IF(AND(V2723=1,D2723=pas_data,E2723=pas_turno),10000-ROW(),"")</f>
        <v/>
      </c>
    </row>
    <row r="2724">
      <c r="A2724" s="3">
        <f>IF(D2724="","","TT-"&amp;TEXT(ROW()-1,"00000"))</f>
        <v/>
      </c>
      <c r="B2724" s="3">
        <f>IF(D2724="","",IF(V2724=0,"CONCLUÍDO",IF(D2724&lt;corte,"HISTÓRICO",IF(OR(AND(ISNUMBER(R2724),R2724&lt;TODAY()),AND(OR(N2724="PENDENTE",N2724="PARCIAL"),D2724&lt;TODAY()-1)),"CRÍTICO",IF(OR(AND(P2724&lt;&gt;"",S2724=""),AND(N2724="REALIZADO",M2724="PENDENTE"),AND(ISNUMBER(R2724),R2724=TODAY())),"ATENÇÃO",IF(N(K2724)=0,"PENDENTE","EM ANDAMENTO"))))))</f>
        <v/>
      </c>
      <c r="C2724" s="3">
        <f>IF(D2724="","",IF(V2724=0,"🟢 OK",IF(D2724&lt;corte,"⚪ HISTÓRICO (sem baixa)",IF(AND(ISNUMBER(R2724),R2724&lt;TODAY()),"🔴 PRAZO VENCIDO",IF(AND(OR(N2724="PENDENTE",N2724="PARCIAL"),D2724&lt;TODAY()-1),"🔴 EMBARQUE ATRASADO",IF(AND(N2724="REALIZADO",M2724="PENDENTE"),"🟡 EMBARCADO SEM FATURAR",IF(AND(P2724&lt;&gt;"",S2724="",OR(Q2724="",R2724="")),"🟡 PENDÊNCIA SEM RESPONSÁVEL/PRAZO",IF(AND(ISNUMBER(R2724),R2724=TODAY()),"🟡 VENCE HOJE",IF(AND(P2724&lt;&gt;"",S2724=""),"🟡 PENDÊNCIA ABERTA",IF(AND(N(J2724)&gt;0,N(K2724)&lt;J2724),"🟡 FALTA EXECUTAR",IF(OR(M2724="PENDENTE",M2724="PARCIAL"),"🟡 FATURAMENTO PENDENTE","🟡 EMBARQUE PENDENTE")))))))))))</f>
        <v/>
      </c>
      <c r="D2724" s="4" t="n"/>
      <c r="E2724" s="5" t="n"/>
      <c r="F2724" s="5" t="n"/>
      <c r="G2724" s="5" t="n"/>
      <c r="H2724" s="5" t="n"/>
      <c r="I2724" s="5" t="n"/>
      <c r="J2724" s="6" t="n"/>
      <c r="K2724" s="6" t="n"/>
      <c r="L2724" s="7">
        <f>IF(OR(D2724="",N(J2724)=0),"",MIN(1,N(K2724)/J2724))</f>
        <v/>
      </c>
      <c r="M2724" s="5" t="n"/>
      <c r="N2724" s="5" t="n"/>
      <c r="O2724" s="5" t="n"/>
      <c r="P2724" s="5" t="n"/>
      <c r="Q2724" s="5" t="n"/>
      <c r="R2724" s="4" t="n"/>
      <c r="S2724" s="4" t="n"/>
      <c r="T2724" s="5" t="n"/>
      <c r="U2724" s="8">
        <f>IF(AND(V2724=1,D2724&lt;&gt;""),IF(D2724&gt;=corte,TODAY()-D2724,""),"")</f>
        <v/>
      </c>
      <c r="V2724" s="8">
        <f>IF(D2724="",0,IF(OR(AND(P2724&lt;&gt;"",S2724=""),AND(N(J2724)&gt;0,N(K2724)&lt;J2724),OR(M2724="PENDENTE",M2724="PARCIAL"),OR(N2724="PENDENTE",N2724="PARCIAL")),1,0))</f>
        <v/>
      </c>
      <c r="W2724" s="8">
        <f>IF(AND(V2724=1,D2724&lt;&gt;""),IF(D2724&gt;=corte,(B2724="CRÍTICO")*1E9+(100000-D2724)*10000+10000-ROW(),""),"")</f>
        <v/>
      </c>
      <c r="X2724" s="8">
        <f>IF(AND(V2724=1,D2724=pas_data,E2724=pas_turno),10000-ROW(),"")</f>
        <v/>
      </c>
    </row>
    <row r="2725">
      <c r="A2725" s="3">
        <f>IF(D2725="","","TT-"&amp;TEXT(ROW()-1,"00000"))</f>
        <v/>
      </c>
      <c r="B2725" s="3">
        <f>IF(D2725="","",IF(V2725=0,"CONCLUÍDO",IF(D2725&lt;corte,"HISTÓRICO",IF(OR(AND(ISNUMBER(R2725),R2725&lt;TODAY()),AND(OR(N2725="PENDENTE",N2725="PARCIAL"),D2725&lt;TODAY()-1)),"CRÍTICO",IF(OR(AND(P2725&lt;&gt;"",S2725=""),AND(N2725="REALIZADO",M2725="PENDENTE"),AND(ISNUMBER(R2725),R2725=TODAY())),"ATENÇÃO",IF(N(K2725)=0,"PENDENTE","EM ANDAMENTO"))))))</f>
        <v/>
      </c>
      <c r="C2725" s="3">
        <f>IF(D2725="","",IF(V2725=0,"🟢 OK",IF(D2725&lt;corte,"⚪ HISTÓRICO (sem baixa)",IF(AND(ISNUMBER(R2725),R2725&lt;TODAY()),"🔴 PRAZO VENCIDO",IF(AND(OR(N2725="PENDENTE",N2725="PARCIAL"),D2725&lt;TODAY()-1),"🔴 EMBARQUE ATRASADO",IF(AND(N2725="REALIZADO",M2725="PENDENTE"),"🟡 EMBARCADO SEM FATURAR",IF(AND(P2725&lt;&gt;"",S2725="",OR(Q2725="",R2725="")),"🟡 PENDÊNCIA SEM RESPONSÁVEL/PRAZO",IF(AND(ISNUMBER(R2725),R2725=TODAY()),"🟡 VENCE HOJE",IF(AND(P2725&lt;&gt;"",S2725=""),"🟡 PENDÊNCIA ABERTA",IF(AND(N(J2725)&gt;0,N(K2725)&lt;J2725),"🟡 FALTA EXECUTAR",IF(OR(M2725="PENDENTE",M2725="PARCIAL"),"🟡 FATURAMENTO PENDENTE","🟡 EMBARQUE PENDENTE")))))))))))</f>
        <v/>
      </c>
      <c r="D2725" s="4" t="n"/>
      <c r="E2725" s="5" t="n"/>
      <c r="F2725" s="5" t="n"/>
      <c r="G2725" s="5" t="n"/>
      <c r="H2725" s="5" t="n"/>
      <c r="I2725" s="5" t="n"/>
      <c r="J2725" s="6" t="n"/>
      <c r="K2725" s="6" t="n"/>
      <c r="L2725" s="7">
        <f>IF(OR(D2725="",N(J2725)=0),"",MIN(1,N(K2725)/J2725))</f>
        <v/>
      </c>
      <c r="M2725" s="5" t="n"/>
      <c r="N2725" s="5" t="n"/>
      <c r="O2725" s="5" t="n"/>
      <c r="P2725" s="5" t="n"/>
      <c r="Q2725" s="5" t="n"/>
      <c r="R2725" s="4" t="n"/>
      <c r="S2725" s="4" t="n"/>
      <c r="T2725" s="5" t="n"/>
      <c r="U2725" s="8">
        <f>IF(AND(V2725=1,D2725&lt;&gt;""),IF(D2725&gt;=corte,TODAY()-D2725,""),"")</f>
        <v/>
      </c>
      <c r="V2725" s="8">
        <f>IF(D2725="",0,IF(OR(AND(P2725&lt;&gt;"",S2725=""),AND(N(J2725)&gt;0,N(K2725)&lt;J2725),OR(M2725="PENDENTE",M2725="PARCIAL"),OR(N2725="PENDENTE",N2725="PARCIAL")),1,0))</f>
        <v/>
      </c>
      <c r="W2725" s="8">
        <f>IF(AND(V2725=1,D2725&lt;&gt;""),IF(D2725&gt;=corte,(B2725="CRÍTICO")*1E9+(100000-D2725)*10000+10000-ROW(),""),"")</f>
        <v/>
      </c>
      <c r="X2725" s="8">
        <f>IF(AND(V2725=1,D2725=pas_data,E2725=pas_turno),10000-ROW(),"")</f>
        <v/>
      </c>
    </row>
    <row r="2726">
      <c r="A2726" s="3">
        <f>IF(D2726="","","TT-"&amp;TEXT(ROW()-1,"00000"))</f>
        <v/>
      </c>
      <c r="B2726" s="3">
        <f>IF(D2726="","",IF(V2726=0,"CONCLUÍDO",IF(D2726&lt;corte,"HISTÓRICO",IF(OR(AND(ISNUMBER(R2726),R2726&lt;TODAY()),AND(OR(N2726="PENDENTE",N2726="PARCIAL"),D2726&lt;TODAY()-1)),"CRÍTICO",IF(OR(AND(P2726&lt;&gt;"",S2726=""),AND(N2726="REALIZADO",M2726="PENDENTE"),AND(ISNUMBER(R2726),R2726=TODAY())),"ATENÇÃO",IF(N(K2726)=0,"PENDENTE","EM ANDAMENTO"))))))</f>
        <v/>
      </c>
      <c r="C2726" s="3">
        <f>IF(D2726="","",IF(V2726=0,"🟢 OK",IF(D2726&lt;corte,"⚪ HISTÓRICO (sem baixa)",IF(AND(ISNUMBER(R2726),R2726&lt;TODAY()),"🔴 PRAZO VENCIDO",IF(AND(OR(N2726="PENDENTE",N2726="PARCIAL"),D2726&lt;TODAY()-1),"🔴 EMBARQUE ATRASADO",IF(AND(N2726="REALIZADO",M2726="PENDENTE"),"🟡 EMBARCADO SEM FATURAR",IF(AND(P2726&lt;&gt;"",S2726="",OR(Q2726="",R2726="")),"🟡 PENDÊNCIA SEM RESPONSÁVEL/PRAZO",IF(AND(ISNUMBER(R2726),R2726=TODAY()),"🟡 VENCE HOJE",IF(AND(P2726&lt;&gt;"",S2726=""),"🟡 PENDÊNCIA ABERTA",IF(AND(N(J2726)&gt;0,N(K2726)&lt;J2726),"🟡 FALTA EXECUTAR",IF(OR(M2726="PENDENTE",M2726="PARCIAL"),"🟡 FATURAMENTO PENDENTE","🟡 EMBARQUE PENDENTE")))))))))))</f>
        <v/>
      </c>
      <c r="D2726" s="4" t="n"/>
      <c r="E2726" s="5" t="n"/>
      <c r="F2726" s="5" t="n"/>
      <c r="G2726" s="5" t="n"/>
      <c r="H2726" s="5" t="n"/>
      <c r="I2726" s="5" t="n"/>
      <c r="J2726" s="6" t="n"/>
      <c r="K2726" s="6" t="n"/>
      <c r="L2726" s="7">
        <f>IF(OR(D2726="",N(J2726)=0),"",MIN(1,N(K2726)/J2726))</f>
        <v/>
      </c>
      <c r="M2726" s="5" t="n"/>
      <c r="N2726" s="5" t="n"/>
      <c r="O2726" s="5" t="n"/>
      <c r="P2726" s="5" t="n"/>
      <c r="Q2726" s="5" t="n"/>
      <c r="R2726" s="4" t="n"/>
      <c r="S2726" s="4" t="n"/>
      <c r="T2726" s="5" t="n"/>
      <c r="U2726" s="8">
        <f>IF(AND(V2726=1,D2726&lt;&gt;""),IF(D2726&gt;=corte,TODAY()-D2726,""),"")</f>
        <v/>
      </c>
      <c r="V2726" s="8">
        <f>IF(D2726="",0,IF(OR(AND(P2726&lt;&gt;"",S2726=""),AND(N(J2726)&gt;0,N(K2726)&lt;J2726),OR(M2726="PENDENTE",M2726="PARCIAL"),OR(N2726="PENDENTE",N2726="PARCIAL")),1,0))</f>
        <v/>
      </c>
      <c r="W2726" s="8">
        <f>IF(AND(V2726=1,D2726&lt;&gt;""),IF(D2726&gt;=corte,(B2726="CRÍTICO")*1E9+(100000-D2726)*10000+10000-ROW(),""),"")</f>
        <v/>
      </c>
      <c r="X2726" s="8">
        <f>IF(AND(V2726=1,D2726=pas_data,E2726=pas_turno),10000-ROW(),"")</f>
        <v/>
      </c>
    </row>
    <row r="2727">
      <c r="A2727" s="3">
        <f>IF(D2727="","","TT-"&amp;TEXT(ROW()-1,"00000"))</f>
        <v/>
      </c>
      <c r="B2727" s="3">
        <f>IF(D2727="","",IF(V2727=0,"CONCLUÍDO",IF(D2727&lt;corte,"HISTÓRICO",IF(OR(AND(ISNUMBER(R2727),R2727&lt;TODAY()),AND(OR(N2727="PENDENTE",N2727="PARCIAL"),D2727&lt;TODAY()-1)),"CRÍTICO",IF(OR(AND(P2727&lt;&gt;"",S2727=""),AND(N2727="REALIZADO",M2727="PENDENTE"),AND(ISNUMBER(R2727),R2727=TODAY())),"ATENÇÃO",IF(N(K2727)=0,"PENDENTE","EM ANDAMENTO"))))))</f>
        <v/>
      </c>
      <c r="C2727" s="3">
        <f>IF(D2727="","",IF(V2727=0,"🟢 OK",IF(D2727&lt;corte,"⚪ HISTÓRICO (sem baixa)",IF(AND(ISNUMBER(R2727),R2727&lt;TODAY()),"🔴 PRAZO VENCIDO",IF(AND(OR(N2727="PENDENTE",N2727="PARCIAL"),D2727&lt;TODAY()-1),"🔴 EMBARQUE ATRASADO",IF(AND(N2727="REALIZADO",M2727="PENDENTE"),"🟡 EMBARCADO SEM FATURAR",IF(AND(P2727&lt;&gt;"",S2727="",OR(Q2727="",R2727="")),"🟡 PENDÊNCIA SEM RESPONSÁVEL/PRAZO",IF(AND(ISNUMBER(R2727),R2727=TODAY()),"🟡 VENCE HOJE",IF(AND(P2727&lt;&gt;"",S2727=""),"🟡 PENDÊNCIA ABERTA",IF(AND(N(J2727)&gt;0,N(K2727)&lt;J2727),"🟡 FALTA EXECUTAR",IF(OR(M2727="PENDENTE",M2727="PARCIAL"),"🟡 FATURAMENTO PENDENTE","🟡 EMBARQUE PENDENTE")))))))))))</f>
        <v/>
      </c>
      <c r="D2727" s="4" t="n"/>
      <c r="E2727" s="5" t="n"/>
      <c r="F2727" s="5" t="n"/>
      <c r="G2727" s="5" t="n"/>
      <c r="H2727" s="5" t="n"/>
      <c r="I2727" s="5" t="n"/>
      <c r="J2727" s="6" t="n"/>
      <c r="K2727" s="6" t="n"/>
      <c r="L2727" s="7">
        <f>IF(OR(D2727="",N(J2727)=0),"",MIN(1,N(K2727)/J2727))</f>
        <v/>
      </c>
      <c r="M2727" s="5" t="n"/>
      <c r="N2727" s="5" t="n"/>
      <c r="O2727" s="5" t="n"/>
      <c r="P2727" s="5" t="n"/>
      <c r="Q2727" s="5" t="n"/>
      <c r="R2727" s="4" t="n"/>
      <c r="S2727" s="4" t="n"/>
      <c r="T2727" s="5" t="n"/>
      <c r="U2727" s="8">
        <f>IF(AND(V2727=1,D2727&lt;&gt;""),IF(D2727&gt;=corte,TODAY()-D2727,""),"")</f>
        <v/>
      </c>
      <c r="V2727" s="8">
        <f>IF(D2727="",0,IF(OR(AND(P2727&lt;&gt;"",S2727=""),AND(N(J2727)&gt;0,N(K2727)&lt;J2727),OR(M2727="PENDENTE",M2727="PARCIAL"),OR(N2727="PENDENTE",N2727="PARCIAL")),1,0))</f>
        <v/>
      </c>
      <c r="W2727" s="8">
        <f>IF(AND(V2727=1,D2727&lt;&gt;""),IF(D2727&gt;=corte,(B2727="CRÍTICO")*1E9+(100000-D2727)*10000+10000-ROW(),""),"")</f>
        <v/>
      </c>
      <c r="X2727" s="8">
        <f>IF(AND(V2727=1,D2727=pas_data,E2727=pas_turno),10000-ROW(),"")</f>
        <v/>
      </c>
    </row>
    <row r="2728">
      <c r="A2728" s="3">
        <f>IF(D2728="","","TT-"&amp;TEXT(ROW()-1,"00000"))</f>
        <v/>
      </c>
      <c r="B2728" s="3">
        <f>IF(D2728="","",IF(V2728=0,"CONCLUÍDO",IF(D2728&lt;corte,"HISTÓRICO",IF(OR(AND(ISNUMBER(R2728),R2728&lt;TODAY()),AND(OR(N2728="PENDENTE",N2728="PARCIAL"),D2728&lt;TODAY()-1)),"CRÍTICO",IF(OR(AND(P2728&lt;&gt;"",S2728=""),AND(N2728="REALIZADO",M2728="PENDENTE"),AND(ISNUMBER(R2728),R2728=TODAY())),"ATENÇÃO",IF(N(K2728)=0,"PENDENTE","EM ANDAMENTO"))))))</f>
        <v/>
      </c>
      <c r="C2728" s="3">
        <f>IF(D2728="","",IF(V2728=0,"🟢 OK",IF(D2728&lt;corte,"⚪ HISTÓRICO (sem baixa)",IF(AND(ISNUMBER(R2728),R2728&lt;TODAY()),"🔴 PRAZO VENCIDO",IF(AND(OR(N2728="PENDENTE",N2728="PARCIAL"),D2728&lt;TODAY()-1),"🔴 EMBARQUE ATRASADO",IF(AND(N2728="REALIZADO",M2728="PENDENTE"),"🟡 EMBARCADO SEM FATURAR",IF(AND(P2728&lt;&gt;"",S2728="",OR(Q2728="",R2728="")),"🟡 PENDÊNCIA SEM RESPONSÁVEL/PRAZO",IF(AND(ISNUMBER(R2728),R2728=TODAY()),"🟡 VENCE HOJE",IF(AND(P2728&lt;&gt;"",S2728=""),"🟡 PENDÊNCIA ABERTA",IF(AND(N(J2728)&gt;0,N(K2728)&lt;J2728),"🟡 FALTA EXECUTAR",IF(OR(M2728="PENDENTE",M2728="PARCIAL"),"🟡 FATURAMENTO PENDENTE","🟡 EMBARQUE PENDENTE")))))))))))</f>
        <v/>
      </c>
      <c r="D2728" s="4" t="n"/>
      <c r="E2728" s="5" t="n"/>
      <c r="F2728" s="5" t="n"/>
      <c r="G2728" s="5" t="n"/>
      <c r="H2728" s="5" t="n"/>
      <c r="I2728" s="5" t="n"/>
      <c r="J2728" s="6" t="n"/>
      <c r="K2728" s="6" t="n"/>
      <c r="L2728" s="7">
        <f>IF(OR(D2728="",N(J2728)=0),"",MIN(1,N(K2728)/J2728))</f>
        <v/>
      </c>
      <c r="M2728" s="5" t="n"/>
      <c r="N2728" s="5" t="n"/>
      <c r="O2728" s="5" t="n"/>
      <c r="P2728" s="5" t="n"/>
      <c r="Q2728" s="5" t="n"/>
      <c r="R2728" s="4" t="n"/>
      <c r="S2728" s="4" t="n"/>
      <c r="T2728" s="5" t="n"/>
      <c r="U2728" s="8">
        <f>IF(AND(V2728=1,D2728&lt;&gt;""),IF(D2728&gt;=corte,TODAY()-D2728,""),"")</f>
        <v/>
      </c>
      <c r="V2728" s="8">
        <f>IF(D2728="",0,IF(OR(AND(P2728&lt;&gt;"",S2728=""),AND(N(J2728)&gt;0,N(K2728)&lt;J2728),OR(M2728="PENDENTE",M2728="PARCIAL"),OR(N2728="PENDENTE",N2728="PARCIAL")),1,0))</f>
        <v/>
      </c>
      <c r="W2728" s="8">
        <f>IF(AND(V2728=1,D2728&lt;&gt;""),IF(D2728&gt;=corte,(B2728="CRÍTICO")*1E9+(100000-D2728)*10000+10000-ROW(),""),"")</f>
        <v/>
      </c>
      <c r="X2728" s="8">
        <f>IF(AND(V2728=1,D2728=pas_data,E2728=pas_turno),10000-ROW(),"")</f>
        <v/>
      </c>
    </row>
    <row r="2729">
      <c r="A2729" s="3">
        <f>IF(D2729="","","TT-"&amp;TEXT(ROW()-1,"00000"))</f>
        <v/>
      </c>
      <c r="B2729" s="3">
        <f>IF(D2729="","",IF(V2729=0,"CONCLUÍDO",IF(D2729&lt;corte,"HISTÓRICO",IF(OR(AND(ISNUMBER(R2729),R2729&lt;TODAY()),AND(OR(N2729="PENDENTE",N2729="PARCIAL"),D2729&lt;TODAY()-1)),"CRÍTICO",IF(OR(AND(P2729&lt;&gt;"",S2729=""),AND(N2729="REALIZADO",M2729="PENDENTE"),AND(ISNUMBER(R2729),R2729=TODAY())),"ATENÇÃO",IF(N(K2729)=0,"PENDENTE","EM ANDAMENTO"))))))</f>
        <v/>
      </c>
      <c r="C2729" s="3">
        <f>IF(D2729="","",IF(V2729=0,"🟢 OK",IF(D2729&lt;corte,"⚪ HISTÓRICO (sem baixa)",IF(AND(ISNUMBER(R2729),R2729&lt;TODAY()),"🔴 PRAZO VENCIDO",IF(AND(OR(N2729="PENDENTE",N2729="PARCIAL"),D2729&lt;TODAY()-1),"🔴 EMBARQUE ATRASADO",IF(AND(N2729="REALIZADO",M2729="PENDENTE"),"🟡 EMBARCADO SEM FATURAR",IF(AND(P2729&lt;&gt;"",S2729="",OR(Q2729="",R2729="")),"🟡 PENDÊNCIA SEM RESPONSÁVEL/PRAZO",IF(AND(ISNUMBER(R2729),R2729=TODAY()),"🟡 VENCE HOJE",IF(AND(P2729&lt;&gt;"",S2729=""),"🟡 PENDÊNCIA ABERTA",IF(AND(N(J2729)&gt;0,N(K2729)&lt;J2729),"🟡 FALTA EXECUTAR",IF(OR(M2729="PENDENTE",M2729="PARCIAL"),"🟡 FATURAMENTO PENDENTE","🟡 EMBARQUE PENDENTE")))))))))))</f>
        <v/>
      </c>
      <c r="D2729" s="4" t="n"/>
      <c r="E2729" s="5" t="n"/>
      <c r="F2729" s="5" t="n"/>
      <c r="G2729" s="5" t="n"/>
      <c r="H2729" s="5" t="n"/>
      <c r="I2729" s="5" t="n"/>
      <c r="J2729" s="6" t="n"/>
      <c r="K2729" s="6" t="n"/>
      <c r="L2729" s="7">
        <f>IF(OR(D2729="",N(J2729)=0),"",MIN(1,N(K2729)/J2729))</f>
        <v/>
      </c>
      <c r="M2729" s="5" t="n"/>
      <c r="N2729" s="5" t="n"/>
      <c r="O2729" s="5" t="n"/>
      <c r="P2729" s="5" t="n"/>
      <c r="Q2729" s="5" t="n"/>
      <c r="R2729" s="4" t="n"/>
      <c r="S2729" s="4" t="n"/>
      <c r="T2729" s="5" t="n"/>
      <c r="U2729" s="8">
        <f>IF(AND(V2729=1,D2729&lt;&gt;""),IF(D2729&gt;=corte,TODAY()-D2729,""),"")</f>
        <v/>
      </c>
      <c r="V2729" s="8">
        <f>IF(D2729="",0,IF(OR(AND(P2729&lt;&gt;"",S2729=""),AND(N(J2729)&gt;0,N(K2729)&lt;J2729),OR(M2729="PENDENTE",M2729="PARCIAL"),OR(N2729="PENDENTE",N2729="PARCIAL")),1,0))</f>
        <v/>
      </c>
      <c r="W2729" s="8">
        <f>IF(AND(V2729=1,D2729&lt;&gt;""),IF(D2729&gt;=corte,(B2729="CRÍTICO")*1E9+(100000-D2729)*10000+10000-ROW(),""),"")</f>
        <v/>
      </c>
      <c r="X2729" s="8">
        <f>IF(AND(V2729=1,D2729=pas_data,E2729=pas_turno),10000-ROW(),"")</f>
        <v/>
      </c>
    </row>
    <row r="2730">
      <c r="A2730" s="3">
        <f>IF(D2730="","","TT-"&amp;TEXT(ROW()-1,"00000"))</f>
        <v/>
      </c>
      <c r="B2730" s="3">
        <f>IF(D2730="","",IF(V2730=0,"CONCLUÍDO",IF(D2730&lt;corte,"HISTÓRICO",IF(OR(AND(ISNUMBER(R2730),R2730&lt;TODAY()),AND(OR(N2730="PENDENTE",N2730="PARCIAL"),D2730&lt;TODAY()-1)),"CRÍTICO",IF(OR(AND(P2730&lt;&gt;"",S2730=""),AND(N2730="REALIZADO",M2730="PENDENTE"),AND(ISNUMBER(R2730),R2730=TODAY())),"ATENÇÃO",IF(N(K2730)=0,"PENDENTE","EM ANDAMENTO"))))))</f>
        <v/>
      </c>
      <c r="C2730" s="3">
        <f>IF(D2730="","",IF(V2730=0,"🟢 OK",IF(D2730&lt;corte,"⚪ HISTÓRICO (sem baixa)",IF(AND(ISNUMBER(R2730),R2730&lt;TODAY()),"🔴 PRAZO VENCIDO",IF(AND(OR(N2730="PENDENTE",N2730="PARCIAL"),D2730&lt;TODAY()-1),"🔴 EMBARQUE ATRASADO",IF(AND(N2730="REALIZADO",M2730="PENDENTE"),"🟡 EMBARCADO SEM FATURAR",IF(AND(P2730&lt;&gt;"",S2730="",OR(Q2730="",R2730="")),"🟡 PENDÊNCIA SEM RESPONSÁVEL/PRAZO",IF(AND(ISNUMBER(R2730),R2730=TODAY()),"🟡 VENCE HOJE",IF(AND(P2730&lt;&gt;"",S2730=""),"🟡 PENDÊNCIA ABERTA",IF(AND(N(J2730)&gt;0,N(K2730)&lt;J2730),"🟡 FALTA EXECUTAR",IF(OR(M2730="PENDENTE",M2730="PARCIAL"),"🟡 FATURAMENTO PENDENTE","🟡 EMBARQUE PENDENTE")))))))))))</f>
        <v/>
      </c>
      <c r="D2730" s="4" t="n"/>
      <c r="E2730" s="5" t="n"/>
      <c r="F2730" s="5" t="n"/>
      <c r="G2730" s="5" t="n"/>
      <c r="H2730" s="5" t="n"/>
      <c r="I2730" s="5" t="n"/>
      <c r="J2730" s="6" t="n"/>
      <c r="K2730" s="6" t="n"/>
      <c r="L2730" s="7">
        <f>IF(OR(D2730="",N(J2730)=0),"",MIN(1,N(K2730)/J2730))</f>
        <v/>
      </c>
      <c r="M2730" s="5" t="n"/>
      <c r="N2730" s="5" t="n"/>
      <c r="O2730" s="5" t="n"/>
      <c r="P2730" s="5" t="n"/>
      <c r="Q2730" s="5" t="n"/>
      <c r="R2730" s="4" t="n"/>
      <c r="S2730" s="4" t="n"/>
      <c r="T2730" s="5" t="n"/>
      <c r="U2730" s="8">
        <f>IF(AND(V2730=1,D2730&lt;&gt;""),IF(D2730&gt;=corte,TODAY()-D2730,""),"")</f>
        <v/>
      </c>
      <c r="V2730" s="8">
        <f>IF(D2730="",0,IF(OR(AND(P2730&lt;&gt;"",S2730=""),AND(N(J2730)&gt;0,N(K2730)&lt;J2730),OR(M2730="PENDENTE",M2730="PARCIAL"),OR(N2730="PENDENTE",N2730="PARCIAL")),1,0))</f>
        <v/>
      </c>
      <c r="W2730" s="8">
        <f>IF(AND(V2730=1,D2730&lt;&gt;""),IF(D2730&gt;=corte,(B2730="CRÍTICO")*1E9+(100000-D2730)*10000+10000-ROW(),""),"")</f>
        <v/>
      </c>
      <c r="X2730" s="8">
        <f>IF(AND(V2730=1,D2730=pas_data,E2730=pas_turno),10000-ROW(),"")</f>
        <v/>
      </c>
    </row>
    <row r="2731">
      <c r="A2731" s="3">
        <f>IF(D2731="","","TT-"&amp;TEXT(ROW()-1,"00000"))</f>
        <v/>
      </c>
      <c r="B2731" s="3">
        <f>IF(D2731="","",IF(V2731=0,"CONCLUÍDO",IF(D2731&lt;corte,"HISTÓRICO",IF(OR(AND(ISNUMBER(R2731),R2731&lt;TODAY()),AND(OR(N2731="PENDENTE",N2731="PARCIAL"),D2731&lt;TODAY()-1)),"CRÍTICO",IF(OR(AND(P2731&lt;&gt;"",S2731=""),AND(N2731="REALIZADO",M2731="PENDENTE"),AND(ISNUMBER(R2731),R2731=TODAY())),"ATENÇÃO",IF(N(K2731)=0,"PENDENTE","EM ANDAMENTO"))))))</f>
        <v/>
      </c>
      <c r="C2731" s="3">
        <f>IF(D2731="","",IF(V2731=0,"🟢 OK",IF(D2731&lt;corte,"⚪ HISTÓRICO (sem baixa)",IF(AND(ISNUMBER(R2731),R2731&lt;TODAY()),"🔴 PRAZO VENCIDO",IF(AND(OR(N2731="PENDENTE",N2731="PARCIAL"),D2731&lt;TODAY()-1),"🔴 EMBARQUE ATRASADO",IF(AND(N2731="REALIZADO",M2731="PENDENTE"),"🟡 EMBARCADO SEM FATURAR",IF(AND(P2731&lt;&gt;"",S2731="",OR(Q2731="",R2731="")),"🟡 PENDÊNCIA SEM RESPONSÁVEL/PRAZO",IF(AND(ISNUMBER(R2731),R2731=TODAY()),"🟡 VENCE HOJE",IF(AND(P2731&lt;&gt;"",S2731=""),"🟡 PENDÊNCIA ABERTA",IF(AND(N(J2731)&gt;0,N(K2731)&lt;J2731),"🟡 FALTA EXECUTAR",IF(OR(M2731="PENDENTE",M2731="PARCIAL"),"🟡 FATURAMENTO PENDENTE","🟡 EMBARQUE PENDENTE")))))))))))</f>
        <v/>
      </c>
      <c r="D2731" s="4" t="n"/>
      <c r="E2731" s="5" t="n"/>
      <c r="F2731" s="5" t="n"/>
      <c r="G2731" s="5" t="n"/>
      <c r="H2731" s="5" t="n"/>
      <c r="I2731" s="5" t="n"/>
      <c r="J2731" s="6" t="n"/>
      <c r="K2731" s="6" t="n"/>
      <c r="L2731" s="7">
        <f>IF(OR(D2731="",N(J2731)=0),"",MIN(1,N(K2731)/J2731))</f>
        <v/>
      </c>
      <c r="M2731" s="5" t="n"/>
      <c r="N2731" s="5" t="n"/>
      <c r="O2731" s="5" t="n"/>
      <c r="P2731" s="5" t="n"/>
      <c r="Q2731" s="5" t="n"/>
      <c r="R2731" s="4" t="n"/>
      <c r="S2731" s="4" t="n"/>
      <c r="T2731" s="5" t="n"/>
      <c r="U2731" s="8">
        <f>IF(AND(V2731=1,D2731&lt;&gt;""),IF(D2731&gt;=corte,TODAY()-D2731,""),"")</f>
        <v/>
      </c>
      <c r="V2731" s="8">
        <f>IF(D2731="",0,IF(OR(AND(P2731&lt;&gt;"",S2731=""),AND(N(J2731)&gt;0,N(K2731)&lt;J2731),OR(M2731="PENDENTE",M2731="PARCIAL"),OR(N2731="PENDENTE",N2731="PARCIAL")),1,0))</f>
        <v/>
      </c>
      <c r="W2731" s="8">
        <f>IF(AND(V2731=1,D2731&lt;&gt;""),IF(D2731&gt;=corte,(B2731="CRÍTICO")*1E9+(100000-D2731)*10000+10000-ROW(),""),"")</f>
        <v/>
      </c>
      <c r="X2731" s="8">
        <f>IF(AND(V2731=1,D2731=pas_data,E2731=pas_turno),10000-ROW(),"")</f>
        <v/>
      </c>
    </row>
    <row r="2732">
      <c r="A2732" s="3">
        <f>IF(D2732="","","TT-"&amp;TEXT(ROW()-1,"00000"))</f>
        <v/>
      </c>
      <c r="B2732" s="3">
        <f>IF(D2732="","",IF(V2732=0,"CONCLUÍDO",IF(D2732&lt;corte,"HISTÓRICO",IF(OR(AND(ISNUMBER(R2732),R2732&lt;TODAY()),AND(OR(N2732="PENDENTE",N2732="PARCIAL"),D2732&lt;TODAY()-1)),"CRÍTICO",IF(OR(AND(P2732&lt;&gt;"",S2732=""),AND(N2732="REALIZADO",M2732="PENDENTE"),AND(ISNUMBER(R2732),R2732=TODAY())),"ATENÇÃO",IF(N(K2732)=0,"PENDENTE","EM ANDAMENTO"))))))</f>
        <v/>
      </c>
      <c r="C2732" s="3">
        <f>IF(D2732="","",IF(V2732=0,"🟢 OK",IF(D2732&lt;corte,"⚪ HISTÓRICO (sem baixa)",IF(AND(ISNUMBER(R2732),R2732&lt;TODAY()),"🔴 PRAZO VENCIDO",IF(AND(OR(N2732="PENDENTE",N2732="PARCIAL"),D2732&lt;TODAY()-1),"🔴 EMBARQUE ATRASADO",IF(AND(N2732="REALIZADO",M2732="PENDENTE"),"🟡 EMBARCADO SEM FATURAR",IF(AND(P2732&lt;&gt;"",S2732="",OR(Q2732="",R2732="")),"🟡 PENDÊNCIA SEM RESPONSÁVEL/PRAZO",IF(AND(ISNUMBER(R2732),R2732=TODAY()),"🟡 VENCE HOJE",IF(AND(P2732&lt;&gt;"",S2732=""),"🟡 PENDÊNCIA ABERTA",IF(AND(N(J2732)&gt;0,N(K2732)&lt;J2732),"🟡 FALTA EXECUTAR",IF(OR(M2732="PENDENTE",M2732="PARCIAL"),"🟡 FATURAMENTO PENDENTE","🟡 EMBARQUE PENDENTE")))))))))))</f>
        <v/>
      </c>
      <c r="D2732" s="4" t="n"/>
      <c r="E2732" s="5" t="n"/>
      <c r="F2732" s="5" t="n"/>
      <c r="G2732" s="5" t="n"/>
      <c r="H2732" s="5" t="n"/>
      <c r="I2732" s="5" t="n"/>
      <c r="J2732" s="6" t="n"/>
      <c r="K2732" s="6" t="n"/>
      <c r="L2732" s="7">
        <f>IF(OR(D2732="",N(J2732)=0),"",MIN(1,N(K2732)/J2732))</f>
        <v/>
      </c>
      <c r="M2732" s="5" t="n"/>
      <c r="N2732" s="5" t="n"/>
      <c r="O2732" s="5" t="n"/>
      <c r="P2732" s="5" t="n"/>
      <c r="Q2732" s="5" t="n"/>
      <c r="R2732" s="4" t="n"/>
      <c r="S2732" s="4" t="n"/>
      <c r="T2732" s="5" t="n"/>
      <c r="U2732" s="8">
        <f>IF(AND(V2732=1,D2732&lt;&gt;""),IF(D2732&gt;=corte,TODAY()-D2732,""),"")</f>
        <v/>
      </c>
      <c r="V2732" s="8">
        <f>IF(D2732="",0,IF(OR(AND(P2732&lt;&gt;"",S2732=""),AND(N(J2732)&gt;0,N(K2732)&lt;J2732),OR(M2732="PENDENTE",M2732="PARCIAL"),OR(N2732="PENDENTE",N2732="PARCIAL")),1,0))</f>
        <v/>
      </c>
      <c r="W2732" s="8">
        <f>IF(AND(V2732=1,D2732&lt;&gt;""),IF(D2732&gt;=corte,(B2732="CRÍTICO")*1E9+(100000-D2732)*10000+10000-ROW(),""),"")</f>
        <v/>
      </c>
      <c r="X2732" s="8">
        <f>IF(AND(V2732=1,D2732=pas_data,E2732=pas_turno),10000-ROW(),"")</f>
        <v/>
      </c>
    </row>
    <row r="2733">
      <c r="A2733" s="3">
        <f>IF(D2733="","","TT-"&amp;TEXT(ROW()-1,"00000"))</f>
        <v/>
      </c>
      <c r="B2733" s="3">
        <f>IF(D2733="","",IF(V2733=0,"CONCLUÍDO",IF(D2733&lt;corte,"HISTÓRICO",IF(OR(AND(ISNUMBER(R2733),R2733&lt;TODAY()),AND(OR(N2733="PENDENTE",N2733="PARCIAL"),D2733&lt;TODAY()-1)),"CRÍTICO",IF(OR(AND(P2733&lt;&gt;"",S2733=""),AND(N2733="REALIZADO",M2733="PENDENTE"),AND(ISNUMBER(R2733),R2733=TODAY())),"ATENÇÃO",IF(N(K2733)=0,"PENDENTE","EM ANDAMENTO"))))))</f>
        <v/>
      </c>
      <c r="C2733" s="3">
        <f>IF(D2733="","",IF(V2733=0,"🟢 OK",IF(D2733&lt;corte,"⚪ HISTÓRICO (sem baixa)",IF(AND(ISNUMBER(R2733),R2733&lt;TODAY()),"🔴 PRAZO VENCIDO",IF(AND(OR(N2733="PENDENTE",N2733="PARCIAL"),D2733&lt;TODAY()-1),"🔴 EMBARQUE ATRASADO",IF(AND(N2733="REALIZADO",M2733="PENDENTE"),"🟡 EMBARCADO SEM FATURAR",IF(AND(P2733&lt;&gt;"",S2733="",OR(Q2733="",R2733="")),"🟡 PENDÊNCIA SEM RESPONSÁVEL/PRAZO",IF(AND(ISNUMBER(R2733),R2733=TODAY()),"🟡 VENCE HOJE",IF(AND(P2733&lt;&gt;"",S2733=""),"🟡 PENDÊNCIA ABERTA",IF(AND(N(J2733)&gt;0,N(K2733)&lt;J2733),"🟡 FALTA EXECUTAR",IF(OR(M2733="PENDENTE",M2733="PARCIAL"),"🟡 FATURAMENTO PENDENTE","🟡 EMBARQUE PENDENTE")))))))))))</f>
        <v/>
      </c>
      <c r="D2733" s="4" t="n"/>
      <c r="E2733" s="5" t="n"/>
      <c r="F2733" s="5" t="n"/>
      <c r="G2733" s="5" t="n"/>
      <c r="H2733" s="5" t="n"/>
      <c r="I2733" s="5" t="n"/>
      <c r="J2733" s="6" t="n"/>
      <c r="K2733" s="6" t="n"/>
      <c r="L2733" s="7">
        <f>IF(OR(D2733="",N(J2733)=0),"",MIN(1,N(K2733)/J2733))</f>
        <v/>
      </c>
      <c r="M2733" s="5" t="n"/>
      <c r="N2733" s="5" t="n"/>
      <c r="O2733" s="5" t="n"/>
      <c r="P2733" s="5" t="n"/>
      <c r="Q2733" s="5" t="n"/>
      <c r="R2733" s="4" t="n"/>
      <c r="S2733" s="4" t="n"/>
      <c r="T2733" s="5" t="n"/>
      <c r="U2733" s="8">
        <f>IF(AND(V2733=1,D2733&lt;&gt;""),IF(D2733&gt;=corte,TODAY()-D2733,""),"")</f>
        <v/>
      </c>
      <c r="V2733" s="8">
        <f>IF(D2733="",0,IF(OR(AND(P2733&lt;&gt;"",S2733=""),AND(N(J2733)&gt;0,N(K2733)&lt;J2733),OR(M2733="PENDENTE",M2733="PARCIAL"),OR(N2733="PENDENTE",N2733="PARCIAL")),1,0))</f>
        <v/>
      </c>
      <c r="W2733" s="8">
        <f>IF(AND(V2733=1,D2733&lt;&gt;""),IF(D2733&gt;=corte,(B2733="CRÍTICO")*1E9+(100000-D2733)*10000+10000-ROW(),""),"")</f>
        <v/>
      </c>
      <c r="X2733" s="8">
        <f>IF(AND(V2733=1,D2733=pas_data,E2733=pas_turno),10000-ROW(),"")</f>
        <v/>
      </c>
    </row>
    <row r="2734">
      <c r="A2734" s="3">
        <f>IF(D2734="","","TT-"&amp;TEXT(ROW()-1,"00000"))</f>
        <v/>
      </c>
      <c r="B2734" s="3">
        <f>IF(D2734="","",IF(V2734=0,"CONCLUÍDO",IF(D2734&lt;corte,"HISTÓRICO",IF(OR(AND(ISNUMBER(R2734),R2734&lt;TODAY()),AND(OR(N2734="PENDENTE",N2734="PARCIAL"),D2734&lt;TODAY()-1)),"CRÍTICO",IF(OR(AND(P2734&lt;&gt;"",S2734=""),AND(N2734="REALIZADO",M2734="PENDENTE"),AND(ISNUMBER(R2734),R2734=TODAY())),"ATENÇÃO",IF(N(K2734)=0,"PENDENTE","EM ANDAMENTO"))))))</f>
        <v/>
      </c>
      <c r="C2734" s="3">
        <f>IF(D2734="","",IF(V2734=0,"🟢 OK",IF(D2734&lt;corte,"⚪ HISTÓRICO (sem baixa)",IF(AND(ISNUMBER(R2734),R2734&lt;TODAY()),"🔴 PRAZO VENCIDO",IF(AND(OR(N2734="PENDENTE",N2734="PARCIAL"),D2734&lt;TODAY()-1),"🔴 EMBARQUE ATRASADO",IF(AND(N2734="REALIZADO",M2734="PENDENTE"),"🟡 EMBARCADO SEM FATURAR",IF(AND(P2734&lt;&gt;"",S2734="",OR(Q2734="",R2734="")),"🟡 PENDÊNCIA SEM RESPONSÁVEL/PRAZO",IF(AND(ISNUMBER(R2734),R2734=TODAY()),"🟡 VENCE HOJE",IF(AND(P2734&lt;&gt;"",S2734=""),"🟡 PENDÊNCIA ABERTA",IF(AND(N(J2734)&gt;0,N(K2734)&lt;J2734),"🟡 FALTA EXECUTAR",IF(OR(M2734="PENDENTE",M2734="PARCIAL"),"🟡 FATURAMENTO PENDENTE","🟡 EMBARQUE PENDENTE")))))))))))</f>
        <v/>
      </c>
      <c r="D2734" s="4" t="n"/>
      <c r="E2734" s="5" t="n"/>
      <c r="F2734" s="5" t="n"/>
      <c r="G2734" s="5" t="n"/>
      <c r="H2734" s="5" t="n"/>
      <c r="I2734" s="5" t="n"/>
      <c r="J2734" s="6" t="n"/>
      <c r="K2734" s="6" t="n"/>
      <c r="L2734" s="7">
        <f>IF(OR(D2734="",N(J2734)=0),"",MIN(1,N(K2734)/J2734))</f>
        <v/>
      </c>
      <c r="M2734" s="5" t="n"/>
      <c r="N2734" s="5" t="n"/>
      <c r="O2734" s="5" t="n"/>
      <c r="P2734" s="5" t="n"/>
      <c r="Q2734" s="5" t="n"/>
      <c r="R2734" s="4" t="n"/>
      <c r="S2734" s="4" t="n"/>
      <c r="T2734" s="5" t="n"/>
      <c r="U2734" s="8">
        <f>IF(AND(V2734=1,D2734&lt;&gt;""),IF(D2734&gt;=corte,TODAY()-D2734,""),"")</f>
        <v/>
      </c>
      <c r="V2734" s="8">
        <f>IF(D2734="",0,IF(OR(AND(P2734&lt;&gt;"",S2734=""),AND(N(J2734)&gt;0,N(K2734)&lt;J2734),OR(M2734="PENDENTE",M2734="PARCIAL"),OR(N2734="PENDENTE",N2734="PARCIAL")),1,0))</f>
        <v/>
      </c>
      <c r="W2734" s="8">
        <f>IF(AND(V2734=1,D2734&lt;&gt;""),IF(D2734&gt;=corte,(B2734="CRÍTICO")*1E9+(100000-D2734)*10000+10000-ROW(),""),"")</f>
        <v/>
      </c>
      <c r="X2734" s="8">
        <f>IF(AND(V2734=1,D2734=pas_data,E2734=pas_turno),10000-ROW(),"")</f>
        <v/>
      </c>
    </row>
    <row r="2735">
      <c r="A2735" s="3">
        <f>IF(D2735="","","TT-"&amp;TEXT(ROW()-1,"00000"))</f>
        <v/>
      </c>
      <c r="B2735" s="3">
        <f>IF(D2735="","",IF(V2735=0,"CONCLUÍDO",IF(D2735&lt;corte,"HISTÓRICO",IF(OR(AND(ISNUMBER(R2735),R2735&lt;TODAY()),AND(OR(N2735="PENDENTE",N2735="PARCIAL"),D2735&lt;TODAY()-1)),"CRÍTICO",IF(OR(AND(P2735&lt;&gt;"",S2735=""),AND(N2735="REALIZADO",M2735="PENDENTE"),AND(ISNUMBER(R2735),R2735=TODAY())),"ATENÇÃO",IF(N(K2735)=0,"PENDENTE","EM ANDAMENTO"))))))</f>
        <v/>
      </c>
      <c r="C2735" s="3">
        <f>IF(D2735="","",IF(V2735=0,"🟢 OK",IF(D2735&lt;corte,"⚪ HISTÓRICO (sem baixa)",IF(AND(ISNUMBER(R2735),R2735&lt;TODAY()),"🔴 PRAZO VENCIDO",IF(AND(OR(N2735="PENDENTE",N2735="PARCIAL"),D2735&lt;TODAY()-1),"🔴 EMBARQUE ATRASADO",IF(AND(N2735="REALIZADO",M2735="PENDENTE"),"🟡 EMBARCADO SEM FATURAR",IF(AND(P2735&lt;&gt;"",S2735="",OR(Q2735="",R2735="")),"🟡 PENDÊNCIA SEM RESPONSÁVEL/PRAZO",IF(AND(ISNUMBER(R2735),R2735=TODAY()),"🟡 VENCE HOJE",IF(AND(P2735&lt;&gt;"",S2735=""),"🟡 PENDÊNCIA ABERTA",IF(AND(N(J2735)&gt;0,N(K2735)&lt;J2735),"🟡 FALTA EXECUTAR",IF(OR(M2735="PENDENTE",M2735="PARCIAL"),"🟡 FATURAMENTO PENDENTE","🟡 EMBARQUE PENDENTE")))))))))))</f>
        <v/>
      </c>
      <c r="D2735" s="4" t="n"/>
      <c r="E2735" s="5" t="n"/>
      <c r="F2735" s="5" t="n"/>
      <c r="G2735" s="5" t="n"/>
      <c r="H2735" s="5" t="n"/>
      <c r="I2735" s="5" t="n"/>
      <c r="J2735" s="6" t="n"/>
      <c r="K2735" s="6" t="n"/>
      <c r="L2735" s="7">
        <f>IF(OR(D2735="",N(J2735)=0),"",MIN(1,N(K2735)/J2735))</f>
        <v/>
      </c>
      <c r="M2735" s="5" t="n"/>
      <c r="N2735" s="5" t="n"/>
      <c r="O2735" s="5" t="n"/>
      <c r="P2735" s="5" t="n"/>
      <c r="Q2735" s="5" t="n"/>
      <c r="R2735" s="4" t="n"/>
      <c r="S2735" s="4" t="n"/>
      <c r="T2735" s="5" t="n"/>
      <c r="U2735" s="8">
        <f>IF(AND(V2735=1,D2735&lt;&gt;""),IF(D2735&gt;=corte,TODAY()-D2735,""),"")</f>
        <v/>
      </c>
      <c r="V2735" s="8">
        <f>IF(D2735="",0,IF(OR(AND(P2735&lt;&gt;"",S2735=""),AND(N(J2735)&gt;0,N(K2735)&lt;J2735),OR(M2735="PENDENTE",M2735="PARCIAL"),OR(N2735="PENDENTE",N2735="PARCIAL")),1,0))</f>
        <v/>
      </c>
      <c r="W2735" s="8">
        <f>IF(AND(V2735=1,D2735&lt;&gt;""),IF(D2735&gt;=corte,(B2735="CRÍTICO")*1E9+(100000-D2735)*10000+10000-ROW(),""),"")</f>
        <v/>
      </c>
      <c r="X2735" s="8">
        <f>IF(AND(V2735=1,D2735=pas_data,E2735=pas_turno),10000-ROW(),"")</f>
        <v/>
      </c>
    </row>
    <row r="2736">
      <c r="A2736" s="3">
        <f>IF(D2736="","","TT-"&amp;TEXT(ROW()-1,"00000"))</f>
        <v/>
      </c>
      <c r="B2736" s="3">
        <f>IF(D2736="","",IF(V2736=0,"CONCLUÍDO",IF(D2736&lt;corte,"HISTÓRICO",IF(OR(AND(ISNUMBER(R2736),R2736&lt;TODAY()),AND(OR(N2736="PENDENTE",N2736="PARCIAL"),D2736&lt;TODAY()-1)),"CRÍTICO",IF(OR(AND(P2736&lt;&gt;"",S2736=""),AND(N2736="REALIZADO",M2736="PENDENTE"),AND(ISNUMBER(R2736),R2736=TODAY())),"ATENÇÃO",IF(N(K2736)=0,"PENDENTE","EM ANDAMENTO"))))))</f>
        <v/>
      </c>
      <c r="C2736" s="3">
        <f>IF(D2736="","",IF(V2736=0,"🟢 OK",IF(D2736&lt;corte,"⚪ HISTÓRICO (sem baixa)",IF(AND(ISNUMBER(R2736),R2736&lt;TODAY()),"🔴 PRAZO VENCIDO",IF(AND(OR(N2736="PENDENTE",N2736="PARCIAL"),D2736&lt;TODAY()-1),"🔴 EMBARQUE ATRASADO",IF(AND(N2736="REALIZADO",M2736="PENDENTE"),"🟡 EMBARCADO SEM FATURAR",IF(AND(P2736&lt;&gt;"",S2736="",OR(Q2736="",R2736="")),"🟡 PENDÊNCIA SEM RESPONSÁVEL/PRAZO",IF(AND(ISNUMBER(R2736),R2736=TODAY()),"🟡 VENCE HOJE",IF(AND(P2736&lt;&gt;"",S2736=""),"🟡 PENDÊNCIA ABERTA",IF(AND(N(J2736)&gt;0,N(K2736)&lt;J2736),"🟡 FALTA EXECUTAR",IF(OR(M2736="PENDENTE",M2736="PARCIAL"),"🟡 FATURAMENTO PENDENTE","🟡 EMBARQUE PENDENTE")))))))))))</f>
        <v/>
      </c>
      <c r="D2736" s="4" t="n"/>
      <c r="E2736" s="5" t="n"/>
      <c r="F2736" s="5" t="n"/>
      <c r="G2736" s="5" t="n"/>
      <c r="H2736" s="5" t="n"/>
      <c r="I2736" s="5" t="n"/>
      <c r="J2736" s="6" t="n"/>
      <c r="K2736" s="6" t="n"/>
      <c r="L2736" s="7">
        <f>IF(OR(D2736="",N(J2736)=0),"",MIN(1,N(K2736)/J2736))</f>
        <v/>
      </c>
      <c r="M2736" s="5" t="n"/>
      <c r="N2736" s="5" t="n"/>
      <c r="O2736" s="5" t="n"/>
      <c r="P2736" s="5" t="n"/>
      <c r="Q2736" s="5" t="n"/>
      <c r="R2736" s="4" t="n"/>
      <c r="S2736" s="4" t="n"/>
      <c r="T2736" s="5" t="n"/>
      <c r="U2736" s="8">
        <f>IF(AND(V2736=1,D2736&lt;&gt;""),IF(D2736&gt;=corte,TODAY()-D2736,""),"")</f>
        <v/>
      </c>
      <c r="V2736" s="8">
        <f>IF(D2736="",0,IF(OR(AND(P2736&lt;&gt;"",S2736=""),AND(N(J2736)&gt;0,N(K2736)&lt;J2736),OR(M2736="PENDENTE",M2736="PARCIAL"),OR(N2736="PENDENTE",N2736="PARCIAL")),1,0))</f>
        <v/>
      </c>
      <c r="W2736" s="8">
        <f>IF(AND(V2736=1,D2736&lt;&gt;""),IF(D2736&gt;=corte,(B2736="CRÍTICO")*1E9+(100000-D2736)*10000+10000-ROW(),""),"")</f>
        <v/>
      </c>
      <c r="X2736" s="8">
        <f>IF(AND(V2736=1,D2736=pas_data,E2736=pas_turno),10000-ROW(),"")</f>
        <v/>
      </c>
    </row>
    <row r="2737">
      <c r="A2737" s="3">
        <f>IF(D2737="","","TT-"&amp;TEXT(ROW()-1,"00000"))</f>
        <v/>
      </c>
      <c r="B2737" s="3">
        <f>IF(D2737="","",IF(V2737=0,"CONCLUÍDO",IF(D2737&lt;corte,"HISTÓRICO",IF(OR(AND(ISNUMBER(R2737),R2737&lt;TODAY()),AND(OR(N2737="PENDENTE",N2737="PARCIAL"),D2737&lt;TODAY()-1)),"CRÍTICO",IF(OR(AND(P2737&lt;&gt;"",S2737=""),AND(N2737="REALIZADO",M2737="PENDENTE"),AND(ISNUMBER(R2737),R2737=TODAY())),"ATENÇÃO",IF(N(K2737)=0,"PENDENTE","EM ANDAMENTO"))))))</f>
        <v/>
      </c>
      <c r="C2737" s="3">
        <f>IF(D2737="","",IF(V2737=0,"🟢 OK",IF(D2737&lt;corte,"⚪ HISTÓRICO (sem baixa)",IF(AND(ISNUMBER(R2737),R2737&lt;TODAY()),"🔴 PRAZO VENCIDO",IF(AND(OR(N2737="PENDENTE",N2737="PARCIAL"),D2737&lt;TODAY()-1),"🔴 EMBARQUE ATRASADO",IF(AND(N2737="REALIZADO",M2737="PENDENTE"),"🟡 EMBARCADO SEM FATURAR",IF(AND(P2737&lt;&gt;"",S2737="",OR(Q2737="",R2737="")),"🟡 PENDÊNCIA SEM RESPONSÁVEL/PRAZO",IF(AND(ISNUMBER(R2737),R2737=TODAY()),"🟡 VENCE HOJE",IF(AND(P2737&lt;&gt;"",S2737=""),"🟡 PENDÊNCIA ABERTA",IF(AND(N(J2737)&gt;0,N(K2737)&lt;J2737),"🟡 FALTA EXECUTAR",IF(OR(M2737="PENDENTE",M2737="PARCIAL"),"🟡 FATURAMENTO PENDENTE","🟡 EMBARQUE PENDENTE")))))))))))</f>
        <v/>
      </c>
      <c r="D2737" s="4" t="n"/>
      <c r="E2737" s="5" t="n"/>
      <c r="F2737" s="5" t="n"/>
      <c r="G2737" s="5" t="n"/>
      <c r="H2737" s="5" t="n"/>
      <c r="I2737" s="5" t="n"/>
      <c r="J2737" s="6" t="n"/>
      <c r="K2737" s="6" t="n"/>
      <c r="L2737" s="7">
        <f>IF(OR(D2737="",N(J2737)=0),"",MIN(1,N(K2737)/J2737))</f>
        <v/>
      </c>
      <c r="M2737" s="5" t="n"/>
      <c r="N2737" s="5" t="n"/>
      <c r="O2737" s="5" t="n"/>
      <c r="P2737" s="5" t="n"/>
      <c r="Q2737" s="5" t="n"/>
      <c r="R2737" s="4" t="n"/>
      <c r="S2737" s="4" t="n"/>
      <c r="T2737" s="5" t="n"/>
      <c r="U2737" s="8">
        <f>IF(AND(V2737=1,D2737&lt;&gt;""),IF(D2737&gt;=corte,TODAY()-D2737,""),"")</f>
        <v/>
      </c>
      <c r="V2737" s="8">
        <f>IF(D2737="",0,IF(OR(AND(P2737&lt;&gt;"",S2737=""),AND(N(J2737)&gt;0,N(K2737)&lt;J2737),OR(M2737="PENDENTE",M2737="PARCIAL"),OR(N2737="PENDENTE",N2737="PARCIAL")),1,0))</f>
        <v/>
      </c>
      <c r="W2737" s="8">
        <f>IF(AND(V2737=1,D2737&lt;&gt;""),IF(D2737&gt;=corte,(B2737="CRÍTICO")*1E9+(100000-D2737)*10000+10000-ROW(),""),"")</f>
        <v/>
      </c>
      <c r="X2737" s="8">
        <f>IF(AND(V2737=1,D2737=pas_data,E2737=pas_turno),10000-ROW(),"")</f>
        <v/>
      </c>
    </row>
    <row r="2738">
      <c r="A2738" s="3">
        <f>IF(D2738="","","TT-"&amp;TEXT(ROW()-1,"00000"))</f>
        <v/>
      </c>
      <c r="B2738" s="3">
        <f>IF(D2738="","",IF(V2738=0,"CONCLUÍDO",IF(D2738&lt;corte,"HISTÓRICO",IF(OR(AND(ISNUMBER(R2738),R2738&lt;TODAY()),AND(OR(N2738="PENDENTE",N2738="PARCIAL"),D2738&lt;TODAY()-1)),"CRÍTICO",IF(OR(AND(P2738&lt;&gt;"",S2738=""),AND(N2738="REALIZADO",M2738="PENDENTE"),AND(ISNUMBER(R2738),R2738=TODAY())),"ATENÇÃO",IF(N(K2738)=0,"PENDENTE","EM ANDAMENTO"))))))</f>
        <v/>
      </c>
      <c r="C2738" s="3">
        <f>IF(D2738="","",IF(V2738=0,"🟢 OK",IF(D2738&lt;corte,"⚪ HISTÓRICO (sem baixa)",IF(AND(ISNUMBER(R2738),R2738&lt;TODAY()),"🔴 PRAZO VENCIDO",IF(AND(OR(N2738="PENDENTE",N2738="PARCIAL"),D2738&lt;TODAY()-1),"🔴 EMBARQUE ATRASADO",IF(AND(N2738="REALIZADO",M2738="PENDENTE"),"🟡 EMBARCADO SEM FATURAR",IF(AND(P2738&lt;&gt;"",S2738="",OR(Q2738="",R2738="")),"🟡 PENDÊNCIA SEM RESPONSÁVEL/PRAZO",IF(AND(ISNUMBER(R2738),R2738=TODAY()),"🟡 VENCE HOJE",IF(AND(P2738&lt;&gt;"",S2738=""),"🟡 PENDÊNCIA ABERTA",IF(AND(N(J2738)&gt;0,N(K2738)&lt;J2738),"🟡 FALTA EXECUTAR",IF(OR(M2738="PENDENTE",M2738="PARCIAL"),"🟡 FATURAMENTO PENDENTE","🟡 EMBARQUE PENDENTE")))))))))))</f>
        <v/>
      </c>
      <c r="D2738" s="4" t="n"/>
      <c r="E2738" s="5" t="n"/>
      <c r="F2738" s="5" t="n"/>
      <c r="G2738" s="5" t="n"/>
      <c r="H2738" s="5" t="n"/>
      <c r="I2738" s="5" t="n"/>
      <c r="J2738" s="6" t="n"/>
      <c r="K2738" s="6" t="n"/>
      <c r="L2738" s="7">
        <f>IF(OR(D2738="",N(J2738)=0),"",MIN(1,N(K2738)/J2738))</f>
        <v/>
      </c>
      <c r="M2738" s="5" t="n"/>
      <c r="N2738" s="5" t="n"/>
      <c r="O2738" s="5" t="n"/>
      <c r="P2738" s="5" t="n"/>
      <c r="Q2738" s="5" t="n"/>
      <c r="R2738" s="4" t="n"/>
      <c r="S2738" s="4" t="n"/>
      <c r="T2738" s="5" t="n"/>
      <c r="U2738" s="8">
        <f>IF(AND(V2738=1,D2738&lt;&gt;""),IF(D2738&gt;=corte,TODAY()-D2738,""),"")</f>
        <v/>
      </c>
      <c r="V2738" s="8">
        <f>IF(D2738="",0,IF(OR(AND(P2738&lt;&gt;"",S2738=""),AND(N(J2738)&gt;0,N(K2738)&lt;J2738),OR(M2738="PENDENTE",M2738="PARCIAL"),OR(N2738="PENDENTE",N2738="PARCIAL")),1,0))</f>
        <v/>
      </c>
      <c r="W2738" s="8">
        <f>IF(AND(V2738=1,D2738&lt;&gt;""),IF(D2738&gt;=corte,(B2738="CRÍTICO")*1E9+(100000-D2738)*10000+10000-ROW(),""),"")</f>
        <v/>
      </c>
      <c r="X2738" s="8">
        <f>IF(AND(V2738=1,D2738=pas_data,E2738=pas_turno),10000-ROW(),"")</f>
        <v/>
      </c>
    </row>
    <row r="2739">
      <c r="A2739" s="3">
        <f>IF(D2739="","","TT-"&amp;TEXT(ROW()-1,"00000"))</f>
        <v/>
      </c>
      <c r="B2739" s="3">
        <f>IF(D2739="","",IF(V2739=0,"CONCLUÍDO",IF(D2739&lt;corte,"HISTÓRICO",IF(OR(AND(ISNUMBER(R2739),R2739&lt;TODAY()),AND(OR(N2739="PENDENTE",N2739="PARCIAL"),D2739&lt;TODAY()-1)),"CRÍTICO",IF(OR(AND(P2739&lt;&gt;"",S2739=""),AND(N2739="REALIZADO",M2739="PENDENTE"),AND(ISNUMBER(R2739),R2739=TODAY())),"ATENÇÃO",IF(N(K2739)=0,"PENDENTE","EM ANDAMENTO"))))))</f>
        <v/>
      </c>
      <c r="C2739" s="3">
        <f>IF(D2739="","",IF(V2739=0,"🟢 OK",IF(D2739&lt;corte,"⚪ HISTÓRICO (sem baixa)",IF(AND(ISNUMBER(R2739),R2739&lt;TODAY()),"🔴 PRAZO VENCIDO",IF(AND(OR(N2739="PENDENTE",N2739="PARCIAL"),D2739&lt;TODAY()-1),"🔴 EMBARQUE ATRASADO",IF(AND(N2739="REALIZADO",M2739="PENDENTE"),"🟡 EMBARCADO SEM FATURAR",IF(AND(P2739&lt;&gt;"",S2739="",OR(Q2739="",R2739="")),"🟡 PENDÊNCIA SEM RESPONSÁVEL/PRAZO",IF(AND(ISNUMBER(R2739),R2739=TODAY()),"🟡 VENCE HOJE",IF(AND(P2739&lt;&gt;"",S2739=""),"🟡 PENDÊNCIA ABERTA",IF(AND(N(J2739)&gt;0,N(K2739)&lt;J2739),"🟡 FALTA EXECUTAR",IF(OR(M2739="PENDENTE",M2739="PARCIAL"),"🟡 FATURAMENTO PENDENTE","🟡 EMBARQUE PENDENTE")))))))))))</f>
        <v/>
      </c>
      <c r="D2739" s="4" t="n"/>
      <c r="E2739" s="5" t="n"/>
      <c r="F2739" s="5" t="n"/>
      <c r="G2739" s="5" t="n"/>
      <c r="H2739" s="5" t="n"/>
      <c r="I2739" s="5" t="n"/>
      <c r="J2739" s="6" t="n"/>
      <c r="K2739" s="6" t="n"/>
      <c r="L2739" s="7">
        <f>IF(OR(D2739="",N(J2739)=0),"",MIN(1,N(K2739)/J2739))</f>
        <v/>
      </c>
      <c r="M2739" s="5" t="n"/>
      <c r="N2739" s="5" t="n"/>
      <c r="O2739" s="5" t="n"/>
      <c r="P2739" s="5" t="n"/>
      <c r="Q2739" s="5" t="n"/>
      <c r="R2739" s="4" t="n"/>
      <c r="S2739" s="4" t="n"/>
      <c r="T2739" s="5" t="n"/>
      <c r="U2739" s="8">
        <f>IF(AND(V2739=1,D2739&lt;&gt;""),IF(D2739&gt;=corte,TODAY()-D2739,""),"")</f>
        <v/>
      </c>
      <c r="V2739" s="8">
        <f>IF(D2739="",0,IF(OR(AND(P2739&lt;&gt;"",S2739=""),AND(N(J2739)&gt;0,N(K2739)&lt;J2739),OR(M2739="PENDENTE",M2739="PARCIAL"),OR(N2739="PENDENTE",N2739="PARCIAL")),1,0))</f>
        <v/>
      </c>
      <c r="W2739" s="8">
        <f>IF(AND(V2739=1,D2739&lt;&gt;""),IF(D2739&gt;=corte,(B2739="CRÍTICO")*1E9+(100000-D2739)*10000+10000-ROW(),""),"")</f>
        <v/>
      </c>
      <c r="X2739" s="8">
        <f>IF(AND(V2739=1,D2739=pas_data,E2739=pas_turno),10000-ROW(),"")</f>
        <v/>
      </c>
    </row>
    <row r="2740">
      <c r="A2740" s="3">
        <f>IF(D2740="","","TT-"&amp;TEXT(ROW()-1,"00000"))</f>
        <v/>
      </c>
      <c r="B2740" s="3">
        <f>IF(D2740="","",IF(V2740=0,"CONCLUÍDO",IF(D2740&lt;corte,"HISTÓRICO",IF(OR(AND(ISNUMBER(R2740),R2740&lt;TODAY()),AND(OR(N2740="PENDENTE",N2740="PARCIAL"),D2740&lt;TODAY()-1)),"CRÍTICO",IF(OR(AND(P2740&lt;&gt;"",S2740=""),AND(N2740="REALIZADO",M2740="PENDENTE"),AND(ISNUMBER(R2740),R2740=TODAY())),"ATENÇÃO",IF(N(K2740)=0,"PENDENTE","EM ANDAMENTO"))))))</f>
        <v/>
      </c>
      <c r="C2740" s="3">
        <f>IF(D2740="","",IF(V2740=0,"🟢 OK",IF(D2740&lt;corte,"⚪ HISTÓRICO (sem baixa)",IF(AND(ISNUMBER(R2740),R2740&lt;TODAY()),"🔴 PRAZO VENCIDO",IF(AND(OR(N2740="PENDENTE",N2740="PARCIAL"),D2740&lt;TODAY()-1),"🔴 EMBARQUE ATRASADO",IF(AND(N2740="REALIZADO",M2740="PENDENTE"),"🟡 EMBARCADO SEM FATURAR",IF(AND(P2740&lt;&gt;"",S2740="",OR(Q2740="",R2740="")),"🟡 PENDÊNCIA SEM RESPONSÁVEL/PRAZO",IF(AND(ISNUMBER(R2740),R2740=TODAY()),"🟡 VENCE HOJE",IF(AND(P2740&lt;&gt;"",S2740=""),"🟡 PENDÊNCIA ABERTA",IF(AND(N(J2740)&gt;0,N(K2740)&lt;J2740),"🟡 FALTA EXECUTAR",IF(OR(M2740="PENDENTE",M2740="PARCIAL"),"🟡 FATURAMENTO PENDENTE","🟡 EMBARQUE PENDENTE")))))))))))</f>
        <v/>
      </c>
      <c r="D2740" s="4" t="n"/>
      <c r="E2740" s="5" t="n"/>
      <c r="F2740" s="5" t="n"/>
      <c r="G2740" s="5" t="n"/>
      <c r="H2740" s="5" t="n"/>
      <c r="I2740" s="5" t="n"/>
      <c r="J2740" s="6" t="n"/>
      <c r="K2740" s="6" t="n"/>
      <c r="L2740" s="7">
        <f>IF(OR(D2740="",N(J2740)=0),"",MIN(1,N(K2740)/J2740))</f>
        <v/>
      </c>
      <c r="M2740" s="5" t="n"/>
      <c r="N2740" s="5" t="n"/>
      <c r="O2740" s="5" t="n"/>
      <c r="P2740" s="5" t="n"/>
      <c r="Q2740" s="5" t="n"/>
      <c r="R2740" s="4" t="n"/>
      <c r="S2740" s="4" t="n"/>
      <c r="T2740" s="5" t="n"/>
      <c r="U2740" s="8">
        <f>IF(AND(V2740=1,D2740&lt;&gt;""),IF(D2740&gt;=corte,TODAY()-D2740,""),"")</f>
        <v/>
      </c>
      <c r="V2740" s="8">
        <f>IF(D2740="",0,IF(OR(AND(P2740&lt;&gt;"",S2740=""),AND(N(J2740)&gt;0,N(K2740)&lt;J2740),OR(M2740="PENDENTE",M2740="PARCIAL"),OR(N2740="PENDENTE",N2740="PARCIAL")),1,0))</f>
        <v/>
      </c>
      <c r="W2740" s="8">
        <f>IF(AND(V2740=1,D2740&lt;&gt;""),IF(D2740&gt;=corte,(B2740="CRÍTICO")*1E9+(100000-D2740)*10000+10000-ROW(),""),"")</f>
        <v/>
      </c>
      <c r="X2740" s="8">
        <f>IF(AND(V2740=1,D2740=pas_data,E2740=pas_turno),10000-ROW(),"")</f>
        <v/>
      </c>
    </row>
    <row r="2741">
      <c r="A2741" s="3">
        <f>IF(D2741="","","TT-"&amp;TEXT(ROW()-1,"00000"))</f>
        <v/>
      </c>
      <c r="B2741" s="3">
        <f>IF(D2741="","",IF(V2741=0,"CONCLUÍDO",IF(D2741&lt;corte,"HISTÓRICO",IF(OR(AND(ISNUMBER(R2741),R2741&lt;TODAY()),AND(OR(N2741="PENDENTE",N2741="PARCIAL"),D2741&lt;TODAY()-1)),"CRÍTICO",IF(OR(AND(P2741&lt;&gt;"",S2741=""),AND(N2741="REALIZADO",M2741="PENDENTE"),AND(ISNUMBER(R2741),R2741=TODAY())),"ATENÇÃO",IF(N(K2741)=0,"PENDENTE","EM ANDAMENTO"))))))</f>
        <v/>
      </c>
      <c r="C2741" s="3">
        <f>IF(D2741="","",IF(V2741=0,"🟢 OK",IF(D2741&lt;corte,"⚪ HISTÓRICO (sem baixa)",IF(AND(ISNUMBER(R2741),R2741&lt;TODAY()),"🔴 PRAZO VENCIDO",IF(AND(OR(N2741="PENDENTE",N2741="PARCIAL"),D2741&lt;TODAY()-1),"🔴 EMBARQUE ATRASADO",IF(AND(N2741="REALIZADO",M2741="PENDENTE"),"🟡 EMBARCADO SEM FATURAR",IF(AND(P2741&lt;&gt;"",S2741="",OR(Q2741="",R2741="")),"🟡 PENDÊNCIA SEM RESPONSÁVEL/PRAZO",IF(AND(ISNUMBER(R2741),R2741=TODAY()),"🟡 VENCE HOJE",IF(AND(P2741&lt;&gt;"",S2741=""),"🟡 PENDÊNCIA ABERTA",IF(AND(N(J2741)&gt;0,N(K2741)&lt;J2741),"🟡 FALTA EXECUTAR",IF(OR(M2741="PENDENTE",M2741="PARCIAL"),"🟡 FATURAMENTO PENDENTE","🟡 EMBARQUE PENDENTE")))))))))))</f>
        <v/>
      </c>
      <c r="D2741" s="4" t="n"/>
      <c r="E2741" s="5" t="n"/>
      <c r="F2741" s="5" t="n"/>
      <c r="G2741" s="5" t="n"/>
      <c r="H2741" s="5" t="n"/>
      <c r="I2741" s="5" t="n"/>
      <c r="J2741" s="6" t="n"/>
      <c r="K2741" s="6" t="n"/>
      <c r="L2741" s="7">
        <f>IF(OR(D2741="",N(J2741)=0),"",MIN(1,N(K2741)/J2741))</f>
        <v/>
      </c>
      <c r="M2741" s="5" t="n"/>
      <c r="N2741" s="5" t="n"/>
      <c r="O2741" s="5" t="n"/>
      <c r="P2741" s="5" t="n"/>
      <c r="Q2741" s="5" t="n"/>
      <c r="R2741" s="4" t="n"/>
      <c r="S2741" s="4" t="n"/>
      <c r="T2741" s="5" t="n"/>
      <c r="U2741" s="8">
        <f>IF(AND(V2741=1,D2741&lt;&gt;""),IF(D2741&gt;=corte,TODAY()-D2741,""),"")</f>
        <v/>
      </c>
      <c r="V2741" s="8">
        <f>IF(D2741="",0,IF(OR(AND(P2741&lt;&gt;"",S2741=""),AND(N(J2741)&gt;0,N(K2741)&lt;J2741),OR(M2741="PENDENTE",M2741="PARCIAL"),OR(N2741="PENDENTE",N2741="PARCIAL")),1,0))</f>
        <v/>
      </c>
      <c r="W2741" s="8">
        <f>IF(AND(V2741=1,D2741&lt;&gt;""),IF(D2741&gt;=corte,(B2741="CRÍTICO")*1E9+(100000-D2741)*10000+10000-ROW(),""),"")</f>
        <v/>
      </c>
      <c r="X2741" s="8">
        <f>IF(AND(V2741=1,D2741=pas_data,E2741=pas_turno),10000-ROW(),"")</f>
        <v/>
      </c>
    </row>
    <row r="2742">
      <c r="A2742" s="3">
        <f>IF(D2742="","","TT-"&amp;TEXT(ROW()-1,"00000"))</f>
        <v/>
      </c>
      <c r="B2742" s="3">
        <f>IF(D2742="","",IF(V2742=0,"CONCLUÍDO",IF(D2742&lt;corte,"HISTÓRICO",IF(OR(AND(ISNUMBER(R2742),R2742&lt;TODAY()),AND(OR(N2742="PENDENTE",N2742="PARCIAL"),D2742&lt;TODAY()-1)),"CRÍTICO",IF(OR(AND(P2742&lt;&gt;"",S2742=""),AND(N2742="REALIZADO",M2742="PENDENTE"),AND(ISNUMBER(R2742),R2742=TODAY())),"ATENÇÃO",IF(N(K2742)=0,"PENDENTE","EM ANDAMENTO"))))))</f>
        <v/>
      </c>
      <c r="C2742" s="3">
        <f>IF(D2742="","",IF(V2742=0,"🟢 OK",IF(D2742&lt;corte,"⚪ HISTÓRICO (sem baixa)",IF(AND(ISNUMBER(R2742),R2742&lt;TODAY()),"🔴 PRAZO VENCIDO",IF(AND(OR(N2742="PENDENTE",N2742="PARCIAL"),D2742&lt;TODAY()-1),"🔴 EMBARQUE ATRASADO",IF(AND(N2742="REALIZADO",M2742="PENDENTE"),"🟡 EMBARCADO SEM FATURAR",IF(AND(P2742&lt;&gt;"",S2742="",OR(Q2742="",R2742="")),"🟡 PENDÊNCIA SEM RESPONSÁVEL/PRAZO",IF(AND(ISNUMBER(R2742),R2742=TODAY()),"🟡 VENCE HOJE",IF(AND(P2742&lt;&gt;"",S2742=""),"🟡 PENDÊNCIA ABERTA",IF(AND(N(J2742)&gt;0,N(K2742)&lt;J2742),"🟡 FALTA EXECUTAR",IF(OR(M2742="PENDENTE",M2742="PARCIAL"),"🟡 FATURAMENTO PENDENTE","🟡 EMBARQUE PENDENTE")))))))))))</f>
        <v/>
      </c>
      <c r="D2742" s="4" t="n"/>
      <c r="E2742" s="5" t="n"/>
      <c r="F2742" s="5" t="n"/>
      <c r="G2742" s="5" t="n"/>
      <c r="H2742" s="5" t="n"/>
      <c r="I2742" s="5" t="n"/>
      <c r="J2742" s="6" t="n"/>
      <c r="K2742" s="6" t="n"/>
      <c r="L2742" s="7">
        <f>IF(OR(D2742="",N(J2742)=0),"",MIN(1,N(K2742)/J2742))</f>
        <v/>
      </c>
      <c r="M2742" s="5" t="n"/>
      <c r="N2742" s="5" t="n"/>
      <c r="O2742" s="5" t="n"/>
      <c r="P2742" s="5" t="n"/>
      <c r="Q2742" s="5" t="n"/>
      <c r="R2742" s="4" t="n"/>
      <c r="S2742" s="4" t="n"/>
      <c r="T2742" s="5" t="n"/>
      <c r="U2742" s="8">
        <f>IF(AND(V2742=1,D2742&lt;&gt;""),IF(D2742&gt;=corte,TODAY()-D2742,""),"")</f>
        <v/>
      </c>
      <c r="V2742" s="8">
        <f>IF(D2742="",0,IF(OR(AND(P2742&lt;&gt;"",S2742=""),AND(N(J2742)&gt;0,N(K2742)&lt;J2742),OR(M2742="PENDENTE",M2742="PARCIAL"),OR(N2742="PENDENTE",N2742="PARCIAL")),1,0))</f>
        <v/>
      </c>
      <c r="W2742" s="8">
        <f>IF(AND(V2742=1,D2742&lt;&gt;""),IF(D2742&gt;=corte,(B2742="CRÍTICO")*1E9+(100000-D2742)*10000+10000-ROW(),""),"")</f>
        <v/>
      </c>
      <c r="X2742" s="8">
        <f>IF(AND(V2742=1,D2742=pas_data,E2742=pas_turno),10000-ROW(),"")</f>
        <v/>
      </c>
    </row>
    <row r="2743">
      <c r="A2743" s="3">
        <f>IF(D2743="","","TT-"&amp;TEXT(ROW()-1,"00000"))</f>
        <v/>
      </c>
      <c r="B2743" s="3">
        <f>IF(D2743="","",IF(V2743=0,"CONCLUÍDO",IF(D2743&lt;corte,"HISTÓRICO",IF(OR(AND(ISNUMBER(R2743),R2743&lt;TODAY()),AND(OR(N2743="PENDENTE",N2743="PARCIAL"),D2743&lt;TODAY()-1)),"CRÍTICO",IF(OR(AND(P2743&lt;&gt;"",S2743=""),AND(N2743="REALIZADO",M2743="PENDENTE"),AND(ISNUMBER(R2743),R2743=TODAY())),"ATENÇÃO",IF(N(K2743)=0,"PENDENTE","EM ANDAMENTO"))))))</f>
        <v/>
      </c>
      <c r="C2743" s="3">
        <f>IF(D2743="","",IF(V2743=0,"🟢 OK",IF(D2743&lt;corte,"⚪ HISTÓRICO (sem baixa)",IF(AND(ISNUMBER(R2743),R2743&lt;TODAY()),"🔴 PRAZO VENCIDO",IF(AND(OR(N2743="PENDENTE",N2743="PARCIAL"),D2743&lt;TODAY()-1),"🔴 EMBARQUE ATRASADO",IF(AND(N2743="REALIZADO",M2743="PENDENTE"),"🟡 EMBARCADO SEM FATURAR",IF(AND(P2743&lt;&gt;"",S2743="",OR(Q2743="",R2743="")),"🟡 PENDÊNCIA SEM RESPONSÁVEL/PRAZO",IF(AND(ISNUMBER(R2743),R2743=TODAY()),"🟡 VENCE HOJE",IF(AND(P2743&lt;&gt;"",S2743=""),"🟡 PENDÊNCIA ABERTA",IF(AND(N(J2743)&gt;0,N(K2743)&lt;J2743),"🟡 FALTA EXECUTAR",IF(OR(M2743="PENDENTE",M2743="PARCIAL"),"🟡 FATURAMENTO PENDENTE","🟡 EMBARQUE PENDENTE")))))))))))</f>
        <v/>
      </c>
      <c r="D2743" s="4" t="n"/>
      <c r="E2743" s="5" t="n"/>
      <c r="F2743" s="5" t="n"/>
      <c r="G2743" s="5" t="n"/>
      <c r="H2743" s="5" t="n"/>
      <c r="I2743" s="5" t="n"/>
      <c r="J2743" s="6" t="n"/>
      <c r="K2743" s="6" t="n"/>
      <c r="L2743" s="7">
        <f>IF(OR(D2743="",N(J2743)=0),"",MIN(1,N(K2743)/J2743))</f>
        <v/>
      </c>
      <c r="M2743" s="5" t="n"/>
      <c r="N2743" s="5" t="n"/>
      <c r="O2743" s="5" t="n"/>
      <c r="P2743" s="5" t="n"/>
      <c r="Q2743" s="5" t="n"/>
      <c r="R2743" s="4" t="n"/>
      <c r="S2743" s="4" t="n"/>
      <c r="T2743" s="5" t="n"/>
      <c r="U2743" s="8">
        <f>IF(AND(V2743=1,D2743&lt;&gt;""),IF(D2743&gt;=corte,TODAY()-D2743,""),"")</f>
        <v/>
      </c>
      <c r="V2743" s="8">
        <f>IF(D2743="",0,IF(OR(AND(P2743&lt;&gt;"",S2743=""),AND(N(J2743)&gt;0,N(K2743)&lt;J2743),OR(M2743="PENDENTE",M2743="PARCIAL"),OR(N2743="PENDENTE",N2743="PARCIAL")),1,0))</f>
        <v/>
      </c>
      <c r="W2743" s="8">
        <f>IF(AND(V2743=1,D2743&lt;&gt;""),IF(D2743&gt;=corte,(B2743="CRÍTICO")*1E9+(100000-D2743)*10000+10000-ROW(),""),"")</f>
        <v/>
      </c>
      <c r="X2743" s="8">
        <f>IF(AND(V2743=1,D2743=pas_data,E2743=pas_turno),10000-ROW(),"")</f>
        <v/>
      </c>
    </row>
    <row r="2744">
      <c r="A2744" s="3">
        <f>IF(D2744="","","TT-"&amp;TEXT(ROW()-1,"00000"))</f>
        <v/>
      </c>
      <c r="B2744" s="3">
        <f>IF(D2744="","",IF(V2744=0,"CONCLUÍDO",IF(D2744&lt;corte,"HISTÓRICO",IF(OR(AND(ISNUMBER(R2744),R2744&lt;TODAY()),AND(OR(N2744="PENDENTE",N2744="PARCIAL"),D2744&lt;TODAY()-1)),"CRÍTICO",IF(OR(AND(P2744&lt;&gt;"",S2744=""),AND(N2744="REALIZADO",M2744="PENDENTE"),AND(ISNUMBER(R2744),R2744=TODAY())),"ATENÇÃO",IF(N(K2744)=0,"PENDENTE","EM ANDAMENTO"))))))</f>
        <v/>
      </c>
      <c r="C2744" s="3">
        <f>IF(D2744="","",IF(V2744=0,"🟢 OK",IF(D2744&lt;corte,"⚪ HISTÓRICO (sem baixa)",IF(AND(ISNUMBER(R2744),R2744&lt;TODAY()),"🔴 PRAZO VENCIDO",IF(AND(OR(N2744="PENDENTE",N2744="PARCIAL"),D2744&lt;TODAY()-1),"🔴 EMBARQUE ATRASADO",IF(AND(N2744="REALIZADO",M2744="PENDENTE"),"🟡 EMBARCADO SEM FATURAR",IF(AND(P2744&lt;&gt;"",S2744="",OR(Q2744="",R2744="")),"🟡 PENDÊNCIA SEM RESPONSÁVEL/PRAZO",IF(AND(ISNUMBER(R2744),R2744=TODAY()),"🟡 VENCE HOJE",IF(AND(P2744&lt;&gt;"",S2744=""),"🟡 PENDÊNCIA ABERTA",IF(AND(N(J2744)&gt;0,N(K2744)&lt;J2744),"🟡 FALTA EXECUTAR",IF(OR(M2744="PENDENTE",M2744="PARCIAL"),"🟡 FATURAMENTO PENDENTE","🟡 EMBARQUE PENDENTE")))))))))))</f>
        <v/>
      </c>
      <c r="D2744" s="4" t="n"/>
      <c r="E2744" s="5" t="n"/>
      <c r="F2744" s="5" t="n"/>
      <c r="G2744" s="5" t="n"/>
      <c r="H2744" s="5" t="n"/>
      <c r="I2744" s="5" t="n"/>
      <c r="J2744" s="6" t="n"/>
      <c r="K2744" s="6" t="n"/>
      <c r="L2744" s="7">
        <f>IF(OR(D2744="",N(J2744)=0),"",MIN(1,N(K2744)/J2744))</f>
        <v/>
      </c>
      <c r="M2744" s="5" t="n"/>
      <c r="N2744" s="5" t="n"/>
      <c r="O2744" s="5" t="n"/>
      <c r="P2744" s="5" t="n"/>
      <c r="Q2744" s="5" t="n"/>
      <c r="R2744" s="4" t="n"/>
      <c r="S2744" s="4" t="n"/>
      <c r="T2744" s="5" t="n"/>
      <c r="U2744" s="8">
        <f>IF(AND(V2744=1,D2744&lt;&gt;""),IF(D2744&gt;=corte,TODAY()-D2744,""),"")</f>
        <v/>
      </c>
      <c r="V2744" s="8">
        <f>IF(D2744="",0,IF(OR(AND(P2744&lt;&gt;"",S2744=""),AND(N(J2744)&gt;0,N(K2744)&lt;J2744),OR(M2744="PENDENTE",M2744="PARCIAL"),OR(N2744="PENDENTE",N2744="PARCIAL")),1,0))</f>
        <v/>
      </c>
      <c r="W2744" s="8">
        <f>IF(AND(V2744=1,D2744&lt;&gt;""),IF(D2744&gt;=corte,(B2744="CRÍTICO")*1E9+(100000-D2744)*10000+10000-ROW(),""),"")</f>
        <v/>
      </c>
      <c r="X2744" s="8">
        <f>IF(AND(V2744=1,D2744=pas_data,E2744=pas_turno),10000-ROW(),"")</f>
        <v/>
      </c>
    </row>
    <row r="2745">
      <c r="A2745" s="3">
        <f>IF(D2745="","","TT-"&amp;TEXT(ROW()-1,"00000"))</f>
        <v/>
      </c>
      <c r="B2745" s="3">
        <f>IF(D2745="","",IF(V2745=0,"CONCLUÍDO",IF(D2745&lt;corte,"HISTÓRICO",IF(OR(AND(ISNUMBER(R2745),R2745&lt;TODAY()),AND(OR(N2745="PENDENTE",N2745="PARCIAL"),D2745&lt;TODAY()-1)),"CRÍTICO",IF(OR(AND(P2745&lt;&gt;"",S2745=""),AND(N2745="REALIZADO",M2745="PENDENTE"),AND(ISNUMBER(R2745),R2745=TODAY())),"ATENÇÃO",IF(N(K2745)=0,"PENDENTE","EM ANDAMENTO"))))))</f>
        <v/>
      </c>
      <c r="C2745" s="3">
        <f>IF(D2745="","",IF(V2745=0,"🟢 OK",IF(D2745&lt;corte,"⚪ HISTÓRICO (sem baixa)",IF(AND(ISNUMBER(R2745),R2745&lt;TODAY()),"🔴 PRAZO VENCIDO",IF(AND(OR(N2745="PENDENTE",N2745="PARCIAL"),D2745&lt;TODAY()-1),"🔴 EMBARQUE ATRASADO",IF(AND(N2745="REALIZADO",M2745="PENDENTE"),"🟡 EMBARCADO SEM FATURAR",IF(AND(P2745&lt;&gt;"",S2745="",OR(Q2745="",R2745="")),"🟡 PENDÊNCIA SEM RESPONSÁVEL/PRAZO",IF(AND(ISNUMBER(R2745),R2745=TODAY()),"🟡 VENCE HOJE",IF(AND(P2745&lt;&gt;"",S2745=""),"🟡 PENDÊNCIA ABERTA",IF(AND(N(J2745)&gt;0,N(K2745)&lt;J2745),"🟡 FALTA EXECUTAR",IF(OR(M2745="PENDENTE",M2745="PARCIAL"),"🟡 FATURAMENTO PENDENTE","🟡 EMBARQUE PENDENTE")))))))))))</f>
        <v/>
      </c>
      <c r="D2745" s="4" t="n"/>
      <c r="E2745" s="5" t="n"/>
      <c r="F2745" s="5" t="n"/>
      <c r="G2745" s="5" t="n"/>
      <c r="H2745" s="5" t="n"/>
      <c r="I2745" s="5" t="n"/>
      <c r="J2745" s="6" t="n"/>
      <c r="K2745" s="6" t="n"/>
      <c r="L2745" s="7">
        <f>IF(OR(D2745="",N(J2745)=0),"",MIN(1,N(K2745)/J2745))</f>
        <v/>
      </c>
      <c r="M2745" s="5" t="n"/>
      <c r="N2745" s="5" t="n"/>
      <c r="O2745" s="5" t="n"/>
      <c r="P2745" s="5" t="n"/>
      <c r="Q2745" s="5" t="n"/>
      <c r="R2745" s="4" t="n"/>
      <c r="S2745" s="4" t="n"/>
      <c r="T2745" s="5" t="n"/>
      <c r="U2745" s="8">
        <f>IF(AND(V2745=1,D2745&lt;&gt;""),IF(D2745&gt;=corte,TODAY()-D2745,""),"")</f>
        <v/>
      </c>
      <c r="V2745" s="8">
        <f>IF(D2745="",0,IF(OR(AND(P2745&lt;&gt;"",S2745=""),AND(N(J2745)&gt;0,N(K2745)&lt;J2745),OR(M2745="PENDENTE",M2745="PARCIAL"),OR(N2745="PENDENTE",N2745="PARCIAL")),1,0))</f>
        <v/>
      </c>
      <c r="W2745" s="8">
        <f>IF(AND(V2745=1,D2745&lt;&gt;""),IF(D2745&gt;=corte,(B2745="CRÍTICO")*1E9+(100000-D2745)*10000+10000-ROW(),""),"")</f>
        <v/>
      </c>
      <c r="X2745" s="8">
        <f>IF(AND(V2745=1,D2745=pas_data,E2745=pas_turno),10000-ROW(),"")</f>
        <v/>
      </c>
    </row>
    <row r="2746">
      <c r="A2746" s="3">
        <f>IF(D2746="","","TT-"&amp;TEXT(ROW()-1,"00000"))</f>
        <v/>
      </c>
      <c r="B2746" s="3">
        <f>IF(D2746="","",IF(V2746=0,"CONCLUÍDO",IF(D2746&lt;corte,"HISTÓRICO",IF(OR(AND(ISNUMBER(R2746),R2746&lt;TODAY()),AND(OR(N2746="PENDENTE",N2746="PARCIAL"),D2746&lt;TODAY()-1)),"CRÍTICO",IF(OR(AND(P2746&lt;&gt;"",S2746=""),AND(N2746="REALIZADO",M2746="PENDENTE"),AND(ISNUMBER(R2746),R2746=TODAY())),"ATENÇÃO",IF(N(K2746)=0,"PENDENTE","EM ANDAMENTO"))))))</f>
        <v/>
      </c>
      <c r="C2746" s="3">
        <f>IF(D2746="","",IF(V2746=0,"🟢 OK",IF(D2746&lt;corte,"⚪ HISTÓRICO (sem baixa)",IF(AND(ISNUMBER(R2746),R2746&lt;TODAY()),"🔴 PRAZO VENCIDO",IF(AND(OR(N2746="PENDENTE",N2746="PARCIAL"),D2746&lt;TODAY()-1),"🔴 EMBARQUE ATRASADO",IF(AND(N2746="REALIZADO",M2746="PENDENTE"),"🟡 EMBARCADO SEM FATURAR",IF(AND(P2746&lt;&gt;"",S2746="",OR(Q2746="",R2746="")),"🟡 PENDÊNCIA SEM RESPONSÁVEL/PRAZO",IF(AND(ISNUMBER(R2746),R2746=TODAY()),"🟡 VENCE HOJE",IF(AND(P2746&lt;&gt;"",S2746=""),"🟡 PENDÊNCIA ABERTA",IF(AND(N(J2746)&gt;0,N(K2746)&lt;J2746),"🟡 FALTA EXECUTAR",IF(OR(M2746="PENDENTE",M2746="PARCIAL"),"🟡 FATURAMENTO PENDENTE","🟡 EMBARQUE PENDENTE")))))))))))</f>
        <v/>
      </c>
      <c r="D2746" s="4" t="n"/>
      <c r="E2746" s="5" t="n"/>
      <c r="F2746" s="5" t="n"/>
      <c r="G2746" s="5" t="n"/>
      <c r="H2746" s="5" t="n"/>
      <c r="I2746" s="5" t="n"/>
      <c r="J2746" s="6" t="n"/>
      <c r="K2746" s="6" t="n"/>
      <c r="L2746" s="7">
        <f>IF(OR(D2746="",N(J2746)=0),"",MIN(1,N(K2746)/J2746))</f>
        <v/>
      </c>
      <c r="M2746" s="5" t="n"/>
      <c r="N2746" s="5" t="n"/>
      <c r="O2746" s="5" t="n"/>
      <c r="P2746" s="5" t="n"/>
      <c r="Q2746" s="5" t="n"/>
      <c r="R2746" s="4" t="n"/>
      <c r="S2746" s="4" t="n"/>
      <c r="T2746" s="5" t="n"/>
      <c r="U2746" s="8">
        <f>IF(AND(V2746=1,D2746&lt;&gt;""),IF(D2746&gt;=corte,TODAY()-D2746,""),"")</f>
        <v/>
      </c>
      <c r="V2746" s="8">
        <f>IF(D2746="",0,IF(OR(AND(P2746&lt;&gt;"",S2746=""),AND(N(J2746)&gt;0,N(K2746)&lt;J2746),OR(M2746="PENDENTE",M2746="PARCIAL"),OR(N2746="PENDENTE",N2746="PARCIAL")),1,0))</f>
        <v/>
      </c>
      <c r="W2746" s="8">
        <f>IF(AND(V2746=1,D2746&lt;&gt;""),IF(D2746&gt;=corte,(B2746="CRÍTICO")*1E9+(100000-D2746)*10000+10000-ROW(),""),"")</f>
        <v/>
      </c>
      <c r="X2746" s="8">
        <f>IF(AND(V2746=1,D2746=pas_data,E2746=pas_turno),10000-ROW(),"")</f>
        <v/>
      </c>
    </row>
    <row r="2747">
      <c r="A2747" s="3">
        <f>IF(D2747="","","TT-"&amp;TEXT(ROW()-1,"00000"))</f>
        <v/>
      </c>
      <c r="B2747" s="3">
        <f>IF(D2747="","",IF(V2747=0,"CONCLUÍDO",IF(D2747&lt;corte,"HISTÓRICO",IF(OR(AND(ISNUMBER(R2747),R2747&lt;TODAY()),AND(OR(N2747="PENDENTE",N2747="PARCIAL"),D2747&lt;TODAY()-1)),"CRÍTICO",IF(OR(AND(P2747&lt;&gt;"",S2747=""),AND(N2747="REALIZADO",M2747="PENDENTE"),AND(ISNUMBER(R2747),R2747=TODAY())),"ATENÇÃO",IF(N(K2747)=0,"PENDENTE","EM ANDAMENTO"))))))</f>
        <v/>
      </c>
      <c r="C2747" s="3">
        <f>IF(D2747="","",IF(V2747=0,"🟢 OK",IF(D2747&lt;corte,"⚪ HISTÓRICO (sem baixa)",IF(AND(ISNUMBER(R2747),R2747&lt;TODAY()),"🔴 PRAZO VENCIDO",IF(AND(OR(N2747="PENDENTE",N2747="PARCIAL"),D2747&lt;TODAY()-1),"🔴 EMBARQUE ATRASADO",IF(AND(N2747="REALIZADO",M2747="PENDENTE"),"🟡 EMBARCADO SEM FATURAR",IF(AND(P2747&lt;&gt;"",S2747="",OR(Q2747="",R2747="")),"🟡 PENDÊNCIA SEM RESPONSÁVEL/PRAZO",IF(AND(ISNUMBER(R2747),R2747=TODAY()),"🟡 VENCE HOJE",IF(AND(P2747&lt;&gt;"",S2747=""),"🟡 PENDÊNCIA ABERTA",IF(AND(N(J2747)&gt;0,N(K2747)&lt;J2747),"🟡 FALTA EXECUTAR",IF(OR(M2747="PENDENTE",M2747="PARCIAL"),"🟡 FATURAMENTO PENDENTE","🟡 EMBARQUE PENDENTE")))))))))))</f>
        <v/>
      </c>
      <c r="D2747" s="4" t="n"/>
      <c r="E2747" s="5" t="n"/>
      <c r="F2747" s="5" t="n"/>
      <c r="G2747" s="5" t="n"/>
      <c r="H2747" s="5" t="n"/>
      <c r="I2747" s="5" t="n"/>
      <c r="J2747" s="6" t="n"/>
      <c r="K2747" s="6" t="n"/>
      <c r="L2747" s="7">
        <f>IF(OR(D2747="",N(J2747)=0),"",MIN(1,N(K2747)/J2747))</f>
        <v/>
      </c>
      <c r="M2747" s="5" t="n"/>
      <c r="N2747" s="5" t="n"/>
      <c r="O2747" s="5" t="n"/>
      <c r="P2747" s="5" t="n"/>
      <c r="Q2747" s="5" t="n"/>
      <c r="R2747" s="4" t="n"/>
      <c r="S2747" s="4" t="n"/>
      <c r="T2747" s="5" t="n"/>
      <c r="U2747" s="8">
        <f>IF(AND(V2747=1,D2747&lt;&gt;""),IF(D2747&gt;=corte,TODAY()-D2747,""),"")</f>
        <v/>
      </c>
      <c r="V2747" s="8">
        <f>IF(D2747="",0,IF(OR(AND(P2747&lt;&gt;"",S2747=""),AND(N(J2747)&gt;0,N(K2747)&lt;J2747),OR(M2747="PENDENTE",M2747="PARCIAL"),OR(N2747="PENDENTE",N2747="PARCIAL")),1,0))</f>
        <v/>
      </c>
      <c r="W2747" s="8">
        <f>IF(AND(V2747=1,D2747&lt;&gt;""),IF(D2747&gt;=corte,(B2747="CRÍTICO")*1E9+(100000-D2747)*10000+10000-ROW(),""),"")</f>
        <v/>
      </c>
      <c r="X2747" s="8">
        <f>IF(AND(V2747=1,D2747=pas_data,E2747=pas_turno),10000-ROW(),"")</f>
        <v/>
      </c>
    </row>
    <row r="2748">
      <c r="A2748" s="3">
        <f>IF(D2748="","","TT-"&amp;TEXT(ROW()-1,"00000"))</f>
        <v/>
      </c>
      <c r="B2748" s="3">
        <f>IF(D2748="","",IF(V2748=0,"CONCLUÍDO",IF(D2748&lt;corte,"HISTÓRICO",IF(OR(AND(ISNUMBER(R2748),R2748&lt;TODAY()),AND(OR(N2748="PENDENTE",N2748="PARCIAL"),D2748&lt;TODAY()-1)),"CRÍTICO",IF(OR(AND(P2748&lt;&gt;"",S2748=""),AND(N2748="REALIZADO",M2748="PENDENTE"),AND(ISNUMBER(R2748),R2748=TODAY())),"ATENÇÃO",IF(N(K2748)=0,"PENDENTE","EM ANDAMENTO"))))))</f>
        <v/>
      </c>
      <c r="C2748" s="3">
        <f>IF(D2748="","",IF(V2748=0,"🟢 OK",IF(D2748&lt;corte,"⚪ HISTÓRICO (sem baixa)",IF(AND(ISNUMBER(R2748),R2748&lt;TODAY()),"🔴 PRAZO VENCIDO",IF(AND(OR(N2748="PENDENTE",N2748="PARCIAL"),D2748&lt;TODAY()-1),"🔴 EMBARQUE ATRASADO",IF(AND(N2748="REALIZADO",M2748="PENDENTE"),"🟡 EMBARCADO SEM FATURAR",IF(AND(P2748&lt;&gt;"",S2748="",OR(Q2748="",R2748="")),"🟡 PENDÊNCIA SEM RESPONSÁVEL/PRAZO",IF(AND(ISNUMBER(R2748),R2748=TODAY()),"🟡 VENCE HOJE",IF(AND(P2748&lt;&gt;"",S2748=""),"🟡 PENDÊNCIA ABERTA",IF(AND(N(J2748)&gt;0,N(K2748)&lt;J2748),"🟡 FALTA EXECUTAR",IF(OR(M2748="PENDENTE",M2748="PARCIAL"),"🟡 FATURAMENTO PENDENTE","🟡 EMBARQUE PENDENTE")))))))))))</f>
        <v/>
      </c>
      <c r="D2748" s="4" t="n"/>
      <c r="E2748" s="5" t="n"/>
      <c r="F2748" s="5" t="n"/>
      <c r="G2748" s="5" t="n"/>
      <c r="H2748" s="5" t="n"/>
      <c r="I2748" s="5" t="n"/>
      <c r="J2748" s="6" t="n"/>
      <c r="K2748" s="6" t="n"/>
      <c r="L2748" s="7">
        <f>IF(OR(D2748="",N(J2748)=0),"",MIN(1,N(K2748)/J2748))</f>
        <v/>
      </c>
      <c r="M2748" s="5" t="n"/>
      <c r="N2748" s="5" t="n"/>
      <c r="O2748" s="5" t="n"/>
      <c r="P2748" s="5" t="n"/>
      <c r="Q2748" s="5" t="n"/>
      <c r="R2748" s="4" t="n"/>
      <c r="S2748" s="4" t="n"/>
      <c r="T2748" s="5" t="n"/>
      <c r="U2748" s="8">
        <f>IF(AND(V2748=1,D2748&lt;&gt;""),IF(D2748&gt;=corte,TODAY()-D2748,""),"")</f>
        <v/>
      </c>
      <c r="V2748" s="8">
        <f>IF(D2748="",0,IF(OR(AND(P2748&lt;&gt;"",S2748=""),AND(N(J2748)&gt;0,N(K2748)&lt;J2748),OR(M2748="PENDENTE",M2748="PARCIAL"),OR(N2748="PENDENTE",N2748="PARCIAL")),1,0))</f>
        <v/>
      </c>
      <c r="W2748" s="8">
        <f>IF(AND(V2748=1,D2748&lt;&gt;""),IF(D2748&gt;=corte,(B2748="CRÍTICO")*1E9+(100000-D2748)*10000+10000-ROW(),""),"")</f>
        <v/>
      </c>
      <c r="X2748" s="8">
        <f>IF(AND(V2748=1,D2748=pas_data,E2748=pas_turno),10000-ROW(),"")</f>
        <v/>
      </c>
    </row>
    <row r="2749">
      <c r="A2749" s="3">
        <f>IF(D2749="","","TT-"&amp;TEXT(ROW()-1,"00000"))</f>
        <v/>
      </c>
      <c r="B2749" s="3">
        <f>IF(D2749="","",IF(V2749=0,"CONCLUÍDO",IF(D2749&lt;corte,"HISTÓRICO",IF(OR(AND(ISNUMBER(R2749),R2749&lt;TODAY()),AND(OR(N2749="PENDENTE",N2749="PARCIAL"),D2749&lt;TODAY()-1)),"CRÍTICO",IF(OR(AND(P2749&lt;&gt;"",S2749=""),AND(N2749="REALIZADO",M2749="PENDENTE"),AND(ISNUMBER(R2749),R2749=TODAY())),"ATENÇÃO",IF(N(K2749)=0,"PENDENTE","EM ANDAMENTO"))))))</f>
        <v/>
      </c>
      <c r="C2749" s="3">
        <f>IF(D2749="","",IF(V2749=0,"🟢 OK",IF(D2749&lt;corte,"⚪ HISTÓRICO (sem baixa)",IF(AND(ISNUMBER(R2749),R2749&lt;TODAY()),"🔴 PRAZO VENCIDO",IF(AND(OR(N2749="PENDENTE",N2749="PARCIAL"),D2749&lt;TODAY()-1),"🔴 EMBARQUE ATRASADO",IF(AND(N2749="REALIZADO",M2749="PENDENTE"),"🟡 EMBARCADO SEM FATURAR",IF(AND(P2749&lt;&gt;"",S2749="",OR(Q2749="",R2749="")),"🟡 PENDÊNCIA SEM RESPONSÁVEL/PRAZO",IF(AND(ISNUMBER(R2749),R2749=TODAY()),"🟡 VENCE HOJE",IF(AND(P2749&lt;&gt;"",S2749=""),"🟡 PENDÊNCIA ABERTA",IF(AND(N(J2749)&gt;0,N(K2749)&lt;J2749),"🟡 FALTA EXECUTAR",IF(OR(M2749="PENDENTE",M2749="PARCIAL"),"🟡 FATURAMENTO PENDENTE","🟡 EMBARQUE PENDENTE")))))))))))</f>
        <v/>
      </c>
      <c r="D2749" s="4" t="n"/>
      <c r="E2749" s="5" t="n"/>
      <c r="F2749" s="5" t="n"/>
      <c r="G2749" s="5" t="n"/>
      <c r="H2749" s="5" t="n"/>
      <c r="I2749" s="5" t="n"/>
      <c r="J2749" s="6" t="n"/>
      <c r="K2749" s="6" t="n"/>
      <c r="L2749" s="7">
        <f>IF(OR(D2749="",N(J2749)=0),"",MIN(1,N(K2749)/J2749))</f>
        <v/>
      </c>
      <c r="M2749" s="5" t="n"/>
      <c r="N2749" s="5" t="n"/>
      <c r="O2749" s="5" t="n"/>
      <c r="P2749" s="5" t="n"/>
      <c r="Q2749" s="5" t="n"/>
      <c r="R2749" s="4" t="n"/>
      <c r="S2749" s="4" t="n"/>
      <c r="T2749" s="5" t="n"/>
      <c r="U2749" s="8">
        <f>IF(AND(V2749=1,D2749&lt;&gt;""),IF(D2749&gt;=corte,TODAY()-D2749,""),"")</f>
        <v/>
      </c>
      <c r="V2749" s="8">
        <f>IF(D2749="",0,IF(OR(AND(P2749&lt;&gt;"",S2749=""),AND(N(J2749)&gt;0,N(K2749)&lt;J2749),OR(M2749="PENDENTE",M2749="PARCIAL"),OR(N2749="PENDENTE",N2749="PARCIAL")),1,0))</f>
        <v/>
      </c>
      <c r="W2749" s="8">
        <f>IF(AND(V2749=1,D2749&lt;&gt;""),IF(D2749&gt;=corte,(B2749="CRÍTICO")*1E9+(100000-D2749)*10000+10000-ROW(),""),"")</f>
        <v/>
      </c>
      <c r="X2749" s="8">
        <f>IF(AND(V2749=1,D2749=pas_data,E2749=pas_turno),10000-ROW(),"")</f>
        <v/>
      </c>
    </row>
    <row r="2750">
      <c r="A2750" s="3">
        <f>IF(D2750="","","TT-"&amp;TEXT(ROW()-1,"00000"))</f>
        <v/>
      </c>
      <c r="B2750" s="3">
        <f>IF(D2750="","",IF(V2750=0,"CONCLUÍDO",IF(D2750&lt;corte,"HISTÓRICO",IF(OR(AND(ISNUMBER(R2750),R2750&lt;TODAY()),AND(OR(N2750="PENDENTE",N2750="PARCIAL"),D2750&lt;TODAY()-1)),"CRÍTICO",IF(OR(AND(P2750&lt;&gt;"",S2750=""),AND(N2750="REALIZADO",M2750="PENDENTE"),AND(ISNUMBER(R2750),R2750=TODAY())),"ATENÇÃO",IF(N(K2750)=0,"PENDENTE","EM ANDAMENTO"))))))</f>
        <v/>
      </c>
      <c r="C2750" s="3">
        <f>IF(D2750="","",IF(V2750=0,"🟢 OK",IF(D2750&lt;corte,"⚪ HISTÓRICO (sem baixa)",IF(AND(ISNUMBER(R2750),R2750&lt;TODAY()),"🔴 PRAZO VENCIDO",IF(AND(OR(N2750="PENDENTE",N2750="PARCIAL"),D2750&lt;TODAY()-1),"🔴 EMBARQUE ATRASADO",IF(AND(N2750="REALIZADO",M2750="PENDENTE"),"🟡 EMBARCADO SEM FATURAR",IF(AND(P2750&lt;&gt;"",S2750="",OR(Q2750="",R2750="")),"🟡 PENDÊNCIA SEM RESPONSÁVEL/PRAZO",IF(AND(ISNUMBER(R2750),R2750=TODAY()),"🟡 VENCE HOJE",IF(AND(P2750&lt;&gt;"",S2750=""),"🟡 PENDÊNCIA ABERTA",IF(AND(N(J2750)&gt;0,N(K2750)&lt;J2750),"🟡 FALTA EXECUTAR",IF(OR(M2750="PENDENTE",M2750="PARCIAL"),"🟡 FATURAMENTO PENDENTE","🟡 EMBARQUE PENDENTE")))))))))))</f>
        <v/>
      </c>
      <c r="D2750" s="4" t="n"/>
      <c r="E2750" s="5" t="n"/>
      <c r="F2750" s="5" t="n"/>
      <c r="G2750" s="5" t="n"/>
      <c r="H2750" s="5" t="n"/>
      <c r="I2750" s="5" t="n"/>
      <c r="J2750" s="6" t="n"/>
      <c r="K2750" s="6" t="n"/>
      <c r="L2750" s="7">
        <f>IF(OR(D2750="",N(J2750)=0),"",MIN(1,N(K2750)/J2750))</f>
        <v/>
      </c>
      <c r="M2750" s="5" t="n"/>
      <c r="N2750" s="5" t="n"/>
      <c r="O2750" s="5" t="n"/>
      <c r="P2750" s="5" t="n"/>
      <c r="Q2750" s="5" t="n"/>
      <c r="R2750" s="4" t="n"/>
      <c r="S2750" s="4" t="n"/>
      <c r="T2750" s="5" t="n"/>
      <c r="U2750" s="8">
        <f>IF(AND(V2750=1,D2750&lt;&gt;""),IF(D2750&gt;=corte,TODAY()-D2750,""),"")</f>
        <v/>
      </c>
      <c r="V2750" s="8">
        <f>IF(D2750="",0,IF(OR(AND(P2750&lt;&gt;"",S2750=""),AND(N(J2750)&gt;0,N(K2750)&lt;J2750),OR(M2750="PENDENTE",M2750="PARCIAL"),OR(N2750="PENDENTE",N2750="PARCIAL")),1,0))</f>
        <v/>
      </c>
      <c r="W2750" s="8">
        <f>IF(AND(V2750=1,D2750&lt;&gt;""),IF(D2750&gt;=corte,(B2750="CRÍTICO")*1E9+(100000-D2750)*10000+10000-ROW(),""),"")</f>
        <v/>
      </c>
      <c r="X2750" s="8">
        <f>IF(AND(V2750=1,D2750=pas_data,E2750=pas_turno),10000-ROW(),"")</f>
        <v/>
      </c>
    </row>
    <row r="2751">
      <c r="A2751" s="3">
        <f>IF(D2751="","","TT-"&amp;TEXT(ROW()-1,"00000"))</f>
        <v/>
      </c>
      <c r="B2751" s="3">
        <f>IF(D2751="","",IF(V2751=0,"CONCLUÍDO",IF(D2751&lt;corte,"HISTÓRICO",IF(OR(AND(ISNUMBER(R2751),R2751&lt;TODAY()),AND(OR(N2751="PENDENTE",N2751="PARCIAL"),D2751&lt;TODAY()-1)),"CRÍTICO",IF(OR(AND(P2751&lt;&gt;"",S2751=""),AND(N2751="REALIZADO",M2751="PENDENTE"),AND(ISNUMBER(R2751),R2751=TODAY())),"ATENÇÃO",IF(N(K2751)=0,"PENDENTE","EM ANDAMENTO"))))))</f>
        <v/>
      </c>
      <c r="C2751" s="3">
        <f>IF(D2751="","",IF(V2751=0,"🟢 OK",IF(D2751&lt;corte,"⚪ HISTÓRICO (sem baixa)",IF(AND(ISNUMBER(R2751),R2751&lt;TODAY()),"🔴 PRAZO VENCIDO",IF(AND(OR(N2751="PENDENTE",N2751="PARCIAL"),D2751&lt;TODAY()-1),"🔴 EMBARQUE ATRASADO",IF(AND(N2751="REALIZADO",M2751="PENDENTE"),"🟡 EMBARCADO SEM FATURAR",IF(AND(P2751&lt;&gt;"",S2751="",OR(Q2751="",R2751="")),"🟡 PENDÊNCIA SEM RESPONSÁVEL/PRAZO",IF(AND(ISNUMBER(R2751),R2751=TODAY()),"🟡 VENCE HOJE",IF(AND(P2751&lt;&gt;"",S2751=""),"🟡 PENDÊNCIA ABERTA",IF(AND(N(J2751)&gt;0,N(K2751)&lt;J2751),"🟡 FALTA EXECUTAR",IF(OR(M2751="PENDENTE",M2751="PARCIAL"),"🟡 FATURAMENTO PENDENTE","🟡 EMBARQUE PENDENTE")))))))))))</f>
        <v/>
      </c>
      <c r="D2751" s="4" t="n"/>
      <c r="E2751" s="5" t="n"/>
      <c r="F2751" s="5" t="n"/>
      <c r="G2751" s="5" t="n"/>
      <c r="H2751" s="5" t="n"/>
      <c r="I2751" s="5" t="n"/>
      <c r="J2751" s="6" t="n"/>
      <c r="K2751" s="6" t="n"/>
      <c r="L2751" s="7">
        <f>IF(OR(D2751="",N(J2751)=0),"",MIN(1,N(K2751)/J2751))</f>
        <v/>
      </c>
      <c r="M2751" s="5" t="n"/>
      <c r="N2751" s="5" t="n"/>
      <c r="O2751" s="5" t="n"/>
      <c r="P2751" s="5" t="n"/>
      <c r="Q2751" s="5" t="n"/>
      <c r="R2751" s="4" t="n"/>
      <c r="S2751" s="4" t="n"/>
      <c r="T2751" s="5" t="n"/>
      <c r="U2751" s="8">
        <f>IF(AND(V2751=1,D2751&lt;&gt;""),IF(D2751&gt;=corte,TODAY()-D2751,""),"")</f>
        <v/>
      </c>
      <c r="V2751" s="8">
        <f>IF(D2751="",0,IF(OR(AND(P2751&lt;&gt;"",S2751=""),AND(N(J2751)&gt;0,N(K2751)&lt;J2751),OR(M2751="PENDENTE",M2751="PARCIAL"),OR(N2751="PENDENTE",N2751="PARCIAL")),1,0))</f>
        <v/>
      </c>
      <c r="W2751" s="8">
        <f>IF(AND(V2751=1,D2751&lt;&gt;""),IF(D2751&gt;=corte,(B2751="CRÍTICO")*1E9+(100000-D2751)*10000+10000-ROW(),""),"")</f>
        <v/>
      </c>
      <c r="X2751" s="8">
        <f>IF(AND(V2751=1,D2751=pas_data,E2751=pas_turno),10000-ROW(),"")</f>
        <v/>
      </c>
    </row>
    <row r="2752">
      <c r="A2752" s="3">
        <f>IF(D2752="","","TT-"&amp;TEXT(ROW()-1,"00000"))</f>
        <v/>
      </c>
      <c r="B2752" s="3">
        <f>IF(D2752="","",IF(V2752=0,"CONCLUÍDO",IF(D2752&lt;corte,"HISTÓRICO",IF(OR(AND(ISNUMBER(R2752),R2752&lt;TODAY()),AND(OR(N2752="PENDENTE",N2752="PARCIAL"),D2752&lt;TODAY()-1)),"CRÍTICO",IF(OR(AND(P2752&lt;&gt;"",S2752=""),AND(N2752="REALIZADO",M2752="PENDENTE"),AND(ISNUMBER(R2752),R2752=TODAY())),"ATENÇÃO",IF(N(K2752)=0,"PENDENTE","EM ANDAMENTO"))))))</f>
        <v/>
      </c>
      <c r="C2752" s="3">
        <f>IF(D2752="","",IF(V2752=0,"🟢 OK",IF(D2752&lt;corte,"⚪ HISTÓRICO (sem baixa)",IF(AND(ISNUMBER(R2752),R2752&lt;TODAY()),"🔴 PRAZO VENCIDO",IF(AND(OR(N2752="PENDENTE",N2752="PARCIAL"),D2752&lt;TODAY()-1),"🔴 EMBARQUE ATRASADO",IF(AND(N2752="REALIZADO",M2752="PENDENTE"),"🟡 EMBARCADO SEM FATURAR",IF(AND(P2752&lt;&gt;"",S2752="",OR(Q2752="",R2752="")),"🟡 PENDÊNCIA SEM RESPONSÁVEL/PRAZO",IF(AND(ISNUMBER(R2752),R2752=TODAY()),"🟡 VENCE HOJE",IF(AND(P2752&lt;&gt;"",S2752=""),"🟡 PENDÊNCIA ABERTA",IF(AND(N(J2752)&gt;0,N(K2752)&lt;J2752),"🟡 FALTA EXECUTAR",IF(OR(M2752="PENDENTE",M2752="PARCIAL"),"🟡 FATURAMENTO PENDENTE","🟡 EMBARQUE PENDENTE")))))))))))</f>
        <v/>
      </c>
      <c r="D2752" s="4" t="n"/>
      <c r="E2752" s="5" t="n"/>
      <c r="F2752" s="5" t="n"/>
      <c r="G2752" s="5" t="n"/>
      <c r="H2752" s="5" t="n"/>
      <c r="I2752" s="5" t="n"/>
      <c r="J2752" s="6" t="n"/>
      <c r="K2752" s="6" t="n"/>
      <c r="L2752" s="7">
        <f>IF(OR(D2752="",N(J2752)=0),"",MIN(1,N(K2752)/J2752))</f>
        <v/>
      </c>
      <c r="M2752" s="5" t="n"/>
      <c r="N2752" s="5" t="n"/>
      <c r="O2752" s="5" t="n"/>
      <c r="P2752" s="5" t="n"/>
      <c r="Q2752" s="5" t="n"/>
      <c r="R2752" s="4" t="n"/>
      <c r="S2752" s="4" t="n"/>
      <c r="T2752" s="5" t="n"/>
      <c r="U2752" s="8">
        <f>IF(AND(V2752=1,D2752&lt;&gt;""),IF(D2752&gt;=corte,TODAY()-D2752,""),"")</f>
        <v/>
      </c>
      <c r="V2752" s="8">
        <f>IF(D2752="",0,IF(OR(AND(P2752&lt;&gt;"",S2752=""),AND(N(J2752)&gt;0,N(K2752)&lt;J2752),OR(M2752="PENDENTE",M2752="PARCIAL"),OR(N2752="PENDENTE",N2752="PARCIAL")),1,0))</f>
        <v/>
      </c>
      <c r="W2752" s="8">
        <f>IF(AND(V2752=1,D2752&lt;&gt;""),IF(D2752&gt;=corte,(B2752="CRÍTICO")*1E9+(100000-D2752)*10000+10000-ROW(),""),"")</f>
        <v/>
      </c>
      <c r="X2752" s="8">
        <f>IF(AND(V2752=1,D2752=pas_data,E2752=pas_turno),10000-ROW(),"")</f>
        <v/>
      </c>
    </row>
    <row r="2753">
      <c r="A2753" s="3">
        <f>IF(D2753="","","TT-"&amp;TEXT(ROW()-1,"00000"))</f>
        <v/>
      </c>
      <c r="B2753" s="3">
        <f>IF(D2753="","",IF(V2753=0,"CONCLUÍDO",IF(D2753&lt;corte,"HISTÓRICO",IF(OR(AND(ISNUMBER(R2753),R2753&lt;TODAY()),AND(OR(N2753="PENDENTE",N2753="PARCIAL"),D2753&lt;TODAY()-1)),"CRÍTICO",IF(OR(AND(P2753&lt;&gt;"",S2753=""),AND(N2753="REALIZADO",M2753="PENDENTE"),AND(ISNUMBER(R2753),R2753=TODAY())),"ATENÇÃO",IF(N(K2753)=0,"PENDENTE","EM ANDAMENTO"))))))</f>
        <v/>
      </c>
      <c r="C2753" s="3">
        <f>IF(D2753="","",IF(V2753=0,"🟢 OK",IF(D2753&lt;corte,"⚪ HISTÓRICO (sem baixa)",IF(AND(ISNUMBER(R2753),R2753&lt;TODAY()),"🔴 PRAZO VENCIDO",IF(AND(OR(N2753="PENDENTE",N2753="PARCIAL"),D2753&lt;TODAY()-1),"🔴 EMBARQUE ATRASADO",IF(AND(N2753="REALIZADO",M2753="PENDENTE"),"🟡 EMBARCADO SEM FATURAR",IF(AND(P2753&lt;&gt;"",S2753="",OR(Q2753="",R2753="")),"🟡 PENDÊNCIA SEM RESPONSÁVEL/PRAZO",IF(AND(ISNUMBER(R2753),R2753=TODAY()),"🟡 VENCE HOJE",IF(AND(P2753&lt;&gt;"",S2753=""),"🟡 PENDÊNCIA ABERTA",IF(AND(N(J2753)&gt;0,N(K2753)&lt;J2753),"🟡 FALTA EXECUTAR",IF(OR(M2753="PENDENTE",M2753="PARCIAL"),"🟡 FATURAMENTO PENDENTE","🟡 EMBARQUE PENDENTE")))))))))))</f>
        <v/>
      </c>
      <c r="D2753" s="4" t="n"/>
      <c r="E2753" s="5" t="n"/>
      <c r="F2753" s="5" t="n"/>
      <c r="G2753" s="5" t="n"/>
      <c r="H2753" s="5" t="n"/>
      <c r="I2753" s="5" t="n"/>
      <c r="J2753" s="6" t="n"/>
      <c r="K2753" s="6" t="n"/>
      <c r="L2753" s="7">
        <f>IF(OR(D2753="",N(J2753)=0),"",MIN(1,N(K2753)/J2753))</f>
        <v/>
      </c>
      <c r="M2753" s="5" t="n"/>
      <c r="N2753" s="5" t="n"/>
      <c r="O2753" s="5" t="n"/>
      <c r="P2753" s="5" t="n"/>
      <c r="Q2753" s="5" t="n"/>
      <c r="R2753" s="4" t="n"/>
      <c r="S2753" s="4" t="n"/>
      <c r="T2753" s="5" t="n"/>
      <c r="U2753" s="8">
        <f>IF(AND(V2753=1,D2753&lt;&gt;""),IF(D2753&gt;=corte,TODAY()-D2753,""),"")</f>
        <v/>
      </c>
      <c r="V2753" s="8">
        <f>IF(D2753="",0,IF(OR(AND(P2753&lt;&gt;"",S2753=""),AND(N(J2753)&gt;0,N(K2753)&lt;J2753),OR(M2753="PENDENTE",M2753="PARCIAL"),OR(N2753="PENDENTE",N2753="PARCIAL")),1,0))</f>
        <v/>
      </c>
      <c r="W2753" s="8">
        <f>IF(AND(V2753=1,D2753&lt;&gt;""),IF(D2753&gt;=corte,(B2753="CRÍTICO")*1E9+(100000-D2753)*10000+10000-ROW(),""),"")</f>
        <v/>
      </c>
      <c r="X2753" s="8">
        <f>IF(AND(V2753=1,D2753=pas_data,E2753=pas_turno),10000-ROW(),"")</f>
        <v/>
      </c>
    </row>
    <row r="2754">
      <c r="A2754" s="3">
        <f>IF(D2754="","","TT-"&amp;TEXT(ROW()-1,"00000"))</f>
        <v/>
      </c>
      <c r="B2754" s="3">
        <f>IF(D2754="","",IF(V2754=0,"CONCLUÍDO",IF(D2754&lt;corte,"HISTÓRICO",IF(OR(AND(ISNUMBER(R2754),R2754&lt;TODAY()),AND(OR(N2754="PENDENTE",N2754="PARCIAL"),D2754&lt;TODAY()-1)),"CRÍTICO",IF(OR(AND(P2754&lt;&gt;"",S2754=""),AND(N2754="REALIZADO",M2754="PENDENTE"),AND(ISNUMBER(R2754),R2754=TODAY())),"ATENÇÃO",IF(N(K2754)=0,"PENDENTE","EM ANDAMENTO"))))))</f>
        <v/>
      </c>
      <c r="C2754" s="3">
        <f>IF(D2754="","",IF(V2754=0,"🟢 OK",IF(D2754&lt;corte,"⚪ HISTÓRICO (sem baixa)",IF(AND(ISNUMBER(R2754),R2754&lt;TODAY()),"🔴 PRAZO VENCIDO",IF(AND(OR(N2754="PENDENTE",N2754="PARCIAL"),D2754&lt;TODAY()-1),"🔴 EMBARQUE ATRASADO",IF(AND(N2754="REALIZADO",M2754="PENDENTE"),"🟡 EMBARCADO SEM FATURAR",IF(AND(P2754&lt;&gt;"",S2754="",OR(Q2754="",R2754="")),"🟡 PENDÊNCIA SEM RESPONSÁVEL/PRAZO",IF(AND(ISNUMBER(R2754),R2754=TODAY()),"🟡 VENCE HOJE",IF(AND(P2754&lt;&gt;"",S2754=""),"🟡 PENDÊNCIA ABERTA",IF(AND(N(J2754)&gt;0,N(K2754)&lt;J2754),"🟡 FALTA EXECUTAR",IF(OR(M2754="PENDENTE",M2754="PARCIAL"),"🟡 FATURAMENTO PENDENTE","🟡 EMBARQUE PENDENTE")))))))))))</f>
        <v/>
      </c>
      <c r="D2754" s="4" t="n"/>
      <c r="E2754" s="5" t="n"/>
      <c r="F2754" s="5" t="n"/>
      <c r="G2754" s="5" t="n"/>
      <c r="H2754" s="5" t="n"/>
      <c r="I2754" s="5" t="n"/>
      <c r="J2754" s="6" t="n"/>
      <c r="K2754" s="6" t="n"/>
      <c r="L2754" s="7">
        <f>IF(OR(D2754="",N(J2754)=0),"",MIN(1,N(K2754)/J2754))</f>
        <v/>
      </c>
      <c r="M2754" s="5" t="n"/>
      <c r="N2754" s="5" t="n"/>
      <c r="O2754" s="5" t="n"/>
      <c r="P2754" s="5" t="n"/>
      <c r="Q2754" s="5" t="n"/>
      <c r="R2754" s="4" t="n"/>
      <c r="S2754" s="4" t="n"/>
      <c r="T2754" s="5" t="n"/>
      <c r="U2754" s="8">
        <f>IF(AND(V2754=1,D2754&lt;&gt;""),IF(D2754&gt;=corte,TODAY()-D2754,""),"")</f>
        <v/>
      </c>
      <c r="V2754" s="8">
        <f>IF(D2754="",0,IF(OR(AND(P2754&lt;&gt;"",S2754=""),AND(N(J2754)&gt;0,N(K2754)&lt;J2754),OR(M2754="PENDENTE",M2754="PARCIAL"),OR(N2754="PENDENTE",N2754="PARCIAL")),1,0))</f>
        <v/>
      </c>
      <c r="W2754" s="8">
        <f>IF(AND(V2754=1,D2754&lt;&gt;""),IF(D2754&gt;=corte,(B2754="CRÍTICO")*1E9+(100000-D2754)*10000+10000-ROW(),""),"")</f>
        <v/>
      </c>
      <c r="X2754" s="8">
        <f>IF(AND(V2754=1,D2754=pas_data,E2754=pas_turno),10000-ROW(),"")</f>
        <v/>
      </c>
    </row>
    <row r="2755">
      <c r="A2755" s="3">
        <f>IF(D2755="","","TT-"&amp;TEXT(ROW()-1,"00000"))</f>
        <v/>
      </c>
      <c r="B2755" s="3">
        <f>IF(D2755="","",IF(V2755=0,"CONCLUÍDO",IF(D2755&lt;corte,"HISTÓRICO",IF(OR(AND(ISNUMBER(R2755),R2755&lt;TODAY()),AND(OR(N2755="PENDENTE",N2755="PARCIAL"),D2755&lt;TODAY()-1)),"CRÍTICO",IF(OR(AND(P2755&lt;&gt;"",S2755=""),AND(N2755="REALIZADO",M2755="PENDENTE"),AND(ISNUMBER(R2755),R2755=TODAY())),"ATENÇÃO",IF(N(K2755)=0,"PENDENTE","EM ANDAMENTO"))))))</f>
        <v/>
      </c>
      <c r="C2755" s="3">
        <f>IF(D2755="","",IF(V2755=0,"🟢 OK",IF(D2755&lt;corte,"⚪ HISTÓRICO (sem baixa)",IF(AND(ISNUMBER(R2755),R2755&lt;TODAY()),"🔴 PRAZO VENCIDO",IF(AND(OR(N2755="PENDENTE",N2755="PARCIAL"),D2755&lt;TODAY()-1),"🔴 EMBARQUE ATRASADO",IF(AND(N2755="REALIZADO",M2755="PENDENTE"),"🟡 EMBARCADO SEM FATURAR",IF(AND(P2755&lt;&gt;"",S2755="",OR(Q2755="",R2755="")),"🟡 PENDÊNCIA SEM RESPONSÁVEL/PRAZO",IF(AND(ISNUMBER(R2755),R2755=TODAY()),"🟡 VENCE HOJE",IF(AND(P2755&lt;&gt;"",S2755=""),"🟡 PENDÊNCIA ABERTA",IF(AND(N(J2755)&gt;0,N(K2755)&lt;J2755),"🟡 FALTA EXECUTAR",IF(OR(M2755="PENDENTE",M2755="PARCIAL"),"🟡 FATURAMENTO PENDENTE","🟡 EMBARQUE PENDENTE")))))))))))</f>
        <v/>
      </c>
      <c r="D2755" s="4" t="n"/>
      <c r="E2755" s="5" t="n"/>
      <c r="F2755" s="5" t="n"/>
      <c r="G2755" s="5" t="n"/>
      <c r="H2755" s="5" t="n"/>
      <c r="I2755" s="5" t="n"/>
      <c r="J2755" s="6" t="n"/>
      <c r="K2755" s="6" t="n"/>
      <c r="L2755" s="7">
        <f>IF(OR(D2755="",N(J2755)=0),"",MIN(1,N(K2755)/J2755))</f>
        <v/>
      </c>
      <c r="M2755" s="5" t="n"/>
      <c r="N2755" s="5" t="n"/>
      <c r="O2755" s="5" t="n"/>
      <c r="P2755" s="5" t="n"/>
      <c r="Q2755" s="5" t="n"/>
      <c r="R2755" s="4" t="n"/>
      <c r="S2755" s="4" t="n"/>
      <c r="T2755" s="5" t="n"/>
      <c r="U2755" s="8">
        <f>IF(AND(V2755=1,D2755&lt;&gt;""),IF(D2755&gt;=corte,TODAY()-D2755,""),"")</f>
        <v/>
      </c>
      <c r="V2755" s="8">
        <f>IF(D2755="",0,IF(OR(AND(P2755&lt;&gt;"",S2755=""),AND(N(J2755)&gt;0,N(K2755)&lt;J2755),OR(M2755="PENDENTE",M2755="PARCIAL"),OR(N2755="PENDENTE",N2755="PARCIAL")),1,0))</f>
        <v/>
      </c>
      <c r="W2755" s="8">
        <f>IF(AND(V2755=1,D2755&lt;&gt;""),IF(D2755&gt;=corte,(B2755="CRÍTICO")*1E9+(100000-D2755)*10000+10000-ROW(),""),"")</f>
        <v/>
      </c>
      <c r="X2755" s="8">
        <f>IF(AND(V2755=1,D2755=pas_data,E2755=pas_turno),10000-ROW(),"")</f>
        <v/>
      </c>
    </row>
    <row r="2756">
      <c r="A2756" s="3">
        <f>IF(D2756="","","TT-"&amp;TEXT(ROW()-1,"00000"))</f>
        <v/>
      </c>
      <c r="B2756" s="3">
        <f>IF(D2756="","",IF(V2756=0,"CONCLUÍDO",IF(D2756&lt;corte,"HISTÓRICO",IF(OR(AND(ISNUMBER(R2756),R2756&lt;TODAY()),AND(OR(N2756="PENDENTE",N2756="PARCIAL"),D2756&lt;TODAY()-1)),"CRÍTICO",IF(OR(AND(P2756&lt;&gt;"",S2756=""),AND(N2756="REALIZADO",M2756="PENDENTE"),AND(ISNUMBER(R2756),R2756=TODAY())),"ATENÇÃO",IF(N(K2756)=0,"PENDENTE","EM ANDAMENTO"))))))</f>
        <v/>
      </c>
      <c r="C2756" s="3">
        <f>IF(D2756="","",IF(V2756=0,"🟢 OK",IF(D2756&lt;corte,"⚪ HISTÓRICO (sem baixa)",IF(AND(ISNUMBER(R2756),R2756&lt;TODAY()),"🔴 PRAZO VENCIDO",IF(AND(OR(N2756="PENDENTE",N2756="PARCIAL"),D2756&lt;TODAY()-1),"🔴 EMBARQUE ATRASADO",IF(AND(N2756="REALIZADO",M2756="PENDENTE"),"🟡 EMBARCADO SEM FATURAR",IF(AND(P2756&lt;&gt;"",S2756="",OR(Q2756="",R2756="")),"🟡 PENDÊNCIA SEM RESPONSÁVEL/PRAZO",IF(AND(ISNUMBER(R2756),R2756=TODAY()),"🟡 VENCE HOJE",IF(AND(P2756&lt;&gt;"",S2756=""),"🟡 PENDÊNCIA ABERTA",IF(AND(N(J2756)&gt;0,N(K2756)&lt;J2756),"🟡 FALTA EXECUTAR",IF(OR(M2756="PENDENTE",M2756="PARCIAL"),"🟡 FATURAMENTO PENDENTE","🟡 EMBARQUE PENDENTE")))))))))))</f>
        <v/>
      </c>
      <c r="D2756" s="4" t="n"/>
      <c r="E2756" s="5" t="n"/>
      <c r="F2756" s="5" t="n"/>
      <c r="G2756" s="5" t="n"/>
      <c r="H2756" s="5" t="n"/>
      <c r="I2756" s="5" t="n"/>
      <c r="J2756" s="6" t="n"/>
      <c r="K2756" s="6" t="n"/>
      <c r="L2756" s="7">
        <f>IF(OR(D2756="",N(J2756)=0),"",MIN(1,N(K2756)/J2756))</f>
        <v/>
      </c>
      <c r="M2756" s="5" t="n"/>
      <c r="N2756" s="5" t="n"/>
      <c r="O2756" s="5" t="n"/>
      <c r="P2756" s="5" t="n"/>
      <c r="Q2756" s="5" t="n"/>
      <c r="R2756" s="4" t="n"/>
      <c r="S2756" s="4" t="n"/>
      <c r="T2756" s="5" t="n"/>
      <c r="U2756" s="8">
        <f>IF(AND(V2756=1,D2756&lt;&gt;""),IF(D2756&gt;=corte,TODAY()-D2756,""),"")</f>
        <v/>
      </c>
      <c r="V2756" s="8">
        <f>IF(D2756="",0,IF(OR(AND(P2756&lt;&gt;"",S2756=""),AND(N(J2756)&gt;0,N(K2756)&lt;J2756),OR(M2756="PENDENTE",M2756="PARCIAL"),OR(N2756="PENDENTE",N2756="PARCIAL")),1,0))</f>
        <v/>
      </c>
      <c r="W2756" s="8">
        <f>IF(AND(V2756=1,D2756&lt;&gt;""),IF(D2756&gt;=corte,(B2756="CRÍTICO")*1E9+(100000-D2756)*10000+10000-ROW(),""),"")</f>
        <v/>
      </c>
      <c r="X2756" s="8">
        <f>IF(AND(V2756=1,D2756=pas_data,E2756=pas_turno),10000-ROW(),"")</f>
        <v/>
      </c>
    </row>
    <row r="2757">
      <c r="A2757" s="3">
        <f>IF(D2757="","","TT-"&amp;TEXT(ROW()-1,"00000"))</f>
        <v/>
      </c>
      <c r="B2757" s="3">
        <f>IF(D2757="","",IF(V2757=0,"CONCLUÍDO",IF(D2757&lt;corte,"HISTÓRICO",IF(OR(AND(ISNUMBER(R2757),R2757&lt;TODAY()),AND(OR(N2757="PENDENTE",N2757="PARCIAL"),D2757&lt;TODAY()-1)),"CRÍTICO",IF(OR(AND(P2757&lt;&gt;"",S2757=""),AND(N2757="REALIZADO",M2757="PENDENTE"),AND(ISNUMBER(R2757),R2757=TODAY())),"ATENÇÃO",IF(N(K2757)=0,"PENDENTE","EM ANDAMENTO"))))))</f>
        <v/>
      </c>
      <c r="C2757" s="3">
        <f>IF(D2757="","",IF(V2757=0,"🟢 OK",IF(D2757&lt;corte,"⚪ HISTÓRICO (sem baixa)",IF(AND(ISNUMBER(R2757),R2757&lt;TODAY()),"🔴 PRAZO VENCIDO",IF(AND(OR(N2757="PENDENTE",N2757="PARCIAL"),D2757&lt;TODAY()-1),"🔴 EMBARQUE ATRASADO",IF(AND(N2757="REALIZADO",M2757="PENDENTE"),"🟡 EMBARCADO SEM FATURAR",IF(AND(P2757&lt;&gt;"",S2757="",OR(Q2757="",R2757="")),"🟡 PENDÊNCIA SEM RESPONSÁVEL/PRAZO",IF(AND(ISNUMBER(R2757),R2757=TODAY()),"🟡 VENCE HOJE",IF(AND(P2757&lt;&gt;"",S2757=""),"🟡 PENDÊNCIA ABERTA",IF(AND(N(J2757)&gt;0,N(K2757)&lt;J2757),"🟡 FALTA EXECUTAR",IF(OR(M2757="PENDENTE",M2757="PARCIAL"),"🟡 FATURAMENTO PENDENTE","🟡 EMBARQUE PENDENTE")))))))))))</f>
        <v/>
      </c>
      <c r="D2757" s="4" t="n"/>
      <c r="E2757" s="5" t="n"/>
      <c r="F2757" s="5" t="n"/>
      <c r="G2757" s="5" t="n"/>
      <c r="H2757" s="5" t="n"/>
      <c r="I2757" s="5" t="n"/>
      <c r="J2757" s="6" t="n"/>
      <c r="K2757" s="6" t="n"/>
      <c r="L2757" s="7">
        <f>IF(OR(D2757="",N(J2757)=0),"",MIN(1,N(K2757)/J2757))</f>
        <v/>
      </c>
      <c r="M2757" s="5" t="n"/>
      <c r="N2757" s="5" t="n"/>
      <c r="O2757" s="5" t="n"/>
      <c r="P2757" s="5" t="n"/>
      <c r="Q2757" s="5" t="n"/>
      <c r="R2757" s="4" t="n"/>
      <c r="S2757" s="4" t="n"/>
      <c r="T2757" s="5" t="n"/>
      <c r="U2757" s="8">
        <f>IF(AND(V2757=1,D2757&lt;&gt;""),IF(D2757&gt;=corte,TODAY()-D2757,""),"")</f>
        <v/>
      </c>
      <c r="V2757" s="8">
        <f>IF(D2757="",0,IF(OR(AND(P2757&lt;&gt;"",S2757=""),AND(N(J2757)&gt;0,N(K2757)&lt;J2757),OR(M2757="PENDENTE",M2757="PARCIAL"),OR(N2757="PENDENTE",N2757="PARCIAL")),1,0))</f>
        <v/>
      </c>
      <c r="W2757" s="8">
        <f>IF(AND(V2757=1,D2757&lt;&gt;""),IF(D2757&gt;=corte,(B2757="CRÍTICO")*1E9+(100000-D2757)*10000+10000-ROW(),""),"")</f>
        <v/>
      </c>
      <c r="X2757" s="8">
        <f>IF(AND(V2757=1,D2757=pas_data,E2757=pas_turno),10000-ROW(),"")</f>
        <v/>
      </c>
    </row>
    <row r="2758">
      <c r="A2758" s="3">
        <f>IF(D2758="","","TT-"&amp;TEXT(ROW()-1,"00000"))</f>
        <v/>
      </c>
      <c r="B2758" s="3">
        <f>IF(D2758="","",IF(V2758=0,"CONCLUÍDO",IF(D2758&lt;corte,"HISTÓRICO",IF(OR(AND(ISNUMBER(R2758),R2758&lt;TODAY()),AND(OR(N2758="PENDENTE",N2758="PARCIAL"),D2758&lt;TODAY()-1)),"CRÍTICO",IF(OR(AND(P2758&lt;&gt;"",S2758=""),AND(N2758="REALIZADO",M2758="PENDENTE"),AND(ISNUMBER(R2758),R2758=TODAY())),"ATENÇÃO",IF(N(K2758)=0,"PENDENTE","EM ANDAMENTO"))))))</f>
        <v/>
      </c>
      <c r="C2758" s="3">
        <f>IF(D2758="","",IF(V2758=0,"🟢 OK",IF(D2758&lt;corte,"⚪ HISTÓRICO (sem baixa)",IF(AND(ISNUMBER(R2758),R2758&lt;TODAY()),"🔴 PRAZO VENCIDO",IF(AND(OR(N2758="PENDENTE",N2758="PARCIAL"),D2758&lt;TODAY()-1),"🔴 EMBARQUE ATRASADO",IF(AND(N2758="REALIZADO",M2758="PENDENTE"),"🟡 EMBARCADO SEM FATURAR",IF(AND(P2758&lt;&gt;"",S2758="",OR(Q2758="",R2758="")),"🟡 PENDÊNCIA SEM RESPONSÁVEL/PRAZO",IF(AND(ISNUMBER(R2758),R2758=TODAY()),"🟡 VENCE HOJE",IF(AND(P2758&lt;&gt;"",S2758=""),"🟡 PENDÊNCIA ABERTA",IF(AND(N(J2758)&gt;0,N(K2758)&lt;J2758),"🟡 FALTA EXECUTAR",IF(OR(M2758="PENDENTE",M2758="PARCIAL"),"🟡 FATURAMENTO PENDENTE","🟡 EMBARQUE PENDENTE")))))))))))</f>
        <v/>
      </c>
      <c r="D2758" s="4" t="n"/>
      <c r="E2758" s="5" t="n"/>
      <c r="F2758" s="5" t="n"/>
      <c r="G2758" s="5" t="n"/>
      <c r="H2758" s="5" t="n"/>
      <c r="I2758" s="5" t="n"/>
      <c r="J2758" s="6" t="n"/>
      <c r="K2758" s="6" t="n"/>
      <c r="L2758" s="7">
        <f>IF(OR(D2758="",N(J2758)=0),"",MIN(1,N(K2758)/J2758))</f>
        <v/>
      </c>
      <c r="M2758" s="5" t="n"/>
      <c r="N2758" s="5" t="n"/>
      <c r="O2758" s="5" t="n"/>
      <c r="P2758" s="5" t="n"/>
      <c r="Q2758" s="5" t="n"/>
      <c r="R2758" s="4" t="n"/>
      <c r="S2758" s="4" t="n"/>
      <c r="T2758" s="5" t="n"/>
      <c r="U2758" s="8">
        <f>IF(AND(V2758=1,D2758&lt;&gt;""),IF(D2758&gt;=corte,TODAY()-D2758,""),"")</f>
        <v/>
      </c>
      <c r="V2758" s="8">
        <f>IF(D2758="",0,IF(OR(AND(P2758&lt;&gt;"",S2758=""),AND(N(J2758)&gt;0,N(K2758)&lt;J2758),OR(M2758="PENDENTE",M2758="PARCIAL"),OR(N2758="PENDENTE",N2758="PARCIAL")),1,0))</f>
        <v/>
      </c>
      <c r="W2758" s="8">
        <f>IF(AND(V2758=1,D2758&lt;&gt;""),IF(D2758&gt;=corte,(B2758="CRÍTICO")*1E9+(100000-D2758)*10000+10000-ROW(),""),"")</f>
        <v/>
      </c>
      <c r="X2758" s="8">
        <f>IF(AND(V2758=1,D2758=pas_data,E2758=pas_turno),10000-ROW(),"")</f>
        <v/>
      </c>
    </row>
    <row r="2759">
      <c r="A2759" s="3">
        <f>IF(D2759="","","TT-"&amp;TEXT(ROW()-1,"00000"))</f>
        <v/>
      </c>
      <c r="B2759" s="3">
        <f>IF(D2759="","",IF(V2759=0,"CONCLUÍDO",IF(D2759&lt;corte,"HISTÓRICO",IF(OR(AND(ISNUMBER(R2759),R2759&lt;TODAY()),AND(OR(N2759="PENDENTE",N2759="PARCIAL"),D2759&lt;TODAY()-1)),"CRÍTICO",IF(OR(AND(P2759&lt;&gt;"",S2759=""),AND(N2759="REALIZADO",M2759="PENDENTE"),AND(ISNUMBER(R2759),R2759=TODAY())),"ATENÇÃO",IF(N(K2759)=0,"PENDENTE","EM ANDAMENTO"))))))</f>
        <v/>
      </c>
      <c r="C2759" s="3">
        <f>IF(D2759="","",IF(V2759=0,"🟢 OK",IF(D2759&lt;corte,"⚪ HISTÓRICO (sem baixa)",IF(AND(ISNUMBER(R2759),R2759&lt;TODAY()),"🔴 PRAZO VENCIDO",IF(AND(OR(N2759="PENDENTE",N2759="PARCIAL"),D2759&lt;TODAY()-1),"🔴 EMBARQUE ATRASADO",IF(AND(N2759="REALIZADO",M2759="PENDENTE"),"🟡 EMBARCADO SEM FATURAR",IF(AND(P2759&lt;&gt;"",S2759="",OR(Q2759="",R2759="")),"🟡 PENDÊNCIA SEM RESPONSÁVEL/PRAZO",IF(AND(ISNUMBER(R2759),R2759=TODAY()),"🟡 VENCE HOJE",IF(AND(P2759&lt;&gt;"",S2759=""),"🟡 PENDÊNCIA ABERTA",IF(AND(N(J2759)&gt;0,N(K2759)&lt;J2759),"🟡 FALTA EXECUTAR",IF(OR(M2759="PENDENTE",M2759="PARCIAL"),"🟡 FATURAMENTO PENDENTE","🟡 EMBARQUE PENDENTE")))))))))))</f>
        <v/>
      </c>
      <c r="D2759" s="4" t="n"/>
      <c r="E2759" s="5" t="n"/>
      <c r="F2759" s="5" t="n"/>
      <c r="G2759" s="5" t="n"/>
      <c r="H2759" s="5" t="n"/>
      <c r="I2759" s="5" t="n"/>
      <c r="J2759" s="6" t="n"/>
      <c r="K2759" s="6" t="n"/>
      <c r="L2759" s="7">
        <f>IF(OR(D2759="",N(J2759)=0),"",MIN(1,N(K2759)/J2759))</f>
        <v/>
      </c>
      <c r="M2759" s="5" t="n"/>
      <c r="N2759" s="5" t="n"/>
      <c r="O2759" s="5" t="n"/>
      <c r="P2759" s="5" t="n"/>
      <c r="Q2759" s="5" t="n"/>
      <c r="R2759" s="4" t="n"/>
      <c r="S2759" s="4" t="n"/>
      <c r="T2759" s="5" t="n"/>
      <c r="U2759" s="8">
        <f>IF(AND(V2759=1,D2759&lt;&gt;""),IF(D2759&gt;=corte,TODAY()-D2759,""),"")</f>
        <v/>
      </c>
      <c r="V2759" s="8">
        <f>IF(D2759="",0,IF(OR(AND(P2759&lt;&gt;"",S2759=""),AND(N(J2759)&gt;0,N(K2759)&lt;J2759),OR(M2759="PENDENTE",M2759="PARCIAL"),OR(N2759="PENDENTE",N2759="PARCIAL")),1,0))</f>
        <v/>
      </c>
      <c r="W2759" s="8">
        <f>IF(AND(V2759=1,D2759&lt;&gt;""),IF(D2759&gt;=corte,(B2759="CRÍTICO")*1E9+(100000-D2759)*10000+10000-ROW(),""),"")</f>
        <v/>
      </c>
      <c r="X2759" s="8">
        <f>IF(AND(V2759=1,D2759=pas_data,E2759=pas_turno),10000-ROW(),"")</f>
        <v/>
      </c>
    </row>
    <row r="2760">
      <c r="A2760" s="3">
        <f>IF(D2760="","","TT-"&amp;TEXT(ROW()-1,"00000"))</f>
        <v/>
      </c>
      <c r="B2760" s="3">
        <f>IF(D2760="","",IF(V2760=0,"CONCLUÍDO",IF(D2760&lt;corte,"HISTÓRICO",IF(OR(AND(ISNUMBER(R2760),R2760&lt;TODAY()),AND(OR(N2760="PENDENTE",N2760="PARCIAL"),D2760&lt;TODAY()-1)),"CRÍTICO",IF(OR(AND(P2760&lt;&gt;"",S2760=""),AND(N2760="REALIZADO",M2760="PENDENTE"),AND(ISNUMBER(R2760),R2760=TODAY())),"ATENÇÃO",IF(N(K2760)=0,"PENDENTE","EM ANDAMENTO"))))))</f>
        <v/>
      </c>
      <c r="C2760" s="3">
        <f>IF(D2760="","",IF(V2760=0,"🟢 OK",IF(D2760&lt;corte,"⚪ HISTÓRICO (sem baixa)",IF(AND(ISNUMBER(R2760),R2760&lt;TODAY()),"🔴 PRAZO VENCIDO",IF(AND(OR(N2760="PENDENTE",N2760="PARCIAL"),D2760&lt;TODAY()-1),"🔴 EMBARQUE ATRASADO",IF(AND(N2760="REALIZADO",M2760="PENDENTE"),"🟡 EMBARCADO SEM FATURAR",IF(AND(P2760&lt;&gt;"",S2760="",OR(Q2760="",R2760="")),"🟡 PENDÊNCIA SEM RESPONSÁVEL/PRAZO",IF(AND(ISNUMBER(R2760),R2760=TODAY()),"🟡 VENCE HOJE",IF(AND(P2760&lt;&gt;"",S2760=""),"🟡 PENDÊNCIA ABERTA",IF(AND(N(J2760)&gt;0,N(K2760)&lt;J2760),"🟡 FALTA EXECUTAR",IF(OR(M2760="PENDENTE",M2760="PARCIAL"),"🟡 FATURAMENTO PENDENTE","🟡 EMBARQUE PENDENTE")))))))))))</f>
        <v/>
      </c>
      <c r="D2760" s="4" t="n"/>
      <c r="E2760" s="5" t="n"/>
      <c r="F2760" s="5" t="n"/>
      <c r="G2760" s="5" t="n"/>
      <c r="H2760" s="5" t="n"/>
      <c r="I2760" s="5" t="n"/>
      <c r="J2760" s="6" t="n"/>
      <c r="K2760" s="6" t="n"/>
      <c r="L2760" s="7">
        <f>IF(OR(D2760="",N(J2760)=0),"",MIN(1,N(K2760)/J2760))</f>
        <v/>
      </c>
      <c r="M2760" s="5" t="n"/>
      <c r="N2760" s="5" t="n"/>
      <c r="O2760" s="5" t="n"/>
      <c r="P2760" s="5" t="n"/>
      <c r="Q2760" s="5" t="n"/>
      <c r="R2760" s="4" t="n"/>
      <c r="S2760" s="4" t="n"/>
      <c r="T2760" s="5" t="n"/>
      <c r="U2760" s="8">
        <f>IF(AND(V2760=1,D2760&lt;&gt;""),IF(D2760&gt;=corte,TODAY()-D2760,""),"")</f>
        <v/>
      </c>
      <c r="V2760" s="8">
        <f>IF(D2760="",0,IF(OR(AND(P2760&lt;&gt;"",S2760=""),AND(N(J2760)&gt;0,N(K2760)&lt;J2760),OR(M2760="PENDENTE",M2760="PARCIAL"),OR(N2760="PENDENTE",N2760="PARCIAL")),1,0))</f>
        <v/>
      </c>
      <c r="W2760" s="8">
        <f>IF(AND(V2760=1,D2760&lt;&gt;""),IF(D2760&gt;=corte,(B2760="CRÍTICO")*1E9+(100000-D2760)*10000+10000-ROW(),""),"")</f>
        <v/>
      </c>
      <c r="X2760" s="8">
        <f>IF(AND(V2760=1,D2760=pas_data,E2760=pas_turno),10000-ROW(),"")</f>
        <v/>
      </c>
    </row>
    <row r="2761">
      <c r="A2761" s="3">
        <f>IF(D2761="","","TT-"&amp;TEXT(ROW()-1,"00000"))</f>
        <v/>
      </c>
      <c r="B2761" s="3">
        <f>IF(D2761="","",IF(V2761=0,"CONCLUÍDO",IF(D2761&lt;corte,"HISTÓRICO",IF(OR(AND(ISNUMBER(R2761),R2761&lt;TODAY()),AND(OR(N2761="PENDENTE",N2761="PARCIAL"),D2761&lt;TODAY()-1)),"CRÍTICO",IF(OR(AND(P2761&lt;&gt;"",S2761=""),AND(N2761="REALIZADO",M2761="PENDENTE"),AND(ISNUMBER(R2761),R2761=TODAY())),"ATENÇÃO",IF(N(K2761)=0,"PENDENTE","EM ANDAMENTO"))))))</f>
        <v/>
      </c>
      <c r="C2761" s="3">
        <f>IF(D2761="","",IF(V2761=0,"🟢 OK",IF(D2761&lt;corte,"⚪ HISTÓRICO (sem baixa)",IF(AND(ISNUMBER(R2761),R2761&lt;TODAY()),"🔴 PRAZO VENCIDO",IF(AND(OR(N2761="PENDENTE",N2761="PARCIAL"),D2761&lt;TODAY()-1),"🔴 EMBARQUE ATRASADO",IF(AND(N2761="REALIZADO",M2761="PENDENTE"),"🟡 EMBARCADO SEM FATURAR",IF(AND(P2761&lt;&gt;"",S2761="",OR(Q2761="",R2761="")),"🟡 PENDÊNCIA SEM RESPONSÁVEL/PRAZO",IF(AND(ISNUMBER(R2761),R2761=TODAY()),"🟡 VENCE HOJE",IF(AND(P2761&lt;&gt;"",S2761=""),"🟡 PENDÊNCIA ABERTA",IF(AND(N(J2761)&gt;0,N(K2761)&lt;J2761),"🟡 FALTA EXECUTAR",IF(OR(M2761="PENDENTE",M2761="PARCIAL"),"🟡 FATURAMENTO PENDENTE","🟡 EMBARQUE PENDENTE")))))))))))</f>
        <v/>
      </c>
      <c r="D2761" s="4" t="n"/>
      <c r="E2761" s="5" t="n"/>
      <c r="F2761" s="5" t="n"/>
      <c r="G2761" s="5" t="n"/>
      <c r="H2761" s="5" t="n"/>
      <c r="I2761" s="5" t="n"/>
      <c r="J2761" s="6" t="n"/>
      <c r="K2761" s="6" t="n"/>
      <c r="L2761" s="7">
        <f>IF(OR(D2761="",N(J2761)=0),"",MIN(1,N(K2761)/J2761))</f>
        <v/>
      </c>
      <c r="M2761" s="5" t="n"/>
      <c r="N2761" s="5" t="n"/>
      <c r="O2761" s="5" t="n"/>
      <c r="P2761" s="5" t="n"/>
      <c r="Q2761" s="5" t="n"/>
      <c r="R2761" s="4" t="n"/>
      <c r="S2761" s="4" t="n"/>
      <c r="T2761" s="5" t="n"/>
      <c r="U2761" s="8">
        <f>IF(AND(V2761=1,D2761&lt;&gt;""),IF(D2761&gt;=corte,TODAY()-D2761,""),"")</f>
        <v/>
      </c>
      <c r="V2761" s="8">
        <f>IF(D2761="",0,IF(OR(AND(P2761&lt;&gt;"",S2761=""),AND(N(J2761)&gt;0,N(K2761)&lt;J2761),OR(M2761="PENDENTE",M2761="PARCIAL"),OR(N2761="PENDENTE",N2761="PARCIAL")),1,0))</f>
        <v/>
      </c>
      <c r="W2761" s="8">
        <f>IF(AND(V2761=1,D2761&lt;&gt;""),IF(D2761&gt;=corte,(B2761="CRÍTICO")*1E9+(100000-D2761)*10000+10000-ROW(),""),"")</f>
        <v/>
      </c>
      <c r="X2761" s="8">
        <f>IF(AND(V2761=1,D2761=pas_data,E2761=pas_turno),10000-ROW(),"")</f>
        <v/>
      </c>
    </row>
    <row r="2762">
      <c r="A2762" s="3">
        <f>IF(D2762="","","TT-"&amp;TEXT(ROW()-1,"00000"))</f>
        <v/>
      </c>
      <c r="B2762" s="3">
        <f>IF(D2762="","",IF(V2762=0,"CONCLUÍDO",IF(D2762&lt;corte,"HISTÓRICO",IF(OR(AND(ISNUMBER(R2762),R2762&lt;TODAY()),AND(OR(N2762="PENDENTE",N2762="PARCIAL"),D2762&lt;TODAY()-1)),"CRÍTICO",IF(OR(AND(P2762&lt;&gt;"",S2762=""),AND(N2762="REALIZADO",M2762="PENDENTE"),AND(ISNUMBER(R2762),R2762=TODAY())),"ATENÇÃO",IF(N(K2762)=0,"PENDENTE","EM ANDAMENTO"))))))</f>
        <v/>
      </c>
      <c r="C2762" s="3">
        <f>IF(D2762="","",IF(V2762=0,"🟢 OK",IF(D2762&lt;corte,"⚪ HISTÓRICO (sem baixa)",IF(AND(ISNUMBER(R2762),R2762&lt;TODAY()),"🔴 PRAZO VENCIDO",IF(AND(OR(N2762="PENDENTE",N2762="PARCIAL"),D2762&lt;TODAY()-1),"🔴 EMBARQUE ATRASADO",IF(AND(N2762="REALIZADO",M2762="PENDENTE"),"🟡 EMBARCADO SEM FATURAR",IF(AND(P2762&lt;&gt;"",S2762="",OR(Q2762="",R2762="")),"🟡 PENDÊNCIA SEM RESPONSÁVEL/PRAZO",IF(AND(ISNUMBER(R2762),R2762=TODAY()),"🟡 VENCE HOJE",IF(AND(P2762&lt;&gt;"",S2762=""),"🟡 PENDÊNCIA ABERTA",IF(AND(N(J2762)&gt;0,N(K2762)&lt;J2762),"🟡 FALTA EXECUTAR",IF(OR(M2762="PENDENTE",M2762="PARCIAL"),"🟡 FATURAMENTO PENDENTE","🟡 EMBARQUE PENDENTE")))))))))))</f>
        <v/>
      </c>
      <c r="D2762" s="4" t="n"/>
      <c r="E2762" s="5" t="n"/>
      <c r="F2762" s="5" t="n"/>
      <c r="G2762" s="5" t="n"/>
      <c r="H2762" s="5" t="n"/>
      <c r="I2762" s="5" t="n"/>
      <c r="J2762" s="6" t="n"/>
      <c r="K2762" s="6" t="n"/>
      <c r="L2762" s="7">
        <f>IF(OR(D2762="",N(J2762)=0),"",MIN(1,N(K2762)/J2762))</f>
        <v/>
      </c>
      <c r="M2762" s="5" t="n"/>
      <c r="N2762" s="5" t="n"/>
      <c r="O2762" s="5" t="n"/>
      <c r="P2762" s="5" t="n"/>
      <c r="Q2762" s="5" t="n"/>
      <c r="R2762" s="4" t="n"/>
      <c r="S2762" s="4" t="n"/>
      <c r="T2762" s="5" t="n"/>
      <c r="U2762" s="8">
        <f>IF(AND(V2762=1,D2762&lt;&gt;""),IF(D2762&gt;=corte,TODAY()-D2762,""),"")</f>
        <v/>
      </c>
      <c r="V2762" s="8">
        <f>IF(D2762="",0,IF(OR(AND(P2762&lt;&gt;"",S2762=""),AND(N(J2762)&gt;0,N(K2762)&lt;J2762),OR(M2762="PENDENTE",M2762="PARCIAL"),OR(N2762="PENDENTE",N2762="PARCIAL")),1,0))</f>
        <v/>
      </c>
      <c r="W2762" s="8">
        <f>IF(AND(V2762=1,D2762&lt;&gt;""),IF(D2762&gt;=corte,(B2762="CRÍTICO")*1E9+(100000-D2762)*10000+10000-ROW(),""),"")</f>
        <v/>
      </c>
      <c r="X2762" s="8">
        <f>IF(AND(V2762=1,D2762=pas_data,E2762=pas_turno),10000-ROW(),"")</f>
        <v/>
      </c>
    </row>
    <row r="2763">
      <c r="A2763" s="3">
        <f>IF(D2763="","","TT-"&amp;TEXT(ROW()-1,"00000"))</f>
        <v/>
      </c>
      <c r="B2763" s="3">
        <f>IF(D2763="","",IF(V2763=0,"CONCLUÍDO",IF(D2763&lt;corte,"HISTÓRICO",IF(OR(AND(ISNUMBER(R2763),R2763&lt;TODAY()),AND(OR(N2763="PENDENTE",N2763="PARCIAL"),D2763&lt;TODAY()-1)),"CRÍTICO",IF(OR(AND(P2763&lt;&gt;"",S2763=""),AND(N2763="REALIZADO",M2763="PENDENTE"),AND(ISNUMBER(R2763),R2763=TODAY())),"ATENÇÃO",IF(N(K2763)=0,"PENDENTE","EM ANDAMENTO"))))))</f>
        <v/>
      </c>
      <c r="C2763" s="3">
        <f>IF(D2763="","",IF(V2763=0,"🟢 OK",IF(D2763&lt;corte,"⚪ HISTÓRICO (sem baixa)",IF(AND(ISNUMBER(R2763),R2763&lt;TODAY()),"🔴 PRAZO VENCIDO",IF(AND(OR(N2763="PENDENTE",N2763="PARCIAL"),D2763&lt;TODAY()-1),"🔴 EMBARQUE ATRASADO",IF(AND(N2763="REALIZADO",M2763="PENDENTE"),"🟡 EMBARCADO SEM FATURAR",IF(AND(P2763&lt;&gt;"",S2763="",OR(Q2763="",R2763="")),"🟡 PENDÊNCIA SEM RESPONSÁVEL/PRAZO",IF(AND(ISNUMBER(R2763),R2763=TODAY()),"🟡 VENCE HOJE",IF(AND(P2763&lt;&gt;"",S2763=""),"🟡 PENDÊNCIA ABERTA",IF(AND(N(J2763)&gt;0,N(K2763)&lt;J2763),"🟡 FALTA EXECUTAR",IF(OR(M2763="PENDENTE",M2763="PARCIAL"),"🟡 FATURAMENTO PENDENTE","🟡 EMBARQUE PENDENTE")))))))))))</f>
        <v/>
      </c>
      <c r="D2763" s="4" t="n"/>
      <c r="E2763" s="5" t="n"/>
      <c r="F2763" s="5" t="n"/>
      <c r="G2763" s="5" t="n"/>
      <c r="H2763" s="5" t="n"/>
      <c r="I2763" s="5" t="n"/>
      <c r="J2763" s="6" t="n"/>
      <c r="K2763" s="6" t="n"/>
      <c r="L2763" s="7">
        <f>IF(OR(D2763="",N(J2763)=0),"",MIN(1,N(K2763)/J2763))</f>
        <v/>
      </c>
      <c r="M2763" s="5" t="n"/>
      <c r="N2763" s="5" t="n"/>
      <c r="O2763" s="5" t="n"/>
      <c r="P2763" s="5" t="n"/>
      <c r="Q2763" s="5" t="n"/>
      <c r="R2763" s="4" t="n"/>
      <c r="S2763" s="4" t="n"/>
      <c r="T2763" s="5" t="n"/>
      <c r="U2763" s="8">
        <f>IF(AND(V2763=1,D2763&lt;&gt;""),IF(D2763&gt;=corte,TODAY()-D2763,""),"")</f>
        <v/>
      </c>
      <c r="V2763" s="8">
        <f>IF(D2763="",0,IF(OR(AND(P2763&lt;&gt;"",S2763=""),AND(N(J2763)&gt;0,N(K2763)&lt;J2763),OR(M2763="PENDENTE",M2763="PARCIAL"),OR(N2763="PENDENTE",N2763="PARCIAL")),1,0))</f>
        <v/>
      </c>
      <c r="W2763" s="8">
        <f>IF(AND(V2763=1,D2763&lt;&gt;""),IF(D2763&gt;=corte,(B2763="CRÍTICO")*1E9+(100000-D2763)*10000+10000-ROW(),""),"")</f>
        <v/>
      </c>
      <c r="X2763" s="8">
        <f>IF(AND(V2763=1,D2763=pas_data,E2763=pas_turno),10000-ROW(),"")</f>
        <v/>
      </c>
    </row>
    <row r="2764">
      <c r="A2764" s="3">
        <f>IF(D2764="","","TT-"&amp;TEXT(ROW()-1,"00000"))</f>
        <v/>
      </c>
      <c r="B2764" s="3">
        <f>IF(D2764="","",IF(V2764=0,"CONCLUÍDO",IF(D2764&lt;corte,"HISTÓRICO",IF(OR(AND(ISNUMBER(R2764),R2764&lt;TODAY()),AND(OR(N2764="PENDENTE",N2764="PARCIAL"),D2764&lt;TODAY()-1)),"CRÍTICO",IF(OR(AND(P2764&lt;&gt;"",S2764=""),AND(N2764="REALIZADO",M2764="PENDENTE"),AND(ISNUMBER(R2764),R2764=TODAY())),"ATENÇÃO",IF(N(K2764)=0,"PENDENTE","EM ANDAMENTO"))))))</f>
        <v/>
      </c>
      <c r="C2764" s="3">
        <f>IF(D2764="","",IF(V2764=0,"🟢 OK",IF(D2764&lt;corte,"⚪ HISTÓRICO (sem baixa)",IF(AND(ISNUMBER(R2764),R2764&lt;TODAY()),"🔴 PRAZO VENCIDO",IF(AND(OR(N2764="PENDENTE",N2764="PARCIAL"),D2764&lt;TODAY()-1),"🔴 EMBARQUE ATRASADO",IF(AND(N2764="REALIZADO",M2764="PENDENTE"),"🟡 EMBARCADO SEM FATURAR",IF(AND(P2764&lt;&gt;"",S2764="",OR(Q2764="",R2764="")),"🟡 PENDÊNCIA SEM RESPONSÁVEL/PRAZO",IF(AND(ISNUMBER(R2764),R2764=TODAY()),"🟡 VENCE HOJE",IF(AND(P2764&lt;&gt;"",S2764=""),"🟡 PENDÊNCIA ABERTA",IF(AND(N(J2764)&gt;0,N(K2764)&lt;J2764),"🟡 FALTA EXECUTAR",IF(OR(M2764="PENDENTE",M2764="PARCIAL"),"🟡 FATURAMENTO PENDENTE","🟡 EMBARQUE PENDENTE")))))))))))</f>
        <v/>
      </c>
      <c r="D2764" s="4" t="n"/>
      <c r="E2764" s="5" t="n"/>
      <c r="F2764" s="5" t="n"/>
      <c r="G2764" s="5" t="n"/>
      <c r="H2764" s="5" t="n"/>
      <c r="I2764" s="5" t="n"/>
      <c r="J2764" s="6" t="n"/>
      <c r="K2764" s="6" t="n"/>
      <c r="L2764" s="7">
        <f>IF(OR(D2764="",N(J2764)=0),"",MIN(1,N(K2764)/J2764))</f>
        <v/>
      </c>
      <c r="M2764" s="5" t="n"/>
      <c r="N2764" s="5" t="n"/>
      <c r="O2764" s="5" t="n"/>
      <c r="P2764" s="5" t="n"/>
      <c r="Q2764" s="5" t="n"/>
      <c r="R2764" s="4" t="n"/>
      <c r="S2764" s="4" t="n"/>
      <c r="T2764" s="5" t="n"/>
      <c r="U2764" s="8">
        <f>IF(AND(V2764=1,D2764&lt;&gt;""),IF(D2764&gt;=corte,TODAY()-D2764,""),"")</f>
        <v/>
      </c>
      <c r="V2764" s="8">
        <f>IF(D2764="",0,IF(OR(AND(P2764&lt;&gt;"",S2764=""),AND(N(J2764)&gt;0,N(K2764)&lt;J2764),OR(M2764="PENDENTE",M2764="PARCIAL"),OR(N2764="PENDENTE",N2764="PARCIAL")),1,0))</f>
        <v/>
      </c>
      <c r="W2764" s="8">
        <f>IF(AND(V2764=1,D2764&lt;&gt;""),IF(D2764&gt;=corte,(B2764="CRÍTICO")*1E9+(100000-D2764)*10000+10000-ROW(),""),"")</f>
        <v/>
      </c>
      <c r="X2764" s="8">
        <f>IF(AND(V2764=1,D2764=pas_data,E2764=pas_turno),10000-ROW(),"")</f>
        <v/>
      </c>
    </row>
    <row r="2765">
      <c r="A2765" s="3">
        <f>IF(D2765="","","TT-"&amp;TEXT(ROW()-1,"00000"))</f>
        <v/>
      </c>
      <c r="B2765" s="3">
        <f>IF(D2765="","",IF(V2765=0,"CONCLUÍDO",IF(D2765&lt;corte,"HISTÓRICO",IF(OR(AND(ISNUMBER(R2765),R2765&lt;TODAY()),AND(OR(N2765="PENDENTE",N2765="PARCIAL"),D2765&lt;TODAY()-1)),"CRÍTICO",IF(OR(AND(P2765&lt;&gt;"",S2765=""),AND(N2765="REALIZADO",M2765="PENDENTE"),AND(ISNUMBER(R2765),R2765=TODAY())),"ATENÇÃO",IF(N(K2765)=0,"PENDENTE","EM ANDAMENTO"))))))</f>
        <v/>
      </c>
      <c r="C2765" s="3">
        <f>IF(D2765="","",IF(V2765=0,"🟢 OK",IF(D2765&lt;corte,"⚪ HISTÓRICO (sem baixa)",IF(AND(ISNUMBER(R2765),R2765&lt;TODAY()),"🔴 PRAZO VENCIDO",IF(AND(OR(N2765="PENDENTE",N2765="PARCIAL"),D2765&lt;TODAY()-1),"🔴 EMBARQUE ATRASADO",IF(AND(N2765="REALIZADO",M2765="PENDENTE"),"🟡 EMBARCADO SEM FATURAR",IF(AND(P2765&lt;&gt;"",S2765="",OR(Q2765="",R2765="")),"🟡 PENDÊNCIA SEM RESPONSÁVEL/PRAZO",IF(AND(ISNUMBER(R2765),R2765=TODAY()),"🟡 VENCE HOJE",IF(AND(P2765&lt;&gt;"",S2765=""),"🟡 PENDÊNCIA ABERTA",IF(AND(N(J2765)&gt;0,N(K2765)&lt;J2765),"🟡 FALTA EXECUTAR",IF(OR(M2765="PENDENTE",M2765="PARCIAL"),"🟡 FATURAMENTO PENDENTE","🟡 EMBARQUE PENDENTE")))))))))))</f>
        <v/>
      </c>
      <c r="D2765" s="4" t="n"/>
      <c r="E2765" s="5" t="n"/>
      <c r="F2765" s="5" t="n"/>
      <c r="G2765" s="5" t="n"/>
      <c r="H2765" s="5" t="n"/>
      <c r="I2765" s="5" t="n"/>
      <c r="J2765" s="6" t="n"/>
      <c r="K2765" s="6" t="n"/>
      <c r="L2765" s="7">
        <f>IF(OR(D2765="",N(J2765)=0),"",MIN(1,N(K2765)/J2765))</f>
        <v/>
      </c>
      <c r="M2765" s="5" t="n"/>
      <c r="N2765" s="5" t="n"/>
      <c r="O2765" s="5" t="n"/>
      <c r="P2765" s="5" t="n"/>
      <c r="Q2765" s="5" t="n"/>
      <c r="R2765" s="4" t="n"/>
      <c r="S2765" s="4" t="n"/>
      <c r="T2765" s="5" t="n"/>
      <c r="U2765" s="8">
        <f>IF(AND(V2765=1,D2765&lt;&gt;""),IF(D2765&gt;=corte,TODAY()-D2765,""),"")</f>
        <v/>
      </c>
      <c r="V2765" s="8">
        <f>IF(D2765="",0,IF(OR(AND(P2765&lt;&gt;"",S2765=""),AND(N(J2765)&gt;0,N(K2765)&lt;J2765),OR(M2765="PENDENTE",M2765="PARCIAL"),OR(N2765="PENDENTE",N2765="PARCIAL")),1,0))</f>
        <v/>
      </c>
      <c r="W2765" s="8">
        <f>IF(AND(V2765=1,D2765&lt;&gt;""),IF(D2765&gt;=corte,(B2765="CRÍTICO")*1E9+(100000-D2765)*10000+10000-ROW(),""),"")</f>
        <v/>
      </c>
      <c r="X2765" s="8">
        <f>IF(AND(V2765=1,D2765=pas_data,E2765=pas_turno),10000-ROW(),"")</f>
        <v/>
      </c>
    </row>
    <row r="2766">
      <c r="A2766" s="3">
        <f>IF(D2766="","","TT-"&amp;TEXT(ROW()-1,"00000"))</f>
        <v/>
      </c>
      <c r="B2766" s="3">
        <f>IF(D2766="","",IF(V2766=0,"CONCLUÍDO",IF(D2766&lt;corte,"HISTÓRICO",IF(OR(AND(ISNUMBER(R2766),R2766&lt;TODAY()),AND(OR(N2766="PENDENTE",N2766="PARCIAL"),D2766&lt;TODAY()-1)),"CRÍTICO",IF(OR(AND(P2766&lt;&gt;"",S2766=""),AND(N2766="REALIZADO",M2766="PENDENTE"),AND(ISNUMBER(R2766),R2766=TODAY())),"ATENÇÃO",IF(N(K2766)=0,"PENDENTE","EM ANDAMENTO"))))))</f>
        <v/>
      </c>
      <c r="C2766" s="3">
        <f>IF(D2766="","",IF(V2766=0,"🟢 OK",IF(D2766&lt;corte,"⚪ HISTÓRICO (sem baixa)",IF(AND(ISNUMBER(R2766),R2766&lt;TODAY()),"🔴 PRAZO VENCIDO",IF(AND(OR(N2766="PENDENTE",N2766="PARCIAL"),D2766&lt;TODAY()-1),"🔴 EMBARQUE ATRASADO",IF(AND(N2766="REALIZADO",M2766="PENDENTE"),"🟡 EMBARCADO SEM FATURAR",IF(AND(P2766&lt;&gt;"",S2766="",OR(Q2766="",R2766="")),"🟡 PENDÊNCIA SEM RESPONSÁVEL/PRAZO",IF(AND(ISNUMBER(R2766),R2766=TODAY()),"🟡 VENCE HOJE",IF(AND(P2766&lt;&gt;"",S2766=""),"🟡 PENDÊNCIA ABERTA",IF(AND(N(J2766)&gt;0,N(K2766)&lt;J2766),"🟡 FALTA EXECUTAR",IF(OR(M2766="PENDENTE",M2766="PARCIAL"),"🟡 FATURAMENTO PENDENTE","🟡 EMBARQUE PENDENTE")))))))))))</f>
        <v/>
      </c>
      <c r="D2766" s="4" t="n"/>
      <c r="E2766" s="5" t="n"/>
      <c r="F2766" s="5" t="n"/>
      <c r="G2766" s="5" t="n"/>
      <c r="H2766" s="5" t="n"/>
      <c r="I2766" s="5" t="n"/>
      <c r="J2766" s="6" t="n"/>
      <c r="K2766" s="6" t="n"/>
      <c r="L2766" s="7">
        <f>IF(OR(D2766="",N(J2766)=0),"",MIN(1,N(K2766)/J2766))</f>
        <v/>
      </c>
      <c r="M2766" s="5" t="n"/>
      <c r="N2766" s="5" t="n"/>
      <c r="O2766" s="5" t="n"/>
      <c r="P2766" s="5" t="n"/>
      <c r="Q2766" s="5" t="n"/>
      <c r="R2766" s="4" t="n"/>
      <c r="S2766" s="4" t="n"/>
      <c r="T2766" s="5" t="n"/>
      <c r="U2766" s="8">
        <f>IF(AND(V2766=1,D2766&lt;&gt;""),IF(D2766&gt;=corte,TODAY()-D2766,""),"")</f>
        <v/>
      </c>
      <c r="V2766" s="8">
        <f>IF(D2766="",0,IF(OR(AND(P2766&lt;&gt;"",S2766=""),AND(N(J2766)&gt;0,N(K2766)&lt;J2766),OR(M2766="PENDENTE",M2766="PARCIAL"),OR(N2766="PENDENTE",N2766="PARCIAL")),1,0))</f>
        <v/>
      </c>
      <c r="W2766" s="8">
        <f>IF(AND(V2766=1,D2766&lt;&gt;""),IF(D2766&gt;=corte,(B2766="CRÍTICO")*1E9+(100000-D2766)*10000+10000-ROW(),""),"")</f>
        <v/>
      </c>
      <c r="X2766" s="8">
        <f>IF(AND(V2766=1,D2766=pas_data,E2766=pas_turno),10000-ROW(),"")</f>
        <v/>
      </c>
    </row>
    <row r="2767">
      <c r="A2767" s="3">
        <f>IF(D2767="","","TT-"&amp;TEXT(ROW()-1,"00000"))</f>
        <v/>
      </c>
      <c r="B2767" s="3">
        <f>IF(D2767="","",IF(V2767=0,"CONCLUÍDO",IF(D2767&lt;corte,"HISTÓRICO",IF(OR(AND(ISNUMBER(R2767),R2767&lt;TODAY()),AND(OR(N2767="PENDENTE",N2767="PARCIAL"),D2767&lt;TODAY()-1)),"CRÍTICO",IF(OR(AND(P2767&lt;&gt;"",S2767=""),AND(N2767="REALIZADO",M2767="PENDENTE"),AND(ISNUMBER(R2767),R2767=TODAY())),"ATENÇÃO",IF(N(K2767)=0,"PENDENTE","EM ANDAMENTO"))))))</f>
        <v/>
      </c>
      <c r="C2767" s="3">
        <f>IF(D2767="","",IF(V2767=0,"🟢 OK",IF(D2767&lt;corte,"⚪ HISTÓRICO (sem baixa)",IF(AND(ISNUMBER(R2767),R2767&lt;TODAY()),"🔴 PRAZO VENCIDO",IF(AND(OR(N2767="PENDENTE",N2767="PARCIAL"),D2767&lt;TODAY()-1),"🔴 EMBARQUE ATRASADO",IF(AND(N2767="REALIZADO",M2767="PENDENTE"),"🟡 EMBARCADO SEM FATURAR",IF(AND(P2767&lt;&gt;"",S2767="",OR(Q2767="",R2767="")),"🟡 PENDÊNCIA SEM RESPONSÁVEL/PRAZO",IF(AND(ISNUMBER(R2767),R2767=TODAY()),"🟡 VENCE HOJE",IF(AND(P2767&lt;&gt;"",S2767=""),"🟡 PENDÊNCIA ABERTA",IF(AND(N(J2767)&gt;0,N(K2767)&lt;J2767),"🟡 FALTA EXECUTAR",IF(OR(M2767="PENDENTE",M2767="PARCIAL"),"🟡 FATURAMENTO PENDENTE","🟡 EMBARQUE PENDENTE")))))))))))</f>
        <v/>
      </c>
      <c r="D2767" s="4" t="n"/>
      <c r="E2767" s="5" t="n"/>
      <c r="F2767" s="5" t="n"/>
      <c r="G2767" s="5" t="n"/>
      <c r="H2767" s="5" t="n"/>
      <c r="I2767" s="5" t="n"/>
      <c r="J2767" s="6" t="n"/>
      <c r="K2767" s="6" t="n"/>
      <c r="L2767" s="7">
        <f>IF(OR(D2767="",N(J2767)=0),"",MIN(1,N(K2767)/J2767))</f>
        <v/>
      </c>
      <c r="M2767" s="5" t="n"/>
      <c r="N2767" s="5" t="n"/>
      <c r="O2767" s="5" t="n"/>
      <c r="P2767" s="5" t="n"/>
      <c r="Q2767" s="5" t="n"/>
      <c r="R2767" s="4" t="n"/>
      <c r="S2767" s="4" t="n"/>
      <c r="T2767" s="5" t="n"/>
      <c r="U2767" s="8">
        <f>IF(AND(V2767=1,D2767&lt;&gt;""),IF(D2767&gt;=corte,TODAY()-D2767,""),"")</f>
        <v/>
      </c>
      <c r="V2767" s="8">
        <f>IF(D2767="",0,IF(OR(AND(P2767&lt;&gt;"",S2767=""),AND(N(J2767)&gt;0,N(K2767)&lt;J2767),OR(M2767="PENDENTE",M2767="PARCIAL"),OR(N2767="PENDENTE",N2767="PARCIAL")),1,0))</f>
        <v/>
      </c>
      <c r="W2767" s="8">
        <f>IF(AND(V2767=1,D2767&lt;&gt;""),IF(D2767&gt;=corte,(B2767="CRÍTICO")*1E9+(100000-D2767)*10000+10000-ROW(),""),"")</f>
        <v/>
      </c>
      <c r="X2767" s="8">
        <f>IF(AND(V2767=1,D2767=pas_data,E2767=pas_turno),10000-ROW(),"")</f>
        <v/>
      </c>
    </row>
    <row r="2768">
      <c r="A2768" s="3">
        <f>IF(D2768="","","TT-"&amp;TEXT(ROW()-1,"00000"))</f>
        <v/>
      </c>
      <c r="B2768" s="3">
        <f>IF(D2768="","",IF(V2768=0,"CONCLUÍDO",IF(D2768&lt;corte,"HISTÓRICO",IF(OR(AND(ISNUMBER(R2768),R2768&lt;TODAY()),AND(OR(N2768="PENDENTE",N2768="PARCIAL"),D2768&lt;TODAY()-1)),"CRÍTICO",IF(OR(AND(P2768&lt;&gt;"",S2768=""),AND(N2768="REALIZADO",M2768="PENDENTE"),AND(ISNUMBER(R2768),R2768=TODAY())),"ATENÇÃO",IF(N(K2768)=0,"PENDENTE","EM ANDAMENTO"))))))</f>
        <v/>
      </c>
      <c r="C2768" s="3">
        <f>IF(D2768="","",IF(V2768=0,"🟢 OK",IF(D2768&lt;corte,"⚪ HISTÓRICO (sem baixa)",IF(AND(ISNUMBER(R2768),R2768&lt;TODAY()),"🔴 PRAZO VENCIDO",IF(AND(OR(N2768="PENDENTE",N2768="PARCIAL"),D2768&lt;TODAY()-1),"🔴 EMBARQUE ATRASADO",IF(AND(N2768="REALIZADO",M2768="PENDENTE"),"🟡 EMBARCADO SEM FATURAR",IF(AND(P2768&lt;&gt;"",S2768="",OR(Q2768="",R2768="")),"🟡 PENDÊNCIA SEM RESPONSÁVEL/PRAZO",IF(AND(ISNUMBER(R2768),R2768=TODAY()),"🟡 VENCE HOJE",IF(AND(P2768&lt;&gt;"",S2768=""),"🟡 PENDÊNCIA ABERTA",IF(AND(N(J2768)&gt;0,N(K2768)&lt;J2768),"🟡 FALTA EXECUTAR",IF(OR(M2768="PENDENTE",M2768="PARCIAL"),"🟡 FATURAMENTO PENDENTE","🟡 EMBARQUE PENDENTE")))))))))))</f>
        <v/>
      </c>
      <c r="D2768" s="4" t="n"/>
      <c r="E2768" s="5" t="n"/>
      <c r="F2768" s="5" t="n"/>
      <c r="G2768" s="5" t="n"/>
      <c r="H2768" s="5" t="n"/>
      <c r="I2768" s="5" t="n"/>
      <c r="J2768" s="6" t="n"/>
      <c r="K2768" s="6" t="n"/>
      <c r="L2768" s="7">
        <f>IF(OR(D2768="",N(J2768)=0),"",MIN(1,N(K2768)/J2768))</f>
        <v/>
      </c>
      <c r="M2768" s="5" t="n"/>
      <c r="N2768" s="5" t="n"/>
      <c r="O2768" s="5" t="n"/>
      <c r="P2768" s="5" t="n"/>
      <c r="Q2768" s="5" t="n"/>
      <c r="R2768" s="4" t="n"/>
      <c r="S2768" s="4" t="n"/>
      <c r="T2768" s="5" t="n"/>
      <c r="U2768" s="8">
        <f>IF(AND(V2768=1,D2768&lt;&gt;""),IF(D2768&gt;=corte,TODAY()-D2768,""),"")</f>
        <v/>
      </c>
      <c r="V2768" s="8">
        <f>IF(D2768="",0,IF(OR(AND(P2768&lt;&gt;"",S2768=""),AND(N(J2768)&gt;0,N(K2768)&lt;J2768),OR(M2768="PENDENTE",M2768="PARCIAL"),OR(N2768="PENDENTE",N2768="PARCIAL")),1,0))</f>
        <v/>
      </c>
      <c r="W2768" s="8">
        <f>IF(AND(V2768=1,D2768&lt;&gt;""),IF(D2768&gt;=corte,(B2768="CRÍTICO")*1E9+(100000-D2768)*10000+10000-ROW(),""),"")</f>
        <v/>
      </c>
      <c r="X2768" s="8">
        <f>IF(AND(V2768=1,D2768=pas_data,E2768=pas_turno),10000-ROW(),"")</f>
        <v/>
      </c>
    </row>
    <row r="2769">
      <c r="A2769" s="3">
        <f>IF(D2769="","","TT-"&amp;TEXT(ROW()-1,"00000"))</f>
        <v/>
      </c>
      <c r="B2769" s="3">
        <f>IF(D2769="","",IF(V2769=0,"CONCLUÍDO",IF(D2769&lt;corte,"HISTÓRICO",IF(OR(AND(ISNUMBER(R2769),R2769&lt;TODAY()),AND(OR(N2769="PENDENTE",N2769="PARCIAL"),D2769&lt;TODAY()-1)),"CRÍTICO",IF(OR(AND(P2769&lt;&gt;"",S2769=""),AND(N2769="REALIZADO",M2769="PENDENTE"),AND(ISNUMBER(R2769),R2769=TODAY())),"ATENÇÃO",IF(N(K2769)=0,"PENDENTE","EM ANDAMENTO"))))))</f>
        <v/>
      </c>
      <c r="C2769" s="3">
        <f>IF(D2769="","",IF(V2769=0,"🟢 OK",IF(D2769&lt;corte,"⚪ HISTÓRICO (sem baixa)",IF(AND(ISNUMBER(R2769),R2769&lt;TODAY()),"🔴 PRAZO VENCIDO",IF(AND(OR(N2769="PENDENTE",N2769="PARCIAL"),D2769&lt;TODAY()-1),"🔴 EMBARQUE ATRASADO",IF(AND(N2769="REALIZADO",M2769="PENDENTE"),"🟡 EMBARCADO SEM FATURAR",IF(AND(P2769&lt;&gt;"",S2769="",OR(Q2769="",R2769="")),"🟡 PENDÊNCIA SEM RESPONSÁVEL/PRAZO",IF(AND(ISNUMBER(R2769),R2769=TODAY()),"🟡 VENCE HOJE",IF(AND(P2769&lt;&gt;"",S2769=""),"🟡 PENDÊNCIA ABERTA",IF(AND(N(J2769)&gt;0,N(K2769)&lt;J2769),"🟡 FALTA EXECUTAR",IF(OR(M2769="PENDENTE",M2769="PARCIAL"),"🟡 FATURAMENTO PENDENTE","🟡 EMBARQUE PENDENTE")))))))))))</f>
        <v/>
      </c>
      <c r="D2769" s="4" t="n"/>
      <c r="E2769" s="5" t="n"/>
      <c r="F2769" s="5" t="n"/>
      <c r="G2769" s="5" t="n"/>
      <c r="H2769" s="5" t="n"/>
      <c r="I2769" s="5" t="n"/>
      <c r="J2769" s="6" t="n"/>
      <c r="K2769" s="6" t="n"/>
      <c r="L2769" s="7">
        <f>IF(OR(D2769="",N(J2769)=0),"",MIN(1,N(K2769)/J2769))</f>
        <v/>
      </c>
      <c r="M2769" s="5" t="n"/>
      <c r="N2769" s="5" t="n"/>
      <c r="O2769" s="5" t="n"/>
      <c r="P2769" s="5" t="n"/>
      <c r="Q2769" s="5" t="n"/>
      <c r="R2769" s="4" t="n"/>
      <c r="S2769" s="4" t="n"/>
      <c r="T2769" s="5" t="n"/>
      <c r="U2769" s="8">
        <f>IF(AND(V2769=1,D2769&lt;&gt;""),IF(D2769&gt;=corte,TODAY()-D2769,""),"")</f>
        <v/>
      </c>
      <c r="V2769" s="8">
        <f>IF(D2769="",0,IF(OR(AND(P2769&lt;&gt;"",S2769=""),AND(N(J2769)&gt;0,N(K2769)&lt;J2769),OR(M2769="PENDENTE",M2769="PARCIAL"),OR(N2769="PENDENTE",N2769="PARCIAL")),1,0))</f>
        <v/>
      </c>
      <c r="W2769" s="8">
        <f>IF(AND(V2769=1,D2769&lt;&gt;""),IF(D2769&gt;=corte,(B2769="CRÍTICO")*1E9+(100000-D2769)*10000+10000-ROW(),""),"")</f>
        <v/>
      </c>
      <c r="X2769" s="8">
        <f>IF(AND(V2769=1,D2769=pas_data,E2769=pas_turno),10000-ROW(),"")</f>
        <v/>
      </c>
    </row>
    <row r="2770">
      <c r="A2770" s="3">
        <f>IF(D2770="","","TT-"&amp;TEXT(ROW()-1,"00000"))</f>
        <v/>
      </c>
      <c r="B2770" s="3">
        <f>IF(D2770="","",IF(V2770=0,"CONCLUÍDO",IF(D2770&lt;corte,"HISTÓRICO",IF(OR(AND(ISNUMBER(R2770),R2770&lt;TODAY()),AND(OR(N2770="PENDENTE",N2770="PARCIAL"),D2770&lt;TODAY()-1)),"CRÍTICO",IF(OR(AND(P2770&lt;&gt;"",S2770=""),AND(N2770="REALIZADO",M2770="PENDENTE"),AND(ISNUMBER(R2770),R2770=TODAY())),"ATENÇÃO",IF(N(K2770)=0,"PENDENTE","EM ANDAMENTO"))))))</f>
        <v/>
      </c>
      <c r="C2770" s="3">
        <f>IF(D2770="","",IF(V2770=0,"🟢 OK",IF(D2770&lt;corte,"⚪ HISTÓRICO (sem baixa)",IF(AND(ISNUMBER(R2770),R2770&lt;TODAY()),"🔴 PRAZO VENCIDO",IF(AND(OR(N2770="PENDENTE",N2770="PARCIAL"),D2770&lt;TODAY()-1),"🔴 EMBARQUE ATRASADO",IF(AND(N2770="REALIZADO",M2770="PENDENTE"),"🟡 EMBARCADO SEM FATURAR",IF(AND(P2770&lt;&gt;"",S2770="",OR(Q2770="",R2770="")),"🟡 PENDÊNCIA SEM RESPONSÁVEL/PRAZO",IF(AND(ISNUMBER(R2770),R2770=TODAY()),"🟡 VENCE HOJE",IF(AND(P2770&lt;&gt;"",S2770=""),"🟡 PENDÊNCIA ABERTA",IF(AND(N(J2770)&gt;0,N(K2770)&lt;J2770),"🟡 FALTA EXECUTAR",IF(OR(M2770="PENDENTE",M2770="PARCIAL"),"🟡 FATURAMENTO PENDENTE","🟡 EMBARQUE PENDENTE")))))))))))</f>
        <v/>
      </c>
      <c r="D2770" s="4" t="n"/>
      <c r="E2770" s="5" t="n"/>
      <c r="F2770" s="5" t="n"/>
      <c r="G2770" s="5" t="n"/>
      <c r="H2770" s="5" t="n"/>
      <c r="I2770" s="5" t="n"/>
      <c r="J2770" s="6" t="n"/>
      <c r="K2770" s="6" t="n"/>
      <c r="L2770" s="7">
        <f>IF(OR(D2770="",N(J2770)=0),"",MIN(1,N(K2770)/J2770))</f>
        <v/>
      </c>
      <c r="M2770" s="5" t="n"/>
      <c r="N2770" s="5" t="n"/>
      <c r="O2770" s="5" t="n"/>
      <c r="P2770" s="5" t="n"/>
      <c r="Q2770" s="5" t="n"/>
      <c r="R2770" s="4" t="n"/>
      <c r="S2770" s="4" t="n"/>
      <c r="T2770" s="5" t="n"/>
      <c r="U2770" s="8">
        <f>IF(AND(V2770=1,D2770&lt;&gt;""),IF(D2770&gt;=corte,TODAY()-D2770,""),"")</f>
        <v/>
      </c>
      <c r="V2770" s="8">
        <f>IF(D2770="",0,IF(OR(AND(P2770&lt;&gt;"",S2770=""),AND(N(J2770)&gt;0,N(K2770)&lt;J2770),OR(M2770="PENDENTE",M2770="PARCIAL"),OR(N2770="PENDENTE",N2770="PARCIAL")),1,0))</f>
        <v/>
      </c>
      <c r="W2770" s="8">
        <f>IF(AND(V2770=1,D2770&lt;&gt;""),IF(D2770&gt;=corte,(B2770="CRÍTICO")*1E9+(100000-D2770)*10000+10000-ROW(),""),"")</f>
        <v/>
      </c>
      <c r="X2770" s="8">
        <f>IF(AND(V2770=1,D2770=pas_data,E2770=pas_turno),10000-ROW(),"")</f>
        <v/>
      </c>
    </row>
    <row r="2771">
      <c r="A2771" s="3">
        <f>IF(D2771="","","TT-"&amp;TEXT(ROW()-1,"00000"))</f>
        <v/>
      </c>
      <c r="B2771" s="3">
        <f>IF(D2771="","",IF(V2771=0,"CONCLUÍDO",IF(D2771&lt;corte,"HISTÓRICO",IF(OR(AND(ISNUMBER(R2771),R2771&lt;TODAY()),AND(OR(N2771="PENDENTE",N2771="PARCIAL"),D2771&lt;TODAY()-1)),"CRÍTICO",IF(OR(AND(P2771&lt;&gt;"",S2771=""),AND(N2771="REALIZADO",M2771="PENDENTE"),AND(ISNUMBER(R2771),R2771=TODAY())),"ATENÇÃO",IF(N(K2771)=0,"PENDENTE","EM ANDAMENTO"))))))</f>
        <v/>
      </c>
      <c r="C2771" s="3">
        <f>IF(D2771="","",IF(V2771=0,"🟢 OK",IF(D2771&lt;corte,"⚪ HISTÓRICO (sem baixa)",IF(AND(ISNUMBER(R2771),R2771&lt;TODAY()),"🔴 PRAZO VENCIDO",IF(AND(OR(N2771="PENDENTE",N2771="PARCIAL"),D2771&lt;TODAY()-1),"🔴 EMBARQUE ATRASADO",IF(AND(N2771="REALIZADO",M2771="PENDENTE"),"🟡 EMBARCADO SEM FATURAR",IF(AND(P2771&lt;&gt;"",S2771="",OR(Q2771="",R2771="")),"🟡 PENDÊNCIA SEM RESPONSÁVEL/PRAZO",IF(AND(ISNUMBER(R2771),R2771=TODAY()),"🟡 VENCE HOJE",IF(AND(P2771&lt;&gt;"",S2771=""),"🟡 PENDÊNCIA ABERTA",IF(AND(N(J2771)&gt;0,N(K2771)&lt;J2771),"🟡 FALTA EXECUTAR",IF(OR(M2771="PENDENTE",M2771="PARCIAL"),"🟡 FATURAMENTO PENDENTE","🟡 EMBARQUE PENDENTE")))))))))))</f>
        <v/>
      </c>
      <c r="D2771" s="4" t="n"/>
      <c r="E2771" s="5" t="n"/>
      <c r="F2771" s="5" t="n"/>
      <c r="G2771" s="5" t="n"/>
      <c r="H2771" s="5" t="n"/>
      <c r="I2771" s="5" t="n"/>
      <c r="J2771" s="6" t="n"/>
      <c r="K2771" s="6" t="n"/>
      <c r="L2771" s="7">
        <f>IF(OR(D2771="",N(J2771)=0),"",MIN(1,N(K2771)/J2771))</f>
        <v/>
      </c>
      <c r="M2771" s="5" t="n"/>
      <c r="N2771" s="5" t="n"/>
      <c r="O2771" s="5" t="n"/>
      <c r="P2771" s="5" t="n"/>
      <c r="Q2771" s="5" t="n"/>
      <c r="R2771" s="4" t="n"/>
      <c r="S2771" s="4" t="n"/>
      <c r="T2771" s="5" t="n"/>
      <c r="U2771" s="8">
        <f>IF(AND(V2771=1,D2771&lt;&gt;""),IF(D2771&gt;=corte,TODAY()-D2771,""),"")</f>
        <v/>
      </c>
      <c r="V2771" s="8">
        <f>IF(D2771="",0,IF(OR(AND(P2771&lt;&gt;"",S2771=""),AND(N(J2771)&gt;0,N(K2771)&lt;J2771),OR(M2771="PENDENTE",M2771="PARCIAL"),OR(N2771="PENDENTE",N2771="PARCIAL")),1,0))</f>
        <v/>
      </c>
      <c r="W2771" s="8">
        <f>IF(AND(V2771=1,D2771&lt;&gt;""),IF(D2771&gt;=corte,(B2771="CRÍTICO")*1E9+(100000-D2771)*10000+10000-ROW(),""),"")</f>
        <v/>
      </c>
      <c r="X2771" s="8">
        <f>IF(AND(V2771=1,D2771=pas_data,E2771=pas_turno),10000-ROW(),"")</f>
        <v/>
      </c>
    </row>
    <row r="2772">
      <c r="A2772" s="3">
        <f>IF(D2772="","","TT-"&amp;TEXT(ROW()-1,"00000"))</f>
        <v/>
      </c>
      <c r="B2772" s="3">
        <f>IF(D2772="","",IF(V2772=0,"CONCLUÍDO",IF(D2772&lt;corte,"HISTÓRICO",IF(OR(AND(ISNUMBER(R2772),R2772&lt;TODAY()),AND(OR(N2772="PENDENTE",N2772="PARCIAL"),D2772&lt;TODAY()-1)),"CRÍTICO",IF(OR(AND(P2772&lt;&gt;"",S2772=""),AND(N2772="REALIZADO",M2772="PENDENTE"),AND(ISNUMBER(R2772),R2772=TODAY())),"ATENÇÃO",IF(N(K2772)=0,"PENDENTE","EM ANDAMENTO"))))))</f>
        <v/>
      </c>
      <c r="C2772" s="3">
        <f>IF(D2772="","",IF(V2772=0,"🟢 OK",IF(D2772&lt;corte,"⚪ HISTÓRICO (sem baixa)",IF(AND(ISNUMBER(R2772),R2772&lt;TODAY()),"🔴 PRAZO VENCIDO",IF(AND(OR(N2772="PENDENTE",N2772="PARCIAL"),D2772&lt;TODAY()-1),"🔴 EMBARQUE ATRASADO",IF(AND(N2772="REALIZADO",M2772="PENDENTE"),"🟡 EMBARCADO SEM FATURAR",IF(AND(P2772&lt;&gt;"",S2772="",OR(Q2772="",R2772="")),"🟡 PENDÊNCIA SEM RESPONSÁVEL/PRAZO",IF(AND(ISNUMBER(R2772),R2772=TODAY()),"🟡 VENCE HOJE",IF(AND(P2772&lt;&gt;"",S2772=""),"🟡 PENDÊNCIA ABERTA",IF(AND(N(J2772)&gt;0,N(K2772)&lt;J2772),"🟡 FALTA EXECUTAR",IF(OR(M2772="PENDENTE",M2772="PARCIAL"),"🟡 FATURAMENTO PENDENTE","🟡 EMBARQUE PENDENTE")))))))))))</f>
        <v/>
      </c>
      <c r="D2772" s="4" t="n"/>
      <c r="E2772" s="5" t="n"/>
      <c r="F2772" s="5" t="n"/>
      <c r="G2772" s="5" t="n"/>
      <c r="H2772" s="5" t="n"/>
      <c r="I2772" s="5" t="n"/>
      <c r="J2772" s="6" t="n"/>
      <c r="K2772" s="6" t="n"/>
      <c r="L2772" s="7">
        <f>IF(OR(D2772="",N(J2772)=0),"",MIN(1,N(K2772)/J2772))</f>
        <v/>
      </c>
      <c r="M2772" s="5" t="n"/>
      <c r="N2772" s="5" t="n"/>
      <c r="O2772" s="5" t="n"/>
      <c r="P2772" s="5" t="n"/>
      <c r="Q2772" s="5" t="n"/>
      <c r="R2772" s="4" t="n"/>
      <c r="S2772" s="4" t="n"/>
      <c r="T2772" s="5" t="n"/>
      <c r="U2772" s="8">
        <f>IF(AND(V2772=1,D2772&lt;&gt;""),IF(D2772&gt;=corte,TODAY()-D2772,""),"")</f>
        <v/>
      </c>
      <c r="V2772" s="8">
        <f>IF(D2772="",0,IF(OR(AND(P2772&lt;&gt;"",S2772=""),AND(N(J2772)&gt;0,N(K2772)&lt;J2772),OR(M2772="PENDENTE",M2772="PARCIAL"),OR(N2772="PENDENTE",N2772="PARCIAL")),1,0))</f>
        <v/>
      </c>
      <c r="W2772" s="8">
        <f>IF(AND(V2772=1,D2772&lt;&gt;""),IF(D2772&gt;=corte,(B2772="CRÍTICO")*1E9+(100000-D2772)*10000+10000-ROW(),""),"")</f>
        <v/>
      </c>
      <c r="X2772" s="8">
        <f>IF(AND(V2772=1,D2772=pas_data,E2772=pas_turno),10000-ROW(),"")</f>
        <v/>
      </c>
    </row>
    <row r="2773">
      <c r="A2773" s="3">
        <f>IF(D2773="","","TT-"&amp;TEXT(ROW()-1,"00000"))</f>
        <v/>
      </c>
      <c r="B2773" s="3">
        <f>IF(D2773="","",IF(V2773=0,"CONCLUÍDO",IF(D2773&lt;corte,"HISTÓRICO",IF(OR(AND(ISNUMBER(R2773),R2773&lt;TODAY()),AND(OR(N2773="PENDENTE",N2773="PARCIAL"),D2773&lt;TODAY()-1)),"CRÍTICO",IF(OR(AND(P2773&lt;&gt;"",S2773=""),AND(N2773="REALIZADO",M2773="PENDENTE"),AND(ISNUMBER(R2773),R2773=TODAY())),"ATENÇÃO",IF(N(K2773)=0,"PENDENTE","EM ANDAMENTO"))))))</f>
        <v/>
      </c>
      <c r="C2773" s="3">
        <f>IF(D2773="","",IF(V2773=0,"🟢 OK",IF(D2773&lt;corte,"⚪ HISTÓRICO (sem baixa)",IF(AND(ISNUMBER(R2773),R2773&lt;TODAY()),"🔴 PRAZO VENCIDO",IF(AND(OR(N2773="PENDENTE",N2773="PARCIAL"),D2773&lt;TODAY()-1),"🔴 EMBARQUE ATRASADO",IF(AND(N2773="REALIZADO",M2773="PENDENTE"),"🟡 EMBARCADO SEM FATURAR",IF(AND(P2773&lt;&gt;"",S2773="",OR(Q2773="",R2773="")),"🟡 PENDÊNCIA SEM RESPONSÁVEL/PRAZO",IF(AND(ISNUMBER(R2773),R2773=TODAY()),"🟡 VENCE HOJE",IF(AND(P2773&lt;&gt;"",S2773=""),"🟡 PENDÊNCIA ABERTA",IF(AND(N(J2773)&gt;0,N(K2773)&lt;J2773),"🟡 FALTA EXECUTAR",IF(OR(M2773="PENDENTE",M2773="PARCIAL"),"🟡 FATURAMENTO PENDENTE","🟡 EMBARQUE PENDENTE")))))))))))</f>
        <v/>
      </c>
      <c r="D2773" s="4" t="n"/>
      <c r="E2773" s="5" t="n"/>
      <c r="F2773" s="5" t="n"/>
      <c r="G2773" s="5" t="n"/>
      <c r="H2773" s="5" t="n"/>
      <c r="I2773" s="5" t="n"/>
      <c r="J2773" s="6" t="n"/>
      <c r="K2773" s="6" t="n"/>
      <c r="L2773" s="7">
        <f>IF(OR(D2773="",N(J2773)=0),"",MIN(1,N(K2773)/J2773))</f>
        <v/>
      </c>
      <c r="M2773" s="5" t="n"/>
      <c r="N2773" s="5" t="n"/>
      <c r="O2773" s="5" t="n"/>
      <c r="P2773" s="5" t="n"/>
      <c r="Q2773" s="5" t="n"/>
      <c r="R2773" s="4" t="n"/>
      <c r="S2773" s="4" t="n"/>
      <c r="T2773" s="5" t="n"/>
      <c r="U2773" s="8">
        <f>IF(AND(V2773=1,D2773&lt;&gt;""),IF(D2773&gt;=corte,TODAY()-D2773,""),"")</f>
        <v/>
      </c>
      <c r="V2773" s="8">
        <f>IF(D2773="",0,IF(OR(AND(P2773&lt;&gt;"",S2773=""),AND(N(J2773)&gt;0,N(K2773)&lt;J2773),OR(M2773="PENDENTE",M2773="PARCIAL"),OR(N2773="PENDENTE",N2773="PARCIAL")),1,0))</f>
        <v/>
      </c>
      <c r="W2773" s="8">
        <f>IF(AND(V2773=1,D2773&lt;&gt;""),IF(D2773&gt;=corte,(B2773="CRÍTICO")*1E9+(100000-D2773)*10000+10000-ROW(),""),"")</f>
        <v/>
      </c>
      <c r="X2773" s="8">
        <f>IF(AND(V2773=1,D2773=pas_data,E2773=pas_turno),10000-ROW(),"")</f>
        <v/>
      </c>
    </row>
    <row r="2774">
      <c r="A2774" s="3">
        <f>IF(D2774="","","TT-"&amp;TEXT(ROW()-1,"00000"))</f>
        <v/>
      </c>
      <c r="B2774" s="3">
        <f>IF(D2774="","",IF(V2774=0,"CONCLUÍDO",IF(D2774&lt;corte,"HISTÓRICO",IF(OR(AND(ISNUMBER(R2774),R2774&lt;TODAY()),AND(OR(N2774="PENDENTE",N2774="PARCIAL"),D2774&lt;TODAY()-1)),"CRÍTICO",IF(OR(AND(P2774&lt;&gt;"",S2774=""),AND(N2774="REALIZADO",M2774="PENDENTE"),AND(ISNUMBER(R2774),R2774=TODAY())),"ATENÇÃO",IF(N(K2774)=0,"PENDENTE","EM ANDAMENTO"))))))</f>
        <v/>
      </c>
      <c r="C2774" s="3">
        <f>IF(D2774="","",IF(V2774=0,"🟢 OK",IF(D2774&lt;corte,"⚪ HISTÓRICO (sem baixa)",IF(AND(ISNUMBER(R2774),R2774&lt;TODAY()),"🔴 PRAZO VENCIDO",IF(AND(OR(N2774="PENDENTE",N2774="PARCIAL"),D2774&lt;TODAY()-1),"🔴 EMBARQUE ATRASADO",IF(AND(N2774="REALIZADO",M2774="PENDENTE"),"🟡 EMBARCADO SEM FATURAR",IF(AND(P2774&lt;&gt;"",S2774="",OR(Q2774="",R2774="")),"🟡 PENDÊNCIA SEM RESPONSÁVEL/PRAZO",IF(AND(ISNUMBER(R2774),R2774=TODAY()),"🟡 VENCE HOJE",IF(AND(P2774&lt;&gt;"",S2774=""),"🟡 PENDÊNCIA ABERTA",IF(AND(N(J2774)&gt;0,N(K2774)&lt;J2774),"🟡 FALTA EXECUTAR",IF(OR(M2774="PENDENTE",M2774="PARCIAL"),"🟡 FATURAMENTO PENDENTE","🟡 EMBARQUE PENDENTE")))))))))))</f>
        <v/>
      </c>
      <c r="D2774" s="4" t="n"/>
      <c r="E2774" s="5" t="n"/>
      <c r="F2774" s="5" t="n"/>
      <c r="G2774" s="5" t="n"/>
      <c r="H2774" s="5" t="n"/>
      <c r="I2774" s="5" t="n"/>
      <c r="J2774" s="6" t="n"/>
      <c r="K2774" s="6" t="n"/>
      <c r="L2774" s="7">
        <f>IF(OR(D2774="",N(J2774)=0),"",MIN(1,N(K2774)/J2774))</f>
        <v/>
      </c>
      <c r="M2774" s="5" t="n"/>
      <c r="N2774" s="5" t="n"/>
      <c r="O2774" s="5" t="n"/>
      <c r="P2774" s="5" t="n"/>
      <c r="Q2774" s="5" t="n"/>
      <c r="R2774" s="4" t="n"/>
      <c r="S2774" s="4" t="n"/>
      <c r="T2774" s="5" t="n"/>
      <c r="U2774" s="8">
        <f>IF(AND(V2774=1,D2774&lt;&gt;""),IF(D2774&gt;=corte,TODAY()-D2774,""),"")</f>
        <v/>
      </c>
      <c r="V2774" s="8">
        <f>IF(D2774="",0,IF(OR(AND(P2774&lt;&gt;"",S2774=""),AND(N(J2774)&gt;0,N(K2774)&lt;J2774),OR(M2774="PENDENTE",M2774="PARCIAL"),OR(N2774="PENDENTE",N2774="PARCIAL")),1,0))</f>
        <v/>
      </c>
      <c r="W2774" s="8">
        <f>IF(AND(V2774=1,D2774&lt;&gt;""),IF(D2774&gt;=corte,(B2774="CRÍTICO")*1E9+(100000-D2774)*10000+10000-ROW(),""),"")</f>
        <v/>
      </c>
      <c r="X2774" s="8">
        <f>IF(AND(V2774=1,D2774=pas_data,E2774=pas_turno),10000-ROW(),"")</f>
        <v/>
      </c>
    </row>
    <row r="2775">
      <c r="A2775" s="3">
        <f>IF(D2775="","","TT-"&amp;TEXT(ROW()-1,"00000"))</f>
        <v/>
      </c>
      <c r="B2775" s="3">
        <f>IF(D2775="","",IF(V2775=0,"CONCLUÍDO",IF(D2775&lt;corte,"HISTÓRICO",IF(OR(AND(ISNUMBER(R2775),R2775&lt;TODAY()),AND(OR(N2775="PENDENTE",N2775="PARCIAL"),D2775&lt;TODAY()-1)),"CRÍTICO",IF(OR(AND(P2775&lt;&gt;"",S2775=""),AND(N2775="REALIZADO",M2775="PENDENTE"),AND(ISNUMBER(R2775),R2775=TODAY())),"ATENÇÃO",IF(N(K2775)=0,"PENDENTE","EM ANDAMENTO"))))))</f>
        <v/>
      </c>
      <c r="C2775" s="3">
        <f>IF(D2775="","",IF(V2775=0,"🟢 OK",IF(D2775&lt;corte,"⚪ HISTÓRICO (sem baixa)",IF(AND(ISNUMBER(R2775),R2775&lt;TODAY()),"🔴 PRAZO VENCIDO",IF(AND(OR(N2775="PENDENTE",N2775="PARCIAL"),D2775&lt;TODAY()-1),"🔴 EMBARQUE ATRASADO",IF(AND(N2775="REALIZADO",M2775="PENDENTE"),"🟡 EMBARCADO SEM FATURAR",IF(AND(P2775&lt;&gt;"",S2775="",OR(Q2775="",R2775="")),"🟡 PENDÊNCIA SEM RESPONSÁVEL/PRAZO",IF(AND(ISNUMBER(R2775),R2775=TODAY()),"🟡 VENCE HOJE",IF(AND(P2775&lt;&gt;"",S2775=""),"🟡 PENDÊNCIA ABERTA",IF(AND(N(J2775)&gt;0,N(K2775)&lt;J2775),"🟡 FALTA EXECUTAR",IF(OR(M2775="PENDENTE",M2775="PARCIAL"),"🟡 FATURAMENTO PENDENTE","🟡 EMBARQUE PENDENTE")))))))))))</f>
        <v/>
      </c>
      <c r="D2775" s="4" t="n"/>
      <c r="E2775" s="5" t="n"/>
      <c r="F2775" s="5" t="n"/>
      <c r="G2775" s="5" t="n"/>
      <c r="H2775" s="5" t="n"/>
      <c r="I2775" s="5" t="n"/>
      <c r="J2775" s="6" t="n"/>
      <c r="K2775" s="6" t="n"/>
      <c r="L2775" s="7">
        <f>IF(OR(D2775="",N(J2775)=0),"",MIN(1,N(K2775)/J2775))</f>
        <v/>
      </c>
      <c r="M2775" s="5" t="n"/>
      <c r="N2775" s="5" t="n"/>
      <c r="O2775" s="5" t="n"/>
      <c r="P2775" s="5" t="n"/>
      <c r="Q2775" s="5" t="n"/>
      <c r="R2775" s="4" t="n"/>
      <c r="S2775" s="4" t="n"/>
      <c r="T2775" s="5" t="n"/>
      <c r="U2775" s="8">
        <f>IF(AND(V2775=1,D2775&lt;&gt;""),IF(D2775&gt;=corte,TODAY()-D2775,""),"")</f>
        <v/>
      </c>
      <c r="V2775" s="8">
        <f>IF(D2775="",0,IF(OR(AND(P2775&lt;&gt;"",S2775=""),AND(N(J2775)&gt;0,N(K2775)&lt;J2775),OR(M2775="PENDENTE",M2775="PARCIAL"),OR(N2775="PENDENTE",N2775="PARCIAL")),1,0))</f>
        <v/>
      </c>
      <c r="W2775" s="8">
        <f>IF(AND(V2775=1,D2775&lt;&gt;""),IF(D2775&gt;=corte,(B2775="CRÍTICO")*1E9+(100000-D2775)*10000+10000-ROW(),""),"")</f>
        <v/>
      </c>
      <c r="X2775" s="8">
        <f>IF(AND(V2775=1,D2775=pas_data,E2775=pas_turno),10000-ROW(),"")</f>
        <v/>
      </c>
    </row>
    <row r="2776">
      <c r="A2776" s="3">
        <f>IF(D2776="","","TT-"&amp;TEXT(ROW()-1,"00000"))</f>
        <v/>
      </c>
      <c r="B2776" s="3">
        <f>IF(D2776="","",IF(V2776=0,"CONCLUÍDO",IF(D2776&lt;corte,"HISTÓRICO",IF(OR(AND(ISNUMBER(R2776),R2776&lt;TODAY()),AND(OR(N2776="PENDENTE",N2776="PARCIAL"),D2776&lt;TODAY()-1)),"CRÍTICO",IF(OR(AND(P2776&lt;&gt;"",S2776=""),AND(N2776="REALIZADO",M2776="PENDENTE"),AND(ISNUMBER(R2776),R2776=TODAY())),"ATENÇÃO",IF(N(K2776)=0,"PENDENTE","EM ANDAMENTO"))))))</f>
        <v/>
      </c>
      <c r="C2776" s="3">
        <f>IF(D2776="","",IF(V2776=0,"🟢 OK",IF(D2776&lt;corte,"⚪ HISTÓRICO (sem baixa)",IF(AND(ISNUMBER(R2776),R2776&lt;TODAY()),"🔴 PRAZO VENCIDO",IF(AND(OR(N2776="PENDENTE",N2776="PARCIAL"),D2776&lt;TODAY()-1),"🔴 EMBARQUE ATRASADO",IF(AND(N2776="REALIZADO",M2776="PENDENTE"),"🟡 EMBARCADO SEM FATURAR",IF(AND(P2776&lt;&gt;"",S2776="",OR(Q2776="",R2776="")),"🟡 PENDÊNCIA SEM RESPONSÁVEL/PRAZO",IF(AND(ISNUMBER(R2776),R2776=TODAY()),"🟡 VENCE HOJE",IF(AND(P2776&lt;&gt;"",S2776=""),"🟡 PENDÊNCIA ABERTA",IF(AND(N(J2776)&gt;0,N(K2776)&lt;J2776),"🟡 FALTA EXECUTAR",IF(OR(M2776="PENDENTE",M2776="PARCIAL"),"🟡 FATURAMENTO PENDENTE","🟡 EMBARQUE PENDENTE")))))))))))</f>
        <v/>
      </c>
      <c r="D2776" s="4" t="n"/>
      <c r="E2776" s="5" t="n"/>
      <c r="F2776" s="5" t="n"/>
      <c r="G2776" s="5" t="n"/>
      <c r="H2776" s="5" t="n"/>
      <c r="I2776" s="5" t="n"/>
      <c r="J2776" s="6" t="n"/>
      <c r="K2776" s="6" t="n"/>
      <c r="L2776" s="7">
        <f>IF(OR(D2776="",N(J2776)=0),"",MIN(1,N(K2776)/J2776))</f>
        <v/>
      </c>
      <c r="M2776" s="5" t="n"/>
      <c r="N2776" s="5" t="n"/>
      <c r="O2776" s="5" t="n"/>
      <c r="P2776" s="5" t="n"/>
      <c r="Q2776" s="5" t="n"/>
      <c r="R2776" s="4" t="n"/>
      <c r="S2776" s="4" t="n"/>
      <c r="T2776" s="5" t="n"/>
      <c r="U2776" s="8">
        <f>IF(AND(V2776=1,D2776&lt;&gt;""),IF(D2776&gt;=corte,TODAY()-D2776,""),"")</f>
        <v/>
      </c>
      <c r="V2776" s="8">
        <f>IF(D2776="",0,IF(OR(AND(P2776&lt;&gt;"",S2776=""),AND(N(J2776)&gt;0,N(K2776)&lt;J2776),OR(M2776="PENDENTE",M2776="PARCIAL"),OR(N2776="PENDENTE",N2776="PARCIAL")),1,0))</f>
        <v/>
      </c>
      <c r="W2776" s="8">
        <f>IF(AND(V2776=1,D2776&lt;&gt;""),IF(D2776&gt;=corte,(B2776="CRÍTICO")*1E9+(100000-D2776)*10000+10000-ROW(),""),"")</f>
        <v/>
      </c>
      <c r="X2776" s="8">
        <f>IF(AND(V2776=1,D2776=pas_data,E2776=pas_turno),10000-ROW(),"")</f>
        <v/>
      </c>
    </row>
    <row r="2777">
      <c r="A2777" s="3">
        <f>IF(D2777="","","TT-"&amp;TEXT(ROW()-1,"00000"))</f>
        <v/>
      </c>
      <c r="B2777" s="3">
        <f>IF(D2777="","",IF(V2777=0,"CONCLUÍDO",IF(D2777&lt;corte,"HISTÓRICO",IF(OR(AND(ISNUMBER(R2777),R2777&lt;TODAY()),AND(OR(N2777="PENDENTE",N2777="PARCIAL"),D2777&lt;TODAY()-1)),"CRÍTICO",IF(OR(AND(P2777&lt;&gt;"",S2777=""),AND(N2777="REALIZADO",M2777="PENDENTE"),AND(ISNUMBER(R2777),R2777=TODAY())),"ATENÇÃO",IF(N(K2777)=0,"PENDENTE","EM ANDAMENTO"))))))</f>
        <v/>
      </c>
      <c r="C2777" s="3">
        <f>IF(D2777="","",IF(V2777=0,"🟢 OK",IF(D2777&lt;corte,"⚪ HISTÓRICO (sem baixa)",IF(AND(ISNUMBER(R2777),R2777&lt;TODAY()),"🔴 PRAZO VENCIDO",IF(AND(OR(N2777="PENDENTE",N2777="PARCIAL"),D2777&lt;TODAY()-1),"🔴 EMBARQUE ATRASADO",IF(AND(N2777="REALIZADO",M2777="PENDENTE"),"🟡 EMBARCADO SEM FATURAR",IF(AND(P2777&lt;&gt;"",S2777="",OR(Q2777="",R2777="")),"🟡 PENDÊNCIA SEM RESPONSÁVEL/PRAZO",IF(AND(ISNUMBER(R2777),R2777=TODAY()),"🟡 VENCE HOJE",IF(AND(P2777&lt;&gt;"",S2777=""),"🟡 PENDÊNCIA ABERTA",IF(AND(N(J2777)&gt;0,N(K2777)&lt;J2777),"🟡 FALTA EXECUTAR",IF(OR(M2777="PENDENTE",M2777="PARCIAL"),"🟡 FATURAMENTO PENDENTE","🟡 EMBARQUE PENDENTE")))))))))))</f>
        <v/>
      </c>
      <c r="D2777" s="4" t="n"/>
      <c r="E2777" s="5" t="n"/>
      <c r="F2777" s="5" t="n"/>
      <c r="G2777" s="5" t="n"/>
      <c r="H2777" s="5" t="n"/>
      <c r="I2777" s="5" t="n"/>
      <c r="J2777" s="6" t="n"/>
      <c r="K2777" s="6" t="n"/>
      <c r="L2777" s="7">
        <f>IF(OR(D2777="",N(J2777)=0),"",MIN(1,N(K2777)/J2777))</f>
        <v/>
      </c>
      <c r="M2777" s="5" t="n"/>
      <c r="N2777" s="5" t="n"/>
      <c r="O2777" s="5" t="n"/>
      <c r="P2777" s="5" t="n"/>
      <c r="Q2777" s="5" t="n"/>
      <c r="R2777" s="4" t="n"/>
      <c r="S2777" s="4" t="n"/>
      <c r="T2777" s="5" t="n"/>
      <c r="U2777" s="8">
        <f>IF(AND(V2777=1,D2777&lt;&gt;""),IF(D2777&gt;=corte,TODAY()-D2777,""),"")</f>
        <v/>
      </c>
      <c r="V2777" s="8">
        <f>IF(D2777="",0,IF(OR(AND(P2777&lt;&gt;"",S2777=""),AND(N(J2777)&gt;0,N(K2777)&lt;J2777),OR(M2777="PENDENTE",M2777="PARCIAL"),OR(N2777="PENDENTE",N2777="PARCIAL")),1,0))</f>
        <v/>
      </c>
      <c r="W2777" s="8">
        <f>IF(AND(V2777=1,D2777&lt;&gt;""),IF(D2777&gt;=corte,(B2777="CRÍTICO")*1E9+(100000-D2777)*10000+10000-ROW(),""),"")</f>
        <v/>
      </c>
      <c r="X2777" s="8">
        <f>IF(AND(V2777=1,D2777=pas_data,E2777=pas_turno),10000-ROW(),"")</f>
        <v/>
      </c>
    </row>
    <row r="2778">
      <c r="A2778" s="3">
        <f>IF(D2778="","","TT-"&amp;TEXT(ROW()-1,"00000"))</f>
        <v/>
      </c>
      <c r="B2778" s="3">
        <f>IF(D2778="","",IF(V2778=0,"CONCLUÍDO",IF(D2778&lt;corte,"HISTÓRICO",IF(OR(AND(ISNUMBER(R2778),R2778&lt;TODAY()),AND(OR(N2778="PENDENTE",N2778="PARCIAL"),D2778&lt;TODAY()-1)),"CRÍTICO",IF(OR(AND(P2778&lt;&gt;"",S2778=""),AND(N2778="REALIZADO",M2778="PENDENTE"),AND(ISNUMBER(R2778),R2778=TODAY())),"ATENÇÃO",IF(N(K2778)=0,"PENDENTE","EM ANDAMENTO"))))))</f>
        <v/>
      </c>
      <c r="C2778" s="3">
        <f>IF(D2778="","",IF(V2778=0,"🟢 OK",IF(D2778&lt;corte,"⚪ HISTÓRICO (sem baixa)",IF(AND(ISNUMBER(R2778),R2778&lt;TODAY()),"🔴 PRAZO VENCIDO",IF(AND(OR(N2778="PENDENTE",N2778="PARCIAL"),D2778&lt;TODAY()-1),"🔴 EMBARQUE ATRASADO",IF(AND(N2778="REALIZADO",M2778="PENDENTE"),"🟡 EMBARCADO SEM FATURAR",IF(AND(P2778&lt;&gt;"",S2778="",OR(Q2778="",R2778="")),"🟡 PENDÊNCIA SEM RESPONSÁVEL/PRAZO",IF(AND(ISNUMBER(R2778),R2778=TODAY()),"🟡 VENCE HOJE",IF(AND(P2778&lt;&gt;"",S2778=""),"🟡 PENDÊNCIA ABERTA",IF(AND(N(J2778)&gt;0,N(K2778)&lt;J2778),"🟡 FALTA EXECUTAR",IF(OR(M2778="PENDENTE",M2778="PARCIAL"),"🟡 FATURAMENTO PENDENTE","🟡 EMBARQUE PENDENTE")))))))))))</f>
        <v/>
      </c>
      <c r="D2778" s="4" t="n"/>
      <c r="E2778" s="5" t="n"/>
      <c r="F2778" s="5" t="n"/>
      <c r="G2778" s="5" t="n"/>
      <c r="H2778" s="5" t="n"/>
      <c r="I2778" s="5" t="n"/>
      <c r="J2778" s="6" t="n"/>
      <c r="K2778" s="6" t="n"/>
      <c r="L2778" s="7">
        <f>IF(OR(D2778="",N(J2778)=0),"",MIN(1,N(K2778)/J2778))</f>
        <v/>
      </c>
      <c r="M2778" s="5" t="n"/>
      <c r="N2778" s="5" t="n"/>
      <c r="O2778" s="5" t="n"/>
      <c r="P2778" s="5" t="n"/>
      <c r="Q2778" s="5" t="n"/>
      <c r="R2778" s="4" t="n"/>
      <c r="S2778" s="4" t="n"/>
      <c r="T2778" s="5" t="n"/>
      <c r="U2778" s="8">
        <f>IF(AND(V2778=1,D2778&lt;&gt;""),IF(D2778&gt;=corte,TODAY()-D2778,""),"")</f>
        <v/>
      </c>
      <c r="V2778" s="8">
        <f>IF(D2778="",0,IF(OR(AND(P2778&lt;&gt;"",S2778=""),AND(N(J2778)&gt;0,N(K2778)&lt;J2778),OR(M2778="PENDENTE",M2778="PARCIAL"),OR(N2778="PENDENTE",N2778="PARCIAL")),1,0))</f>
        <v/>
      </c>
      <c r="W2778" s="8">
        <f>IF(AND(V2778=1,D2778&lt;&gt;""),IF(D2778&gt;=corte,(B2778="CRÍTICO")*1E9+(100000-D2778)*10000+10000-ROW(),""),"")</f>
        <v/>
      </c>
      <c r="X2778" s="8">
        <f>IF(AND(V2778=1,D2778=pas_data,E2778=pas_turno),10000-ROW(),"")</f>
        <v/>
      </c>
    </row>
    <row r="2779">
      <c r="A2779" s="3">
        <f>IF(D2779="","","TT-"&amp;TEXT(ROW()-1,"00000"))</f>
        <v/>
      </c>
      <c r="B2779" s="3">
        <f>IF(D2779="","",IF(V2779=0,"CONCLUÍDO",IF(D2779&lt;corte,"HISTÓRICO",IF(OR(AND(ISNUMBER(R2779),R2779&lt;TODAY()),AND(OR(N2779="PENDENTE",N2779="PARCIAL"),D2779&lt;TODAY()-1)),"CRÍTICO",IF(OR(AND(P2779&lt;&gt;"",S2779=""),AND(N2779="REALIZADO",M2779="PENDENTE"),AND(ISNUMBER(R2779),R2779=TODAY())),"ATENÇÃO",IF(N(K2779)=0,"PENDENTE","EM ANDAMENTO"))))))</f>
        <v/>
      </c>
      <c r="C2779" s="3">
        <f>IF(D2779="","",IF(V2779=0,"🟢 OK",IF(D2779&lt;corte,"⚪ HISTÓRICO (sem baixa)",IF(AND(ISNUMBER(R2779),R2779&lt;TODAY()),"🔴 PRAZO VENCIDO",IF(AND(OR(N2779="PENDENTE",N2779="PARCIAL"),D2779&lt;TODAY()-1),"🔴 EMBARQUE ATRASADO",IF(AND(N2779="REALIZADO",M2779="PENDENTE"),"🟡 EMBARCADO SEM FATURAR",IF(AND(P2779&lt;&gt;"",S2779="",OR(Q2779="",R2779="")),"🟡 PENDÊNCIA SEM RESPONSÁVEL/PRAZO",IF(AND(ISNUMBER(R2779),R2779=TODAY()),"🟡 VENCE HOJE",IF(AND(P2779&lt;&gt;"",S2779=""),"🟡 PENDÊNCIA ABERTA",IF(AND(N(J2779)&gt;0,N(K2779)&lt;J2779),"🟡 FALTA EXECUTAR",IF(OR(M2779="PENDENTE",M2779="PARCIAL"),"🟡 FATURAMENTO PENDENTE","🟡 EMBARQUE PENDENTE")))))))))))</f>
        <v/>
      </c>
      <c r="D2779" s="4" t="n"/>
      <c r="E2779" s="5" t="n"/>
      <c r="F2779" s="5" t="n"/>
      <c r="G2779" s="5" t="n"/>
      <c r="H2779" s="5" t="n"/>
      <c r="I2779" s="5" t="n"/>
      <c r="J2779" s="6" t="n"/>
      <c r="K2779" s="6" t="n"/>
      <c r="L2779" s="7">
        <f>IF(OR(D2779="",N(J2779)=0),"",MIN(1,N(K2779)/J2779))</f>
        <v/>
      </c>
      <c r="M2779" s="5" t="n"/>
      <c r="N2779" s="5" t="n"/>
      <c r="O2779" s="5" t="n"/>
      <c r="P2779" s="5" t="n"/>
      <c r="Q2779" s="5" t="n"/>
      <c r="R2779" s="4" t="n"/>
      <c r="S2779" s="4" t="n"/>
      <c r="T2779" s="5" t="n"/>
      <c r="U2779" s="8">
        <f>IF(AND(V2779=1,D2779&lt;&gt;""),IF(D2779&gt;=corte,TODAY()-D2779,""),"")</f>
        <v/>
      </c>
      <c r="V2779" s="8">
        <f>IF(D2779="",0,IF(OR(AND(P2779&lt;&gt;"",S2779=""),AND(N(J2779)&gt;0,N(K2779)&lt;J2779),OR(M2779="PENDENTE",M2779="PARCIAL"),OR(N2779="PENDENTE",N2779="PARCIAL")),1,0))</f>
        <v/>
      </c>
      <c r="W2779" s="8">
        <f>IF(AND(V2779=1,D2779&lt;&gt;""),IF(D2779&gt;=corte,(B2779="CRÍTICO")*1E9+(100000-D2779)*10000+10000-ROW(),""),"")</f>
        <v/>
      </c>
      <c r="X2779" s="8">
        <f>IF(AND(V2779=1,D2779=pas_data,E2779=pas_turno),10000-ROW(),"")</f>
        <v/>
      </c>
    </row>
    <row r="2780">
      <c r="A2780" s="3">
        <f>IF(D2780="","","TT-"&amp;TEXT(ROW()-1,"00000"))</f>
        <v/>
      </c>
      <c r="B2780" s="3">
        <f>IF(D2780="","",IF(V2780=0,"CONCLUÍDO",IF(D2780&lt;corte,"HISTÓRICO",IF(OR(AND(ISNUMBER(R2780),R2780&lt;TODAY()),AND(OR(N2780="PENDENTE",N2780="PARCIAL"),D2780&lt;TODAY()-1)),"CRÍTICO",IF(OR(AND(P2780&lt;&gt;"",S2780=""),AND(N2780="REALIZADO",M2780="PENDENTE"),AND(ISNUMBER(R2780),R2780=TODAY())),"ATENÇÃO",IF(N(K2780)=0,"PENDENTE","EM ANDAMENTO"))))))</f>
        <v/>
      </c>
      <c r="C2780" s="3">
        <f>IF(D2780="","",IF(V2780=0,"🟢 OK",IF(D2780&lt;corte,"⚪ HISTÓRICO (sem baixa)",IF(AND(ISNUMBER(R2780),R2780&lt;TODAY()),"🔴 PRAZO VENCIDO",IF(AND(OR(N2780="PENDENTE",N2780="PARCIAL"),D2780&lt;TODAY()-1),"🔴 EMBARQUE ATRASADO",IF(AND(N2780="REALIZADO",M2780="PENDENTE"),"🟡 EMBARCADO SEM FATURAR",IF(AND(P2780&lt;&gt;"",S2780="",OR(Q2780="",R2780="")),"🟡 PENDÊNCIA SEM RESPONSÁVEL/PRAZO",IF(AND(ISNUMBER(R2780),R2780=TODAY()),"🟡 VENCE HOJE",IF(AND(P2780&lt;&gt;"",S2780=""),"🟡 PENDÊNCIA ABERTA",IF(AND(N(J2780)&gt;0,N(K2780)&lt;J2780),"🟡 FALTA EXECUTAR",IF(OR(M2780="PENDENTE",M2780="PARCIAL"),"🟡 FATURAMENTO PENDENTE","🟡 EMBARQUE PENDENTE")))))))))))</f>
        <v/>
      </c>
      <c r="D2780" s="4" t="n"/>
      <c r="E2780" s="5" t="n"/>
      <c r="F2780" s="5" t="n"/>
      <c r="G2780" s="5" t="n"/>
      <c r="H2780" s="5" t="n"/>
      <c r="I2780" s="5" t="n"/>
      <c r="J2780" s="6" t="n"/>
      <c r="K2780" s="6" t="n"/>
      <c r="L2780" s="7">
        <f>IF(OR(D2780="",N(J2780)=0),"",MIN(1,N(K2780)/J2780))</f>
        <v/>
      </c>
      <c r="M2780" s="5" t="n"/>
      <c r="N2780" s="5" t="n"/>
      <c r="O2780" s="5" t="n"/>
      <c r="P2780" s="5" t="n"/>
      <c r="Q2780" s="5" t="n"/>
      <c r="R2780" s="4" t="n"/>
      <c r="S2780" s="4" t="n"/>
      <c r="T2780" s="5" t="n"/>
      <c r="U2780" s="8">
        <f>IF(AND(V2780=1,D2780&lt;&gt;""),IF(D2780&gt;=corte,TODAY()-D2780,""),"")</f>
        <v/>
      </c>
      <c r="V2780" s="8">
        <f>IF(D2780="",0,IF(OR(AND(P2780&lt;&gt;"",S2780=""),AND(N(J2780)&gt;0,N(K2780)&lt;J2780),OR(M2780="PENDENTE",M2780="PARCIAL"),OR(N2780="PENDENTE",N2780="PARCIAL")),1,0))</f>
        <v/>
      </c>
      <c r="W2780" s="8">
        <f>IF(AND(V2780=1,D2780&lt;&gt;""),IF(D2780&gt;=corte,(B2780="CRÍTICO")*1E9+(100000-D2780)*10000+10000-ROW(),""),"")</f>
        <v/>
      </c>
      <c r="X2780" s="8">
        <f>IF(AND(V2780=1,D2780=pas_data,E2780=pas_turno),10000-ROW(),"")</f>
        <v/>
      </c>
    </row>
    <row r="2781">
      <c r="A2781" s="3">
        <f>IF(D2781="","","TT-"&amp;TEXT(ROW()-1,"00000"))</f>
        <v/>
      </c>
      <c r="B2781" s="3">
        <f>IF(D2781="","",IF(V2781=0,"CONCLUÍDO",IF(D2781&lt;corte,"HISTÓRICO",IF(OR(AND(ISNUMBER(R2781),R2781&lt;TODAY()),AND(OR(N2781="PENDENTE",N2781="PARCIAL"),D2781&lt;TODAY()-1)),"CRÍTICO",IF(OR(AND(P2781&lt;&gt;"",S2781=""),AND(N2781="REALIZADO",M2781="PENDENTE"),AND(ISNUMBER(R2781),R2781=TODAY())),"ATENÇÃO",IF(N(K2781)=0,"PENDENTE","EM ANDAMENTO"))))))</f>
        <v/>
      </c>
      <c r="C2781" s="3">
        <f>IF(D2781="","",IF(V2781=0,"🟢 OK",IF(D2781&lt;corte,"⚪ HISTÓRICO (sem baixa)",IF(AND(ISNUMBER(R2781),R2781&lt;TODAY()),"🔴 PRAZO VENCIDO",IF(AND(OR(N2781="PENDENTE",N2781="PARCIAL"),D2781&lt;TODAY()-1),"🔴 EMBARQUE ATRASADO",IF(AND(N2781="REALIZADO",M2781="PENDENTE"),"🟡 EMBARCADO SEM FATURAR",IF(AND(P2781&lt;&gt;"",S2781="",OR(Q2781="",R2781="")),"🟡 PENDÊNCIA SEM RESPONSÁVEL/PRAZO",IF(AND(ISNUMBER(R2781),R2781=TODAY()),"🟡 VENCE HOJE",IF(AND(P2781&lt;&gt;"",S2781=""),"🟡 PENDÊNCIA ABERTA",IF(AND(N(J2781)&gt;0,N(K2781)&lt;J2781),"🟡 FALTA EXECUTAR",IF(OR(M2781="PENDENTE",M2781="PARCIAL"),"🟡 FATURAMENTO PENDENTE","🟡 EMBARQUE PENDENTE")))))))))))</f>
        <v/>
      </c>
      <c r="D2781" s="4" t="n"/>
      <c r="E2781" s="5" t="n"/>
      <c r="F2781" s="5" t="n"/>
      <c r="G2781" s="5" t="n"/>
      <c r="H2781" s="5" t="n"/>
      <c r="I2781" s="5" t="n"/>
      <c r="J2781" s="6" t="n"/>
      <c r="K2781" s="6" t="n"/>
      <c r="L2781" s="7">
        <f>IF(OR(D2781="",N(J2781)=0),"",MIN(1,N(K2781)/J2781))</f>
        <v/>
      </c>
      <c r="M2781" s="5" t="n"/>
      <c r="N2781" s="5" t="n"/>
      <c r="O2781" s="5" t="n"/>
      <c r="P2781" s="5" t="n"/>
      <c r="Q2781" s="5" t="n"/>
      <c r="R2781" s="4" t="n"/>
      <c r="S2781" s="4" t="n"/>
      <c r="T2781" s="5" t="n"/>
      <c r="U2781" s="8">
        <f>IF(AND(V2781=1,D2781&lt;&gt;""),IF(D2781&gt;=corte,TODAY()-D2781,""),"")</f>
        <v/>
      </c>
      <c r="V2781" s="8">
        <f>IF(D2781="",0,IF(OR(AND(P2781&lt;&gt;"",S2781=""),AND(N(J2781)&gt;0,N(K2781)&lt;J2781),OR(M2781="PENDENTE",M2781="PARCIAL"),OR(N2781="PENDENTE",N2781="PARCIAL")),1,0))</f>
        <v/>
      </c>
      <c r="W2781" s="8">
        <f>IF(AND(V2781=1,D2781&lt;&gt;""),IF(D2781&gt;=corte,(B2781="CRÍTICO")*1E9+(100000-D2781)*10000+10000-ROW(),""),"")</f>
        <v/>
      </c>
      <c r="X2781" s="8">
        <f>IF(AND(V2781=1,D2781=pas_data,E2781=pas_turno),10000-ROW(),"")</f>
        <v/>
      </c>
    </row>
    <row r="2782">
      <c r="A2782" s="3">
        <f>IF(D2782="","","TT-"&amp;TEXT(ROW()-1,"00000"))</f>
        <v/>
      </c>
      <c r="B2782" s="3">
        <f>IF(D2782="","",IF(V2782=0,"CONCLUÍDO",IF(D2782&lt;corte,"HISTÓRICO",IF(OR(AND(ISNUMBER(R2782),R2782&lt;TODAY()),AND(OR(N2782="PENDENTE",N2782="PARCIAL"),D2782&lt;TODAY()-1)),"CRÍTICO",IF(OR(AND(P2782&lt;&gt;"",S2782=""),AND(N2782="REALIZADO",M2782="PENDENTE"),AND(ISNUMBER(R2782),R2782=TODAY())),"ATENÇÃO",IF(N(K2782)=0,"PENDENTE","EM ANDAMENTO"))))))</f>
        <v/>
      </c>
      <c r="C2782" s="3">
        <f>IF(D2782="","",IF(V2782=0,"🟢 OK",IF(D2782&lt;corte,"⚪ HISTÓRICO (sem baixa)",IF(AND(ISNUMBER(R2782),R2782&lt;TODAY()),"🔴 PRAZO VENCIDO",IF(AND(OR(N2782="PENDENTE",N2782="PARCIAL"),D2782&lt;TODAY()-1),"🔴 EMBARQUE ATRASADO",IF(AND(N2782="REALIZADO",M2782="PENDENTE"),"🟡 EMBARCADO SEM FATURAR",IF(AND(P2782&lt;&gt;"",S2782="",OR(Q2782="",R2782="")),"🟡 PENDÊNCIA SEM RESPONSÁVEL/PRAZO",IF(AND(ISNUMBER(R2782),R2782=TODAY()),"🟡 VENCE HOJE",IF(AND(P2782&lt;&gt;"",S2782=""),"🟡 PENDÊNCIA ABERTA",IF(AND(N(J2782)&gt;0,N(K2782)&lt;J2782),"🟡 FALTA EXECUTAR",IF(OR(M2782="PENDENTE",M2782="PARCIAL"),"🟡 FATURAMENTO PENDENTE","🟡 EMBARQUE PENDENTE")))))))))))</f>
        <v/>
      </c>
      <c r="D2782" s="4" t="n"/>
      <c r="E2782" s="5" t="n"/>
      <c r="F2782" s="5" t="n"/>
      <c r="G2782" s="5" t="n"/>
      <c r="H2782" s="5" t="n"/>
      <c r="I2782" s="5" t="n"/>
      <c r="J2782" s="6" t="n"/>
      <c r="K2782" s="6" t="n"/>
      <c r="L2782" s="7">
        <f>IF(OR(D2782="",N(J2782)=0),"",MIN(1,N(K2782)/J2782))</f>
        <v/>
      </c>
      <c r="M2782" s="5" t="n"/>
      <c r="N2782" s="5" t="n"/>
      <c r="O2782" s="5" t="n"/>
      <c r="P2782" s="5" t="n"/>
      <c r="Q2782" s="5" t="n"/>
      <c r="R2782" s="4" t="n"/>
      <c r="S2782" s="4" t="n"/>
      <c r="T2782" s="5" t="n"/>
      <c r="U2782" s="8">
        <f>IF(AND(V2782=1,D2782&lt;&gt;""),IF(D2782&gt;=corte,TODAY()-D2782,""),"")</f>
        <v/>
      </c>
      <c r="V2782" s="8">
        <f>IF(D2782="",0,IF(OR(AND(P2782&lt;&gt;"",S2782=""),AND(N(J2782)&gt;0,N(K2782)&lt;J2782),OR(M2782="PENDENTE",M2782="PARCIAL"),OR(N2782="PENDENTE",N2782="PARCIAL")),1,0))</f>
        <v/>
      </c>
      <c r="W2782" s="8">
        <f>IF(AND(V2782=1,D2782&lt;&gt;""),IF(D2782&gt;=corte,(B2782="CRÍTICO")*1E9+(100000-D2782)*10000+10000-ROW(),""),"")</f>
        <v/>
      </c>
      <c r="X2782" s="8">
        <f>IF(AND(V2782=1,D2782=pas_data,E2782=pas_turno),10000-ROW(),"")</f>
        <v/>
      </c>
    </row>
    <row r="2783">
      <c r="A2783" s="3">
        <f>IF(D2783="","","TT-"&amp;TEXT(ROW()-1,"00000"))</f>
        <v/>
      </c>
      <c r="B2783" s="3">
        <f>IF(D2783="","",IF(V2783=0,"CONCLUÍDO",IF(D2783&lt;corte,"HISTÓRICO",IF(OR(AND(ISNUMBER(R2783),R2783&lt;TODAY()),AND(OR(N2783="PENDENTE",N2783="PARCIAL"),D2783&lt;TODAY()-1)),"CRÍTICO",IF(OR(AND(P2783&lt;&gt;"",S2783=""),AND(N2783="REALIZADO",M2783="PENDENTE"),AND(ISNUMBER(R2783),R2783=TODAY())),"ATENÇÃO",IF(N(K2783)=0,"PENDENTE","EM ANDAMENTO"))))))</f>
        <v/>
      </c>
      <c r="C2783" s="3">
        <f>IF(D2783="","",IF(V2783=0,"🟢 OK",IF(D2783&lt;corte,"⚪ HISTÓRICO (sem baixa)",IF(AND(ISNUMBER(R2783),R2783&lt;TODAY()),"🔴 PRAZO VENCIDO",IF(AND(OR(N2783="PENDENTE",N2783="PARCIAL"),D2783&lt;TODAY()-1),"🔴 EMBARQUE ATRASADO",IF(AND(N2783="REALIZADO",M2783="PENDENTE"),"🟡 EMBARCADO SEM FATURAR",IF(AND(P2783&lt;&gt;"",S2783="",OR(Q2783="",R2783="")),"🟡 PENDÊNCIA SEM RESPONSÁVEL/PRAZO",IF(AND(ISNUMBER(R2783),R2783=TODAY()),"🟡 VENCE HOJE",IF(AND(P2783&lt;&gt;"",S2783=""),"🟡 PENDÊNCIA ABERTA",IF(AND(N(J2783)&gt;0,N(K2783)&lt;J2783),"🟡 FALTA EXECUTAR",IF(OR(M2783="PENDENTE",M2783="PARCIAL"),"🟡 FATURAMENTO PENDENTE","🟡 EMBARQUE PENDENTE")))))))))))</f>
        <v/>
      </c>
      <c r="D2783" s="4" t="n"/>
      <c r="E2783" s="5" t="n"/>
      <c r="F2783" s="5" t="n"/>
      <c r="G2783" s="5" t="n"/>
      <c r="H2783" s="5" t="n"/>
      <c r="I2783" s="5" t="n"/>
      <c r="J2783" s="6" t="n"/>
      <c r="K2783" s="6" t="n"/>
      <c r="L2783" s="7">
        <f>IF(OR(D2783="",N(J2783)=0),"",MIN(1,N(K2783)/J2783))</f>
        <v/>
      </c>
      <c r="M2783" s="5" t="n"/>
      <c r="N2783" s="5" t="n"/>
      <c r="O2783" s="5" t="n"/>
      <c r="P2783" s="5" t="n"/>
      <c r="Q2783" s="5" t="n"/>
      <c r="R2783" s="4" t="n"/>
      <c r="S2783" s="4" t="n"/>
      <c r="T2783" s="5" t="n"/>
      <c r="U2783" s="8">
        <f>IF(AND(V2783=1,D2783&lt;&gt;""),IF(D2783&gt;=corte,TODAY()-D2783,""),"")</f>
        <v/>
      </c>
      <c r="V2783" s="8">
        <f>IF(D2783="",0,IF(OR(AND(P2783&lt;&gt;"",S2783=""),AND(N(J2783)&gt;0,N(K2783)&lt;J2783),OR(M2783="PENDENTE",M2783="PARCIAL"),OR(N2783="PENDENTE",N2783="PARCIAL")),1,0))</f>
        <v/>
      </c>
      <c r="W2783" s="8">
        <f>IF(AND(V2783=1,D2783&lt;&gt;""),IF(D2783&gt;=corte,(B2783="CRÍTICO")*1E9+(100000-D2783)*10000+10000-ROW(),""),"")</f>
        <v/>
      </c>
      <c r="X2783" s="8">
        <f>IF(AND(V2783=1,D2783=pas_data,E2783=pas_turno),10000-ROW(),"")</f>
        <v/>
      </c>
    </row>
    <row r="2784">
      <c r="A2784" s="3">
        <f>IF(D2784="","","TT-"&amp;TEXT(ROW()-1,"00000"))</f>
        <v/>
      </c>
      <c r="B2784" s="3">
        <f>IF(D2784="","",IF(V2784=0,"CONCLUÍDO",IF(D2784&lt;corte,"HISTÓRICO",IF(OR(AND(ISNUMBER(R2784),R2784&lt;TODAY()),AND(OR(N2784="PENDENTE",N2784="PARCIAL"),D2784&lt;TODAY()-1)),"CRÍTICO",IF(OR(AND(P2784&lt;&gt;"",S2784=""),AND(N2784="REALIZADO",M2784="PENDENTE"),AND(ISNUMBER(R2784),R2784=TODAY())),"ATENÇÃO",IF(N(K2784)=0,"PENDENTE","EM ANDAMENTO"))))))</f>
        <v/>
      </c>
      <c r="C2784" s="3">
        <f>IF(D2784="","",IF(V2784=0,"🟢 OK",IF(D2784&lt;corte,"⚪ HISTÓRICO (sem baixa)",IF(AND(ISNUMBER(R2784),R2784&lt;TODAY()),"🔴 PRAZO VENCIDO",IF(AND(OR(N2784="PENDENTE",N2784="PARCIAL"),D2784&lt;TODAY()-1),"🔴 EMBARQUE ATRASADO",IF(AND(N2784="REALIZADO",M2784="PENDENTE"),"🟡 EMBARCADO SEM FATURAR",IF(AND(P2784&lt;&gt;"",S2784="",OR(Q2784="",R2784="")),"🟡 PENDÊNCIA SEM RESPONSÁVEL/PRAZO",IF(AND(ISNUMBER(R2784),R2784=TODAY()),"🟡 VENCE HOJE",IF(AND(P2784&lt;&gt;"",S2784=""),"🟡 PENDÊNCIA ABERTA",IF(AND(N(J2784)&gt;0,N(K2784)&lt;J2784),"🟡 FALTA EXECUTAR",IF(OR(M2784="PENDENTE",M2784="PARCIAL"),"🟡 FATURAMENTO PENDENTE","🟡 EMBARQUE PENDENTE")))))))))))</f>
        <v/>
      </c>
      <c r="D2784" s="4" t="n"/>
      <c r="E2784" s="5" t="n"/>
      <c r="F2784" s="5" t="n"/>
      <c r="G2784" s="5" t="n"/>
      <c r="H2784" s="5" t="n"/>
      <c r="I2784" s="5" t="n"/>
      <c r="J2784" s="6" t="n"/>
      <c r="K2784" s="6" t="n"/>
      <c r="L2784" s="7">
        <f>IF(OR(D2784="",N(J2784)=0),"",MIN(1,N(K2784)/J2784))</f>
        <v/>
      </c>
      <c r="M2784" s="5" t="n"/>
      <c r="N2784" s="5" t="n"/>
      <c r="O2784" s="5" t="n"/>
      <c r="P2784" s="5" t="n"/>
      <c r="Q2784" s="5" t="n"/>
      <c r="R2784" s="4" t="n"/>
      <c r="S2784" s="4" t="n"/>
      <c r="T2784" s="5" t="n"/>
      <c r="U2784" s="8">
        <f>IF(AND(V2784=1,D2784&lt;&gt;""),IF(D2784&gt;=corte,TODAY()-D2784,""),"")</f>
        <v/>
      </c>
      <c r="V2784" s="8">
        <f>IF(D2784="",0,IF(OR(AND(P2784&lt;&gt;"",S2784=""),AND(N(J2784)&gt;0,N(K2784)&lt;J2784),OR(M2784="PENDENTE",M2784="PARCIAL"),OR(N2784="PENDENTE",N2784="PARCIAL")),1,0))</f>
        <v/>
      </c>
      <c r="W2784" s="8">
        <f>IF(AND(V2784=1,D2784&lt;&gt;""),IF(D2784&gt;=corte,(B2784="CRÍTICO")*1E9+(100000-D2784)*10000+10000-ROW(),""),"")</f>
        <v/>
      </c>
      <c r="X2784" s="8">
        <f>IF(AND(V2784=1,D2784=pas_data,E2784=pas_turno),10000-ROW(),"")</f>
        <v/>
      </c>
    </row>
    <row r="2785">
      <c r="A2785" s="3">
        <f>IF(D2785="","","TT-"&amp;TEXT(ROW()-1,"00000"))</f>
        <v/>
      </c>
      <c r="B2785" s="3">
        <f>IF(D2785="","",IF(V2785=0,"CONCLUÍDO",IF(D2785&lt;corte,"HISTÓRICO",IF(OR(AND(ISNUMBER(R2785),R2785&lt;TODAY()),AND(OR(N2785="PENDENTE",N2785="PARCIAL"),D2785&lt;TODAY()-1)),"CRÍTICO",IF(OR(AND(P2785&lt;&gt;"",S2785=""),AND(N2785="REALIZADO",M2785="PENDENTE"),AND(ISNUMBER(R2785),R2785=TODAY())),"ATENÇÃO",IF(N(K2785)=0,"PENDENTE","EM ANDAMENTO"))))))</f>
        <v/>
      </c>
      <c r="C2785" s="3">
        <f>IF(D2785="","",IF(V2785=0,"🟢 OK",IF(D2785&lt;corte,"⚪ HISTÓRICO (sem baixa)",IF(AND(ISNUMBER(R2785),R2785&lt;TODAY()),"🔴 PRAZO VENCIDO",IF(AND(OR(N2785="PENDENTE",N2785="PARCIAL"),D2785&lt;TODAY()-1),"🔴 EMBARQUE ATRASADO",IF(AND(N2785="REALIZADO",M2785="PENDENTE"),"🟡 EMBARCADO SEM FATURAR",IF(AND(P2785&lt;&gt;"",S2785="",OR(Q2785="",R2785="")),"🟡 PENDÊNCIA SEM RESPONSÁVEL/PRAZO",IF(AND(ISNUMBER(R2785),R2785=TODAY()),"🟡 VENCE HOJE",IF(AND(P2785&lt;&gt;"",S2785=""),"🟡 PENDÊNCIA ABERTA",IF(AND(N(J2785)&gt;0,N(K2785)&lt;J2785),"🟡 FALTA EXECUTAR",IF(OR(M2785="PENDENTE",M2785="PARCIAL"),"🟡 FATURAMENTO PENDENTE","🟡 EMBARQUE PENDENTE")))))))))))</f>
        <v/>
      </c>
      <c r="D2785" s="4" t="n"/>
      <c r="E2785" s="5" t="n"/>
      <c r="F2785" s="5" t="n"/>
      <c r="G2785" s="5" t="n"/>
      <c r="H2785" s="5" t="n"/>
      <c r="I2785" s="5" t="n"/>
      <c r="J2785" s="6" t="n"/>
      <c r="K2785" s="6" t="n"/>
      <c r="L2785" s="7">
        <f>IF(OR(D2785="",N(J2785)=0),"",MIN(1,N(K2785)/J2785))</f>
        <v/>
      </c>
      <c r="M2785" s="5" t="n"/>
      <c r="N2785" s="5" t="n"/>
      <c r="O2785" s="5" t="n"/>
      <c r="P2785" s="5" t="n"/>
      <c r="Q2785" s="5" t="n"/>
      <c r="R2785" s="4" t="n"/>
      <c r="S2785" s="4" t="n"/>
      <c r="T2785" s="5" t="n"/>
      <c r="U2785" s="8">
        <f>IF(AND(V2785=1,D2785&lt;&gt;""),IF(D2785&gt;=corte,TODAY()-D2785,""),"")</f>
        <v/>
      </c>
      <c r="V2785" s="8">
        <f>IF(D2785="",0,IF(OR(AND(P2785&lt;&gt;"",S2785=""),AND(N(J2785)&gt;0,N(K2785)&lt;J2785),OR(M2785="PENDENTE",M2785="PARCIAL"),OR(N2785="PENDENTE",N2785="PARCIAL")),1,0))</f>
        <v/>
      </c>
      <c r="W2785" s="8">
        <f>IF(AND(V2785=1,D2785&lt;&gt;""),IF(D2785&gt;=corte,(B2785="CRÍTICO")*1E9+(100000-D2785)*10000+10000-ROW(),""),"")</f>
        <v/>
      </c>
      <c r="X2785" s="8">
        <f>IF(AND(V2785=1,D2785=pas_data,E2785=pas_turno),10000-ROW(),"")</f>
        <v/>
      </c>
    </row>
    <row r="2786">
      <c r="A2786" s="3">
        <f>IF(D2786="","","TT-"&amp;TEXT(ROW()-1,"00000"))</f>
        <v/>
      </c>
      <c r="B2786" s="3">
        <f>IF(D2786="","",IF(V2786=0,"CONCLUÍDO",IF(D2786&lt;corte,"HISTÓRICO",IF(OR(AND(ISNUMBER(R2786),R2786&lt;TODAY()),AND(OR(N2786="PENDENTE",N2786="PARCIAL"),D2786&lt;TODAY()-1)),"CRÍTICO",IF(OR(AND(P2786&lt;&gt;"",S2786=""),AND(N2786="REALIZADO",M2786="PENDENTE"),AND(ISNUMBER(R2786),R2786=TODAY())),"ATENÇÃO",IF(N(K2786)=0,"PENDENTE","EM ANDAMENTO"))))))</f>
        <v/>
      </c>
      <c r="C2786" s="3">
        <f>IF(D2786="","",IF(V2786=0,"🟢 OK",IF(D2786&lt;corte,"⚪ HISTÓRICO (sem baixa)",IF(AND(ISNUMBER(R2786),R2786&lt;TODAY()),"🔴 PRAZO VENCIDO",IF(AND(OR(N2786="PENDENTE",N2786="PARCIAL"),D2786&lt;TODAY()-1),"🔴 EMBARQUE ATRASADO",IF(AND(N2786="REALIZADO",M2786="PENDENTE"),"🟡 EMBARCADO SEM FATURAR",IF(AND(P2786&lt;&gt;"",S2786="",OR(Q2786="",R2786="")),"🟡 PENDÊNCIA SEM RESPONSÁVEL/PRAZO",IF(AND(ISNUMBER(R2786),R2786=TODAY()),"🟡 VENCE HOJE",IF(AND(P2786&lt;&gt;"",S2786=""),"🟡 PENDÊNCIA ABERTA",IF(AND(N(J2786)&gt;0,N(K2786)&lt;J2786),"🟡 FALTA EXECUTAR",IF(OR(M2786="PENDENTE",M2786="PARCIAL"),"🟡 FATURAMENTO PENDENTE","🟡 EMBARQUE PENDENTE")))))))))))</f>
        <v/>
      </c>
      <c r="D2786" s="4" t="n"/>
      <c r="E2786" s="5" t="n"/>
      <c r="F2786" s="5" t="n"/>
      <c r="G2786" s="5" t="n"/>
      <c r="H2786" s="5" t="n"/>
      <c r="I2786" s="5" t="n"/>
      <c r="J2786" s="6" t="n"/>
      <c r="K2786" s="6" t="n"/>
      <c r="L2786" s="7">
        <f>IF(OR(D2786="",N(J2786)=0),"",MIN(1,N(K2786)/J2786))</f>
        <v/>
      </c>
      <c r="M2786" s="5" t="n"/>
      <c r="N2786" s="5" t="n"/>
      <c r="O2786" s="5" t="n"/>
      <c r="P2786" s="5" t="n"/>
      <c r="Q2786" s="5" t="n"/>
      <c r="R2786" s="4" t="n"/>
      <c r="S2786" s="4" t="n"/>
      <c r="T2786" s="5" t="n"/>
      <c r="U2786" s="8">
        <f>IF(AND(V2786=1,D2786&lt;&gt;""),IF(D2786&gt;=corte,TODAY()-D2786,""),"")</f>
        <v/>
      </c>
      <c r="V2786" s="8">
        <f>IF(D2786="",0,IF(OR(AND(P2786&lt;&gt;"",S2786=""),AND(N(J2786)&gt;0,N(K2786)&lt;J2786),OR(M2786="PENDENTE",M2786="PARCIAL"),OR(N2786="PENDENTE",N2786="PARCIAL")),1,0))</f>
        <v/>
      </c>
      <c r="W2786" s="8">
        <f>IF(AND(V2786=1,D2786&lt;&gt;""),IF(D2786&gt;=corte,(B2786="CRÍTICO")*1E9+(100000-D2786)*10000+10000-ROW(),""),"")</f>
        <v/>
      </c>
      <c r="X2786" s="8">
        <f>IF(AND(V2786=1,D2786=pas_data,E2786=pas_turno),10000-ROW(),"")</f>
        <v/>
      </c>
    </row>
    <row r="2787">
      <c r="A2787" s="3">
        <f>IF(D2787="","","TT-"&amp;TEXT(ROW()-1,"00000"))</f>
        <v/>
      </c>
      <c r="B2787" s="3">
        <f>IF(D2787="","",IF(V2787=0,"CONCLUÍDO",IF(D2787&lt;corte,"HISTÓRICO",IF(OR(AND(ISNUMBER(R2787),R2787&lt;TODAY()),AND(OR(N2787="PENDENTE",N2787="PARCIAL"),D2787&lt;TODAY()-1)),"CRÍTICO",IF(OR(AND(P2787&lt;&gt;"",S2787=""),AND(N2787="REALIZADO",M2787="PENDENTE"),AND(ISNUMBER(R2787),R2787=TODAY())),"ATENÇÃO",IF(N(K2787)=0,"PENDENTE","EM ANDAMENTO"))))))</f>
        <v/>
      </c>
      <c r="C2787" s="3">
        <f>IF(D2787="","",IF(V2787=0,"🟢 OK",IF(D2787&lt;corte,"⚪ HISTÓRICO (sem baixa)",IF(AND(ISNUMBER(R2787),R2787&lt;TODAY()),"🔴 PRAZO VENCIDO",IF(AND(OR(N2787="PENDENTE",N2787="PARCIAL"),D2787&lt;TODAY()-1),"🔴 EMBARQUE ATRASADO",IF(AND(N2787="REALIZADO",M2787="PENDENTE"),"🟡 EMBARCADO SEM FATURAR",IF(AND(P2787&lt;&gt;"",S2787="",OR(Q2787="",R2787="")),"🟡 PENDÊNCIA SEM RESPONSÁVEL/PRAZO",IF(AND(ISNUMBER(R2787),R2787=TODAY()),"🟡 VENCE HOJE",IF(AND(P2787&lt;&gt;"",S2787=""),"🟡 PENDÊNCIA ABERTA",IF(AND(N(J2787)&gt;0,N(K2787)&lt;J2787),"🟡 FALTA EXECUTAR",IF(OR(M2787="PENDENTE",M2787="PARCIAL"),"🟡 FATURAMENTO PENDENTE","🟡 EMBARQUE PENDENTE")))))))))))</f>
        <v/>
      </c>
      <c r="D2787" s="4" t="n"/>
      <c r="E2787" s="5" t="n"/>
      <c r="F2787" s="5" t="n"/>
      <c r="G2787" s="5" t="n"/>
      <c r="H2787" s="5" t="n"/>
      <c r="I2787" s="5" t="n"/>
      <c r="J2787" s="6" t="n"/>
      <c r="K2787" s="6" t="n"/>
      <c r="L2787" s="7">
        <f>IF(OR(D2787="",N(J2787)=0),"",MIN(1,N(K2787)/J2787))</f>
        <v/>
      </c>
      <c r="M2787" s="5" t="n"/>
      <c r="N2787" s="5" t="n"/>
      <c r="O2787" s="5" t="n"/>
      <c r="P2787" s="5" t="n"/>
      <c r="Q2787" s="5" t="n"/>
      <c r="R2787" s="4" t="n"/>
      <c r="S2787" s="4" t="n"/>
      <c r="T2787" s="5" t="n"/>
      <c r="U2787" s="8">
        <f>IF(AND(V2787=1,D2787&lt;&gt;""),IF(D2787&gt;=corte,TODAY()-D2787,""),"")</f>
        <v/>
      </c>
      <c r="V2787" s="8">
        <f>IF(D2787="",0,IF(OR(AND(P2787&lt;&gt;"",S2787=""),AND(N(J2787)&gt;0,N(K2787)&lt;J2787),OR(M2787="PENDENTE",M2787="PARCIAL"),OR(N2787="PENDENTE",N2787="PARCIAL")),1,0))</f>
        <v/>
      </c>
      <c r="W2787" s="8">
        <f>IF(AND(V2787=1,D2787&lt;&gt;""),IF(D2787&gt;=corte,(B2787="CRÍTICO")*1E9+(100000-D2787)*10000+10000-ROW(),""),"")</f>
        <v/>
      </c>
      <c r="X2787" s="8">
        <f>IF(AND(V2787=1,D2787=pas_data,E2787=pas_turno),10000-ROW(),"")</f>
        <v/>
      </c>
    </row>
    <row r="2788">
      <c r="A2788" s="3">
        <f>IF(D2788="","","TT-"&amp;TEXT(ROW()-1,"00000"))</f>
        <v/>
      </c>
      <c r="B2788" s="3">
        <f>IF(D2788="","",IF(V2788=0,"CONCLUÍDO",IF(D2788&lt;corte,"HISTÓRICO",IF(OR(AND(ISNUMBER(R2788),R2788&lt;TODAY()),AND(OR(N2788="PENDENTE",N2788="PARCIAL"),D2788&lt;TODAY()-1)),"CRÍTICO",IF(OR(AND(P2788&lt;&gt;"",S2788=""),AND(N2788="REALIZADO",M2788="PENDENTE"),AND(ISNUMBER(R2788),R2788=TODAY())),"ATENÇÃO",IF(N(K2788)=0,"PENDENTE","EM ANDAMENTO"))))))</f>
        <v/>
      </c>
      <c r="C2788" s="3">
        <f>IF(D2788="","",IF(V2788=0,"🟢 OK",IF(D2788&lt;corte,"⚪ HISTÓRICO (sem baixa)",IF(AND(ISNUMBER(R2788),R2788&lt;TODAY()),"🔴 PRAZO VENCIDO",IF(AND(OR(N2788="PENDENTE",N2788="PARCIAL"),D2788&lt;TODAY()-1),"🔴 EMBARQUE ATRASADO",IF(AND(N2788="REALIZADO",M2788="PENDENTE"),"🟡 EMBARCADO SEM FATURAR",IF(AND(P2788&lt;&gt;"",S2788="",OR(Q2788="",R2788="")),"🟡 PENDÊNCIA SEM RESPONSÁVEL/PRAZO",IF(AND(ISNUMBER(R2788),R2788=TODAY()),"🟡 VENCE HOJE",IF(AND(P2788&lt;&gt;"",S2788=""),"🟡 PENDÊNCIA ABERTA",IF(AND(N(J2788)&gt;0,N(K2788)&lt;J2788),"🟡 FALTA EXECUTAR",IF(OR(M2788="PENDENTE",M2788="PARCIAL"),"🟡 FATURAMENTO PENDENTE","🟡 EMBARQUE PENDENTE")))))))))))</f>
        <v/>
      </c>
      <c r="D2788" s="4" t="n"/>
      <c r="E2788" s="5" t="n"/>
      <c r="F2788" s="5" t="n"/>
      <c r="G2788" s="5" t="n"/>
      <c r="H2788" s="5" t="n"/>
      <c r="I2788" s="5" t="n"/>
      <c r="J2788" s="6" t="n"/>
      <c r="K2788" s="6" t="n"/>
      <c r="L2788" s="7">
        <f>IF(OR(D2788="",N(J2788)=0),"",MIN(1,N(K2788)/J2788))</f>
        <v/>
      </c>
      <c r="M2788" s="5" t="n"/>
      <c r="N2788" s="5" t="n"/>
      <c r="O2788" s="5" t="n"/>
      <c r="P2788" s="5" t="n"/>
      <c r="Q2788" s="5" t="n"/>
      <c r="R2788" s="4" t="n"/>
      <c r="S2788" s="4" t="n"/>
      <c r="T2788" s="5" t="n"/>
      <c r="U2788" s="8">
        <f>IF(AND(V2788=1,D2788&lt;&gt;""),IF(D2788&gt;=corte,TODAY()-D2788,""),"")</f>
        <v/>
      </c>
      <c r="V2788" s="8">
        <f>IF(D2788="",0,IF(OR(AND(P2788&lt;&gt;"",S2788=""),AND(N(J2788)&gt;0,N(K2788)&lt;J2788),OR(M2788="PENDENTE",M2788="PARCIAL"),OR(N2788="PENDENTE",N2788="PARCIAL")),1,0))</f>
        <v/>
      </c>
      <c r="W2788" s="8">
        <f>IF(AND(V2788=1,D2788&lt;&gt;""),IF(D2788&gt;=corte,(B2788="CRÍTICO")*1E9+(100000-D2788)*10000+10000-ROW(),""),"")</f>
        <v/>
      </c>
      <c r="X2788" s="8">
        <f>IF(AND(V2788=1,D2788=pas_data,E2788=pas_turno),10000-ROW(),"")</f>
        <v/>
      </c>
    </row>
    <row r="2789">
      <c r="A2789" s="3">
        <f>IF(D2789="","","TT-"&amp;TEXT(ROW()-1,"00000"))</f>
        <v/>
      </c>
      <c r="B2789" s="3">
        <f>IF(D2789="","",IF(V2789=0,"CONCLUÍDO",IF(D2789&lt;corte,"HISTÓRICO",IF(OR(AND(ISNUMBER(R2789),R2789&lt;TODAY()),AND(OR(N2789="PENDENTE",N2789="PARCIAL"),D2789&lt;TODAY()-1)),"CRÍTICO",IF(OR(AND(P2789&lt;&gt;"",S2789=""),AND(N2789="REALIZADO",M2789="PENDENTE"),AND(ISNUMBER(R2789),R2789=TODAY())),"ATENÇÃO",IF(N(K2789)=0,"PENDENTE","EM ANDAMENTO"))))))</f>
        <v/>
      </c>
      <c r="C2789" s="3">
        <f>IF(D2789="","",IF(V2789=0,"🟢 OK",IF(D2789&lt;corte,"⚪ HISTÓRICO (sem baixa)",IF(AND(ISNUMBER(R2789),R2789&lt;TODAY()),"🔴 PRAZO VENCIDO",IF(AND(OR(N2789="PENDENTE",N2789="PARCIAL"),D2789&lt;TODAY()-1),"🔴 EMBARQUE ATRASADO",IF(AND(N2789="REALIZADO",M2789="PENDENTE"),"🟡 EMBARCADO SEM FATURAR",IF(AND(P2789&lt;&gt;"",S2789="",OR(Q2789="",R2789="")),"🟡 PENDÊNCIA SEM RESPONSÁVEL/PRAZO",IF(AND(ISNUMBER(R2789),R2789=TODAY()),"🟡 VENCE HOJE",IF(AND(P2789&lt;&gt;"",S2789=""),"🟡 PENDÊNCIA ABERTA",IF(AND(N(J2789)&gt;0,N(K2789)&lt;J2789),"🟡 FALTA EXECUTAR",IF(OR(M2789="PENDENTE",M2789="PARCIAL"),"🟡 FATURAMENTO PENDENTE","🟡 EMBARQUE PENDENTE")))))))))))</f>
        <v/>
      </c>
      <c r="D2789" s="4" t="n"/>
      <c r="E2789" s="5" t="n"/>
      <c r="F2789" s="5" t="n"/>
      <c r="G2789" s="5" t="n"/>
      <c r="H2789" s="5" t="n"/>
      <c r="I2789" s="5" t="n"/>
      <c r="J2789" s="6" t="n"/>
      <c r="K2789" s="6" t="n"/>
      <c r="L2789" s="7">
        <f>IF(OR(D2789="",N(J2789)=0),"",MIN(1,N(K2789)/J2789))</f>
        <v/>
      </c>
      <c r="M2789" s="5" t="n"/>
      <c r="N2789" s="5" t="n"/>
      <c r="O2789" s="5" t="n"/>
      <c r="P2789" s="5" t="n"/>
      <c r="Q2789" s="5" t="n"/>
      <c r="R2789" s="4" t="n"/>
      <c r="S2789" s="4" t="n"/>
      <c r="T2789" s="5" t="n"/>
      <c r="U2789" s="8">
        <f>IF(AND(V2789=1,D2789&lt;&gt;""),IF(D2789&gt;=corte,TODAY()-D2789,""),"")</f>
        <v/>
      </c>
      <c r="V2789" s="8">
        <f>IF(D2789="",0,IF(OR(AND(P2789&lt;&gt;"",S2789=""),AND(N(J2789)&gt;0,N(K2789)&lt;J2789),OR(M2789="PENDENTE",M2789="PARCIAL"),OR(N2789="PENDENTE",N2789="PARCIAL")),1,0))</f>
        <v/>
      </c>
      <c r="W2789" s="8">
        <f>IF(AND(V2789=1,D2789&lt;&gt;""),IF(D2789&gt;=corte,(B2789="CRÍTICO")*1E9+(100000-D2789)*10000+10000-ROW(),""),"")</f>
        <v/>
      </c>
      <c r="X2789" s="8">
        <f>IF(AND(V2789=1,D2789=pas_data,E2789=pas_turno),10000-ROW(),"")</f>
        <v/>
      </c>
    </row>
    <row r="2790">
      <c r="A2790" s="3">
        <f>IF(D2790="","","TT-"&amp;TEXT(ROW()-1,"00000"))</f>
        <v/>
      </c>
      <c r="B2790" s="3">
        <f>IF(D2790="","",IF(V2790=0,"CONCLUÍDO",IF(D2790&lt;corte,"HISTÓRICO",IF(OR(AND(ISNUMBER(R2790),R2790&lt;TODAY()),AND(OR(N2790="PENDENTE",N2790="PARCIAL"),D2790&lt;TODAY()-1)),"CRÍTICO",IF(OR(AND(P2790&lt;&gt;"",S2790=""),AND(N2790="REALIZADO",M2790="PENDENTE"),AND(ISNUMBER(R2790),R2790=TODAY())),"ATENÇÃO",IF(N(K2790)=0,"PENDENTE","EM ANDAMENTO"))))))</f>
        <v/>
      </c>
      <c r="C2790" s="3">
        <f>IF(D2790="","",IF(V2790=0,"🟢 OK",IF(D2790&lt;corte,"⚪ HISTÓRICO (sem baixa)",IF(AND(ISNUMBER(R2790),R2790&lt;TODAY()),"🔴 PRAZO VENCIDO",IF(AND(OR(N2790="PENDENTE",N2790="PARCIAL"),D2790&lt;TODAY()-1),"🔴 EMBARQUE ATRASADO",IF(AND(N2790="REALIZADO",M2790="PENDENTE"),"🟡 EMBARCADO SEM FATURAR",IF(AND(P2790&lt;&gt;"",S2790="",OR(Q2790="",R2790="")),"🟡 PENDÊNCIA SEM RESPONSÁVEL/PRAZO",IF(AND(ISNUMBER(R2790),R2790=TODAY()),"🟡 VENCE HOJE",IF(AND(P2790&lt;&gt;"",S2790=""),"🟡 PENDÊNCIA ABERTA",IF(AND(N(J2790)&gt;0,N(K2790)&lt;J2790),"🟡 FALTA EXECUTAR",IF(OR(M2790="PENDENTE",M2790="PARCIAL"),"🟡 FATURAMENTO PENDENTE","🟡 EMBARQUE PENDENTE")))))))))))</f>
        <v/>
      </c>
      <c r="D2790" s="4" t="n"/>
      <c r="E2790" s="5" t="n"/>
      <c r="F2790" s="5" t="n"/>
      <c r="G2790" s="5" t="n"/>
      <c r="H2790" s="5" t="n"/>
      <c r="I2790" s="5" t="n"/>
      <c r="J2790" s="6" t="n"/>
      <c r="K2790" s="6" t="n"/>
      <c r="L2790" s="7">
        <f>IF(OR(D2790="",N(J2790)=0),"",MIN(1,N(K2790)/J2790))</f>
        <v/>
      </c>
      <c r="M2790" s="5" t="n"/>
      <c r="N2790" s="5" t="n"/>
      <c r="O2790" s="5" t="n"/>
      <c r="P2790" s="5" t="n"/>
      <c r="Q2790" s="5" t="n"/>
      <c r="R2790" s="4" t="n"/>
      <c r="S2790" s="4" t="n"/>
      <c r="T2790" s="5" t="n"/>
      <c r="U2790" s="8">
        <f>IF(AND(V2790=1,D2790&lt;&gt;""),IF(D2790&gt;=corte,TODAY()-D2790,""),"")</f>
        <v/>
      </c>
      <c r="V2790" s="8">
        <f>IF(D2790="",0,IF(OR(AND(P2790&lt;&gt;"",S2790=""),AND(N(J2790)&gt;0,N(K2790)&lt;J2790),OR(M2790="PENDENTE",M2790="PARCIAL"),OR(N2790="PENDENTE",N2790="PARCIAL")),1,0))</f>
        <v/>
      </c>
      <c r="W2790" s="8">
        <f>IF(AND(V2790=1,D2790&lt;&gt;""),IF(D2790&gt;=corte,(B2790="CRÍTICO")*1E9+(100000-D2790)*10000+10000-ROW(),""),"")</f>
        <v/>
      </c>
      <c r="X2790" s="8">
        <f>IF(AND(V2790=1,D2790=pas_data,E2790=pas_turno),10000-ROW(),"")</f>
        <v/>
      </c>
    </row>
    <row r="2791">
      <c r="A2791" s="3">
        <f>IF(D2791="","","TT-"&amp;TEXT(ROW()-1,"00000"))</f>
        <v/>
      </c>
      <c r="B2791" s="3">
        <f>IF(D2791="","",IF(V2791=0,"CONCLUÍDO",IF(D2791&lt;corte,"HISTÓRICO",IF(OR(AND(ISNUMBER(R2791),R2791&lt;TODAY()),AND(OR(N2791="PENDENTE",N2791="PARCIAL"),D2791&lt;TODAY()-1)),"CRÍTICO",IF(OR(AND(P2791&lt;&gt;"",S2791=""),AND(N2791="REALIZADO",M2791="PENDENTE"),AND(ISNUMBER(R2791),R2791=TODAY())),"ATENÇÃO",IF(N(K2791)=0,"PENDENTE","EM ANDAMENTO"))))))</f>
        <v/>
      </c>
      <c r="C2791" s="3">
        <f>IF(D2791="","",IF(V2791=0,"🟢 OK",IF(D2791&lt;corte,"⚪ HISTÓRICO (sem baixa)",IF(AND(ISNUMBER(R2791),R2791&lt;TODAY()),"🔴 PRAZO VENCIDO",IF(AND(OR(N2791="PENDENTE",N2791="PARCIAL"),D2791&lt;TODAY()-1),"🔴 EMBARQUE ATRASADO",IF(AND(N2791="REALIZADO",M2791="PENDENTE"),"🟡 EMBARCADO SEM FATURAR",IF(AND(P2791&lt;&gt;"",S2791="",OR(Q2791="",R2791="")),"🟡 PENDÊNCIA SEM RESPONSÁVEL/PRAZO",IF(AND(ISNUMBER(R2791),R2791=TODAY()),"🟡 VENCE HOJE",IF(AND(P2791&lt;&gt;"",S2791=""),"🟡 PENDÊNCIA ABERTA",IF(AND(N(J2791)&gt;0,N(K2791)&lt;J2791),"🟡 FALTA EXECUTAR",IF(OR(M2791="PENDENTE",M2791="PARCIAL"),"🟡 FATURAMENTO PENDENTE","🟡 EMBARQUE PENDENTE")))))))))))</f>
        <v/>
      </c>
      <c r="D2791" s="4" t="n"/>
      <c r="E2791" s="5" t="n"/>
      <c r="F2791" s="5" t="n"/>
      <c r="G2791" s="5" t="n"/>
      <c r="H2791" s="5" t="n"/>
      <c r="I2791" s="5" t="n"/>
      <c r="J2791" s="6" t="n"/>
      <c r="K2791" s="6" t="n"/>
      <c r="L2791" s="7">
        <f>IF(OR(D2791="",N(J2791)=0),"",MIN(1,N(K2791)/J2791))</f>
        <v/>
      </c>
      <c r="M2791" s="5" t="n"/>
      <c r="N2791" s="5" t="n"/>
      <c r="O2791" s="5" t="n"/>
      <c r="P2791" s="5" t="n"/>
      <c r="Q2791" s="5" t="n"/>
      <c r="R2791" s="4" t="n"/>
      <c r="S2791" s="4" t="n"/>
      <c r="T2791" s="5" t="n"/>
      <c r="U2791" s="8">
        <f>IF(AND(V2791=1,D2791&lt;&gt;""),IF(D2791&gt;=corte,TODAY()-D2791,""),"")</f>
        <v/>
      </c>
      <c r="V2791" s="8">
        <f>IF(D2791="",0,IF(OR(AND(P2791&lt;&gt;"",S2791=""),AND(N(J2791)&gt;0,N(K2791)&lt;J2791),OR(M2791="PENDENTE",M2791="PARCIAL"),OR(N2791="PENDENTE",N2791="PARCIAL")),1,0))</f>
        <v/>
      </c>
      <c r="W2791" s="8">
        <f>IF(AND(V2791=1,D2791&lt;&gt;""),IF(D2791&gt;=corte,(B2791="CRÍTICO")*1E9+(100000-D2791)*10000+10000-ROW(),""),"")</f>
        <v/>
      </c>
      <c r="X2791" s="8">
        <f>IF(AND(V2791=1,D2791=pas_data,E2791=pas_turno),10000-ROW(),"")</f>
        <v/>
      </c>
    </row>
    <row r="2792">
      <c r="A2792" s="3">
        <f>IF(D2792="","","TT-"&amp;TEXT(ROW()-1,"00000"))</f>
        <v/>
      </c>
      <c r="B2792" s="3">
        <f>IF(D2792="","",IF(V2792=0,"CONCLUÍDO",IF(D2792&lt;corte,"HISTÓRICO",IF(OR(AND(ISNUMBER(R2792),R2792&lt;TODAY()),AND(OR(N2792="PENDENTE",N2792="PARCIAL"),D2792&lt;TODAY()-1)),"CRÍTICO",IF(OR(AND(P2792&lt;&gt;"",S2792=""),AND(N2792="REALIZADO",M2792="PENDENTE"),AND(ISNUMBER(R2792),R2792=TODAY())),"ATENÇÃO",IF(N(K2792)=0,"PENDENTE","EM ANDAMENTO"))))))</f>
        <v/>
      </c>
      <c r="C2792" s="3">
        <f>IF(D2792="","",IF(V2792=0,"🟢 OK",IF(D2792&lt;corte,"⚪ HISTÓRICO (sem baixa)",IF(AND(ISNUMBER(R2792),R2792&lt;TODAY()),"🔴 PRAZO VENCIDO",IF(AND(OR(N2792="PENDENTE",N2792="PARCIAL"),D2792&lt;TODAY()-1),"🔴 EMBARQUE ATRASADO",IF(AND(N2792="REALIZADO",M2792="PENDENTE"),"🟡 EMBARCADO SEM FATURAR",IF(AND(P2792&lt;&gt;"",S2792="",OR(Q2792="",R2792="")),"🟡 PENDÊNCIA SEM RESPONSÁVEL/PRAZO",IF(AND(ISNUMBER(R2792),R2792=TODAY()),"🟡 VENCE HOJE",IF(AND(P2792&lt;&gt;"",S2792=""),"🟡 PENDÊNCIA ABERTA",IF(AND(N(J2792)&gt;0,N(K2792)&lt;J2792),"🟡 FALTA EXECUTAR",IF(OR(M2792="PENDENTE",M2792="PARCIAL"),"🟡 FATURAMENTO PENDENTE","🟡 EMBARQUE PENDENTE")))))))))))</f>
        <v/>
      </c>
      <c r="D2792" s="4" t="n"/>
      <c r="E2792" s="5" t="n"/>
      <c r="F2792" s="5" t="n"/>
      <c r="G2792" s="5" t="n"/>
      <c r="H2792" s="5" t="n"/>
      <c r="I2792" s="5" t="n"/>
      <c r="J2792" s="6" t="n"/>
      <c r="K2792" s="6" t="n"/>
      <c r="L2792" s="7">
        <f>IF(OR(D2792="",N(J2792)=0),"",MIN(1,N(K2792)/J2792))</f>
        <v/>
      </c>
      <c r="M2792" s="5" t="n"/>
      <c r="N2792" s="5" t="n"/>
      <c r="O2792" s="5" t="n"/>
      <c r="P2792" s="5" t="n"/>
      <c r="Q2792" s="5" t="n"/>
      <c r="R2792" s="4" t="n"/>
      <c r="S2792" s="4" t="n"/>
      <c r="T2792" s="5" t="n"/>
      <c r="U2792" s="8">
        <f>IF(AND(V2792=1,D2792&lt;&gt;""),IF(D2792&gt;=corte,TODAY()-D2792,""),"")</f>
        <v/>
      </c>
      <c r="V2792" s="8">
        <f>IF(D2792="",0,IF(OR(AND(P2792&lt;&gt;"",S2792=""),AND(N(J2792)&gt;0,N(K2792)&lt;J2792),OR(M2792="PENDENTE",M2792="PARCIAL"),OR(N2792="PENDENTE",N2792="PARCIAL")),1,0))</f>
        <v/>
      </c>
      <c r="W2792" s="8">
        <f>IF(AND(V2792=1,D2792&lt;&gt;""),IF(D2792&gt;=corte,(B2792="CRÍTICO")*1E9+(100000-D2792)*10000+10000-ROW(),""),"")</f>
        <v/>
      </c>
      <c r="X2792" s="8">
        <f>IF(AND(V2792=1,D2792=pas_data,E2792=pas_turno),10000-ROW(),"")</f>
        <v/>
      </c>
    </row>
    <row r="2793">
      <c r="A2793" s="3">
        <f>IF(D2793="","","TT-"&amp;TEXT(ROW()-1,"00000"))</f>
        <v/>
      </c>
      <c r="B2793" s="3">
        <f>IF(D2793="","",IF(V2793=0,"CONCLUÍDO",IF(D2793&lt;corte,"HISTÓRICO",IF(OR(AND(ISNUMBER(R2793),R2793&lt;TODAY()),AND(OR(N2793="PENDENTE",N2793="PARCIAL"),D2793&lt;TODAY()-1)),"CRÍTICO",IF(OR(AND(P2793&lt;&gt;"",S2793=""),AND(N2793="REALIZADO",M2793="PENDENTE"),AND(ISNUMBER(R2793),R2793=TODAY())),"ATENÇÃO",IF(N(K2793)=0,"PENDENTE","EM ANDAMENTO"))))))</f>
        <v/>
      </c>
      <c r="C2793" s="3">
        <f>IF(D2793="","",IF(V2793=0,"🟢 OK",IF(D2793&lt;corte,"⚪ HISTÓRICO (sem baixa)",IF(AND(ISNUMBER(R2793),R2793&lt;TODAY()),"🔴 PRAZO VENCIDO",IF(AND(OR(N2793="PENDENTE",N2793="PARCIAL"),D2793&lt;TODAY()-1),"🔴 EMBARQUE ATRASADO",IF(AND(N2793="REALIZADO",M2793="PENDENTE"),"🟡 EMBARCADO SEM FATURAR",IF(AND(P2793&lt;&gt;"",S2793="",OR(Q2793="",R2793="")),"🟡 PENDÊNCIA SEM RESPONSÁVEL/PRAZO",IF(AND(ISNUMBER(R2793),R2793=TODAY()),"🟡 VENCE HOJE",IF(AND(P2793&lt;&gt;"",S2793=""),"🟡 PENDÊNCIA ABERTA",IF(AND(N(J2793)&gt;0,N(K2793)&lt;J2793),"🟡 FALTA EXECUTAR",IF(OR(M2793="PENDENTE",M2793="PARCIAL"),"🟡 FATURAMENTO PENDENTE","🟡 EMBARQUE PENDENTE")))))))))))</f>
        <v/>
      </c>
      <c r="D2793" s="4" t="n"/>
      <c r="E2793" s="5" t="n"/>
      <c r="F2793" s="5" t="n"/>
      <c r="G2793" s="5" t="n"/>
      <c r="H2793" s="5" t="n"/>
      <c r="I2793" s="5" t="n"/>
      <c r="J2793" s="6" t="n"/>
      <c r="K2793" s="6" t="n"/>
      <c r="L2793" s="7">
        <f>IF(OR(D2793="",N(J2793)=0),"",MIN(1,N(K2793)/J2793))</f>
        <v/>
      </c>
      <c r="M2793" s="5" t="n"/>
      <c r="N2793" s="5" t="n"/>
      <c r="O2793" s="5" t="n"/>
      <c r="P2793" s="5" t="n"/>
      <c r="Q2793" s="5" t="n"/>
      <c r="R2793" s="4" t="n"/>
      <c r="S2793" s="4" t="n"/>
      <c r="T2793" s="5" t="n"/>
      <c r="U2793" s="8">
        <f>IF(AND(V2793=1,D2793&lt;&gt;""),IF(D2793&gt;=corte,TODAY()-D2793,""),"")</f>
        <v/>
      </c>
      <c r="V2793" s="8">
        <f>IF(D2793="",0,IF(OR(AND(P2793&lt;&gt;"",S2793=""),AND(N(J2793)&gt;0,N(K2793)&lt;J2793),OR(M2793="PENDENTE",M2793="PARCIAL"),OR(N2793="PENDENTE",N2793="PARCIAL")),1,0))</f>
        <v/>
      </c>
      <c r="W2793" s="8">
        <f>IF(AND(V2793=1,D2793&lt;&gt;""),IF(D2793&gt;=corte,(B2793="CRÍTICO")*1E9+(100000-D2793)*10000+10000-ROW(),""),"")</f>
        <v/>
      </c>
      <c r="X2793" s="8">
        <f>IF(AND(V2793=1,D2793=pas_data,E2793=pas_turno),10000-ROW(),"")</f>
        <v/>
      </c>
    </row>
    <row r="2794">
      <c r="A2794" s="3">
        <f>IF(D2794="","","TT-"&amp;TEXT(ROW()-1,"00000"))</f>
        <v/>
      </c>
      <c r="B2794" s="3">
        <f>IF(D2794="","",IF(V2794=0,"CONCLUÍDO",IF(D2794&lt;corte,"HISTÓRICO",IF(OR(AND(ISNUMBER(R2794),R2794&lt;TODAY()),AND(OR(N2794="PENDENTE",N2794="PARCIAL"),D2794&lt;TODAY()-1)),"CRÍTICO",IF(OR(AND(P2794&lt;&gt;"",S2794=""),AND(N2794="REALIZADO",M2794="PENDENTE"),AND(ISNUMBER(R2794),R2794=TODAY())),"ATENÇÃO",IF(N(K2794)=0,"PENDENTE","EM ANDAMENTO"))))))</f>
        <v/>
      </c>
      <c r="C2794" s="3">
        <f>IF(D2794="","",IF(V2794=0,"🟢 OK",IF(D2794&lt;corte,"⚪ HISTÓRICO (sem baixa)",IF(AND(ISNUMBER(R2794),R2794&lt;TODAY()),"🔴 PRAZO VENCIDO",IF(AND(OR(N2794="PENDENTE",N2794="PARCIAL"),D2794&lt;TODAY()-1),"🔴 EMBARQUE ATRASADO",IF(AND(N2794="REALIZADO",M2794="PENDENTE"),"🟡 EMBARCADO SEM FATURAR",IF(AND(P2794&lt;&gt;"",S2794="",OR(Q2794="",R2794="")),"🟡 PENDÊNCIA SEM RESPONSÁVEL/PRAZO",IF(AND(ISNUMBER(R2794),R2794=TODAY()),"🟡 VENCE HOJE",IF(AND(P2794&lt;&gt;"",S2794=""),"🟡 PENDÊNCIA ABERTA",IF(AND(N(J2794)&gt;0,N(K2794)&lt;J2794),"🟡 FALTA EXECUTAR",IF(OR(M2794="PENDENTE",M2794="PARCIAL"),"🟡 FATURAMENTO PENDENTE","🟡 EMBARQUE PENDENTE")))))))))))</f>
        <v/>
      </c>
      <c r="D2794" s="4" t="n"/>
      <c r="E2794" s="5" t="n"/>
      <c r="F2794" s="5" t="n"/>
      <c r="G2794" s="5" t="n"/>
      <c r="H2794" s="5" t="n"/>
      <c r="I2794" s="5" t="n"/>
      <c r="J2794" s="6" t="n"/>
      <c r="K2794" s="6" t="n"/>
      <c r="L2794" s="7">
        <f>IF(OR(D2794="",N(J2794)=0),"",MIN(1,N(K2794)/J2794))</f>
        <v/>
      </c>
      <c r="M2794" s="5" t="n"/>
      <c r="N2794" s="5" t="n"/>
      <c r="O2794" s="5" t="n"/>
      <c r="P2794" s="5" t="n"/>
      <c r="Q2794" s="5" t="n"/>
      <c r="R2794" s="4" t="n"/>
      <c r="S2794" s="4" t="n"/>
      <c r="T2794" s="5" t="n"/>
      <c r="U2794" s="8">
        <f>IF(AND(V2794=1,D2794&lt;&gt;""),IF(D2794&gt;=corte,TODAY()-D2794,""),"")</f>
        <v/>
      </c>
      <c r="V2794" s="8">
        <f>IF(D2794="",0,IF(OR(AND(P2794&lt;&gt;"",S2794=""),AND(N(J2794)&gt;0,N(K2794)&lt;J2794),OR(M2794="PENDENTE",M2794="PARCIAL"),OR(N2794="PENDENTE",N2794="PARCIAL")),1,0))</f>
        <v/>
      </c>
      <c r="W2794" s="8">
        <f>IF(AND(V2794=1,D2794&lt;&gt;""),IF(D2794&gt;=corte,(B2794="CRÍTICO")*1E9+(100000-D2794)*10000+10000-ROW(),""),"")</f>
        <v/>
      </c>
      <c r="X2794" s="8">
        <f>IF(AND(V2794=1,D2794=pas_data,E2794=pas_turno),10000-ROW(),"")</f>
        <v/>
      </c>
    </row>
    <row r="2795">
      <c r="A2795" s="3">
        <f>IF(D2795="","","TT-"&amp;TEXT(ROW()-1,"00000"))</f>
        <v/>
      </c>
      <c r="B2795" s="3">
        <f>IF(D2795="","",IF(V2795=0,"CONCLUÍDO",IF(D2795&lt;corte,"HISTÓRICO",IF(OR(AND(ISNUMBER(R2795),R2795&lt;TODAY()),AND(OR(N2795="PENDENTE",N2795="PARCIAL"),D2795&lt;TODAY()-1)),"CRÍTICO",IF(OR(AND(P2795&lt;&gt;"",S2795=""),AND(N2795="REALIZADO",M2795="PENDENTE"),AND(ISNUMBER(R2795),R2795=TODAY())),"ATENÇÃO",IF(N(K2795)=0,"PENDENTE","EM ANDAMENTO"))))))</f>
        <v/>
      </c>
      <c r="C2795" s="3">
        <f>IF(D2795="","",IF(V2795=0,"🟢 OK",IF(D2795&lt;corte,"⚪ HISTÓRICO (sem baixa)",IF(AND(ISNUMBER(R2795),R2795&lt;TODAY()),"🔴 PRAZO VENCIDO",IF(AND(OR(N2795="PENDENTE",N2795="PARCIAL"),D2795&lt;TODAY()-1),"🔴 EMBARQUE ATRASADO",IF(AND(N2795="REALIZADO",M2795="PENDENTE"),"🟡 EMBARCADO SEM FATURAR",IF(AND(P2795&lt;&gt;"",S2795="",OR(Q2795="",R2795="")),"🟡 PENDÊNCIA SEM RESPONSÁVEL/PRAZO",IF(AND(ISNUMBER(R2795),R2795=TODAY()),"🟡 VENCE HOJE",IF(AND(P2795&lt;&gt;"",S2795=""),"🟡 PENDÊNCIA ABERTA",IF(AND(N(J2795)&gt;0,N(K2795)&lt;J2795),"🟡 FALTA EXECUTAR",IF(OR(M2795="PENDENTE",M2795="PARCIAL"),"🟡 FATURAMENTO PENDENTE","🟡 EMBARQUE PENDENTE")))))))))))</f>
        <v/>
      </c>
      <c r="D2795" s="4" t="n"/>
      <c r="E2795" s="5" t="n"/>
      <c r="F2795" s="5" t="n"/>
      <c r="G2795" s="5" t="n"/>
      <c r="H2795" s="5" t="n"/>
      <c r="I2795" s="5" t="n"/>
      <c r="J2795" s="6" t="n"/>
      <c r="K2795" s="6" t="n"/>
      <c r="L2795" s="7">
        <f>IF(OR(D2795="",N(J2795)=0),"",MIN(1,N(K2795)/J2795))</f>
        <v/>
      </c>
      <c r="M2795" s="5" t="n"/>
      <c r="N2795" s="5" t="n"/>
      <c r="O2795" s="5" t="n"/>
      <c r="P2795" s="5" t="n"/>
      <c r="Q2795" s="5" t="n"/>
      <c r="R2795" s="4" t="n"/>
      <c r="S2795" s="4" t="n"/>
      <c r="T2795" s="5" t="n"/>
      <c r="U2795" s="8">
        <f>IF(AND(V2795=1,D2795&lt;&gt;""),IF(D2795&gt;=corte,TODAY()-D2795,""),"")</f>
        <v/>
      </c>
      <c r="V2795" s="8">
        <f>IF(D2795="",0,IF(OR(AND(P2795&lt;&gt;"",S2795=""),AND(N(J2795)&gt;0,N(K2795)&lt;J2795),OR(M2795="PENDENTE",M2795="PARCIAL"),OR(N2795="PENDENTE",N2795="PARCIAL")),1,0))</f>
        <v/>
      </c>
      <c r="W2795" s="8">
        <f>IF(AND(V2795=1,D2795&lt;&gt;""),IF(D2795&gt;=corte,(B2795="CRÍTICO")*1E9+(100000-D2795)*10000+10000-ROW(),""),"")</f>
        <v/>
      </c>
      <c r="X2795" s="8">
        <f>IF(AND(V2795=1,D2795=pas_data,E2795=pas_turno),10000-ROW(),"")</f>
        <v/>
      </c>
    </row>
    <row r="2796">
      <c r="A2796" s="3">
        <f>IF(D2796="","","TT-"&amp;TEXT(ROW()-1,"00000"))</f>
        <v/>
      </c>
      <c r="B2796" s="3">
        <f>IF(D2796="","",IF(V2796=0,"CONCLUÍDO",IF(D2796&lt;corte,"HISTÓRICO",IF(OR(AND(ISNUMBER(R2796),R2796&lt;TODAY()),AND(OR(N2796="PENDENTE",N2796="PARCIAL"),D2796&lt;TODAY()-1)),"CRÍTICO",IF(OR(AND(P2796&lt;&gt;"",S2796=""),AND(N2796="REALIZADO",M2796="PENDENTE"),AND(ISNUMBER(R2796),R2796=TODAY())),"ATENÇÃO",IF(N(K2796)=0,"PENDENTE","EM ANDAMENTO"))))))</f>
        <v/>
      </c>
      <c r="C2796" s="3">
        <f>IF(D2796="","",IF(V2796=0,"🟢 OK",IF(D2796&lt;corte,"⚪ HISTÓRICO (sem baixa)",IF(AND(ISNUMBER(R2796),R2796&lt;TODAY()),"🔴 PRAZO VENCIDO",IF(AND(OR(N2796="PENDENTE",N2796="PARCIAL"),D2796&lt;TODAY()-1),"🔴 EMBARQUE ATRASADO",IF(AND(N2796="REALIZADO",M2796="PENDENTE"),"🟡 EMBARCADO SEM FATURAR",IF(AND(P2796&lt;&gt;"",S2796="",OR(Q2796="",R2796="")),"🟡 PENDÊNCIA SEM RESPONSÁVEL/PRAZO",IF(AND(ISNUMBER(R2796),R2796=TODAY()),"🟡 VENCE HOJE",IF(AND(P2796&lt;&gt;"",S2796=""),"🟡 PENDÊNCIA ABERTA",IF(AND(N(J2796)&gt;0,N(K2796)&lt;J2796),"🟡 FALTA EXECUTAR",IF(OR(M2796="PENDENTE",M2796="PARCIAL"),"🟡 FATURAMENTO PENDENTE","🟡 EMBARQUE PENDENTE")))))))))))</f>
        <v/>
      </c>
      <c r="D2796" s="4" t="n"/>
      <c r="E2796" s="5" t="n"/>
      <c r="F2796" s="5" t="n"/>
      <c r="G2796" s="5" t="n"/>
      <c r="H2796" s="5" t="n"/>
      <c r="I2796" s="5" t="n"/>
      <c r="J2796" s="6" t="n"/>
      <c r="K2796" s="6" t="n"/>
      <c r="L2796" s="7">
        <f>IF(OR(D2796="",N(J2796)=0),"",MIN(1,N(K2796)/J2796))</f>
        <v/>
      </c>
      <c r="M2796" s="5" t="n"/>
      <c r="N2796" s="5" t="n"/>
      <c r="O2796" s="5" t="n"/>
      <c r="P2796" s="5" t="n"/>
      <c r="Q2796" s="5" t="n"/>
      <c r="R2796" s="4" t="n"/>
      <c r="S2796" s="4" t="n"/>
      <c r="T2796" s="5" t="n"/>
      <c r="U2796" s="8">
        <f>IF(AND(V2796=1,D2796&lt;&gt;""),IF(D2796&gt;=corte,TODAY()-D2796,""),"")</f>
        <v/>
      </c>
      <c r="V2796" s="8">
        <f>IF(D2796="",0,IF(OR(AND(P2796&lt;&gt;"",S2796=""),AND(N(J2796)&gt;0,N(K2796)&lt;J2796),OR(M2796="PENDENTE",M2796="PARCIAL"),OR(N2796="PENDENTE",N2796="PARCIAL")),1,0))</f>
        <v/>
      </c>
      <c r="W2796" s="8">
        <f>IF(AND(V2796=1,D2796&lt;&gt;""),IF(D2796&gt;=corte,(B2796="CRÍTICO")*1E9+(100000-D2796)*10000+10000-ROW(),""),"")</f>
        <v/>
      </c>
      <c r="X2796" s="8">
        <f>IF(AND(V2796=1,D2796=pas_data,E2796=pas_turno),10000-ROW(),"")</f>
        <v/>
      </c>
    </row>
    <row r="2797">
      <c r="A2797" s="3">
        <f>IF(D2797="","","TT-"&amp;TEXT(ROW()-1,"00000"))</f>
        <v/>
      </c>
      <c r="B2797" s="3">
        <f>IF(D2797="","",IF(V2797=0,"CONCLUÍDO",IF(D2797&lt;corte,"HISTÓRICO",IF(OR(AND(ISNUMBER(R2797),R2797&lt;TODAY()),AND(OR(N2797="PENDENTE",N2797="PARCIAL"),D2797&lt;TODAY()-1)),"CRÍTICO",IF(OR(AND(P2797&lt;&gt;"",S2797=""),AND(N2797="REALIZADO",M2797="PENDENTE"),AND(ISNUMBER(R2797),R2797=TODAY())),"ATENÇÃO",IF(N(K2797)=0,"PENDENTE","EM ANDAMENTO"))))))</f>
        <v/>
      </c>
      <c r="C2797" s="3">
        <f>IF(D2797="","",IF(V2797=0,"🟢 OK",IF(D2797&lt;corte,"⚪ HISTÓRICO (sem baixa)",IF(AND(ISNUMBER(R2797),R2797&lt;TODAY()),"🔴 PRAZO VENCIDO",IF(AND(OR(N2797="PENDENTE",N2797="PARCIAL"),D2797&lt;TODAY()-1),"🔴 EMBARQUE ATRASADO",IF(AND(N2797="REALIZADO",M2797="PENDENTE"),"🟡 EMBARCADO SEM FATURAR",IF(AND(P2797&lt;&gt;"",S2797="",OR(Q2797="",R2797="")),"🟡 PENDÊNCIA SEM RESPONSÁVEL/PRAZO",IF(AND(ISNUMBER(R2797),R2797=TODAY()),"🟡 VENCE HOJE",IF(AND(P2797&lt;&gt;"",S2797=""),"🟡 PENDÊNCIA ABERTA",IF(AND(N(J2797)&gt;0,N(K2797)&lt;J2797),"🟡 FALTA EXECUTAR",IF(OR(M2797="PENDENTE",M2797="PARCIAL"),"🟡 FATURAMENTO PENDENTE","🟡 EMBARQUE PENDENTE")))))))))))</f>
        <v/>
      </c>
      <c r="D2797" s="4" t="n"/>
      <c r="E2797" s="5" t="n"/>
      <c r="F2797" s="5" t="n"/>
      <c r="G2797" s="5" t="n"/>
      <c r="H2797" s="5" t="n"/>
      <c r="I2797" s="5" t="n"/>
      <c r="J2797" s="6" t="n"/>
      <c r="K2797" s="6" t="n"/>
      <c r="L2797" s="7">
        <f>IF(OR(D2797="",N(J2797)=0),"",MIN(1,N(K2797)/J2797))</f>
        <v/>
      </c>
      <c r="M2797" s="5" t="n"/>
      <c r="N2797" s="5" t="n"/>
      <c r="O2797" s="5" t="n"/>
      <c r="P2797" s="5" t="n"/>
      <c r="Q2797" s="5" t="n"/>
      <c r="R2797" s="4" t="n"/>
      <c r="S2797" s="4" t="n"/>
      <c r="T2797" s="5" t="n"/>
      <c r="U2797" s="8">
        <f>IF(AND(V2797=1,D2797&lt;&gt;""),IF(D2797&gt;=corte,TODAY()-D2797,""),"")</f>
        <v/>
      </c>
      <c r="V2797" s="8">
        <f>IF(D2797="",0,IF(OR(AND(P2797&lt;&gt;"",S2797=""),AND(N(J2797)&gt;0,N(K2797)&lt;J2797),OR(M2797="PENDENTE",M2797="PARCIAL"),OR(N2797="PENDENTE",N2797="PARCIAL")),1,0))</f>
        <v/>
      </c>
      <c r="W2797" s="8">
        <f>IF(AND(V2797=1,D2797&lt;&gt;""),IF(D2797&gt;=corte,(B2797="CRÍTICO")*1E9+(100000-D2797)*10000+10000-ROW(),""),"")</f>
        <v/>
      </c>
      <c r="X2797" s="8">
        <f>IF(AND(V2797=1,D2797=pas_data,E2797=pas_turno),10000-ROW(),"")</f>
        <v/>
      </c>
    </row>
    <row r="2798">
      <c r="A2798" s="3">
        <f>IF(D2798="","","TT-"&amp;TEXT(ROW()-1,"00000"))</f>
        <v/>
      </c>
      <c r="B2798" s="3">
        <f>IF(D2798="","",IF(V2798=0,"CONCLUÍDO",IF(D2798&lt;corte,"HISTÓRICO",IF(OR(AND(ISNUMBER(R2798),R2798&lt;TODAY()),AND(OR(N2798="PENDENTE",N2798="PARCIAL"),D2798&lt;TODAY()-1)),"CRÍTICO",IF(OR(AND(P2798&lt;&gt;"",S2798=""),AND(N2798="REALIZADO",M2798="PENDENTE"),AND(ISNUMBER(R2798),R2798=TODAY())),"ATENÇÃO",IF(N(K2798)=0,"PENDENTE","EM ANDAMENTO"))))))</f>
        <v/>
      </c>
      <c r="C2798" s="3">
        <f>IF(D2798="","",IF(V2798=0,"🟢 OK",IF(D2798&lt;corte,"⚪ HISTÓRICO (sem baixa)",IF(AND(ISNUMBER(R2798),R2798&lt;TODAY()),"🔴 PRAZO VENCIDO",IF(AND(OR(N2798="PENDENTE",N2798="PARCIAL"),D2798&lt;TODAY()-1),"🔴 EMBARQUE ATRASADO",IF(AND(N2798="REALIZADO",M2798="PENDENTE"),"🟡 EMBARCADO SEM FATURAR",IF(AND(P2798&lt;&gt;"",S2798="",OR(Q2798="",R2798="")),"🟡 PENDÊNCIA SEM RESPONSÁVEL/PRAZO",IF(AND(ISNUMBER(R2798),R2798=TODAY()),"🟡 VENCE HOJE",IF(AND(P2798&lt;&gt;"",S2798=""),"🟡 PENDÊNCIA ABERTA",IF(AND(N(J2798)&gt;0,N(K2798)&lt;J2798),"🟡 FALTA EXECUTAR",IF(OR(M2798="PENDENTE",M2798="PARCIAL"),"🟡 FATURAMENTO PENDENTE","🟡 EMBARQUE PENDENTE")))))))))))</f>
        <v/>
      </c>
      <c r="D2798" s="4" t="n"/>
      <c r="E2798" s="5" t="n"/>
      <c r="F2798" s="5" t="n"/>
      <c r="G2798" s="5" t="n"/>
      <c r="H2798" s="5" t="n"/>
      <c r="I2798" s="5" t="n"/>
      <c r="J2798" s="6" t="n"/>
      <c r="K2798" s="6" t="n"/>
      <c r="L2798" s="7">
        <f>IF(OR(D2798="",N(J2798)=0),"",MIN(1,N(K2798)/J2798))</f>
        <v/>
      </c>
      <c r="M2798" s="5" t="n"/>
      <c r="N2798" s="5" t="n"/>
      <c r="O2798" s="5" t="n"/>
      <c r="P2798" s="5" t="n"/>
      <c r="Q2798" s="5" t="n"/>
      <c r="R2798" s="4" t="n"/>
      <c r="S2798" s="4" t="n"/>
      <c r="T2798" s="5" t="n"/>
      <c r="U2798" s="8">
        <f>IF(AND(V2798=1,D2798&lt;&gt;""),IF(D2798&gt;=corte,TODAY()-D2798,""),"")</f>
        <v/>
      </c>
      <c r="V2798" s="8">
        <f>IF(D2798="",0,IF(OR(AND(P2798&lt;&gt;"",S2798=""),AND(N(J2798)&gt;0,N(K2798)&lt;J2798),OR(M2798="PENDENTE",M2798="PARCIAL"),OR(N2798="PENDENTE",N2798="PARCIAL")),1,0))</f>
        <v/>
      </c>
      <c r="W2798" s="8">
        <f>IF(AND(V2798=1,D2798&lt;&gt;""),IF(D2798&gt;=corte,(B2798="CRÍTICO")*1E9+(100000-D2798)*10000+10000-ROW(),""),"")</f>
        <v/>
      </c>
      <c r="X2798" s="8">
        <f>IF(AND(V2798=1,D2798=pas_data,E2798=pas_turno),10000-ROW(),"")</f>
        <v/>
      </c>
    </row>
    <row r="2799">
      <c r="A2799" s="3">
        <f>IF(D2799="","","TT-"&amp;TEXT(ROW()-1,"00000"))</f>
        <v/>
      </c>
      <c r="B2799" s="3">
        <f>IF(D2799="","",IF(V2799=0,"CONCLUÍDO",IF(D2799&lt;corte,"HISTÓRICO",IF(OR(AND(ISNUMBER(R2799),R2799&lt;TODAY()),AND(OR(N2799="PENDENTE",N2799="PARCIAL"),D2799&lt;TODAY()-1)),"CRÍTICO",IF(OR(AND(P2799&lt;&gt;"",S2799=""),AND(N2799="REALIZADO",M2799="PENDENTE"),AND(ISNUMBER(R2799),R2799=TODAY())),"ATENÇÃO",IF(N(K2799)=0,"PENDENTE","EM ANDAMENTO"))))))</f>
        <v/>
      </c>
      <c r="C2799" s="3">
        <f>IF(D2799="","",IF(V2799=0,"🟢 OK",IF(D2799&lt;corte,"⚪ HISTÓRICO (sem baixa)",IF(AND(ISNUMBER(R2799),R2799&lt;TODAY()),"🔴 PRAZO VENCIDO",IF(AND(OR(N2799="PENDENTE",N2799="PARCIAL"),D2799&lt;TODAY()-1),"🔴 EMBARQUE ATRASADO",IF(AND(N2799="REALIZADO",M2799="PENDENTE"),"🟡 EMBARCADO SEM FATURAR",IF(AND(P2799&lt;&gt;"",S2799="",OR(Q2799="",R2799="")),"🟡 PENDÊNCIA SEM RESPONSÁVEL/PRAZO",IF(AND(ISNUMBER(R2799),R2799=TODAY()),"🟡 VENCE HOJE",IF(AND(P2799&lt;&gt;"",S2799=""),"🟡 PENDÊNCIA ABERTA",IF(AND(N(J2799)&gt;0,N(K2799)&lt;J2799),"🟡 FALTA EXECUTAR",IF(OR(M2799="PENDENTE",M2799="PARCIAL"),"🟡 FATURAMENTO PENDENTE","🟡 EMBARQUE PENDENTE")))))))))))</f>
        <v/>
      </c>
      <c r="D2799" s="4" t="n"/>
      <c r="E2799" s="5" t="n"/>
      <c r="F2799" s="5" t="n"/>
      <c r="G2799" s="5" t="n"/>
      <c r="H2799" s="5" t="n"/>
      <c r="I2799" s="5" t="n"/>
      <c r="J2799" s="6" t="n"/>
      <c r="K2799" s="6" t="n"/>
      <c r="L2799" s="7">
        <f>IF(OR(D2799="",N(J2799)=0),"",MIN(1,N(K2799)/J2799))</f>
        <v/>
      </c>
      <c r="M2799" s="5" t="n"/>
      <c r="N2799" s="5" t="n"/>
      <c r="O2799" s="5" t="n"/>
      <c r="P2799" s="5" t="n"/>
      <c r="Q2799" s="5" t="n"/>
      <c r="R2799" s="4" t="n"/>
      <c r="S2799" s="4" t="n"/>
      <c r="T2799" s="5" t="n"/>
      <c r="U2799" s="8">
        <f>IF(AND(V2799=1,D2799&lt;&gt;""),IF(D2799&gt;=corte,TODAY()-D2799,""),"")</f>
        <v/>
      </c>
      <c r="V2799" s="8">
        <f>IF(D2799="",0,IF(OR(AND(P2799&lt;&gt;"",S2799=""),AND(N(J2799)&gt;0,N(K2799)&lt;J2799),OR(M2799="PENDENTE",M2799="PARCIAL"),OR(N2799="PENDENTE",N2799="PARCIAL")),1,0))</f>
        <v/>
      </c>
      <c r="W2799" s="8">
        <f>IF(AND(V2799=1,D2799&lt;&gt;""),IF(D2799&gt;=corte,(B2799="CRÍTICO")*1E9+(100000-D2799)*10000+10000-ROW(),""),"")</f>
        <v/>
      </c>
      <c r="X2799" s="8">
        <f>IF(AND(V2799=1,D2799=pas_data,E2799=pas_turno),10000-ROW(),"")</f>
        <v/>
      </c>
    </row>
    <row r="2800">
      <c r="A2800" s="3">
        <f>IF(D2800="","","TT-"&amp;TEXT(ROW()-1,"00000"))</f>
        <v/>
      </c>
      <c r="B2800" s="3">
        <f>IF(D2800="","",IF(V2800=0,"CONCLUÍDO",IF(D2800&lt;corte,"HISTÓRICO",IF(OR(AND(ISNUMBER(R2800),R2800&lt;TODAY()),AND(OR(N2800="PENDENTE",N2800="PARCIAL"),D2800&lt;TODAY()-1)),"CRÍTICO",IF(OR(AND(P2800&lt;&gt;"",S2800=""),AND(N2800="REALIZADO",M2800="PENDENTE"),AND(ISNUMBER(R2800),R2800=TODAY())),"ATENÇÃO",IF(N(K2800)=0,"PENDENTE","EM ANDAMENTO"))))))</f>
        <v/>
      </c>
      <c r="C2800" s="3">
        <f>IF(D2800="","",IF(V2800=0,"🟢 OK",IF(D2800&lt;corte,"⚪ HISTÓRICO (sem baixa)",IF(AND(ISNUMBER(R2800),R2800&lt;TODAY()),"🔴 PRAZO VENCIDO",IF(AND(OR(N2800="PENDENTE",N2800="PARCIAL"),D2800&lt;TODAY()-1),"🔴 EMBARQUE ATRASADO",IF(AND(N2800="REALIZADO",M2800="PENDENTE"),"🟡 EMBARCADO SEM FATURAR",IF(AND(P2800&lt;&gt;"",S2800="",OR(Q2800="",R2800="")),"🟡 PENDÊNCIA SEM RESPONSÁVEL/PRAZO",IF(AND(ISNUMBER(R2800),R2800=TODAY()),"🟡 VENCE HOJE",IF(AND(P2800&lt;&gt;"",S2800=""),"🟡 PENDÊNCIA ABERTA",IF(AND(N(J2800)&gt;0,N(K2800)&lt;J2800),"🟡 FALTA EXECUTAR",IF(OR(M2800="PENDENTE",M2800="PARCIAL"),"🟡 FATURAMENTO PENDENTE","🟡 EMBARQUE PENDENTE")))))))))))</f>
        <v/>
      </c>
      <c r="D2800" s="4" t="n"/>
      <c r="E2800" s="5" t="n"/>
      <c r="F2800" s="5" t="n"/>
      <c r="G2800" s="5" t="n"/>
      <c r="H2800" s="5" t="n"/>
      <c r="I2800" s="5" t="n"/>
      <c r="J2800" s="6" t="n"/>
      <c r="K2800" s="6" t="n"/>
      <c r="L2800" s="7">
        <f>IF(OR(D2800="",N(J2800)=0),"",MIN(1,N(K2800)/J2800))</f>
        <v/>
      </c>
      <c r="M2800" s="5" t="n"/>
      <c r="N2800" s="5" t="n"/>
      <c r="O2800" s="5" t="n"/>
      <c r="P2800" s="5" t="n"/>
      <c r="Q2800" s="5" t="n"/>
      <c r="R2800" s="4" t="n"/>
      <c r="S2800" s="4" t="n"/>
      <c r="T2800" s="5" t="n"/>
      <c r="U2800" s="8">
        <f>IF(AND(V2800=1,D2800&lt;&gt;""),IF(D2800&gt;=corte,TODAY()-D2800,""),"")</f>
        <v/>
      </c>
      <c r="V2800" s="8">
        <f>IF(D2800="",0,IF(OR(AND(P2800&lt;&gt;"",S2800=""),AND(N(J2800)&gt;0,N(K2800)&lt;J2800),OR(M2800="PENDENTE",M2800="PARCIAL"),OR(N2800="PENDENTE",N2800="PARCIAL")),1,0))</f>
        <v/>
      </c>
      <c r="W2800" s="8">
        <f>IF(AND(V2800=1,D2800&lt;&gt;""),IF(D2800&gt;=corte,(B2800="CRÍTICO")*1E9+(100000-D2800)*10000+10000-ROW(),""),"")</f>
        <v/>
      </c>
      <c r="X2800" s="8">
        <f>IF(AND(V2800=1,D2800=pas_data,E2800=pas_turno),10000-ROW(),"")</f>
        <v/>
      </c>
    </row>
    <row r="2801">
      <c r="A2801" s="3">
        <f>IF(D2801="","","TT-"&amp;TEXT(ROW()-1,"00000"))</f>
        <v/>
      </c>
      <c r="B2801" s="3">
        <f>IF(D2801="","",IF(V2801=0,"CONCLUÍDO",IF(D2801&lt;corte,"HISTÓRICO",IF(OR(AND(ISNUMBER(R2801),R2801&lt;TODAY()),AND(OR(N2801="PENDENTE",N2801="PARCIAL"),D2801&lt;TODAY()-1)),"CRÍTICO",IF(OR(AND(P2801&lt;&gt;"",S2801=""),AND(N2801="REALIZADO",M2801="PENDENTE"),AND(ISNUMBER(R2801),R2801=TODAY())),"ATENÇÃO",IF(N(K2801)=0,"PENDENTE","EM ANDAMENTO"))))))</f>
        <v/>
      </c>
      <c r="C2801" s="3">
        <f>IF(D2801="","",IF(V2801=0,"🟢 OK",IF(D2801&lt;corte,"⚪ HISTÓRICO (sem baixa)",IF(AND(ISNUMBER(R2801),R2801&lt;TODAY()),"🔴 PRAZO VENCIDO",IF(AND(OR(N2801="PENDENTE",N2801="PARCIAL"),D2801&lt;TODAY()-1),"🔴 EMBARQUE ATRASADO",IF(AND(N2801="REALIZADO",M2801="PENDENTE"),"🟡 EMBARCADO SEM FATURAR",IF(AND(P2801&lt;&gt;"",S2801="",OR(Q2801="",R2801="")),"🟡 PENDÊNCIA SEM RESPONSÁVEL/PRAZO",IF(AND(ISNUMBER(R2801),R2801=TODAY()),"🟡 VENCE HOJE",IF(AND(P2801&lt;&gt;"",S2801=""),"🟡 PENDÊNCIA ABERTA",IF(AND(N(J2801)&gt;0,N(K2801)&lt;J2801),"🟡 FALTA EXECUTAR",IF(OR(M2801="PENDENTE",M2801="PARCIAL"),"🟡 FATURAMENTO PENDENTE","🟡 EMBARQUE PENDENTE")))))))))))</f>
        <v/>
      </c>
      <c r="D2801" s="4" t="n"/>
      <c r="E2801" s="5" t="n"/>
      <c r="F2801" s="5" t="n"/>
      <c r="G2801" s="5" t="n"/>
      <c r="H2801" s="5" t="n"/>
      <c r="I2801" s="5" t="n"/>
      <c r="J2801" s="6" t="n"/>
      <c r="K2801" s="6" t="n"/>
      <c r="L2801" s="7">
        <f>IF(OR(D2801="",N(J2801)=0),"",MIN(1,N(K2801)/J2801))</f>
        <v/>
      </c>
      <c r="M2801" s="5" t="n"/>
      <c r="N2801" s="5" t="n"/>
      <c r="O2801" s="5" t="n"/>
      <c r="P2801" s="5" t="n"/>
      <c r="Q2801" s="5" t="n"/>
      <c r="R2801" s="4" t="n"/>
      <c r="S2801" s="4" t="n"/>
      <c r="T2801" s="5" t="n"/>
      <c r="U2801" s="8">
        <f>IF(AND(V2801=1,D2801&lt;&gt;""),IF(D2801&gt;=corte,TODAY()-D2801,""),"")</f>
        <v/>
      </c>
      <c r="V2801" s="8">
        <f>IF(D2801="",0,IF(OR(AND(P2801&lt;&gt;"",S2801=""),AND(N(J2801)&gt;0,N(K2801)&lt;J2801),OR(M2801="PENDENTE",M2801="PARCIAL"),OR(N2801="PENDENTE",N2801="PARCIAL")),1,0))</f>
        <v/>
      </c>
      <c r="W2801" s="8">
        <f>IF(AND(V2801=1,D2801&lt;&gt;""),IF(D2801&gt;=corte,(B2801="CRÍTICO")*1E9+(100000-D2801)*10000+10000-ROW(),""),"")</f>
        <v/>
      </c>
      <c r="X2801" s="8">
        <f>IF(AND(V2801=1,D2801=pas_data,E2801=pas_turno),10000-ROW(),"")</f>
        <v/>
      </c>
    </row>
    <row r="2802">
      <c r="A2802" s="3">
        <f>IF(D2802="","","TT-"&amp;TEXT(ROW()-1,"00000"))</f>
        <v/>
      </c>
      <c r="B2802" s="3">
        <f>IF(D2802="","",IF(V2802=0,"CONCLUÍDO",IF(D2802&lt;corte,"HISTÓRICO",IF(OR(AND(ISNUMBER(R2802),R2802&lt;TODAY()),AND(OR(N2802="PENDENTE",N2802="PARCIAL"),D2802&lt;TODAY()-1)),"CRÍTICO",IF(OR(AND(P2802&lt;&gt;"",S2802=""),AND(N2802="REALIZADO",M2802="PENDENTE"),AND(ISNUMBER(R2802),R2802=TODAY())),"ATENÇÃO",IF(N(K2802)=0,"PENDENTE","EM ANDAMENTO"))))))</f>
        <v/>
      </c>
      <c r="C2802" s="3">
        <f>IF(D2802="","",IF(V2802=0,"🟢 OK",IF(D2802&lt;corte,"⚪ HISTÓRICO (sem baixa)",IF(AND(ISNUMBER(R2802),R2802&lt;TODAY()),"🔴 PRAZO VENCIDO",IF(AND(OR(N2802="PENDENTE",N2802="PARCIAL"),D2802&lt;TODAY()-1),"🔴 EMBARQUE ATRASADO",IF(AND(N2802="REALIZADO",M2802="PENDENTE"),"🟡 EMBARCADO SEM FATURAR",IF(AND(P2802&lt;&gt;"",S2802="",OR(Q2802="",R2802="")),"🟡 PENDÊNCIA SEM RESPONSÁVEL/PRAZO",IF(AND(ISNUMBER(R2802),R2802=TODAY()),"🟡 VENCE HOJE",IF(AND(P2802&lt;&gt;"",S2802=""),"🟡 PENDÊNCIA ABERTA",IF(AND(N(J2802)&gt;0,N(K2802)&lt;J2802),"🟡 FALTA EXECUTAR",IF(OR(M2802="PENDENTE",M2802="PARCIAL"),"🟡 FATURAMENTO PENDENTE","🟡 EMBARQUE PENDENTE")))))))))))</f>
        <v/>
      </c>
      <c r="D2802" s="4" t="n"/>
      <c r="E2802" s="5" t="n"/>
      <c r="F2802" s="5" t="n"/>
      <c r="G2802" s="5" t="n"/>
      <c r="H2802" s="5" t="n"/>
      <c r="I2802" s="5" t="n"/>
      <c r="J2802" s="6" t="n"/>
      <c r="K2802" s="6" t="n"/>
      <c r="L2802" s="7">
        <f>IF(OR(D2802="",N(J2802)=0),"",MIN(1,N(K2802)/J2802))</f>
        <v/>
      </c>
      <c r="M2802" s="5" t="n"/>
      <c r="N2802" s="5" t="n"/>
      <c r="O2802" s="5" t="n"/>
      <c r="P2802" s="5" t="n"/>
      <c r="Q2802" s="5" t="n"/>
      <c r="R2802" s="4" t="n"/>
      <c r="S2802" s="4" t="n"/>
      <c r="T2802" s="5" t="n"/>
      <c r="U2802" s="8">
        <f>IF(AND(V2802=1,D2802&lt;&gt;""),IF(D2802&gt;=corte,TODAY()-D2802,""),"")</f>
        <v/>
      </c>
      <c r="V2802" s="8">
        <f>IF(D2802="",0,IF(OR(AND(P2802&lt;&gt;"",S2802=""),AND(N(J2802)&gt;0,N(K2802)&lt;J2802),OR(M2802="PENDENTE",M2802="PARCIAL"),OR(N2802="PENDENTE",N2802="PARCIAL")),1,0))</f>
        <v/>
      </c>
      <c r="W2802" s="8">
        <f>IF(AND(V2802=1,D2802&lt;&gt;""),IF(D2802&gt;=corte,(B2802="CRÍTICO")*1E9+(100000-D2802)*10000+10000-ROW(),""),"")</f>
        <v/>
      </c>
      <c r="X2802" s="8">
        <f>IF(AND(V2802=1,D2802=pas_data,E2802=pas_turno),10000-ROW(),"")</f>
        <v/>
      </c>
    </row>
    <row r="2803">
      <c r="A2803" s="3">
        <f>IF(D2803="","","TT-"&amp;TEXT(ROW()-1,"00000"))</f>
        <v/>
      </c>
      <c r="B2803" s="3">
        <f>IF(D2803="","",IF(V2803=0,"CONCLUÍDO",IF(D2803&lt;corte,"HISTÓRICO",IF(OR(AND(ISNUMBER(R2803),R2803&lt;TODAY()),AND(OR(N2803="PENDENTE",N2803="PARCIAL"),D2803&lt;TODAY()-1)),"CRÍTICO",IF(OR(AND(P2803&lt;&gt;"",S2803=""),AND(N2803="REALIZADO",M2803="PENDENTE"),AND(ISNUMBER(R2803),R2803=TODAY())),"ATENÇÃO",IF(N(K2803)=0,"PENDENTE","EM ANDAMENTO"))))))</f>
        <v/>
      </c>
      <c r="C2803" s="3">
        <f>IF(D2803="","",IF(V2803=0,"🟢 OK",IF(D2803&lt;corte,"⚪ HISTÓRICO (sem baixa)",IF(AND(ISNUMBER(R2803),R2803&lt;TODAY()),"🔴 PRAZO VENCIDO",IF(AND(OR(N2803="PENDENTE",N2803="PARCIAL"),D2803&lt;TODAY()-1),"🔴 EMBARQUE ATRASADO",IF(AND(N2803="REALIZADO",M2803="PENDENTE"),"🟡 EMBARCADO SEM FATURAR",IF(AND(P2803&lt;&gt;"",S2803="",OR(Q2803="",R2803="")),"🟡 PENDÊNCIA SEM RESPONSÁVEL/PRAZO",IF(AND(ISNUMBER(R2803),R2803=TODAY()),"🟡 VENCE HOJE",IF(AND(P2803&lt;&gt;"",S2803=""),"🟡 PENDÊNCIA ABERTA",IF(AND(N(J2803)&gt;0,N(K2803)&lt;J2803),"🟡 FALTA EXECUTAR",IF(OR(M2803="PENDENTE",M2803="PARCIAL"),"🟡 FATURAMENTO PENDENTE","🟡 EMBARQUE PENDENTE")))))))))))</f>
        <v/>
      </c>
      <c r="D2803" s="4" t="n"/>
      <c r="E2803" s="5" t="n"/>
      <c r="F2803" s="5" t="n"/>
      <c r="G2803" s="5" t="n"/>
      <c r="H2803" s="5" t="n"/>
      <c r="I2803" s="5" t="n"/>
      <c r="J2803" s="6" t="n"/>
      <c r="K2803" s="6" t="n"/>
      <c r="L2803" s="7">
        <f>IF(OR(D2803="",N(J2803)=0),"",MIN(1,N(K2803)/J2803))</f>
        <v/>
      </c>
      <c r="M2803" s="5" t="n"/>
      <c r="N2803" s="5" t="n"/>
      <c r="O2803" s="5" t="n"/>
      <c r="P2803" s="5" t="n"/>
      <c r="Q2803" s="5" t="n"/>
      <c r="R2803" s="4" t="n"/>
      <c r="S2803" s="4" t="n"/>
      <c r="T2803" s="5" t="n"/>
      <c r="U2803" s="8">
        <f>IF(AND(V2803=1,D2803&lt;&gt;""),IF(D2803&gt;=corte,TODAY()-D2803,""),"")</f>
        <v/>
      </c>
      <c r="V2803" s="8">
        <f>IF(D2803="",0,IF(OR(AND(P2803&lt;&gt;"",S2803=""),AND(N(J2803)&gt;0,N(K2803)&lt;J2803),OR(M2803="PENDENTE",M2803="PARCIAL"),OR(N2803="PENDENTE",N2803="PARCIAL")),1,0))</f>
        <v/>
      </c>
      <c r="W2803" s="8">
        <f>IF(AND(V2803=1,D2803&lt;&gt;""),IF(D2803&gt;=corte,(B2803="CRÍTICO")*1E9+(100000-D2803)*10000+10000-ROW(),""),"")</f>
        <v/>
      </c>
      <c r="X2803" s="8">
        <f>IF(AND(V2803=1,D2803=pas_data,E2803=pas_turno),10000-ROW(),"")</f>
        <v/>
      </c>
    </row>
    <row r="2804">
      <c r="A2804" s="3">
        <f>IF(D2804="","","TT-"&amp;TEXT(ROW()-1,"00000"))</f>
        <v/>
      </c>
      <c r="B2804" s="3">
        <f>IF(D2804="","",IF(V2804=0,"CONCLUÍDO",IF(D2804&lt;corte,"HISTÓRICO",IF(OR(AND(ISNUMBER(R2804),R2804&lt;TODAY()),AND(OR(N2804="PENDENTE",N2804="PARCIAL"),D2804&lt;TODAY()-1)),"CRÍTICO",IF(OR(AND(P2804&lt;&gt;"",S2804=""),AND(N2804="REALIZADO",M2804="PENDENTE"),AND(ISNUMBER(R2804),R2804=TODAY())),"ATENÇÃO",IF(N(K2804)=0,"PENDENTE","EM ANDAMENTO"))))))</f>
        <v/>
      </c>
      <c r="C2804" s="3">
        <f>IF(D2804="","",IF(V2804=0,"🟢 OK",IF(D2804&lt;corte,"⚪ HISTÓRICO (sem baixa)",IF(AND(ISNUMBER(R2804),R2804&lt;TODAY()),"🔴 PRAZO VENCIDO",IF(AND(OR(N2804="PENDENTE",N2804="PARCIAL"),D2804&lt;TODAY()-1),"🔴 EMBARQUE ATRASADO",IF(AND(N2804="REALIZADO",M2804="PENDENTE"),"🟡 EMBARCADO SEM FATURAR",IF(AND(P2804&lt;&gt;"",S2804="",OR(Q2804="",R2804="")),"🟡 PENDÊNCIA SEM RESPONSÁVEL/PRAZO",IF(AND(ISNUMBER(R2804),R2804=TODAY()),"🟡 VENCE HOJE",IF(AND(P2804&lt;&gt;"",S2804=""),"🟡 PENDÊNCIA ABERTA",IF(AND(N(J2804)&gt;0,N(K2804)&lt;J2804),"🟡 FALTA EXECUTAR",IF(OR(M2804="PENDENTE",M2804="PARCIAL"),"🟡 FATURAMENTO PENDENTE","🟡 EMBARQUE PENDENTE")))))))))))</f>
        <v/>
      </c>
      <c r="D2804" s="4" t="n"/>
      <c r="E2804" s="5" t="n"/>
      <c r="F2804" s="5" t="n"/>
      <c r="G2804" s="5" t="n"/>
      <c r="H2804" s="5" t="n"/>
      <c r="I2804" s="5" t="n"/>
      <c r="J2804" s="6" t="n"/>
      <c r="K2804" s="6" t="n"/>
      <c r="L2804" s="7">
        <f>IF(OR(D2804="",N(J2804)=0),"",MIN(1,N(K2804)/J2804))</f>
        <v/>
      </c>
      <c r="M2804" s="5" t="n"/>
      <c r="N2804" s="5" t="n"/>
      <c r="O2804" s="5" t="n"/>
      <c r="P2804" s="5" t="n"/>
      <c r="Q2804" s="5" t="n"/>
      <c r="R2804" s="4" t="n"/>
      <c r="S2804" s="4" t="n"/>
      <c r="T2804" s="5" t="n"/>
      <c r="U2804" s="8">
        <f>IF(AND(V2804=1,D2804&lt;&gt;""),IF(D2804&gt;=corte,TODAY()-D2804,""),"")</f>
        <v/>
      </c>
      <c r="V2804" s="8">
        <f>IF(D2804="",0,IF(OR(AND(P2804&lt;&gt;"",S2804=""),AND(N(J2804)&gt;0,N(K2804)&lt;J2804),OR(M2804="PENDENTE",M2804="PARCIAL"),OR(N2804="PENDENTE",N2804="PARCIAL")),1,0))</f>
        <v/>
      </c>
      <c r="W2804" s="8">
        <f>IF(AND(V2804=1,D2804&lt;&gt;""),IF(D2804&gt;=corte,(B2804="CRÍTICO")*1E9+(100000-D2804)*10000+10000-ROW(),""),"")</f>
        <v/>
      </c>
      <c r="X2804" s="8">
        <f>IF(AND(V2804=1,D2804=pas_data,E2804=pas_turno),10000-ROW(),"")</f>
        <v/>
      </c>
    </row>
    <row r="2805">
      <c r="A2805" s="3">
        <f>IF(D2805="","","TT-"&amp;TEXT(ROW()-1,"00000"))</f>
        <v/>
      </c>
      <c r="B2805" s="3">
        <f>IF(D2805="","",IF(V2805=0,"CONCLUÍDO",IF(D2805&lt;corte,"HISTÓRICO",IF(OR(AND(ISNUMBER(R2805),R2805&lt;TODAY()),AND(OR(N2805="PENDENTE",N2805="PARCIAL"),D2805&lt;TODAY()-1)),"CRÍTICO",IF(OR(AND(P2805&lt;&gt;"",S2805=""),AND(N2805="REALIZADO",M2805="PENDENTE"),AND(ISNUMBER(R2805),R2805=TODAY())),"ATENÇÃO",IF(N(K2805)=0,"PENDENTE","EM ANDAMENTO"))))))</f>
        <v/>
      </c>
      <c r="C2805" s="3">
        <f>IF(D2805="","",IF(V2805=0,"🟢 OK",IF(D2805&lt;corte,"⚪ HISTÓRICO (sem baixa)",IF(AND(ISNUMBER(R2805),R2805&lt;TODAY()),"🔴 PRAZO VENCIDO",IF(AND(OR(N2805="PENDENTE",N2805="PARCIAL"),D2805&lt;TODAY()-1),"🔴 EMBARQUE ATRASADO",IF(AND(N2805="REALIZADO",M2805="PENDENTE"),"🟡 EMBARCADO SEM FATURAR",IF(AND(P2805&lt;&gt;"",S2805="",OR(Q2805="",R2805="")),"🟡 PENDÊNCIA SEM RESPONSÁVEL/PRAZO",IF(AND(ISNUMBER(R2805),R2805=TODAY()),"🟡 VENCE HOJE",IF(AND(P2805&lt;&gt;"",S2805=""),"🟡 PENDÊNCIA ABERTA",IF(AND(N(J2805)&gt;0,N(K2805)&lt;J2805),"🟡 FALTA EXECUTAR",IF(OR(M2805="PENDENTE",M2805="PARCIAL"),"🟡 FATURAMENTO PENDENTE","🟡 EMBARQUE PENDENTE")))))))))))</f>
        <v/>
      </c>
      <c r="D2805" s="4" t="n"/>
      <c r="E2805" s="5" t="n"/>
      <c r="F2805" s="5" t="n"/>
      <c r="G2805" s="5" t="n"/>
      <c r="H2805" s="5" t="n"/>
      <c r="I2805" s="5" t="n"/>
      <c r="J2805" s="6" t="n"/>
      <c r="K2805" s="6" t="n"/>
      <c r="L2805" s="7">
        <f>IF(OR(D2805="",N(J2805)=0),"",MIN(1,N(K2805)/J2805))</f>
        <v/>
      </c>
      <c r="M2805" s="5" t="n"/>
      <c r="N2805" s="5" t="n"/>
      <c r="O2805" s="5" t="n"/>
      <c r="P2805" s="5" t="n"/>
      <c r="Q2805" s="5" t="n"/>
      <c r="R2805" s="4" t="n"/>
      <c r="S2805" s="4" t="n"/>
      <c r="T2805" s="5" t="n"/>
      <c r="U2805" s="8">
        <f>IF(AND(V2805=1,D2805&lt;&gt;""),IF(D2805&gt;=corte,TODAY()-D2805,""),"")</f>
        <v/>
      </c>
      <c r="V2805" s="8">
        <f>IF(D2805="",0,IF(OR(AND(P2805&lt;&gt;"",S2805=""),AND(N(J2805)&gt;0,N(K2805)&lt;J2805),OR(M2805="PENDENTE",M2805="PARCIAL"),OR(N2805="PENDENTE",N2805="PARCIAL")),1,0))</f>
        <v/>
      </c>
      <c r="W2805" s="8">
        <f>IF(AND(V2805=1,D2805&lt;&gt;""),IF(D2805&gt;=corte,(B2805="CRÍTICO")*1E9+(100000-D2805)*10000+10000-ROW(),""),"")</f>
        <v/>
      </c>
      <c r="X2805" s="8">
        <f>IF(AND(V2805=1,D2805=pas_data,E2805=pas_turno),10000-ROW(),"")</f>
        <v/>
      </c>
    </row>
    <row r="2806">
      <c r="A2806" s="3">
        <f>IF(D2806="","","TT-"&amp;TEXT(ROW()-1,"00000"))</f>
        <v/>
      </c>
      <c r="B2806" s="3">
        <f>IF(D2806="","",IF(V2806=0,"CONCLUÍDO",IF(D2806&lt;corte,"HISTÓRICO",IF(OR(AND(ISNUMBER(R2806),R2806&lt;TODAY()),AND(OR(N2806="PENDENTE",N2806="PARCIAL"),D2806&lt;TODAY()-1)),"CRÍTICO",IF(OR(AND(P2806&lt;&gt;"",S2806=""),AND(N2806="REALIZADO",M2806="PENDENTE"),AND(ISNUMBER(R2806),R2806=TODAY())),"ATENÇÃO",IF(N(K2806)=0,"PENDENTE","EM ANDAMENTO"))))))</f>
        <v/>
      </c>
      <c r="C2806" s="3">
        <f>IF(D2806="","",IF(V2806=0,"🟢 OK",IF(D2806&lt;corte,"⚪ HISTÓRICO (sem baixa)",IF(AND(ISNUMBER(R2806),R2806&lt;TODAY()),"🔴 PRAZO VENCIDO",IF(AND(OR(N2806="PENDENTE",N2806="PARCIAL"),D2806&lt;TODAY()-1),"🔴 EMBARQUE ATRASADO",IF(AND(N2806="REALIZADO",M2806="PENDENTE"),"🟡 EMBARCADO SEM FATURAR",IF(AND(P2806&lt;&gt;"",S2806="",OR(Q2806="",R2806="")),"🟡 PENDÊNCIA SEM RESPONSÁVEL/PRAZO",IF(AND(ISNUMBER(R2806),R2806=TODAY()),"🟡 VENCE HOJE",IF(AND(P2806&lt;&gt;"",S2806=""),"🟡 PENDÊNCIA ABERTA",IF(AND(N(J2806)&gt;0,N(K2806)&lt;J2806),"🟡 FALTA EXECUTAR",IF(OR(M2806="PENDENTE",M2806="PARCIAL"),"🟡 FATURAMENTO PENDENTE","🟡 EMBARQUE PENDENTE")))))))))))</f>
        <v/>
      </c>
      <c r="D2806" s="4" t="n"/>
      <c r="E2806" s="5" t="n"/>
      <c r="F2806" s="5" t="n"/>
      <c r="G2806" s="5" t="n"/>
      <c r="H2806" s="5" t="n"/>
      <c r="I2806" s="5" t="n"/>
      <c r="J2806" s="6" t="n"/>
      <c r="K2806" s="6" t="n"/>
      <c r="L2806" s="7">
        <f>IF(OR(D2806="",N(J2806)=0),"",MIN(1,N(K2806)/J2806))</f>
        <v/>
      </c>
      <c r="M2806" s="5" t="n"/>
      <c r="N2806" s="5" t="n"/>
      <c r="O2806" s="5" t="n"/>
      <c r="P2806" s="5" t="n"/>
      <c r="Q2806" s="5" t="n"/>
      <c r="R2806" s="4" t="n"/>
      <c r="S2806" s="4" t="n"/>
      <c r="T2806" s="5" t="n"/>
      <c r="U2806" s="8">
        <f>IF(AND(V2806=1,D2806&lt;&gt;""),IF(D2806&gt;=corte,TODAY()-D2806,""),"")</f>
        <v/>
      </c>
      <c r="V2806" s="8">
        <f>IF(D2806="",0,IF(OR(AND(P2806&lt;&gt;"",S2806=""),AND(N(J2806)&gt;0,N(K2806)&lt;J2806),OR(M2806="PENDENTE",M2806="PARCIAL"),OR(N2806="PENDENTE",N2806="PARCIAL")),1,0))</f>
        <v/>
      </c>
      <c r="W2806" s="8">
        <f>IF(AND(V2806=1,D2806&lt;&gt;""),IF(D2806&gt;=corte,(B2806="CRÍTICO")*1E9+(100000-D2806)*10000+10000-ROW(),""),"")</f>
        <v/>
      </c>
      <c r="X2806" s="8">
        <f>IF(AND(V2806=1,D2806=pas_data,E2806=pas_turno),10000-ROW(),"")</f>
        <v/>
      </c>
    </row>
    <row r="2807">
      <c r="A2807" s="3">
        <f>IF(D2807="","","TT-"&amp;TEXT(ROW()-1,"00000"))</f>
        <v/>
      </c>
      <c r="B2807" s="3">
        <f>IF(D2807="","",IF(V2807=0,"CONCLUÍDO",IF(D2807&lt;corte,"HISTÓRICO",IF(OR(AND(ISNUMBER(R2807),R2807&lt;TODAY()),AND(OR(N2807="PENDENTE",N2807="PARCIAL"),D2807&lt;TODAY()-1)),"CRÍTICO",IF(OR(AND(P2807&lt;&gt;"",S2807=""),AND(N2807="REALIZADO",M2807="PENDENTE"),AND(ISNUMBER(R2807),R2807=TODAY())),"ATENÇÃO",IF(N(K2807)=0,"PENDENTE","EM ANDAMENTO"))))))</f>
        <v/>
      </c>
      <c r="C2807" s="3">
        <f>IF(D2807="","",IF(V2807=0,"🟢 OK",IF(D2807&lt;corte,"⚪ HISTÓRICO (sem baixa)",IF(AND(ISNUMBER(R2807),R2807&lt;TODAY()),"🔴 PRAZO VENCIDO",IF(AND(OR(N2807="PENDENTE",N2807="PARCIAL"),D2807&lt;TODAY()-1),"🔴 EMBARQUE ATRASADO",IF(AND(N2807="REALIZADO",M2807="PENDENTE"),"🟡 EMBARCADO SEM FATURAR",IF(AND(P2807&lt;&gt;"",S2807="",OR(Q2807="",R2807="")),"🟡 PENDÊNCIA SEM RESPONSÁVEL/PRAZO",IF(AND(ISNUMBER(R2807),R2807=TODAY()),"🟡 VENCE HOJE",IF(AND(P2807&lt;&gt;"",S2807=""),"🟡 PENDÊNCIA ABERTA",IF(AND(N(J2807)&gt;0,N(K2807)&lt;J2807),"🟡 FALTA EXECUTAR",IF(OR(M2807="PENDENTE",M2807="PARCIAL"),"🟡 FATURAMENTO PENDENTE","🟡 EMBARQUE PENDENTE")))))))))))</f>
        <v/>
      </c>
      <c r="D2807" s="4" t="n"/>
      <c r="E2807" s="5" t="n"/>
      <c r="F2807" s="5" t="n"/>
      <c r="G2807" s="5" t="n"/>
      <c r="H2807" s="5" t="n"/>
      <c r="I2807" s="5" t="n"/>
      <c r="J2807" s="6" t="n"/>
      <c r="K2807" s="6" t="n"/>
      <c r="L2807" s="7">
        <f>IF(OR(D2807="",N(J2807)=0),"",MIN(1,N(K2807)/J2807))</f>
        <v/>
      </c>
      <c r="M2807" s="5" t="n"/>
      <c r="N2807" s="5" t="n"/>
      <c r="O2807" s="5" t="n"/>
      <c r="P2807" s="5" t="n"/>
      <c r="Q2807" s="5" t="n"/>
      <c r="R2807" s="4" t="n"/>
      <c r="S2807" s="4" t="n"/>
      <c r="T2807" s="5" t="n"/>
      <c r="U2807" s="8">
        <f>IF(AND(V2807=1,D2807&lt;&gt;""),IF(D2807&gt;=corte,TODAY()-D2807,""),"")</f>
        <v/>
      </c>
      <c r="V2807" s="8">
        <f>IF(D2807="",0,IF(OR(AND(P2807&lt;&gt;"",S2807=""),AND(N(J2807)&gt;0,N(K2807)&lt;J2807),OR(M2807="PENDENTE",M2807="PARCIAL"),OR(N2807="PENDENTE",N2807="PARCIAL")),1,0))</f>
        <v/>
      </c>
      <c r="W2807" s="8">
        <f>IF(AND(V2807=1,D2807&lt;&gt;""),IF(D2807&gt;=corte,(B2807="CRÍTICO")*1E9+(100000-D2807)*10000+10000-ROW(),""),"")</f>
        <v/>
      </c>
      <c r="X2807" s="8">
        <f>IF(AND(V2807=1,D2807=pas_data,E2807=pas_turno),10000-ROW(),"")</f>
        <v/>
      </c>
    </row>
    <row r="2808">
      <c r="A2808" s="3">
        <f>IF(D2808="","","TT-"&amp;TEXT(ROW()-1,"00000"))</f>
        <v/>
      </c>
      <c r="B2808" s="3">
        <f>IF(D2808="","",IF(V2808=0,"CONCLUÍDO",IF(D2808&lt;corte,"HISTÓRICO",IF(OR(AND(ISNUMBER(R2808),R2808&lt;TODAY()),AND(OR(N2808="PENDENTE",N2808="PARCIAL"),D2808&lt;TODAY()-1)),"CRÍTICO",IF(OR(AND(P2808&lt;&gt;"",S2808=""),AND(N2808="REALIZADO",M2808="PENDENTE"),AND(ISNUMBER(R2808),R2808=TODAY())),"ATENÇÃO",IF(N(K2808)=0,"PENDENTE","EM ANDAMENTO"))))))</f>
        <v/>
      </c>
      <c r="C2808" s="3">
        <f>IF(D2808="","",IF(V2808=0,"🟢 OK",IF(D2808&lt;corte,"⚪ HISTÓRICO (sem baixa)",IF(AND(ISNUMBER(R2808),R2808&lt;TODAY()),"🔴 PRAZO VENCIDO",IF(AND(OR(N2808="PENDENTE",N2808="PARCIAL"),D2808&lt;TODAY()-1),"🔴 EMBARQUE ATRASADO",IF(AND(N2808="REALIZADO",M2808="PENDENTE"),"🟡 EMBARCADO SEM FATURAR",IF(AND(P2808&lt;&gt;"",S2808="",OR(Q2808="",R2808="")),"🟡 PENDÊNCIA SEM RESPONSÁVEL/PRAZO",IF(AND(ISNUMBER(R2808),R2808=TODAY()),"🟡 VENCE HOJE",IF(AND(P2808&lt;&gt;"",S2808=""),"🟡 PENDÊNCIA ABERTA",IF(AND(N(J2808)&gt;0,N(K2808)&lt;J2808),"🟡 FALTA EXECUTAR",IF(OR(M2808="PENDENTE",M2808="PARCIAL"),"🟡 FATURAMENTO PENDENTE","🟡 EMBARQUE PENDENTE")))))))))))</f>
        <v/>
      </c>
      <c r="D2808" s="4" t="n"/>
      <c r="E2808" s="5" t="n"/>
      <c r="F2808" s="5" t="n"/>
      <c r="G2808" s="5" t="n"/>
      <c r="H2808" s="5" t="n"/>
      <c r="I2808" s="5" t="n"/>
      <c r="J2808" s="6" t="n"/>
      <c r="K2808" s="6" t="n"/>
      <c r="L2808" s="7">
        <f>IF(OR(D2808="",N(J2808)=0),"",MIN(1,N(K2808)/J2808))</f>
        <v/>
      </c>
      <c r="M2808" s="5" t="n"/>
      <c r="N2808" s="5" t="n"/>
      <c r="O2808" s="5" t="n"/>
      <c r="P2808" s="5" t="n"/>
      <c r="Q2808" s="5" t="n"/>
      <c r="R2808" s="4" t="n"/>
      <c r="S2808" s="4" t="n"/>
      <c r="T2808" s="5" t="n"/>
      <c r="U2808" s="8">
        <f>IF(AND(V2808=1,D2808&lt;&gt;""),IF(D2808&gt;=corte,TODAY()-D2808,""),"")</f>
        <v/>
      </c>
      <c r="V2808" s="8">
        <f>IF(D2808="",0,IF(OR(AND(P2808&lt;&gt;"",S2808=""),AND(N(J2808)&gt;0,N(K2808)&lt;J2808),OR(M2808="PENDENTE",M2808="PARCIAL"),OR(N2808="PENDENTE",N2808="PARCIAL")),1,0))</f>
        <v/>
      </c>
      <c r="W2808" s="8">
        <f>IF(AND(V2808=1,D2808&lt;&gt;""),IF(D2808&gt;=corte,(B2808="CRÍTICO")*1E9+(100000-D2808)*10000+10000-ROW(),""),"")</f>
        <v/>
      </c>
      <c r="X2808" s="8">
        <f>IF(AND(V2808=1,D2808=pas_data,E2808=pas_turno),10000-ROW(),"")</f>
        <v/>
      </c>
    </row>
    <row r="2809">
      <c r="A2809" s="3">
        <f>IF(D2809="","","TT-"&amp;TEXT(ROW()-1,"00000"))</f>
        <v/>
      </c>
      <c r="B2809" s="3">
        <f>IF(D2809="","",IF(V2809=0,"CONCLUÍDO",IF(D2809&lt;corte,"HISTÓRICO",IF(OR(AND(ISNUMBER(R2809),R2809&lt;TODAY()),AND(OR(N2809="PENDENTE",N2809="PARCIAL"),D2809&lt;TODAY()-1)),"CRÍTICO",IF(OR(AND(P2809&lt;&gt;"",S2809=""),AND(N2809="REALIZADO",M2809="PENDENTE"),AND(ISNUMBER(R2809),R2809=TODAY())),"ATENÇÃO",IF(N(K2809)=0,"PENDENTE","EM ANDAMENTO"))))))</f>
        <v/>
      </c>
      <c r="C2809" s="3">
        <f>IF(D2809="","",IF(V2809=0,"🟢 OK",IF(D2809&lt;corte,"⚪ HISTÓRICO (sem baixa)",IF(AND(ISNUMBER(R2809),R2809&lt;TODAY()),"🔴 PRAZO VENCIDO",IF(AND(OR(N2809="PENDENTE",N2809="PARCIAL"),D2809&lt;TODAY()-1),"🔴 EMBARQUE ATRASADO",IF(AND(N2809="REALIZADO",M2809="PENDENTE"),"🟡 EMBARCADO SEM FATURAR",IF(AND(P2809&lt;&gt;"",S2809="",OR(Q2809="",R2809="")),"🟡 PENDÊNCIA SEM RESPONSÁVEL/PRAZO",IF(AND(ISNUMBER(R2809),R2809=TODAY()),"🟡 VENCE HOJE",IF(AND(P2809&lt;&gt;"",S2809=""),"🟡 PENDÊNCIA ABERTA",IF(AND(N(J2809)&gt;0,N(K2809)&lt;J2809),"🟡 FALTA EXECUTAR",IF(OR(M2809="PENDENTE",M2809="PARCIAL"),"🟡 FATURAMENTO PENDENTE","🟡 EMBARQUE PENDENTE")))))))))))</f>
        <v/>
      </c>
      <c r="D2809" s="4" t="n"/>
      <c r="E2809" s="5" t="n"/>
      <c r="F2809" s="5" t="n"/>
      <c r="G2809" s="5" t="n"/>
      <c r="H2809" s="5" t="n"/>
      <c r="I2809" s="5" t="n"/>
      <c r="J2809" s="6" t="n"/>
      <c r="K2809" s="6" t="n"/>
      <c r="L2809" s="7">
        <f>IF(OR(D2809="",N(J2809)=0),"",MIN(1,N(K2809)/J2809))</f>
        <v/>
      </c>
      <c r="M2809" s="5" t="n"/>
      <c r="N2809" s="5" t="n"/>
      <c r="O2809" s="5" t="n"/>
      <c r="P2809" s="5" t="n"/>
      <c r="Q2809" s="5" t="n"/>
      <c r="R2809" s="4" t="n"/>
      <c r="S2809" s="4" t="n"/>
      <c r="T2809" s="5" t="n"/>
      <c r="U2809" s="8">
        <f>IF(AND(V2809=1,D2809&lt;&gt;""),IF(D2809&gt;=corte,TODAY()-D2809,""),"")</f>
        <v/>
      </c>
      <c r="V2809" s="8">
        <f>IF(D2809="",0,IF(OR(AND(P2809&lt;&gt;"",S2809=""),AND(N(J2809)&gt;0,N(K2809)&lt;J2809),OR(M2809="PENDENTE",M2809="PARCIAL"),OR(N2809="PENDENTE",N2809="PARCIAL")),1,0))</f>
        <v/>
      </c>
      <c r="W2809" s="8">
        <f>IF(AND(V2809=1,D2809&lt;&gt;""),IF(D2809&gt;=corte,(B2809="CRÍTICO")*1E9+(100000-D2809)*10000+10000-ROW(),""),"")</f>
        <v/>
      </c>
      <c r="X2809" s="8">
        <f>IF(AND(V2809=1,D2809=pas_data,E2809=pas_turno),10000-ROW(),"")</f>
        <v/>
      </c>
    </row>
    <row r="2810">
      <c r="A2810" s="3">
        <f>IF(D2810="","","TT-"&amp;TEXT(ROW()-1,"00000"))</f>
        <v/>
      </c>
      <c r="B2810" s="3">
        <f>IF(D2810="","",IF(V2810=0,"CONCLUÍDO",IF(D2810&lt;corte,"HISTÓRICO",IF(OR(AND(ISNUMBER(R2810),R2810&lt;TODAY()),AND(OR(N2810="PENDENTE",N2810="PARCIAL"),D2810&lt;TODAY()-1)),"CRÍTICO",IF(OR(AND(P2810&lt;&gt;"",S2810=""),AND(N2810="REALIZADO",M2810="PENDENTE"),AND(ISNUMBER(R2810),R2810=TODAY())),"ATENÇÃO",IF(N(K2810)=0,"PENDENTE","EM ANDAMENTO"))))))</f>
        <v/>
      </c>
      <c r="C2810" s="3">
        <f>IF(D2810="","",IF(V2810=0,"🟢 OK",IF(D2810&lt;corte,"⚪ HISTÓRICO (sem baixa)",IF(AND(ISNUMBER(R2810),R2810&lt;TODAY()),"🔴 PRAZO VENCIDO",IF(AND(OR(N2810="PENDENTE",N2810="PARCIAL"),D2810&lt;TODAY()-1),"🔴 EMBARQUE ATRASADO",IF(AND(N2810="REALIZADO",M2810="PENDENTE"),"🟡 EMBARCADO SEM FATURAR",IF(AND(P2810&lt;&gt;"",S2810="",OR(Q2810="",R2810="")),"🟡 PENDÊNCIA SEM RESPONSÁVEL/PRAZO",IF(AND(ISNUMBER(R2810),R2810=TODAY()),"🟡 VENCE HOJE",IF(AND(P2810&lt;&gt;"",S2810=""),"🟡 PENDÊNCIA ABERTA",IF(AND(N(J2810)&gt;0,N(K2810)&lt;J2810),"🟡 FALTA EXECUTAR",IF(OR(M2810="PENDENTE",M2810="PARCIAL"),"🟡 FATURAMENTO PENDENTE","🟡 EMBARQUE PENDENTE")))))))))))</f>
        <v/>
      </c>
      <c r="D2810" s="4" t="n"/>
      <c r="E2810" s="5" t="n"/>
      <c r="F2810" s="5" t="n"/>
      <c r="G2810" s="5" t="n"/>
      <c r="H2810" s="5" t="n"/>
      <c r="I2810" s="5" t="n"/>
      <c r="J2810" s="6" t="n"/>
      <c r="K2810" s="6" t="n"/>
      <c r="L2810" s="7">
        <f>IF(OR(D2810="",N(J2810)=0),"",MIN(1,N(K2810)/J2810))</f>
        <v/>
      </c>
      <c r="M2810" s="5" t="n"/>
      <c r="N2810" s="5" t="n"/>
      <c r="O2810" s="5" t="n"/>
      <c r="P2810" s="5" t="n"/>
      <c r="Q2810" s="5" t="n"/>
      <c r="R2810" s="4" t="n"/>
      <c r="S2810" s="4" t="n"/>
      <c r="T2810" s="5" t="n"/>
      <c r="U2810" s="8">
        <f>IF(AND(V2810=1,D2810&lt;&gt;""),IF(D2810&gt;=corte,TODAY()-D2810,""),"")</f>
        <v/>
      </c>
      <c r="V2810" s="8">
        <f>IF(D2810="",0,IF(OR(AND(P2810&lt;&gt;"",S2810=""),AND(N(J2810)&gt;0,N(K2810)&lt;J2810),OR(M2810="PENDENTE",M2810="PARCIAL"),OR(N2810="PENDENTE",N2810="PARCIAL")),1,0))</f>
        <v/>
      </c>
      <c r="W2810" s="8">
        <f>IF(AND(V2810=1,D2810&lt;&gt;""),IF(D2810&gt;=corte,(B2810="CRÍTICO")*1E9+(100000-D2810)*10000+10000-ROW(),""),"")</f>
        <v/>
      </c>
      <c r="X2810" s="8">
        <f>IF(AND(V2810=1,D2810=pas_data,E2810=pas_turno),10000-ROW(),"")</f>
        <v/>
      </c>
    </row>
    <row r="2811">
      <c r="A2811" s="3">
        <f>IF(D2811="","","TT-"&amp;TEXT(ROW()-1,"00000"))</f>
        <v/>
      </c>
      <c r="B2811" s="3">
        <f>IF(D2811="","",IF(V2811=0,"CONCLUÍDO",IF(D2811&lt;corte,"HISTÓRICO",IF(OR(AND(ISNUMBER(R2811),R2811&lt;TODAY()),AND(OR(N2811="PENDENTE",N2811="PARCIAL"),D2811&lt;TODAY()-1)),"CRÍTICO",IF(OR(AND(P2811&lt;&gt;"",S2811=""),AND(N2811="REALIZADO",M2811="PENDENTE"),AND(ISNUMBER(R2811),R2811=TODAY())),"ATENÇÃO",IF(N(K2811)=0,"PENDENTE","EM ANDAMENTO"))))))</f>
        <v/>
      </c>
      <c r="C2811" s="3">
        <f>IF(D2811="","",IF(V2811=0,"🟢 OK",IF(D2811&lt;corte,"⚪ HISTÓRICO (sem baixa)",IF(AND(ISNUMBER(R2811),R2811&lt;TODAY()),"🔴 PRAZO VENCIDO",IF(AND(OR(N2811="PENDENTE",N2811="PARCIAL"),D2811&lt;TODAY()-1),"🔴 EMBARQUE ATRASADO",IF(AND(N2811="REALIZADO",M2811="PENDENTE"),"🟡 EMBARCADO SEM FATURAR",IF(AND(P2811&lt;&gt;"",S2811="",OR(Q2811="",R2811="")),"🟡 PENDÊNCIA SEM RESPONSÁVEL/PRAZO",IF(AND(ISNUMBER(R2811),R2811=TODAY()),"🟡 VENCE HOJE",IF(AND(P2811&lt;&gt;"",S2811=""),"🟡 PENDÊNCIA ABERTA",IF(AND(N(J2811)&gt;0,N(K2811)&lt;J2811),"🟡 FALTA EXECUTAR",IF(OR(M2811="PENDENTE",M2811="PARCIAL"),"🟡 FATURAMENTO PENDENTE","🟡 EMBARQUE PENDENTE")))))))))))</f>
        <v/>
      </c>
      <c r="D2811" s="4" t="n"/>
      <c r="E2811" s="5" t="n"/>
      <c r="F2811" s="5" t="n"/>
      <c r="G2811" s="5" t="n"/>
      <c r="H2811" s="5" t="n"/>
      <c r="I2811" s="5" t="n"/>
      <c r="J2811" s="6" t="n"/>
      <c r="K2811" s="6" t="n"/>
      <c r="L2811" s="7">
        <f>IF(OR(D2811="",N(J2811)=0),"",MIN(1,N(K2811)/J2811))</f>
        <v/>
      </c>
      <c r="M2811" s="5" t="n"/>
      <c r="N2811" s="5" t="n"/>
      <c r="O2811" s="5" t="n"/>
      <c r="P2811" s="5" t="n"/>
      <c r="Q2811" s="5" t="n"/>
      <c r="R2811" s="4" t="n"/>
      <c r="S2811" s="4" t="n"/>
      <c r="T2811" s="5" t="n"/>
      <c r="U2811" s="8">
        <f>IF(AND(V2811=1,D2811&lt;&gt;""),IF(D2811&gt;=corte,TODAY()-D2811,""),"")</f>
        <v/>
      </c>
      <c r="V2811" s="8">
        <f>IF(D2811="",0,IF(OR(AND(P2811&lt;&gt;"",S2811=""),AND(N(J2811)&gt;0,N(K2811)&lt;J2811),OR(M2811="PENDENTE",M2811="PARCIAL"),OR(N2811="PENDENTE",N2811="PARCIAL")),1,0))</f>
        <v/>
      </c>
      <c r="W2811" s="8">
        <f>IF(AND(V2811=1,D2811&lt;&gt;""),IF(D2811&gt;=corte,(B2811="CRÍTICO")*1E9+(100000-D2811)*10000+10000-ROW(),""),"")</f>
        <v/>
      </c>
      <c r="X2811" s="8">
        <f>IF(AND(V2811=1,D2811=pas_data,E2811=pas_turno),10000-ROW(),"")</f>
        <v/>
      </c>
    </row>
    <row r="2812">
      <c r="A2812" s="3">
        <f>IF(D2812="","","TT-"&amp;TEXT(ROW()-1,"00000"))</f>
        <v/>
      </c>
      <c r="B2812" s="3">
        <f>IF(D2812="","",IF(V2812=0,"CONCLUÍDO",IF(D2812&lt;corte,"HISTÓRICO",IF(OR(AND(ISNUMBER(R2812),R2812&lt;TODAY()),AND(OR(N2812="PENDENTE",N2812="PARCIAL"),D2812&lt;TODAY()-1)),"CRÍTICO",IF(OR(AND(P2812&lt;&gt;"",S2812=""),AND(N2812="REALIZADO",M2812="PENDENTE"),AND(ISNUMBER(R2812),R2812=TODAY())),"ATENÇÃO",IF(N(K2812)=0,"PENDENTE","EM ANDAMENTO"))))))</f>
        <v/>
      </c>
      <c r="C2812" s="3">
        <f>IF(D2812="","",IF(V2812=0,"🟢 OK",IF(D2812&lt;corte,"⚪ HISTÓRICO (sem baixa)",IF(AND(ISNUMBER(R2812),R2812&lt;TODAY()),"🔴 PRAZO VENCIDO",IF(AND(OR(N2812="PENDENTE",N2812="PARCIAL"),D2812&lt;TODAY()-1),"🔴 EMBARQUE ATRASADO",IF(AND(N2812="REALIZADO",M2812="PENDENTE"),"🟡 EMBARCADO SEM FATURAR",IF(AND(P2812&lt;&gt;"",S2812="",OR(Q2812="",R2812="")),"🟡 PENDÊNCIA SEM RESPONSÁVEL/PRAZO",IF(AND(ISNUMBER(R2812),R2812=TODAY()),"🟡 VENCE HOJE",IF(AND(P2812&lt;&gt;"",S2812=""),"🟡 PENDÊNCIA ABERTA",IF(AND(N(J2812)&gt;0,N(K2812)&lt;J2812),"🟡 FALTA EXECUTAR",IF(OR(M2812="PENDENTE",M2812="PARCIAL"),"🟡 FATURAMENTO PENDENTE","🟡 EMBARQUE PENDENTE")))))))))))</f>
        <v/>
      </c>
      <c r="D2812" s="4" t="n"/>
      <c r="E2812" s="5" t="n"/>
      <c r="F2812" s="5" t="n"/>
      <c r="G2812" s="5" t="n"/>
      <c r="H2812" s="5" t="n"/>
      <c r="I2812" s="5" t="n"/>
      <c r="J2812" s="6" t="n"/>
      <c r="K2812" s="6" t="n"/>
      <c r="L2812" s="7">
        <f>IF(OR(D2812="",N(J2812)=0),"",MIN(1,N(K2812)/J2812))</f>
        <v/>
      </c>
      <c r="M2812" s="5" t="n"/>
      <c r="N2812" s="5" t="n"/>
      <c r="O2812" s="5" t="n"/>
      <c r="P2812" s="5" t="n"/>
      <c r="Q2812" s="5" t="n"/>
      <c r="R2812" s="4" t="n"/>
      <c r="S2812" s="4" t="n"/>
      <c r="T2812" s="5" t="n"/>
      <c r="U2812" s="8">
        <f>IF(AND(V2812=1,D2812&lt;&gt;""),IF(D2812&gt;=corte,TODAY()-D2812,""),"")</f>
        <v/>
      </c>
      <c r="V2812" s="8">
        <f>IF(D2812="",0,IF(OR(AND(P2812&lt;&gt;"",S2812=""),AND(N(J2812)&gt;0,N(K2812)&lt;J2812),OR(M2812="PENDENTE",M2812="PARCIAL"),OR(N2812="PENDENTE",N2812="PARCIAL")),1,0))</f>
        <v/>
      </c>
      <c r="W2812" s="8">
        <f>IF(AND(V2812=1,D2812&lt;&gt;""),IF(D2812&gt;=corte,(B2812="CRÍTICO")*1E9+(100000-D2812)*10000+10000-ROW(),""),"")</f>
        <v/>
      </c>
      <c r="X2812" s="8">
        <f>IF(AND(V2812=1,D2812=pas_data,E2812=pas_turno),10000-ROW(),"")</f>
        <v/>
      </c>
    </row>
    <row r="2813">
      <c r="A2813" s="3">
        <f>IF(D2813="","","TT-"&amp;TEXT(ROW()-1,"00000"))</f>
        <v/>
      </c>
      <c r="B2813" s="3">
        <f>IF(D2813="","",IF(V2813=0,"CONCLUÍDO",IF(D2813&lt;corte,"HISTÓRICO",IF(OR(AND(ISNUMBER(R2813),R2813&lt;TODAY()),AND(OR(N2813="PENDENTE",N2813="PARCIAL"),D2813&lt;TODAY()-1)),"CRÍTICO",IF(OR(AND(P2813&lt;&gt;"",S2813=""),AND(N2813="REALIZADO",M2813="PENDENTE"),AND(ISNUMBER(R2813),R2813=TODAY())),"ATENÇÃO",IF(N(K2813)=0,"PENDENTE","EM ANDAMENTO"))))))</f>
        <v/>
      </c>
      <c r="C2813" s="3">
        <f>IF(D2813="","",IF(V2813=0,"🟢 OK",IF(D2813&lt;corte,"⚪ HISTÓRICO (sem baixa)",IF(AND(ISNUMBER(R2813),R2813&lt;TODAY()),"🔴 PRAZO VENCIDO",IF(AND(OR(N2813="PENDENTE",N2813="PARCIAL"),D2813&lt;TODAY()-1),"🔴 EMBARQUE ATRASADO",IF(AND(N2813="REALIZADO",M2813="PENDENTE"),"🟡 EMBARCADO SEM FATURAR",IF(AND(P2813&lt;&gt;"",S2813="",OR(Q2813="",R2813="")),"🟡 PENDÊNCIA SEM RESPONSÁVEL/PRAZO",IF(AND(ISNUMBER(R2813),R2813=TODAY()),"🟡 VENCE HOJE",IF(AND(P2813&lt;&gt;"",S2813=""),"🟡 PENDÊNCIA ABERTA",IF(AND(N(J2813)&gt;0,N(K2813)&lt;J2813),"🟡 FALTA EXECUTAR",IF(OR(M2813="PENDENTE",M2813="PARCIAL"),"🟡 FATURAMENTO PENDENTE","🟡 EMBARQUE PENDENTE")))))))))))</f>
        <v/>
      </c>
      <c r="D2813" s="4" t="n"/>
      <c r="E2813" s="5" t="n"/>
      <c r="F2813" s="5" t="n"/>
      <c r="G2813" s="5" t="n"/>
      <c r="H2813" s="5" t="n"/>
      <c r="I2813" s="5" t="n"/>
      <c r="J2813" s="6" t="n"/>
      <c r="K2813" s="6" t="n"/>
      <c r="L2813" s="7">
        <f>IF(OR(D2813="",N(J2813)=0),"",MIN(1,N(K2813)/J2813))</f>
        <v/>
      </c>
      <c r="M2813" s="5" t="n"/>
      <c r="N2813" s="5" t="n"/>
      <c r="O2813" s="5" t="n"/>
      <c r="P2813" s="5" t="n"/>
      <c r="Q2813" s="5" t="n"/>
      <c r="R2813" s="4" t="n"/>
      <c r="S2813" s="4" t="n"/>
      <c r="T2813" s="5" t="n"/>
      <c r="U2813" s="8">
        <f>IF(AND(V2813=1,D2813&lt;&gt;""),IF(D2813&gt;=corte,TODAY()-D2813,""),"")</f>
        <v/>
      </c>
      <c r="V2813" s="8">
        <f>IF(D2813="",0,IF(OR(AND(P2813&lt;&gt;"",S2813=""),AND(N(J2813)&gt;0,N(K2813)&lt;J2813),OR(M2813="PENDENTE",M2813="PARCIAL"),OR(N2813="PENDENTE",N2813="PARCIAL")),1,0))</f>
        <v/>
      </c>
      <c r="W2813" s="8">
        <f>IF(AND(V2813=1,D2813&lt;&gt;""),IF(D2813&gt;=corte,(B2813="CRÍTICO")*1E9+(100000-D2813)*10000+10000-ROW(),""),"")</f>
        <v/>
      </c>
      <c r="X2813" s="8">
        <f>IF(AND(V2813=1,D2813=pas_data,E2813=pas_turno),10000-ROW(),"")</f>
        <v/>
      </c>
    </row>
    <row r="2814">
      <c r="A2814" s="3">
        <f>IF(D2814="","","TT-"&amp;TEXT(ROW()-1,"00000"))</f>
        <v/>
      </c>
      <c r="B2814" s="3">
        <f>IF(D2814="","",IF(V2814=0,"CONCLUÍDO",IF(D2814&lt;corte,"HISTÓRICO",IF(OR(AND(ISNUMBER(R2814),R2814&lt;TODAY()),AND(OR(N2814="PENDENTE",N2814="PARCIAL"),D2814&lt;TODAY()-1)),"CRÍTICO",IF(OR(AND(P2814&lt;&gt;"",S2814=""),AND(N2814="REALIZADO",M2814="PENDENTE"),AND(ISNUMBER(R2814),R2814=TODAY())),"ATENÇÃO",IF(N(K2814)=0,"PENDENTE","EM ANDAMENTO"))))))</f>
        <v/>
      </c>
      <c r="C2814" s="3">
        <f>IF(D2814="","",IF(V2814=0,"🟢 OK",IF(D2814&lt;corte,"⚪ HISTÓRICO (sem baixa)",IF(AND(ISNUMBER(R2814),R2814&lt;TODAY()),"🔴 PRAZO VENCIDO",IF(AND(OR(N2814="PENDENTE",N2814="PARCIAL"),D2814&lt;TODAY()-1),"🔴 EMBARQUE ATRASADO",IF(AND(N2814="REALIZADO",M2814="PENDENTE"),"🟡 EMBARCADO SEM FATURAR",IF(AND(P2814&lt;&gt;"",S2814="",OR(Q2814="",R2814="")),"🟡 PENDÊNCIA SEM RESPONSÁVEL/PRAZO",IF(AND(ISNUMBER(R2814),R2814=TODAY()),"🟡 VENCE HOJE",IF(AND(P2814&lt;&gt;"",S2814=""),"🟡 PENDÊNCIA ABERTA",IF(AND(N(J2814)&gt;0,N(K2814)&lt;J2814),"🟡 FALTA EXECUTAR",IF(OR(M2814="PENDENTE",M2814="PARCIAL"),"🟡 FATURAMENTO PENDENTE","🟡 EMBARQUE PENDENTE")))))))))))</f>
        <v/>
      </c>
      <c r="D2814" s="4" t="n"/>
      <c r="E2814" s="5" t="n"/>
      <c r="F2814" s="5" t="n"/>
      <c r="G2814" s="5" t="n"/>
      <c r="H2814" s="5" t="n"/>
      <c r="I2814" s="5" t="n"/>
      <c r="J2814" s="6" t="n"/>
      <c r="K2814" s="6" t="n"/>
      <c r="L2814" s="7">
        <f>IF(OR(D2814="",N(J2814)=0),"",MIN(1,N(K2814)/J2814))</f>
        <v/>
      </c>
      <c r="M2814" s="5" t="n"/>
      <c r="N2814" s="5" t="n"/>
      <c r="O2814" s="5" t="n"/>
      <c r="P2814" s="5" t="n"/>
      <c r="Q2814" s="5" t="n"/>
      <c r="R2814" s="4" t="n"/>
      <c r="S2814" s="4" t="n"/>
      <c r="T2814" s="5" t="n"/>
      <c r="U2814" s="8">
        <f>IF(AND(V2814=1,D2814&lt;&gt;""),IF(D2814&gt;=corte,TODAY()-D2814,""),"")</f>
        <v/>
      </c>
      <c r="V2814" s="8">
        <f>IF(D2814="",0,IF(OR(AND(P2814&lt;&gt;"",S2814=""),AND(N(J2814)&gt;0,N(K2814)&lt;J2814),OR(M2814="PENDENTE",M2814="PARCIAL"),OR(N2814="PENDENTE",N2814="PARCIAL")),1,0))</f>
        <v/>
      </c>
      <c r="W2814" s="8">
        <f>IF(AND(V2814=1,D2814&lt;&gt;""),IF(D2814&gt;=corte,(B2814="CRÍTICO")*1E9+(100000-D2814)*10000+10000-ROW(),""),"")</f>
        <v/>
      </c>
      <c r="X2814" s="8">
        <f>IF(AND(V2814=1,D2814=pas_data,E2814=pas_turno),10000-ROW(),"")</f>
        <v/>
      </c>
    </row>
    <row r="2815">
      <c r="A2815" s="3">
        <f>IF(D2815="","","TT-"&amp;TEXT(ROW()-1,"00000"))</f>
        <v/>
      </c>
      <c r="B2815" s="3">
        <f>IF(D2815="","",IF(V2815=0,"CONCLUÍDO",IF(D2815&lt;corte,"HISTÓRICO",IF(OR(AND(ISNUMBER(R2815),R2815&lt;TODAY()),AND(OR(N2815="PENDENTE",N2815="PARCIAL"),D2815&lt;TODAY()-1)),"CRÍTICO",IF(OR(AND(P2815&lt;&gt;"",S2815=""),AND(N2815="REALIZADO",M2815="PENDENTE"),AND(ISNUMBER(R2815),R2815=TODAY())),"ATENÇÃO",IF(N(K2815)=0,"PENDENTE","EM ANDAMENTO"))))))</f>
        <v/>
      </c>
      <c r="C2815" s="3">
        <f>IF(D2815="","",IF(V2815=0,"🟢 OK",IF(D2815&lt;corte,"⚪ HISTÓRICO (sem baixa)",IF(AND(ISNUMBER(R2815),R2815&lt;TODAY()),"🔴 PRAZO VENCIDO",IF(AND(OR(N2815="PENDENTE",N2815="PARCIAL"),D2815&lt;TODAY()-1),"🔴 EMBARQUE ATRASADO",IF(AND(N2815="REALIZADO",M2815="PENDENTE"),"🟡 EMBARCADO SEM FATURAR",IF(AND(P2815&lt;&gt;"",S2815="",OR(Q2815="",R2815="")),"🟡 PENDÊNCIA SEM RESPONSÁVEL/PRAZO",IF(AND(ISNUMBER(R2815),R2815=TODAY()),"🟡 VENCE HOJE",IF(AND(P2815&lt;&gt;"",S2815=""),"🟡 PENDÊNCIA ABERTA",IF(AND(N(J2815)&gt;0,N(K2815)&lt;J2815),"🟡 FALTA EXECUTAR",IF(OR(M2815="PENDENTE",M2815="PARCIAL"),"🟡 FATURAMENTO PENDENTE","🟡 EMBARQUE PENDENTE")))))))))))</f>
        <v/>
      </c>
      <c r="D2815" s="4" t="n"/>
      <c r="E2815" s="5" t="n"/>
      <c r="F2815" s="5" t="n"/>
      <c r="G2815" s="5" t="n"/>
      <c r="H2815" s="5" t="n"/>
      <c r="I2815" s="5" t="n"/>
      <c r="J2815" s="6" t="n"/>
      <c r="K2815" s="6" t="n"/>
      <c r="L2815" s="7">
        <f>IF(OR(D2815="",N(J2815)=0),"",MIN(1,N(K2815)/J2815))</f>
        <v/>
      </c>
      <c r="M2815" s="5" t="n"/>
      <c r="N2815" s="5" t="n"/>
      <c r="O2815" s="5" t="n"/>
      <c r="P2815" s="5" t="n"/>
      <c r="Q2815" s="5" t="n"/>
      <c r="R2815" s="4" t="n"/>
      <c r="S2815" s="4" t="n"/>
      <c r="T2815" s="5" t="n"/>
      <c r="U2815" s="8">
        <f>IF(AND(V2815=1,D2815&lt;&gt;""),IF(D2815&gt;=corte,TODAY()-D2815,""),"")</f>
        <v/>
      </c>
      <c r="V2815" s="8">
        <f>IF(D2815="",0,IF(OR(AND(P2815&lt;&gt;"",S2815=""),AND(N(J2815)&gt;0,N(K2815)&lt;J2815),OR(M2815="PENDENTE",M2815="PARCIAL"),OR(N2815="PENDENTE",N2815="PARCIAL")),1,0))</f>
        <v/>
      </c>
      <c r="W2815" s="8">
        <f>IF(AND(V2815=1,D2815&lt;&gt;""),IF(D2815&gt;=corte,(B2815="CRÍTICO")*1E9+(100000-D2815)*10000+10000-ROW(),""),"")</f>
        <v/>
      </c>
      <c r="X2815" s="8">
        <f>IF(AND(V2815=1,D2815=pas_data,E2815=pas_turno),10000-ROW(),"")</f>
        <v/>
      </c>
    </row>
    <row r="2816">
      <c r="A2816" s="3">
        <f>IF(D2816="","","TT-"&amp;TEXT(ROW()-1,"00000"))</f>
        <v/>
      </c>
      <c r="B2816" s="3">
        <f>IF(D2816="","",IF(V2816=0,"CONCLUÍDO",IF(D2816&lt;corte,"HISTÓRICO",IF(OR(AND(ISNUMBER(R2816),R2816&lt;TODAY()),AND(OR(N2816="PENDENTE",N2816="PARCIAL"),D2816&lt;TODAY()-1)),"CRÍTICO",IF(OR(AND(P2816&lt;&gt;"",S2816=""),AND(N2816="REALIZADO",M2816="PENDENTE"),AND(ISNUMBER(R2816),R2816=TODAY())),"ATENÇÃO",IF(N(K2816)=0,"PENDENTE","EM ANDAMENTO"))))))</f>
        <v/>
      </c>
      <c r="C2816" s="3">
        <f>IF(D2816="","",IF(V2816=0,"🟢 OK",IF(D2816&lt;corte,"⚪ HISTÓRICO (sem baixa)",IF(AND(ISNUMBER(R2816),R2816&lt;TODAY()),"🔴 PRAZO VENCIDO",IF(AND(OR(N2816="PENDENTE",N2816="PARCIAL"),D2816&lt;TODAY()-1),"🔴 EMBARQUE ATRASADO",IF(AND(N2816="REALIZADO",M2816="PENDENTE"),"🟡 EMBARCADO SEM FATURAR",IF(AND(P2816&lt;&gt;"",S2816="",OR(Q2816="",R2816="")),"🟡 PENDÊNCIA SEM RESPONSÁVEL/PRAZO",IF(AND(ISNUMBER(R2816),R2816=TODAY()),"🟡 VENCE HOJE",IF(AND(P2816&lt;&gt;"",S2816=""),"🟡 PENDÊNCIA ABERTA",IF(AND(N(J2816)&gt;0,N(K2816)&lt;J2816),"🟡 FALTA EXECUTAR",IF(OR(M2816="PENDENTE",M2816="PARCIAL"),"🟡 FATURAMENTO PENDENTE","🟡 EMBARQUE PENDENTE")))))))))))</f>
        <v/>
      </c>
      <c r="D2816" s="4" t="n"/>
      <c r="E2816" s="5" t="n"/>
      <c r="F2816" s="5" t="n"/>
      <c r="G2816" s="5" t="n"/>
      <c r="H2816" s="5" t="n"/>
      <c r="I2816" s="5" t="n"/>
      <c r="J2816" s="6" t="n"/>
      <c r="K2816" s="6" t="n"/>
      <c r="L2816" s="7">
        <f>IF(OR(D2816="",N(J2816)=0),"",MIN(1,N(K2816)/J2816))</f>
        <v/>
      </c>
      <c r="M2816" s="5" t="n"/>
      <c r="N2816" s="5" t="n"/>
      <c r="O2816" s="5" t="n"/>
      <c r="P2816" s="5" t="n"/>
      <c r="Q2816" s="5" t="n"/>
      <c r="R2816" s="4" t="n"/>
      <c r="S2816" s="4" t="n"/>
      <c r="T2816" s="5" t="n"/>
      <c r="U2816" s="8">
        <f>IF(AND(V2816=1,D2816&lt;&gt;""),IF(D2816&gt;=corte,TODAY()-D2816,""),"")</f>
        <v/>
      </c>
      <c r="V2816" s="8">
        <f>IF(D2816="",0,IF(OR(AND(P2816&lt;&gt;"",S2816=""),AND(N(J2816)&gt;0,N(K2816)&lt;J2816),OR(M2816="PENDENTE",M2816="PARCIAL"),OR(N2816="PENDENTE",N2816="PARCIAL")),1,0))</f>
        <v/>
      </c>
      <c r="W2816" s="8">
        <f>IF(AND(V2816=1,D2816&lt;&gt;""),IF(D2816&gt;=corte,(B2816="CRÍTICO")*1E9+(100000-D2816)*10000+10000-ROW(),""),"")</f>
        <v/>
      </c>
      <c r="X2816" s="8">
        <f>IF(AND(V2816=1,D2816=pas_data,E2816=pas_turno),10000-ROW(),"")</f>
        <v/>
      </c>
    </row>
    <row r="2817">
      <c r="A2817" s="3">
        <f>IF(D2817="","","TT-"&amp;TEXT(ROW()-1,"00000"))</f>
        <v/>
      </c>
      <c r="B2817" s="3">
        <f>IF(D2817="","",IF(V2817=0,"CONCLUÍDO",IF(D2817&lt;corte,"HISTÓRICO",IF(OR(AND(ISNUMBER(R2817),R2817&lt;TODAY()),AND(OR(N2817="PENDENTE",N2817="PARCIAL"),D2817&lt;TODAY()-1)),"CRÍTICO",IF(OR(AND(P2817&lt;&gt;"",S2817=""),AND(N2817="REALIZADO",M2817="PENDENTE"),AND(ISNUMBER(R2817),R2817=TODAY())),"ATENÇÃO",IF(N(K2817)=0,"PENDENTE","EM ANDAMENTO"))))))</f>
        <v/>
      </c>
      <c r="C2817" s="3">
        <f>IF(D2817="","",IF(V2817=0,"🟢 OK",IF(D2817&lt;corte,"⚪ HISTÓRICO (sem baixa)",IF(AND(ISNUMBER(R2817),R2817&lt;TODAY()),"🔴 PRAZO VENCIDO",IF(AND(OR(N2817="PENDENTE",N2817="PARCIAL"),D2817&lt;TODAY()-1),"🔴 EMBARQUE ATRASADO",IF(AND(N2817="REALIZADO",M2817="PENDENTE"),"🟡 EMBARCADO SEM FATURAR",IF(AND(P2817&lt;&gt;"",S2817="",OR(Q2817="",R2817="")),"🟡 PENDÊNCIA SEM RESPONSÁVEL/PRAZO",IF(AND(ISNUMBER(R2817),R2817=TODAY()),"🟡 VENCE HOJE",IF(AND(P2817&lt;&gt;"",S2817=""),"🟡 PENDÊNCIA ABERTA",IF(AND(N(J2817)&gt;0,N(K2817)&lt;J2817),"🟡 FALTA EXECUTAR",IF(OR(M2817="PENDENTE",M2817="PARCIAL"),"🟡 FATURAMENTO PENDENTE","🟡 EMBARQUE PENDENTE")))))))))))</f>
        <v/>
      </c>
      <c r="D2817" s="4" t="n"/>
      <c r="E2817" s="5" t="n"/>
      <c r="F2817" s="5" t="n"/>
      <c r="G2817" s="5" t="n"/>
      <c r="H2817" s="5" t="n"/>
      <c r="I2817" s="5" t="n"/>
      <c r="J2817" s="6" t="n"/>
      <c r="K2817" s="6" t="n"/>
      <c r="L2817" s="7">
        <f>IF(OR(D2817="",N(J2817)=0),"",MIN(1,N(K2817)/J2817))</f>
        <v/>
      </c>
      <c r="M2817" s="5" t="n"/>
      <c r="N2817" s="5" t="n"/>
      <c r="O2817" s="5" t="n"/>
      <c r="P2817" s="5" t="n"/>
      <c r="Q2817" s="5" t="n"/>
      <c r="R2817" s="4" t="n"/>
      <c r="S2817" s="4" t="n"/>
      <c r="T2817" s="5" t="n"/>
      <c r="U2817" s="8">
        <f>IF(AND(V2817=1,D2817&lt;&gt;""),IF(D2817&gt;=corte,TODAY()-D2817,""),"")</f>
        <v/>
      </c>
      <c r="V2817" s="8">
        <f>IF(D2817="",0,IF(OR(AND(P2817&lt;&gt;"",S2817=""),AND(N(J2817)&gt;0,N(K2817)&lt;J2817),OR(M2817="PENDENTE",M2817="PARCIAL"),OR(N2817="PENDENTE",N2817="PARCIAL")),1,0))</f>
        <v/>
      </c>
      <c r="W2817" s="8">
        <f>IF(AND(V2817=1,D2817&lt;&gt;""),IF(D2817&gt;=corte,(B2817="CRÍTICO")*1E9+(100000-D2817)*10000+10000-ROW(),""),"")</f>
        <v/>
      </c>
      <c r="X2817" s="8">
        <f>IF(AND(V2817=1,D2817=pas_data,E2817=pas_turno),10000-ROW(),"")</f>
        <v/>
      </c>
    </row>
    <row r="2818">
      <c r="A2818" s="3">
        <f>IF(D2818="","","TT-"&amp;TEXT(ROW()-1,"00000"))</f>
        <v/>
      </c>
      <c r="B2818" s="3">
        <f>IF(D2818="","",IF(V2818=0,"CONCLUÍDO",IF(D2818&lt;corte,"HISTÓRICO",IF(OR(AND(ISNUMBER(R2818),R2818&lt;TODAY()),AND(OR(N2818="PENDENTE",N2818="PARCIAL"),D2818&lt;TODAY()-1)),"CRÍTICO",IF(OR(AND(P2818&lt;&gt;"",S2818=""),AND(N2818="REALIZADO",M2818="PENDENTE"),AND(ISNUMBER(R2818),R2818=TODAY())),"ATENÇÃO",IF(N(K2818)=0,"PENDENTE","EM ANDAMENTO"))))))</f>
        <v/>
      </c>
      <c r="C2818" s="3">
        <f>IF(D2818="","",IF(V2818=0,"🟢 OK",IF(D2818&lt;corte,"⚪ HISTÓRICO (sem baixa)",IF(AND(ISNUMBER(R2818),R2818&lt;TODAY()),"🔴 PRAZO VENCIDO",IF(AND(OR(N2818="PENDENTE",N2818="PARCIAL"),D2818&lt;TODAY()-1),"🔴 EMBARQUE ATRASADO",IF(AND(N2818="REALIZADO",M2818="PENDENTE"),"🟡 EMBARCADO SEM FATURAR",IF(AND(P2818&lt;&gt;"",S2818="",OR(Q2818="",R2818="")),"🟡 PENDÊNCIA SEM RESPONSÁVEL/PRAZO",IF(AND(ISNUMBER(R2818),R2818=TODAY()),"🟡 VENCE HOJE",IF(AND(P2818&lt;&gt;"",S2818=""),"🟡 PENDÊNCIA ABERTA",IF(AND(N(J2818)&gt;0,N(K2818)&lt;J2818),"🟡 FALTA EXECUTAR",IF(OR(M2818="PENDENTE",M2818="PARCIAL"),"🟡 FATURAMENTO PENDENTE","🟡 EMBARQUE PENDENTE")))))))))))</f>
        <v/>
      </c>
      <c r="D2818" s="4" t="n"/>
      <c r="E2818" s="5" t="n"/>
      <c r="F2818" s="5" t="n"/>
      <c r="G2818" s="5" t="n"/>
      <c r="H2818" s="5" t="n"/>
      <c r="I2818" s="5" t="n"/>
      <c r="J2818" s="6" t="n"/>
      <c r="K2818" s="6" t="n"/>
      <c r="L2818" s="7">
        <f>IF(OR(D2818="",N(J2818)=0),"",MIN(1,N(K2818)/J2818))</f>
        <v/>
      </c>
      <c r="M2818" s="5" t="n"/>
      <c r="N2818" s="5" t="n"/>
      <c r="O2818" s="5" t="n"/>
      <c r="P2818" s="5" t="n"/>
      <c r="Q2818" s="5" t="n"/>
      <c r="R2818" s="4" t="n"/>
      <c r="S2818" s="4" t="n"/>
      <c r="T2818" s="5" t="n"/>
      <c r="U2818" s="8">
        <f>IF(AND(V2818=1,D2818&lt;&gt;""),IF(D2818&gt;=corte,TODAY()-D2818,""),"")</f>
        <v/>
      </c>
      <c r="V2818" s="8">
        <f>IF(D2818="",0,IF(OR(AND(P2818&lt;&gt;"",S2818=""),AND(N(J2818)&gt;0,N(K2818)&lt;J2818),OR(M2818="PENDENTE",M2818="PARCIAL"),OR(N2818="PENDENTE",N2818="PARCIAL")),1,0))</f>
        <v/>
      </c>
      <c r="W2818" s="8">
        <f>IF(AND(V2818=1,D2818&lt;&gt;""),IF(D2818&gt;=corte,(B2818="CRÍTICO")*1E9+(100000-D2818)*10000+10000-ROW(),""),"")</f>
        <v/>
      </c>
      <c r="X2818" s="8">
        <f>IF(AND(V2818=1,D2818=pas_data,E2818=pas_turno),10000-ROW(),"")</f>
        <v/>
      </c>
    </row>
    <row r="2819">
      <c r="A2819" s="3">
        <f>IF(D2819="","","TT-"&amp;TEXT(ROW()-1,"00000"))</f>
        <v/>
      </c>
      <c r="B2819" s="3">
        <f>IF(D2819="","",IF(V2819=0,"CONCLUÍDO",IF(D2819&lt;corte,"HISTÓRICO",IF(OR(AND(ISNUMBER(R2819),R2819&lt;TODAY()),AND(OR(N2819="PENDENTE",N2819="PARCIAL"),D2819&lt;TODAY()-1)),"CRÍTICO",IF(OR(AND(P2819&lt;&gt;"",S2819=""),AND(N2819="REALIZADO",M2819="PENDENTE"),AND(ISNUMBER(R2819),R2819=TODAY())),"ATENÇÃO",IF(N(K2819)=0,"PENDENTE","EM ANDAMENTO"))))))</f>
        <v/>
      </c>
      <c r="C2819" s="3">
        <f>IF(D2819="","",IF(V2819=0,"🟢 OK",IF(D2819&lt;corte,"⚪ HISTÓRICO (sem baixa)",IF(AND(ISNUMBER(R2819),R2819&lt;TODAY()),"🔴 PRAZO VENCIDO",IF(AND(OR(N2819="PENDENTE",N2819="PARCIAL"),D2819&lt;TODAY()-1),"🔴 EMBARQUE ATRASADO",IF(AND(N2819="REALIZADO",M2819="PENDENTE"),"🟡 EMBARCADO SEM FATURAR",IF(AND(P2819&lt;&gt;"",S2819="",OR(Q2819="",R2819="")),"🟡 PENDÊNCIA SEM RESPONSÁVEL/PRAZO",IF(AND(ISNUMBER(R2819),R2819=TODAY()),"🟡 VENCE HOJE",IF(AND(P2819&lt;&gt;"",S2819=""),"🟡 PENDÊNCIA ABERTA",IF(AND(N(J2819)&gt;0,N(K2819)&lt;J2819),"🟡 FALTA EXECUTAR",IF(OR(M2819="PENDENTE",M2819="PARCIAL"),"🟡 FATURAMENTO PENDENTE","🟡 EMBARQUE PENDENTE")))))))))))</f>
        <v/>
      </c>
      <c r="D2819" s="4" t="n"/>
      <c r="E2819" s="5" t="n"/>
      <c r="F2819" s="5" t="n"/>
      <c r="G2819" s="5" t="n"/>
      <c r="H2819" s="5" t="n"/>
      <c r="I2819" s="5" t="n"/>
      <c r="J2819" s="6" t="n"/>
      <c r="K2819" s="6" t="n"/>
      <c r="L2819" s="7">
        <f>IF(OR(D2819="",N(J2819)=0),"",MIN(1,N(K2819)/J2819))</f>
        <v/>
      </c>
      <c r="M2819" s="5" t="n"/>
      <c r="N2819" s="5" t="n"/>
      <c r="O2819" s="5" t="n"/>
      <c r="P2819" s="5" t="n"/>
      <c r="Q2819" s="5" t="n"/>
      <c r="R2819" s="4" t="n"/>
      <c r="S2819" s="4" t="n"/>
      <c r="T2819" s="5" t="n"/>
      <c r="U2819" s="8">
        <f>IF(AND(V2819=1,D2819&lt;&gt;""),IF(D2819&gt;=corte,TODAY()-D2819,""),"")</f>
        <v/>
      </c>
      <c r="V2819" s="8">
        <f>IF(D2819="",0,IF(OR(AND(P2819&lt;&gt;"",S2819=""),AND(N(J2819)&gt;0,N(K2819)&lt;J2819),OR(M2819="PENDENTE",M2819="PARCIAL"),OR(N2819="PENDENTE",N2819="PARCIAL")),1,0))</f>
        <v/>
      </c>
      <c r="W2819" s="8">
        <f>IF(AND(V2819=1,D2819&lt;&gt;""),IF(D2819&gt;=corte,(B2819="CRÍTICO")*1E9+(100000-D2819)*10000+10000-ROW(),""),"")</f>
        <v/>
      </c>
      <c r="X2819" s="8">
        <f>IF(AND(V2819=1,D2819=pas_data,E2819=pas_turno),10000-ROW(),"")</f>
        <v/>
      </c>
    </row>
    <row r="2820">
      <c r="A2820" s="3">
        <f>IF(D2820="","","TT-"&amp;TEXT(ROW()-1,"00000"))</f>
        <v/>
      </c>
      <c r="B2820" s="3">
        <f>IF(D2820="","",IF(V2820=0,"CONCLUÍDO",IF(D2820&lt;corte,"HISTÓRICO",IF(OR(AND(ISNUMBER(R2820),R2820&lt;TODAY()),AND(OR(N2820="PENDENTE",N2820="PARCIAL"),D2820&lt;TODAY()-1)),"CRÍTICO",IF(OR(AND(P2820&lt;&gt;"",S2820=""),AND(N2820="REALIZADO",M2820="PENDENTE"),AND(ISNUMBER(R2820),R2820=TODAY())),"ATENÇÃO",IF(N(K2820)=0,"PENDENTE","EM ANDAMENTO"))))))</f>
        <v/>
      </c>
      <c r="C2820" s="3">
        <f>IF(D2820="","",IF(V2820=0,"🟢 OK",IF(D2820&lt;corte,"⚪ HISTÓRICO (sem baixa)",IF(AND(ISNUMBER(R2820),R2820&lt;TODAY()),"🔴 PRAZO VENCIDO",IF(AND(OR(N2820="PENDENTE",N2820="PARCIAL"),D2820&lt;TODAY()-1),"🔴 EMBARQUE ATRASADO",IF(AND(N2820="REALIZADO",M2820="PENDENTE"),"🟡 EMBARCADO SEM FATURAR",IF(AND(P2820&lt;&gt;"",S2820="",OR(Q2820="",R2820="")),"🟡 PENDÊNCIA SEM RESPONSÁVEL/PRAZO",IF(AND(ISNUMBER(R2820),R2820=TODAY()),"🟡 VENCE HOJE",IF(AND(P2820&lt;&gt;"",S2820=""),"🟡 PENDÊNCIA ABERTA",IF(AND(N(J2820)&gt;0,N(K2820)&lt;J2820),"🟡 FALTA EXECUTAR",IF(OR(M2820="PENDENTE",M2820="PARCIAL"),"🟡 FATURAMENTO PENDENTE","🟡 EMBARQUE PENDENTE")))))))))))</f>
        <v/>
      </c>
      <c r="D2820" s="4" t="n"/>
      <c r="E2820" s="5" t="n"/>
      <c r="F2820" s="5" t="n"/>
      <c r="G2820" s="5" t="n"/>
      <c r="H2820" s="5" t="n"/>
      <c r="I2820" s="5" t="n"/>
      <c r="J2820" s="6" t="n"/>
      <c r="K2820" s="6" t="n"/>
      <c r="L2820" s="7">
        <f>IF(OR(D2820="",N(J2820)=0),"",MIN(1,N(K2820)/J2820))</f>
        <v/>
      </c>
      <c r="M2820" s="5" t="n"/>
      <c r="N2820" s="5" t="n"/>
      <c r="O2820" s="5" t="n"/>
      <c r="P2820" s="5" t="n"/>
      <c r="Q2820" s="5" t="n"/>
      <c r="R2820" s="4" t="n"/>
      <c r="S2820" s="4" t="n"/>
      <c r="T2820" s="5" t="n"/>
      <c r="U2820" s="8">
        <f>IF(AND(V2820=1,D2820&lt;&gt;""),IF(D2820&gt;=corte,TODAY()-D2820,""),"")</f>
        <v/>
      </c>
      <c r="V2820" s="8">
        <f>IF(D2820="",0,IF(OR(AND(P2820&lt;&gt;"",S2820=""),AND(N(J2820)&gt;0,N(K2820)&lt;J2820),OR(M2820="PENDENTE",M2820="PARCIAL"),OR(N2820="PENDENTE",N2820="PARCIAL")),1,0))</f>
        <v/>
      </c>
      <c r="W2820" s="8">
        <f>IF(AND(V2820=1,D2820&lt;&gt;""),IF(D2820&gt;=corte,(B2820="CRÍTICO")*1E9+(100000-D2820)*10000+10000-ROW(),""),"")</f>
        <v/>
      </c>
      <c r="X2820" s="8">
        <f>IF(AND(V2820=1,D2820=pas_data,E2820=pas_turno),10000-ROW(),"")</f>
        <v/>
      </c>
    </row>
    <row r="2821">
      <c r="A2821" s="3">
        <f>IF(D2821="","","TT-"&amp;TEXT(ROW()-1,"00000"))</f>
        <v/>
      </c>
      <c r="B2821" s="3">
        <f>IF(D2821="","",IF(V2821=0,"CONCLUÍDO",IF(D2821&lt;corte,"HISTÓRICO",IF(OR(AND(ISNUMBER(R2821),R2821&lt;TODAY()),AND(OR(N2821="PENDENTE",N2821="PARCIAL"),D2821&lt;TODAY()-1)),"CRÍTICO",IF(OR(AND(P2821&lt;&gt;"",S2821=""),AND(N2821="REALIZADO",M2821="PENDENTE"),AND(ISNUMBER(R2821),R2821=TODAY())),"ATENÇÃO",IF(N(K2821)=0,"PENDENTE","EM ANDAMENTO"))))))</f>
        <v/>
      </c>
      <c r="C2821" s="3">
        <f>IF(D2821="","",IF(V2821=0,"🟢 OK",IF(D2821&lt;corte,"⚪ HISTÓRICO (sem baixa)",IF(AND(ISNUMBER(R2821),R2821&lt;TODAY()),"🔴 PRAZO VENCIDO",IF(AND(OR(N2821="PENDENTE",N2821="PARCIAL"),D2821&lt;TODAY()-1),"🔴 EMBARQUE ATRASADO",IF(AND(N2821="REALIZADO",M2821="PENDENTE"),"🟡 EMBARCADO SEM FATURAR",IF(AND(P2821&lt;&gt;"",S2821="",OR(Q2821="",R2821="")),"🟡 PENDÊNCIA SEM RESPONSÁVEL/PRAZO",IF(AND(ISNUMBER(R2821),R2821=TODAY()),"🟡 VENCE HOJE",IF(AND(P2821&lt;&gt;"",S2821=""),"🟡 PENDÊNCIA ABERTA",IF(AND(N(J2821)&gt;0,N(K2821)&lt;J2821),"🟡 FALTA EXECUTAR",IF(OR(M2821="PENDENTE",M2821="PARCIAL"),"🟡 FATURAMENTO PENDENTE","🟡 EMBARQUE PENDENTE")))))))))))</f>
        <v/>
      </c>
      <c r="D2821" s="4" t="n"/>
      <c r="E2821" s="5" t="n"/>
      <c r="F2821" s="5" t="n"/>
      <c r="G2821" s="5" t="n"/>
      <c r="H2821" s="5" t="n"/>
      <c r="I2821" s="5" t="n"/>
      <c r="J2821" s="6" t="n"/>
      <c r="K2821" s="6" t="n"/>
      <c r="L2821" s="7">
        <f>IF(OR(D2821="",N(J2821)=0),"",MIN(1,N(K2821)/J2821))</f>
        <v/>
      </c>
      <c r="M2821" s="5" t="n"/>
      <c r="N2821" s="5" t="n"/>
      <c r="O2821" s="5" t="n"/>
      <c r="P2821" s="5" t="n"/>
      <c r="Q2821" s="5" t="n"/>
      <c r="R2821" s="4" t="n"/>
      <c r="S2821" s="4" t="n"/>
      <c r="T2821" s="5" t="n"/>
      <c r="U2821" s="8">
        <f>IF(AND(V2821=1,D2821&lt;&gt;""),IF(D2821&gt;=corte,TODAY()-D2821,""),"")</f>
        <v/>
      </c>
      <c r="V2821" s="8">
        <f>IF(D2821="",0,IF(OR(AND(P2821&lt;&gt;"",S2821=""),AND(N(J2821)&gt;0,N(K2821)&lt;J2821),OR(M2821="PENDENTE",M2821="PARCIAL"),OR(N2821="PENDENTE",N2821="PARCIAL")),1,0))</f>
        <v/>
      </c>
      <c r="W2821" s="8">
        <f>IF(AND(V2821=1,D2821&lt;&gt;""),IF(D2821&gt;=corte,(B2821="CRÍTICO")*1E9+(100000-D2821)*10000+10000-ROW(),""),"")</f>
        <v/>
      </c>
      <c r="X2821" s="8">
        <f>IF(AND(V2821=1,D2821=pas_data,E2821=pas_turno),10000-ROW(),"")</f>
        <v/>
      </c>
    </row>
    <row r="2822">
      <c r="A2822" s="3">
        <f>IF(D2822="","","TT-"&amp;TEXT(ROW()-1,"00000"))</f>
        <v/>
      </c>
      <c r="B2822" s="3">
        <f>IF(D2822="","",IF(V2822=0,"CONCLUÍDO",IF(D2822&lt;corte,"HISTÓRICO",IF(OR(AND(ISNUMBER(R2822),R2822&lt;TODAY()),AND(OR(N2822="PENDENTE",N2822="PARCIAL"),D2822&lt;TODAY()-1)),"CRÍTICO",IF(OR(AND(P2822&lt;&gt;"",S2822=""),AND(N2822="REALIZADO",M2822="PENDENTE"),AND(ISNUMBER(R2822),R2822=TODAY())),"ATENÇÃO",IF(N(K2822)=0,"PENDENTE","EM ANDAMENTO"))))))</f>
        <v/>
      </c>
      <c r="C2822" s="3">
        <f>IF(D2822="","",IF(V2822=0,"🟢 OK",IF(D2822&lt;corte,"⚪ HISTÓRICO (sem baixa)",IF(AND(ISNUMBER(R2822),R2822&lt;TODAY()),"🔴 PRAZO VENCIDO",IF(AND(OR(N2822="PENDENTE",N2822="PARCIAL"),D2822&lt;TODAY()-1),"🔴 EMBARQUE ATRASADO",IF(AND(N2822="REALIZADO",M2822="PENDENTE"),"🟡 EMBARCADO SEM FATURAR",IF(AND(P2822&lt;&gt;"",S2822="",OR(Q2822="",R2822="")),"🟡 PENDÊNCIA SEM RESPONSÁVEL/PRAZO",IF(AND(ISNUMBER(R2822),R2822=TODAY()),"🟡 VENCE HOJE",IF(AND(P2822&lt;&gt;"",S2822=""),"🟡 PENDÊNCIA ABERTA",IF(AND(N(J2822)&gt;0,N(K2822)&lt;J2822),"🟡 FALTA EXECUTAR",IF(OR(M2822="PENDENTE",M2822="PARCIAL"),"🟡 FATURAMENTO PENDENTE","🟡 EMBARQUE PENDENTE")))))))))))</f>
        <v/>
      </c>
      <c r="D2822" s="4" t="n"/>
      <c r="E2822" s="5" t="n"/>
      <c r="F2822" s="5" t="n"/>
      <c r="G2822" s="5" t="n"/>
      <c r="H2822" s="5" t="n"/>
      <c r="I2822" s="5" t="n"/>
      <c r="J2822" s="6" t="n"/>
      <c r="K2822" s="6" t="n"/>
      <c r="L2822" s="7">
        <f>IF(OR(D2822="",N(J2822)=0),"",MIN(1,N(K2822)/J2822))</f>
        <v/>
      </c>
      <c r="M2822" s="5" t="n"/>
      <c r="N2822" s="5" t="n"/>
      <c r="O2822" s="5" t="n"/>
      <c r="P2822" s="5" t="n"/>
      <c r="Q2822" s="5" t="n"/>
      <c r="R2822" s="4" t="n"/>
      <c r="S2822" s="4" t="n"/>
      <c r="T2822" s="5" t="n"/>
      <c r="U2822" s="8">
        <f>IF(AND(V2822=1,D2822&lt;&gt;""),IF(D2822&gt;=corte,TODAY()-D2822,""),"")</f>
        <v/>
      </c>
      <c r="V2822" s="8">
        <f>IF(D2822="",0,IF(OR(AND(P2822&lt;&gt;"",S2822=""),AND(N(J2822)&gt;0,N(K2822)&lt;J2822),OR(M2822="PENDENTE",M2822="PARCIAL"),OR(N2822="PENDENTE",N2822="PARCIAL")),1,0))</f>
        <v/>
      </c>
      <c r="W2822" s="8">
        <f>IF(AND(V2822=1,D2822&lt;&gt;""),IF(D2822&gt;=corte,(B2822="CRÍTICO")*1E9+(100000-D2822)*10000+10000-ROW(),""),"")</f>
        <v/>
      </c>
      <c r="X2822" s="8">
        <f>IF(AND(V2822=1,D2822=pas_data,E2822=pas_turno),10000-ROW(),"")</f>
        <v/>
      </c>
    </row>
    <row r="2823">
      <c r="A2823" s="3">
        <f>IF(D2823="","","TT-"&amp;TEXT(ROW()-1,"00000"))</f>
        <v/>
      </c>
      <c r="B2823" s="3">
        <f>IF(D2823="","",IF(V2823=0,"CONCLUÍDO",IF(D2823&lt;corte,"HISTÓRICO",IF(OR(AND(ISNUMBER(R2823),R2823&lt;TODAY()),AND(OR(N2823="PENDENTE",N2823="PARCIAL"),D2823&lt;TODAY()-1)),"CRÍTICO",IF(OR(AND(P2823&lt;&gt;"",S2823=""),AND(N2823="REALIZADO",M2823="PENDENTE"),AND(ISNUMBER(R2823),R2823=TODAY())),"ATENÇÃO",IF(N(K2823)=0,"PENDENTE","EM ANDAMENTO"))))))</f>
        <v/>
      </c>
      <c r="C2823" s="3">
        <f>IF(D2823="","",IF(V2823=0,"🟢 OK",IF(D2823&lt;corte,"⚪ HISTÓRICO (sem baixa)",IF(AND(ISNUMBER(R2823),R2823&lt;TODAY()),"🔴 PRAZO VENCIDO",IF(AND(OR(N2823="PENDENTE",N2823="PARCIAL"),D2823&lt;TODAY()-1),"🔴 EMBARQUE ATRASADO",IF(AND(N2823="REALIZADO",M2823="PENDENTE"),"🟡 EMBARCADO SEM FATURAR",IF(AND(P2823&lt;&gt;"",S2823="",OR(Q2823="",R2823="")),"🟡 PENDÊNCIA SEM RESPONSÁVEL/PRAZO",IF(AND(ISNUMBER(R2823),R2823=TODAY()),"🟡 VENCE HOJE",IF(AND(P2823&lt;&gt;"",S2823=""),"🟡 PENDÊNCIA ABERTA",IF(AND(N(J2823)&gt;0,N(K2823)&lt;J2823),"🟡 FALTA EXECUTAR",IF(OR(M2823="PENDENTE",M2823="PARCIAL"),"🟡 FATURAMENTO PENDENTE","🟡 EMBARQUE PENDENTE")))))))))))</f>
        <v/>
      </c>
      <c r="D2823" s="4" t="n"/>
      <c r="E2823" s="5" t="n"/>
      <c r="F2823" s="5" t="n"/>
      <c r="G2823" s="5" t="n"/>
      <c r="H2823" s="5" t="n"/>
      <c r="I2823" s="5" t="n"/>
      <c r="J2823" s="6" t="n"/>
      <c r="K2823" s="6" t="n"/>
      <c r="L2823" s="7">
        <f>IF(OR(D2823="",N(J2823)=0),"",MIN(1,N(K2823)/J2823))</f>
        <v/>
      </c>
      <c r="M2823" s="5" t="n"/>
      <c r="N2823" s="5" t="n"/>
      <c r="O2823" s="5" t="n"/>
      <c r="P2823" s="5" t="n"/>
      <c r="Q2823" s="5" t="n"/>
      <c r="R2823" s="4" t="n"/>
      <c r="S2823" s="4" t="n"/>
      <c r="T2823" s="5" t="n"/>
      <c r="U2823" s="8">
        <f>IF(AND(V2823=1,D2823&lt;&gt;""),IF(D2823&gt;=corte,TODAY()-D2823,""),"")</f>
        <v/>
      </c>
      <c r="V2823" s="8">
        <f>IF(D2823="",0,IF(OR(AND(P2823&lt;&gt;"",S2823=""),AND(N(J2823)&gt;0,N(K2823)&lt;J2823),OR(M2823="PENDENTE",M2823="PARCIAL"),OR(N2823="PENDENTE",N2823="PARCIAL")),1,0))</f>
        <v/>
      </c>
      <c r="W2823" s="8">
        <f>IF(AND(V2823=1,D2823&lt;&gt;""),IF(D2823&gt;=corte,(B2823="CRÍTICO")*1E9+(100000-D2823)*10000+10000-ROW(),""),"")</f>
        <v/>
      </c>
      <c r="X2823" s="8">
        <f>IF(AND(V2823=1,D2823=pas_data,E2823=pas_turno),10000-ROW(),"")</f>
        <v/>
      </c>
    </row>
    <row r="2824">
      <c r="A2824" s="3">
        <f>IF(D2824="","","TT-"&amp;TEXT(ROW()-1,"00000"))</f>
        <v/>
      </c>
      <c r="B2824" s="3">
        <f>IF(D2824="","",IF(V2824=0,"CONCLUÍDO",IF(D2824&lt;corte,"HISTÓRICO",IF(OR(AND(ISNUMBER(R2824),R2824&lt;TODAY()),AND(OR(N2824="PENDENTE",N2824="PARCIAL"),D2824&lt;TODAY()-1)),"CRÍTICO",IF(OR(AND(P2824&lt;&gt;"",S2824=""),AND(N2824="REALIZADO",M2824="PENDENTE"),AND(ISNUMBER(R2824),R2824=TODAY())),"ATENÇÃO",IF(N(K2824)=0,"PENDENTE","EM ANDAMENTO"))))))</f>
        <v/>
      </c>
      <c r="C2824" s="3">
        <f>IF(D2824="","",IF(V2824=0,"🟢 OK",IF(D2824&lt;corte,"⚪ HISTÓRICO (sem baixa)",IF(AND(ISNUMBER(R2824),R2824&lt;TODAY()),"🔴 PRAZO VENCIDO",IF(AND(OR(N2824="PENDENTE",N2824="PARCIAL"),D2824&lt;TODAY()-1),"🔴 EMBARQUE ATRASADO",IF(AND(N2824="REALIZADO",M2824="PENDENTE"),"🟡 EMBARCADO SEM FATURAR",IF(AND(P2824&lt;&gt;"",S2824="",OR(Q2824="",R2824="")),"🟡 PENDÊNCIA SEM RESPONSÁVEL/PRAZO",IF(AND(ISNUMBER(R2824),R2824=TODAY()),"🟡 VENCE HOJE",IF(AND(P2824&lt;&gt;"",S2824=""),"🟡 PENDÊNCIA ABERTA",IF(AND(N(J2824)&gt;0,N(K2824)&lt;J2824),"🟡 FALTA EXECUTAR",IF(OR(M2824="PENDENTE",M2824="PARCIAL"),"🟡 FATURAMENTO PENDENTE","🟡 EMBARQUE PENDENTE")))))))))))</f>
        <v/>
      </c>
      <c r="D2824" s="4" t="n"/>
      <c r="E2824" s="5" t="n"/>
      <c r="F2824" s="5" t="n"/>
      <c r="G2824" s="5" t="n"/>
      <c r="H2824" s="5" t="n"/>
      <c r="I2824" s="5" t="n"/>
      <c r="J2824" s="6" t="n"/>
      <c r="K2824" s="6" t="n"/>
      <c r="L2824" s="7">
        <f>IF(OR(D2824="",N(J2824)=0),"",MIN(1,N(K2824)/J2824))</f>
        <v/>
      </c>
      <c r="M2824" s="5" t="n"/>
      <c r="N2824" s="5" t="n"/>
      <c r="O2824" s="5" t="n"/>
      <c r="P2824" s="5" t="n"/>
      <c r="Q2824" s="5" t="n"/>
      <c r="R2824" s="4" t="n"/>
      <c r="S2824" s="4" t="n"/>
      <c r="T2824" s="5" t="n"/>
      <c r="U2824" s="8">
        <f>IF(AND(V2824=1,D2824&lt;&gt;""),IF(D2824&gt;=corte,TODAY()-D2824,""),"")</f>
        <v/>
      </c>
      <c r="V2824" s="8">
        <f>IF(D2824="",0,IF(OR(AND(P2824&lt;&gt;"",S2824=""),AND(N(J2824)&gt;0,N(K2824)&lt;J2824),OR(M2824="PENDENTE",M2824="PARCIAL"),OR(N2824="PENDENTE",N2824="PARCIAL")),1,0))</f>
        <v/>
      </c>
      <c r="W2824" s="8">
        <f>IF(AND(V2824=1,D2824&lt;&gt;""),IF(D2824&gt;=corte,(B2824="CRÍTICO")*1E9+(100000-D2824)*10000+10000-ROW(),""),"")</f>
        <v/>
      </c>
      <c r="X2824" s="8">
        <f>IF(AND(V2824=1,D2824=pas_data,E2824=pas_turno),10000-ROW(),"")</f>
        <v/>
      </c>
    </row>
    <row r="2825">
      <c r="A2825" s="3">
        <f>IF(D2825="","","TT-"&amp;TEXT(ROW()-1,"00000"))</f>
        <v/>
      </c>
      <c r="B2825" s="3">
        <f>IF(D2825="","",IF(V2825=0,"CONCLUÍDO",IF(D2825&lt;corte,"HISTÓRICO",IF(OR(AND(ISNUMBER(R2825),R2825&lt;TODAY()),AND(OR(N2825="PENDENTE",N2825="PARCIAL"),D2825&lt;TODAY()-1)),"CRÍTICO",IF(OR(AND(P2825&lt;&gt;"",S2825=""),AND(N2825="REALIZADO",M2825="PENDENTE"),AND(ISNUMBER(R2825),R2825=TODAY())),"ATENÇÃO",IF(N(K2825)=0,"PENDENTE","EM ANDAMENTO"))))))</f>
        <v/>
      </c>
      <c r="C2825" s="3">
        <f>IF(D2825="","",IF(V2825=0,"🟢 OK",IF(D2825&lt;corte,"⚪ HISTÓRICO (sem baixa)",IF(AND(ISNUMBER(R2825),R2825&lt;TODAY()),"🔴 PRAZO VENCIDO",IF(AND(OR(N2825="PENDENTE",N2825="PARCIAL"),D2825&lt;TODAY()-1),"🔴 EMBARQUE ATRASADO",IF(AND(N2825="REALIZADO",M2825="PENDENTE"),"🟡 EMBARCADO SEM FATURAR",IF(AND(P2825&lt;&gt;"",S2825="",OR(Q2825="",R2825="")),"🟡 PENDÊNCIA SEM RESPONSÁVEL/PRAZO",IF(AND(ISNUMBER(R2825),R2825=TODAY()),"🟡 VENCE HOJE",IF(AND(P2825&lt;&gt;"",S2825=""),"🟡 PENDÊNCIA ABERTA",IF(AND(N(J2825)&gt;0,N(K2825)&lt;J2825),"🟡 FALTA EXECUTAR",IF(OR(M2825="PENDENTE",M2825="PARCIAL"),"🟡 FATURAMENTO PENDENTE","🟡 EMBARQUE PENDENTE")))))))))))</f>
        <v/>
      </c>
      <c r="D2825" s="4" t="n"/>
      <c r="E2825" s="5" t="n"/>
      <c r="F2825" s="5" t="n"/>
      <c r="G2825" s="5" t="n"/>
      <c r="H2825" s="5" t="n"/>
      <c r="I2825" s="5" t="n"/>
      <c r="J2825" s="6" t="n"/>
      <c r="K2825" s="6" t="n"/>
      <c r="L2825" s="7">
        <f>IF(OR(D2825="",N(J2825)=0),"",MIN(1,N(K2825)/J2825))</f>
        <v/>
      </c>
      <c r="M2825" s="5" t="n"/>
      <c r="N2825" s="5" t="n"/>
      <c r="O2825" s="5" t="n"/>
      <c r="P2825" s="5" t="n"/>
      <c r="Q2825" s="5" t="n"/>
      <c r="R2825" s="4" t="n"/>
      <c r="S2825" s="4" t="n"/>
      <c r="T2825" s="5" t="n"/>
      <c r="U2825" s="8">
        <f>IF(AND(V2825=1,D2825&lt;&gt;""),IF(D2825&gt;=corte,TODAY()-D2825,""),"")</f>
        <v/>
      </c>
      <c r="V2825" s="8">
        <f>IF(D2825="",0,IF(OR(AND(P2825&lt;&gt;"",S2825=""),AND(N(J2825)&gt;0,N(K2825)&lt;J2825),OR(M2825="PENDENTE",M2825="PARCIAL"),OR(N2825="PENDENTE",N2825="PARCIAL")),1,0))</f>
        <v/>
      </c>
      <c r="W2825" s="8">
        <f>IF(AND(V2825=1,D2825&lt;&gt;""),IF(D2825&gt;=corte,(B2825="CRÍTICO")*1E9+(100000-D2825)*10000+10000-ROW(),""),"")</f>
        <v/>
      </c>
      <c r="X2825" s="8">
        <f>IF(AND(V2825=1,D2825=pas_data,E2825=pas_turno),10000-ROW(),"")</f>
        <v/>
      </c>
    </row>
    <row r="2826">
      <c r="A2826" s="3">
        <f>IF(D2826="","","TT-"&amp;TEXT(ROW()-1,"00000"))</f>
        <v/>
      </c>
      <c r="B2826" s="3">
        <f>IF(D2826="","",IF(V2826=0,"CONCLUÍDO",IF(D2826&lt;corte,"HISTÓRICO",IF(OR(AND(ISNUMBER(R2826),R2826&lt;TODAY()),AND(OR(N2826="PENDENTE",N2826="PARCIAL"),D2826&lt;TODAY()-1)),"CRÍTICO",IF(OR(AND(P2826&lt;&gt;"",S2826=""),AND(N2826="REALIZADO",M2826="PENDENTE"),AND(ISNUMBER(R2826),R2826=TODAY())),"ATENÇÃO",IF(N(K2826)=0,"PENDENTE","EM ANDAMENTO"))))))</f>
        <v/>
      </c>
      <c r="C2826" s="3">
        <f>IF(D2826="","",IF(V2826=0,"🟢 OK",IF(D2826&lt;corte,"⚪ HISTÓRICO (sem baixa)",IF(AND(ISNUMBER(R2826),R2826&lt;TODAY()),"🔴 PRAZO VENCIDO",IF(AND(OR(N2826="PENDENTE",N2826="PARCIAL"),D2826&lt;TODAY()-1),"🔴 EMBARQUE ATRASADO",IF(AND(N2826="REALIZADO",M2826="PENDENTE"),"🟡 EMBARCADO SEM FATURAR",IF(AND(P2826&lt;&gt;"",S2826="",OR(Q2826="",R2826="")),"🟡 PENDÊNCIA SEM RESPONSÁVEL/PRAZO",IF(AND(ISNUMBER(R2826),R2826=TODAY()),"🟡 VENCE HOJE",IF(AND(P2826&lt;&gt;"",S2826=""),"🟡 PENDÊNCIA ABERTA",IF(AND(N(J2826)&gt;0,N(K2826)&lt;J2826),"🟡 FALTA EXECUTAR",IF(OR(M2826="PENDENTE",M2826="PARCIAL"),"🟡 FATURAMENTO PENDENTE","🟡 EMBARQUE PENDENTE")))))))))))</f>
        <v/>
      </c>
      <c r="D2826" s="4" t="n"/>
      <c r="E2826" s="5" t="n"/>
      <c r="F2826" s="5" t="n"/>
      <c r="G2826" s="5" t="n"/>
      <c r="H2826" s="5" t="n"/>
      <c r="I2826" s="5" t="n"/>
      <c r="J2826" s="6" t="n"/>
      <c r="K2826" s="6" t="n"/>
      <c r="L2826" s="7">
        <f>IF(OR(D2826="",N(J2826)=0),"",MIN(1,N(K2826)/J2826))</f>
        <v/>
      </c>
      <c r="M2826" s="5" t="n"/>
      <c r="N2826" s="5" t="n"/>
      <c r="O2826" s="5" t="n"/>
      <c r="P2826" s="5" t="n"/>
      <c r="Q2826" s="5" t="n"/>
      <c r="R2826" s="4" t="n"/>
      <c r="S2826" s="4" t="n"/>
      <c r="T2826" s="5" t="n"/>
      <c r="U2826" s="8">
        <f>IF(AND(V2826=1,D2826&lt;&gt;""),IF(D2826&gt;=corte,TODAY()-D2826,""),"")</f>
        <v/>
      </c>
      <c r="V2826" s="8">
        <f>IF(D2826="",0,IF(OR(AND(P2826&lt;&gt;"",S2826=""),AND(N(J2826)&gt;0,N(K2826)&lt;J2826),OR(M2826="PENDENTE",M2826="PARCIAL"),OR(N2826="PENDENTE",N2826="PARCIAL")),1,0))</f>
        <v/>
      </c>
      <c r="W2826" s="8">
        <f>IF(AND(V2826=1,D2826&lt;&gt;""),IF(D2826&gt;=corte,(B2826="CRÍTICO")*1E9+(100000-D2826)*10000+10000-ROW(),""),"")</f>
        <v/>
      </c>
      <c r="X2826" s="8">
        <f>IF(AND(V2826=1,D2826=pas_data,E2826=pas_turno),10000-ROW(),"")</f>
        <v/>
      </c>
    </row>
    <row r="2827">
      <c r="A2827" s="3">
        <f>IF(D2827="","","TT-"&amp;TEXT(ROW()-1,"00000"))</f>
        <v/>
      </c>
      <c r="B2827" s="3">
        <f>IF(D2827="","",IF(V2827=0,"CONCLUÍDO",IF(D2827&lt;corte,"HISTÓRICO",IF(OR(AND(ISNUMBER(R2827),R2827&lt;TODAY()),AND(OR(N2827="PENDENTE",N2827="PARCIAL"),D2827&lt;TODAY()-1)),"CRÍTICO",IF(OR(AND(P2827&lt;&gt;"",S2827=""),AND(N2827="REALIZADO",M2827="PENDENTE"),AND(ISNUMBER(R2827),R2827=TODAY())),"ATENÇÃO",IF(N(K2827)=0,"PENDENTE","EM ANDAMENTO"))))))</f>
        <v/>
      </c>
      <c r="C2827" s="3">
        <f>IF(D2827="","",IF(V2827=0,"🟢 OK",IF(D2827&lt;corte,"⚪ HISTÓRICO (sem baixa)",IF(AND(ISNUMBER(R2827),R2827&lt;TODAY()),"🔴 PRAZO VENCIDO",IF(AND(OR(N2827="PENDENTE",N2827="PARCIAL"),D2827&lt;TODAY()-1),"🔴 EMBARQUE ATRASADO",IF(AND(N2827="REALIZADO",M2827="PENDENTE"),"🟡 EMBARCADO SEM FATURAR",IF(AND(P2827&lt;&gt;"",S2827="",OR(Q2827="",R2827="")),"🟡 PENDÊNCIA SEM RESPONSÁVEL/PRAZO",IF(AND(ISNUMBER(R2827),R2827=TODAY()),"🟡 VENCE HOJE",IF(AND(P2827&lt;&gt;"",S2827=""),"🟡 PENDÊNCIA ABERTA",IF(AND(N(J2827)&gt;0,N(K2827)&lt;J2827),"🟡 FALTA EXECUTAR",IF(OR(M2827="PENDENTE",M2827="PARCIAL"),"🟡 FATURAMENTO PENDENTE","🟡 EMBARQUE PENDENTE")))))))))))</f>
        <v/>
      </c>
      <c r="D2827" s="4" t="n"/>
      <c r="E2827" s="5" t="n"/>
      <c r="F2827" s="5" t="n"/>
      <c r="G2827" s="5" t="n"/>
      <c r="H2827" s="5" t="n"/>
      <c r="I2827" s="5" t="n"/>
      <c r="J2827" s="6" t="n"/>
      <c r="K2827" s="6" t="n"/>
      <c r="L2827" s="7">
        <f>IF(OR(D2827="",N(J2827)=0),"",MIN(1,N(K2827)/J2827))</f>
        <v/>
      </c>
      <c r="M2827" s="5" t="n"/>
      <c r="N2827" s="5" t="n"/>
      <c r="O2827" s="5" t="n"/>
      <c r="P2827" s="5" t="n"/>
      <c r="Q2827" s="5" t="n"/>
      <c r="R2827" s="4" t="n"/>
      <c r="S2827" s="4" t="n"/>
      <c r="T2827" s="5" t="n"/>
      <c r="U2827" s="8">
        <f>IF(AND(V2827=1,D2827&lt;&gt;""),IF(D2827&gt;=corte,TODAY()-D2827,""),"")</f>
        <v/>
      </c>
      <c r="V2827" s="8">
        <f>IF(D2827="",0,IF(OR(AND(P2827&lt;&gt;"",S2827=""),AND(N(J2827)&gt;0,N(K2827)&lt;J2827),OR(M2827="PENDENTE",M2827="PARCIAL"),OR(N2827="PENDENTE",N2827="PARCIAL")),1,0))</f>
        <v/>
      </c>
      <c r="W2827" s="8">
        <f>IF(AND(V2827=1,D2827&lt;&gt;""),IF(D2827&gt;=corte,(B2827="CRÍTICO")*1E9+(100000-D2827)*10000+10000-ROW(),""),"")</f>
        <v/>
      </c>
      <c r="X2827" s="8">
        <f>IF(AND(V2827=1,D2827=pas_data,E2827=pas_turno),10000-ROW(),"")</f>
        <v/>
      </c>
    </row>
    <row r="2828">
      <c r="A2828" s="3">
        <f>IF(D2828="","","TT-"&amp;TEXT(ROW()-1,"00000"))</f>
        <v/>
      </c>
      <c r="B2828" s="3">
        <f>IF(D2828="","",IF(V2828=0,"CONCLUÍDO",IF(D2828&lt;corte,"HISTÓRICO",IF(OR(AND(ISNUMBER(R2828),R2828&lt;TODAY()),AND(OR(N2828="PENDENTE",N2828="PARCIAL"),D2828&lt;TODAY()-1)),"CRÍTICO",IF(OR(AND(P2828&lt;&gt;"",S2828=""),AND(N2828="REALIZADO",M2828="PENDENTE"),AND(ISNUMBER(R2828),R2828=TODAY())),"ATENÇÃO",IF(N(K2828)=0,"PENDENTE","EM ANDAMENTO"))))))</f>
        <v/>
      </c>
      <c r="C2828" s="3">
        <f>IF(D2828="","",IF(V2828=0,"🟢 OK",IF(D2828&lt;corte,"⚪ HISTÓRICO (sem baixa)",IF(AND(ISNUMBER(R2828),R2828&lt;TODAY()),"🔴 PRAZO VENCIDO",IF(AND(OR(N2828="PENDENTE",N2828="PARCIAL"),D2828&lt;TODAY()-1),"🔴 EMBARQUE ATRASADO",IF(AND(N2828="REALIZADO",M2828="PENDENTE"),"🟡 EMBARCADO SEM FATURAR",IF(AND(P2828&lt;&gt;"",S2828="",OR(Q2828="",R2828="")),"🟡 PENDÊNCIA SEM RESPONSÁVEL/PRAZO",IF(AND(ISNUMBER(R2828),R2828=TODAY()),"🟡 VENCE HOJE",IF(AND(P2828&lt;&gt;"",S2828=""),"🟡 PENDÊNCIA ABERTA",IF(AND(N(J2828)&gt;0,N(K2828)&lt;J2828),"🟡 FALTA EXECUTAR",IF(OR(M2828="PENDENTE",M2828="PARCIAL"),"🟡 FATURAMENTO PENDENTE","🟡 EMBARQUE PENDENTE")))))))))))</f>
        <v/>
      </c>
      <c r="D2828" s="4" t="n"/>
      <c r="E2828" s="5" t="n"/>
      <c r="F2828" s="5" t="n"/>
      <c r="G2828" s="5" t="n"/>
      <c r="H2828" s="5" t="n"/>
      <c r="I2828" s="5" t="n"/>
      <c r="J2828" s="6" t="n"/>
      <c r="K2828" s="6" t="n"/>
      <c r="L2828" s="7">
        <f>IF(OR(D2828="",N(J2828)=0),"",MIN(1,N(K2828)/J2828))</f>
        <v/>
      </c>
      <c r="M2828" s="5" t="n"/>
      <c r="N2828" s="5" t="n"/>
      <c r="O2828" s="5" t="n"/>
      <c r="P2828" s="5" t="n"/>
      <c r="Q2828" s="5" t="n"/>
      <c r="R2828" s="4" t="n"/>
      <c r="S2828" s="4" t="n"/>
      <c r="T2828" s="5" t="n"/>
      <c r="U2828" s="8">
        <f>IF(AND(V2828=1,D2828&lt;&gt;""),IF(D2828&gt;=corte,TODAY()-D2828,""),"")</f>
        <v/>
      </c>
      <c r="V2828" s="8">
        <f>IF(D2828="",0,IF(OR(AND(P2828&lt;&gt;"",S2828=""),AND(N(J2828)&gt;0,N(K2828)&lt;J2828),OR(M2828="PENDENTE",M2828="PARCIAL"),OR(N2828="PENDENTE",N2828="PARCIAL")),1,0))</f>
        <v/>
      </c>
      <c r="W2828" s="8">
        <f>IF(AND(V2828=1,D2828&lt;&gt;""),IF(D2828&gt;=corte,(B2828="CRÍTICO")*1E9+(100000-D2828)*10000+10000-ROW(),""),"")</f>
        <v/>
      </c>
      <c r="X2828" s="8">
        <f>IF(AND(V2828=1,D2828=pas_data,E2828=pas_turno),10000-ROW(),"")</f>
        <v/>
      </c>
    </row>
    <row r="2829">
      <c r="A2829" s="3">
        <f>IF(D2829="","","TT-"&amp;TEXT(ROW()-1,"00000"))</f>
        <v/>
      </c>
      <c r="B2829" s="3">
        <f>IF(D2829="","",IF(V2829=0,"CONCLUÍDO",IF(D2829&lt;corte,"HISTÓRICO",IF(OR(AND(ISNUMBER(R2829),R2829&lt;TODAY()),AND(OR(N2829="PENDENTE",N2829="PARCIAL"),D2829&lt;TODAY()-1)),"CRÍTICO",IF(OR(AND(P2829&lt;&gt;"",S2829=""),AND(N2829="REALIZADO",M2829="PENDENTE"),AND(ISNUMBER(R2829),R2829=TODAY())),"ATENÇÃO",IF(N(K2829)=0,"PENDENTE","EM ANDAMENTO"))))))</f>
        <v/>
      </c>
      <c r="C2829" s="3">
        <f>IF(D2829="","",IF(V2829=0,"🟢 OK",IF(D2829&lt;corte,"⚪ HISTÓRICO (sem baixa)",IF(AND(ISNUMBER(R2829),R2829&lt;TODAY()),"🔴 PRAZO VENCIDO",IF(AND(OR(N2829="PENDENTE",N2829="PARCIAL"),D2829&lt;TODAY()-1),"🔴 EMBARQUE ATRASADO",IF(AND(N2829="REALIZADO",M2829="PENDENTE"),"🟡 EMBARCADO SEM FATURAR",IF(AND(P2829&lt;&gt;"",S2829="",OR(Q2829="",R2829="")),"🟡 PENDÊNCIA SEM RESPONSÁVEL/PRAZO",IF(AND(ISNUMBER(R2829),R2829=TODAY()),"🟡 VENCE HOJE",IF(AND(P2829&lt;&gt;"",S2829=""),"🟡 PENDÊNCIA ABERTA",IF(AND(N(J2829)&gt;0,N(K2829)&lt;J2829),"🟡 FALTA EXECUTAR",IF(OR(M2829="PENDENTE",M2829="PARCIAL"),"🟡 FATURAMENTO PENDENTE","🟡 EMBARQUE PENDENTE")))))))))))</f>
        <v/>
      </c>
      <c r="D2829" s="4" t="n"/>
      <c r="E2829" s="5" t="n"/>
      <c r="F2829" s="5" t="n"/>
      <c r="G2829" s="5" t="n"/>
      <c r="H2829" s="5" t="n"/>
      <c r="I2829" s="5" t="n"/>
      <c r="J2829" s="6" t="n"/>
      <c r="K2829" s="6" t="n"/>
      <c r="L2829" s="7">
        <f>IF(OR(D2829="",N(J2829)=0),"",MIN(1,N(K2829)/J2829))</f>
        <v/>
      </c>
      <c r="M2829" s="5" t="n"/>
      <c r="N2829" s="5" t="n"/>
      <c r="O2829" s="5" t="n"/>
      <c r="P2829" s="5" t="n"/>
      <c r="Q2829" s="5" t="n"/>
      <c r="R2829" s="4" t="n"/>
      <c r="S2829" s="4" t="n"/>
      <c r="T2829" s="5" t="n"/>
      <c r="U2829" s="8">
        <f>IF(AND(V2829=1,D2829&lt;&gt;""),IF(D2829&gt;=corte,TODAY()-D2829,""),"")</f>
        <v/>
      </c>
      <c r="V2829" s="8">
        <f>IF(D2829="",0,IF(OR(AND(P2829&lt;&gt;"",S2829=""),AND(N(J2829)&gt;0,N(K2829)&lt;J2829),OR(M2829="PENDENTE",M2829="PARCIAL"),OR(N2829="PENDENTE",N2829="PARCIAL")),1,0))</f>
        <v/>
      </c>
      <c r="W2829" s="8">
        <f>IF(AND(V2829=1,D2829&lt;&gt;""),IF(D2829&gt;=corte,(B2829="CRÍTICO")*1E9+(100000-D2829)*10000+10000-ROW(),""),"")</f>
        <v/>
      </c>
      <c r="X2829" s="8">
        <f>IF(AND(V2829=1,D2829=pas_data,E2829=pas_turno),10000-ROW(),"")</f>
        <v/>
      </c>
    </row>
    <row r="2830">
      <c r="A2830" s="3">
        <f>IF(D2830="","","TT-"&amp;TEXT(ROW()-1,"00000"))</f>
        <v/>
      </c>
      <c r="B2830" s="3">
        <f>IF(D2830="","",IF(V2830=0,"CONCLUÍDO",IF(D2830&lt;corte,"HISTÓRICO",IF(OR(AND(ISNUMBER(R2830),R2830&lt;TODAY()),AND(OR(N2830="PENDENTE",N2830="PARCIAL"),D2830&lt;TODAY()-1)),"CRÍTICO",IF(OR(AND(P2830&lt;&gt;"",S2830=""),AND(N2830="REALIZADO",M2830="PENDENTE"),AND(ISNUMBER(R2830),R2830=TODAY())),"ATENÇÃO",IF(N(K2830)=0,"PENDENTE","EM ANDAMENTO"))))))</f>
        <v/>
      </c>
      <c r="C2830" s="3">
        <f>IF(D2830="","",IF(V2830=0,"🟢 OK",IF(D2830&lt;corte,"⚪ HISTÓRICO (sem baixa)",IF(AND(ISNUMBER(R2830),R2830&lt;TODAY()),"🔴 PRAZO VENCIDO",IF(AND(OR(N2830="PENDENTE",N2830="PARCIAL"),D2830&lt;TODAY()-1),"🔴 EMBARQUE ATRASADO",IF(AND(N2830="REALIZADO",M2830="PENDENTE"),"🟡 EMBARCADO SEM FATURAR",IF(AND(P2830&lt;&gt;"",S2830="",OR(Q2830="",R2830="")),"🟡 PENDÊNCIA SEM RESPONSÁVEL/PRAZO",IF(AND(ISNUMBER(R2830),R2830=TODAY()),"🟡 VENCE HOJE",IF(AND(P2830&lt;&gt;"",S2830=""),"🟡 PENDÊNCIA ABERTA",IF(AND(N(J2830)&gt;0,N(K2830)&lt;J2830),"🟡 FALTA EXECUTAR",IF(OR(M2830="PENDENTE",M2830="PARCIAL"),"🟡 FATURAMENTO PENDENTE","🟡 EMBARQUE PENDENTE")))))))))))</f>
        <v/>
      </c>
      <c r="D2830" s="4" t="n"/>
      <c r="E2830" s="5" t="n"/>
      <c r="F2830" s="5" t="n"/>
      <c r="G2830" s="5" t="n"/>
      <c r="H2830" s="5" t="n"/>
      <c r="I2830" s="5" t="n"/>
      <c r="J2830" s="6" t="n"/>
      <c r="K2830" s="6" t="n"/>
      <c r="L2830" s="7">
        <f>IF(OR(D2830="",N(J2830)=0),"",MIN(1,N(K2830)/J2830))</f>
        <v/>
      </c>
      <c r="M2830" s="5" t="n"/>
      <c r="N2830" s="5" t="n"/>
      <c r="O2830" s="5" t="n"/>
      <c r="P2830" s="5" t="n"/>
      <c r="Q2830" s="5" t="n"/>
      <c r="R2830" s="4" t="n"/>
      <c r="S2830" s="4" t="n"/>
      <c r="T2830" s="5" t="n"/>
      <c r="U2830" s="8">
        <f>IF(AND(V2830=1,D2830&lt;&gt;""),IF(D2830&gt;=corte,TODAY()-D2830,""),"")</f>
        <v/>
      </c>
      <c r="V2830" s="8">
        <f>IF(D2830="",0,IF(OR(AND(P2830&lt;&gt;"",S2830=""),AND(N(J2830)&gt;0,N(K2830)&lt;J2830),OR(M2830="PENDENTE",M2830="PARCIAL"),OR(N2830="PENDENTE",N2830="PARCIAL")),1,0))</f>
        <v/>
      </c>
      <c r="W2830" s="8">
        <f>IF(AND(V2830=1,D2830&lt;&gt;""),IF(D2830&gt;=corte,(B2830="CRÍTICO")*1E9+(100000-D2830)*10000+10000-ROW(),""),"")</f>
        <v/>
      </c>
      <c r="X2830" s="8">
        <f>IF(AND(V2830=1,D2830=pas_data,E2830=pas_turno),10000-ROW(),"")</f>
        <v/>
      </c>
    </row>
    <row r="2831">
      <c r="A2831" s="3">
        <f>IF(D2831="","","TT-"&amp;TEXT(ROW()-1,"00000"))</f>
        <v/>
      </c>
      <c r="B2831" s="3">
        <f>IF(D2831="","",IF(V2831=0,"CONCLUÍDO",IF(D2831&lt;corte,"HISTÓRICO",IF(OR(AND(ISNUMBER(R2831),R2831&lt;TODAY()),AND(OR(N2831="PENDENTE",N2831="PARCIAL"),D2831&lt;TODAY()-1)),"CRÍTICO",IF(OR(AND(P2831&lt;&gt;"",S2831=""),AND(N2831="REALIZADO",M2831="PENDENTE"),AND(ISNUMBER(R2831),R2831=TODAY())),"ATENÇÃO",IF(N(K2831)=0,"PENDENTE","EM ANDAMENTO"))))))</f>
        <v/>
      </c>
      <c r="C2831" s="3">
        <f>IF(D2831="","",IF(V2831=0,"🟢 OK",IF(D2831&lt;corte,"⚪ HISTÓRICO (sem baixa)",IF(AND(ISNUMBER(R2831),R2831&lt;TODAY()),"🔴 PRAZO VENCIDO",IF(AND(OR(N2831="PENDENTE",N2831="PARCIAL"),D2831&lt;TODAY()-1),"🔴 EMBARQUE ATRASADO",IF(AND(N2831="REALIZADO",M2831="PENDENTE"),"🟡 EMBARCADO SEM FATURAR",IF(AND(P2831&lt;&gt;"",S2831="",OR(Q2831="",R2831="")),"🟡 PENDÊNCIA SEM RESPONSÁVEL/PRAZO",IF(AND(ISNUMBER(R2831),R2831=TODAY()),"🟡 VENCE HOJE",IF(AND(P2831&lt;&gt;"",S2831=""),"🟡 PENDÊNCIA ABERTA",IF(AND(N(J2831)&gt;0,N(K2831)&lt;J2831),"🟡 FALTA EXECUTAR",IF(OR(M2831="PENDENTE",M2831="PARCIAL"),"🟡 FATURAMENTO PENDENTE","🟡 EMBARQUE PENDENTE")))))))))))</f>
        <v/>
      </c>
      <c r="D2831" s="4" t="n"/>
      <c r="E2831" s="5" t="n"/>
      <c r="F2831" s="5" t="n"/>
      <c r="G2831" s="5" t="n"/>
      <c r="H2831" s="5" t="n"/>
      <c r="I2831" s="5" t="n"/>
      <c r="J2831" s="6" t="n"/>
      <c r="K2831" s="6" t="n"/>
      <c r="L2831" s="7">
        <f>IF(OR(D2831="",N(J2831)=0),"",MIN(1,N(K2831)/J2831))</f>
        <v/>
      </c>
      <c r="M2831" s="5" t="n"/>
      <c r="N2831" s="5" t="n"/>
      <c r="O2831" s="5" t="n"/>
      <c r="P2831" s="5" t="n"/>
      <c r="Q2831" s="5" t="n"/>
      <c r="R2831" s="4" t="n"/>
      <c r="S2831" s="4" t="n"/>
      <c r="T2831" s="5" t="n"/>
      <c r="U2831" s="8">
        <f>IF(AND(V2831=1,D2831&lt;&gt;""),IF(D2831&gt;=corte,TODAY()-D2831,""),"")</f>
        <v/>
      </c>
      <c r="V2831" s="8">
        <f>IF(D2831="",0,IF(OR(AND(P2831&lt;&gt;"",S2831=""),AND(N(J2831)&gt;0,N(K2831)&lt;J2831),OR(M2831="PENDENTE",M2831="PARCIAL"),OR(N2831="PENDENTE",N2831="PARCIAL")),1,0))</f>
        <v/>
      </c>
      <c r="W2831" s="8">
        <f>IF(AND(V2831=1,D2831&lt;&gt;""),IF(D2831&gt;=corte,(B2831="CRÍTICO")*1E9+(100000-D2831)*10000+10000-ROW(),""),"")</f>
        <v/>
      </c>
      <c r="X2831" s="8">
        <f>IF(AND(V2831=1,D2831=pas_data,E2831=pas_turno),10000-ROW(),"")</f>
        <v/>
      </c>
    </row>
    <row r="2832">
      <c r="A2832" s="3">
        <f>IF(D2832="","","TT-"&amp;TEXT(ROW()-1,"00000"))</f>
        <v/>
      </c>
      <c r="B2832" s="3">
        <f>IF(D2832="","",IF(V2832=0,"CONCLUÍDO",IF(D2832&lt;corte,"HISTÓRICO",IF(OR(AND(ISNUMBER(R2832),R2832&lt;TODAY()),AND(OR(N2832="PENDENTE",N2832="PARCIAL"),D2832&lt;TODAY()-1)),"CRÍTICO",IF(OR(AND(P2832&lt;&gt;"",S2832=""),AND(N2832="REALIZADO",M2832="PENDENTE"),AND(ISNUMBER(R2832),R2832=TODAY())),"ATENÇÃO",IF(N(K2832)=0,"PENDENTE","EM ANDAMENTO"))))))</f>
        <v/>
      </c>
      <c r="C2832" s="3">
        <f>IF(D2832="","",IF(V2832=0,"🟢 OK",IF(D2832&lt;corte,"⚪ HISTÓRICO (sem baixa)",IF(AND(ISNUMBER(R2832),R2832&lt;TODAY()),"🔴 PRAZO VENCIDO",IF(AND(OR(N2832="PENDENTE",N2832="PARCIAL"),D2832&lt;TODAY()-1),"🔴 EMBARQUE ATRASADO",IF(AND(N2832="REALIZADO",M2832="PENDENTE"),"🟡 EMBARCADO SEM FATURAR",IF(AND(P2832&lt;&gt;"",S2832="",OR(Q2832="",R2832="")),"🟡 PENDÊNCIA SEM RESPONSÁVEL/PRAZO",IF(AND(ISNUMBER(R2832),R2832=TODAY()),"🟡 VENCE HOJE",IF(AND(P2832&lt;&gt;"",S2832=""),"🟡 PENDÊNCIA ABERTA",IF(AND(N(J2832)&gt;0,N(K2832)&lt;J2832),"🟡 FALTA EXECUTAR",IF(OR(M2832="PENDENTE",M2832="PARCIAL"),"🟡 FATURAMENTO PENDENTE","🟡 EMBARQUE PENDENTE")))))))))))</f>
        <v/>
      </c>
      <c r="D2832" s="4" t="n"/>
      <c r="E2832" s="5" t="n"/>
      <c r="F2832" s="5" t="n"/>
      <c r="G2832" s="5" t="n"/>
      <c r="H2832" s="5" t="n"/>
      <c r="I2832" s="5" t="n"/>
      <c r="J2832" s="6" t="n"/>
      <c r="K2832" s="6" t="n"/>
      <c r="L2832" s="7">
        <f>IF(OR(D2832="",N(J2832)=0),"",MIN(1,N(K2832)/J2832))</f>
        <v/>
      </c>
      <c r="M2832" s="5" t="n"/>
      <c r="N2832" s="5" t="n"/>
      <c r="O2832" s="5" t="n"/>
      <c r="P2832" s="5" t="n"/>
      <c r="Q2832" s="5" t="n"/>
      <c r="R2832" s="4" t="n"/>
      <c r="S2832" s="4" t="n"/>
      <c r="T2832" s="5" t="n"/>
      <c r="U2832" s="8">
        <f>IF(AND(V2832=1,D2832&lt;&gt;""),IF(D2832&gt;=corte,TODAY()-D2832,""),"")</f>
        <v/>
      </c>
      <c r="V2832" s="8">
        <f>IF(D2832="",0,IF(OR(AND(P2832&lt;&gt;"",S2832=""),AND(N(J2832)&gt;0,N(K2832)&lt;J2832),OR(M2832="PENDENTE",M2832="PARCIAL"),OR(N2832="PENDENTE",N2832="PARCIAL")),1,0))</f>
        <v/>
      </c>
      <c r="W2832" s="8">
        <f>IF(AND(V2832=1,D2832&lt;&gt;""),IF(D2832&gt;=corte,(B2832="CRÍTICO")*1E9+(100000-D2832)*10000+10000-ROW(),""),"")</f>
        <v/>
      </c>
      <c r="X2832" s="8">
        <f>IF(AND(V2832=1,D2832=pas_data,E2832=pas_turno),10000-ROW(),"")</f>
        <v/>
      </c>
    </row>
    <row r="2833">
      <c r="A2833" s="3">
        <f>IF(D2833="","","TT-"&amp;TEXT(ROW()-1,"00000"))</f>
        <v/>
      </c>
      <c r="B2833" s="3">
        <f>IF(D2833="","",IF(V2833=0,"CONCLUÍDO",IF(D2833&lt;corte,"HISTÓRICO",IF(OR(AND(ISNUMBER(R2833),R2833&lt;TODAY()),AND(OR(N2833="PENDENTE",N2833="PARCIAL"),D2833&lt;TODAY()-1)),"CRÍTICO",IF(OR(AND(P2833&lt;&gt;"",S2833=""),AND(N2833="REALIZADO",M2833="PENDENTE"),AND(ISNUMBER(R2833),R2833=TODAY())),"ATENÇÃO",IF(N(K2833)=0,"PENDENTE","EM ANDAMENTO"))))))</f>
        <v/>
      </c>
      <c r="C2833" s="3">
        <f>IF(D2833="","",IF(V2833=0,"🟢 OK",IF(D2833&lt;corte,"⚪ HISTÓRICO (sem baixa)",IF(AND(ISNUMBER(R2833),R2833&lt;TODAY()),"🔴 PRAZO VENCIDO",IF(AND(OR(N2833="PENDENTE",N2833="PARCIAL"),D2833&lt;TODAY()-1),"🔴 EMBARQUE ATRASADO",IF(AND(N2833="REALIZADO",M2833="PENDENTE"),"🟡 EMBARCADO SEM FATURAR",IF(AND(P2833&lt;&gt;"",S2833="",OR(Q2833="",R2833="")),"🟡 PENDÊNCIA SEM RESPONSÁVEL/PRAZO",IF(AND(ISNUMBER(R2833),R2833=TODAY()),"🟡 VENCE HOJE",IF(AND(P2833&lt;&gt;"",S2833=""),"🟡 PENDÊNCIA ABERTA",IF(AND(N(J2833)&gt;0,N(K2833)&lt;J2833),"🟡 FALTA EXECUTAR",IF(OR(M2833="PENDENTE",M2833="PARCIAL"),"🟡 FATURAMENTO PENDENTE","🟡 EMBARQUE PENDENTE")))))))))))</f>
        <v/>
      </c>
      <c r="D2833" s="4" t="n"/>
      <c r="E2833" s="5" t="n"/>
      <c r="F2833" s="5" t="n"/>
      <c r="G2833" s="5" t="n"/>
      <c r="H2833" s="5" t="n"/>
      <c r="I2833" s="5" t="n"/>
      <c r="J2833" s="6" t="n"/>
      <c r="K2833" s="6" t="n"/>
      <c r="L2833" s="7">
        <f>IF(OR(D2833="",N(J2833)=0),"",MIN(1,N(K2833)/J2833))</f>
        <v/>
      </c>
      <c r="M2833" s="5" t="n"/>
      <c r="N2833" s="5" t="n"/>
      <c r="O2833" s="5" t="n"/>
      <c r="P2833" s="5" t="n"/>
      <c r="Q2833" s="5" t="n"/>
      <c r="R2833" s="4" t="n"/>
      <c r="S2833" s="4" t="n"/>
      <c r="T2833" s="5" t="n"/>
      <c r="U2833" s="8">
        <f>IF(AND(V2833=1,D2833&lt;&gt;""),IF(D2833&gt;=corte,TODAY()-D2833,""),"")</f>
        <v/>
      </c>
      <c r="V2833" s="8">
        <f>IF(D2833="",0,IF(OR(AND(P2833&lt;&gt;"",S2833=""),AND(N(J2833)&gt;0,N(K2833)&lt;J2833),OR(M2833="PENDENTE",M2833="PARCIAL"),OR(N2833="PENDENTE",N2833="PARCIAL")),1,0))</f>
        <v/>
      </c>
      <c r="W2833" s="8">
        <f>IF(AND(V2833=1,D2833&lt;&gt;""),IF(D2833&gt;=corte,(B2833="CRÍTICO")*1E9+(100000-D2833)*10000+10000-ROW(),""),"")</f>
        <v/>
      </c>
      <c r="X2833" s="8">
        <f>IF(AND(V2833=1,D2833=pas_data,E2833=pas_turno),10000-ROW(),"")</f>
        <v/>
      </c>
    </row>
    <row r="2834">
      <c r="A2834" s="3">
        <f>IF(D2834="","","TT-"&amp;TEXT(ROW()-1,"00000"))</f>
        <v/>
      </c>
      <c r="B2834" s="3">
        <f>IF(D2834="","",IF(V2834=0,"CONCLUÍDO",IF(D2834&lt;corte,"HISTÓRICO",IF(OR(AND(ISNUMBER(R2834),R2834&lt;TODAY()),AND(OR(N2834="PENDENTE",N2834="PARCIAL"),D2834&lt;TODAY()-1)),"CRÍTICO",IF(OR(AND(P2834&lt;&gt;"",S2834=""),AND(N2834="REALIZADO",M2834="PENDENTE"),AND(ISNUMBER(R2834),R2834=TODAY())),"ATENÇÃO",IF(N(K2834)=0,"PENDENTE","EM ANDAMENTO"))))))</f>
        <v/>
      </c>
      <c r="C2834" s="3">
        <f>IF(D2834="","",IF(V2834=0,"🟢 OK",IF(D2834&lt;corte,"⚪ HISTÓRICO (sem baixa)",IF(AND(ISNUMBER(R2834),R2834&lt;TODAY()),"🔴 PRAZO VENCIDO",IF(AND(OR(N2834="PENDENTE",N2834="PARCIAL"),D2834&lt;TODAY()-1),"🔴 EMBARQUE ATRASADO",IF(AND(N2834="REALIZADO",M2834="PENDENTE"),"🟡 EMBARCADO SEM FATURAR",IF(AND(P2834&lt;&gt;"",S2834="",OR(Q2834="",R2834="")),"🟡 PENDÊNCIA SEM RESPONSÁVEL/PRAZO",IF(AND(ISNUMBER(R2834),R2834=TODAY()),"🟡 VENCE HOJE",IF(AND(P2834&lt;&gt;"",S2834=""),"🟡 PENDÊNCIA ABERTA",IF(AND(N(J2834)&gt;0,N(K2834)&lt;J2834),"🟡 FALTA EXECUTAR",IF(OR(M2834="PENDENTE",M2834="PARCIAL"),"🟡 FATURAMENTO PENDENTE","🟡 EMBARQUE PENDENTE")))))))))))</f>
        <v/>
      </c>
      <c r="D2834" s="4" t="n"/>
      <c r="E2834" s="5" t="n"/>
      <c r="F2834" s="5" t="n"/>
      <c r="G2834" s="5" t="n"/>
      <c r="H2834" s="5" t="n"/>
      <c r="I2834" s="5" t="n"/>
      <c r="J2834" s="6" t="n"/>
      <c r="K2834" s="6" t="n"/>
      <c r="L2834" s="7">
        <f>IF(OR(D2834="",N(J2834)=0),"",MIN(1,N(K2834)/J2834))</f>
        <v/>
      </c>
      <c r="M2834" s="5" t="n"/>
      <c r="N2834" s="5" t="n"/>
      <c r="O2834" s="5" t="n"/>
      <c r="P2834" s="5" t="n"/>
      <c r="Q2834" s="5" t="n"/>
      <c r="R2834" s="4" t="n"/>
      <c r="S2834" s="4" t="n"/>
      <c r="T2834" s="5" t="n"/>
      <c r="U2834" s="8">
        <f>IF(AND(V2834=1,D2834&lt;&gt;""),IF(D2834&gt;=corte,TODAY()-D2834,""),"")</f>
        <v/>
      </c>
      <c r="V2834" s="8">
        <f>IF(D2834="",0,IF(OR(AND(P2834&lt;&gt;"",S2834=""),AND(N(J2834)&gt;0,N(K2834)&lt;J2834),OR(M2834="PENDENTE",M2834="PARCIAL"),OR(N2834="PENDENTE",N2834="PARCIAL")),1,0))</f>
        <v/>
      </c>
      <c r="W2834" s="8">
        <f>IF(AND(V2834=1,D2834&lt;&gt;""),IF(D2834&gt;=corte,(B2834="CRÍTICO")*1E9+(100000-D2834)*10000+10000-ROW(),""),"")</f>
        <v/>
      </c>
      <c r="X2834" s="8">
        <f>IF(AND(V2834=1,D2834=pas_data,E2834=pas_turno),10000-ROW(),"")</f>
        <v/>
      </c>
    </row>
    <row r="2835">
      <c r="A2835" s="3">
        <f>IF(D2835="","","TT-"&amp;TEXT(ROW()-1,"00000"))</f>
        <v/>
      </c>
      <c r="B2835" s="3">
        <f>IF(D2835="","",IF(V2835=0,"CONCLUÍDO",IF(D2835&lt;corte,"HISTÓRICO",IF(OR(AND(ISNUMBER(R2835),R2835&lt;TODAY()),AND(OR(N2835="PENDENTE",N2835="PARCIAL"),D2835&lt;TODAY()-1)),"CRÍTICO",IF(OR(AND(P2835&lt;&gt;"",S2835=""),AND(N2835="REALIZADO",M2835="PENDENTE"),AND(ISNUMBER(R2835),R2835=TODAY())),"ATENÇÃO",IF(N(K2835)=0,"PENDENTE","EM ANDAMENTO"))))))</f>
        <v/>
      </c>
      <c r="C2835" s="3">
        <f>IF(D2835="","",IF(V2835=0,"🟢 OK",IF(D2835&lt;corte,"⚪ HISTÓRICO (sem baixa)",IF(AND(ISNUMBER(R2835),R2835&lt;TODAY()),"🔴 PRAZO VENCIDO",IF(AND(OR(N2835="PENDENTE",N2835="PARCIAL"),D2835&lt;TODAY()-1),"🔴 EMBARQUE ATRASADO",IF(AND(N2835="REALIZADO",M2835="PENDENTE"),"🟡 EMBARCADO SEM FATURAR",IF(AND(P2835&lt;&gt;"",S2835="",OR(Q2835="",R2835="")),"🟡 PENDÊNCIA SEM RESPONSÁVEL/PRAZO",IF(AND(ISNUMBER(R2835),R2835=TODAY()),"🟡 VENCE HOJE",IF(AND(P2835&lt;&gt;"",S2835=""),"🟡 PENDÊNCIA ABERTA",IF(AND(N(J2835)&gt;0,N(K2835)&lt;J2835),"🟡 FALTA EXECUTAR",IF(OR(M2835="PENDENTE",M2835="PARCIAL"),"🟡 FATURAMENTO PENDENTE","🟡 EMBARQUE PENDENTE")))))))))))</f>
        <v/>
      </c>
      <c r="D2835" s="4" t="n"/>
      <c r="E2835" s="5" t="n"/>
      <c r="F2835" s="5" t="n"/>
      <c r="G2835" s="5" t="n"/>
      <c r="H2835" s="5" t="n"/>
      <c r="I2835" s="5" t="n"/>
      <c r="J2835" s="6" t="n"/>
      <c r="K2835" s="6" t="n"/>
      <c r="L2835" s="7">
        <f>IF(OR(D2835="",N(J2835)=0),"",MIN(1,N(K2835)/J2835))</f>
        <v/>
      </c>
      <c r="M2835" s="5" t="n"/>
      <c r="N2835" s="5" t="n"/>
      <c r="O2835" s="5" t="n"/>
      <c r="P2835" s="5" t="n"/>
      <c r="Q2835" s="5" t="n"/>
      <c r="R2835" s="4" t="n"/>
      <c r="S2835" s="4" t="n"/>
      <c r="T2835" s="5" t="n"/>
      <c r="U2835" s="8">
        <f>IF(AND(V2835=1,D2835&lt;&gt;""),IF(D2835&gt;=corte,TODAY()-D2835,""),"")</f>
        <v/>
      </c>
      <c r="V2835" s="8">
        <f>IF(D2835="",0,IF(OR(AND(P2835&lt;&gt;"",S2835=""),AND(N(J2835)&gt;0,N(K2835)&lt;J2835),OR(M2835="PENDENTE",M2835="PARCIAL"),OR(N2835="PENDENTE",N2835="PARCIAL")),1,0))</f>
        <v/>
      </c>
      <c r="W2835" s="8">
        <f>IF(AND(V2835=1,D2835&lt;&gt;""),IF(D2835&gt;=corte,(B2835="CRÍTICO")*1E9+(100000-D2835)*10000+10000-ROW(),""),"")</f>
        <v/>
      </c>
      <c r="X2835" s="8">
        <f>IF(AND(V2835=1,D2835=pas_data,E2835=pas_turno),10000-ROW(),"")</f>
        <v/>
      </c>
    </row>
    <row r="2836">
      <c r="A2836" s="3">
        <f>IF(D2836="","","TT-"&amp;TEXT(ROW()-1,"00000"))</f>
        <v/>
      </c>
      <c r="B2836" s="3">
        <f>IF(D2836="","",IF(V2836=0,"CONCLUÍDO",IF(D2836&lt;corte,"HISTÓRICO",IF(OR(AND(ISNUMBER(R2836),R2836&lt;TODAY()),AND(OR(N2836="PENDENTE",N2836="PARCIAL"),D2836&lt;TODAY()-1)),"CRÍTICO",IF(OR(AND(P2836&lt;&gt;"",S2836=""),AND(N2836="REALIZADO",M2836="PENDENTE"),AND(ISNUMBER(R2836),R2836=TODAY())),"ATENÇÃO",IF(N(K2836)=0,"PENDENTE","EM ANDAMENTO"))))))</f>
        <v/>
      </c>
      <c r="C2836" s="3">
        <f>IF(D2836="","",IF(V2836=0,"🟢 OK",IF(D2836&lt;corte,"⚪ HISTÓRICO (sem baixa)",IF(AND(ISNUMBER(R2836),R2836&lt;TODAY()),"🔴 PRAZO VENCIDO",IF(AND(OR(N2836="PENDENTE",N2836="PARCIAL"),D2836&lt;TODAY()-1),"🔴 EMBARQUE ATRASADO",IF(AND(N2836="REALIZADO",M2836="PENDENTE"),"🟡 EMBARCADO SEM FATURAR",IF(AND(P2836&lt;&gt;"",S2836="",OR(Q2836="",R2836="")),"🟡 PENDÊNCIA SEM RESPONSÁVEL/PRAZO",IF(AND(ISNUMBER(R2836),R2836=TODAY()),"🟡 VENCE HOJE",IF(AND(P2836&lt;&gt;"",S2836=""),"🟡 PENDÊNCIA ABERTA",IF(AND(N(J2836)&gt;0,N(K2836)&lt;J2836),"🟡 FALTA EXECUTAR",IF(OR(M2836="PENDENTE",M2836="PARCIAL"),"🟡 FATURAMENTO PENDENTE","🟡 EMBARQUE PENDENTE")))))))))))</f>
        <v/>
      </c>
      <c r="D2836" s="4" t="n"/>
      <c r="E2836" s="5" t="n"/>
      <c r="F2836" s="5" t="n"/>
      <c r="G2836" s="5" t="n"/>
      <c r="H2836" s="5" t="n"/>
      <c r="I2836" s="5" t="n"/>
      <c r="J2836" s="6" t="n"/>
      <c r="K2836" s="6" t="n"/>
      <c r="L2836" s="7">
        <f>IF(OR(D2836="",N(J2836)=0),"",MIN(1,N(K2836)/J2836))</f>
        <v/>
      </c>
      <c r="M2836" s="5" t="n"/>
      <c r="N2836" s="5" t="n"/>
      <c r="O2836" s="5" t="n"/>
      <c r="P2836" s="5" t="n"/>
      <c r="Q2836" s="5" t="n"/>
      <c r="R2836" s="4" t="n"/>
      <c r="S2836" s="4" t="n"/>
      <c r="T2836" s="5" t="n"/>
      <c r="U2836" s="8">
        <f>IF(AND(V2836=1,D2836&lt;&gt;""),IF(D2836&gt;=corte,TODAY()-D2836,""),"")</f>
        <v/>
      </c>
      <c r="V2836" s="8">
        <f>IF(D2836="",0,IF(OR(AND(P2836&lt;&gt;"",S2836=""),AND(N(J2836)&gt;0,N(K2836)&lt;J2836),OR(M2836="PENDENTE",M2836="PARCIAL"),OR(N2836="PENDENTE",N2836="PARCIAL")),1,0))</f>
        <v/>
      </c>
      <c r="W2836" s="8">
        <f>IF(AND(V2836=1,D2836&lt;&gt;""),IF(D2836&gt;=corte,(B2836="CRÍTICO")*1E9+(100000-D2836)*10000+10000-ROW(),""),"")</f>
        <v/>
      </c>
      <c r="X2836" s="8">
        <f>IF(AND(V2836=1,D2836=pas_data,E2836=pas_turno),10000-ROW(),"")</f>
        <v/>
      </c>
    </row>
    <row r="2837">
      <c r="A2837" s="3">
        <f>IF(D2837="","","TT-"&amp;TEXT(ROW()-1,"00000"))</f>
        <v/>
      </c>
      <c r="B2837" s="3">
        <f>IF(D2837="","",IF(V2837=0,"CONCLUÍDO",IF(D2837&lt;corte,"HISTÓRICO",IF(OR(AND(ISNUMBER(R2837),R2837&lt;TODAY()),AND(OR(N2837="PENDENTE",N2837="PARCIAL"),D2837&lt;TODAY()-1)),"CRÍTICO",IF(OR(AND(P2837&lt;&gt;"",S2837=""),AND(N2837="REALIZADO",M2837="PENDENTE"),AND(ISNUMBER(R2837),R2837=TODAY())),"ATENÇÃO",IF(N(K2837)=0,"PENDENTE","EM ANDAMENTO"))))))</f>
        <v/>
      </c>
      <c r="C2837" s="3">
        <f>IF(D2837="","",IF(V2837=0,"🟢 OK",IF(D2837&lt;corte,"⚪ HISTÓRICO (sem baixa)",IF(AND(ISNUMBER(R2837),R2837&lt;TODAY()),"🔴 PRAZO VENCIDO",IF(AND(OR(N2837="PENDENTE",N2837="PARCIAL"),D2837&lt;TODAY()-1),"🔴 EMBARQUE ATRASADO",IF(AND(N2837="REALIZADO",M2837="PENDENTE"),"🟡 EMBARCADO SEM FATURAR",IF(AND(P2837&lt;&gt;"",S2837="",OR(Q2837="",R2837="")),"🟡 PENDÊNCIA SEM RESPONSÁVEL/PRAZO",IF(AND(ISNUMBER(R2837),R2837=TODAY()),"🟡 VENCE HOJE",IF(AND(P2837&lt;&gt;"",S2837=""),"🟡 PENDÊNCIA ABERTA",IF(AND(N(J2837)&gt;0,N(K2837)&lt;J2837),"🟡 FALTA EXECUTAR",IF(OR(M2837="PENDENTE",M2837="PARCIAL"),"🟡 FATURAMENTO PENDENTE","🟡 EMBARQUE PENDENTE")))))))))))</f>
        <v/>
      </c>
      <c r="D2837" s="4" t="n"/>
      <c r="E2837" s="5" t="n"/>
      <c r="F2837" s="5" t="n"/>
      <c r="G2837" s="5" t="n"/>
      <c r="H2837" s="5" t="n"/>
      <c r="I2837" s="5" t="n"/>
      <c r="J2837" s="6" t="n"/>
      <c r="K2837" s="6" t="n"/>
      <c r="L2837" s="7">
        <f>IF(OR(D2837="",N(J2837)=0),"",MIN(1,N(K2837)/J2837))</f>
        <v/>
      </c>
      <c r="M2837" s="5" t="n"/>
      <c r="N2837" s="5" t="n"/>
      <c r="O2837" s="5" t="n"/>
      <c r="P2837" s="5" t="n"/>
      <c r="Q2837" s="5" t="n"/>
      <c r="R2837" s="4" t="n"/>
      <c r="S2837" s="4" t="n"/>
      <c r="T2837" s="5" t="n"/>
      <c r="U2837" s="8">
        <f>IF(AND(V2837=1,D2837&lt;&gt;""),IF(D2837&gt;=corte,TODAY()-D2837,""),"")</f>
        <v/>
      </c>
      <c r="V2837" s="8">
        <f>IF(D2837="",0,IF(OR(AND(P2837&lt;&gt;"",S2837=""),AND(N(J2837)&gt;0,N(K2837)&lt;J2837),OR(M2837="PENDENTE",M2837="PARCIAL"),OR(N2837="PENDENTE",N2837="PARCIAL")),1,0))</f>
        <v/>
      </c>
      <c r="W2837" s="8">
        <f>IF(AND(V2837=1,D2837&lt;&gt;""),IF(D2837&gt;=corte,(B2837="CRÍTICO")*1E9+(100000-D2837)*10000+10000-ROW(),""),"")</f>
        <v/>
      </c>
      <c r="X2837" s="8">
        <f>IF(AND(V2837=1,D2837=pas_data,E2837=pas_turno),10000-ROW(),"")</f>
        <v/>
      </c>
    </row>
    <row r="2838">
      <c r="A2838" s="3">
        <f>IF(D2838="","","TT-"&amp;TEXT(ROW()-1,"00000"))</f>
        <v/>
      </c>
      <c r="B2838" s="3">
        <f>IF(D2838="","",IF(V2838=0,"CONCLUÍDO",IF(D2838&lt;corte,"HISTÓRICO",IF(OR(AND(ISNUMBER(R2838),R2838&lt;TODAY()),AND(OR(N2838="PENDENTE",N2838="PARCIAL"),D2838&lt;TODAY()-1)),"CRÍTICO",IF(OR(AND(P2838&lt;&gt;"",S2838=""),AND(N2838="REALIZADO",M2838="PENDENTE"),AND(ISNUMBER(R2838),R2838=TODAY())),"ATENÇÃO",IF(N(K2838)=0,"PENDENTE","EM ANDAMENTO"))))))</f>
        <v/>
      </c>
      <c r="C2838" s="3">
        <f>IF(D2838="","",IF(V2838=0,"🟢 OK",IF(D2838&lt;corte,"⚪ HISTÓRICO (sem baixa)",IF(AND(ISNUMBER(R2838),R2838&lt;TODAY()),"🔴 PRAZO VENCIDO",IF(AND(OR(N2838="PENDENTE",N2838="PARCIAL"),D2838&lt;TODAY()-1),"🔴 EMBARQUE ATRASADO",IF(AND(N2838="REALIZADO",M2838="PENDENTE"),"🟡 EMBARCADO SEM FATURAR",IF(AND(P2838&lt;&gt;"",S2838="",OR(Q2838="",R2838="")),"🟡 PENDÊNCIA SEM RESPONSÁVEL/PRAZO",IF(AND(ISNUMBER(R2838),R2838=TODAY()),"🟡 VENCE HOJE",IF(AND(P2838&lt;&gt;"",S2838=""),"🟡 PENDÊNCIA ABERTA",IF(AND(N(J2838)&gt;0,N(K2838)&lt;J2838),"🟡 FALTA EXECUTAR",IF(OR(M2838="PENDENTE",M2838="PARCIAL"),"🟡 FATURAMENTO PENDENTE","🟡 EMBARQUE PENDENTE")))))))))))</f>
        <v/>
      </c>
      <c r="D2838" s="4" t="n"/>
      <c r="E2838" s="5" t="n"/>
      <c r="F2838" s="5" t="n"/>
      <c r="G2838" s="5" t="n"/>
      <c r="H2838" s="5" t="n"/>
      <c r="I2838" s="5" t="n"/>
      <c r="J2838" s="6" t="n"/>
      <c r="K2838" s="6" t="n"/>
      <c r="L2838" s="7">
        <f>IF(OR(D2838="",N(J2838)=0),"",MIN(1,N(K2838)/J2838))</f>
        <v/>
      </c>
      <c r="M2838" s="5" t="n"/>
      <c r="N2838" s="5" t="n"/>
      <c r="O2838" s="5" t="n"/>
      <c r="P2838" s="5" t="n"/>
      <c r="Q2838" s="5" t="n"/>
      <c r="R2838" s="4" t="n"/>
      <c r="S2838" s="4" t="n"/>
      <c r="T2838" s="5" t="n"/>
      <c r="U2838" s="8">
        <f>IF(AND(V2838=1,D2838&lt;&gt;""),IF(D2838&gt;=corte,TODAY()-D2838,""),"")</f>
        <v/>
      </c>
      <c r="V2838" s="8">
        <f>IF(D2838="",0,IF(OR(AND(P2838&lt;&gt;"",S2838=""),AND(N(J2838)&gt;0,N(K2838)&lt;J2838),OR(M2838="PENDENTE",M2838="PARCIAL"),OR(N2838="PENDENTE",N2838="PARCIAL")),1,0))</f>
        <v/>
      </c>
      <c r="W2838" s="8">
        <f>IF(AND(V2838=1,D2838&lt;&gt;""),IF(D2838&gt;=corte,(B2838="CRÍTICO")*1E9+(100000-D2838)*10000+10000-ROW(),""),"")</f>
        <v/>
      </c>
      <c r="X2838" s="8">
        <f>IF(AND(V2838=1,D2838=pas_data,E2838=pas_turno),10000-ROW(),"")</f>
        <v/>
      </c>
    </row>
    <row r="2839">
      <c r="A2839" s="3">
        <f>IF(D2839="","","TT-"&amp;TEXT(ROW()-1,"00000"))</f>
        <v/>
      </c>
      <c r="B2839" s="3">
        <f>IF(D2839="","",IF(V2839=0,"CONCLUÍDO",IF(D2839&lt;corte,"HISTÓRICO",IF(OR(AND(ISNUMBER(R2839),R2839&lt;TODAY()),AND(OR(N2839="PENDENTE",N2839="PARCIAL"),D2839&lt;TODAY()-1)),"CRÍTICO",IF(OR(AND(P2839&lt;&gt;"",S2839=""),AND(N2839="REALIZADO",M2839="PENDENTE"),AND(ISNUMBER(R2839),R2839=TODAY())),"ATENÇÃO",IF(N(K2839)=0,"PENDENTE","EM ANDAMENTO"))))))</f>
        <v/>
      </c>
      <c r="C2839" s="3">
        <f>IF(D2839="","",IF(V2839=0,"🟢 OK",IF(D2839&lt;corte,"⚪ HISTÓRICO (sem baixa)",IF(AND(ISNUMBER(R2839),R2839&lt;TODAY()),"🔴 PRAZO VENCIDO",IF(AND(OR(N2839="PENDENTE",N2839="PARCIAL"),D2839&lt;TODAY()-1),"🔴 EMBARQUE ATRASADO",IF(AND(N2839="REALIZADO",M2839="PENDENTE"),"🟡 EMBARCADO SEM FATURAR",IF(AND(P2839&lt;&gt;"",S2839="",OR(Q2839="",R2839="")),"🟡 PENDÊNCIA SEM RESPONSÁVEL/PRAZO",IF(AND(ISNUMBER(R2839),R2839=TODAY()),"🟡 VENCE HOJE",IF(AND(P2839&lt;&gt;"",S2839=""),"🟡 PENDÊNCIA ABERTA",IF(AND(N(J2839)&gt;0,N(K2839)&lt;J2839),"🟡 FALTA EXECUTAR",IF(OR(M2839="PENDENTE",M2839="PARCIAL"),"🟡 FATURAMENTO PENDENTE","🟡 EMBARQUE PENDENTE")))))))))))</f>
        <v/>
      </c>
      <c r="D2839" s="4" t="n"/>
      <c r="E2839" s="5" t="n"/>
      <c r="F2839" s="5" t="n"/>
      <c r="G2839" s="5" t="n"/>
      <c r="H2839" s="5" t="n"/>
      <c r="I2839" s="5" t="n"/>
      <c r="J2839" s="6" t="n"/>
      <c r="K2839" s="6" t="n"/>
      <c r="L2839" s="7">
        <f>IF(OR(D2839="",N(J2839)=0),"",MIN(1,N(K2839)/J2839))</f>
        <v/>
      </c>
      <c r="M2839" s="5" t="n"/>
      <c r="N2839" s="5" t="n"/>
      <c r="O2839" s="5" t="n"/>
      <c r="P2839" s="5" t="n"/>
      <c r="Q2839" s="5" t="n"/>
      <c r="R2839" s="4" t="n"/>
      <c r="S2839" s="4" t="n"/>
      <c r="T2839" s="5" t="n"/>
      <c r="U2839" s="8">
        <f>IF(AND(V2839=1,D2839&lt;&gt;""),IF(D2839&gt;=corte,TODAY()-D2839,""),"")</f>
        <v/>
      </c>
      <c r="V2839" s="8">
        <f>IF(D2839="",0,IF(OR(AND(P2839&lt;&gt;"",S2839=""),AND(N(J2839)&gt;0,N(K2839)&lt;J2839),OR(M2839="PENDENTE",M2839="PARCIAL"),OR(N2839="PENDENTE",N2839="PARCIAL")),1,0))</f>
        <v/>
      </c>
      <c r="W2839" s="8">
        <f>IF(AND(V2839=1,D2839&lt;&gt;""),IF(D2839&gt;=corte,(B2839="CRÍTICO")*1E9+(100000-D2839)*10000+10000-ROW(),""),"")</f>
        <v/>
      </c>
      <c r="X2839" s="8">
        <f>IF(AND(V2839=1,D2839=pas_data,E2839=pas_turno),10000-ROW(),"")</f>
        <v/>
      </c>
    </row>
    <row r="2840">
      <c r="A2840" s="3">
        <f>IF(D2840="","","TT-"&amp;TEXT(ROW()-1,"00000"))</f>
        <v/>
      </c>
      <c r="B2840" s="3">
        <f>IF(D2840="","",IF(V2840=0,"CONCLUÍDO",IF(D2840&lt;corte,"HISTÓRICO",IF(OR(AND(ISNUMBER(R2840),R2840&lt;TODAY()),AND(OR(N2840="PENDENTE",N2840="PARCIAL"),D2840&lt;TODAY()-1)),"CRÍTICO",IF(OR(AND(P2840&lt;&gt;"",S2840=""),AND(N2840="REALIZADO",M2840="PENDENTE"),AND(ISNUMBER(R2840),R2840=TODAY())),"ATENÇÃO",IF(N(K2840)=0,"PENDENTE","EM ANDAMENTO"))))))</f>
        <v/>
      </c>
      <c r="C2840" s="3">
        <f>IF(D2840="","",IF(V2840=0,"🟢 OK",IF(D2840&lt;corte,"⚪ HISTÓRICO (sem baixa)",IF(AND(ISNUMBER(R2840),R2840&lt;TODAY()),"🔴 PRAZO VENCIDO",IF(AND(OR(N2840="PENDENTE",N2840="PARCIAL"),D2840&lt;TODAY()-1),"🔴 EMBARQUE ATRASADO",IF(AND(N2840="REALIZADO",M2840="PENDENTE"),"🟡 EMBARCADO SEM FATURAR",IF(AND(P2840&lt;&gt;"",S2840="",OR(Q2840="",R2840="")),"🟡 PENDÊNCIA SEM RESPONSÁVEL/PRAZO",IF(AND(ISNUMBER(R2840),R2840=TODAY()),"🟡 VENCE HOJE",IF(AND(P2840&lt;&gt;"",S2840=""),"🟡 PENDÊNCIA ABERTA",IF(AND(N(J2840)&gt;0,N(K2840)&lt;J2840),"🟡 FALTA EXECUTAR",IF(OR(M2840="PENDENTE",M2840="PARCIAL"),"🟡 FATURAMENTO PENDENTE","🟡 EMBARQUE PENDENTE")))))))))))</f>
        <v/>
      </c>
      <c r="D2840" s="4" t="n"/>
      <c r="E2840" s="5" t="n"/>
      <c r="F2840" s="5" t="n"/>
      <c r="G2840" s="5" t="n"/>
      <c r="H2840" s="5" t="n"/>
      <c r="I2840" s="5" t="n"/>
      <c r="J2840" s="6" t="n"/>
      <c r="K2840" s="6" t="n"/>
      <c r="L2840" s="7">
        <f>IF(OR(D2840="",N(J2840)=0),"",MIN(1,N(K2840)/J2840))</f>
        <v/>
      </c>
      <c r="M2840" s="5" t="n"/>
      <c r="N2840" s="5" t="n"/>
      <c r="O2840" s="5" t="n"/>
      <c r="P2840" s="5" t="n"/>
      <c r="Q2840" s="5" t="n"/>
      <c r="R2840" s="4" t="n"/>
      <c r="S2840" s="4" t="n"/>
      <c r="T2840" s="5" t="n"/>
      <c r="U2840" s="8">
        <f>IF(AND(V2840=1,D2840&lt;&gt;""),IF(D2840&gt;=corte,TODAY()-D2840,""),"")</f>
        <v/>
      </c>
      <c r="V2840" s="8">
        <f>IF(D2840="",0,IF(OR(AND(P2840&lt;&gt;"",S2840=""),AND(N(J2840)&gt;0,N(K2840)&lt;J2840),OR(M2840="PENDENTE",M2840="PARCIAL"),OR(N2840="PENDENTE",N2840="PARCIAL")),1,0))</f>
        <v/>
      </c>
      <c r="W2840" s="8">
        <f>IF(AND(V2840=1,D2840&lt;&gt;""),IF(D2840&gt;=corte,(B2840="CRÍTICO")*1E9+(100000-D2840)*10000+10000-ROW(),""),"")</f>
        <v/>
      </c>
      <c r="X2840" s="8">
        <f>IF(AND(V2840=1,D2840=pas_data,E2840=pas_turno),10000-ROW(),"")</f>
        <v/>
      </c>
    </row>
    <row r="2841">
      <c r="A2841" s="3">
        <f>IF(D2841="","","TT-"&amp;TEXT(ROW()-1,"00000"))</f>
        <v/>
      </c>
      <c r="B2841" s="3">
        <f>IF(D2841="","",IF(V2841=0,"CONCLUÍDO",IF(D2841&lt;corte,"HISTÓRICO",IF(OR(AND(ISNUMBER(R2841),R2841&lt;TODAY()),AND(OR(N2841="PENDENTE",N2841="PARCIAL"),D2841&lt;TODAY()-1)),"CRÍTICO",IF(OR(AND(P2841&lt;&gt;"",S2841=""),AND(N2841="REALIZADO",M2841="PENDENTE"),AND(ISNUMBER(R2841),R2841=TODAY())),"ATENÇÃO",IF(N(K2841)=0,"PENDENTE","EM ANDAMENTO"))))))</f>
        <v/>
      </c>
      <c r="C2841" s="3">
        <f>IF(D2841="","",IF(V2841=0,"🟢 OK",IF(D2841&lt;corte,"⚪ HISTÓRICO (sem baixa)",IF(AND(ISNUMBER(R2841),R2841&lt;TODAY()),"🔴 PRAZO VENCIDO",IF(AND(OR(N2841="PENDENTE",N2841="PARCIAL"),D2841&lt;TODAY()-1),"🔴 EMBARQUE ATRASADO",IF(AND(N2841="REALIZADO",M2841="PENDENTE"),"🟡 EMBARCADO SEM FATURAR",IF(AND(P2841&lt;&gt;"",S2841="",OR(Q2841="",R2841="")),"🟡 PENDÊNCIA SEM RESPONSÁVEL/PRAZO",IF(AND(ISNUMBER(R2841),R2841=TODAY()),"🟡 VENCE HOJE",IF(AND(P2841&lt;&gt;"",S2841=""),"🟡 PENDÊNCIA ABERTA",IF(AND(N(J2841)&gt;0,N(K2841)&lt;J2841),"🟡 FALTA EXECUTAR",IF(OR(M2841="PENDENTE",M2841="PARCIAL"),"🟡 FATURAMENTO PENDENTE","🟡 EMBARQUE PENDENTE")))))))))))</f>
        <v/>
      </c>
      <c r="D2841" s="4" t="n"/>
      <c r="E2841" s="5" t="n"/>
      <c r="F2841" s="5" t="n"/>
      <c r="G2841" s="5" t="n"/>
      <c r="H2841" s="5" t="n"/>
      <c r="I2841" s="5" t="n"/>
      <c r="J2841" s="6" t="n"/>
      <c r="K2841" s="6" t="n"/>
      <c r="L2841" s="7">
        <f>IF(OR(D2841="",N(J2841)=0),"",MIN(1,N(K2841)/J2841))</f>
        <v/>
      </c>
      <c r="M2841" s="5" t="n"/>
      <c r="N2841" s="5" t="n"/>
      <c r="O2841" s="5" t="n"/>
      <c r="P2841" s="5" t="n"/>
      <c r="Q2841" s="5" t="n"/>
      <c r="R2841" s="4" t="n"/>
      <c r="S2841" s="4" t="n"/>
      <c r="T2841" s="5" t="n"/>
      <c r="U2841" s="8">
        <f>IF(AND(V2841=1,D2841&lt;&gt;""),IF(D2841&gt;=corte,TODAY()-D2841,""),"")</f>
        <v/>
      </c>
      <c r="V2841" s="8">
        <f>IF(D2841="",0,IF(OR(AND(P2841&lt;&gt;"",S2841=""),AND(N(J2841)&gt;0,N(K2841)&lt;J2841),OR(M2841="PENDENTE",M2841="PARCIAL"),OR(N2841="PENDENTE",N2841="PARCIAL")),1,0))</f>
        <v/>
      </c>
      <c r="W2841" s="8">
        <f>IF(AND(V2841=1,D2841&lt;&gt;""),IF(D2841&gt;=corte,(B2841="CRÍTICO")*1E9+(100000-D2841)*10000+10000-ROW(),""),"")</f>
        <v/>
      </c>
      <c r="X2841" s="8">
        <f>IF(AND(V2841=1,D2841=pas_data,E2841=pas_turno),10000-ROW(),"")</f>
        <v/>
      </c>
    </row>
    <row r="2842">
      <c r="A2842" s="3">
        <f>IF(D2842="","","TT-"&amp;TEXT(ROW()-1,"00000"))</f>
        <v/>
      </c>
      <c r="B2842" s="3">
        <f>IF(D2842="","",IF(V2842=0,"CONCLUÍDO",IF(D2842&lt;corte,"HISTÓRICO",IF(OR(AND(ISNUMBER(R2842),R2842&lt;TODAY()),AND(OR(N2842="PENDENTE",N2842="PARCIAL"),D2842&lt;TODAY()-1)),"CRÍTICO",IF(OR(AND(P2842&lt;&gt;"",S2842=""),AND(N2842="REALIZADO",M2842="PENDENTE"),AND(ISNUMBER(R2842),R2842=TODAY())),"ATENÇÃO",IF(N(K2842)=0,"PENDENTE","EM ANDAMENTO"))))))</f>
        <v/>
      </c>
      <c r="C2842" s="3">
        <f>IF(D2842="","",IF(V2842=0,"🟢 OK",IF(D2842&lt;corte,"⚪ HISTÓRICO (sem baixa)",IF(AND(ISNUMBER(R2842),R2842&lt;TODAY()),"🔴 PRAZO VENCIDO",IF(AND(OR(N2842="PENDENTE",N2842="PARCIAL"),D2842&lt;TODAY()-1),"🔴 EMBARQUE ATRASADO",IF(AND(N2842="REALIZADO",M2842="PENDENTE"),"🟡 EMBARCADO SEM FATURAR",IF(AND(P2842&lt;&gt;"",S2842="",OR(Q2842="",R2842="")),"🟡 PENDÊNCIA SEM RESPONSÁVEL/PRAZO",IF(AND(ISNUMBER(R2842),R2842=TODAY()),"🟡 VENCE HOJE",IF(AND(P2842&lt;&gt;"",S2842=""),"🟡 PENDÊNCIA ABERTA",IF(AND(N(J2842)&gt;0,N(K2842)&lt;J2842),"🟡 FALTA EXECUTAR",IF(OR(M2842="PENDENTE",M2842="PARCIAL"),"🟡 FATURAMENTO PENDENTE","🟡 EMBARQUE PENDENTE")))))))))))</f>
        <v/>
      </c>
      <c r="D2842" s="4" t="n"/>
      <c r="E2842" s="5" t="n"/>
      <c r="F2842" s="5" t="n"/>
      <c r="G2842" s="5" t="n"/>
      <c r="H2842" s="5" t="n"/>
      <c r="I2842" s="5" t="n"/>
      <c r="J2842" s="6" t="n"/>
      <c r="K2842" s="6" t="n"/>
      <c r="L2842" s="7">
        <f>IF(OR(D2842="",N(J2842)=0),"",MIN(1,N(K2842)/J2842))</f>
        <v/>
      </c>
      <c r="M2842" s="5" t="n"/>
      <c r="N2842" s="5" t="n"/>
      <c r="O2842" s="5" t="n"/>
      <c r="P2842" s="5" t="n"/>
      <c r="Q2842" s="5" t="n"/>
      <c r="R2842" s="4" t="n"/>
      <c r="S2842" s="4" t="n"/>
      <c r="T2842" s="5" t="n"/>
      <c r="U2842" s="8">
        <f>IF(AND(V2842=1,D2842&lt;&gt;""),IF(D2842&gt;=corte,TODAY()-D2842,""),"")</f>
        <v/>
      </c>
      <c r="V2842" s="8">
        <f>IF(D2842="",0,IF(OR(AND(P2842&lt;&gt;"",S2842=""),AND(N(J2842)&gt;0,N(K2842)&lt;J2842),OR(M2842="PENDENTE",M2842="PARCIAL"),OR(N2842="PENDENTE",N2842="PARCIAL")),1,0))</f>
        <v/>
      </c>
      <c r="W2842" s="8">
        <f>IF(AND(V2842=1,D2842&lt;&gt;""),IF(D2842&gt;=corte,(B2842="CRÍTICO")*1E9+(100000-D2842)*10000+10000-ROW(),""),"")</f>
        <v/>
      </c>
      <c r="X2842" s="8">
        <f>IF(AND(V2842=1,D2842=pas_data,E2842=pas_turno),10000-ROW(),"")</f>
        <v/>
      </c>
    </row>
    <row r="2843">
      <c r="A2843" s="3">
        <f>IF(D2843="","","TT-"&amp;TEXT(ROW()-1,"00000"))</f>
        <v/>
      </c>
      <c r="B2843" s="3">
        <f>IF(D2843="","",IF(V2843=0,"CONCLUÍDO",IF(D2843&lt;corte,"HISTÓRICO",IF(OR(AND(ISNUMBER(R2843),R2843&lt;TODAY()),AND(OR(N2843="PENDENTE",N2843="PARCIAL"),D2843&lt;TODAY()-1)),"CRÍTICO",IF(OR(AND(P2843&lt;&gt;"",S2843=""),AND(N2843="REALIZADO",M2843="PENDENTE"),AND(ISNUMBER(R2843),R2843=TODAY())),"ATENÇÃO",IF(N(K2843)=0,"PENDENTE","EM ANDAMENTO"))))))</f>
        <v/>
      </c>
      <c r="C2843" s="3">
        <f>IF(D2843="","",IF(V2843=0,"🟢 OK",IF(D2843&lt;corte,"⚪ HISTÓRICO (sem baixa)",IF(AND(ISNUMBER(R2843),R2843&lt;TODAY()),"🔴 PRAZO VENCIDO",IF(AND(OR(N2843="PENDENTE",N2843="PARCIAL"),D2843&lt;TODAY()-1),"🔴 EMBARQUE ATRASADO",IF(AND(N2843="REALIZADO",M2843="PENDENTE"),"🟡 EMBARCADO SEM FATURAR",IF(AND(P2843&lt;&gt;"",S2843="",OR(Q2843="",R2843="")),"🟡 PENDÊNCIA SEM RESPONSÁVEL/PRAZO",IF(AND(ISNUMBER(R2843),R2843=TODAY()),"🟡 VENCE HOJE",IF(AND(P2843&lt;&gt;"",S2843=""),"🟡 PENDÊNCIA ABERTA",IF(AND(N(J2843)&gt;0,N(K2843)&lt;J2843),"🟡 FALTA EXECUTAR",IF(OR(M2843="PENDENTE",M2843="PARCIAL"),"🟡 FATURAMENTO PENDENTE","🟡 EMBARQUE PENDENTE")))))))))))</f>
        <v/>
      </c>
      <c r="D2843" s="4" t="n"/>
      <c r="E2843" s="5" t="n"/>
      <c r="F2843" s="5" t="n"/>
      <c r="G2843" s="5" t="n"/>
      <c r="H2843" s="5" t="n"/>
      <c r="I2843" s="5" t="n"/>
      <c r="J2843" s="6" t="n"/>
      <c r="K2843" s="6" t="n"/>
      <c r="L2843" s="7">
        <f>IF(OR(D2843="",N(J2843)=0),"",MIN(1,N(K2843)/J2843))</f>
        <v/>
      </c>
      <c r="M2843" s="5" t="n"/>
      <c r="N2843" s="5" t="n"/>
      <c r="O2843" s="5" t="n"/>
      <c r="P2843" s="5" t="n"/>
      <c r="Q2843" s="5" t="n"/>
      <c r="R2843" s="4" t="n"/>
      <c r="S2843" s="4" t="n"/>
      <c r="T2843" s="5" t="n"/>
      <c r="U2843" s="8">
        <f>IF(AND(V2843=1,D2843&lt;&gt;""),IF(D2843&gt;=corte,TODAY()-D2843,""),"")</f>
        <v/>
      </c>
      <c r="V2843" s="8">
        <f>IF(D2843="",0,IF(OR(AND(P2843&lt;&gt;"",S2843=""),AND(N(J2843)&gt;0,N(K2843)&lt;J2843),OR(M2843="PENDENTE",M2843="PARCIAL"),OR(N2843="PENDENTE",N2843="PARCIAL")),1,0))</f>
        <v/>
      </c>
      <c r="W2843" s="8">
        <f>IF(AND(V2843=1,D2843&lt;&gt;""),IF(D2843&gt;=corte,(B2843="CRÍTICO")*1E9+(100000-D2843)*10000+10000-ROW(),""),"")</f>
        <v/>
      </c>
      <c r="X2843" s="8">
        <f>IF(AND(V2843=1,D2843=pas_data,E2843=pas_turno),10000-ROW(),"")</f>
        <v/>
      </c>
    </row>
    <row r="2844">
      <c r="A2844" s="3">
        <f>IF(D2844="","","TT-"&amp;TEXT(ROW()-1,"00000"))</f>
        <v/>
      </c>
      <c r="B2844" s="3">
        <f>IF(D2844="","",IF(V2844=0,"CONCLUÍDO",IF(D2844&lt;corte,"HISTÓRICO",IF(OR(AND(ISNUMBER(R2844),R2844&lt;TODAY()),AND(OR(N2844="PENDENTE",N2844="PARCIAL"),D2844&lt;TODAY()-1)),"CRÍTICO",IF(OR(AND(P2844&lt;&gt;"",S2844=""),AND(N2844="REALIZADO",M2844="PENDENTE"),AND(ISNUMBER(R2844),R2844=TODAY())),"ATENÇÃO",IF(N(K2844)=0,"PENDENTE","EM ANDAMENTO"))))))</f>
        <v/>
      </c>
      <c r="C2844" s="3">
        <f>IF(D2844="","",IF(V2844=0,"🟢 OK",IF(D2844&lt;corte,"⚪ HISTÓRICO (sem baixa)",IF(AND(ISNUMBER(R2844),R2844&lt;TODAY()),"🔴 PRAZO VENCIDO",IF(AND(OR(N2844="PENDENTE",N2844="PARCIAL"),D2844&lt;TODAY()-1),"🔴 EMBARQUE ATRASADO",IF(AND(N2844="REALIZADO",M2844="PENDENTE"),"🟡 EMBARCADO SEM FATURAR",IF(AND(P2844&lt;&gt;"",S2844="",OR(Q2844="",R2844="")),"🟡 PENDÊNCIA SEM RESPONSÁVEL/PRAZO",IF(AND(ISNUMBER(R2844),R2844=TODAY()),"🟡 VENCE HOJE",IF(AND(P2844&lt;&gt;"",S2844=""),"🟡 PENDÊNCIA ABERTA",IF(AND(N(J2844)&gt;0,N(K2844)&lt;J2844),"🟡 FALTA EXECUTAR",IF(OR(M2844="PENDENTE",M2844="PARCIAL"),"🟡 FATURAMENTO PENDENTE","🟡 EMBARQUE PENDENTE")))))))))))</f>
        <v/>
      </c>
      <c r="D2844" s="4" t="n"/>
      <c r="E2844" s="5" t="n"/>
      <c r="F2844" s="5" t="n"/>
      <c r="G2844" s="5" t="n"/>
      <c r="H2844" s="5" t="n"/>
      <c r="I2844" s="5" t="n"/>
      <c r="J2844" s="6" t="n"/>
      <c r="K2844" s="6" t="n"/>
      <c r="L2844" s="7">
        <f>IF(OR(D2844="",N(J2844)=0),"",MIN(1,N(K2844)/J2844))</f>
        <v/>
      </c>
      <c r="M2844" s="5" t="n"/>
      <c r="N2844" s="5" t="n"/>
      <c r="O2844" s="5" t="n"/>
      <c r="P2844" s="5" t="n"/>
      <c r="Q2844" s="5" t="n"/>
      <c r="R2844" s="4" t="n"/>
      <c r="S2844" s="4" t="n"/>
      <c r="T2844" s="5" t="n"/>
      <c r="U2844" s="8">
        <f>IF(AND(V2844=1,D2844&lt;&gt;""),IF(D2844&gt;=corte,TODAY()-D2844,""),"")</f>
        <v/>
      </c>
      <c r="V2844" s="8">
        <f>IF(D2844="",0,IF(OR(AND(P2844&lt;&gt;"",S2844=""),AND(N(J2844)&gt;0,N(K2844)&lt;J2844),OR(M2844="PENDENTE",M2844="PARCIAL"),OR(N2844="PENDENTE",N2844="PARCIAL")),1,0))</f>
        <v/>
      </c>
      <c r="W2844" s="8">
        <f>IF(AND(V2844=1,D2844&lt;&gt;""),IF(D2844&gt;=corte,(B2844="CRÍTICO")*1E9+(100000-D2844)*10000+10000-ROW(),""),"")</f>
        <v/>
      </c>
      <c r="X2844" s="8">
        <f>IF(AND(V2844=1,D2844=pas_data,E2844=pas_turno),10000-ROW(),"")</f>
        <v/>
      </c>
    </row>
    <row r="2845">
      <c r="A2845" s="3">
        <f>IF(D2845="","","TT-"&amp;TEXT(ROW()-1,"00000"))</f>
        <v/>
      </c>
      <c r="B2845" s="3">
        <f>IF(D2845="","",IF(V2845=0,"CONCLUÍDO",IF(D2845&lt;corte,"HISTÓRICO",IF(OR(AND(ISNUMBER(R2845),R2845&lt;TODAY()),AND(OR(N2845="PENDENTE",N2845="PARCIAL"),D2845&lt;TODAY()-1)),"CRÍTICO",IF(OR(AND(P2845&lt;&gt;"",S2845=""),AND(N2845="REALIZADO",M2845="PENDENTE"),AND(ISNUMBER(R2845),R2845=TODAY())),"ATENÇÃO",IF(N(K2845)=0,"PENDENTE","EM ANDAMENTO"))))))</f>
        <v/>
      </c>
      <c r="C2845" s="3">
        <f>IF(D2845="","",IF(V2845=0,"🟢 OK",IF(D2845&lt;corte,"⚪ HISTÓRICO (sem baixa)",IF(AND(ISNUMBER(R2845),R2845&lt;TODAY()),"🔴 PRAZO VENCIDO",IF(AND(OR(N2845="PENDENTE",N2845="PARCIAL"),D2845&lt;TODAY()-1),"🔴 EMBARQUE ATRASADO",IF(AND(N2845="REALIZADO",M2845="PENDENTE"),"🟡 EMBARCADO SEM FATURAR",IF(AND(P2845&lt;&gt;"",S2845="",OR(Q2845="",R2845="")),"🟡 PENDÊNCIA SEM RESPONSÁVEL/PRAZO",IF(AND(ISNUMBER(R2845),R2845=TODAY()),"🟡 VENCE HOJE",IF(AND(P2845&lt;&gt;"",S2845=""),"🟡 PENDÊNCIA ABERTA",IF(AND(N(J2845)&gt;0,N(K2845)&lt;J2845),"🟡 FALTA EXECUTAR",IF(OR(M2845="PENDENTE",M2845="PARCIAL"),"🟡 FATURAMENTO PENDENTE","🟡 EMBARQUE PENDENTE")))))))))))</f>
        <v/>
      </c>
      <c r="D2845" s="4" t="n"/>
      <c r="E2845" s="5" t="n"/>
      <c r="F2845" s="5" t="n"/>
      <c r="G2845" s="5" t="n"/>
      <c r="H2845" s="5" t="n"/>
      <c r="I2845" s="5" t="n"/>
      <c r="J2845" s="6" t="n"/>
      <c r="K2845" s="6" t="n"/>
      <c r="L2845" s="7">
        <f>IF(OR(D2845="",N(J2845)=0),"",MIN(1,N(K2845)/J2845))</f>
        <v/>
      </c>
      <c r="M2845" s="5" t="n"/>
      <c r="N2845" s="5" t="n"/>
      <c r="O2845" s="5" t="n"/>
      <c r="P2845" s="5" t="n"/>
      <c r="Q2845" s="5" t="n"/>
      <c r="R2845" s="4" t="n"/>
      <c r="S2845" s="4" t="n"/>
      <c r="T2845" s="5" t="n"/>
      <c r="U2845" s="8">
        <f>IF(AND(V2845=1,D2845&lt;&gt;""),IF(D2845&gt;=corte,TODAY()-D2845,""),"")</f>
        <v/>
      </c>
      <c r="V2845" s="8">
        <f>IF(D2845="",0,IF(OR(AND(P2845&lt;&gt;"",S2845=""),AND(N(J2845)&gt;0,N(K2845)&lt;J2845),OR(M2845="PENDENTE",M2845="PARCIAL"),OR(N2845="PENDENTE",N2845="PARCIAL")),1,0))</f>
        <v/>
      </c>
      <c r="W2845" s="8">
        <f>IF(AND(V2845=1,D2845&lt;&gt;""),IF(D2845&gt;=corte,(B2845="CRÍTICO")*1E9+(100000-D2845)*10000+10000-ROW(),""),"")</f>
        <v/>
      </c>
      <c r="X2845" s="8">
        <f>IF(AND(V2845=1,D2845=pas_data,E2845=pas_turno),10000-ROW(),"")</f>
        <v/>
      </c>
    </row>
    <row r="2846">
      <c r="A2846" s="3">
        <f>IF(D2846="","","TT-"&amp;TEXT(ROW()-1,"00000"))</f>
        <v/>
      </c>
      <c r="B2846" s="3">
        <f>IF(D2846="","",IF(V2846=0,"CONCLUÍDO",IF(D2846&lt;corte,"HISTÓRICO",IF(OR(AND(ISNUMBER(R2846),R2846&lt;TODAY()),AND(OR(N2846="PENDENTE",N2846="PARCIAL"),D2846&lt;TODAY()-1)),"CRÍTICO",IF(OR(AND(P2846&lt;&gt;"",S2846=""),AND(N2846="REALIZADO",M2846="PENDENTE"),AND(ISNUMBER(R2846),R2846=TODAY())),"ATENÇÃO",IF(N(K2846)=0,"PENDENTE","EM ANDAMENTO"))))))</f>
        <v/>
      </c>
      <c r="C2846" s="3">
        <f>IF(D2846="","",IF(V2846=0,"🟢 OK",IF(D2846&lt;corte,"⚪ HISTÓRICO (sem baixa)",IF(AND(ISNUMBER(R2846),R2846&lt;TODAY()),"🔴 PRAZO VENCIDO",IF(AND(OR(N2846="PENDENTE",N2846="PARCIAL"),D2846&lt;TODAY()-1),"🔴 EMBARQUE ATRASADO",IF(AND(N2846="REALIZADO",M2846="PENDENTE"),"🟡 EMBARCADO SEM FATURAR",IF(AND(P2846&lt;&gt;"",S2846="",OR(Q2846="",R2846="")),"🟡 PENDÊNCIA SEM RESPONSÁVEL/PRAZO",IF(AND(ISNUMBER(R2846),R2846=TODAY()),"🟡 VENCE HOJE",IF(AND(P2846&lt;&gt;"",S2846=""),"🟡 PENDÊNCIA ABERTA",IF(AND(N(J2846)&gt;0,N(K2846)&lt;J2846),"🟡 FALTA EXECUTAR",IF(OR(M2846="PENDENTE",M2846="PARCIAL"),"🟡 FATURAMENTO PENDENTE","🟡 EMBARQUE PENDENTE")))))))))))</f>
        <v/>
      </c>
      <c r="D2846" s="4" t="n"/>
      <c r="E2846" s="5" t="n"/>
      <c r="F2846" s="5" t="n"/>
      <c r="G2846" s="5" t="n"/>
      <c r="H2846" s="5" t="n"/>
      <c r="I2846" s="5" t="n"/>
      <c r="J2846" s="6" t="n"/>
      <c r="K2846" s="6" t="n"/>
      <c r="L2846" s="7">
        <f>IF(OR(D2846="",N(J2846)=0),"",MIN(1,N(K2846)/J2846))</f>
        <v/>
      </c>
      <c r="M2846" s="5" t="n"/>
      <c r="N2846" s="5" t="n"/>
      <c r="O2846" s="5" t="n"/>
      <c r="P2846" s="5" t="n"/>
      <c r="Q2846" s="5" t="n"/>
      <c r="R2846" s="4" t="n"/>
      <c r="S2846" s="4" t="n"/>
      <c r="T2846" s="5" t="n"/>
      <c r="U2846" s="8">
        <f>IF(AND(V2846=1,D2846&lt;&gt;""),IF(D2846&gt;=corte,TODAY()-D2846,""),"")</f>
        <v/>
      </c>
      <c r="V2846" s="8">
        <f>IF(D2846="",0,IF(OR(AND(P2846&lt;&gt;"",S2846=""),AND(N(J2846)&gt;0,N(K2846)&lt;J2846),OR(M2846="PENDENTE",M2846="PARCIAL"),OR(N2846="PENDENTE",N2846="PARCIAL")),1,0))</f>
        <v/>
      </c>
      <c r="W2846" s="8">
        <f>IF(AND(V2846=1,D2846&lt;&gt;""),IF(D2846&gt;=corte,(B2846="CRÍTICO")*1E9+(100000-D2846)*10000+10000-ROW(),""),"")</f>
        <v/>
      </c>
      <c r="X2846" s="8">
        <f>IF(AND(V2846=1,D2846=pas_data,E2846=pas_turno),10000-ROW(),"")</f>
        <v/>
      </c>
    </row>
    <row r="2847">
      <c r="A2847" s="3">
        <f>IF(D2847="","","TT-"&amp;TEXT(ROW()-1,"00000"))</f>
        <v/>
      </c>
      <c r="B2847" s="3">
        <f>IF(D2847="","",IF(V2847=0,"CONCLUÍDO",IF(D2847&lt;corte,"HISTÓRICO",IF(OR(AND(ISNUMBER(R2847),R2847&lt;TODAY()),AND(OR(N2847="PENDENTE",N2847="PARCIAL"),D2847&lt;TODAY()-1)),"CRÍTICO",IF(OR(AND(P2847&lt;&gt;"",S2847=""),AND(N2847="REALIZADO",M2847="PENDENTE"),AND(ISNUMBER(R2847),R2847=TODAY())),"ATENÇÃO",IF(N(K2847)=0,"PENDENTE","EM ANDAMENTO"))))))</f>
        <v/>
      </c>
      <c r="C2847" s="3">
        <f>IF(D2847="","",IF(V2847=0,"🟢 OK",IF(D2847&lt;corte,"⚪ HISTÓRICO (sem baixa)",IF(AND(ISNUMBER(R2847),R2847&lt;TODAY()),"🔴 PRAZO VENCIDO",IF(AND(OR(N2847="PENDENTE",N2847="PARCIAL"),D2847&lt;TODAY()-1),"🔴 EMBARQUE ATRASADO",IF(AND(N2847="REALIZADO",M2847="PENDENTE"),"🟡 EMBARCADO SEM FATURAR",IF(AND(P2847&lt;&gt;"",S2847="",OR(Q2847="",R2847="")),"🟡 PENDÊNCIA SEM RESPONSÁVEL/PRAZO",IF(AND(ISNUMBER(R2847),R2847=TODAY()),"🟡 VENCE HOJE",IF(AND(P2847&lt;&gt;"",S2847=""),"🟡 PENDÊNCIA ABERTA",IF(AND(N(J2847)&gt;0,N(K2847)&lt;J2847),"🟡 FALTA EXECUTAR",IF(OR(M2847="PENDENTE",M2847="PARCIAL"),"🟡 FATURAMENTO PENDENTE","🟡 EMBARQUE PENDENTE")))))))))))</f>
        <v/>
      </c>
      <c r="D2847" s="4" t="n"/>
      <c r="E2847" s="5" t="n"/>
      <c r="F2847" s="5" t="n"/>
      <c r="G2847" s="5" t="n"/>
      <c r="H2847" s="5" t="n"/>
      <c r="I2847" s="5" t="n"/>
      <c r="J2847" s="6" t="n"/>
      <c r="K2847" s="6" t="n"/>
      <c r="L2847" s="7">
        <f>IF(OR(D2847="",N(J2847)=0),"",MIN(1,N(K2847)/J2847))</f>
        <v/>
      </c>
      <c r="M2847" s="5" t="n"/>
      <c r="N2847" s="5" t="n"/>
      <c r="O2847" s="5" t="n"/>
      <c r="P2847" s="5" t="n"/>
      <c r="Q2847" s="5" t="n"/>
      <c r="R2847" s="4" t="n"/>
      <c r="S2847" s="4" t="n"/>
      <c r="T2847" s="5" t="n"/>
      <c r="U2847" s="8">
        <f>IF(AND(V2847=1,D2847&lt;&gt;""),IF(D2847&gt;=corte,TODAY()-D2847,""),"")</f>
        <v/>
      </c>
      <c r="V2847" s="8">
        <f>IF(D2847="",0,IF(OR(AND(P2847&lt;&gt;"",S2847=""),AND(N(J2847)&gt;0,N(K2847)&lt;J2847),OR(M2847="PENDENTE",M2847="PARCIAL"),OR(N2847="PENDENTE",N2847="PARCIAL")),1,0))</f>
        <v/>
      </c>
      <c r="W2847" s="8">
        <f>IF(AND(V2847=1,D2847&lt;&gt;""),IF(D2847&gt;=corte,(B2847="CRÍTICO")*1E9+(100000-D2847)*10000+10000-ROW(),""),"")</f>
        <v/>
      </c>
      <c r="X2847" s="8">
        <f>IF(AND(V2847=1,D2847=pas_data,E2847=pas_turno),10000-ROW(),"")</f>
        <v/>
      </c>
    </row>
    <row r="2848">
      <c r="A2848" s="3">
        <f>IF(D2848="","","TT-"&amp;TEXT(ROW()-1,"00000"))</f>
        <v/>
      </c>
      <c r="B2848" s="3">
        <f>IF(D2848="","",IF(V2848=0,"CONCLUÍDO",IF(D2848&lt;corte,"HISTÓRICO",IF(OR(AND(ISNUMBER(R2848),R2848&lt;TODAY()),AND(OR(N2848="PENDENTE",N2848="PARCIAL"),D2848&lt;TODAY()-1)),"CRÍTICO",IF(OR(AND(P2848&lt;&gt;"",S2848=""),AND(N2848="REALIZADO",M2848="PENDENTE"),AND(ISNUMBER(R2848),R2848=TODAY())),"ATENÇÃO",IF(N(K2848)=0,"PENDENTE","EM ANDAMENTO"))))))</f>
        <v/>
      </c>
      <c r="C2848" s="3">
        <f>IF(D2848="","",IF(V2848=0,"🟢 OK",IF(D2848&lt;corte,"⚪ HISTÓRICO (sem baixa)",IF(AND(ISNUMBER(R2848),R2848&lt;TODAY()),"🔴 PRAZO VENCIDO",IF(AND(OR(N2848="PENDENTE",N2848="PARCIAL"),D2848&lt;TODAY()-1),"🔴 EMBARQUE ATRASADO",IF(AND(N2848="REALIZADO",M2848="PENDENTE"),"🟡 EMBARCADO SEM FATURAR",IF(AND(P2848&lt;&gt;"",S2848="",OR(Q2848="",R2848="")),"🟡 PENDÊNCIA SEM RESPONSÁVEL/PRAZO",IF(AND(ISNUMBER(R2848),R2848=TODAY()),"🟡 VENCE HOJE",IF(AND(P2848&lt;&gt;"",S2848=""),"🟡 PENDÊNCIA ABERTA",IF(AND(N(J2848)&gt;0,N(K2848)&lt;J2848),"🟡 FALTA EXECUTAR",IF(OR(M2848="PENDENTE",M2848="PARCIAL"),"🟡 FATURAMENTO PENDENTE","🟡 EMBARQUE PENDENTE")))))))))))</f>
        <v/>
      </c>
      <c r="D2848" s="4" t="n"/>
      <c r="E2848" s="5" t="n"/>
      <c r="F2848" s="5" t="n"/>
      <c r="G2848" s="5" t="n"/>
      <c r="H2848" s="5" t="n"/>
      <c r="I2848" s="5" t="n"/>
      <c r="J2848" s="6" t="n"/>
      <c r="K2848" s="6" t="n"/>
      <c r="L2848" s="7">
        <f>IF(OR(D2848="",N(J2848)=0),"",MIN(1,N(K2848)/J2848))</f>
        <v/>
      </c>
      <c r="M2848" s="5" t="n"/>
      <c r="N2848" s="5" t="n"/>
      <c r="O2848" s="5" t="n"/>
      <c r="P2848" s="5" t="n"/>
      <c r="Q2848" s="5" t="n"/>
      <c r="R2848" s="4" t="n"/>
      <c r="S2848" s="4" t="n"/>
      <c r="T2848" s="5" t="n"/>
      <c r="U2848" s="8">
        <f>IF(AND(V2848=1,D2848&lt;&gt;""),IF(D2848&gt;=corte,TODAY()-D2848,""),"")</f>
        <v/>
      </c>
      <c r="V2848" s="8">
        <f>IF(D2848="",0,IF(OR(AND(P2848&lt;&gt;"",S2848=""),AND(N(J2848)&gt;0,N(K2848)&lt;J2848),OR(M2848="PENDENTE",M2848="PARCIAL"),OR(N2848="PENDENTE",N2848="PARCIAL")),1,0))</f>
        <v/>
      </c>
      <c r="W2848" s="8">
        <f>IF(AND(V2848=1,D2848&lt;&gt;""),IF(D2848&gt;=corte,(B2848="CRÍTICO")*1E9+(100000-D2848)*10000+10000-ROW(),""),"")</f>
        <v/>
      </c>
      <c r="X2848" s="8">
        <f>IF(AND(V2848=1,D2848=pas_data,E2848=pas_turno),10000-ROW(),"")</f>
        <v/>
      </c>
    </row>
    <row r="2849">
      <c r="A2849" s="3">
        <f>IF(D2849="","","TT-"&amp;TEXT(ROW()-1,"00000"))</f>
        <v/>
      </c>
      <c r="B2849" s="3">
        <f>IF(D2849="","",IF(V2849=0,"CONCLUÍDO",IF(D2849&lt;corte,"HISTÓRICO",IF(OR(AND(ISNUMBER(R2849),R2849&lt;TODAY()),AND(OR(N2849="PENDENTE",N2849="PARCIAL"),D2849&lt;TODAY()-1)),"CRÍTICO",IF(OR(AND(P2849&lt;&gt;"",S2849=""),AND(N2849="REALIZADO",M2849="PENDENTE"),AND(ISNUMBER(R2849),R2849=TODAY())),"ATENÇÃO",IF(N(K2849)=0,"PENDENTE","EM ANDAMENTO"))))))</f>
        <v/>
      </c>
      <c r="C2849" s="3">
        <f>IF(D2849="","",IF(V2849=0,"🟢 OK",IF(D2849&lt;corte,"⚪ HISTÓRICO (sem baixa)",IF(AND(ISNUMBER(R2849),R2849&lt;TODAY()),"🔴 PRAZO VENCIDO",IF(AND(OR(N2849="PENDENTE",N2849="PARCIAL"),D2849&lt;TODAY()-1),"🔴 EMBARQUE ATRASADO",IF(AND(N2849="REALIZADO",M2849="PENDENTE"),"🟡 EMBARCADO SEM FATURAR",IF(AND(P2849&lt;&gt;"",S2849="",OR(Q2849="",R2849="")),"🟡 PENDÊNCIA SEM RESPONSÁVEL/PRAZO",IF(AND(ISNUMBER(R2849),R2849=TODAY()),"🟡 VENCE HOJE",IF(AND(P2849&lt;&gt;"",S2849=""),"🟡 PENDÊNCIA ABERTA",IF(AND(N(J2849)&gt;0,N(K2849)&lt;J2849),"🟡 FALTA EXECUTAR",IF(OR(M2849="PENDENTE",M2849="PARCIAL"),"🟡 FATURAMENTO PENDENTE","🟡 EMBARQUE PENDENTE")))))))))))</f>
        <v/>
      </c>
      <c r="D2849" s="4" t="n"/>
      <c r="E2849" s="5" t="n"/>
      <c r="F2849" s="5" t="n"/>
      <c r="G2849" s="5" t="n"/>
      <c r="H2849" s="5" t="n"/>
      <c r="I2849" s="5" t="n"/>
      <c r="J2849" s="6" t="n"/>
      <c r="K2849" s="6" t="n"/>
      <c r="L2849" s="7">
        <f>IF(OR(D2849="",N(J2849)=0),"",MIN(1,N(K2849)/J2849))</f>
        <v/>
      </c>
      <c r="M2849" s="5" t="n"/>
      <c r="N2849" s="5" t="n"/>
      <c r="O2849" s="5" t="n"/>
      <c r="P2849" s="5" t="n"/>
      <c r="Q2849" s="5" t="n"/>
      <c r="R2849" s="4" t="n"/>
      <c r="S2849" s="4" t="n"/>
      <c r="T2849" s="5" t="n"/>
      <c r="U2849" s="8">
        <f>IF(AND(V2849=1,D2849&lt;&gt;""),IF(D2849&gt;=corte,TODAY()-D2849,""),"")</f>
        <v/>
      </c>
      <c r="V2849" s="8">
        <f>IF(D2849="",0,IF(OR(AND(P2849&lt;&gt;"",S2849=""),AND(N(J2849)&gt;0,N(K2849)&lt;J2849),OR(M2849="PENDENTE",M2849="PARCIAL"),OR(N2849="PENDENTE",N2849="PARCIAL")),1,0))</f>
        <v/>
      </c>
      <c r="W2849" s="8">
        <f>IF(AND(V2849=1,D2849&lt;&gt;""),IF(D2849&gt;=corte,(B2849="CRÍTICO")*1E9+(100000-D2849)*10000+10000-ROW(),""),"")</f>
        <v/>
      </c>
      <c r="X2849" s="8">
        <f>IF(AND(V2849=1,D2849=pas_data,E2849=pas_turno),10000-ROW(),"")</f>
        <v/>
      </c>
    </row>
    <row r="2850">
      <c r="A2850" s="3">
        <f>IF(D2850="","","TT-"&amp;TEXT(ROW()-1,"00000"))</f>
        <v/>
      </c>
      <c r="B2850" s="3">
        <f>IF(D2850="","",IF(V2850=0,"CONCLUÍDO",IF(D2850&lt;corte,"HISTÓRICO",IF(OR(AND(ISNUMBER(R2850),R2850&lt;TODAY()),AND(OR(N2850="PENDENTE",N2850="PARCIAL"),D2850&lt;TODAY()-1)),"CRÍTICO",IF(OR(AND(P2850&lt;&gt;"",S2850=""),AND(N2850="REALIZADO",M2850="PENDENTE"),AND(ISNUMBER(R2850),R2850=TODAY())),"ATENÇÃO",IF(N(K2850)=0,"PENDENTE","EM ANDAMENTO"))))))</f>
        <v/>
      </c>
      <c r="C2850" s="3">
        <f>IF(D2850="","",IF(V2850=0,"🟢 OK",IF(D2850&lt;corte,"⚪ HISTÓRICO (sem baixa)",IF(AND(ISNUMBER(R2850),R2850&lt;TODAY()),"🔴 PRAZO VENCIDO",IF(AND(OR(N2850="PENDENTE",N2850="PARCIAL"),D2850&lt;TODAY()-1),"🔴 EMBARQUE ATRASADO",IF(AND(N2850="REALIZADO",M2850="PENDENTE"),"🟡 EMBARCADO SEM FATURAR",IF(AND(P2850&lt;&gt;"",S2850="",OR(Q2850="",R2850="")),"🟡 PENDÊNCIA SEM RESPONSÁVEL/PRAZO",IF(AND(ISNUMBER(R2850),R2850=TODAY()),"🟡 VENCE HOJE",IF(AND(P2850&lt;&gt;"",S2850=""),"🟡 PENDÊNCIA ABERTA",IF(AND(N(J2850)&gt;0,N(K2850)&lt;J2850),"🟡 FALTA EXECUTAR",IF(OR(M2850="PENDENTE",M2850="PARCIAL"),"🟡 FATURAMENTO PENDENTE","🟡 EMBARQUE PENDENTE")))))))))))</f>
        <v/>
      </c>
      <c r="D2850" s="4" t="n"/>
      <c r="E2850" s="5" t="n"/>
      <c r="F2850" s="5" t="n"/>
      <c r="G2850" s="5" t="n"/>
      <c r="H2850" s="5" t="n"/>
      <c r="I2850" s="5" t="n"/>
      <c r="J2850" s="6" t="n"/>
      <c r="K2850" s="6" t="n"/>
      <c r="L2850" s="7">
        <f>IF(OR(D2850="",N(J2850)=0),"",MIN(1,N(K2850)/J2850))</f>
        <v/>
      </c>
      <c r="M2850" s="5" t="n"/>
      <c r="N2850" s="5" t="n"/>
      <c r="O2850" s="5" t="n"/>
      <c r="P2850" s="5" t="n"/>
      <c r="Q2850" s="5" t="n"/>
      <c r="R2850" s="4" t="n"/>
      <c r="S2850" s="4" t="n"/>
      <c r="T2850" s="5" t="n"/>
      <c r="U2850" s="8">
        <f>IF(AND(V2850=1,D2850&lt;&gt;""),IF(D2850&gt;=corte,TODAY()-D2850,""),"")</f>
        <v/>
      </c>
      <c r="V2850" s="8">
        <f>IF(D2850="",0,IF(OR(AND(P2850&lt;&gt;"",S2850=""),AND(N(J2850)&gt;0,N(K2850)&lt;J2850),OR(M2850="PENDENTE",M2850="PARCIAL"),OR(N2850="PENDENTE",N2850="PARCIAL")),1,0))</f>
        <v/>
      </c>
      <c r="W2850" s="8">
        <f>IF(AND(V2850=1,D2850&lt;&gt;""),IF(D2850&gt;=corte,(B2850="CRÍTICO")*1E9+(100000-D2850)*10000+10000-ROW(),""),"")</f>
        <v/>
      </c>
      <c r="X2850" s="8">
        <f>IF(AND(V2850=1,D2850=pas_data,E2850=pas_turno),10000-ROW(),"")</f>
        <v/>
      </c>
    </row>
    <row r="2851">
      <c r="A2851" s="3">
        <f>IF(D2851="","","TT-"&amp;TEXT(ROW()-1,"00000"))</f>
        <v/>
      </c>
      <c r="B2851" s="3">
        <f>IF(D2851="","",IF(V2851=0,"CONCLUÍDO",IF(D2851&lt;corte,"HISTÓRICO",IF(OR(AND(ISNUMBER(R2851),R2851&lt;TODAY()),AND(OR(N2851="PENDENTE",N2851="PARCIAL"),D2851&lt;TODAY()-1)),"CRÍTICO",IF(OR(AND(P2851&lt;&gt;"",S2851=""),AND(N2851="REALIZADO",M2851="PENDENTE"),AND(ISNUMBER(R2851),R2851=TODAY())),"ATENÇÃO",IF(N(K2851)=0,"PENDENTE","EM ANDAMENTO"))))))</f>
        <v/>
      </c>
      <c r="C2851" s="3">
        <f>IF(D2851="","",IF(V2851=0,"🟢 OK",IF(D2851&lt;corte,"⚪ HISTÓRICO (sem baixa)",IF(AND(ISNUMBER(R2851),R2851&lt;TODAY()),"🔴 PRAZO VENCIDO",IF(AND(OR(N2851="PENDENTE",N2851="PARCIAL"),D2851&lt;TODAY()-1),"🔴 EMBARQUE ATRASADO",IF(AND(N2851="REALIZADO",M2851="PENDENTE"),"🟡 EMBARCADO SEM FATURAR",IF(AND(P2851&lt;&gt;"",S2851="",OR(Q2851="",R2851="")),"🟡 PENDÊNCIA SEM RESPONSÁVEL/PRAZO",IF(AND(ISNUMBER(R2851),R2851=TODAY()),"🟡 VENCE HOJE",IF(AND(P2851&lt;&gt;"",S2851=""),"🟡 PENDÊNCIA ABERTA",IF(AND(N(J2851)&gt;0,N(K2851)&lt;J2851),"🟡 FALTA EXECUTAR",IF(OR(M2851="PENDENTE",M2851="PARCIAL"),"🟡 FATURAMENTO PENDENTE","🟡 EMBARQUE PENDENTE")))))))))))</f>
        <v/>
      </c>
      <c r="D2851" s="4" t="n"/>
      <c r="E2851" s="5" t="n"/>
      <c r="F2851" s="5" t="n"/>
      <c r="G2851" s="5" t="n"/>
      <c r="H2851" s="5" t="n"/>
      <c r="I2851" s="5" t="n"/>
      <c r="J2851" s="6" t="n"/>
      <c r="K2851" s="6" t="n"/>
      <c r="L2851" s="7">
        <f>IF(OR(D2851="",N(J2851)=0),"",MIN(1,N(K2851)/J2851))</f>
        <v/>
      </c>
      <c r="M2851" s="5" t="n"/>
      <c r="N2851" s="5" t="n"/>
      <c r="O2851" s="5" t="n"/>
      <c r="P2851" s="5" t="n"/>
      <c r="Q2851" s="5" t="n"/>
      <c r="R2851" s="4" t="n"/>
      <c r="S2851" s="4" t="n"/>
      <c r="T2851" s="5" t="n"/>
      <c r="U2851" s="8">
        <f>IF(AND(V2851=1,D2851&lt;&gt;""),IF(D2851&gt;=corte,TODAY()-D2851,""),"")</f>
        <v/>
      </c>
      <c r="V2851" s="8">
        <f>IF(D2851="",0,IF(OR(AND(P2851&lt;&gt;"",S2851=""),AND(N(J2851)&gt;0,N(K2851)&lt;J2851),OR(M2851="PENDENTE",M2851="PARCIAL"),OR(N2851="PENDENTE",N2851="PARCIAL")),1,0))</f>
        <v/>
      </c>
      <c r="W2851" s="8">
        <f>IF(AND(V2851=1,D2851&lt;&gt;""),IF(D2851&gt;=corte,(B2851="CRÍTICO")*1E9+(100000-D2851)*10000+10000-ROW(),""),"")</f>
        <v/>
      </c>
      <c r="X2851" s="8">
        <f>IF(AND(V2851=1,D2851=pas_data,E2851=pas_turno),10000-ROW(),"")</f>
        <v/>
      </c>
    </row>
    <row r="2852">
      <c r="A2852" s="3">
        <f>IF(D2852="","","TT-"&amp;TEXT(ROW()-1,"00000"))</f>
        <v/>
      </c>
      <c r="B2852" s="3">
        <f>IF(D2852="","",IF(V2852=0,"CONCLUÍDO",IF(D2852&lt;corte,"HISTÓRICO",IF(OR(AND(ISNUMBER(R2852),R2852&lt;TODAY()),AND(OR(N2852="PENDENTE",N2852="PARCIAL"),D2852&lt;TODAY()-1)),"CRÍTICO",IF(OR(AND(P2852&lt;&gt;"",S2852=""),AND(N2852="REALIZADO",M2852="PENDENTE"),AND(ISNUMBER(R2852),R2852=TODAY())),"ATENÇÃO",IF(N(K2852)=0,"PENDENTE","EM ANDAMENTO"))))))</f>
        <v/>
      </c>
      <c r="C2852" s="3">
        <f>IF(D2852="","",IF(V2852=0,"🟢 OK",IF(D2852&lt;corte,"⚪ HISTÓRICO (sem baixa)",IF(AND(ISNUMBER(R2852),R2852&lt;TODAY()),"🔴 PRAZO VENCIDO",IF(AND(OR(N2852="PENDENTE",N2852="PARCIAL"),D2852&lt;TODAY()-1),"🔴 EMBARQUE ATRASADO",IF(AND(N2852="REALIZADO",M2852="PENDENTE"),"🟡 EMBARCADO SEM FATURAR",IF(AND(P2852&lt;&gt;"",S2852="",OR(Q2852="",R2852="")),"🟡 PENDÊNCIA SEM RESPONSÁVEL/PRAZO",IF(AND(ISNUMBER(R2852),R2852=TODAY()),"🟡 VENCE HOJE",IF(AND(P2852&lt;&gt;"",S2852=""),"🟡 PENDÊNCIA ABERTA",IF(AND(N(J2852)&gt;0,N(K2852)&lt;J2852),"🟡 FALTA EXECUTAR",IF(OR(M2852="PENDENTE",M2852="PARCIAL"),"🟡 FATURAMENTO PENDENTE","🟡 EMBARQUE PENDENTE")))))))))))</f>
        <v/>
      </c>
      <c r="D2852" s="4" t="n"/>
      <c r="E2852" s="5" t="n"/>
      <c r="F2852" s="5" t="n"/>
      <c r="G2852" s="5" t="n"/>
      <c r="H2852" s="5" t="n"/>
      <c r="I2852" s="5" t="n"/>
      <c r="J2852" s="6" t="n"/>
      <c r="K2852" s="6" t="n"/>
      <c r="L2852" s="7">
        <f>IF(OR(D2852="",N(J2852)=0),"",MIN(1,N(K2852)/J2852))</f>
        <v/>
      </c>
      <c r="M2852" s="5" t="n"/>
      <c r="N2852" s="5" t="n"/>
      <c r="O2852" s="5" t="n"/>
      <c r="P2852" s="5" t="n"/>
      <c r="Q2852" s="5" t="n"/>
      <c r="R2852" s="4" t="n"/>
      <c r="S2852" s="4" t="n"/>
      <c r="T2852" s="5" t="n"/>
      <c r="U2852" s="8">
        <f>IF(AND(V2852=1,D2852&lt;&gt;""),IF(D2852&gt;=corte,TODAY()-D2852,""),"")</f>
        <v/>
      </c>
      <c r="V2852" s="8">
        <f>IF(D2852="",0,IF(OR(AND(P2852&lt;&gt;"",S2852=""),AND(N(J2852)&gt;0,N(K2852)&lt;J2852),OR(M2852="PENDENTE",M2852="PARCIAL"),OR(N2852="PENDENTE",N2852="PARCIAL")),1,0))</f>
        <v/>
      </c>
      <c r="W2852" s="8">
        <f>IF(AND(V2852=1,D2852&lt;&gt;""),IF(D2852&gt;=corte,(B2852="CRÍTICO")*1E9+(100000-D2852)*10000+10000-ROW(),""),"")</f>
        <v/>
      </c>
      <c r="X2852" s="8">
        <f>IF(AND(V2852=1,D2852=pas_data,E2852=pas_turno),10000-ROW(),"")</f>
        <v/>
      </c>
    </row>
    <row r="2853">
      <c r="A2853" s="3">
        <f>IF(D2853="","","TT-"&amp;TEXT(ROW()-1,"00000"))</f>
        <v/>
      </c>
      <c r="B2853" s="3">
        <f>IF(D2853="","",IF(V2853=0,"CONCLUÍDO",IF(D2853&lt;corte,"HISTÓRICO",IF(OR(AND(ISNUMBER(R2853),R2853&lt;TODAY()),AND(OR(N2853="PENDENTE",N2853="PARCIAL"),D2853&lt;TODAY()-1)),"CRÍTICO",IF(OR(AND(P2853&lt;&gt;"",S2853=""),AND(N2853="REALIZADO",M2853="PENDENTE"),AND(ISNUMBER(R2853),R2853=TODAY())),"ATENÇÃO",IF(N(K2853)=0,"PENDENTE","EM ANDAMENTO"))))))</f>
        <v/>
      </c>
      <c r="C2853" s="3">
        <f>IF(D2853="","",IF(V2853=0,"🟢 OK",IF(D2853&lt;corte,"⚪ HISTÓRICO (sem baixa)",IF(AND(ISNUMBER(R2853),R2853&lt;TODAY()),"🔴 PRAZO VENCIDO",IF(AND(OR(N2853="PENDENTE",N2853="PARCIAL"),D2853&lt;TODAY()-1),"🔴 EMBARQUE ATRASADO",IF(AND(N2853="REALIZADO",M2853="PENDENTE"),"🟡 EMBARCADO SEM FATURAR",IF(AND(P2853&lt;&gt;"",S2853="",OR(Q2853="",R2853="")),"🟡 PENDÊNCIA SEM RESPONSÁVEL/PRAZO",IF(AND(ISNUMBER(R2853),R2853=TODAY()),"🟡 VENCE HOJE",IF(AND(P2853&lt;&gt;"",S2853=""),"🟡 PENDÊNCIA ABERTA",IF(AND(N(J2853)&gt;0,N(K2853)&lt;J2853),"🟡 FALTA EXECUTAR",IF(OR(M2853="PENDENTE",M2853="PARCIAL"),"🟡 FATURAMENTO PENDENTE","🟡 EMBARQUE PENDENTE")))))))))))</f>
        <v/>
      </c>
      <c r="D2853" s="4" t="n"/>
      <c r="E2853" s="5" t="n"/>
      <c r="F2853" s="5" t="n"/>
      <c r="G2853" s="5" t="n"/>
      <c r="H2853" s="5" t="n"/>
      <c r="I2853" s="5" t="n"/>
      <c r="J2853" s="6" t="n"/>
      <c r="K2853" s="6" t="n"/>
      <c r="L2853" s="7">
        <f>IF(OR(D2853="",N(J2853)=0),"",MIN(1,N(K2853)/J2853))</f>
        <v/>
      </c>
      <c r="M2853" s="5" t="n"/>
      <c r="N2853" s="5" t="n"/>
      <c r="O2853" s="5" t="n"/>
      <c r="P2853" s="5" t="n"/>
      <c r="Q2853" s="5" t="n"/>
      <c r="R2853" s="4" t="n"/>
      <c r="S2853" s="4" t="n"/>
      <c r="T2853" s="5" t="n"/>
      <c r="U2853" s="8">
        <f>IF(AND(V2853=1,D2853&lt;&gt;""),IF(D2853&gt;=corte,TODAY()-D2853,""),"")</f>
        <v/>
      </c>
      <c r="V2853" s="8">
        <f>IF(D2853="",0,IF(OR(AND(P2853&lt;&gt;"",S2853=""),AND(N(J2853)&gt;0,N(K2853)&lt;J2853),OR(M2853="PENDENTE",M2853="PARCIAL"),OR(N2853="PENDENTE",N2853="PARCIAL")),1,0))</f>
        <v/>
      </c>
      <c r="W2853" s="8">
        <f>IF(AND(V2853=1,D2853&lt;&gt;""),IF(D2853&gt;=corte,(B2853="CRÍTICO")*1E9+(100000-D2853)*10000+10000-ROW(),""),"")</f>
        <v/>
      </c>
      <c r="X2853" s="8">
        <f>IF(AND(V2853=1,D2853=pas_data,E2853=pas_turno),10000-ROW(),"")</f>
        <v/>
      </c>
    </row>
    <row r="2854">
      <c r="A2854" s="3">
        <f>IF(D2854="","","TT-"&amp;TEXT(ROW()-1,"00000"))</f>
        <v/>
      </c>
      <c r="B2854" s="3">
        <f>IF(D2854="","",IF(V2854=0,"CONCLUÍDO",IF(D2854&lt;corte,"HISTÓRICO",IF(OR(AND(ISNUMBER(R2854),R2854&lt;TODAY()),AND(OR(N2854="PENDENTE",N2854="PARCIAL"),D2854&lt;TODAY()-1)),"CRÍTICO",IF(OR(AND(P2854&lt;&gt;"",S2854=""),AND(N2854="REALIZADO",M2854="PENDENTE"),AND(ISNUMBER(R2854),R2854=TODAY())),"ATENÇÃO",IF(N(K2854)=0,"PENDENTE","EM ANDAMENTO"))))))</f>
        <v/>
      </c>
      <c r="C2854" s="3">
        <f>IF(D2854="","",IF(V2854=0,"🟢 OK",IF(D2854&lt;corte,"⚪ HISTÓRICO (sem baixa)",IF(AND(ISNUMBER(R2854),R2854&lt;TODAY()),"🔴 PRAZO VENCIDO",IF(AND(OR(N2854="PENDENTE",N2854="PARCIAL"),D2854&lt;TODAY()-1),"🔴 EMBARQUE ATRASADO",IF(AND(N2854="REALIZADO",M2854="PENDENTE"),"🟡 EMBARCADO SEM FATURAR",IF(AND(P2854&lt;&gt;"",S2854="",OR(Q2854="",R2854="")),"🟡 PENDÊNCIA SEM RESPONSÁVEL/PRAZO",IF(AND(ISNUMBER(R2854),R2854=TODAY()),"🟡 VENCE HOJE",IF(AND(P2854&lt;&gt;"",S2854=""),"🟡 PENDÊNCIA ABERTA",IF(AND(N(J2854)&gt;0,N(K2854)&lt;J2854),"🟡 FALTA EXECUTAR",IF(OR(M2854="PENDENTE",M2854="PARCIAL"),"🟡 FATURAMENTO PENDENTE","🟡 EMBARQUE PENDENTE")))))))))))</f>
        <v/>
      </c>
      <c r="D2854" s="4" t="n"/>
      <c r="E2854" s="5" t="n"/>
      <c r="F2854" s="5" t="n"/>
      <c r="G2854" s="5" t="n"/>
      <c r="H2854" s="5" t="n"/>
      <c r="I2854" s="5" t="n"/>
      <c r="J2854" s="6" t="n"/>
      <c r="K2854" s="6" t="n"/>
      <c r="L2854" s="7">
        <f>IF(OR(D2854="",N(J2854)=0),"",MIN(1,N(K2854)/J2854))</f>
        <v/>
      </c>
      <c r="M2854" s="5" t="n"/>
      <c r="N2854" s="5" t="n"/>
      <c r="O2854" s="5" t="n"/>
      <c r="P2854" s="5" t="n"/>
      <c r="Q2854" s="5" t="n"/>
      <c r="R2854" s="4" t="n"/>
      <c r="S2854" s="4" t="n"/>
      <c r="T2854" s="5" t="n"/>
      <c r="U2854" s="8">
        <f>IF(AND(V2854=1,D2854&lt;&gt;""),IF(D2854&gt;=corte,TODAY()-D2854,""),"")</f>
        <v/>
      </c>
      <c r="V2854" s="8">
        <f>IF(D2854="",0,IF(OR(AND(P2854&lt;&gt;"",S2854=""),AND(N(J2854)&gt;0,N(K2854)&lt;J2854),OR(M2854="PENDENTE",M2854="PARCIAL"),OR(N2854="PENDENTE",N2854="PARCIAL")),1,0))</f>
        <v/>
      </c>
      <c r="W2854" s="8">
        <f>IF(AND(V2854=1,D2854&lt;&gt;""),IF(D2854&gt;=corte,(B2854="CRÍTICO")*1E9+(100000-D2854)*10000+10000-ROW(),""),"")</f>
        <v/>
      </c>
      <c r="X2854" s="8">
        <f>IF(AND(V2854=1,D2854=pas_data,E2854=pas_turno),10000-ROW(),"")</f>
        <v/>
      </c>
    </row>
    <row r="2855">
      <c r="A2855" s="3">
        <f>IF(D2855="","","TT-"&amp;TEXT(ROW()-1,"00000"))</f>
        <v/>
      </c>
      <c r="B2855" s="3">
        <f>IF(D2855="","",IF(V2855=0,"CONCLUÍDO",IF(D2855&lt;corte,"HISTÓRICO",IF(OR(AND(ISNUMBER(R2855),R2855&lt;TODAY()),AND(OR(N2855="PENDENTE",N2855="PARCIAL"),D2855&lt;TODAY()-1)),"CRÍTICO",IF(OR(AND(P2855&lt;&gt;"",S2855=""),AND(N2855="REALIZADO",M2855="PENDENTE"),AND(ISNUMBER(R2855),R2855=TODAY())),"ATENÇÃO",IF(N(K2855)=0,"PENDENTE","EM ANDAMENTO"))))))</f>
        <v/>
      </c>
      <c r="C2855" s="3">
        <f>IF(D2855="","",IF(V2855=0,"🟢 OK",IF(D2855&lt;corte,"⚪ HISTÓRICO (sem baixa)",IF(AND(ISNUMBER(R2855),R2855&lt;TODAY()),"🔴 PRAZO VENCIDO",IF(AND(OR(N2855="PENDENTE",N2855="PARCIAL"),D2855&lt;TODAY()-1),"🔴 EMBARQUE ATRASADO",IF(AND(N2855="REALIZADO",M2855="PENDENTE"),"🟡 EMBARCADO SEM FATURAR",IF(AND(P2855&lt;&gt;"",S2855="",OR(Q2855="",R2855="")),"🟡 PENDÊNCIA SEM RESPONSÁVEL/PRAZO",IF(AND(ISNUMBER(R2855),R2855=TODAY()),"🟡 VENCE HOJE",IF(AND(P2855&lt;&gt;"",S2855=""),"🟡 PENDÊNCIA ABERTA",IF(AND(N(J2855)&gt;0,N(K2855)&lt;J2855),"🟡 FALTA EXECUTAR",IF(OR(M2855="PENDENTE",M2855="PARCIAL"),"🟡 FATURAMENTO PENDENTE","🟡 EMBARQUE PENDENTE")))))))))))</f>
        <v/>
      </c>
      <c r="D2855" s="4" t="n"/>
      <c r="E2855" s="5" t="n"/>
      <c r="F2855" s="5" t="n"/>
      <c r="G2855" s="5" t="n"/>
      <c r="H2855" s="5" t="n"/>
      <c r="I2855" s="5" t="n"/>
      <c r="J2855" s="6" t="n"/>
      <c r="K2855" s="6" t="n"/>
      <c r="L2855" s="7">
        <f>IF(OR(D2855="",N(J2855)=0),"",MIN(1,N(K2855)/J2855))</f>
        <v/>
      </c>
      <c r="M2855" s="5" t="n"/>
      <c r="N2855" s="5" t="n"/>
      <c r="O2855" s="5" t="n"/>
      <c r="P2855" s="5" t="n"/>
      <c r="Q2855" s="5" t="n"/>
      <c r="R2855" s="4" t="n"/>
      <c r="S2855" s="4" t="n"/>
      <c r="T2855" s="5" t="n"/>
      <c r="U2855" s="8">
        <f>IF(AND(V2855=1,D2855&lt;&gt;""),IF(D2855&gt;=corte,TODAY()-D2855,""),"")</f>
        <v/>
      </c>
      <c r="V2855" s="8">
        <f>IF(D2855="",0,IF(OR(AND(P2855&lt;&gt;"",S2855=""),AND(N(J2855)&gt;0,N(K2855)&lt;J2855),OR(M2855="PENDENTE",M2855="PARCIAL"),OR(N2855="PENDENTE",N2855="PARCIAL")),1,0))</f>
        <v/>
      </c>
      <c r="W2855" s="8">
        <f>IF(AND(V2855=1,D2855&lt;&gt;""),IF(D2855&gt;=corte,(B2855="CRÍTICO")*1E9+(100000-D2855)*10000+10000-ROW(),""),"")</f>
        <v/>
      </c>
      <c r="X2855" s="8">
        <f>IF(AND(V2855=1,D2855=pas_data,E2855=pas_turno),10000-ROW(),"")</f>
        <v/>
      </c>
    </row>
    <row r="2856">
      <c r="A2856" s="3">
        <f>IF(D2856="","","TT-"&amp;TEXT(ROW()-1,"00000"))</f>
        <v/>
      </c>
      <c r="B2856" s="3">
        <f>IF(D2856="","",IF(V2856=0,"CONCLUÍDO",IF(D2856&lt;corte,"HISTÓRICO",IF(OR(AND(ISNUMBER(R2856),R2856&lt;TODAY()),AND(OR(N2856="PENDENTE",N2856="PARCIAL"),D2856&lt;TODAY()-1)),"CRÍTICO",IF(OR(AND(P2856&lt;&gt;"",S2856=""),AND(N2856="REALIZADO",M2856="PENDENTE"),AND(ISNUMBER(R2856),R2856=TODAY())),"ATENÇÃO",IF(N(K2856)=0,"PENDENTE","EM ANDAMENTO"))))))</f>
        <v/>
      </c>
      <c r="C2856" s="3">
        <f>IF(D2856="","",IF(V2856=0,"🟢 OK",IF(D2856&lt;corte,"⚪ HISTÓRICO (sem baixa)",IF(AND(ISNUMBER(R2856),R2856&lt;TODAY()),"🔴 PRAZO VENCIDO",IF(AND(OR(N2856="PENDENTE",N2856="PARCIAL"),D2856&lt;TODAY()-1),"🔴 EMBARQUE ATRASADO",IF(AND(N2856="REALIZADO",M2856="PENDENTE"),"🟡 EMBARCADO SEM FATURAR",IF(AND(P2856&lt;&gt;"",S2856="",OR(Q2856="",R2856="")),"🟡 PENDÊNCIA SEM RESPONSÁVEL/PRAZO",IF(AND(ISNUMBER(R2856),R2856=TODAY()),"🟡 VENCE HOJE",IF(AND(P2856&lt;&gt;"",S2856=""),"🟡 PENDÊNCIA ABERTA",IF(AND(N(J2856)&gt;0,N(K2856)&lt;J2856),"🟡 FALTA EXECUTAR",IF(OR(M2856="PENDENTE",M2856="PARCIAL"),"🟡 FATURAMENTO PENDENTE","🟡 EMBARQUE PENDENTE")))))))))))</f>
        <v/>
      </c>
      <c r="D2856" s="4" t="n"/>
      <c r="E2856" s="5" t="n"/>
      <c r="F2856" s="5" t="n"/>
      <c r="G2856" s="5" t="n"/>
      <c r="H2856" s="5" t="n"/>
      <c r="I2856" s="5" t="n"/>
      <c r="J2856" s="6" t="n"/>
      <c r="K2856" s="6" t="n"/>
      <c r="L2856" s="7">
        <f>IF(OR(D2856="",N(J2856)=0),"",MIN(1,N(K2856)/J2856))</f>
        <v/>
      </c>
      <c r="M2856" s="5" t="n"/>
      <c r="N2856" s="5" t="n"/>
      <c r="O2856" s="5" t="n"/>
      <c r="P2856" s="5" t="n"/>
      <c r="Q2856" s="5" t="n"/>
      <c r="R2856" s="4" t="n"/>
      <c r="S2856" s="4" t="n"/>
      <c r="T2856" s="5" t="n"/>
      <c r="U2856" s="8">
        <f>IF(AND(V2856=1,D2856&lt;&gt;""),IF(D2856&gt;=corte,TODAY()-D2856,""),"")</f>
        <v/>
      </c>
      <c r="V2856" s="8">
        <f>IF(D2856="",0,IF(OR(AND(P2856&lt;&gt;"",S2856=""),AND(N(J2856)&gt;0,N(K2856)&lt;J2856),OR(M2856="PENDENTE",M2856="PARCIAL"),OR(N2856="PENDENTE",N2856="PARCIAL")),1,0))</f>
        <v/>
      </c>
      <c r="W2856" s="8">
        <f>IF(AND(V2856=1,D2856&lt;&gt;""),IF(D2856&gt;=corte,(B2856="CRÍTICO")*1E9+(100000-D2856)*10000+10000-ROW(),""),"")</f>
        <v/>
      </c>
      <c r="X2856" s="8">
        <f>IF(AND(V2856=1,D2856=pas_data,E2856=pas_turno),10000-ROW(),"")</f>
        <v/>
      </c>
    </row>
    <row r="2857">
      <c r="A2857" s="3">
        <f>IF(D2857="","","TT-"&amp;TEXT(ROW()-1,"00000"))</f>
        <v/>
      </c>
      <c r="B2857" s="3">
        <f>IF(D2857="","",IF(V2857=0,"CONCLUÍDO",IF(D2857&lt;corte,"HISTÓRICO",IF(OR(AND(ISNUMBER(R2857),R2857&lt;TODAY()),AND(OR(N2857="PENDENTE",N2857="PARCIAL"),D2857&lt;TODAY()-1)),"CRÍTICO",IF(OR(AND(P2857&lt;&gt;"",S2857=""),AND(N2857="REALIZADO",M2857="PENDENTE"),AND(ISNUMBER(R2857),R2857=TODAY())),"ATENÇÃO",IF(N(K2857)=0,"PENDENTE","EM ANDAMENTO"))))))</f>
        <v/>
      </c>
      <c r="C2857" s="3">
        <f>IF(D2857="","",IF(V2857=0,"🟢 OK",IF(D2857&lt;corte,"⚪ HISTÓRICO (sem baixa)",IF(AND(ISNUMBER(R2857),R2857&lt;TODAY()),"🔴 PRAZO VENCIDO",IF(AND(OR(N2857="PENDENTE",N2857="PARCIAL"),D2857&lt;TODAY()-1),"🔴 EMBARQUE ATRASADO",IF(AND(N2857="REALIZADO",M2857="PENDENTE"),"🟡 EMBARCADO SEM FATURAR",IF(AND(P2857&lt;&gt;"",S2857="",OR(Q2857="",R2857="")),"🟡 PENDÊNCIA SEM RESPONSÁVEL/PRAZO",IF(AND(ISNUMBER(R2857),R2857=TODAY()),"🟡 VENCE HOJE",IF(AND(P2857&lt;&gt;"",S2857=""),"🟡 PENDÊNCIA ABERTA",IF(AND(N(J2857)&gt;0,N(K2857)&lt;J2857),"🟡 FALTA EXECUTAR",IF(OR(M2857="PENDENTE",M2857="PARCIAL"),"🟡 FATURAMENTO PENDENTE","🟡 EMBARQUE PENDENTE")))))))))))</f>
        <v/>
      </c>
      <c r="D2857" s="4" t="n"/>
      <c r="E2857" s="5" t="n"/>
      <c r="F2857" s="5" t="n"/>
      <c r="G2857" s="5" t="n"/>
      <c r="H2857" s="5" t="n"/>
      <c r="I2857" s="5" t="n"/>
      <c r="J2857" s="6" t="n"/>
      <c r="K2857" s="6" t="n"/>
      <c r="L2857" s="7">
        <f>IF(OR(D2857="",N(J2857)=0),"",MIN(1,N(K2857)/J2857))</f>
        <v/>
      </c>
      <c r="M2857" s="5" t="n"/>
      <c r="N2857" s="5" t="n"/>
      <c r="O2857" s="5" t="n"/>
      <c r="P2857" s="5" t="n"/>
      <c r="Q2857" s="5" t="n"/>
      <c r="R2857" s="4" t="n"/>
      <c r="S2857" s="4" t="n"/>
      <c r="T2857" s="5" t="n"/>
      <c r="U2857" s="8">
        <f>IF(AND(V2857=1,D2857&lt;&gt;""),IF(D2857&gt;=corte,TODAY()-D2857,""),"")</f>
        <v/>
      </c>
      <c r="V2857" s="8">
        <f>IF(D2857="",0,IF(OR(AND(P2857&lt;&gt;"",S2857=""),AND(N(J2857)&gt;0,N(K2857)&lt;J2857),OR(M2857="PENDENTE",M2857="PARCIAL"),OR(N2857="PENDENTE",N2857="PARCIAL")),1,0))</f>
        <v/>
      </c>
      <c r="W2857" s="8">
        <f>IF(AND(V2857=1,D2857&lt;&gt;""),IF(D2857&gt;=corte,(B2857="CRÍTICO")*1E9+(100000-D2857)*10000+10000-ROW(),""),"")</f>
        <v/>
      </c>
      <c r="X2857" s="8">
        <f>IF(AND(V2857=1,D2857=pas_data,E2857=pas_turno),10000-ROW(),"")</f>
        <v/>
      </c>
    </row>
    <row r="2858">
      <c r="A2858" s="3">
        <f>IF(D2858="","","TT-"&amp;TEXT(ROW()-1,"00000"))</f>
        <v/>
      </c>
      <c r="B2858" s="3">
        <f>IF(D2858="","",IF(V2858=0,"CONCLUÍDO",IF(D2858&lt;corte,"HISTÓRICO",IF(OR(AND(ISNUMBER(R2858),R2858&lt;TODAY()),AND(OR(N2858="PENDENTE",N2858="PARCIAL"),D2858&lt;TODAY()-1)),"CRÍTICO",IF(OR(AND(P2858&lt;&gt;"",S2858=""),AND(N2858="REALIZADO",M2858="PENDENTE"),AND(ISNUMBER(R2858),R2858=TODAY())),"ATENÇÃO",IF(N(K2858)=0,"PENDENTE","EM ANDAMENTO"))))))</f>
        <v/>
      </c>
      <c r="C2858" s="3">
        <f>IF(D2858="","",IF(V2858=0,"🟢 OK",IF(D2858&lt;corte,"⚪ HISTÓRICO (sem baixa)",IF(AND(ISNUMBER(R2858),R2858&lt;TODAY()),"🔴 PRAZO VENCIDO",IF(AND(OR(N2858="PENDENTE",N2858="PARCIAL"),D2858&lt;TODAY()-1),"🔴 EMBARQUE ATRASADO",IF(AND(N2858="REALIZADO",M2858="PENDENTE"),"🟡 EMBARCADO SEM FATURAR",IF(AND(P2858&lt;&gt;"",S2858="",OR(Q2858="",R2858="")),"🟡 PENDÊNCIA SEM RESPONSÁVEL/PRAZO",IF(AND(ISNUMBER(R2858),R2858=TODAY()),"🟡 VENCE HOJE",IF(AND(P2858&lt;&gt;"",S2858=""),"🟡 PENDÊNCIA ABERTA",IF(AND(N(J2858)&gt;0,N(K2858)&lt;J2858),"🟡 FALTA EXECUTAR",IF(OR(M2858="PENDENTE",M2858="PARCIAL"),"🟡 FATURAMENTO PENDENTE","🟡 EMBARQUE PENDENTE")))))))))))</f>
        <v/>
      </c>
      <c r="D2858" s="4" t="n"/>
      <c r="E2858" s="5" t="n"/>
      <c r="F2858" s="5" t="n"/>
      <c r="G2858" s="5" t="n"/>
      <c r="H2858" s="5" t="n"/>
      <c r="I2858" s="5" t="n"/>
      <c r="J2858" s="6" t="n"/>
      <c r="K2858" s="6" t="n"/>
      <c r="L2858" s="7">
        <f>IF(OR(D2858="",N(J2858)=0),"",MIN(1,N(K2858)/J2858))</f>
        <v/>
      </c>
      <c r="M2858" s="5" t="n"/>
      <c r="N2858" s="5" t="n"/>
      <c r="O2858" s="5" t="n"/>
      <c r="P2858" s="5" t="n"/>
      <c r="Q2858" s="5" t="n"/>
      <c r="R2858" s="4" t="n"/>
      <c r="S2858" s="4" t="n"/>
      <c r="T2858" s="5" t="n"/>
      <c r="U2858" s="8">
        <f>IF(AND(V2858=1,D2858&lt;&gt;""),IF(D2858&gt;=corte,TODAY()-D2858,""),"")</f>
        <v/>
      </c>
      <c r="V2858" s="8">
        <f>IF(D2858="",0,IF(OR(AND(P2858&lt;&gt;"",S2858=""),AND(N(J2858)&gt;0,N(K2858)&lt;J2858),OR(M2858="PENDENTE",M2858="PARCIAL"),OR(N2858="PENDENTE",N2858="PARCIAL")),1,0))</f>
        <v/>
      </c>
      <c r="W2858" s="8">
        <f>IF(AND(V2858=1,D2858&lt;&gt;""),IF(D2858&gt;=corte,(B2858="CRÍTICO")*1E9+(100000-D2858)*10000+10000-ROW(),""),"")</f>
        <v/>
      </c>
      <c r="X2858" s="8">
        <f>IF(AND(V2858=1,D2858=pas_data,E2858=pas_turno),10000-ROW(),"")</f>
        <v/>
      </c>
    </row>
    <row r="2859">
      <c r="A2859" s="3">
        <f>IF(D2859="","","TT-"&amp;TEXT(ROW()-1,"00000"))</f>
        <v/>
      </c>
      <c r="B2859" s="3">
        <f>IF(D2859="","",IF(V2859=0,"CONCLUÍDO",IF(D2859&lt;corte,"HISTÓRICO",IF(OR(AND(ISNUMBER(R2859),R2859&lt;TODAY()),AND(OR(N2859="PENDENTE",N2859="PARCIAL"),D2859&lt;TODAY()-1)),"CRÍTICO",IF(OR(AND(P2859&lt;&gt;"",S2859=""),AND(N2859="REALIZADO",M2859="PENDENTE"),AND(ISNUMBER(R2859),R2859=TODAY())),"ATENÇÃO",IF(N(K2859)=0,"PENDENTE","EM ANDAMENTO"))))))</f>
        <v/>
      </c>
      <c r="C2859" s="3">
        <f>IF(D2859="","",IF(V2859=0,"🟢 OK",IF(D2859&lt;corte,"⚪ HISTÓRICO (sem baixa)",IF(AND(ISNUMBER(R2859),R2859&lt;TODAY()),"🔴 PRAZO VENCIDO",IF(AND(OR(N2859="PENDENTE",N2859="PARCIAL"),D2859&lt;TODAY()-1),"🔴 EMBARQUE ATRASADO",IF(AND(N2859="REALIZADO",M2859="PENDENTE"),"🟡 EMBARCADO SEM FATURAR",IF(AND(P2859&lt;&gt;"",S2859="",OR(Q2859="",R2859="")),"🟡 PENDÊNCIA SEM RESPONSÁVEL/PRAZO",IF(AND(ISNUMBER(R2859),R2859=TODAY()),"🟡 VENCE HOJE",IF(AND(P2859&lt;&gt;"",S2859=""),"🟡 PENDÊNCIA ABERTA",IF(AND(N(J2859)&gt;0,N(K2859)&lt;J2859),"🟡 FALTA EXECUTAR",IF(OR(M2859="PENDENTE",M2859="PARCIAL"),"🟡 FATURAMENTO PENDENTE","🟡 EMBARQUE PENDENTE")))))))))))</f>
        <v/>
      </c>
      <c r="D2859" s="4" t="n"/>
      <c r="E2859" s="5" t="n"/>
      <c r="F2859" s="5" t="n"/>
      <c r="G2859" s="5" t="n"/>
      <c r="H2859" s="5" t="n"/>
      <c r="I2859" s="5" t="n"/>
      <c r="J2859" s="6" t="n"/>
      <c r="K2859" s="6" t="n"/>
      <c r="L2859" s="7">
        <f>IF(OR(D2859="",N(J2859)=0),"",MIN(1,N(K2859)/J2859))</f>
        <v/>
      </c>
      <c r="M2859" s="5" t="n"/>
      <c r="N2859" s="5" t="n"/>
      <c r="O2859" s="5" t="n"/>
      <c r="P2859" s="5" t="n"/>
      <c r="Q2859" s="5" t="n"/>
      <c r="R2859" s="4" t="n"/>
      <c r="S2859" s="4" t="n"/>
      <c r="T2859" s="5" t="n"/>
      <c r="U2859" s="8">
        <f>IF(AND(V2859=1,D2859&lt;&gt;""),IF(D2859&gt;=corte,TODAY()-D2859,""),"")</f>
        <v/>
      </c>
      <c r="V2859" s="8">
        <f>IF(D2859="",0,IF(OR(AND(P2859&lt;&gt;"",S2859=""),AND(N(J2859)&gt;0,N(K2859)&lt;J2859),OR(M2859="PENDENTE",M2859="PARCIAL"),OR(N2859="PENDENTE",N2859="PARCIAL")),1,0))</f>
        <v/>
      </c>
      <c r="W2859" s="8">
        <f>IF(AND(V2859=1,D2859&lt;&gt;""),IF(D2859&gt;=corte,(B2859="CRÍTICO")*1E9+(100000-D2859)*10000+10000-ROW(),""),"")</f>
        <v/>
      </c>
      <c r="X2859" s="8">
        <f>IF(AND(V2859=1,D2859=pas_data,E2859=pas_turno),10000-ROW(),"")</f>
        <v/>
      </c>
    </row>
    <row r="2860">
      <c r="A2860" s="3">
        <f>IF(D2860="","","TT-"&amp;TEXT(ROW()-1,"00000"))</f>
        <v/>
      </c>
      <c r="B2860" s="3">
        <f>IF(D2860="","",IF(V2860=0,"CONCLUÍDO",IF(D2860&lt;corte,"HISTÓRICO",IF(OR(AND(ISNUMBER(R2860),R2860&lt;TODAY()),AND(OR(N2860="PENDENTE",N2860="PARCIAL"),D2860&lt;TODAY()-1)),"CRÍTICO",IF(OR(AND(P2860&lt;&gt;"",S2860=""),AND(N2860="REALIZADO",M2860="PENDENTE"),AND(ISNUMBER(R2860),R2860=TODAY())),"ATENÇÃO",IF(N(K2860)=0,"PENDENTE","EM ANDAMENTO"))))))</f>
        <v/>
      </c>
      <c r="C2860" s="3">
        <f>IF(D2860="","",IF(V2860=0,"🟢 OK",IF(D2860&lt;corte,"⚪ HISTÓRICO (sem baixa)",IF(AND(ISNUMBER(R2860),R2860&lt;TODAY()),"🔴 PRAZO VENCIDO",IF(AND(OR(N2860="PENDENTE",N2860="PARCIAL"),D2860&lt;TODAY()-1),"🔴 EMBARQUE ATRASADO",IF(AND(N2860="REALIZADO",M2860="PENDENTE"),"🟡 EMBARCADO SEM FATURAR",IF(AND(P2860&lt;&gt;"",S2860="",OR(Q2860="",R2860="")),"🟡 PENDÊNCIA SEM RESPONSÁVEL/PRAZO",IF(AND(ISNUMBER(R2860),R2860=TODAY()),"🟡 VENCE HOJE",IF(AND(P2860&lt;&gt;"",S2860=""),"🟡 PENDÊNCIA ABERTA",IF(AND(N(J2860)&gt;0,N(K2860)&lt;J2860),"🟡 FALTA EXECUTAR",IF(OR(M2860="PENDENTE",M2860="PARCIAL"),"🟡 FATURAMENTO PENDENTE","🟡 EMBARQUE PENDENTE")))))))))))</f>
        <v/>
      </c>
      <c r="D2860" s="4" t="n"/>
      <c r="E2860" s="5" t="n"/>
      <c r="F2860" s="5" t="n"/>
      <c r="G2860" s="5" t="n"/>
      <c r="H2860" s="5" t="n"/>
      <c r="I2860" s="5" t="n"/>
      <c r="J2860" s="6" t="n"/>
      <c r="K2860" s="6" t="n"/>
      <c r="L2860" s="7">
        <f>IF(OR(D2860="",N(J2860)=0),"",MIN(1,N(K2860)/J2860))</f>
        <v/>
      </c>
      <c r="M2860" s="5" t="n"/>
      <c r="N2860" s="5" t="n"/>
      <c r="O2860" s="5" t="n"/>
      <c r="P2860" s="5" t="n"/>
      <c r="Q2860" s="5" t="n"/>
      <c r="R2860" s="4" t="n"/>
      <c r="S2860" s="4" t="n"/>
      <c r="T2860" s="5" t="n"/>
      <c r="U2860" s="8">
        <f>IF(AND(V2860=1,D2860&lt;&gt;""),IF(D2860&gt;=corte,TODAY()-D2860,""),"")</f>
        <v/>
      </c>
      <c r="V2860" s="8">
        <f>IF(D2860="",0,IF(OR(AND(P2860&lt;&gt;"",S2860=""),AND(N(J2860)&gt;0,N(K2860)&lt;J2860),OR(M2860="PENDENTE",M2860="PARCIAL"),OR(N2860="PENDENTE",N2860="PARCIAL")),1,0))</f>
        <v/>
      </c>
      <c r="W2860" s="8">
        <f>IF(AND(V2860=1,D2860&lt;&gt;""),IF(D2860&gt;=corte,(B2860="CRÍTICO")*1E9+(100000-D2860)*10000+10000-ROW(),""),"")</f>
        <v/>
      </c>
      <c r="X2860" s="8">
        <f>IF(AND(V2860=1,D2860=pas_data,E2860=pas_turno),10000-ROW(),"")</f>
        <v/>
      </c>
    </row>
    <row r="2861">
      <c r="A2861" s="3">
        <f>IF(D2861="","","TT-"&amp;TEXT(ROW()-1,"00000"))</f>
        <v/>
      </c>
      <c r="B2861" s="3">
        <f>IF(D2861="","",IF(V2861=0,"CONCLUÍDO",IF(D2861&lt;corte,"HISTÓRICO",IF(OR(AND(ISNUMBER(R2861),R2861&lt;TODAY()),AND(OR(N2861="PENDENTE",N2861="PARCIAL"),D2861&lt;TODAY()-1)),"CRÍTICO",IF(OR(AND(P2861&lt;&gt;"",S2861=""),AND(N2861="REALIZADO",M2861="PENDENTE"),AND(ISNUMBER(R2861),R2861=TODAY())),"ATENÇÃO",IF(N(K2861)=0,"PENDENTE","EM ANDAMENTO"))))))</f>
        <v/>
      </c>
      <c r="C2861" s="3">
        <f>IF(D2861="","",IF(V2861=0,"🟢 OK",IF(D2861&lt;corte,"⚪ HISTÓRICO (sem baixa)",IF(AND(ISNUMBER(R2861),R2861&lt;TODAY()),"🔴 PRAZO VENCIDO",IF(AND(OR(N2861="PENDENTE",N2861="PARCIAL"),D2861&lt;TODAY()-1),"🔴 EMBARQUE ATRASADO",IF(AND(N2861="REALIZADO",M2861="PENDENTE"),"🟡 EMBARCADO SEM FATURAR",IF(AND(P2861&lt;&gt;"",S2861="",OR(Q2861="",R2861="")),"🟡 PENDÊNCIA SEM RESPONSÁVEL/PRAZO",IF(AND(ISNUMBER(R2861),R2861=TODAY()),"🟡 VENCE HOJE",IF(AND(P2861&lt;&gt;"",S2861=""),"🟡 PENDÊNCIA ABERTA",IF(AND(N(J2861)&gt;0,N(K2861)&lt;J2861),"🟡 FALTA EXECUTAR",IF(OR(M2861="PENDENTE",M2861="PARCIAL"),"🟡 FATURAMENTO PENDENTE","🟡 EMBARQUE PENDENTE")))))))))))</f>
        <v/>
      </c>
      <c r="D2861" s="4" t="n"/>
      <c r="E2861" s="5" t="n"/>
      <c r="F2861" s="5" t="n"/>
      <c r="G2861" s="5" t="n"/>
      <c r="H2861" s="5" t="n"/>
      <c r="I2861" s="5" t="n"/>
      <c r="J2861" s="6" t="n"/>
      <c r="K2861" s="6" t="n"/>
      <c r="L2861" s="7">
        <f>IF(OR(D2861="",N(J2861)=0),"",MIN(1,N(K2861)/J2861))</f>
        <v/>
      </c>
      <c r="M2861" s="5" t="n"/>
      <c r="N2861" s="5" t="n"/>
      <c r="O2861" s="5" t="n"/>
      <c r="P2861" s="5" t="n"/>
      <c r="Q2861" s="5" t="n"/>
      <c r="R2861" s="4" t="n"/>
      <c r="S2861" s="4" t="n"/>
      <c r="T2861" s="5" t="n"/>
      <c r="U2861" s="8">
        <f>IF(AND(V2861=1,D2861&lt;&gt;""),IF(D2861&gt;=corte,TODAY()-D2861,""),"")</f>
        <v/>
      </c>
      <c r="V2861" s="8">
        <f>IF(D2861="",0,IF(OR(AND(P2861&lt;&gt;"",S2861=""),AND(N(J2861)&gt;0,N(K2861)&lt;J2861),OR(M2861="PENDENTE",M2861="PARCIAL"),OR(N2861="PENDENTE",N2861="PARCIAL")),1,0))</f>
        <v/>
      </c>
      <c r="W2861" s="8">
        <f>IF(AND(V2861=1,D2861&lt;&gt;""),IF(D2861&gt;=corte,(B2861="CRÍTICO")*1E9+(100000-D2861)*10000+10000-ROW(),""),"")</f>
        <v/>
      </c>
      <c r="X2861" s="8">
        <f>IF(AND(V2861=1,D2861=pas_data,E2861=pas_turno),10000-ROW(),"")</f>
        <v/>
      </c>
    </row>
    <row r="2862">
      <c r="A2862" s="3">
        <f>IF(D2862="","","TT-"&amp;TEXT(ROW()-1,"00000"))</f>
        <v/>
      </c>
      <c r="B2862" s="3">
        <f>IF(D2862="","",IF(V2862=0,"CONCLUÍDO",IF(D2862&lt;corte,"HISTÓRICO",IF(OR(AND(ISNUMBER(R2862),R2862&lt;TODAY()),AND(OR(N2862="PENDENTE",N2862="PARCIAL"),D2862&lt;TODAY()-1)),"CRÍTICO",IF(OR(AND(P2862&lt;&gt;"",S2862=""),AND(N2862="REALIZADO",M2862="PENDENTE"),AND(ISNUMBER(R2862),R2862=TODAY())),"ATENÇÃO",IF(N(K2862)=0,"PENDENTE","EM ANDAMENTO"))))))</f>
        <v/>
      </c>
      <c r="C2862" s="3">
        <f>IF(D2862="","",IF(V2862=0,"🟢 OK",IF(D2862&lt;corte,"⚪ HISTÓRICO (sem baixa)",IF(AND(ISNUMBER(R2862),R2862&lt;TODAY()),"🔴 PRAZO VENCIDO",IF(AND(OR(N2862="PENDENTE",N2862="PARCIAL"),D2862&lt;TODAY()-1),"🔴 EMBARQUE ATRASADO",IF(AND(N2862="REALIZADO",M2862="PENDENTE"),"🟡 EMBARCADO SEM FATURAR",IF(AND(P2862&lt;&gt;"",S2862="",OR(Q2862="",R2862="")),"🟡 PENDÊNCIA SEM RESPONSÁVEL/PRAZO",IF(AND(ISNUMBER(R2862),R2862=TODAY()),"🟡 VENCE HOJE",IF(AND(P2862&lt;&gt;"",S2862=""),"🟡 PENDÊNCIA ABERTA",IF(AND(N(J2862)&gt;0,N(K2862)&lt;J2862),"🟡 FALTA EXECUTAR",IF(OR(M2862="PENDENTE",M2862="PARCIAL"),"🟡 FATURAMENTO PENDENTE","🟡 EMBARQUE PENDENTE")))))))))))</f>
        <v/>
      </c>
      <c r="D2862" s="4" t="n"/>
      <c r="E2862" s="5" t="n"/>
      <c r="F2862" s="5" t="n"/>
      <c r="G2862" s="5" t="n"/>
      <c r="H2862" s="5" t="n"/>
      <c r="I2862" s="5" t="n"/>
      <c r="J2862" s="6" t="n"/>
      <c r="K2862" s="6" t="n"/>
      <c r="L2862" s="7">
        <f>IF(OR(D2862="",N(J2862)=0),"",MIN(1,N(K2862)/J2862))</f>
        <v/>
      </c>
      <c r="M2862" s="5" t="n"/>
      <c r="N2862" s="5" t="n"/>
      <c r="O2862" s="5" t="n"/>
      <c r="P2862" s="5" t="n"/>
      <c r="Q2862" s="5" t="n"/>
      <c r="R2862" s="4" t="n"/>
      <c r="S2862" s="4" t="n"/>
      <c r="T2862" s="5" t="n"/>
      <c r="U2862" s="8">
        <f>IF(AND(V2862=1,D2862&lt;&gt;""),IF(D2862&gt;=corte,TODAY()-D2862,""),"")</f>
        <v/>
      </c>
      <c r="V2862" s="8">
        <f>IF(D2862="",0,IF(OR(AND(P2862&lt;&gt;"",S2862=""),AND(N(J2862)&gt;0,N(K2862)&lt;J2862),OR(M2862="PENDENTE",M2862="PARCIAL"),OR(N2862="PENDENTE",N2862="PARCIAL")),1,0))</f>
        <v/>
      </c>
      <c r="W2862" s="8">
        <f>IF(AND(V2862=1,D2862&lt;&gt;""),IF(D2862&gt;=corte,(B2862="CRÍTICO")*1E9+(100000-D2862)*10000+10000-ROW(),""),"")</f>
        <v/>
      </c>
      <c r="X2862" s="8">
        <f>IF(AND(V2862=1,D2862=pas_data,E2862=pas_turno),10000-ROW(),"")</f>
        <v/>
      </c>
    </row>
    <row r="2863">
      <c r="A2863" s="3">
        <f>IF(D2863="","","TT-"&amp;TEXT(ROW()-1,"00000"))</f>
        <v/>
      </c>
      <c r="B2863" s="3">
        <f>IF(D2863="","",IF(V2863=0,"CONCLUÍDO",IF(D2863&lt;corte,"HISTÓRICO",IF(OR(AND(ISNUMBER(R2863),R2863&lt;TODAY()),AND(OR(N2863="PENDENTE",N2863="PARCIAL"),D2863&lt;TODAY()-1)),"CRÍTICO",IF(OR(AND(P2863&lt;&gt;"",S2863=""),AND(N2863="REALIZADO",M2863="PENDENTE"),AND(ISNUMBER(R2863),R2863=TODAY())),"ATENÇÃO",IF(N(K2863)=0,"PENDENTE","EM ANDAMENTO"))))))</f>
        <v/>
      </c>
      <c r="C2863" s="3">
        <f>IF(D2863="","",IF(V2863=0,"🟢 OK",IF(D2863&lt;corte,"⚪ HISTÓRICO (sem baixa)",IF(AND(ISNUMBER(R2863),R2863&lt;TODAY()),"🔴 PRAZO VENCIDO",IF(AND(OR(N2863="PENDENTE",N2863="PARCIAL"),D2863&lt;TODAY()-1),"🔴 EMBARQUE ATRASADO",IF(AND(N2863="REALIZADO",M2863="PENDENTE"),"🟡 EMBARCADO SEM FATURAR",IF(AND(P2863&lt;&gt;"",S2863="",OR(Q2863="",R2863="")),"🟡 PENDÊNCIA SEM RESPONSÁVEL/PRAZO",IF(AND(ISNUMBER(R2863),R2863=TODAY()),"🟡 VENCE HOJE",IF(AND(P2863&lt;&gt;"",S2863=""),"🟡 PENDÊNCIA ABERTA",IF(AND(N(J2863)&gt;0,N(K2863)&lt;J2863),"🟡 FALTA EXECUTAR",IF(OR(M2863="PENDENTE",M2863="PARCIAL"),"🟡 FATURAMENTO PENDENTE","🟡 EMBARQUE PENDENTE")))))))))))</f>
        <v/>
      </c>
      <c r="D2863" s="4" t="n"/>
      <c r="E2863" s="5" t="n"/>
      <c r="F2863" s="5" t="n"/>
      <c r="G2863" s="5" t="n"/>
      <c r="H2863" s="5" t="n"/>
      <c r="I2863" s="5" t="n"/>
      <c r="J2863" s="6" t="n"/>
      <c r="K2863" s="6" t="n"/>
      <c r="L2863" s="7">
        <f>IF(OR(D2863="",N(J2863)=0),"",MIN(1,N(K2863)/J2863))</f>
        <v/>
      </c>
      <c r="M2863" s="5" t="n"/>
      <c r="N2863" s="5" t="n"/>
      <c r="O2863" s="5" t="n"/>
      <c r="P2863" s="5" t="n"/>
      <c r="Q2863" s="5" t="n"/>
      <c r="R2863" s="4" t="n"/>
      <c r="S2863" s="4" t="n"/>
      <c r="T2863" s="5" t="n"/>
      <c r="U2863" s="8">
        <f>IF(AND(V2863=1,D2863&lt;&gt;""),IF(D2863&gt;=corte,TODAY()-D2863,""),"")</f>
        <v/>
      </c>
      <c r="V2863" s="8">
        <f>IF(D2863="",0,IF(OR(AND(P2863&lt;&gt;"",S2863=""),AND(N(J2863)&gt;0,N(K2863)&lt;J2863),OR(M2863="PENDENTE",M2863="PARCIAL"),OR(N2863="PENDENTE",N2863="PARCIAL")),1,0))</f>
        <v/>
      </c>
      <c r="W2863" s="8">
        <f>IF(AND(V2863=1,D2863&lt;&gt;""),IF(D2863&gt;=corte,(B2863="CRÍTICO")*1E9+(100000-D2863)*10000+10000-ROW(),""),"")</f>
        <v/>
      </c>
      <c r="X2863" s="8">
        <f>IF(AND(V2863=1,D2863=pas_data,E2863=pas_turno),10000-ROW(),"")</f>
        <v/>
      </c>
    </row>
    <row r="2864">
      <c r="A2864" s="3">
        <f>IF(D2864="","","TT-"&amp;TEXT(ROW()-1,"00000"))</f>
        <v/>
      </c>
      <c r="B2864" s="3">
        <f>IF(D2864="","",IF(V2864=0,"CONCLUÍDO",IF(D2864&lt;corte,"HISTÓRICO",IF(OR(AND(ISNUMBER(R2864),R2864&lt;TODAY()),AND(OR(N2864="PENDENTE",N2864="PARCIAL"),D2864&lt;TODAY()-1)),"CRÍTICO",IF(OR(AND(P2864&lt;&gt;"",S2864=""),AND(N2864="REALIZADO",M2864="PENDENTE"),AND(ISNUMBER(R2864),R2864=TODAY())),"ATENÇÃO",IF(N(K2864)=0,"PENDENTE","EM ANDAMENTO"))))))</f>
        <v/>
      </c>
      <c r="C2864" s="3">
        <f>IF(D2864="","",IF(V2864=0,"🟢 OK",IF(D2864&lt;corte,"⚪ HISTÓRICO (sem baixa)",IF(AND(ISNUMBER(R2864),R2864&lt;TODAY()),"🔴 PRAZO VENCIDO",IF(AND(OR(N2864="PENDENTE",N2864="PARCIAL"),D2864&lt;TODAY()-1),"🔴 EMBARQUE ATRASADO",IF(AND(N2864="REALIZADO",M2864="PENDENTE"),"🟡 EMBARCADO SEM FATURAR",IF(AND(P2864&lt;&gt;"",S2864="",OR(Q2864="",R2864="")),"🟡 PENDÊNCIA SEM RESPONSÁVEL/PRAZO",IF(AND(ISNUMBER(R2864),R2864=TODAY()),"🟡 VENCE HOJE",IF(AND(P2864&lt;&gt;"",S2864=""),"🟡 PENDÊNCIA ABERTA",IF(AND(N(J2864)&gt;0,N(K2864)&lt;J2864),"🟡 FALTA EXECUTAR",IF(OR(M2864="PENDENTE",M2864="PARCIAL"),"🟡 FATURAMENTO PENDENTE","🟡 EMBARQUE PENDENTE")))))))))))</f>
        <v/>
      </c>
      <c r="D2864" s="4" t="n"/>
      <c r="E2864" s="5" t="n"/>
      <c r="F2864" s="5" t="n"/>
      <c r="G2864" s="5" t="n"/>
      <c r="H2864" s="5" t="n"/>
      <c r="I2864" s="5" t="n"/>
      <c r="J2864" s="6" t="n"/>
      <c r="K2864" s="6" t="n"/>
      <c r="L2864" s="7">
        <f>IF(OR(D2864="",N(J2864)=0),"",MIN(1,N(K2864)/J2864))</f>
        <v/>
      </c>
      <c r="M2864" s="5" t="n"/>
      <c r="N2864" s="5" t="n"/>
      <c r="O2864" s="5" t="n"/>
      <c r="P2864" s="5" t="n"/>
      <c r="Q2864" s="5" t="n"/>
      <c r="R2864" s="4" t="n"/>
      <c r="S2864" s="4" t="n"/>
      <c r="T2864" s="5" t="n"/>
      <c r="U2864" s="8">
        <f>IF(AND(V2864=1,D2864&lt;&gt;""),IF(D2864&gt;=corte,TODAY()-D2864,""),"")</f>
        <v/>
      </c>
      <c r="V2864" s="8">
        <f>IF(D2864="",0,IF(OR(AND(P2864&lt;&gt;"",S2864=""),AND(N(J2864)&gt;0,N(K2864)&lt;J2864),OR(M2864="PENDENTE",M2864="PARCIAL"),OR(N2864="PENDENTE",N2864="PARCIAL")),1,0))</f>
        <v/>
      </c>
      <c r="W2864" s="8">
        <f>IF(AND(V2864=1,D2864&lt;&gt;""),IF(D2864&gt;=corte,(B2864="CRÍTICO")*1E9+(100000-D2864)*10000+10000-ROW(),""),"")</f>
        <v/>
      </c>
      <c r="X2864" s="8">
        <f>IF(AND(V2864=1,D2864=pas_data,E2864=pas_turno),10000-ROW(),"")</f>
        <v/>
      </c>
    </row>
    <row r="2865">
      <c r="A2865" s="3">
        <f>IF(D2865="","","TT-"&amp;TEXT(ROW()-1,"00000"))</f>
        <v/>
      </c>
      <c r="B2865" s="3">
        <f>IF(D2865="","",IF(V2865=0,"CONCLUÍDO",IF(D2865&lt;corte,"HISTÓRICO",IF(OR(AND(ISNUMBER(R2865),R2865&lt;TODAY()),AND(OR(N2865="PENDENTE",N2865="PARCIAL"),D2865&lt;TODAY()-1)),"CRÍTICO",IF(OR(AND(P2865&lt;&gt;"",S2865=""),AND(N2865="REALIZADO",M2865="PENDENTE"),AND(ISNUMBER(R2865),R2865=TODAY())),"ATENÇÃO",IF(N(K2865)=0,"PENDENTE","EM ANDAMENTO"))))))</f>
        <v/>
      </c>
      <c r="C2865" s="3">
        <f>IF(D2865="","",IF(V2865=0,"🟢 OK",IF(D2865&lt;corte,"⚪ HISTÓRICO (sem baixa)",IF(AND(ISNUMBER(R2865),R2865&lt;TODAY()),"🔴 PRAZO VENCIDO",IF(AND(OR(N2865="PENDENTE",N2865="PARCIAL"),D2865&lt;TODAY()-1),"🔴 EMBARQUE ATRASADO",IF(AND(N2865="REALIZADO",M2865="PENDENTE"),"🟡 EMBARCADO SEM FATURAR",IF(AND(P2865&lt;&gt;"",S2865="",OR(Q2865="",R2865="")),"🟡 PENDÊNCIA SEM RESPONSÁVEL/PRAZO",IF(AND(ISNUMBER(R2865),R2865=TODAY()),"🟡 VENCE HOJE",IF(AND(P2865&lt;&gt;"",S2865=""),"🟡 PENDÊNCIA ABERTA",IF(AND(N(J2865)&gt;0,N(K2865)&lt;J2865),"🟡 FALTA EXECUTAR",IF(OR(M2865="PENDENTE",M2865="PARCIAL"),"🟡 FATURAMENTO PENDENTE","🟡 EMBARQUE PENDENTE")))))))))))</f>
        <v/>
      </c>
      <c r="D2865" s="4" t="n"/>
      <c r="E2865" s="5" t="n"/>
      <c r="F2865" s="5" t="n"/>
      <c r="G2865" s="5" t="n"/>
      <c r="H2865" s="5" t="n"/>
      <c r="I2865" s="5" t="n"/>
      <c r="J2865" s="6" t="n"/>
      <c r="K2865" s="6" t="n"/>
      <c r="L2865" s="7">
        <f>IF(OR(D2865="",N(J2865)=0),"",MIN(1,N(K2865)/J2865))</f>
        <v/>
      </c>
      <c r="M2865" s="5" t="n"/>
      <c r="N2865" s="5" t="n"/>
      <c r="O2865" s="5" t="n"/>
      <c r="P2865" s="5" t="n"/>
      <c r="Q2865" s="5" t="n"/>
      <c r="R2865" s="4" t="n"/>
      <c r="S2865" s="4" t="n"/>
      <c r="T2865" s="5" t="n"/>
      <c r="U2865" s="8">
        <f>IF(AND(V2865=1,D2865&lt;&gt;""),IF(D2865&gt;=corte,TODAY()-D2865,""),"")</f>
        <v/>
      </c>
      <c r="V2865" s="8">
        <f>IF(D2865="",0,IF(OR(AND(P2865&lt;&gt;"",S2865=""),AND(N(J2865)&gt;0,N(K2865)&lt;J2865),OR(M2865="PENDENTE",M2865="PARCIAL"),OR(N2865="PENDENTE",N2865="PARCIAL")),1,0))</f>
        <v/>
      </c>
      <c r="W2865" s="8">
        <f>IF(AND(V2865=1,D2865&lt;&gt;""),IF(D2865&gt;=corte,(B2865="CRÍTICO")*1E9+(100000-D2865)*10000+10000-ROW(),""),"")</f>
        <v/>
      </c>
      <c r="X2865" s="8">
        <f>IF(AND(V2865=1,D2865=pas_data,E2865=pas_turno),10000-ROW(),"")</f>
        <v/>
      </c>
    </row>
    <row r="2866">
      <c r="A2866" s="3">
        <f>IF(D2866="","","TT-"&amp;TEXT(ROW()-1,"00000"))</f>
        <v/>
      </c>
      <c r="B2866" s="3">
        <f>IF(D2866="","",IF(V2866=0,"CONCLUÍDO",IF(D2866&lt;corte,"HISTÓRICO",IF(OR(AND(ISNUMBER(R2866),R2866&lt;TODAY()),AND(OR(N2866="PENDENTE",N2866="PARCIAL"),D2866&lt;TODAY()-1)),"CRÍTICO",IF(OR(AND(P2866&lt;&gt;"",S2866=""),AND(N2866="REALIZADO",M2866="PENDENTE"),AND(ISNUMBER(R2866),R2866=TODAY())),"ATENÇÃO",IF(N(K2866)=0,"PENDENTE","EM ANDAMENTO"))))))</f>
        <v/>
      </c>
      <c r="C2866" s="3">
        <f>IF(D2866="","",IF(V2866=0,"🟢 OK",IF(D2866&lt;corte,"⚪ HISTÓRICO (sem baixa)",IF(AND(ISNUMBER(R2866),R2866&lt;TODAY()),"🔴 PRAZO VENCIDO",IF(AND(OR(N2866="PENDENTE",N2866="PARCIAL"),D2866&lt;TODAY()-1),"🔴 EMBARQUE ATRASADO",IF(AND(N2866="REALIZADO",M2866="PENDENTE"),"🟡 EMBARCADO SEM FATURAR",IF(AND(P2866&lt;&gt;"",S2866="",OR(Q2866="",R2866="")),"🟡 PENDÊNCIA SEM RESPONSÁVEL/PRAZO",IF(AND(ISNUMBER(R2866),R2866=TODAY()),"🟡 VENCE HOJE",IF(AND(P2866&lt;&gt;"",S2866=""),"🟡 PENDÊNCIA ABERTA",IF(AND(N(J2866)&gt;0,N(K2866)&lt;J2866),"🟡 FALTA EXECUTAR",IF(OR(M2866="PENDENTE",M2866="PARCIAL"),"🟡 FATURAMENTO PENDENTE","🟡 EMBARQUE PENDENTE")))))))))))</f>
        <v/>
      </c>
      <c r="D2866" s="4" t="n"/>
      <c r="E2866" s="5" t="n"/>
      <c r="F2866" s="5" t="n"/>
      <c r="G2866" s="5" t="n"/>
      <c r="H2866" s="5" t="n"/>
      <c r="I2866" s="5" t="n"/>
      <c r="J2866" s="6" t="n"/>
      <c r="K2866" s="6" t="n"/>
      <c r="L2866" s="7">
        <f>IF(OR(D2866="",N(J2866)=0),"",MIN(1,N(K2866)/J2866))</f>
        <v/>
      </c>
      <c r="M2866" s="5" t="n"/>
      <c r="N2866" s="5" t="n"/>
      <c r="O2866" s="5" t="n"/>
      <c r="P2866" s="5" t="n"/>
      <c r="Q2866" s="5" t="n"/>
      <c r="R2866" s="4" t="n"/>
      <c r="S2866" s="4" t="n"/>
      <c r="T2866" s="5" t="n"/>
      <c r="U2866" s="8">
        <f>IF(AND(V2866=1,D2866&lt;&gt;""),IF(D2866&gt;=corte,TODAY()-D2866,""),"")</f>
        <v/>
      </c>
      <c r="V2866" s="8">
        <f>IF(D2866="",0,IF(OR(AND(P2866&lt;&gt;"",S2866=""),AND(N(J2866)&gt;0,N(K2866)&lt;J2866),OR(M2866="PENDENTE",M2866="PARCIAL"),OR(N2866="PENDENTE",N2866="PARCIAL")),1,0))</f>
        <v/>
      </c>
      <c r="W2866" s="8">
        <f>IF(AND(V2866=1,D2866&lt;&gt;""),IF(D2866&gt;=corte,(B2866="CRÍTICO")*1E9+(100000-D2866)*10000+10000-ROW(),""),"")</f>
        <v/>
      </c>
      <c r="X2866" s="8">
        <f>IF(AND(V2866=1,D2866=pas_data,E2866=pas_turno),10000-ROW(),"")</f>
        <v/>
      </c>
    </row>
    <row r="2867">
      <c r="A2867" s="3">
        <f>IF(D2867="","","TT-"&amp;TEXT(ROW()-1,"00000"))</f>
        <v/>
      </c>
      <c r="B2867" s="3">
        <f>IF(D2867="","",IF(V2867=0,"CONCLUÍDO",IF(D2867&lt;corte,"HISTÓRICO",IF(OR(AND(ISNUMBER(R2867),R2867&lt;TODAY()),AND(OR(N2867="PENDENTE",N2867="PARCIAL"),D2867&lt;TODAY()-1)),"CRÍTICO",IF(OR(AND(P2867&lt;&gt;"",S2867=""),AND(N2867="REALIZADO",M2867="PENDENTE"),AND(ISNUMBER(R2867),R2867=TODAY())),"ATENÇÃO",IF(N(K2867)=0,"PENDENTE","EM ANDAMENTO"))))))</f>
        <v/>
      </c>
      <c r="C2867" s="3">
        <f>IF(D2867="","",IF(V2867=0,"🟢 OK",IF(D2867&lt;corte,"⚪ HISTÓRICO (sem baixa)",IF(AND(ISNUMBER(R2867),R2867&lt;TODAY()),"🔴 PRAZO VENCIDO",IF(AND(OR(N2867="PENDENTE",N2867="PARCIAL"),D2867&lt;TODAY()-1),"🔴 EMBARQUE ATRASADO",IF(AND(N2867="REALIZADO",M2867="PENDENTE"),"🟡 EMBARCADO SEM FATURAR",IF(AND(P2867&lt;&gt;"",S2867="",OR(Q2867="",R2867="")),"🟡 PENDÊNCIA SEM RESPONSÁVEL/PRAZO",IF(AND(ISNUMBER(R2867),R2867=TODAY()),"🟡 VENCE HOJE",IF(AND(P2867&lt;&gt;"",S2867=""),"🟡 PENDÊNCIA ABERTA",IF(AND(N(J2867)&gt;0,N(K2867)&lt;J2867),"🟡 FALTA EXECUTAR",IF(OR(M2867="PENDENTE",M2867="PARCIAL"),"🟡 FATURAMENTO PENDENTE","🟡 EMBARQUE PENDENTE")))))))))))</f>
        <v/>
      </c>
      <c r="D2867" s="4" t="n"/>
      <c r="E2867" s="5" t="n"/>
      <c r="F2867" s="5" t="n"/>
      <c r="G2867" s="5" t="n"/>
      <c r="H2867" s="5" t="n"/>
      <c r="I2867" s="5" t="n"/>
      <c r="J2867" s="6" t="n"/>
      <c r="K2867" s="6" t="n"/>
      <c r="L2867" s="7">
        <f>IF(OR(D2867="",N(J2867)=0),"",MIN(1,N(K2867)/J2867))</f>
        <v/>
      </c>
      <c r="M2867" s="5" t="n"/>
      <c r="N2867" s="5" t="n"/>
      <c r="O2867" s="5" t="n"/>
      <c r="P2867" s="5" t="n"/>
      <c r="Q2867" s="5" t="n"/>
      <c r="R2867" s="4" t="n"/>
      <c r="S2867" s="4" t="n"/>
      <c r="T2867" s="5" t="n"/>
      <c r="U2867" s="8">
        <f>IF(AND(V2867=1,D2867&lt;&gt;""),IF(D2867&gt;=corte,TODAY()-D2867,""),"")</f>
        <v/>
      </c>
      <c r="V2867" s="8">
        <f>IF(D2867="",0,IF(OR(AND(P2867&lt;&gt;"",S2867=""),AND(N(J2867)&gt;0,N(K2867)&lt;J2867),OR(M2867="PENDENTE",M2867="PARCIAL"),OR(N2867="PENDENTE",N2867="PARCIAL")),1,0))</f>
        <v/>
      </c>
      <c r="W2867" s="8">
        <f>IF(AND(V2867=1,D2867&lt;&gt;""),IF(D2867&gt;=corte,(B2867="CRÍTICO")*1E9+(100000-D2867)*10000+10000-ROW(),""),"")</f>
        <v/>
      </c>
      <c r="X2867" s="8">
        <f>IF(AND(V2867=1,D2867=pas_data,E2867=pas_turno),10000-ROW(),"")</f>
        <v/>
      </c>
    </row>
    <row r="2868">
      <c r="A2868" s="3">
        <f>IF(D2868="","","TT-"&amp;TEXT(ROW()-1,"00000"))</f>
        <v/>
      </c>
      <c r="B2868" s="3">
        <f>IF(D2868="","",IF(V2868=0,"CONCLUÍDO",IF(D2868&lt;corte,"HISTÓRICO",IF(OR(AND(ISNUMBER(R2868),R2868&lt;TODAY()),AND(OR(N2868="PENDENTE",N2868="PARCIAL"),D2868&lt;TODAY()-1)),"CRÍTICO",IF(OR(AND(P2868&lt;&gt;"",S2868=""),AND(N2868="REALIZADO",M2868="PENDENTE"),AND(ISNUMBER(R2868),R2868=TODAY())),"ATENÇÃO",IF(N(K2868)=0,"PENDENTE","EM ANDAMENTO"))))))</f>
        <v/>
      </c>
      <c r="C2868" s="3">
        <f>IF(D2868="","",IF(V2868=0,"🟢 OK",IF(D2868&lt;corte,"⚪ HISTÓRICO (sem baixa)",IF(AND(ISNUMBER(R2868),R2868&lt;TODAY()),"🔴 PRAZO VENCIDO",IF(AND(OR(N2868="PENDENTE",N2868="PARCIAL"),D2868&lt;TODAY()-1),"🔴 EMBARQUE ATRASADO",IF(AND(N2868="REALIZADO",M2868="PENDENTE"),"🟡 EMBARCADO SEM FATURAR",IF(AND(P2868&lt;&gt;"",S2868="",OR(Q2868="",R2868="")),"🟡 PENDÊNCIA SEM RESPONSÁVEL/PRAZO",IF(AND(ISNUMBER(R2868),R2868=TODAY()),"🟡 VENCE HOJE",IF(AND(P2868&lt;&gt;"",S2868=""),"🟡 PENDÊNCIA ABERTA",IF(AND(N(J2868)&gt;0,N(K2868)&lt;J2868),"🟡 FALTA EXECUTAR",IF(OR(M2868="PENDENTE",M2868="PARCIAL"),"🟡 FATURAMENTO PENDENTE","🟡 EMBARQUE PENDENTE")))))))))))</f>
        <v/>
      </c>
      <c r="D2868" s="4" t="n"/>
      <c r="E2868" s="5" t="n"/>
      <c r="F2868" s="5" t="n"/>
      <c r="G2868" s="5" t="n"/>
      <c r="H2868" s="5" t="n"/>
      <c r="I2868" s="5" t="n"/>
      <c r="J2868" s="6" t="n"/>
      <c r="K2868" s="6" t="n"/>
      <c r="L2868" s="7">
        <f>IF(OR(D2868="",N(J2868)=0),"",MIN(1,N(K2868)/J2868))</f>
        <v/>
      </c>
      <c r="M2868" s="5" t="n"/>
      <c r="N2868" s="5" t="n"/>
      <c r="O2868" s="5" t="n"/>
      <c r="P2868" s="5" t="n"/>
      <c r="Q2868" s="5" t="n"/>
      <c r="R2868" s="4" t="n"/>
      <c r="S2868" s="4" t="n"/>
      <c r="T2868" s="5" t="n"/>
      <c r="U2868" s="8">
        <f>IF(AND(V2868=1,D2868&lt;&gt;""),IF(D2868&gt;=corte,TODAY()-D2868,""),"")</f>
        <v/>
      </c>
      <c r="V2868" s="8">
        <f>IF(D2868="",0,IF(OR(AND(P2868&lt;&gt;"",S2868=""),AND(N(J2868)&gt;0,N(K2868)&lt;J2868),OR(M2868="PENDENTE",M2868="PARCIAL"),OR(N2868="PENDENTE",N2868="PARCIAL")),1,0))</f>
        <v/>
      </c>
      <c r="W2868" s="8">
        <f>IF(AND(V2868=1,D2868&lt;&gt;""),IF(D2868&gt;=corte,(B2868="CRÍTICO")*1E9+(100000-D2868)*10000+10000-ROW(),""),"")</f>
        <v/>
      </c>
      <c r="X2868" s="8">
        <f>IF(AND(V2868=1,D2868=pas_data,E2868=pas_turno),10000-ROW(),"")</f>
        <v/>
      </c>
    </row>
    <row r="2869">
      <c r="A2869" s="3">
        <f>IF(D2869="","","TT-"&amp;TEXT(ROW()-1,"00000"))</f>
        <v/>
      </c>
      <c r="B2869" s="3">
        <f>IF(D2869="","",IF(V2869=0,"CONCLUÍDO",IF(D2869&lt;corte,"HISTÓRICO",IF(OR(AND(ISNUMBER(R2869),R2869&lt;TODAY()),AND(OR(N2869="PENDENTE",N2869="PARCIAL"),D2869&lt;TODAY()-1)),"CRÍTICO",IF(OR(AND(P2869&lt;&gt;"",S2869=""),AND(N2869="REALIZADO",M2869="PENDENTE"),AND(ISNUMBER(R2869),R2869=TODAY())),"ATENÇÃO",IF(N(K2869)=0,"PENDENTE","EM ANDAMENTO"))))))</f>
        <v/>
      </c>
      <c r="C2869" s="3">
        <f>IF(D2869="","",IF(V2869=0,"🟢 OK",IF(D2869&lt;corte,"⚪ HISTÓRICO (sem baixa)",IF(AND(ISNUMBER(R2869),R2869&lt;TODAY()),"🔴 PRAZO VENCIDO",IF(AND(OR(N2869="PENDENTE",N2869="PARCIAL"),D2869&lt;TODAY()-1),"🔴 EMBARQUE ATRASADO",IF(AND(N2869="REALIZADO",M2869="PENDENTE"),"🟡 EMBARCADO SEM FATURAR",IF(AND(P2869&lt;&gt;"",S2869="",OR(Q2869="",R2869="")),"🟡 PENDÊNCIA SEM RESPONSÁVEL/PRAZO",IF(AND(ISNUMBER(R2869),R2869=TODAY()),"🟡 VENCE HOJE",IF(AND(P2869&lt;&gt;"",S2869=""),"🟡 PENDÊNCIA ABERTA",IF(AND(N(J2869)&gt;0,N(K2869)&lt;J2869),"🟡 FALTA EXECUTAR",IF(OR(M2869="PENDENTE",M2869="PARCIAL"),"🟡 FATURAMENTO PENDENTE","🟡 EMBARQUE PENDENTE")))))))))))</f>
        <v/>
      </c>
      <c r="D2869" s="4" t="n"/>
      <c r="E2869" s="5" t="n"/>
      <c r="F2869" s="5" t="n"/>
      <c r="G2869" s="5" t="n"/>
      <c r="H2869" s="5" t="n"/>
      <c r="I2869" s="5" t="n"/>
      <c r="J2869" s="6" t="n"/>
      <c r="K2869" s="6" t="n"/>
      <c r="L2869" s="7">
        <f>IF(OR(D2869="",N(J2869)=0),"",MIN(1,N(K2869)/J2869))</f>
        <v/>
      </c>
      <c r="M2869" s="5" t="n"/>
      <c r="N2869" s="5" t="n"/>
      <c r="O2869" s="5" t="n"/>
      <c r="P2869" s="5" t="n"/>
      <c r="Q2869" s="5" t="n"/>
      <c r="R2869" s="4" t="n"/>
      <c r="S2869" s="4" t="n"/>
      <c r="T2869" s="5" t="n"/>
      <c r="U2869" s="8">
        <f>IF(AND(V2869=1,D2869&lt;&gt;""),IF(D2869&gt;=corte,TODAY()-D2869,""),"")</f>
        <v/>
      </c>
      <c r="V2869" s="8">
        <f>IF(D2869="",0,IF(OR(AND(P2869&lt;&gt;"",S2869=""),AND(N(J2869)&gt;0,N(K2869)&lt;J2869),OR(M2869="PENDENTE",M2869="PARCIAL"),OR(N2869="PENDENTE",N2869="PARCIAL")),1,0))</f>
        <v/>
      </c>
      <c r="W2869" s="8">
        <f>IF(AND(V2869=1,D2869&lt;&gt;""),IF(D2869&gt;=corte,(B2869="CRÍTICO")*1E9+(100000-D2869)*10000+10000-ROW(),""),"")</f>
        <v/>
      </c>
      <c r="X2869" s="8">
        <f>IF(AND(V2869=1,D2869=pas_data,E2869=pas_turno),10000-ROW(),"")</f>
        <v/>
      </c>
    </row>
    <row r="2870">
      <c r="A2870" s="3">
        <f>IF(D2870="","","TT-"&amp;TEXT(ROW()-1,"00000"))</f>
        <v/>
      </c>
      <c r="B2870" s="3">
        <f>IF(D2870="","",IF(V2870=0,"CONCLUÍDO",IF(D2870&lt;corte,"HISTÓRICO",IF(OR(AND(ISNUMBER(R2870),R2870&lt;TODAY()),AND(OR(N2870="PENDENTE",N2870="PARCIAL"),D2870&lt;TODAY()-1)),"CRÍTICO",IF(OR(AND(P2870&lt;&gt;"",S2870=""),AND(N2870="REALIZADO",M2870="PENDENTE"),AND(ISNUMBER(R2870),R2870=TODAY())),"ATENÇÃO",IF(N(K2870)=0,"PENDENTE","EM ANDAMENTO"))))))</f>
        <v/>
      </c>
      <c r="C2870" s="3">
        <f>IF(D2870="","",IF(V2870=0,"🟢 OK",IF(D2870&lt;corte,"⚪ HISTÓRICO (sem baixa)",IF(AND(ISNUMBER(R2870),R2870&lt;TODAY()),"🔴 PRAZO VENCIDO",IF(AND(OR(N2870="PENDENTE",N2870="PARCIAL"),D2870&lt;TODAY()-1),"🔴 EMBARQUE ATRASADO",IF(AND(N2870="REALIZADO",M2870="PENDENTE"),"🟡 EMBARCADO SEM FATURAR",IF(AND(P2870&lt;&gt;"",S2870="",OR(Q2870="",R2870="")),"🟡 PENDÊNCIA SEM RESPONSÁVEL/PRAZO",IF(AND(ISNUMBER(R2870),R2870=TODAY()),"🟡 VENCE HOJE",IF(AND(P2870&lt;&gt;"",S2870=""),"🟡 PENDÊNCIA ABERTA",IF(AND(N(J2870)&gt;0,N(K2870)&lt;J2870),"🟡 FALTA EXECUTAR",IF(OR(M2870="PENDENTE",M2870="PARCIAL"),"🟡 FATURAMENTO PENDENTE","🟡 EMBARQUE PENDENTE")))))))))))</f>
        <v/>
      </c>
      <c r="D2870" s="4" t="n"/>
      <c r="E2870" s="5" t="n"/>
      <c r="F2870" s="5" t="n"/>
      <c r="G2870" s="5" t="n"/>
      <c r="H2870" s="5" t="n"/>
      <c r="I2870" s="5" t="n"/>
      <c r="J2870" s="6" t="n"/>
      <c r="K2870" s="6" t="n"/>
      <c r="L2870" s="7">
        <f>IF(OR(D2870="",N(J2870)=0),"",MIN(1,N(K2870)/J2870))</f>
        <v/>
      </c>
      <c r="M2870" s="5" t="n"/>
      <c r="N2870" s="5" t="n"/>
      <c r="O2870" s="5" t="n"/>
      <c r="P2870" s="5" t="n"/>
      <c r="Q2870" s="5" t="n"/>
      <c r="R2870" s="4" t="n"/>
      <c r="S2870" s="4" t="n"/>
      <c r="T2870" s="5" t="n"/>
      <c r="U2870" s="8">
        <f>IF(AND(V2870=1,D2870&lt;&gt;""),IF(D2870&gt;=corte,TODAY()-D2870,""),"")</f>
        <v/>
      </c>
      <c r="V2870" s="8">
        <f>IF(D2870="",0,IF(OR(AND(P2870&lt;&gt;"",S2870=""),AND(N(J2870)&gt;0,N(K2870)&lt;J2870),OR(M2870="PENDENTE",M2870="PARCIAL"),OR(N2870="PENDENTE",N2870="PARCIAL")),1,0))</f>
        <v/>
      </c>
      <c r="W2870" s="8">
        <f>IF(AND(V2870=1,D2870&lt;&gt;""),IF(D2870&gt;=corte,(B2870="CRÍTICO")*1E9+(100000-D2870)*10000+10000-ROW(),""),"")</f>
        <v/>
      </c>
      <c r="X2870" s="8">
        <f>IF(AND(V2870=1,D2870=pas_data,E2870=pas_turno),10000-ROW(),"")</f>
        <v/>
      </c>
    </row>
    <row r="2871">
      <c r="A2871" s="3">
        <f>IF(D2871="","","TT-"&amp;TEXT(ROW()-1,"00000"))</f>
        <v/>
      </c>
      <c r="B2871" s="3">
        <f>IF(D2871="","",IF(V2871=0,"CONCLUÍDO",IF(D2871&lt;corte,"HISTÓRICO",IF(OR(AND(ISNUMBER(R2871),R2871&lt;TODAY()),AND(OR(N2871="PENDENTE",N2871="PARCIAL"),D2871&lt;TODAY()-1)),"CRÍTICO",IF(OR(AND(P2871&lt;&gt;"",S2871=""),AND(N2871="REALIZADO",M2871="PENDENTE"),AND(ISNUMBER(R2871),R2871=TODAY())),"ATENÇÃO",IF(N(K2871)=0,"PENDENTE","EM ANDAMENTO"))))))</f>
        <v/>
      </c>
      <c r="C2871" s="3">
        <f>IF(D2871="","",IF(V2871=0,"🟢 OK",IF(D2871&lt;corte,"⚪ HISTÓRICO (sem baixa)",IF(AND(ISNUMBER(R2871),R2871&lt;TODAY()),"🔴 PRAZO VENCIDO",IF(AND(OR(N2871="PENDENTE",N2871="PARCIAL"),D2871&lt;TODAY()-1),"🔴 EMBARQUE ATRASADO",IF(AND(N2871="REALIZADO",M2871="PENDENTE"),"🟡 EMBARCADO SEM FATURAR",IF(AND(P2871&lt;&gt;"",S2871="",OR(Q2871="",R2871="")),"🟡 PENDÊNCIA SEM RESPONSÁVEL/PRAZO",IF(AND(ISNUMBER(R2871),R2871=TODAY()),"🟡 VENCE HOJE",IF(AND(P2871&lt;&gt;"",S2871=""),"🟡 PENDÊNCIA ABERTA",IF(AND(N(J2871)&gt;0,N(K2871)&lt;J2871),"🟡 FALTA EXECUTAR",IF(OR(M2871="PENDENTE",M2871="PARCIAL"),"🟡 FATURAMENTO PENDENTE","🟡 EMBARQUE PENDENTE")))))))))))</f>
        <v/>
      </c>
      <c r="D2871" s="4" t="n"/>
      <c r="E2871" s="5" t="n"/>
      <c r="F2871" s="5" t="n"/>
      <c r="G2871" s="5" t="n"/>
      <c r="H2871" s="5" t="n"/>
      <c r="I2871" s="5" t="n"/>
      <c r="J2871" s="6" t="n"/>
      <c r="K2871" s="6" t="n"/>
      <c r="L2871" s="7">
        <f>IF(OR(D2871="",N(J2871)=0),"",MIN(1,N(K2871)/J2871))</f>
        <v/>
      </c>
      <c r="M2871" s="5" t="n"/>
      <c r="N2871" s="5" t="n"/>
      <c r="O2871" s="5" t="n"/>
      <c r="P2871" s="5" t="n"/>
      <c r="Q2871" s="5" t="n"/>
      <c r="R2871" s="4" t="n"/>
      <c r="S2871" s="4" t="n"/>
      <c r="T2871" s="5" t="n"/>
      <c r="U2871" s="8">
        <f>IF(AND(V2871=1,D2871&lt;&gt;""),IF(D2871&gt;=corte,TODAY()-D2871,""),"")</f>
        <v/>
      </c>
      <c r="V2871" s="8">
        <f>IF(D2871="",0,IF(OR(AND(P2871&lt;&gt;"",S2871=""),AND(N(J2871)&gt;0,N(K2871)&lt;J2871),OR(M2871="PENDENTE",M2871="PARCIAL"),OR(N2871="PENDENTE",N2871="PARCIAL")),1,0))</f>
        <v/>
      </c>
      <c r="W2871" s="8">
        <f>IF(AND(V2871=1,D2871&lt;&gt;""),IF(D2871&gt;=corte,(B2871="CRÍTICO")*1E9+(100000-D2871)*10000+10000-ROW(),""),"")</f>
        <v/>
      </c>
      <c r="X2871" s="8">
        <f>IF(AND(V2871=1,D2871=pas_data,E2871=pas_turno),10000-ROW(),"")</f>
        <v/>
      </c>
    </row>
    <row r="2872">
      <c r="A2872" s="3">
        <f>IF(D2872="","","TT-"&amp;TEXT(ROW()-1,"00000"))</f>
        <v/>
      </c>
      <c r="B2872" s="3">
        <f>IF(D2872="","",IF(V2872=0,"CONCLUÍDO",IF(D2872&lt;corte,"HISTÓRICO",IF(OR(AND(ISNUMBER(R2872),R2872&lt;TODAY()),AND(OR(N2872="PENDENTE",N2872="PARCIAL"),D2872&lt;TODAY()-1)),"CRÍTICO",IF(OR(AND(P2872&lt;&gt;"",S2872=""),AND(N2872="REALIZADO",M2872="PENDENTE"),AND(ISNUMBER(R2872),R2872=TODAY())),"ATENÇÃO",IF(N(K2872)=0,"PENDENTE","EM ANDAMENTO"))))))</f>
        <v/>
      </c>
      <c r="C2872" s="3">
        <f>IF(D2872="","",IF(V2872=0,"🟢 OK",IF(D2872&lt;corte,"⚪ HISTÓRICO (sem baixa)",IF(AND(ISNUMBER(R2872),R2872&lt;TODAY()),"🔴 PRAZO VENCIDO",IF(AND(OR(N2872="PENDENTE",N2872="PARCIAL"),D2872&lt;TODAY()-1),"🔴 EMBARQUE ATRASADO",IF(AND(N2872="REALIZADO",M2872="PENDENTE"),"🟡 EMBARCADO SEM FATURAR",IF(AND(P2872&lt;&gt;"",S2872="",OR(Q2872="",R2872="")),"🟡 PENDÊNCIA SEM RESPONSÁVEL/PRAZO",IF(AND(ISNUMBER(R2872),R2872=TODAY()),"🟡 VENCE HOJE",IF(AND(P2872&lt;&gt;"",S2872=""),"🟡 PENDÊNCIA ABERTA",IF(AND(N(J2872)&gt;0,N(K2872)&lt;J2872),"🟡 FALTA EXECUTAR",IF(OR(M2872="PENDENTE",M2872="PARCIAL"),"🟡 FATURAMENTO PENDENTE","🟡 EMBARQUE PENDENTE")))))))))))</f>
        <v/>
      </c>
      <c r="D2872" s="4" t="n"/>
      <c r="E2872" s="5" t="n"/>
      <c r="F2872" s="5" t="n"/>
      <c r="G2872" s="5" t="n"/>
      <c r="H2872" s="5" t="n"/>
      <c r="I2872" s="5" t="n"/>
      <c r="J2872" s="6" t="n"/>
      <c r="K2872" s="6" t="n"/>
      <c r="L2872" s="7">
        <f>IF(OR(D2872="",N(J2872)=0),"",MIN(1,N(K2872)/J2872))</f>
        <v/>
      </c>
      <c r="M2872" s="5" t="n"/>
      <c r="N2872" s="5" t="n"/>
      <c r="O2872" s="5" t="n"/>
      <c r="P2872" s="5" t="n"/>
      <c r="Q2872" s="5" t="n"/>
      <c r="R2872" s="4" t="n"/>
      <c r="S2872" s="4" t="n"/>
      <c r="T2872" s="5" t="n"/>
      <c r="U2872" s="8">
        <f>IF(AND(V2872=1,D2872&lt;&gt;""),IF(D2872&gt;=corte,TODAY()-D2872,""),"")</f>
        <v/>
      </c>
      <c r="V2872" s="8">
        <f>IF(D2872="",0,IF(OR(AND(P2872&lt;&gt;"",S2872=""),AND(N(J2872)&gt;0,N(K2872)&lt;J2872),OR(M2872="PENDENTE",M2872="PARCIAL"),OR(N2872="PENDENTE",N2872="PARCIAL")),1,0))</f>
        <v/>
      </c>
      <c r="W2872" s="8">
        <f>IF(AND(V2872=1,D2872&lt;&gt;""),IF(D2872&gt;=corte,(B2872="CRÍTICO")*1E9+(100000-D2872)*10000+10000-ROW(),""),"")</f>
        <v/>
      </c>
      <c r="X2872" s="8">
        <f>IF(AND(V2872=1,D2872=pas_data,E2872=pas_turno),10000-ROW(),"")</f>
        <v/>
      </c>
    </row>
    <row r="2873">
      <c r="A2873" s="3">
        <f>IF(D2873="","","TT-"&amp;TEXT(ROW()-1,"00000"))</f>
        <v/>
      </c>
      <c r="B2873" s="3">
        <f>IF(D2873="","",IF(V2873=0,"CONCLUÍDO",IF(D2873&lt;corte,"HISTÓRICO",IF(OR(AND(ISNUMBER(R2873),R2873&lt;TODAY()),AND(OR(N2873="PENDENTE",N2873="PARCIAL"),D2873&lt;TODAY()-1)),"CRÍTICO",IF(OR(AND(P2873&lt;&gt;"",S2873=""),AND(N2873="REALIZADO",M2873="PENDENTE"),AND(ISNUMBER(R2873),R2873=TODAY())),"ATENÇÃO",IF(N(K2873)=0,"PENDENTE","EM ANDAMENTO"))))))</f>
        <v/>
      </c>
      <c r="C2873" s="3">
        <f>IF(D2873="","",IF(V2873=0,"🟢 OK",IF(D2873&lt;corte,"⚪ HISTÓRICO (sem baixa)",IF(AND(ISNUMBER(R2873),R2873&lt;TODAY()),"🔴 PRAZO VENCIDO",IF(AND(OR(N2873="PENDENTE",N2873="PARCIAL"),D2873&lt;TODAY()-1),"🔴 EMBARQUE ATRASADO",IF(AND(N2873="REALIZADO",M2873="PENDENTE"),"🟡 EMBARCADO SEM FATURAR",IF(AND(P2873&lt;&gt;"",S2873="",OR(Q2873="",R2873="")),"🟡 PENDÊNCIA SEM RESPONSÁVEL/PRAZO",IF(AND(ISNUMBER(R2873),R2873=TODAY()),"🟡 VENCE HOJE",IF(AND(P2873&lt;&gt;"",S2873=""),"🟡 PENDÊNCIA ABERTA",IF(AND(N(J2873)&gt;0,N(K2873)&lt;J2873),"🟡 FALTA EXECUTAR",IF(OR(M2873="PENDENTE",M2873="PARCIAL"),"🟡 FATURAMENTO PENDENTE","🟡 EMBARQUE PENDENTE")))))))))))</f>
        <v/>
      </c>
      <c r="D2873" s="4" t="n"/>
      <c r="E2873" s="5" t="n"/>
      <c r="F2873" s="5" t="n"/>
      <c r="G2873" s="5" t="n"/>
      <c r="H2873" s="5" t="n"/>
      <c r="I2873" s="5" t="n"/>
      <c r="J2873" s="6" t="n"/>
      <c r="K2873" s="6" t="n"/>
      <c r="L2873" s="7">
        <f>IF(OR(D2873="",N(J2873)=0),"",MIN(1,N(K2873)/J2873))</f>
        <v/>
      </c>
      <c r="M2873" s="5" t="n"/>
      <c r="N2873" s="5" t="n"/>
      <c r="O2873" s="5" t="n"/>
      <c r="P2873" s="5" t="n"/>
      <c r="Q2873" s="5" t="n"/>
      <c r="R2873" s="4" t="n"/>
      <c r="S2873" s="4" t="n"/>
      <c r="T2873" s="5" t="n"/>
      <c r="U2873" s="8">
        <f>IF(AND(V2873=1,D2873&lt;&gt;""),IF(D2873&gt;=corte,TODAY()-D2873,""),"")</f>
        <v/>
      </c>
      <c r="V2873" s="8">
        <f>IF(D2873="",0,IF(OR(AND(P2873&lt;&gt;"",S2873=""),AND(N(J2873)&gt;0,N(K2873)&lt;J2873),OR(M2873="PENDENTE",M2873="PARCIAL"),OR(N2873="PENDENTE",N2873="PARCIAL")),1,0))</f>
        <v/>
      </c>
      <c r="W2873" s="8">
        <f>IF(AND(V2873=1,D2873&lt;&gt;""),IF(D2873&gt;=corte,(B2873="CRÍTICO")*1E9+(100000-D2873)*10000+10000-ROW(),""),"")</f>
        <v/>
      </c>
      <c r="X2873" s="8">
        <f>IF(AND(V2873=1,D2873=pas_data,E2873=pas_turno),10000-ROW(),"")</f>
        <v/>
      </c>
    </row>
    <row r="2874">
      <c r="A2874" s="3">
        <f>IF(D2874="","","TT-"&amp;TEXT(ROW()-1,"00000"))</f>
        <v/>
      </c>
      <c r="B2874" s="3">
        <f>IF(D2874="","",IF(V2874=0,"CONCLUÍDO",IF(D2874&lt;corte,"HISTÓRICO",IF(OR(AND(ISNUMBER(R2874),R2874&lt;TODAY()),AND(OR(N2874="PENDENTE",N2874="PARCIAL"),D2874&lt;TODAY()-1)),"CRÍTICO",IF(OR(AND(P2874&lt;&gt;"",S2874=""),AND(N2874="REALIZADO",M2874="PENDENTE"),AND(ISNUMBER(R2874),R2874=TODAY())),"ATENÇÃO",IF(N(K2874)=0,"PENDENTE","EM ANDAMENTO"))))))</f>
        <v/>
      </c>
      <c r="C2874" s="3">
        <f>IF(D2874="","",IF(V2874=0,"🟢 OK",IF(D2874&lt;corte,"⚪ HISTÓRICO (sem baixa)",IF(AND(ISNUMBER(R2874),R2874&lt;TODAY()),"🔴 PRAZO VENCIDO",IF(AND(OR(N2874="PENDENTE",N2874="PARCIAL"),D2874&lt;TODAY()-1),"🔴 EMBARQUE ATRASADO",IF(AND(N2874="REALIZADO",M2874="PENDENTE"),"🟡 EMBARCADO SEM FATURAR",IF(AND(P2874&lt;&gt;"",S2874="",OR(Q2874="",R2874="")),"🟡 PENDÊNCIA SEM RESPONSÁVEL/PRAZO",IF(AND(ISNUMBER(R2874),R2874=TODAY()),"🟡 VENCE HOJE",IF(AND(P2874&lt;&gt;"",S2874=""),"🟡 PENDÊNCIA ABERTA",IF(AND(N(J2874)&gt;0,N(K2874)&lt;J2874),"🟡 FALTA EXECUTAR",IF(OR(M2874="PENDENTE",M2874="PARCIAL"),"🟡 FATURAMENTO PENDENTE","🟡 EMBARQUE PENDENTE")))))))))))</f>
        <v/>
      </c>
      <c r="D2874" s="4" t="n"/>
      <c r="E2874" s="5" t="n"/>
      <c r="F2874" s="5" t="n"/>
      <c r="G2874" s="5" t="n"/>
      <c r="H2874" s="5" t="n"/>
      <c r="I2874" s="5" t="n"/>
      <c r="J2874" s="6" t="n"/>
      <c r="K2874" s="6" t="n"/>
      <c r="L2874" s="7">
        <f>IF(OR(D2874="",N(J2874)=0),"",MIN(1,N(K2874)/J2874))</f>
        <v/>
      </c>
      <c r="M2874" s="5" t="n"/>
      <c r="N2874" s="5" t="n"/>
      <c r="O2874" s="5" t="n"/>
      <c r="P2874" s="5" t="n"/>
      <c r="Q2874" s="5" t="n"/>
      <c r="R2874" s="4" t="n"/>
      <c r="S2874" s="4" t="n"/>
      <c r="T2874" s="5" t="n"/>
      <c r="U2874" s="8">
        <f>IF(AND(V2874=1,D2874&lt;&gt;""),IF(D2874&gt;=corte,TODAY()-D2874,""),"")</f>
        <v/>
      </c>
      <c r="V2874" s="8">
        <f>IF(D2874="",0,IF(OR(AND(P2874&lt;&gt;"",S2874=""),AND(N(J2874)&gt;0,N(K2874)&lt;J2874),OR(M2874="PENDENTE",M2874="PARCIAL"),OR(N2874="PENDENTE",N2874="PARCIAL")),1,0))</f>
        <v/>
      </c>
      <c r="W2874" s="8">
        <f>IF(AND(V2874=1,D2874&lt;&gt;""),IF(D2874&gt;=corte,(B2874="CRÍTICO")*1E9+(100000-D2874)*10000+10000-ROW(),""),"")</f>
        <v/>
      </c>
      <c r="X2874" s="8">
        <f>IF(AND(V2874=1,D2874=pas_data,E2874=pas_turno),10000-ROW(),"")</f>
        <v/>
      </c>
    </row>
    <row r="2875">
      <c r="A2875" s="3">
        <f>IF(D2875="","","TT-"&amp;TEXT(ROW()-1,"00000"))</f>
        <v/>
      </c>
      <c r="B2875" s="3">
        <f>IF(D2875="","",IF(V2875=0,"CONCLUÍDO",IF(D2875&lt;corte,"HISTÓRICO",IF(OR(AND(ISNUMBER(R2875),R2875&lt;TODAY()),AND(OR(N2875="PENDENTE",N2875="PARCIAL"),D2875&lt;TODAY()-1)),"CRÍTICO",IF(OR(AND(P2875&lt;&gt;"",S2875=""),AND(N2875="REALIZADO",M2875="PENDENTE"),AND(ISNUMBER(R2875),R2875=TODAY())),"ATENÇÃO",IF(N(K2875)=0,"PENDENTE","EM ANDAMENTO"))))))</f>
        <v/>
      </c>
      <c r="C2875" s="3">
        <f>IF(D2875="","",IF(V2875=0,"🟢 OK",IF(D2875&lt;corte,"⚪ HISTÓRICO (sem baixa)",IF(AND(ISNUMBER(R2875),R2875&lt;TODAY()),"🔴 PRAZO VENCIDO",IF(AND(OR(N2875="PENDENTE",N2875="PARCIAL"),D2875&lt;TODAY()-1),"🔴 EMBARQUE ATRASADO",IF(AND(N2875="REALIZADO",M2875="PENDENTE"),"🟡 EMBARCADO SEM FATURAR",IF(AND(P2875&lt;&gt;"",S2875="",OR(Q2875="",R2875="")),"🟡 PENDÊNCIA SEM RESPONSÁVEL/PRAZO",IF(AND(ISNUMBER(R2875),R2875=TODAY()),"🟡 VENCE HOJE",IF(AND(P2875&lt;&gt;"",S2875=""),"🟡 PENDÊNCIA ABERTA",IF(AND(N(J2875)&gt;0,N(K2875)&lt;J2875),"🟡 FALTA EXECUTAR",IF(OR(M2875="PENDENTE",M2875="PARCIAL"),"🟡 FATURAMENTO PENDENTE","🟡 EMBARQUE PENDENTE")))))))))))</f>
        <v/>
      </c>
      <c r="D2875" s="4" t="n"/>
      <c r="E2875" s="5" t="n"/>
      <c r="F2875" s="5" t="n"/>
      <c r="G2875" s="5" t="n"/>
      <c r="H2875" s="5" t="n"/>
      <c r="I2875" s="5" t="n"/>
      <c r="J2875" s="6" t="n"/>
      <c r="K2875" s="6" t="n"/>
      <c r="L2875" s="7">
        <f>IF(OR(D2875="",N(J2875)=0),"",MIN(1,N(K2875)/J2875))</f>
        <v/>
      </c>
      <c r="M2875" s="5" t="n"/>
      <c r="N2875" s="5" t="n"/>
      <c r="O2875" s="5" t="n"/>
      <c r="P2875" s="5" t="n"/>
      <c r="Q2875" s="5" t="n"/>
      <c r="R2875" s="4" t="n"/>
      <c r="S2875" s="4" t="n"/>
      <c r="T2875" s="5" t="n"/>
      <c r="U2875" s="8">
        <f>IF(AND(V2875=1,D2875&lt;&gt;""),IF(D2875&gt;=corte,TODAY()-D2875,""),"")</f>
        <v/>
      </c>
      <c r="V2875" s="8">
        <f>IF(D2875="",0,IF(OR(AND(P2875&lt;&gt;"",S2875=""),AND(N(J2875)&gt;0,N(K2875)&lt;J2875),OR(M2875="PENDENTE",M2875="PARCIAL"),OR(N2875="PENDENTE",N2875="PARCIAL")),1,0))</f>
        <v/>
      </c>
      <c r="W2875" s="8">
        <f>IF(AND(V2875=1,D2875&lt;&gt;""),IF(D2875&gt;=corte,(B2875="CRÍTICO")*1E9+(100000-D2875)*10000+10000-ROW(),""),"")</f>
        <v/>
      </c>
      <c r="X2875" s="8">
        <f>IF(AND(V2875=1,D2875=pas_data,E2875=pas_turno),10000-ROW(),"")</f>
        <v/>
      </c>
    </row>
    <row r="2876">
      <c r="A2876" s="3">
        <f>IF(D2876="","","TT-"&amp;TEXT(ROW()-1,"00000"))</f>
        <v/>
      </c>
      <c r="B2876" s="3">
        <f>IF(D2876="","",IF(V2876=0,"CONCLUÍDO",IF(D2876&lt;corte,"HISTÓRICO",IF(OR(AND(ISNUMBER(R2876),R2876&lt;TODAY()),AND(OR(N2876="PENDENTE",N2876="PARCIAL"),D2876&lt;TODAY()-1)),"CRÍTICO",IF(OR(AND(P2876&lt;&gt;"",S2876=""),AND(N2876="REALIZADO",M2876="PENDENTE"),AND(ISNUMBER(R2876),R2876=TODAY())),"ATENÇÃO",IF(N(K2876)=0,"PENDENTE","EM ANDAMENTO"))))))</f>
        <v/>
      </c>
      <c r="C2876" s="3">
        <f>IF(D2876="","",IF(V2876=0,"🟢 OK",IF(D2876&lt;corte,"⚪ HISTÓRICO (sem baixa)",IF(AND(ISNUMBER(R2876),R2876&lt;TODAY()),"🔴 PRAZO VENCIDO",IF(AND(OR(N2876="PENDENTE",N2876="PARCIAL"),D2876&lt;TODAY()-1),"🔴 EMBARQUE ATRASADO",IF(AND(N2876="REALIZADO",M2876="PENDENTE"),"🟡 EMBARCADO SEM FATURAR",IF(AND(P2876&lt;&gt;"",S2876="",OR(Q2876="",R2876="")),"🟡 PENDÊNCIA SEM RESPONSÁVEL/PRAZO",IF(AND(ISNUMBER(R2876),R2876=TODAY()),"🟡 VENCE HOJE",IF(AND(P2876&lt;&gt;"",S2876=""),"🟡 PENDÊNCIA ABERTA",IF(AND(N(J2876)&gt;0,N(K2876)&lt;J2876),"🟡 FALTA EXECUTAR",IF(OR(M2876="PENDENTE",M2876="PARCIAL"),"🟡 FATURAMENTO PENDENTE","🟡 EMBARQUE PENDENTE")))))))))))</f>
        <v/>
      </c>
      <c r="D2876" s="4" t="n"/>
      <c r="E2876" s="5" t="n"/>
      <c r="F2876" s="5" t="n"/>
      <c r="G2876" s="5" t="n"/>
      <c r="H2876" s="5" t="n"/>
      <c r="I2876" s="5" t="n"/>
      <c r="J2876" s="6" t="n"/>
      <c r="K2876" s="6" t="n"/>
      <c r="L2876" s="7">
        <f>IF(OR(D2876="",N(J2876)=0),"",MIN(1,N(K2876)/J2876))</f>
        <v/>
      </c>
      <c r="M2876" s="5" t="n"/>
      <c r="N2876" s="5" t="n"/>
      <c r="O2876" s="5" t="n"/>
      <c r="P2876" s="5" t="n"/>
      <c r="Q2876" s="5" t="n"/>
      <c r="R2876" s="4" t="n"/>
      <c r="S2876" s="4" t="n"/>
      <c r="T2876" s="5" t="n"/>
      <c r="U2876" s="8">
        <f>IF(AND(V2876=1,D2876&lt;&gt;""),IF(D2876&gt;=corte,TODAY()-D2876,""),"")</f>
        <v/>
      </c>
      <c r="V2876" s="8">
        <f>IF(D2876="",0,IF(OR(AND(P2876&lt;&gt;"",S2876=""),AND(N(J2876)&gt;0,N(K2876)&lt;J2876),OR(M2876="PENDENTE",M2876="PARCIAL"),OR(N2876="PENDENTE",N2876="PARCIAL")),1,0))</f>
        <v/>
      </c>
      <c r="W2876" s="8">
        <f>IF(AND(V2876=1,D2876&lt;&gt;""),IF(D2876&gt;=corte,(B2876="CRÍTICO")*1E9+(100000-D2876)*10000+10000-ROW(),""),"")</f>
        <v/>
      </c>
      <c r="X2876" s="8">
        <f>IF(AND(V2876=1,D2876=pas_data,E2876=pas_turno),10000-ROW(),"")</f>
        <v/>
      </c>
    </row>
    <row r="2877">
      <c r="A2877" s="3">
        <f>IF(D2877="","","TT-"&amp;TEXT(ROW()-1,"00000"))</f>
        <v/>
      </c>
      <c r="B2877" s="3">
        <f>IF(D2877="","",IF(V2877=0,"CONCLUÍDO",IF(D2877&lt;corte,"HISTÓRICO",IF(OR(AND(ISNUMBER(R2877),R2877&lt;TODAY()),AND(OR(N2877="PENDENTE",N2877="PARCIAL"),D2877&lt;TODAY()-1)),"CRÍTICO",IF(OR(AND(P2877&lt;&gt;"",S2877=""),AND(N2877="REALIZADO",M2877="PENDENTE"),AND(ISNUMBER(R2877),R2877=TODAY())),"ATENÇÃO",IF(N(K2877)=0,"PENDENTE","EM ANDAMENTO"))))))</f>
        <v/>
      </c>
      <c r="C2877" s="3">
        <f>IF(D2877="","",IF(V2877=0,"🟢 OK",IF(D2877&lt;corte,"⚪ HISTÓRICO (sem baixa)",IF(AND(ISNUMBER(R2877),R2877&lt;TODAY()),"🔴 PRAZO VENCIDO",IF(AND(OR(N2877="PENDENTE",N2877="PARCIAL"),D2877&lt;TODAY()-1),"🔴 EMBARQUE ATRASADO",IF(AND(N2877="REALIZADO",M2877="PENDENTE"),"🟡 EMBARCADO SEM FATURAR",IF(AND(P2877&lt;&gt;"",S2877="",OR(Q2877="",R2877="")),"🟡 PENDÊNCIA SEM RESPONSÁVEL/PRAZO",IF(AND(ISNUMBER(R2877),R2877=TODAY()),"🟡 VENCE HOJE",IF(AND(P2877&lt;&gt;"",S2877=""),"🟡 PENDÊNCIA ABERTA",IF(AND(N(J2877)&gt;0,N(K2877)&lt;J2877),"🟡 FALTA EXECUTAR",IF(OR(M2877="PENDENTE",M2877="PARCIAL"),"🟡 FATURAMENTO PENDENTE","🟡 EMBARQUE PENDENTE")))))))))))</f>
        <v/>
      </c>
      <c r="D2877" s="4" t="n"/>
      <c r="E2877" s="5" t="n"/>
      <c r="F2877" s="5" t="n"/>
      <c r="G2877" s="5" t="n"/>
      <c r="H2877" s="5" t="n"/>
      <c r="I2877" s="5" t="n"/>
      <c r="J2877" s="6" t="n"/>
      <c r="K2877" s="6" t="n"/>
      <c r="L2877" s="7">
        <f>IF(OR(D2877="",N(J2877)=0),"",MIN(1,N(K2877)/J2877))</f>
        <v/>
      </c>
      <c r="M2877" s="5" t="n"/>
      <c r="N2877" s="5" t="n"/>
      <c r="O2877" s="5" t="n"/>
      <c r="P2877" s="5" t="n"/>
      <c r="Q2877" s="5" t="n"/>
      <c r="R2877" s="4" t="n"/>
      <c r="S2877" s="4" t="n"/>
      <c r="T2877" s="5" t="n"/>
      <c r="U2877" s="8">
        <f>IF(AND(V2877=1,D2877&lt;&gt;""),IF(D2877&gt;=corte,TODAY()-D2877,""),"")</f>
        <v/>
      </c>
      <c r="V2877" s="8">
        <f>IF(D2877="",0,IF(OR(AND(P2877&lt;&gt;"",S2877=""),AND(N(J2877)&gt;0,N(K2877)&lt;J2877),OR(M2877="PENDENTE",M2877="PARCIAL"),OR(N2877="PENDENTE",N2877="PARCIAL")),1,0))</f>
        <v/>
      </c>
      <c r="W2877" s="8">
        <f>IF(AND(V2877=1,D2877&lt;&gt;""),IF(D2877&gt;=corte,(B2877="CRÍTICO")*1E9+(100000-D2877)*10000+10000-ROW(),""),"")</f>
        <v/>
      </c>
      <c r="X2877" s="8">
        <f>IF(AND(V2877=1,D2877=pas_data,E2877=pas_turno),10000-ROW(),"")</f>
        <v/>
      </c>
    </row>
    <row r="2878">
      <c r="A2878" s="3">
        <f>IF(D2878="","","TT-"&amp;TEXT(ROW()-1,"00000"))</f>
        <v/>
      </c>
      <c r="B2878" s="3">
        <f>IF(D2878="","",IF(V2878=0,"CONCLUÍDO",IF(D2878&lt;corte,"HISTÓRICO",IF(OR(AND(ISNUMBER(R2878),R2878&lt;TODAY()),AND(OR(N2878="PENDENTE",N2878="PARCIAL"),D2878&lt;TODAY()-1)),"CRÍTICO",IF(OR(AND(P2878&lt;&gt;"",S2878=""),AND(N2878="REALIZADO",M2878="PENDENTE"),AND(ISNUMBER(R2878),R2878=TODAY())),"ATENÇÃO",IF(N(K2878)=0,"PENDENTE","EM ANDAMENTO"))))))</f>
        <v/>
      </c>
      <c r="C2878" s="3">
        <f>IF(D2878="","",IF(V2878=0,"🟢 OK",IF(D2878&lt;corte,"⚪ HISTÓRICO (sem baixa)",IF(AND(ISNUMBER(R2878),R2878&lt;TODAY()),"🔴 PRAZO VENCIDO",IF(AND(OR(N2878="PENDENTE",N2878="PARCIAL"),D2878&lt;TODAY()-1),"🔴 EMBARQUE ATRASADO",IF(AND(N2878="REALIZADO",M2878="PENDENTE"),"🟡 EMBARCADO SEM FATURAR",IF(AND(P2878&lt;&gt;"",S2878="",OR(Q2878="",R2878="")),"🟡 PENDÊNCIA SEM RESPONSÁVEL/PRAZO",IF(AND(ISNUMBER(R2878),R2878=TODAY()),"🟡 VENCE HOJE",IF(AND(P2878&lt;&gt;"",S2878=""),"🟡 PENDÊNCIA ABERTA",IF(AND(N(J2878)&gt;0,N(K2878)&lt;J2878),"🟡 FALTA EXECUTAR",IF(OR(M2878="PENDENTE",M2878="PARCIAL"),"🟡 FATURAMENTO PENDENTE","🟡 EMBARQUE PENDENTE")))))))))))</f>
        <v/>
      </c>
      <c r="D2878" s="4" t="n"/>
      <c r="E2878" s="5" t="n"/>
      <c r="F2878" s="5" t="n"/>
      <c r="G2878" s="5" t="n"/>
      <c r="H2878" s="5" t="n"/>
      <c r="I2878" s="5" t="n"/>
      <c r="J2878" s="6" t="n"/>
      <c r="K2878" s="6" t="n"/>
      <c r="L2878" s="7">
        <f>IF(OR(D2878="",N(J2878)=0),"",MIN(1,N(K2878)/J2878))</f>
        <v/>
      </c>
      <c r="M2878" s="5" t="n"/>
      <c r="N2878" s="5" t="n"/>
      <c r="O2878" s="5" t="n"/>
      <c r="P2878" s="5" t="n"/>
      <c r="Q2878" s="5" t="n"/>
      <c r="R2878" s="4" t="n"/>
      <c r="S2878" s="4" t="n"/>
      <c r="T2878" s="5" t="n"/>
      <c r="U2878" s="8">
        <f>IF(AND(V2878=1,D2878&lt;&gt;""),IF(D2878&gt;=corte,TODAY()-D2878,""),"")</f>
        <v/>
      </c>
      <c r="V2878" s="8">
        <f>IF(D2878="",0,IF(OR(AND(P2878&lt;&gt;"",S2878=""),AND(N(J2878)&gt;0,N(K2878)&lt;J2878),OR(M2878="PENDENTE",M2878="PARCIAL"),OR(N2878="PENDENTE",N2878="PARCIAL")),1,0))</f>
        <v/>
      </c>
      <c r="W2878" s="8">
        <f>IF(AND(V2878=1,D2878&lt;&gt;""),IF(D2878&gt;=corte,(B2878="CRÍTICO")*1E9+(100000-D2878)*10000+10000-ROW(),""),"")</f>
        <v/>
      </c>
      <c r="X2878" s="8">
        <f>IF(AND(V2878=1,D2878=pas_data,E2878=pas_turno),10000-ROW(),"")</f>
        <v/>
      </c>
    </row>
    <row r="2879">
      <c r="A2879" s="3">
        <f>IF(D2879="","","TT-"&amp;TEXT(ROW()-1,"00000"))</f>
        <v/>
      </c>
      <c r="B2879" s="3">
        <f>IF(D2879="","",IF(V2879=0,"CONCLUÍDO",IF(D2879&lt;corte,"HISTÓRICO",IF(OR(AND(ISNUMBER(R2879),R2879&lt;TODAY()),AND(OR(N2879="PENDENTE",N2879="PARCIAL"),D2879&lt;TODAY()-1)),"CRÍTICO",IF(OR(AND(P2879&lt;&gt;"",S2879=""),AND(N2879="REALIZADO",M2879="PENDENTE"),AND(ISNUMBER(R2879),R2879=TODAY())),"ATENÇÃO",IF(N(K2879)=0,"PENDENTE","EM ANDAMENTO"))))))</f>
        <v/>
      </c>
      <c r="C2879" s="3">
        <f>IF(D2879="","",IF(V2879=0,"🟢 OK",IF(D2879&lt;corte,"⚪ HISTÓRICO (sem baixa)",IF(AND(ISNUMBER(R2879),R2879&lt;TODAY()),"🔴 PRAZO VENCIDO",IF(AND(OR(N2879="PENDENTE",N2879="PARCIAL"),D2879&lt;TODAY()-1),"🔴 EMBARQUE ATRASADO",IF(AND(N2879="REALIZADO",M2879="PENDENTE"),"🟡 EMBARCADO SEM FATURAR",IF(AND(P2879&lt;&gt;"",S2879="",OR(Q2879="",R2879="")),"🟡 PENDÊNCIA SEM RESPONSÁVEL/PRAZO",IF(AND(ISNUMBER(R2879),R2879=TODAY()),"🟡 VENCE HOJE",IF(AND(P2879&lt;&gt;"",S2879=""),"🟡 PENDÊNCIA ABERTA",IF(AND(N(J2879)&gt;0,N(K2879)&lt;J2879),"🟡 FALTA EXECUTAR",IF(OR(M2879="PENDENTE",M2879="PARCIAL"),"🟡 FATURAMENTO PENDENTE","🟡 EMBARQUE PENDENTE")))))))))))</f>
        <v/>
      </c>
      <c r="D2879" s="4" t="n"/>
      <c r="E2879" s="5" t="n"/>
      <c r="F2879" s="5" t="n"/>
      <c r="G2879" s="5" t="n"/>
      <c r="H2879" s="5" t="n"/>
      <c r="I2879" s="5" t="n"/>
      <c r="J2879" s="6" t="n"/>
      <c r="K2879" s="6" t="n"/>
      <c r="L2879" s="7">
        <f>IF(OR(D2879="",N(J2879)=0),"",MIN(1,N(K2879)/J2879))</f>
        <v/>
      </c>
      <c r="M2879" s="5" t="n"/>
      <c r="N2879" s="5" t="n"/>
      <c r="O2879" s="5" t="n"/>
      <c r="P2879" s="5" t="n"/>
      <c r="Q2879" s="5" t="n"/>
      <c r="R2879" s="4" t="n"/>
      <c r="S2879" s="4" t="n"/>
      <c r="T2879" s="5" t="n"/>
      <c r="U2879" s="8">
        <f>IF(AND(V2879=1,D2879&lt;&gt;""),IF(D2879&gt;=corte,TODAY()-D2879,""),"")</f>
        <v/>
      </c>
      <c r="V2879" s="8">
        <f>IF(D2879="",0,IF(OR(AND(P2879&lt;&gt;"",S2879=""),AND(N(J2879)&gt;0,N(K2879)&lt;J2879),OR(M2879="PENDENTE",M2879="PARCIAL"),OR(N2879="PENDENTE",N2879="PARCIAL")),1,0))</f>
        <v/>
      </c>
      <c r="W2879" s="8">
        <f>IF(AND(V2879=1,D2879&lt;&gt;""),IF(D2879&gt;=corte,(B2879="CRÍTICO")*1E9+(100000-D2879)*10000+10000-ROW(),""),"")</f>
        <v/>
      </c>
      <c r="X2879" s="8">
        <f>IF(AND(V2879=1,D2879=pas_data,E2879=pas_turno),10000-ROW(),"")</f>
        <v/>
      </c>
    </row>
    <row r="2880">
      <c r="A2880" s="3">
        <f>IF(D2880="","","TT-"&amp;TEXT(ROW()-1,"00000"))</f>
        <v/>
      </c>
      <c r="B2880" s="3">
        <f>IF(D2880="","",IF(V2880=0,"CONCLUÍDO",IF(D2880&lt;corte,"HISTÓRICO",IF(OR(AND(ISNUMBER(R2880),R2880&lt;TODAY()),AND(OR(N2880="PENDENTE",N2880="PARCIAL"),D2880&lt;TODAY()-1)),"CRÍTICO",IF(OR(AND(P2880&lt;&gt;"",S2880=""),AND(N2880="REALIZADO",M2880="PENDENTE"),AND(ISNUMBER(R2880),R2880=TODAY())),"ATENÇÃO",IF(N(K2880)=0,"PENDENTE","EM ANDAMENTO"))))))</f>
        <v/>
      </c>
      <c r="C2880" s="3">
        <f>IF(D2880="","",IF(V2880=0,"🟢 OK",IF(D2880&lt;corte,"⚪ HISTÓRICO (sem baixa)",IF(AND(ISNUMBER(R2880),R2880&lt;TODAY()),"🔴 PRAZO VENCIDO",IF(AND(OR(N2880="PENDENTE",N2880="PARCIAL"),D2880&lt;TODAY()-1),"🔴 EMBARQUE ATRASADO",IF(AND(N2880="REALIZADO",M2880="PENDENTE"),"🟡 EMBARCADO SEM FATURAR",IF(AND(P2880&lt;&gt;"",S2880="",OR(Q2880="",R2880="")),"🟡 PENDÊNCIA SEM RESPONSÁVEL/PRAZO",IF(AND(ISNUMBER(R2880),R2880=TODAY()),"🟡 VENCE HOJE",IF(AND(P2880&lt;&gt;"",S2880=""),"🟡 PENDÊNCIA ABERTA",IF(AND(N(J2880)&gt;0,N(K2880)&lt;J2880),"🟡 FALTA EXECUTAR",IF(OR(M2880="PENDENTE",M2880="PARCIAL"),"🟡 FATURAMENTO PENDENTE","🟡 EMBARQUE PENDENTE")))))))))))</f>
        <v/>
      </c>
      <c r="D2880" s="4" t="n"/>
      <c r="E2880" s="5" t="n"/>
      <c r="F2880" s="5" t="n"/>
      <c r="G2880" s="5" t="n"/>
      <c r="H2880" s="5" t="n"/>
      <c r="I2880" s="5" t="n"/>
      <c r="J2880" s="6" t="n"/>
      <c r="K2880" s="6" t="n"/>
      <c r="L2880" s="7">
        <f>IF(OR(D2880="",N(J2880)=0),"",MIN(1,N(K2880)/J2880))</f>
        <v/>
      </c>
      <c r="M2880" s="5" t="n"/>
      <c r="N2880" s="5" t="n"/>
      <c r="O2880" s="5" t="n"/>
      <c r="P2880" s="5" t="n"/>
      <c r="Q2880" s="5" t="n"/>
      <c r="R2880" s="4" t="n"/>
      <c r="S2880" s="4" t="n"/>
      <c r="T2880" s="5" t="n"/>
      <c r="U2880" s="8">
        <f>IF(AND(V2880=1,D2880&lt;&gt;""),IF(D2880&gt;=corte,TODAY()-D2880,""),"")</f>
        <v/>
      </c>
      <c r="V2880" s="8">
        <f>IF(D2880="",0,IF(OR(AND(P2880&lt;&gt;"",S2880=""),AND(N(J2880)&gt;0,N(K2880)&lt;J2880),OR(M2880="PENDENTE",M2880="PARCIAL"),OR(N2880="PENDENTE",N2880="PARCIAL")),1,0))</f>
        <v/>
      </c>
      <c r="W2880" s="8">
        <f>IF(AND(V2880=1,D2880&lt;&gt;""),IF(D2880&gt;=corte,(B2880="CRÍTICO")*1E9+(100000-D2880)*10000+10000-ROW(),""),"")</f>
        <v/>
      </c>
      <c r="X2880" s="8">
        <f>IF(AND(V2880=1,D2880=pas_data,E2880=pas_turno),10000-ROW(),"")</f>
        <v/>
      </c>
    </row>
    <row r="2881">
      <c r="A2881" s="3">
        <f>IF(D2881="","","TT-"&amp;TEXT(ROW()-1,"00000"))</f>
        <v/>
      </c>
      <c r="B2881" s="3">
        <f>IF(D2881="","",IF(V2881=0,"CONCLUÍDO",IF(D2881&lt;corte,"HISTÓRICO",IF(OR(AND(ISNUMBER(R2881),R2881&lt;TODAY()),AND(OR(N2881="PENDENTE",N2881="PARCIAL"),D2881&lt;TODAY()-1)),"CRÍTICO",IF(OR(AND(P2881&lt;&gt;"",S2881=""),AND(N2881="REALIZADO",M2881="PENDENTE"),AND(ISNUMBER(R2881),R2881=TODAY())),"ATENÇÃO",IF(N(K2881)=0,"PENDENTE","EM ANDAMENTO"))))))</f>
        <v/>
      </c>
      <c r="C2881" s="3">
        <f>IF(D2881="","",IF(V2881=0,"🟢 OK",IF(D2881&lt;corte,"⚪ HISTÓRICO (sem baixa)",IF(AND(ISNUMBER(R2881),R2881&lt;TODAY()),"🔴 PRAZO VENCIDO",IF(AND(OR(N2881="PENDENTE",N2881="PARCIAL"),D2881&lt;TODAY()-1),"🔴 EMBARQUE ATRASADO",IF(AND(N2881="REALIZADO",M2881="PENDENTE"),"🟡 EMBARCADO SEM FATURAR",IF(AND(P2881&lt;&gt;"",S2881="",OR(Q2881="",R2881="")),"🟡 PENDÊNCIA SEM RESPONSÁVEL/PRAZO",IF(AND(ISNUMBER(R2881),R2881=TODAY()),"🟡 VENCE HOJE",IF(AND(P2881&lt;&gt;"",S2881=""),"🟡 PENDÊNCIA ABERTA",IF(AND(N(J2881)&gt;0,N(K2881)&lt;J2881),"🟡 FALTA EXECUTAR",IF(OR(M2881="PENDENTE",M2881="PARCIAL"),"🟡 FATURAMENTO PENDENTE","🟡 EMBARQUE PENDENTE")))))))))))</f>
        <v/>
      </c>
      <c r="D2881" s="4" t="n"/>
      <c r="E2881" s="5" t="n"/>
      <c r="F2881" s="5" t="n"/>
      <c r="G2881" s="5" t="n"/>
      <c r="H2881" s="5" t="n"/>
      <c r="I2881" s="5" t="n"/>
      <c r="J2881" s="6" t="n"/>
      <c r="K2881" s="6" t="n"/>
      <c r="L2881" s="7">
        <f>IF(OR(D2881="",N(J2881)=0),"",MIN(1,N(K2881)/J2881))</f>
        <v/>
      </c>
      <c r="M2881" s="5" t="n"/>
      <c r="N2881" s="5" t="n"/>
      <c r="O2881" s="5" t="n"/>
      <c r="P2881" s="5" t="n"/>
      <c r="Q2881" s="5" t="n"/>
      <c r="R2881" s="4" t="n"/>
      <c r="S2881" s="4" t="n"/>
      <c r="T2881" s="5" t="n"/>
      <c r="U2881" s="8">
        <f>IF(AND(V2881=1,D2881&lt;&gt;""),IF(D2881&gt;=corte,TODAY()-D2881,""),"")</f>
        <v/>
      </c>
      <c r="V2881" s="8">
        <f>IF(D2881="",0,IF(OR(AND(P2881&lt;&gt;"",S2881=""),AND(N(J2881)&gt;0,N(K2881)&lt;J2881),OR(M2881="PENDENTE",M2881="PARCIAL"),OR(N2881="PENDENTE",N2881="PARCIAL")),1,0))</f>
        <v/>
      </c>
      <c r="W2881" s="8">
        <f>IF(AND(V2881=1,D2881&lt;&gt;""),IF(D2881&gt;=corte,(B2881="CRÍTICO")*1E9+(100000-D2881)*10000+10000-ROW(),""),"")</f>
        <v/>
      </c>
      <c r="X2881" s="8">
        <f>IF(AND(V2881=1,D2881=pas_data,E2881=pas_turno),10000-ROW(),"")</f>
        <v/>
      </c>
    </row>
    <row r="2882">
      <c r="A2882" s="3">
        <f>IF(D2882="","","TT-"&amp;TEXT(ROW()-1,"00000"))</f>
        <v/>
      </c>
      <c r="B2882" s="3">
        <f>IF(D2882="","",IF(V2882=0,"CONCLUÍDO",IF(D2882&lt;corte,"HISTÓRICO",IF(OR(AND(ISNUMBER(R2882),R2882&lt;TODAY()),AND(OR(N2882="PENDENTE",N2882="PARCIAL"),D2882&lt;TODAY()-1)),"CRÍTICO",IF(OR(AND(P2882&lt;&gt;"",S2882=""),AND(N2882="REALIZADO",M2882="PENDENTE"),AND(ISNUMBER(R2882),R2882=TODAY())),"ATENÇÃO",IF(N(K2882)=0,"PENDENTE","EM ANDAMENTO"))))))</f>
        <v/>
      </c>
      <c r="C2882" s="3">
        <f>IF(D2882="","",IF(V2882=0,"🟢 OK",IF(D2882&lt;corte,"⚪ HISTÓRICO (sem baixa)",IF(AND(ISNUMBER(R2882),R2882&lt;TODAY()),"🔴 PRAZO VENCIDO",IF(AND(OR(N2882="PENDENTE",N2882="PARCIAL"),D2882&lt;TODAY()-1),"🔴 EMBARQUE ATRASADO",IF(AND(N2882="REALIZADO",M2882="PENDENTE"),"🟡 EMBARCADO SEM FATURAR",IF(AND(P2882&lt;&gt;"",S2882="",OR(Q2882="",R2882="")),"🟡 PENDÊNCIA SEM RESPONSÁVEL/PRAZO",IF(AND(ISNUMBER(R2882),R2882=TODAY()),"🟡 VENCE HOJE",IF(AND(P2882&lt;&gt;"",S2882=""),"🟡 PENDÊNCIA ABERTA",IF(AND(N(J2882)&gt;0,N(K2882)&lt;J2882),"🟡 FALTA EXECUTAR",IF(OR(M2882="PENDENTE",M2882="PARCIAL"),"🟡 FATURAMENTO PENDENTE","🟡 EMBARQUE PENDENTE")))))))))))</f>
        <v/>
      </c>
      <c r="D2882" s="4" t="n"/>
      <c r="E2882" s="5" t="n"/>
      <c r="F2882" s="5" t="n"/>
      <c r="G2882" s="5" t="n"/>
      <c r="H2882" s="5" t="n"/>
      <c r="I2882" s="5" t="n"/>
      <c r="J2882" s="6" t="n"/>
      <c r="K2882" s="6" t="n"/>
      <c r="L2882" s="7">
        <f>IF(OR(D2882="",N(J2882)=0),"",MIN(1,N(K2882)/J2882))</f>
        <v/>
      </c>
      <c r="M2882" s="5" t="n"/>
      <c r="N2882" s="5" t="n"/>
      <c r="O2882" s="5" t="n"/>
      <c r="P2882" s="5" t="n"/>
      <c r="Q2882" s="5" t="n"/>
      <c r="R2882" s="4" t="n"/>
      <c r="S2882" s="4" t="n"/>
      <c r="T2882" s="5" t="n"/>
      <c r="U2882" s="8">
        <f>IF(AND(V2882=1,D2882&lt;&gt;""),IF(D2882&gt;=corte,TODAY()-D2882,""),"")</f>
        <v/>
      </c>
      <c r="V2882" s="8">
        <f>IF(D2882="",0,IF(OR(AND(P2882&lt;&gt;"",S2882=""),AND(N(J2882)&gt;0,N(K2882)&lt;J2882),OR(M2882="PENDENTE",M2882="PARCIAL"),OR(N2882="PENDENTE",N2882="PARCIAL")),1,0))</f>
        <v/>
      </c>
      <c r="W2882" s="8">
        <f>IF(AND(V2882=1,D2882&lt;&gt;""),IF(D2882&gt;=corte,(B2882="CRÍTICO")*1E9+(100000-D2882)*10000+10000-ROW(),""),"")</f>
        <v/>
      </c>
      <c r="X2882" s="8">
        <f>IF(AND(V2882=1,D2882=pas_data,E2882=pas_turno),10000-ROW(),"")</f>
        <v/>
      </c>
    </row>
    <row r="2883">
      <c r="A2883" s="3">
        <f>IF(D2883="","","TT-"&amp;TEXT(ROW()-1,"00000"))</f>
        <v/>
      </c>
      <c r="B2883" s="3">
        <f>IF(D2883="","",IF(V2883=0,"CONCLUÍDO",IF(D2883&lt;corte,"HISTÓRICO",IF(OR(AND(ISNUMBER(R2883),R2883&lt;TODAY()),AND(OR(N2883="PENDENTE",N2883="PARCIAL"),D2883&lt;TODAY()-1)),"CRÍTICO",IF(OR(AND(P2883&lt;&gt;"",S2883=""),AND(N2883="REALIZADO",M2883="PENDENTE"),AND(ISNUMBER(R2883),R2883=TODAY())),"ATENÇÃO",IF(N(K2883)=0,"PENDENTE","EM ANDAMENTO"))))))</f>
        <v/>
      </c>
      <c r="C2883" s="3">
        <f>IF(D2883="","",IF(V2883=0,"🟢 OK",IF(D2883&lt;corte,"⚪ HISTÓRICO (sem baixa)",IF(AND(ISNUMBER(R2883),R2883&lt;TODAY()),"🔴 PRAZO VENCIDO",IF(AND(OR(N2883="PENDENTE",N2883="PARCIAL"),D2883&lt;TODAY()-1),"🔴 EMBARQUE ATRASADO",IF(AND(N2883="REALIZADO",M2883="PENDENTE"),"🟡 EMBARCADO SEM FATURAR",IF(AND(P2883&lt;&gt;"",S2883="",OR(Q2883="",R2883="")),"🟡 PENDÊNCIA SEM RESPONSÁVEL/PRAZO",IF(AND(ISNUMBER(R2883),R2883=TODAY()),"🟡 VENCE HOJE",IF(AND(P2883&lt;&gt;"",S2883=""),"🟡 PENDÊNCIA ABERTA",IF(AND(N(J2883)&gt;0,N(K2883)&lt;J2883),"🟡 FALTA EXECUTAR",IF(OR(M2883="PENDENTE",M2883="PARCIAL"),"🟡 FATURAMENTO PENDENTE","🟡 EMBARQUE PENDENTE")))))))))))</f>
        <v/>
      </c>
      <c r="D2883" s="4" t="n"/>
      <c r="E2883" s="5" t="n"/>
      <c r="F2883" s="5" t="n"/>
      <c r="G2883" s="5" t="n"/>
      <c r="H2883" s="5" t="n"/>
      <c r="I2883" s="5" t="n"/>
      <c r="J2883" s="6" t="n"/>
      <c r="K2883" s="6" t="n"/>
      <c r="L2883" s="7">
        <f>IF(OR(D2883="",N(J2883)=0),"",MIN(1,N(K2883)/J2883))</f>
        <v/>
      </c>
      <c r="M2883" s="5" t="n"/>
      <c r="N2883" s="5" t="n"/>
      <c r="O2883" s="5" t="n"/>
      <c r="P2883" s="5" t="n"/>
      <c r="Q2883" s="5" t="n"/>
      <c r="R2883" s="4" t="n"/>
      <c r="S2883" s="4" t="n"/>
      <c r="T2883" s="5" t="n"/>
      <c r="U2883" s="8">
        <f>IF(AND(V2883=1,D2883&lt;&gt;""),IF(D2883&gt;=corte,TODAY()-D2883,""),"")</f>
        <v/>
      </c>
      <c r="V2883" s="8">
        <f>IF(D2883="",0,IF(OR(AND(P2883&lt;&gt;"",S2883=""),AND(N(J2883)&gt;0,N(K2883)&lt;J2883),OR(M2883="PENDENTE",M2883="PARCIAL"),OR(N2883="PENDENTE",N2883="PARCIAL")),1,0))</f>
        <v/>
      </c>
      <c r="W2883" s="8">
        <f>IF(AND(V2883=1,D2883&lt;&gt;""),IF(D2883&gt;=corte,(B2883="CRÍTICO")*1E9+(100000-D2883)*10000+10000-ROW(),""),"")</f>
        <v/>
      </c>
      <c r="X2883" s="8">
        <f>IF(AND(V2883=1,D2883=pas_data,E2883=pas_turno),10000-ROW(),"")</f>
        <v/>
      </c>
    </row>
    <row r="2884">
      <c r="A2884" s="3">
        <f>IF(D2884="","","TT-"&amp;TEXT(ROW()-1,"00000"))</f>
        <v/>
      </c>
      <c r="B2884" s="3">
        <f>IF(D2884="","",IF(V2884=0,"CONCLUÍDO",IF(D2884&lt;corte,"HISTÓRICO",IF(OR(AND(ISNUMBER(R2884),R2884&lt;TODAY()),AND(OR(N2884="PENDENTE",N2884="PARCIAL"),D2884&lt;TODAY()-1)),"CRÍTICO",IF(OR(AND(P2884&lt;&gt;"",S2884=""),AND(N2884="REALIZADO",M2884="PENDENTE"),AND(ISNUMBER(R2884),R2884=TODAY())),"ATENÇÃO",IF(N(K2884)=0,"PENDENTE","EM ANDAMENTO"))))))</f>
        <v/>
      </c>
      <c r="C2884" s="3">
        <f>IF(D2884="","",IF(V2884=0,"🟢 OK",IF(D2884&lt;corte,"⚪ HISTÓRICO (sem baixa)",IF(AND(ISNUMBER(R2884),R2884&lt;TODAY()),"🔴 PRAZO VENCIDO",IF(AND(OR(N2884="PENDENTE",N2884="PARCIAL"),D2884&lt;TODAY()-1),"🔴 EMBARQUE ATRASADO",IF(AND(N2884="REALIZADO",M2884="PENDENTE"),"🟡 EMBARCADO SEM FATURAR",IF(AND(P2884&lt;&gt;"",S2884="",OR(Q2884="",R2884="")),"🟡 PENDÊNCIA SEM RESPONSÁVEL/PRAZO",IF(AND(ISNUMBER(R2884),R2884=TODAY()),"🟡 VENCE HOJE",IF(AND(P2884&lt;&gt;"",S2884=""),"🟡 PENDÊNCIA ABERTA",IF(AND(N(J2884)&gt;0,N(K2884)&lt;J2884),"🟡 FALTA EXECUTAR",IF(OR(M2884="PENDENTE",M2884="PARCIAL"),"🟡 FATURAMENTO PENDENTE","🟡 EMBARQUE PENDENTE")))))))))))</f>
        <v/>
      </c>
      <c r="D2884" s="4" t="n"/>
      <c r="E2884" s="5" t="n"/>
      <c r="F2884" s="5" t="n"/>
      <c r="G2884" s="5" t="n"/>
      <c r="H2884" s="5" t="n"/>
      <c r="I2884" s="5" t="n"/>
      <c r="J2884" s="6" t="n"/>
      <c r="K2884" s="6" t="n"/>
      <c r="L2884" s="7">
        <f>IF(OR(D2884="",N(J2884)=0),"",MIN(1,N(K2884)/J2884))</f>
        <v/>
      </c>
      <c r="M2884" s="5" t="n"/>
      <c r="N2884" s="5" t="n"/>
      <c r="O2884" s="5" t="n"/>
      <c r="P2884" s="5" t="n"/>
      <c r="Q2884" s="5" t="n"/>
      <c r="R2884" s="4" t="n"/>
      <c r="S2884" s="4" t="n"/>
      <c r="T2884" s="5" t="n"/>
      <c r="U2884" s="8">
        <f>IF(AND(V2884=1,D2884&lt;&gt;""),IF(D2884&gt;=corte,TODAY()-D2884,""),"")</f>
        <v/>
      </c>
      <c r="V2884" s="8">
        <f>IF(D2884="",0,IF(OR(AND(P2884&lt;&gt;"",S2884=""),AND(N(J2884)&gt;0,N(K2884)&lt;J2884),OR(M2884="PENDENTE",M2884="PARCIAL"),OR(N2884="PENDENTE",N2884="PARCIAL")),1,0))</f>
        <v/>
      </c>
      <c r="W2884" s="8">
        <f>IF(AND(V2884=1,D2884&lt;&gt;""),IF(D2884&gt;=corte,(B2884="CRÍTICO")*1E9+(100000-D2884)*10000+10000-ROW(),""),"")</f>
        <v/>
      </c>
      <c r="X2884" s="8">
        <f>IF(AND(V2884=1,D2884=pas_data,E2884=pas_turno),10000-ROW(),"")</f>
        <v/>
      </c>
    </row>
    <row r="2885">
      <c r="A2885" s="3">
        <f>IF(D2885="","","TT-"&amp;TEXT(ROW()-1,"00000"))</f>
        <v/>
      </c>
      <c r="B2885" s="3">
        <f>IF(D2885="","",IF(V2885=0,"CONCLUÍDO",IF(D2885&lt;corte,"HISTÓRICO",IF(OR(AND(ISNUMBER(R2885),R2885&lt;TODAY()),AND(OR(N2885="PENDENTE",N2885="PARCIAL"),D2885&lt;TODAY()-1)),"CRÍTICO",IF(OR(AND(P2885&lt;&gt;"",S2885=""),AND(N2885="REALIZADO",M2885="PENDENTE"),AND(ISNUMBER(R2885),R2885=TODAY())),"ATENÇÃO",IF(N(K2885)=0,"PENDENTE","EM ANDAMENTO"))))))</f>
        <v/>
      </c>
      <c r="C2885" s="3">
        <f>IF(D2885="","",IF(V2885=0,"🟢 OK",IF(D2885&lt;corte,"⚪ HISTÓRICO (sem baixa)",IF(AND(ISNUMBER(R2885),R2885&lt;TODAY()),"🔴 PRAZO VENCIDO",IF(AND(OR(N2885="PENDENTE",N2885="PARCIAL"),D2885&lt;TODAY()-1),"🔴 EMBARQUE ATRASADO",IF(AND(N2885="REALIZADO",M2885="PENDENTE"),"🟡 EMBARCADO SEM FATURAR",IF(AND(P2885&lt;&gt;"",S2885="",OR(Q2885="",R2885="")),"🟡 PENDÊNCIA SEM RESPONSÁVEL/PRAZO",IF(AND(ISNUMBER(R2885),R2885=TODAY()),"🟡 VENCE HOJE",IF(AND(P2885&lt;&gt;"",S2885=""),"🟡 PENDÊNCIA ABERTA",IF(AND(N(J2885)&gt;0,N(K2885)&lt;J2885),"🟡 FALTA EXECUTAR",IF(OR(M2885="PENDENTE",M2885="PARCIAL"),"🟡 FATURAMENTO PENDENTE","🟡 EMBARQUE PENDENTE")))))))))))</f>
        <v/>
      </c>
      <c r="D2885" s="4" t="n"/>
      <c r="E2885" s="5" t="n"/>
      <c r="F2885" s="5" t="n"/>
      <c r="G2885" s="5" t="n"/>
      <c r="H2885" s="5" t="n"/>
      <c r="I2885" s="5" t="n"/>
      <c r="J2885" s="6" t="n"/>
      <c r="K2885" s="6" t="n"/>
      <c r="L2885" s="7">
        <f>IF(OR(D2885="",N(J2885)=0),"",MIN(1,N(K2885)/J2885))</f>
        <v/>
      </c>
      <c r="M2885" s="5" t="n"/>
      <c r="N2885" s="5" t="n"/>
      <c r="O2885" s="5" t="n"/>
      <c r="P2885" s="5" t="n"/>
      <c r="Q2885" s="5" t="n"/>
      <c r="R2885" s="4" t="n"/>
      <c r="S2885" s="4" t="n"/>
      <c r="T2885" s="5" t="n"/>
      <c r="U2885" s="8">
        <f>IF(AND(V2885=1,D2885&lt;&gt;""),IF(D2885&gt;=corte,TODAY()-D2885,""),"")</f>
        <v/>
      </c>
      <c r="V2885" s="8">
        <f>IF(D2885="",0,IF(OR(AND(P2885&lt;&gt;"",S2885=""),AND(N(J2885)&gt;0,N(K2885)&lt;J2885),OR(M2885="PENDENTE",M2885="PARCIAL"),OR(N2885="PENDENTE",N2885="PARCIAL")),1,0))</f>
        <v/>
      </c>
      <c r="W2885" s="8">
        <f>IF(AND(V2885=1,D2885&lt;&gt;""),IF(D2885&gt;=corte,(B2885="CRÍTICO")*1E9+(100000-D2885)*10000+10000-ROW(),""),"")</f>
        <v/>
      </c>
      <c r="X2885" s="8">
        <f>IF(AND(V2885=1,D2885=pas_data,E2885=pas_turno),10000-ROW(),"")</f>
        <v/>
      </c>
    </row>
    <row r="2886">
      <c r="A2886" s="3">
        <f>IF(D2886="","","TT-"&amp;TEXT(ROW()-1,"00000"))</f>
        <v/>
      </c>
      <c r="B2886" s="3">
        <f>IF(D2886="","",IF(V2886=0,"CONCLUÍDO",IF(D2886&lt;corte,"HISTÓRICO",IF(OR(AND(ISNUMBER(R2886),R2886&lt;TODAY()),AND(OR(N2886="PENDENTE",N2886="PARCIAL"),D2886&lt;TODAY()-1)),"CRÍTICO",IF(OR(AND(P2886&lt;&gt;"",S2886=""),AND(N2886="REALIZADO",M2886="PENDENTE"),AND(ISNUMBER(R2886),R2886=TODAY())),"ATENÇÃO",IF(N(K2886)=0,"PENDENTE","EM ANDAMENTO"))))))</f>
        <v/>
      </c>
      <c r="C2886" s="3">
        <f>IF(D2886="","",IF(V2886=0,"🟢 OK",IF(D2886&lt;corte,"⚪ HISTÓRICO (sem baixa)",IF(AND(ISNUMBER(R2886),R2886&lt;TODAY()),"🔴 PRAZO VENCIDO",IF(AND(OR(N2886="PENDENTE",N2886="PARCIAL"),D2886&lt;TODAY()-1),"🔴 EMBARQUE ATRASADO",IF(AND(N2886="REALIZADO",M2886="PENDENTE"),"🟡 EMBARCADO SEM FATURAR",IF(AND(P2886&lt;&gt;"",S2886="",OR(Q2886="",R2886="")),"🟡 PENDÊNCIA SEM RESPONSÁVEL/PRAZO",IF(AND(ISNUMBER(R2886),R2886=TODAY()),"🟡 VENCE HOJE",IF(AND(P2886&lt;&gt;"",S2886=""),"🟡 PENDÊNCIA ABERTA",IF(AND(N(J2886)&gt;0,N(K2886)&lt;J2886),"🟡 FALTA EXECUTAR",IF(OR(M2886="PENDENTE",M2886="PARCIAL"),"🟡 FATURAMENTO PENDENTE","🟡 EMBARQUE PENDENTE")))))))))))</f>
        <v/>
      </c>
      <c r="D2886" s="4" t="n"/>
      <c r="E2886" s="5" t="n"/>
      <c r="F2886" s="5" t="n"/>
      <c r="G2886" s="5" t="n"/>
      <c r="H2886" s="5" t="n"/>
      <c r="I2886" s="5" t="n"/>
      <c r="J2886" s="6" t="n"/>
      <c r="K2886" s="6" t="n"/>
      <c r="L2886" s="7">
        <f>IF(OR(D2886="",N(J2886)=0),"",MIN(1,N(K2886)/J2886))</f>
        <v/>
      </c>
      <c r="M2886" s="5" t="n"/>
      <c r="N2886" s="5" t="n"/>
      <c r="O2886" s="5" t="n"/>
      <c r="P2886" s="5" t="n"/>
      <c r="Q2886" s="5" t="n"/>
      <c r="R2886" s="4" t="n"/>
      <c r="S2886" s="4" t="n"/>
      <c r="T2886" s="5" t="n"/>
      <c r="U2886" s="8">
        <f>IF(AND(V2886=1,D2886&lt;&gt;""),IF(D2886&gt;=corte,TODAY()-D2886,""),"")</f>
        <v/>
      </c>
      <c r="V2886" s="8">
        <f>IF(D2886="",0,IF(OR(AND(P2886&lt;&gt;"",S2886=""),AND(N(J2886)&gt;0,N(K2886)&lt;J2886),OR(M2886="PENDENTE",M2886="PARCIAL"),OR(N2886="PENDENTE",N2886="PARCIAL")),1,0))</f>
        <v/>
      </c>
      <c r="W2886" s="8">
        <f>IF(AND(V2886=1,D2886&lt;&gt;""),IF(D2886&gt;=corte,(B2886="CRÍTICO")*1E9+(100000-D2886)*10000+10000-ROW(),""),"")</f>
        <v/>
      </c>
      <c r="X2886" s="8">
        <f>IF(AND(V2886=1,D2886=pas_data,E2886=pas_turno),10000-ROW(),"")</f>
        <v/>
      </c>
    </row>
    <row r="2887">
      <c r="A2887" s="3">
        <f>IF(D2887="","","TT-"&amp;TEXT(ROW()-1,"00000"))</f>
        <v/>
      </c>
      <c r="B2887" s="3">
        <f>IF(D2887="","",IF(V2887=0,"CONCLUÍDO",IF(D2887&lt;corte,"HISTÓRICO",IF(OR(AND(ISNUMBER(R2887),R2887&lt;TODAY()),AND(OR(N2887="PENDENTE",N2887="PARCIAL"),D2887&lt;TODAY()-1)),"CRÍTICO",IF(OR(AND(P2887&lt;&gt;"",S2887=""),AND(N2887="REALIZADO",M2887="PENDENTE"),AND(ISNUMBER(R2887),R2887=TODAY())),"ATENÇÃO",IF(N(K2887)=0,"PENDENTE","EM ANDAMENTO"))))))</f>
        <v/>
      </c>
      <c r="C2887" s="3">
        <f>IF(D2887="","",IF(V2887=0,"🟢 OK",IF(D2887&lt;corte,"⚪ HISTÓRICO (sem baixa)",IF(AND(ISNUMBER(R2887),R2887&lt;TODAY()),"🔴 PRAZO VENCIDO",IF(AND(OR(N2887="PENDENTE",N2887="PARCIAL"),D2887&lt;TODAY()-1),"🔴 EMBARQUE ATRASADO",IF(AND(N2887="REALIZADO",M2887="PENDENTE"),"🟡 EMBARCADO SEM FATURAR",IF(AND(P2887&lt;&gt;"",S2887="",OR(Q2887="",R2887="")),"🟡 PENDÊNCIA SEM RESPONSÁVEL/PRAZO",IF(AND(ISNUMBER(R2887),R2887=TODAY()),"🟡 VENCE HOJE",IF(AND(P2887&lt;&gt;"",S2887=""),"🟡 PENDÊNCIA ABERTA",IF(AND(N(J2887)&gt;0,N(K2887)&lt;J2887),"🟡 FALTA EXECUTAR",IF(OR(M2887="PENDENTE",M2887="PARCIAL"),"🟡 FATURAMENTO PENDENTE","🟡 EMBARQUE PENDENTE")))))))))))</f>
        <v/>
      </c>
      <c r="D2887" s="4" t="n"/>
      <c r="E2887" s="5" t="n"/>
      <c r="F2887" s="5" t="n"/>
      <c r="G2887" s="5" t="n"/>
      <c r="H2887" s="5" t="n"/>
      <c r="I2887" s="5" t="n"/>
      <c r="J2887" s="6" t="n"/>
      <c r="K2887" s="6" t="n"/>
      <c r="L2887" s="7">
        <f>IF(OR(D2887="",N(J2887)=0),"",MIN(1,N(K2887)/J2887))</f>
        <v/>
      </c>
      <c r="M2887" s="5" t="n"/>
      <c r="N2887" s="5" t="n"/>
      <c r="O2887" s="5" t="n"/>
      <c r="P2887" s="5" t="n"/>
      <c r="Q2887" s="5" t="n"/>
      <c r="R2887" s="4" t="n"/>
      <c r="S2887" s="4" t="n"/>
      <c r="T2887" s="5" t="n"/>
      <c r="U2887" s="8">
        <f>IF(AND(V2887=1,D2887&lt;&gt;""),IF(D2887&gt;=corte,TODAY()-D2887,""),"")</f>
        <v/>
      </c>
      <c r="V2887" s="8">
        <f>IF(D2887="",0,IF(OR(AND(P2887&lt;&gt;"",S2887=""),AND(N(J2887)&gt;0,N(K2887)&lt;J2887),OR(M2887="PENDENTE",M2887="PARCIAL"),OR(N2887="PENDENTE",N2887="PARCIAL")),1,0))</f>
        <v/>
      </c>
      <c r="W2887" s="8">
        <f>IF(AND(V2887=1,D2887&lt;&gt;""),IF(D2887&gt;=corte,(B2887="CRÍTICO")*1E9+(100000-D2887)*10000+10000-ROW(),""),"")</f>
        <v/>
      </c>
      <c r="X2887" s="8">
        <f>IF(AND(V2887=1,D2887=pas_data,E2887=pas_turno),10000-ROW(),"")</f>
        <v/>
      </c>
    </row>
    <row r="2888">
      <c r="A2888" s="3">
        <f>IF(D2888="","","TT-"&amp;TEXT(ROW()-1,"00000"))</f>
        <v/>
      </c>
      <c r="B2888" s="3">
        <f>IF(D2888="","",IF(V2888=0,"CONCLUÍDO",IF(D2888&lt;corte,"HISTÓRICO",IF(OR(AND(ISNUMBER(R2888),R2888&lt;TODAY()),AND(OR(N2888="PENDENTE",N2888="PARCIAL"),D2888&lt;TODAY()-1)),"CRÍTICO",IF(OR(AND(P2888&lt;&gt;"",S2888=""),AND(N2888="REALIZADO",M2888="PENDENTE"),AND(ISNUMBER(R2888),R2888=TODAY())),"ATENÇÃO",IF(N(K2888)=0,"PENDENTE","EM ANDAMENTO"))))))</f>
        <v/>
      </c>
      <c r="C2888" s="3">
        <f>IF(D2888="","",IF(V2888=0,"🟢 OK",IF(D2888&lt;corte,"⚪ HISTÓRICO (sem baixa)",IF(AND(ISNUMBER(R2888),R2888&lt;TODAY()),"🔴 PRAZO VENCIDO",IF(AND(OR(N2888="PENDENTE",N2888="PARCIAL"),D2888&lt;TODAY()-1),"🔴 EMBARQUE ATRASADO",IF(AND(N2888="REALIZADO",M2888="PENDENTE"),"🟡 EMBARCADO SEM FATURAR",IF(AND(P2888&lt;&gt;"",S2888="",OR(Q2888="",R2888="")),"🟡 PENDÊNCIA SEM RESPONSÁVEL/PRAZO",IF(AND(ISNUMBER(R2888),R2888=TODAY()),"🟡 VENCE HOJE",IF(AND(P2888&lt;&gt;"",S2888=""),"🟡 PENDÊNCIA ABERTA",IF(AND(N(J2888)&gt;0,N(K2888)&lt;J2888),"🟡 FALTA EXECUTAR",IF(OR(M2888="PENDENTE",M2888="PARCIAL"),"🟡 FATURAMENTO PENDENTE","🟡 EMBARQUE PENDENTE")))))))))))</f>
        <v/>
      </c>
      <c r="D2888" s="4" t="n"/>
      <c r="E2888" s="5" t="n"/>
      <c r="F2888" s="5" t="n"/>
      <c r="G2888" s="5" t="n"/>
      <c r="H2888" s="5" t="n"/>
      <c r="I2888" s="5" t="n"/>
      <c r="J2888" s="6" t="n"/>
      <c r="K2888" s="6" t="n"/>
      <c r="L2888" s="7">
        <f>IF(OR(D2888="",N(J2888)=0),"",MIN(1,N(K2888)/J2888))</f>
        <v/>
      </c>
      <c r="M2888" s="5" t="n"/>
      <c r="N2888" s="5" t="n"/>
      <c r="O2888" s="5" t="n"/>
      <c r="P2888" s="5" t="n"/>
      <c r="Q2888" s="5" t="n"/>
      <c r="R2888" s="4" t="n"/>
      <c r="S2888" s="4" t="n"/>
      <c r="T2888" s="5" t="n"/>
      <c r="U2888" s="8">
        <f>IF(AND(V2888=1,D2888&lt;&gt;""),IF(D2888&gt;=corte,TODAY()-D2888,""),"")</f>
        <v/>
      </c>
      <c r="V2888" s="8">
        <f>IF(D2888="",0,IF(OR(AND(P2888&lt;&gt;"",S2888=""),AND(N(J2888)&gt;0,N(K2888)&lt;J2888),OR(M2888="PENDENTE",M2888="PARCIAL"),OR(N2888="PENDENTE",N2888="PARCIAL")),1,0))</f>
        <v/>
      </c>
      <c r="W2888" s="8">
        <f>IF(AND(V2888=1,D2888&lt;&gt;""),IF(D2888&gt;=corte,(B2888="CRÍTICO")*1E9+(100000-D2888)*10000+10000-ROW(),""),"")</f>
        <v/>
      </c>
      <c r="X2888" s="8">
        <f>IF(AND(V2888=1,D2888=pas_data,E2888=pas_turno),10000-ROW(),"")</f>
        <v/>
      </c>
    </row>
    <row r="2889">
      <c r="A2889" s="3">
        <f>IF(D2889="","","TT-"&amp;TEXT(ROW()-1,"00000"))</f>
        <v/>
      </c>
      <c r="B2889" s="3">
        <f>IF(D2889="","",IF(V2889=0,"CONCLUÍDO",IF(D2889&lt;corte,"HISTÓRICO",IF(OR(AND(ISNUMBER(R2889),R2889&lt;TODAY()),AND(OR(N2889="PENDENTE",N2889="PARCIAL"),D2889&lt;TODAY()-1)),"CRÍTICO",IF(OR(AND(P2889&lt;&gt;"",S2889=""),AND(N2889="REALIZADO",M2889="PENDENTE"),AND(ISNUMBER(R2889),R2889=TODAY())),"ATENÇÃO",IF(N(K2889)=0,"PENDENTE","EM ANDAMENTO"))))))</f>
        <v/>
      </c>
      <c r="C2889" s="3">
        <f>IF(D2889="","",IF(V2889=0,"🟢 OK",IF(D2889&lt;corte,"⚪ HISTÓRICO (sem baixa)",IF(AND(ISNUMBER(R2889),R2889&lt;TODAY()),"🔴 PRAZO VENCIDO",IF(AND(OR(N2889="PENDENTE",N2889="PARCIAL"),D2889&lt;TODAY()-1),"🔴 EMBARQUE ATRASADO",IF(AND(N2889="REALIZADO",M2889="PENDENTE"),"🟡 EMBARCADO SEM FATURAR",IF(AND(P2889&lt;&gt;"",S2889="",OR(Q2889="",R2889="")),"🟡 PENDÊNCIA SEM RESPONSÁVEL/PRAZO",IF(AND(ISNUMBER(R2889),R2889=TODAY()),"🟡 VENCE HOJE",IF(AND(P2889&lt;&gt;"",S2889=""),"🟡 PENDÊNCIA ABERTA",IF(AND(N(J2889)&gt;0,N(K2889)&lt;J2889),"🟡 FALTA EXECUTAR",IF(OR(M2889="PENDENTE",M2889="PARCIAL"),"🟡 FATURAMENTO PENDENTE","🟡 EMBARQUE PENDENTE")))))))))))</f>
        <v/>
      </c>
      <c r="D2889" s="4" t="n"/>
      <c r="E2889" s="5" t="n"/>
      <c r="F2889" s="5" t="n"/>
      <c r="G2889" s="5" t="n"/>
      <c r="H2889" s="5" t="n"/>
      <c r="I2889" s="5" t="n"/>
      <c r="J2889" s="6" t="n"/>
      <c r="K2889" s="6" t="n"/>
      <c r="L2889" s="7">
        <f>IF(OR(D2889="",N(J2889)=0),"",MIN(1,N(K2889)/J2889))</f>
        <v/>
      </c>
      <c r="M2889" s="5" t="n"/>
      <c r="N2889" s="5" t="n"/>
      <c r="O2889" s="5" t="n"/>
      <c r="P2889" s="5" t="n"/>
      <c r="Q2889" s="5" t="n"/>
      <c r="R2889" s="4" t="n"/>
      <c r="S2889" s="4" t="n"/>
      <c r="T2889" s="5" t="n"/>
      <c r="U2889" s="8">
        <f>IF(AND(V2889=1,D2889&lt;&gt;""),IF(D2889&gt;=corte,TODAY()-D2889,""),"")</f>
        <v/>
      </c>
      <c r="V2889" s="8">
        <f>IF(D2889="",0,IF(OR(AND(P2889&lt;&gt;"",S2889=""),AND(N(J2889)&gt;0,N(K2889)&lt;J2889),OR(M2889="PENDENTE",M2889="PARCIAL"),OR(N2889="PENDENTE",N2889="PARCIAL")),1,0))</f>
        <v/>
      </c>
      <c r="W2889" s="8">
        <f>IF(AND(V2889=1,D2889&lt;&gt;""),IF(D2889&gt;=corte,(B2889="CRÍTICO")*1E9+(100000-D2889)*10000+10000-ROW(),""),"")</f>
        <v/>
      </c>
      <c r="X2889" s="8">
        <f>IF(AND(V2889=1,D2889=pas_data,E2889=pas_turno),10000-ROW(),"")</f>
        <v/>
      </c>
    </row>
    <row r="2890">
      <c r="A2890" s="3">
        <f>IF(D2890="","","TT-"&amp;TEXT(ROW()-1,"00000"))</f>
        <v/>
      </c>
      <c r="B2890" s="3">
        <f>IF(D2890="","",IF(V2890=0,"CONCLUÍDO",IF(D2890&lt;corte,"HISTÓRICO",IF(OR(AND(ISNUMBER(R2890),R2890&lt;TODAY()),AND(OR(N2890="PENDENTE",N2890="PARCIAL"),D2890&lt;TODAY()-1)),"CRÍTICO",IF(OR(AND(P2890&lt;&gt;"",S2890=""),AND(N2890="REALIZADO",M2890="PENDENTE"),AND(ISNUMBER(R2890),R2890=TODAY())),"ATENÇÃO",IF(N(K2890)=0,"PENDENTE","EM ANDAMENTO"))))))</f>
        <v/>
      </c>
      <c r="C2890" s="3">
        <f>IF(D2890="","",IF(V2890=0,"🟢 OK",IF(D2890&lt;corte,"⚪ HISTÓRICO (sem baixa)",IF(AND(ISNUMBER(R2890),R2890&lt;TODAY()),"🔴 PRAZO VENCIDO",IF(AND(OR(N2890="PENDENTE",N2890="PARCIAL"),D2890&lt;TODAY()-1),"🔴 EMBARQUE ATRASADO",IF(AND(N2890="REALIZADO",M2890="PENDENTE"),"🟡 EMBARCADO SEM FATURAR",IF(AND(P2890&lt;&gt;"",S2890="",OR(Q2890="",R2890="")),"🟡 PENDÊNCIA SEM RESPONSÁVEL/PRAZO",IF(AND(ISNUMBER(R2890),R2890=TODAY()),"🟡 VENCE HOJE",IF(AND(P2890&lt;&gt;"",S2890=""),"🟡 PENDÊNCIA ABERTA",IF(AND(N(J2890)&gt;0,N(K2890)&lt;J2890),"🟡 FALTA EXECUTAR",IF(OR(M2890="PENDENTE",M2890="PARCIAL"),"🟡 FATURAMENTO PENDENTE","🟡 EMBARQUE PENDENTE")))))))))))</f>
        <v/>
      </c>
      <c r="D2890" s="4" t="n"/>
      <c r="E2890" s="5" t="n"/>
      <c r="F2890" s="5" t="n"/>
      <c r="G2890" s="5" t="n"/>
      <c r="H2890" s="5" t="n"/>
      <c r="I2890" s="5" t="n"/>
      <c r="J2890" s="6" t="n"/>
      <c r="K2890" s="6" t="n"/>
      <c r="L2890" s="7">
        <f>IF(OR(D2890="",N(J2890)=0),"",MIN(1,N(K2890)/J2890))</f>
        <v/>
      </c>
      <c r="M2890" s="5" t="n"/>
      <c r="N2890" s="5" t="n"/>
      <c r="O2890" s="5" t="n"/>
      <c r="P2890" s="5" t="n"/>
      <c r="Q2890" s="5" t="n"/>
      <c r="R2890" s="4" t="n"/>
      <c r="S2890" s="4" t="n"/>
      <c r="T2890" s="5" t="n"/>
      <c r="U2890" s="8">
        <f>IF(AND(V2890=1,D2890&lt;&gt;""),IF(D2890&gt;=corte,TODAY()-D2890,""),"")</f>
        <v/>
      </c>
      <c r="V2890" s="8">
        <f>IF(D2890="",0,IF(OR(AND(P2890&lt;&gt;"",S2890=""),AND(N(J2890)&gt;0,N(K2890)&lt;J2890),OR(M2890="PENDENTE",M2890="PARCIAL"),OR(N2890="PENDENTE",N2890="PARCIAL")),1,0))</f>
        <v/>
      </c>
      <c r="W2890" s="8">
        <f>IF(AND(V2890=1,D2890&lt;&gt;""),IF(D2890&gt;=corte,(B2890="CRÍTICO")*1E9+(100000-D2890)*10000+10000-ROW(),""),"")</f>
        <v/>
      </c>
      <c r="X2890" s="8">
        <f>IF(AND(V2890=1,D2890=pas_data,E2890=pas_turno),10000-ROW(),"")</f>
        <v/>
      </c>
    </row>
    <row r="2891">
      <c r="A2891" s="3">
        <f>IF(D2891="","","TT-"&amp;TEXT(ROW()-1,"00000"))</f>
        <v/>
      </c>
      <c r="B2891" s="3">
        <f>IF(D2891="","",IF(V2891=0,"CONCLUÍDO",IF(D2891&lt;corte,"HISTÓRICO",IF(OR(AND(ISNUMBER(R2891),R2891&lt;TODAY()),AND(OR(N2891="PENDENTE",N2891="PARCIAL"),D2891&lt;TODAY()-1)),"CRÍTICO",IF(OR(AND(P2891&lt;&gt;"",S2891=""),AND(N2891="REALIZADO",M2891="PENDENTE"),AND(ISNUMBER(R2891),R2891=TODAY())),"ATENÇÃO",IF(N(K2891)=0,"PENDENTE","EM ANDAMENTO"))))))</f>
        <v/>
      </c>
      <c r="C2891" s="3">
        <f>IF(D2891="","",IF(V2891=0,"🟢 OK",IF(D2891&lt;corte,"⚪ HISTÓRICO (sem baixa)",IF(AND(ISNUMBER(R2891),R2891&lt;TODAY()),"🔴 PRAZO VENCIDO",IF(AND(OR(N2891="PENDENTE",N2891="PARCIAL"),D2891&lt;TODAY()-1),"🔴 EMBARQUE ATRASADO",IF(AND(N2891="REALIZADO",M2891="PENDENTE"),"🟡 EMBARCADO SEM FATURAR",IF(AND(P2891&lt;&gt;"",S2891="",OR(Q2891="",R2891="")),"🟡 PENDÊNCIA SEM RESPONSÁVEL/PRAZO",IF(AND(ISNUMBER(R2891),R2891=TODAY()),"🟡 VENCE HOJE",IF(AND(P2891&lt;&gt;"",S2891=""),"🟡 PENDÊNCIA ABERTA",IF(AND(N(J2891)&gt;0,N(K2891)&lt;J2891),"🟡 FALTA EXECUTAR",IF(OR(M2891="PENDENTE",M2891="PARCIAL"),"🟡 FATURAMENTO PENDENTE","🟡 EMBARQUE PENDENTE")))))))))))</f>
        <v/>
      </c>
      <c r="D2891" s="4" t="n"/>
      <c r="E2891" s="5" t="n"/>
      <c r="F2891" s="5" t="n"/>
      <c r="G2891" s="5" t="n"/>
      <c r="H2891" s="5" t="n"/>
      <c r="I2891" s="5" t="n"/>
      <c r="J2891" s="6" t="n"/>
      <c r="K2891" s="6" t="n"/>
      <c r="L2891" s="7">
        <f>IF(OR(D2891="",N(J2891)=0),"",MIN(1,N(K2891)/J2891))</f>
        <v/>
      </c>
      <c r="M2891" s="5" t="n"/>
      <c r="N2891" s="5" t="n"/>
      <c r="O2891" s="5" t="n"/>
      <c r="P2891" s="5" t="n"/>
      <c r="Q2891" s="5" t="n"/>
      <c r="R2891" s="4" t="n"/>
      <c r="S2891" s="4" t="n"/>
      <c r="T2891" s="5" t="n"/>
      <c r="U2891" s="8">
        <f>IF(AND(V2891=1,D2891&lt;&gt;""),IF(D2891&gt;=corte,TODAY()-D2891,""),"")</f>
        <v/>
      </c>
      <c r="V2891" s="8">
        <f>IF(D2891="",0,IF(OR(AND(P2891&lt;&gt;"",S2891=""),AND(N(J2891)&gt;0,N(K2891)&lt;J2891),OR(M2891="PENDENTE",M2891="PARCIAL"),OR(N2891="PENDENTE",N2891="PARCIAL")),1,0))</f>
        <v/>
      </c>
      <c r="W2891" s="8">
        <f>IF(AND(V2891=1,D2891&lt;&gt;""),IF(D2891&gt;=corte,(B2891="CRÍTICO")*1E9+(100000-D2891)*10000+10000-ROW(),""),"")</f>
        <v/>
      </c>
      <c r="X2891" s="8">
        <f>IF(AND(V2891=1,D2891=pas_data,E2891=pas_turno),10000-ROW(),"")</f>
        <v/>
      </c>
    </row>
    <row r="2892">
      <c r="A2892" s="3">
        <f>IF(D2892="","","TT-"&amp;TEXT(ROW()-1,"00000"))</f>
        <v/>
      </c>
      <c r="B2892" s="3">
        <f>IF(D2892="","",IF(V2892=0,"CONCLUÍDO",IF(D2892&lt;corte,"HISTÓRICO",IF(OR(AND(ISNUMBER(R2892),R2892&lt;TODAY()),AND(OR(N2892="PENDENTE",N2892="PARCIAL"),D2892&lt;TODAY()-1)),"CRÍTICO",IF(OR(AND(P2892&lt;&gt;"",S2892=""),AND(N2892="REALIZADO",M2892="PENDENTE"),AND(ISNUMBER(R2892),R2892=TODAY())),"ATENÇÃO",IF(N(K2892)=0,"PENDENTE","EM ANDAMENTO"))))))</f>
        <v/>
      </c>
      <c r="C2892" s="3">
        <f>IF(D2892="","",IF(V2892=0,"🟢 OK",IF(D2892&lt;corte,"⚪ HISTÓRICO (sem baixa)",IF(AND(ISNUMBER(R2892),R2892&lt;TODAY()),"🔴 PRAZO VENCIDO",IF(AND(OR(N2892="PENDENTE",N2892="PARCIAL"),D2892&lt;TODAY()-1),"🔴 EMBARQUE ATRASADO",IF(AND(N2892="REALIZADO",M2892="PENDENTE"),"🟡 EMBARCADO SEM FATURAR",IF(AND(P2892&lt;&gt;"",S2892="",OR(Q2892="",R2892="")),"🟡 PENDÊNCIA SEM RESPONSÁVEL/PRAZO",IF(AND(ISNUMBER(R2892),R2892=TODAY()),"🟡 VENCE HOJE",IF(AND(P2892&lt;&gt;"",S2892=""),"🟡 PENDÊNCIA ABERTA",IF(AND(N(J2892)&gt;0,N(K2892)&lt;J2892),"🟡 FALTA EXECUTAR",IF(OR(M2892="PENDENTE",M2892="PARCIAL"),"🟡 FATURAMENTO PENDENTE","🟡 EMBARQUE PENDENTE")))))))))))</f>
        <v/>
      </c>
      <c r="D2892" s="4" t="n"/>
      <c r="E2892" s="5" t="n"/>
      <c r="F2892" s="5" t="n"/>
      <c r="G2892" s="5" t="n"/>
      <c r="H2892" s="5" t="n"/>
      <c r="I2892" s="5" t="n"/>
      <c r="J2892" s="6" t="n"/>
      <c r="K2892" s="6" t="n"/>
      <c r="L2892" s="7">
        <f>IF(OR(D2892="",N(J2892)=0),"",MIN(1,N(K2892)/J2892))</f>
        <v/>
      </c>
      <c r="M2892" s="5" t="n"/>
      <c r="N2892" s="5" t="n"/>
      <c r="O2892" s="5" t="n"/>
      <c r="P2892" s="5" t="n"/>
      <c r="Q2892" s="5" t="n"/>
      <c r="R2892" s="4" t="n"/>
      <c r="S2892" s="4" t="n"/>
      <c r="T2892" s="5" t="n"/>
      <c r="U2892" s="8">
        <f>IF(AND(V2892=1,D2892&lt;&gt;""),IF(D2892&gt;=corte,TODAY()-D2892,""),"")</f>
        <v/>
      </c>
      <c r="V2892" s="8">
        <f>IF(D2892="",0,IF(OR(AND(P2892&lt;&gt;"",S2892=""),AND(N(J2892)&gt;0,N(K2892)&lt;J2892),OR(M2892="PENDENTE",M2892="PARCIAL"),OR(N2892="PENDENTE",N2892="PARCIAL")),1,0))</f>
        <v/>
      </c>
      <c r="W2892" s="8">
        <f>IF(AND(V2892=1,D2892&lt;&gt;""),IF(D2892&gt;=corte,(B2892="CRÍTICO")*1E9+(100000-D2892)*10000+10000-ROW(),""),"")</f>
        <v/>
      </c>
      <c r="X2892" s="8">
        <f>IF(AND(V2892=1,D2892=pas_data,E2892=pas_turno),10000-ROW(),"")</f>
        <v/>
      </c>
    </row>
    <row r="2893">
      <c r="A2893" s="3">
        <f>IF(D2893="","","TT-"&amp;TEXT(ROW()-1,"00000"))</f>
        <v/>
      </c>
      <c r="B2893" s="3">
        <f>IF(D2893="","",IF(V2893=0,"CONCLUÍDO",IF(D2893&lt;corte,"HISTÓRICO",IF(OR(AND(ISNUMBER(R2893),R2893&lt;TODAY()),AND(OR(N2893="PENDENTE",N2893="PARCIAL"),D2893&lt;TODAY()-1)),"CRÍTICO",IF(OR(AND(P2893&lt;&gt;"",S2893=""),AND(N2893="REALIZADO",M2893="PENDENTE"),AND(ISNUMBER(R2893),R2893=TODAY())),"ATENÇÃO",IF(N(K2893)=0,"PENDENTE","EM ANDAMENTO"))))))</f>
        <v/>
      </c>
      <c r="C2893" s="3">
        <f>IF(D2893="","",IF(V2893=0,"🟢 OK",IF(D2893&lt;corte,"⚪ HISTÓRICO (sem baixa)",IF(AND(ISNUMBER(R2893),R2893&lt;TODAY()),"🔴 PRAZO VENCIDO",IF(AND(OR(N2893="PENDENTE",N2893="PARCIAL"),D2893&lt;TODAY()-1),"🔴 EMBARQUE ATRASADO",IF(AND(N2893="REALIZADO",M2893="PENDENTE"),"🟡 EMBARCADO SEM FATURAR",IF(AND(P2893&lt;&gt;"",S2893="",OR(Q2893="",R2893="")),"🟡 PENDÊNCIA SEM RESPONSÁVEL/PRAZO",IF(AND(ISNUMBER(R2893),R2893=TODAY()),"🟡 VENCE HOJE",IF(AND(P2893&lt;&gt;"",S2893=""),"🟡 PENDÊNCIA ABERTA",IF(AND(N(J2893)&gt;0,N(K2893)&lt;J2893),"🟡 FALTA EXECUTAR",IF(OR(M2893="PENDENTE",M2893="PARCIAL"),"🟡 FATURAMENTO PENDENTE","🟡 EMBARQUE PENDENTE")))))))))))</f>
        <v/>
      </c>
      <c r="D2893" s="4" t="n"/>
      <c r="E2893" s="5" t="n"/>
      <c r="F2893" s="5" t="n"/>
      <c r="G2893" s="5" t="n"/>
      <c r="H2893" s="5" t="n"/>
      <c r="I2893" s="5" t="n"/>
      <c r="J2893" s="6" t="n"/>
      <c r="K2893" s="6" t="n"/>
      <c r="L2893" s="7">
        <f>IF(OR(D2893="",N(J2893)=0),"",MIN(1,N(K2893)/J2893))</f>
        <v/>
      </c>
      <c r="M2893" s="5" t="n"/>
      <c r="N2893" s="5" t="n"/>
      <c r="O2893" s="5" t="n"/>
      <c r="P2893" s="5" t="n"/>
      <c r="Q2893" s="5" t="n"/>
      <c r="R2893" s="4" t="n"/>
      <c r="S2893" s="4" t="n"/>
      <c r="T2893" s="5" t="n"/>
      <c r="U2893" s="8">
        <f>IF(AND(V2893=1,D2893&lt;&gt;""),IF(D2893&gt;=corte,TODAY()-D2893,""),"")</f>
        <v/>
      </c>
      <c r="V2893" s="8">
        <f>IF(D2893="",0,IF(OR(AND(P2893&lt;&gt;"",S2893=""),AND(N(J2893)&gt;0,N(K2893)&lt;J2893),OR(M2893="PENDENTE",M2893="PARCIAL"),OR(N2893="PENDENTE",N2893="PARCIAL")),1,0))</f>
        <v/>
      </c>
      <c r="W2893" s="8">
        <f>IF(AND(V2893=1,D2893&lt;&gt;""),IF(D2893&gt;=corte,(B2893="CRÍTICO")*1E9+(100000-D2893)*10000+10000-ROW(),""),"")</f>
        <v/>
      </c>
      <c r="X2893" s="8">
        <f>IF(AND(V2893=1,D2893=pas_data,E2893=pas_turno),10000-ROW(),"")</f>
        <v/>
      </c>
    </row>
    <row r="2894">
      <c r="A2894" s="3">
        <f>IF(D2894="","","TT-"&amp;TEXT(ROW()-1,"00000"))</f>
        <v/>
      </c>
      <c r="B2894" s="3">
        <f>IF(D2894="","",IF(V2894=0,"CONCLUÍDO",IF(D2894&lt;corte,"HISTÓRICO",IF(OR(AND(ISNUMBER(R2894),R2894&lt;TODAY()),AND(OR(N2894="PENDENTE",N2894="PARCIAL"),D2894&lt;TODAY()-1)),"CRÍTICO",IF(OR(AND(P2894&lt;&gt;"",S2894=""),AND(N2894="REALIZADO",M2894="PENDENTE"),AND(ISNUMBER(R2894),R2894=TODAY())),"ATENÇÃO",IF(N(K2894)=0,"PENDENTE","EM ANDAMENTO"))))))</f>
        <v/>
      </c>
      <c r="C2894" s="3">
        <f>IF(D2894="","",IF(V2894=0,"🟢 OK",IF(D2894&lt;corte,"⚪ HISTÓRICO (sem baixa)",IF(AND(ISNUMBER(R2894),R2894&lt;TODAY()),"🔴 PRAZO VENCIDO",IF(AND(OR(N2894="PENDENTE",N2894="PARCIAL"),D2894&lt;TODAY()-1),"🔴 EMBARQUE ATRASADO",IF(AND(N2894="REALIZADO",M2894="PENDENTE"),"🟡 EMBARCADO SEM FATURAR",IF(AND(P2894&lt;&gt;"",S2894="",OR(Q2894="",R2894="")),"🟡 PENDÊNCIA SEM RESPONSÁVEL/PRAZO",IF(AND(ISNUMBER(R2894),R2894=TODAY()),"🟡 VENCE HOJE",IF(AND(P2894&lt;&gt;"",S2894=""),"🟡 PENDÊNCIA ABERTA",IF(AND(N(J2894)&gt;0,N(K2894)&lt;J2894),"🟡 FALTA EXECUTAR",IF(OR(M2894="PENDENTE",M2894="PARCIAL"),"🟡 FATURAMENTO PENDENTE","🟡 EMBARQUE PENDENTE")))))))))))</f>
        <v/>
      </c>
      <c r="D2894" s="4" t="n"/>
      <c r="E2894" s="5" t="n"/>
      <c r="F2894" s="5" t="n"/>
      <c r="G2894" s="5" t="n"/>
      <c r="H2894" s="5" t="n"/>
      <c r="I2894" s="5" t="n"/>
      <c r="J2894" s="6" t="n"/>
      <c r="K2894" s="6" t="n"/>
      <c r="L2894" s="7">
        <f>IF(OR(D2894="",N(J2894)=0),"",MIN(1,N(K2894)/J2894))</f>
        <v/>
      </c>
      <c r="M2894" s="5" t="n"/>
      <c r="N2894" s="5" t="n"/>
      <c r="O2894" s="5" t="n"/>
      <c r="P2894" s="5" t="n"/>
      <c r="Q2894" s="5" t="n"/>
      <c r="R2894" s="4" t="n"/>
      <c r="S2894" s="4" t="n"/>
      <c r="T2894" s="5" t="n"/>
      <c r="U2894" s="8">
        <f>IF(AND(V2894=1,D2894&lt;&gt;""),IF(D2894&gt;=corte,TODAY()-D2894,""),"")</f>
        <v/>
      </c>
      <c r="V2894" s="8">
        <f>IF(D2894="",0,IF(OR(AND(P2894&lt;&gt;"",S2894=""),AND(N(J2894)&gt;0,N(K2894)&lt;J2894),OR(M2894="PENDENTE",M2894="PARCIAL"),OR(N2894="PENDENTE",N2894="PARCIAL")),1,0))</f>
        <v/>
      </c>
      <c r="W2894" s="8">
        <f>IF(AND(V2894=1,D2894&lt;&gt;""),IF(D2894&gt;=corte,(B2894="CRÍTICO")*1E9+(100000-D2894)*10000+10000-ROW(),""),"")</f>
        <v/>
      </c>
      <c r="X2894" s="8">
        <f>IF(AND(V2894=1,D2894=pas_data,E2894=pas_turno),10000-ROW(),"")</f>
        <v/>
      </c>
    </row>
    <row r="2895">
      <c r="A2895" s="3">
        <f>IF(D2895="","","TT-"&amp;TEXT(ROW()-1,"00000"))</f>
        <v/>
      </c>
      <c r="B2895" s="3">
        <f>IF(D2895="","",IF(V2895=0,"CONCLUÍDO",IF(D2895&lt;corte,"HISTÓRICO",IF(OR(AND(ISNUMBER(R2895),R2895&lt;TODAY()),AND(OR(N2895="PENDENTE",N2895="PARCIAL"),D2895&lt;TODAY()-1)),"CRÍTICO",IF(OR(AND(P2895&lt;&gt;"",S2895=""),AND(N2895="REALIZADO",M2895="PENDENTE"),AND(ISNUMBER(R2895),R2895=TODAY())),"ATENÇÃO",IF(N(K2895)=0,"PENDENTE","EM ANDAMENTO"))))))</f>
        <v/>
      </c>
      <c r="C2895" s="3">
        <f>IF(D2895="","",IF(V2895=0,"🟢 OK",IF(D2895&lt;corte,"⚪ HISTÓRICO (sem baixa)",IF(AND(ISNUMBER(R2895),R2895&lt;TODAY()),"🔴 PRAZO VENCIDO",IF(AND(OR(N2895="PENDENTE",N2895="PARCIAL"),D2895&lt;TODAY()-1),"🔴 EMBARQUE ATRASADO",IF(AND(N2895="REALIZADO",M2895="PENDENTE"),"🟡 EMBARCADO SEM FATURAR",IF(AND(P2895&lt;&gt;"",S2895="",OR(Q2895="",R2895="")),"🟡 PENDÊNCIA SEM RESPONSÁVEL/PRAZO",IF(AND(ISNUMBER(R2895),R2895=TODAY()),"🟡 VENCE HOJE",IF(AND(P2895&lt;&gt;"",S2895=""),"🟡 PENDÊNCIA ABERTA",IF(AND(N(J2895)&gt;0,N(K2895)&lt;J2895),"🟡 FALTA EXECUTAR",IF(OR(M2895="PENDENTE",M2895="PARCIAL"),"🟡 FATURAMENTO PENDENTE","🟡 EMBARQUE PENDENTE")))))))))))</f>
        <v/>
      </c>
      <c r="D2895" s="4" t="n"/>
      <c r="E2895" s="5" t="n"/>
      <c r="F2895" s="5" t="n"/>
      <c r="G2895" s="5" t="n"/>
      <c r="H2895" s="5" t="n"/>
      <c r="I2895" s="5" t="n"/>
      <c r="J2895" s="6" t="n"/>
      <c r="K2895" s="6" t="n"/>
      <c r="L2895" s="7">
        <f>IF(OR(D2895="",N(J2895)=0),"",MIN(1,N(K2895)/J2895))</f>
        <v/>
      </c>
      <c r="M2895" s="5" t="n"/>
      <c r="N2895" s="5" t="n"/>
      <c r="O2895" s="5" t="n"/>
      <c r="P2895" s="5" t="n"/>
      <c r="Q2895" s="5" t="n"/>
      <c r="R2895" s="4" t="n"/>
      <c r="S2895" s="4" t="n"/>
      <c r="T2895" s="5" t="n"/>
      <c r="U2895" s="8">
        <f>IF(AND(V2895=1,D2895&lt;&gt;""),IF(D2895&gt;=corte,TODAY()-D2895,""),"")</f>
        <v/>
      </c>
      <c r="V2895" s="8">
        <f>IF(D2895="",0,IF(OR(AND(P2895&lt;&gt;"",S2895=""),AND(N(J2895)&gt;0,N(K2895)&lt;J2895),OR(M2895="PENDENTE",M2895="PARCIAL"),OR(N2895="PENDENTE",N2895="PARCIAL")),1,0))</f>
        <v/>
      </c>
      <c r="W2895" s="8">
        <f>IF(AND(V2895=1,D2895&lt;&gt;""),IF(D2895&gt;=corte,(B2895="CRÍTICO")*1E9+(100000-D2895)*10000+10000-ROW(),""),"")</f>
        <v/>
      </c>
      <c r="X2895" s="8">
        <f>IF(AND(V2895=1,D2895=pas_data,E2895=pas_turno),10000-ROW(),"")</f>
        <v/>
      </c>
    </row>
    <row r="2896">
      <c r="A2896" s="3">
        <f>IF(D2896="","","TT-"&amp;TEXT(ROW()-1,"00000"))</f>
        <v/>
      </c>
      <c r="B2896" s="3">
        <f>IF(D2896="","",IF(V2896=0,"CONCLUÍDO",IF(D2896&lt;corte,"HISTÓRICO",IF(OR(AND(ISNUMBER(R2896),R2896&lt;TODAY()),AND(OR(N2896="PENDENTE",N2896="PARCIAL"),D2896&lt;TODAY()-1)),"CRÍTICO",IF(OR(AND(P2896&lt;&gt;"",S2896=""),AND(N2896="REALIZADO",M2896="PENDENTE"),AND(ISNUMBER(R2896),R2896=TODAY())),"ATENÇÃO",IF(N(K2896)=0,"PENDENTE","EM ANDAMENTO"))))))</f>
        <v/>
      </c>
      <c r="C2896" s="3">
        <f>IF(D2896="","",IF(V2896=0,"🟢 OK",IF(D2896&lt;corte,"⚪ HISTÓRICO (sem baixa)",IF(AND(ISNUMBER(R2896),R2896&lt;TODAY()),"🔴 PRAZO VENCIDO",IF(AND(OR(N2896="PENDENTE",N2896="PARCIAL"),D2896&lt;TODAY()-1),"🔴 EMBARQUE ATRASADO",IF(AND(N2896="REALIZADO",M2896="PENDENTE"),"🟡 EMBARCADO SEM FATURAR",IF(AND(P2896&lt;&gt;"",S2896="",OR(Q2896="",R2896="")),"🟡 PENDÊNCIA SEM RESPONSÁVEL/PRAZO",IF(AND(ISNUMBER(R2896),R2896=TODAY()),"🟡 VENCE HOJE",IF(AND(P2896&lt;&gt;"",S2896=""),"🟡 PENDÊNCIA ABERTA",IF(AND(N(J2896)&gt;0,N(K2896)&lt;J2896),"🟡 FALTA EXECUTAR",IF(OR(M2896="PENDENTE",M2896="PARCIAL"),"🟡 FATURAMENTO PENDENTE","🟡 EMBARQUE PENDENTE")))))))))))</f>
        <v/>
      </c>
      <c r="D2896" s="4" t="n"/>
      <c r="E2896" s="5" t="n"/>
      <c r="F2896" s="5" t="n"/>
      <c r="G2896" s="5" t="n"/>
      <c r="H2896" s="5" t="n"/>
      <c r="I2896" s="5" t="n"/>
      <c r="J2896" s="6" t="n"/>
      <c r="K2896" s="6" t="n"/>
      <c r="L2896" s="7">
        <f>IF(OR(D2896="",N(J2896)=0),"",MIN(1,N(K2896)/J2896))</f>
        <v/>
      </c>
      <c r="M2896" s="5" t="n"/>
      <c r="N2896" s="5" t="n"/>
      <c r="O2896" s="5" t="n"/>
      <c r="P2896" s="5" t="n"/>
      <c r="Q2896" s="5" t="n"/>
      <c r="R2896" s="4" t="n"/>
      <c r="S2896" s="4" t="n"/>
      <c r="T2896" s="5" t="n"/>
      <c r="U2896" s="8">
        <f>IF(AND(V2896=1,D2896&lt;&gt;""),IF(D2896&gt;=corte,TODAY()-D2896,""),"")</f>
        <v/>
      </c>
      <c r="V2896" s="8">
        <f>IF(D2896="",0,IF(OR(AND(P2896&lt;&gt;"",S2896=""),AND(N(J2896)&gt;0,N(K2896)&lt;J2896),OR(M2896="PENDENTE",M2896="PARCIAL"),OR(N2896="PENDENTE",N2896="PARCIAL")),1,0))</f>
        <v/>
      </c>
      <c r="W2896" s="8">
        <f>IF(AND(V2896=1,D2896&lt;&gt;""),IF(D2896&gt;=corte,(B2896="CRÍTICO")*1E9+(100000-D2896)*10000+10000-ROW(),""),"")</f>
        <v/>
      </c>
      <c r="X2896" s="8">
        <f>IF(AND(V2896=1,D2896=pas_data,E2896=pas_turno),10000-ROW(),"")</f>
        <v/>
      </c>
    </row>
    <row r="2897">
      <c r="A2897" s="3">
        <f>IF(D2897="","","TT-"&amp;TEXT(ROW()-1,"00000"))</f>
        <v/>
      </c>
      <c r="B2897" s="3">
        <f>IF(D2897="","",IF(V2897=0,"CONCLUÍDO",IF(D2897&lt;corte,"HISTÓRICO",IF(OR(AND(ISNUMBER(R2897),R2897&lt;TODAY()),AND(OR(N2897="PENDENTE",N2897="PARCIAL"),D2897&lt;TODAY()-1)),"CRÍTICO",IF(OR(AND(P2897&lt;&gt;"",S2897=""),AND(N2897="REALIZADO",M2897="PENDENTE"),AND(ISNUMBER(R2897),R2897=TODAY())),"ATENÇÃO",IF(N(K2897)=0,"PENDENTE","EM ANDAMENTO"))))))</f>
        <v/>
      </c>
      <c r="C2897" s="3">
        <f>IF(D2897="","",IF(V2897=0,"🟢 OK",IF(D2897&lt;corte,"⚪ HISTÓRICO (sem baixa)",IF(AND(ISNUMBER(R2897),R2897&lt;TODAY()),"🔴 PRAZO VENCIDO",IF(AND(OR(N2897="PENDENTE",N2897="PARCIAL"),D2897&lt;TODAY()-1),"🔴 EMBARQUE ATRASADO",IF(AND(N2897="REALIZADO",M2897="PENDENTE"),"🟡 EMBARCADO SEM FATURAR",IF(AND(P2897&lt;&gt;"",S2897="",OR(Q2897="",R2897="")),"🟡 PENDÊNCIA SEM RESPONSÁVEL/PRAZO",IF(AND(ISNUMBER(R2897),R2897=TODAY()),"🟡 VENCE HOJE",IF(AND(P2897&lt;&gt;"",S2897=""),"🟡 PENDÊNCIA ABERTA",IF(AND(N(J2897)&gt;0,N(K2897)&lt;J2897),"🟡 FALTA EXECUTAR",IF(OR(M2897="PENDENTE",M2897="PARCIAL"),"🟡 FATURAMENTO PENDENTE","🟡 EMBARQUE PENDENTE")))))))))))</f>
        <v/>
      </c>
      <c r="D2897" s="4" t="n"/>
      <c r="E2897" s="5" t="n"/>
      <c r="F2897" s="5" t="n"/>
      <c r="G2897" s="5" t="n"/>
      <c r="H2897" s="5" t="n"/>
      <c r="I2897" s="5" t="n"/>
      <c r="J2897" s="6" t="n"/>
      <c r="K2897" s="6" t="n"/>
      <c r="L2897" s="7">
        <f>IF(OR(D2897="",N(J2897)=0),"",MIN(1,N(K2897)/J2897))</f>
        <v/>
      </c>
      <c r="M2897" s="5" t="n"/>
      <c r="N2897" s="5" t="n"/>
      <c r="O2897" s="5" t="n"/>
      <c r="P2897" s="5" t="n"/>
      <c r="Q2897" s="5" t="n"/>
      <c r="R2897" s="4" t="n"/>
      <c r="S2897" s="4" t="n"/>
      <c r="T2897" s="5" t="n"/>
      <c r="U2897" s="8">
        <f>IF(AND(V2897=1,D2897&lt;&gt;""),IF(D2897&gt;=corte,TODAY()-D2897,""),"")</f>
        <v/>
      </c>
      <c r="V2897" s="8">
        <f>IF(D2897="",0,IF(OR(AND(P2897&lt;&gt;"",S2897=""),AND(N(J2897)&gt;0,N(K2897)&lt;J2897),OR(M2897="PENDENTE",M2897="PARCIAL"),OR(N2897="PENDENTE",N2897="PARCIAL")),1,0))</f>
        <v/>
      </c>
      <c r="W2897" s="8">
        <f>IF(AND(V2897=1,D2897&lt;&gt;""),IF(D2897&gt;=corte,(B2897="CRÍTICO")*1E9+(100000-D2897)*10000+10000-ROW(),""),"")</f>
        <v/>
      </c>
      <c r="X2897" s="8">
        <f>IF(AND(V2897=1,D2897=pas_data,E2897=pas_turno),10000-ROW(),"")</f>
        <v/>
      </c>
    </row>
    <row r="2898">
      <c r="A2898" s="3">
        <f>IF(D2898="","","TT-"&amp;TEXT(ROW()-1,"00000"))</f>
        <v/>
      </c>
      <c r="B2898" s="3">
        <f>IF(D2898="","",IF(V2898=0,"CONCLUÍDO",IF(D2898&lt;corte,"HISTÓRICO",IF(OR(AND(ISNUMBER(R2898),R2898&lt;TODAY()),AND(OR(N2898="PENDENTE",N2898="PARCIAL"),D2898&lt;TODAY()-1)),"CRÍTICO",IF(OR(AND(P2898&lt;&gt;"",S2898=""),AND(N2898="REALIZADO",M2898="PENDENTE"),AND(ISNUMBER(R2898),R2898=TODAY())),"ATENÇÃO",IF(N(K2898)=0,"PENDENTE","EM ANDAMENTO"))))))</f>
        <v/>
      </c>
      <c r="C2898" s="3">
        <f>IF(D2898="","",IF(V2898=0,"🟢 OK",IF(D2898&lt;corte,"⚪ HISTÓRICO (sem baixa)",IF(AND(ISNUMBER(R2898),R2898&lt;TODAY()),"🔴 PRAZO VENCIDO",IF(AND(OR(N2898="PENDENTE",N2898="PARCIAL"),D2898&lt;TODAY()-1),"🔴 EMBARQUE ATRASADO",IF(AND(N2898="REALIZADO",M2898="PENDENTE"),"🟡 EMBARCADO SEM FATURAR",IF(AND(P2898&lt;&gt;"",S2898="",OR(Q2898="",R2898="")),"🟡 PENDÊNCIA SEM RESPONSÁVEL/PRAZO",IF(AND(ISNUMBER(R2898),R2898=TODAY()),"🟡 VENCE HOJE",IF(AND(P2898&lt;&gt;"",S2898=""),"🟡 PENDÊNCIA ABERTA",IF(AND(N(J2898)&gt;0,N(K2898)&lt;J2898),"🟡 FALTA EXECUTAR",IF(OR(M2898="PENDENTE",M2898="PARCIAL"),"🟡 FATURAMENTO PENDENTE","🟡 EMBARQUE PENDENTE")))))))))))</f>
        <v/>
      </c>
      <c r="D2898" s="4" t="n"/>
      <c r="E2898" s="5" t="n"/>
      <c r="F2898" s="5" t="n"/>
      <c r="G2898" s="5" t="n"/>
      <c r="H2898" s="5" t="n"/>
      <c r="I2898" s="5" t="n"/>
      <c r="J2898" s="6" t="n"/>
      <c r="K2898" s="6" t="n"/>
      <c r="L2898" s="7">
        <f>IF(OR(D2898="",N(J2898)=0),"",MIN(1,N(K2898)/J2898))</f>
        <v/>
      </c>
      <c r="M2898" s="5" t="n"/>
      <c r="N2898" s="5" t="n"/>
      <c r="O2898" s="5" t="n"/>
      <c r="P2898" s="5" t="n"/>
      <c r="Q2898" s="5" t="n"/>
      <c r="R2898" s="4" t="n"/>
      <c r="S2898" s="4" t="n"/>
      <c r="T2898" s="5" t="n"/>
      <c r="U2898" s="8">
        <f>IF(AND(V2898=1,D2898&lt;&gt;""),IF(D2898&gt;=corte,TODAY()-D2898,""),"")</f>
        <v/>
      </c>
      <c r="V2898" s="8">
        <f>IF(D2898="",0,IF(OR(AND(P2898&lt;&gt;"",S2898=""),AND(N(J2898)&gt;0,N(K2898)&lt;J2898),OR(M2898="PENDENTE",M2898="PARCIAL"),OR(N2898="PENDENTE",N2898="PARCIAL")),1,0))</f>
        <v/>
      </c>
      <c r="W2898" s="8">
        <f>IF(AND(V2898=1,D2898&lt;&gt;""),IF(D2898&gt;=corte,(B2898="CRÍTICO")*1E9+(100000-D2898)*10000+10000-ROW(),""),"")</f>
        <v/>
      </c>
      <c r="X2898" s="8">
        <f>IF(AND(V2898=1,D2898=pas_data,E2898=pas_turno),10000-ROW(),"")</f>
        <v/>
      </c>
    </row>
    <row r="2899">
      <c r="A2899" s="3">
        <f>IF(D2899="","","TT-"&amp;TEXT(ROW()-1,"00000"))</f>
        <v/>
      </c>
      <c r="B2899" s="3">
        <f>IF(D2899="","",IF(V2899=0,"CONCLUÍDO",IF(D2899&lt;corte,"HISTÓRICO",IF(OR(AND(ISNUMBER(R2899),R2899&lt;TODAY()),AND(OR(N2899="PENDENTE",N2899="PARCIAL"),D2899&lt;TODAY()-1)),"CRÍTICO",IF(OR(AND(P2899&lt;&gt;"",S2899=""),AND(N2899="REALIZADO",M2899="PENDENTE"),AND(ISNUMBER(R2899),R2899=TODAY())),"ATENÇÃO",IF(N(K2899)=0,"PENDENTE","EM ANDAMENTO"))))))</f>
        <v/>
      </c>
      <c r="C2899" s="3">
        <f>IF(D2899="","",IF(V2899=0,"🟢 OK",IF(D2899&lt;corte,"⚪ HISTÓRICO (sem baixa)",IF(AND(ISNUMBER(R2899),R2899&lt;TODAY()),"🔴 PRAZO VENCIDO",IF(AND(OR(N2899="PENDENTE",N2899="PARCIAL"),D2899&lt;TODAY()-1),"🔴 EMBARQUE ATRASADO",IF(AND(N2899="REALIZADO",M2899="PENDENTE"),"🟡 EMBARCADO SEM FATURAR",IF(AND(P2899&lt;&gt;"",S2899="",OR(Q2899="",R2899="")),"🟡 PENDÊNCIA SEM RESPONSÁVEL/PRAZO",IF(AND(ISNUMBER(R2899),R2899=TODAY()),"🟡 VENCE HOJE",IF(AND(P2899&lt;&gt;"",S2899=""),"🟡 PENDÊNCIA ABERTA",IF(AND(N(J2899)&gt;0,N(K2899)&lt;J2899),"🟡 FALTA EXECUTAR",IF(OR(M2899="PENDENTE",M2899="PARCIAL"),"🟡 FATURAMENTO PENDENTE","🟡 EMBARQUE PENDENTE")))))))))))</f>
        <v/>
      </c>
      <c r="D2899" s="4" t="n"/>
      <c r="E2899" s="5" t="n"/>
      <c r="F2899" s="5" t="n"/>
      <c r="G2899" s="5" t="n"/>
      <c r="H2899" s="5" t="n"/>
      <c r="I2899" s="5" t="n"/>
      <c r="J2899" s="6" t="n"/>
      <c r="K2899" s="6" t="n"/>
      <c r="L2899" s="7">
        <f>IF(OR(D2899="",N(J2899)=0),"",MIN(1,N(K2899)/J2899))</f>
        <v/>
      </c>
      <c r="M2899" s="5" t="n"/>
      <c r="N2899" s="5" t="n"/>
      <c r="O2899" s="5" t="n"/>
      <c r="P2899" s="5" t="n"/>
      <c r="Q2899" s="5" t="n"/>
      <c r="R2899" s="4" t="n"/>
      <c r="S2899" s="4" t="n"/>
      <c r="T2899" s="5" t="n"/>
      <c r="U2899" s="8">
        <f>IF(AND(V2899=1,D2899&lt;&gt;""),IF(D2899&gt;=corte,TODAY()-D2899,""),"")</f>
        <v/>
      </c>
      <c r="V2899" s="8">
        <f>IF(D2899="",0,IF(OR(AND(P2899&lt;&gt;"",S2899=""),AND(N(J2899)&gt;0,N(K2899)&lt;J2899),OR(M2899="PENDENTE",M2899="PARCIAL"),OR(N2899="PENDENTE",N2899="PARCIAL")),1,0))</f>
        <v/>
      </c>
      <c r="W2899" s="8">
        <f>IF(AND(V2899=1,D2899&lt;&gt;""),IF(D2899&gt;=corte,(B2899="CRÍTICO")*1E9+(100000-D2899)*10000+10000-ROW(),""),"")</f>
        <v/>
      </c>
      <c r="X2899" s="8">
        <f>IF(AND(V2899=1,D2899=pas_data,E2899=pas_turno),10000-ROW(),"")</f>
        <v/>
      </c>
    </row>
    <row r="2900">
      <c r="A2900" s="3">
        <f>IF(D2900="","","TT-"&amp;TEXT(ROW()-1,"00000"))</f>
        <v/>
      </c>
      <c r="B2900" s="3">
        <f>IF(D2900="","",IF(V2900=0,"CONCLUÍDO",IF(D2900&lt;corte,"HISTÓRICO",IF(OR(AND(ISNUMBER(R2900),R2900&lt;TODAY()),AND(OR(N2900="PENDENTE",N2900="PARCIAL"),D2900&lt;TODAY()-1)),"CRÍTICO",IF(OR(AND(P2900&lt;&gt;"",S2900=""),AND(N2900="REALIZADO",M2900="PENDENTE"),AND(ISNUMBER(R2900),R2900=TODAY())),"ATENÇÃO",IF(N(K2900)=0,"PENDENTE","EM ANDAMENTO"))))))</f>
        <v/>
      </c>
      <c r="C2900" s="3">
        <f>IF(D2900="","",IF(V2900=0,"🟢 OK",IF(D2900&lt;corte,"⚪ HISTÓRICO (sem baixa)",IF(AND(ISNUMBER(R2900),R2900&lt;TODAY()),"🔴 PRAZO VENCIDO",IF(AND(OR(N2900="PENDENTE",N2900="PARCIAL"),D2900&lt;TODAY()-1),"🔴 EMBARQUE ATRASADO",IF(AND(N2900="REALIZADO",M2900="PENDENTE"),"🟡 EMBARCADO SEM FATURAR",IF(AND(P2900&lt;&gt;"",S2900="",OR(Q2900="",R2900="")),"🟡 PENDÊNCIA SEM RESPONSÁVEL/PRAZO",IF(AND(ISNUMBER(R2900),R2900=TODAY()),"🟡 VENCE HOJE",IF(AND(P2900&lt;&gt;"",S2900=""),"🟡 PENDÊNCIA ABERTA",IF(AND(N(J2900)&gt;0,N(K2900)&lt;J2900),"🟡 FALTA EXECUTAR",IF(OR(M2900="PENDENTE",M2900="PARCIAL"),"🟡 FATURAMENTO PENDENTE","🟡 EMBARQUE PENDENTE")))))))))))</f>
        <v/>
      </c>
      <c r="D2900" s="4" t="n"/>
      <c r="E2900" s="5" t="n"/>
      <c r="F2900" s="5" t="n"/>
      <c r="G2900" s="5" t="n"/>
      <c r="H2900" s="5" t="n"/>
      <c r="I2900" s="5" t="n"/>
      <c r="J2900" s="6" t="n"/>
      <c r="K2900" s="6" t="n"/>
      <c r="L2900" s="7">
        <f>IF(OR(D2900="",N(J2900)=0),"",MIN(1,N(K2900)/J2900))</f>
        <v/>
      </c>
      <c r="M2900" s="5" t="n"/>
      <c r="N2900" s="5" t="n"/>
      <c r="O2900" s="5" t="n"/>
      <c r="P2900" s="5" t="n"/>
      <c r="Q2900" s="5" t="n"/>
      <c r="R2900" s="4" t="n"/>
      <c r="S2900" s="4" t="n"/>
      <c r="T2900" s="5" t="n"/>
      <c r="U2900" s="8">
        <f>IF(AND(V2900=1,D2900&lt;&gt;""),IF(D2900&gt;=corte,TODAY()-D2900,""),"")</f>
        <v/>
      </c>
      <c r="V2900" s="8">
        <f>IF(D2900="",0,IF(OR(AND(P2900&lt;&gt;"",S2900=""),AND(N(J2900)&gt;0,N(K2900)&lt;J2900),OR(M2900="PENDENTE",M2900="PARCIAL"),OR(N2900="PENDENTE",N2900="PARCIAL")),1,0))</f>
        <v/>
      </c>
      <c r="W2900" s="8">
        <f>IF(AND(V2900=1,D2900&lt;&gt;""),IF(D2900&gt;=corte,(B2900="CRÍTICO")*1E9+(100000-D2900)*10000+10000-ROW(),""),"")</f>
        <v/>
      </c>
      <c r="X2900" s="8">
        <f>IF(AND(V2900=1,D2900=pas_data,E2900=pas_turno),10000-ROW(),"")</f>
        <v/>
      </c>
    </row>
    <row r="2901">
      <c r="A2901" s="3">
        <f>IF(D2901="","","TT-"&amp;TEXT(ROW()-1,"00000"))</f>
        <v/>
      </c>
      <c r="B2901" s="3">
        <f>IF(D2901="","",IF(V2901=0,"CONCLUÍDO",IF(D2901&lt;corte,"HISTÓRICO",IF(OR(AND(ISNUMBER(R2901),R2901&lt;TODAY()),AND(OR(N2901="PENDENTE",N2901="PARCIAL"),D2901&lt;TODAY()-1)),"CRÍTICO",IF(OR(AND(P2901&lt;&gt;"",S2901=""),AND(N2901="REALIZADO",M2901="PENDENTE"),AND(ISNUMBER(R2901),R2901=TODAY())),"ATENÇÃO",IF(N(K2901)=0,"PENDENTE","EM ANDAMENTO"))))))</f>
        <v/>
      </c>
      <c r="C2901" s="3">
        <f>IF(D2901="","",IF(V2901=0,"🟢 OK",IF(D2901&lt;corte,"⚪ HISTÓRICO (sem baixa)",IF(AND(ISNUMBER(R2901),R2901&lt;TODAY()),"🔴 PRAZO VENCIDO",IF(AND(OR(N2901="PENDENTE",N2901="PARCIAL"),D2901&lt;TODAY()-1),"🔴 EMBARQUE ATRASADO",IF(AND(N2901="REALIZADO",M2901="PENDENTE"),"🟡 EMBARCADO SEM FATURAR",IF(AND(P2901&lt;&gt;"",S2901="",OR(Q2901="",R2901="")),"🟡 PENDÊNCIA SEM RESPONSÁVEL/PRAZO",IF(AND(ISNUMBER(R2901),R2901=TODAY()),"🟡 VENCE HOJE",IF(AND(P2901&lt;&gt;"",S2901=""),"🟡 PENDÊNCIA ABERTA",IF(AND(N(J2901)&gt;0,N(K2901)&lt;J2901),"🟡 FALTA EXECUTAR",IF(OR(M2901="PENDENTE",M2901="PARCIAL"),"🟡 FATURAMENTO PENDENTE","🟡 EMBARQUE PENDENTE")))))))))))</f>
        <v/>
      </c>
      <c r="D2901" s="4" t="n"/>
      <c r="E2901" s="5" t="n"/>
      <c r="F2901" s="5" t="n"/>
      <c r="G2901" s="5" t="n"/>
      <c r="H2901" s="5" t="n"/>
      <c r="I2901" s="5" t="n"/>
      <c r="J2901" s="6" t="n"/>
      <c r="K2901" s="6" t="n"/>
      <c r="L2901" s="7">
        <f>IF(OR(D2901="",N(J2901)=0),"",MIN(1,N(K2901)/J2901))</f>
        <v/>
      </c>
      <c r="M2901" s="5" t="n"/>
      <c r="N2901" s="5" t="n"/>
      <c r="O2901" s="5" t="n"/>
      <c r="P2901" s="5" t="n"/>
      <c r="Q2901" s="5" t="n"/>
      <c r="R2901" s="4" t="n"/>
      <c r="S2901" s="4" t="n"/>
      <c r="T2901" s="5" t="n"/>
      <c r="U2901" s="8">
        <f>IF(AND(V2901=1,D2901&lt;&gt;""),IF(D2901&gt;=corte,TODAY()-D2901,""),"")</f>
        <v/>
      </c>
      <c r="V2901" s="8">
        <f>IF(D2901="",0,IF(OR(AND(P2901&lt;&gt;"",S2901=""),AND(N(J2901)&gt;0,N(K2901)&lt;J2901),OR(M2901="PENDENTE",M2901="PARCIAL"),OR(N2901="PENDENTE",N2901="PARCIAL")),1,0))</f>
        <v/>
      </c>
      <c r="W2901" s="8">
        <f>IF(AND(V2901=1,D2901&lt;&gt;""),IF(D2901&gt;=corte,(B2901="CRÍTICO")*1E9+(100000-D2901)*10000+10000-ROW(),""),"")</f>
        <v/>
      </c>
      <c r="X2901" s="8">
        <f>IF(AND(V2901=1,D2901=pas_data,E2901=pas_turno),10000-ROW(),"")</f>
        <v/>
      </c>
    </row>
    <row r="2902">
      <c r="A2902" s="3">
        <f>IF(D2902="","","TT-"&amp;TEXT(ROW()-1,"00000"))</f>
        <v/>
      </c>
      <c r="B2902" s="3">
        <f>IF(D2902="","",IF(V2902=0,"CONCLUÍDO",IF(D2902&lt;corte,"HISTÓRICO",IF(OR(AND(ISNUMBER(R2902),R2902&lt;TODAY()),AND(OR(N2902="PENDENTE",N2902="PARCIAL"),D2902&lt;TODAY()-1)),"CRÍTICO",IF(OR(AND(P2902&lt;&gt;"",S2902=""),AND(N2902="REALIZADO",M2902="PENDENTE"),AND(ISNUMBER(R2902),R2902=TODAY())),"ATENÇÃO",IF(N(K2902)=0,"PENDENTE","EM ANDAMENTO"))))))</f>
        <v/>
      </c>
      <c r="C2902" s="3">
        <f>IF(D2902="","",IF(V2902=0,"🟢 OK",IF(D2902&lt;corte,"⚪ HISTÓRICO (sem baixa)",IF(AND(ISNUMBER(R2902),R2902&lt;TODAY()),"🔴 PRAZO VENCIDO",IF(AND(OR(N2902="PENDENTE",N2902="PARCIAL"),D2902&lt;TODAY()-1),"🔴 EMBARQUE ATRASADO",IF(AND(N2902="REALIZADO",M2902="PENDENTE"),"🟡 EMBARCADO SEM FATURAR",IF(AND(P2902&lt;&gt;"",S2902="",OR(Q2902="",R2902="")),"🟡 PENDÊNCIA SEM RESPONSÁVEL/PRAZO",IF(AND(ISNUMBER(R2902),R2902=TODAY()),"🟡 VENCE HOJE",IF(AND(P2902&lt;&gt;"",S2902=""),"🟡 PENDÊNCIA ABERTA",IF(AND(N(J2902)&gt;0,N(K2902)&lt;J2902),"🟡 FALTA EXECUTAR",IF(OR(M2902="PENDENTE",M2902="PARCIAL"),"🟡 FATURAMENTO PENDENTE","🟡 EMBARQUE PENDENTE")))))))))))</f>
        <v/>
      </c>
      <c r="D2902" s="4" t="n"/>
      <c r="E2902" s="5" t="n"/>
      <c r="F2902" s="5" t="n"/>
      <c r="G2902" s="5" t="n"/>
      <c r="H2902" s="5" t="n"/>
      <c r="I2902" s="5" t="n"/>
      <c r="J2902" s="6" t="n"/>
      <c r="K2902" s="6" t="n"/>
      <c r="L2902" s="7">
        <f>IF(OR(D2902="",N(J2902)=0),"",MIN(1,N(K2902)/J2902))</f>
        <v/>
      </c>
      <c r="M2902" s="5" t="n"/>
      <c r="N2902" s="5" t="n"/>
      <c r="O2902" s="5" t="n"/>
      <c r="P2902" s="5" t="n"/>
      <c r="Q2902" s="5" t="n"/>
      <c r="R2902" s="4" t="n"/>
      <c r="S2902" s="4" t="n"/>
      <c r="T2902" s="5" t="n"/>
      <c r="U2902" s="8">
        <f>IF(AND(V2902=1,D2902&lt;&gt;""),IF(D2902&gt;=corte,TODAY()-D2902,""),"")</f>
        <v/>
      </c>
      <c r="V2902" s="8">
        <f>IF(D2902="",0,IF(OR(AND(P2902&lt;&gt;"",S2902=""),AND(N(J2902)&gt;0,N(K2902)&lt;J2902),OR(M2902="PENDENTE",M2902="PARCIAL"),OR(N2902="PENDENTE",N2902="PARCIAL")),1,0))</f>
        <v/>
      </c>
      <c r="W2902" s="8">
        <f>IF(AND(V2902=1,D2902&lt;&gt;""),IF(D2902&gt;=corte,(B2902="CRÍTICO")*1E9+(100000-D2902)*10000+10000-ROW(),""),"")</f>
        <v/>
      </c>
      <c r="X2902" s="8">
        <f>IF(AND(V2902=1,D2902=pas_data,E2902=pas_turno),10000-ROW(),"")</f>
        <v/>
      </c>
    </row>
    <row r="2903">
      <c r="A2903" s="3">
        <f>IF(D2903="","","TT-"&amp;TEXT(ROW()-1,"00000"))</f>
        <v/>
      </c>
      <c r="B2903" s="3">
        <f>IF(D2903="","",IF(V2903=0,"CONCLUÍDO",IF(D2903&lt;corte,"HISTÓRICO",IF(OR(AND(ISNUMBER(R2903),R2903&lt;TODAY()),AND(OR(N2903="PENDENTE",N2903="PARCIAL"),D2903&lt;TODAY()-1)),"CRÍTICO",IF(OR(AND(P2903&lt;&gt;"",S2903=""),AND(N2903="REALIZADO",M2903="PENDENTE"),AND(ISNUMBER(R2903),R2903=TODAY())),"ATENÇÃO",IF(N(K2903)=0,"PENDENTE","EM ANDAMENTO"))))))</f>
        <v/>
      </c>
      <c r="C2903" s="3">
        <f>IF(D2903="","",IF(V2903=0,"🟢 OK",IF(D2903&lt;corte,"⚪ HISTÓRICO (sem baixa)",IF(AND(ISNUMBER(R2903),R2903&lt;TODAY()),"🔴 PRAZO VENCIDO",IF(AND(OR(N2903="PENDENTE",N2903="PARCIAL"),D2903&lt;TODAY()-1),"🔴 EMBARQUE ATRASADO",IF(AND(N2903="REALIZADO",M2903="PENDENTE"),"🟡 EMBARCADO SEM FATURAR",IF(AND(P2903&lt;&gt;"",S2903="",OR(Q2903="",R2903="")),"🟡 PENDÊNCIA SEM RESPONSÁVEL/PRAZO",IF(AND(ISNUMBER(R2903),R2903=TODAY()),"🟡 VENCE HOJE",IF(AND(P2903&lt;&gt;"",S2903=""),"🟡 PENDÊNCIA ABERTA",IF(AND(N(J2903)&gt;0,N(K2903)&lt;J2903),"🟡 FALTA EXECUTAR",IF(OR(M2903="PENDENTE",M2903="PARCIAL"),"🟡 FATURAMENTO PENDENTE","🟡 EMBARQUE PENDENTE")))))))))))</f>
        <v/>
      </c>
      <c r="D2903" s="4" t="n"/>
      <c r="E2903" s="5" t="n"/>
      <c r="F2903" s="5" t="n"/>
      <c r="G2903" s="5" t="n"/>
      <c r="H2903" s="5" t="n"/>
      <c r="I2903" s="5" t="n"/>
      <c r="J2903" s="6" t="n"/>
      <c r="K2903" s="6" t="n"/>
      <c r="L2903" s="7">
        <f>IF(OR(D2903="",N(J2903)=0),"",MIN(1,N(K2903)/J2903))</f>
        <v/>
      </c>
      <c r="M2903" s="5" t="n"/>
      <c r="N2903" s="5" t="n"/>
      <c r="O2903" s="5" t="n"/>
      <c r="P2903" s="5" t="n"/>
      <c r="Q2903" s="5" t="n"/>
      <c r="R2903" s="4" t="n"/>
      <c r="S2903" s="4" t="n"/>
      <c r="T2903" s="5" t="n"/>
      <c r="U2903" s="8">
        <f>IF(AND(V2903=1,D2903&lt;&gt;""),IF(D2903&gt;=corte,TODAY()-D2903,""),"")</f>
        <v/>
      </c>
      <c r="V2903" s="8">
        <f>IF(D2903="",0,IF(OR(AND(P2903&lt;&gt;"",S2903=""),AND(N(J2903)&gt;0,N(K2903)&lt;J2903),OR(M2903="PENDENTE",M2903="PARCIAL"),OR(N2903="PENDENTE",N2903="PARCIAL")),1,0))</f>
        <v/>
      </c>
      <c r="W2903" s="8">
        <f>IF(AND(V2903=1,D2903&lt;&gt;""),IF(D2903&gt;=corte,(B2903="CRÍTICO")*1E9+(100000-D2903)*10000+10000-ROW(),""),"")</f>
        <v/>
      </c>
      <c r="X2903" s="8">
        <f>IF(AND(V2903=1,D2903=pas_data,E2903=pas_turno),10000-ROW(),"")</f>
        <v/>
      </c>
    </row>
    <row r="2904">
      <c r="A2904" s="3">
        <f>IF(D2904="","","TT-"&amp;TEXT(ROW()-1,"00000"))</f>
        <v/>
      </c>
      <c r="B2904" s="3">
        <f>IF(D2904="","",IF(V2904=0,"CONCLUÍDO",IF(D2904&lt;corte,"HISTÓRICO",IF(OR(AND(ISNUMBER(R2904),R2904&lt;TODAY()),AND(OR(N2904="PENDENTE",N2904="PARCIAL"),D2904&lt;TODAY()-1)),"CRÍTICO",IF(OR(AND(P2904&lt;&gt;"",S2904=""),AND(N2904="REALIZADO",M2904="PENDENTE"),AND(ISNUMBER(R2904),R2904=TODAY())),"ATENÇÃO",IF(N(K2904)=0,"PENDENTE","EM ANDAMENTO"))))))</f>
        <v/>
      </c>
      <c r="C2904" s="3">
        <f>IF(D2904="","",IF(V2904=0,"🟢 OK",IF(D2904&lt;corte,"⚪ HISTÓRICO (sem baixa)",IF(AND(ISNUMBER(R2904),R2904&lt;TODAY()),"🔴 PRAZO VENCIDO",IF(AND(OR(N2904="PENDENTE",N2904="PARCIAL"),D2904&lt;TODAY()-1),"🔴 EMBARQUE ATRASADO",IF(AND(N2904="REALIZADO",M2904="PENDENTE"),"🟡 EMBARCADO SEM FATURAR",IF(AND(P2904&lt;&gt;"",S2904="",OR(Q2904="",R2904="")),"🟡 PENDÊNCIA SEM RESPONSÁVEL/PRAZO",IF(AND(ISNUMBER(R2904),R2904=TODAY()),"🟡 VENCE HOJE",IF(AND(P2904&lt;&gt;"",S2904=""),"🟡 PENDÊNCIA ABERTA",IF(AND(N(J2904)&gt;0,N(K2904)&lt;J2904),"🟡 FALTA EXECUTAR",IF(OR(M2904="PENDENTE",M2904="PARCIAL"),"🟡 FATURAMENTO PENDENTE","🟡 EMBARQUE PENDENTE")))))))))))</f>
        <v/>
      </c>
      <c r="D2904" s="4" t="n"/>
      <c r="E2904" s="5" t="n"/>
      <c r="F2904" s="5" t="n"/>
      <c r="G2904" s="5" t="n"/>
      <c r="H2904" s="5" t="n"/>
      <c r="I2904" s="5" t="n"/>
      <c r="J2904" s="6" t="n"/>
      <c r="K2904" s="6" t="n"/>
      <c r="L2904" s="7">
        <f>IF(OR(D2904="",N(J2904)=0),"",MIN(1,N(K2904)/J2904))</f>
        <v/>
      </c>
      <c r="M2904" s="5" t="n"/>
      <c r="N2904" s="5" t="n"/>
      <c r="O2904" s="5" t="n"/>
      <c r="P2904" s="5" t="n"/>
      <c r="Q2904" s="5" t="n"/>
      <c r="R2904" s="4" t="n"/>
      <c r="S2904" s="4" t="n"/>
      <c r="T2904" s="5" t="n"/>
      <c r="U2904" s="8">
        <f>IF(AND(V2904=1,D2904&lt;&gt;""),IF(D2904&gt;=corte,TODAY()-D2904,""),"")</f>
        <v/>
      </c>
      <c r="V2904" s="8">
        <f>IF(D2904="",0,IF(OR(AND(P2904&lt;&gt;"",S2904=""),AND(N(J2904)&gt;0,N(K2904)&lt;J2904),OR(M2904="PENDENTE",M2904="PARCIAL"),OR(N2904="PENDENTE",N2904="PARCIAL")),1,0))</f>
        <v/>
      </c>
      <c r="W2904" s="8">
        <f>IF(AND(V2904=1,D2904&lt;&gt;""),IF(D2904&gt;=corte,(B2904="CRÍTICO")*1E9+(100000-D2904)*10000+10000-ROW(),""),"")</f>
        <v/>
      </c>
      <c r="X2904" s="8">
        <f>IF(AND(V2904=1,D2904=pas_data,E2904=pas_turno),10000-ROW(),"")</f>
        <v/>
      </c>
    </row>
    <row r="2905">
      <c r="A2905" s="3">
        <f>IF(D2905="","","TT-"&amp;TEXT(ROW()-1,"00000"))</f>
        <v/>
      </c>
      <c r="B2905" s="3">
        <f>IF(D2905="","",IF(V2905=0,"CONCLUÍDO",IF(D2905&lt;corte,"HISTÓRICO",IF(OR(AND(ISNUMBER(R2905),R2905&lt;TODAY()),AND(OR(N2905="PENDENTE",N2905="PARCIAL"),D2905&lt;TODAY()-1)),"CRÍTICO",IF(OR(AND(P2905&lt;&gt;"",S2905=""),AND(N2905="REALIZADO",M2905="PENDENTE"),AND(ISNUMBER(R2905),R2905=TODAY())),"ATENÇÃO",IF(N(K2905)=0,"PENDENTE","EM ANDAMENTO"))))))</f>
        <v/>
      </c>
      <c r="C2905" s="3">
        <f>IF(D2905="","",IF(V2905=0,"🟢 OK",IF(D2905&lt;corte,"⚪ HISTÓRICO (sem baixa)",IF(AND(ISNUMBER(R2905),R2905&lt;TODAY()),"🔴 PRAZO VENCIDO",IF(AND(OR(N2905="PENDENTE",N2905="PARCIAL"),D2905&lt;TODAY()-1),"🔴 EMBARQUE ATRASADO",IF(AND(N2905="REALIZADO",M2905="PENDENTE"),"🟡 EMBARCADO SEM FATURAR",IF(AND(P2905&lt;&gt;"",S2905="",OR(Q2905="",R2905="")),"🟡 PENDÊNCIA SEM RESPONSÁVEL/PRAZO",IF(AND(ISNUMBER(R2905),R2905=TODAY()),"🟡 VENCE HOJE",IF(AND(P2905&lt;&gt;"",S2905=""),"🟡 PENDÊNCIA ABERTA",IF(AND(N(J2905)&gt;0,N(K2905)&lt;J2905),"🟡 FALTA EXECUTAR",IF(OR(M2905="PENDENTE",M2905="PARCIAL"),"🟡 FATURAMENTO PENDENTE","🟡 EMBARQUE PENDENTE")))))))))))</f>
        <v/>
      </c>
      <c r="D2905" s="4" t="n"/>
      <c r="E2905" s="5" t="n"/>
      <c r="F2905" s="5" t="n"/>
      <c r="G2905" s="5" t="n"/>
      <c r="H2905" s="5" t="n"/>
      <c r="I2905" s="5" t="n"/>
      <c r="J2905" s="6" t="n"/>
      <c r="K2905" s="6" t="n"/>
      <c r="L2905" s="7">
        <f>IF(OR(D2905="",N(J2905)=0),"",MIN(1,N(K2905)/J2905))</f>
        <v/>
      </c>
      <c r="M2905" s="5" t="n"/>
      <c r="N2905" s="5" t="n"/>
      <c r="O2905" s="5" t="n"/>
      <c r="P2905" s="5" t="n"/>
      <c r="Q2905" s="5" t="n"/>
      <c r="R2905" s="4" t="n"/>
      <c r="S2905" s="4" t="n"/>
      <c r="T2905" s="5" t="n"/>
      <c r="U2905" s="8">
        <f>IF(AND(V2905=1,D2905&lt;&gt;""),IF(D2905&gt;=corte,TODAY()-D2905,""),"")</f>
        <v/>
      </c>
      <c r="V2905" s="8">
        <f>IF(D2905="",0,IF(OR(AND(P2905&lt;&gt;"",S2905=""),AND(N(J2905)&gt;0,N(K2905)&lt;J2905),OR(M2905="PENDENTE",M2905="PARCIAL"),OR(N2905="PENDENTE",N2905="PARCIAL")),1,0))</f>
        <v/>
      </c>
      <c r="W2905" s="8">
        <f>IF(AND(V2905=1,D2905&lt;&gt;""),IF(D2905&gt;=corte,(B2905="CRÍTICO")*1E9+(100000-D2905)*10000+10000-ROW(),""),"")</f>
        <v/>
      </c>
      <c r="X2905" s="8">
        <f>IF(AND(V2905=1,D2905=pas_data,E2905=pas_turno),10000-ROW(),"")</f>
        <v/>
      </c>
    </row>
    <row r="2906">
      <c r="A2906" s="3">
        <f>IF(D2906="","","TT-"&amp;TEXT(ROW()-1,"00000"))</f>
        <v/>
      </c>
      <c r="B2906" s="3">
        <f>IF(D2906="","",IF(V2906=0,"CONCLUÍDO",IF(D2906&lt;corte,"HISTÓRICO",IF(OR(AND(ISNUMBER(R2906),R2906&lt;TODAY()),AND(OR(N2906="PENDENTE",N2906="PARCIAL"),D2906&lt;TODAY()-1)),"CRÍTICO",IF(OR(AND(P2906&lt;&gt;"",S2906=""),AND(N2906="REALIZADO",M2906="PENDENTE"),AND(ISNUMBER(R2906),R2906=TODAY())),"ATENÇÃO",IF(N(K2906)=0,"PENDENTE","EM ANDAMENTO"))))))</f>
        <v/>
      </c>
      <c r="C2906" s="3">
        <f>IF(D2906="","",IF(V2906=0,"🟢 OK",IF(D2906&lt;corte,"⚪ HISTÓRICO (sem baixa)",IF(AND(ISNUMBER(R2906),R2906&lt;TODAY()),"🔴 PRAZO VENCIDO",IF(AND(OR(N2906="PENDENTE",N2906="PARCIAL"),D2906&lt;TODAY()-1),"🔴 EMBARQUE ATRASADO",IF(AND(N2906="REALIZADO",M2906="PENDENTE"),"🟡 EMBARCADO SEM FATURAR",IF(AND(P2906&lt;&gt;"",S2906="",OR(Q2906="",R2906="")),"🟡 PENDÊNCIA SEM RESPONSÁVEL/PRAZO",IF(AND(ISNUMBER(R2906),R2906=TODAY()),"🟡 VENCE HOJE",IF(AND(P2906&lt;&gt;"",S2906=""),"🟡 PENDÊNCIA ABERTA",IF(AND(N(J2906)&gt;0,N(K2906)&lt;J2906),"🟡 FALTA EXECUTAR",IF(OR(M2906="PENDENTE",M2906="PARCIAL"),"🟡 FATURAMENTO PENDENTE","🟡 EMBARQUE PENDENTE")))))))))))</f>
        <v/>
      </c>
      <c r="D2906" s="4" t="n"/>
      <c r="E2906" s="5" t="n"/>
      <c r="F2906" s="5" t="n"/>
      <c r="G2906" s="5" t="n"/>
      <c r="H2906" s="5" t="n"/>
      <c r="I2906" s="5" t="n"/>
      <c r="J2906" s="6" t="n"/>
      <c r="K2906" s="6" t="n"/>
      <c r="L2906" s="7">
        <f>IF(OR(D2906="",N(J2906)=0),"",MIN(1,N(K2906)/J2906))</f>
        <v/>
      </c>
      <c r="M2906" s="5" t="n"/>
      <c r="N2906" s="5" t="n"/>
      <c r="O2906" s="5" t="n"/>
      <c r="P2906" s="5" t="n"/>
      <c r="Q2906" s="5" t="n"/>
      <c r="R2906" s="4" t="n"/>
      <c r="S2906" s="4" t="n"/>
      <c r="T2906" s="5" t="n"/>
      <c r="U2906" s="8">
        <f>IF(AND(V2906=1,D2906&lt;&gt;""),IF(D2906&gt;=corte,TODAY()-D2906,""),"")</f>
        <v/>
      </c>
      <c r="V2906" s="8">
        <f>IF(D2906="",0,IF(OR(AND(P2906&lt;&gt;"",S2906=""),AND(N(J2906)&gt;0,N(K2906)&lt;J2906),OR(M2906="PENDENTE",M2906="PARCIAL"),OR(N2906="PENDENTE",N2906="PARCIAL")),1,0))</f>
        <v/>
      </c>
      <c r="W2906" s="8">
        <f>IF(AND(V2906=1,D2906&lt;&gt;""),IF(D2906&gt;=corte,(B2906="CRÍTICO")*1E9+(100000-D2906)*10000+10000-ROW(),""),"")</f>
        <v/>
      </c>
      <c r="X2906" s="8">
        <f>IF(AND(V2906=1,D2906=pas_data,E2906=pas_turno),10000-ROW(),"")</f>
        <v/>
      </c>
    </row>
    <row r="2907">
      <c r="A2907" s="3">
        <f>IF(D2907="","","TT-"&amp;TEXT(ROW()-1,"00000"))</f>
        <v/>
      </c>
      <c r="B2907" s="3">
        <f>IF(D2907="","",IF(V2907=0,"CONCLUÍDO",IF(D2907&lt;corte,"HISTÓRICO",IF(OR(AND(ISNUMBER(R2907),R2907&lt;TODAY()),AND(OR(N2907="PENDENTE",N2907="PARCIAL"),D2907&lt;TODAY()-1)),"CRÍTICO",IF(OR(AND(P2907&lt;&gt;"",S2907=""),AND(N2907="REALIZADO",M2907="PENDENTE"),AND(ISNUMBER(R2907),R2907=TODAY())),"ATENÇÃO",IF(N(K2907)=0,"PENDENTE","EM ANDAMENTO"))))))</f>
        <v/>
      </c>
      <c r="C2907" s="3">
        <f>IF(D2907="","",IF(V2907=0,"🟢 OK",IF(D2907&lt;corte,"⚪ HISTÓRICO (sem baixa)",IF(AND(ISNUMBER(R2907),R2907&lt;TODAY()),"🔴 PRAZO VENCIDO",IF(AND(OR(N2907="PENDENTE",N2907="PARCIAL"),D2907&lt;TODAY()-1),"🔴 EMBARQUE ATRASADO",IF(AND(N2907="REALIZADO",M2907="PENDENTE"),"🟡 EMBARCADO SEM FATURAR",IF(AND(P2907&lt;&gt;"",S2907="",OR(Q2907="",R2907="")),"🟡 PENDÊNCIA SEM RESPONSÁVEL/PRAZO",IF(AND(ISNUMBER(R2907),R2907=TODAY()),"🟡 VENCE HOJE",IF(AND(P2907&lt;&gt;"",S2907=""),"🟡 PENDÊNCIA ABERTA",IF(AND(N(J2907)&gt;0,N(K2907)&lt;J2907),"🟡 FALTA EXECUTAR",IF(OR(M2907="PENDENTE",M2907="PARCIAL"),"🟡 FATURAMENTO PENDENTE","🟡 EMBARQUE PENDENTE")))))))))))</f>
        <v/>
      </c>
      <c r="D2907" s="4" t="n"/>
      <c r="E2907" s="5" t="n"/>
      <c r="F2907" s="5" t="n"/>
      <c r="G2907" s="5" t="n"/>
      <c r="H2907" s="5" t="n"/>
      <c r="I2907" s="5" t="n"/>
      <c r="J2907" s="6" t="n"/>
      <c r="K2907" s="6" t="n"/>
      <c r="L2907" s="7">
        <f>IF(OR(D2907="",N(J2907)=0),"",MIN(1,N(K2907)/J2907))</f>
        <v/>
      </c>
      <c r="M2907" s="5" t="n"/>
      <c r="N2907" s="5" t="n"/>
      <c r="O2907" s="5" t="n"/>
      <c r="P2907" s="5" t="n"/>
      <c r="Q2907" s="5" t="n"/>
      <c r="R2907" s="4" t="n"/>
      <c r="S2907" s="4" t="n"/>
      <c r="T2907" s="5" t="n"/>
      <c r="U2907" s="8">
        <f>IF(AND(V2907=1,D2907&lt;&gt;""),IF(D2907&gt;=corte,TODAY()-D2907,""),"")</f>
        <v/>
      </c>
      <c r="V2907" s="8">
        <f>IF(D2907="",0,IF(OR(AND(P2907&lt;&gt;"",S2907=""),AND(N(J2907)&gt;0,N(K2907)&lt;J2907),OR(M2907="PENDENTE",M2907="PARCIAL"),OR(N2907="PENDENTE",N2907="PARCIAL")),1,0))</f>
        <v/>
      </c>
      <c r="W2907" s="8">
        <f>IF(AND(V2907=1,D2907&lt;&gt;""),IF(D2907&gt;=corte,(B2907="CRÍTICO")*1E9+(100000-D2907)*10000+10000-ROW(),""),"")</f>
        <v/>
      </c>
      <c r="X2907" s="8">
        <f>IF(AND(V2907=1,D2907=pas_data,E2907=pas_turno),10000-ROW(),"")</f>
        <v/>
      </c>
    </row>
    <row r="2908">
      <c r="A2908" s="3">
        <f>IF(D2908="","","TT-"&amp;TEXT(ROW()-1,"00000"))</f>
        <v/>
      </c>
      <c r="B2908" s="3">
        <f>IF(D2908="","",IF(V2908=0,"CONCLUÍDO",IF(D2908&lt;corte,"HISTÓRICO",IF(OR(AND(ISNUMBER(R2908),R2908&lt;TODAY()),AND(OR(N2908="PENDENTE",N2908="PARCIAL"),D2908&lt;TODAY()-1)),"CRÍTICO",IF(OR(AND(P2908&lt;&gt;"",S2908=""),AND(N2908="REALIZADO",M2908="PENDENTE"),AND(ISNUMBER(R2908),R2908=TODAY())),"ATENÇÃO",IF(N(K2908)=0,"PENDENTE","EM ANDAMENTO"))))))</f>
        <v/>
      </c>
      <c r="C2908" s="3">
        <f>IF(D2908="","",IF(V2908=0,"🟢 OK",IF(D2908&lt;corte,"⚪ HISTÓRICO (sem baixa)",IF(AND(ISNUMBER(R2908),R2908&lt;TODAY()),"🔴 PRAZO VENCIDO",IF(AND(OR(N2908="PENDENTE",N2908="PARCIAL"),D2908&lt;TODAY()-1),"🔴 EMBARQUE ATRASADO",IF(AND(N2908="REALIZADO",M2908="PENDENTE"),"🟡 EMBARCADO SEM FATURAR",IF(AND(P2908&lt;&gt;"",S2908="",OR(Q2908="",R2908="")),"🟡 PENDÊNCIA SEM RESPONSÁVEL/PRAZO",IF(AND(ISNUMBER(R2908),R2908=TODAY()),"🟡 VENCE HOJE",IF(AND(P2908&lt;&gt;"",S2908=""),"🟡 PENDÊNCIA ABERTA",IF(AND(N(J2908)&gt;0,N(K2908)&lt;J2908),"🟡 FALTA EXECUTAR",IF(OR(M2908="PENDENTE",M2908="PARCIAL"),"🟡 FATURAMENTO PENDENTE","🟡 EMBARQUE PENDENTE")))))))))))</f>
        <v/>
      </c>
      <c r="D2908" s="4" t="n"/>
      <c r="E2908" s="5" t="n"/>
      <c r="F2908" s="5" t="n"/>
      <c r="G2908" s="5" t="n"/>
      <c r="H2908" s="5" t="n"/>
      <c r="I2908" s="5" t="n"/>
      <c r="J2908" s="6" t="n"/>
      <c r="K2908" s="6" t="n"/>
      <c r="L2908" s="7">
        <f>IF(OR(D2908="",N(J2908)=0),"",MIN(1,N(K2908)/J2908))</f>
        <v/>
      </c>
      <c r="M2908" s="5" t="n"/>
      <c r="N2908" s="5" t="n"/>
      <c r="O2908" s="5" t="n"/>
      <c r="P2908" s="5" t="n"/>
      <c r="Q2908" s="5" t="n"/>
      <c r="R2908" s="4" t="n"/>
      <c r="S2908" s="4" t="n"/>
      <c r="T2908" s="5" t="n"/>
      <c r="U2908" s="8">
        <f>IF(AND(V2908=1,D2908&lt;&gt;""),IF(D2908&gt;=corte,TODAY()-D2908,""),"")</f>
        <v/>
      </c>
      <c r="V2908" s="8">
        <f>IF(D2908="",0,IF(OR(AND(P2908&lt;&gt;"",S2908=""),AND(N(J2908)&gt;0,N(K2908)&lt;J2908),OR(M2908="PENDENTE",M2908="PARCIAL"),OR(N2908="PENDENTE",N2908="PARCIAL")),1,0))</f>
        <v/>
      </c>
      <c r="W2908" s="8">
        <f>IF(AND(V2908=1,D2908&lt;&gt;""),IF(D2908&gt;=corte,(B2908="CRÍTICO")*1E9+(100000-D2908)*10000+10000-ROW(),""),"")</f>
        <v/>
      </c>
      <c r="X2908" s="8">
        <f>IF(AND(V2908=1,D2908=pas_data,E2908=pas_turno),10000-ROW(),"")</f>
        <v/>
      </c>
    </row>
    <row r="2909">
      <c r="A2909" s="3">
        <f>IF(D2909="","","TT-"&amp;TEXT(ROW()-1,"00000"))</f>
        <v/>
      </c>
      <c r="B2909" s="3">
        <f>IF(D2909="","",IF(V2909=0,"CONCLUÍDO",IF(D2909&lt;corte,"HISTÓRICO",IF(OR(AND(ISNUMBER(R2909),R2909&lt;TODAY()),AND(OR(N2909="PENDENTE",N2909="PARCIAL"),D2909&lt;TODAY()-1)),"CRÍTICO",IF(OR(AND(P2909&lt;&gt;"",S2909=""),AND(N2909="REALIZADO",M2909="PENDENTE"),AND(ISNUMBER(R2909),R2909=TODAY())),"ATENÇÃO",IF(N(K2909)=0,"PENDENTE","EM ANDAMENTO"))))))</f>
        <v/>
      </c>
      <c r="C2909" s="3">
        <f>IF(D2909="","",IF(V2909=0,"🟢 OK",IF(D2909&lt;corte,"⚪ HISTÓRICO (sem baixa)",IF(AND(ISNUMBER(R2909),R2909&lt;TODAY()),"🔴 PRAZO VENCIDO",IF(AND(OR(N2909="PENDENTE",N2909="PARCIAL"),D2909&lt;TODAY()-1),"🔴 EMBARQUE ATRASADO",IF(AND(N2909="REALIZADO",M2909="PENDENTE"),"🟡 EMBARCADO SEM FATURAR",IF(AND(P2909&lt;&gt;"",S2909="",OR(Q2909="",R2909="")),"🟡 PENDÊNCIA SEM RESPONSÁVEL/PRAZO",IF(AND(ISNUMBER(R2909),R2909=TODAY()),"🟡 VENCE HOJE",IF(AND(P2909&lt;&gt;"",S2909=""),"🟡 PENDÊNCIA ABERTA",IF(AND(N(J2909)&gt;0,N(K2909)&lt;J2909),"🟡 FALTA EXECUTAR",IF(OR(M2909="PENDENTE",M2909="PARCIAL"),"🟡 FATURAMENTO PENDENTE","🟡 EMBARQUE PENDENTE")))))))))))</f>
        <v/>
      </c>
      <c r="D2909" s="4" t="n"/>
      <c r="E2909" s="5" t="n"/>
      <c r="F2909" s="5" t="n"/>
      <c r="G2909" s="5" t="n"/>
      <c r="H2909" s="5" t="n"/>
      <c r="I2909" s="5" t="n"/>
      <c r="J2909" s="6" t="n"/>
      <c r="K2909" s="6" t="n"/>
      <c r="L2909" s="7">
        <f>IF(OR(D2909="",N(J2909)=0),"",MIN(1,N(K2909)/J2909))</f>
        <v/>
      </c>
      <c r="M2909" s="5" t="n"/>
      <c r="N2909" s="5" t="n"/>
      <c r="O2909" s="5" t="n"/>
      <c r="P2909" s="5" t="n"/>
      <c r="Q2909" s="5" t="n"/>
      <c r="R2909" s="4" t="n"/>
      <c r="S2909" s="4" t="n"/>
      <c r="T2909" s="5" t="n"/>
      <c r="U2909" s="8">
        <f>IF(AND(V2909=1,D2909&lt;&gt;""),IF(D2909&gt;=corte,TODAY()-D2909,""),"")</f>
        <v/>
      </c>
      <c r="V2909" s="8">
        <f>IF(D2909="",0,IF(OR(AND(P2909&lt;&gt;"",S2909=""),AND(N(J2909)&gt;0,N(K2909)&lt;J2909),OR(M2909="PENDENTE",M2909="PARCIAL"),OR(N2909="PENDENTE",N2909="PARCIAL")),1,0))</f>
        <v/>
      </c>
      <c r="W2909" s="8">
        <f>IF(AND(V2909=1,D2909&lt;&gt;""),IF(D2909&gt;=corte,(B2909="CRÍTICO")*1E9+(100000-D2909)*10000+10000-ROW(),""),"")</f>
        <v/>
      </c>
      <c r="X2909" s="8">
        <f>IF(AND(V2909=1,D2909=pas_data,E2909=pas_turno),10000-ROW(),"")</f>
        <v/>
      </c>
    </row>
    <row r="2910">
      <c r="A2910" s="3">
        <f>IF(D2910="","","TT-"&amp;TEXT(ROW()-1,"00000"))</f>
        <v/>
      </c>
      <c r="B2910" s="3">
        <f>IF(D2910="","",IF(V2910=0,"CONCLUÍDO",IF(D2910&lt;corte,"HISTÓRICO",IF(OR(AND(ISNUMBER(R2910),R2910&lt;TODAY()),AND(OR(N2910="PENDENTE",N2910="PARCIAL"),D2910&lt;TODAY()-1)),"CRÍTICO",IF(OR(AND(P2910&lt;&gt;"",S2910=""),AND(N2910="REALIZADO",M2910="PENDENTE"),AND(ISNUMBER(R2910),R2910=TODAY())),"ATENÇÃO",IF(N(K2910)=0,"PENDENTE","EM ANDAMENTO"))))))</f>
        <v/>
      </c>
      <c r="C2910" s="3">
        <f>IF(D2910="","",IF(V2910=0,"🟢 OK",IF(D2910&lt;corte,"⚪ HISTÓRICO (sem baixa)",IF(AND(ISNUMBER(R2910),R2910&lt;TODAY()),"🔴 PRAZO VENCIDO",IF(AND(OR(N2910="PENDENTE",N2910="PARCIAL"),D2910&lt;TODAY()-1),"🔴 EMBARQUE ATRASADO",IF(AND(N2910="REALIZADO",M2910="PENDENTE"),"🟡 EMBARCADO SEM FATURAR",IF(AND(P2910&lt;&gt;"",S2910="",OR(Q2910="",R2910="")),"🟡 PENDÊNCIA SEM RESPONSÁVEL/PRAZO",IF(AND(ISNUMBER(R2910),R2910=TODAY()),"🟡 VENCE HOJE",IF(AND(P2910&lt;&gt;"",S2910=""),"🟡 PENDÊNCIA ABERTA",IF(AND(N(J2910)&gt;0,N(K2910)&lt;J2910),"🟡 FALTA EXECUTAR",IF(OR(M2910="PENDENTE",M2910="PARCIAL"),"🟡 FATURAMENTO PENDENTE","🟡 EMBARQUE PENDENTE")))))))))))</f>
        <v/>
      </c>
      <c r="D2910" s="4" t="n"/>
      <c r="E2910" s="5" t="n"/>
      <c r="F2910" s="5" t="n"/>
      <c r="G2910" s="5" t="n"/>
      <c r="H2910" s="5" t="n"/>
      <c r="I2910" s="5" t="n"/>
      <c r="J2910" s="6" t="n"/>
      <c r="K2910" s="6" t="n"/>
      <c r="L2910" s="7">
        <f>IF(OR(D2910="",N(J2910)=0),"",MIN(1,N(K2910)/J2910))</f>
        <v/>
      </c>
      <c r="M2910" s="5" t="n"/>
      <c r="N2910" s="5" t="n"/>
      <c r="O2910" s="5" t="n"/>
      <c r="P2910" s="5" t="n"/>
      <c r="Q2910" s="5" t="n"/>
      <c r="R2910" s="4" t="n"/>
      <c r="S2910" s="4" t="n"/>
      <c r="T2910" s="5" t="n"/>
      <c r="U2910" s="8">
        <f>IF(AND(V2910=1,D2910&lt;&gt;""),IF(D2910&gt;=corte,TODAY()-D2910,""),"")</f>
        <v/>
      </c>
      <c r="V2910" s="8">
        <f>IF(D2910="",0,IF(OR(AND(P2910&lt;&gt;"",S2910=""),AND(N(J2910)&gt;0,N(K2910)&lt;J2910),OR(M2910="PENDENTE",M2910="PARCIAL"),OR(N2910="PENDENTE",N2910="PARCIAL")),1,0))</f>
        <v/>
      </c>
      <c r="W2910" s="8">
        <f>IF(AND(V2910=1,D2910&lt;&gt;""),IF(D2910&gt;=corte,(B2910="CRÍTICO")*1E9+(100000-D2910)*10000+10000-ROW(),""),"")</f>
        <v/>
      </c>
      <c r="X2910" s="8">
        <f>IF(AND(V2910=1,D2910=pas_data,E2910=pas_turno),10000-ROW(),"")</f>
        <v/>
      </c>
    </row>
    <row r="2911">
      <c r="A2911" s="3">
        <f>IF(D2911="","","TT-"&amp;TEXT(ROW()-1,"00000"))</f>
        <v/>
      </c>
      <c r="B2911" s="3">
        <f>IF(D2911="","",IF(V2911=0,"CONCLUÍDO",IF(D2911&lt;corte,"HISTÓRICO",IF(OR(AND(ISNUMBER(R2911),R2911&lt;TODAY()),AND(OR(N2911="PENDENTE",N2911="PARCIAL"),D2911&lt;TODAY()-1)),"CRÍTICO",IF(OR(AND(P2911&lt;&gt;"",S2911=""),AND(N2911="REALIZADO",M2911="PENDENTE"),AND(ISNUMBER(R2911),R2911=TODAY())),"ATENÇÃO",IF(N(K2911)=0,"PENDENTE","EM ANDAMENTO"))))))</f>
        <v/>
      </c>
      <c r="C2911" s="3">
        <f>IF(D2911="","",IF(V2911=0,"🟢 OK",IF(D2911&lt;corte,"⚪ HISTÓRICO (sem baixa)",IF(AND(ISNUMBER(R2911),R2911&lt;TODAY()),"🔴 PRAZO VENCIDO",IF(AND(OR(N2911="PENDENTE",N2911="PARCIAL"),D2911&lt;TODAY()-1),"🔴 EMBARQUE ATRASADO",IF(AND(N2911="REALIZADO",M2911="PENDENTE"),"🟡 EMBARCADO SEM FATURAR",IF(AND(P2911&lt;&gt;"",S2911="",OR(Q2911="",R2911="")),"🟡 PENDÊNCIA SEM RESPONSÁVEL/PRAZO",IF(AND(ISNUMBER(R2911),R2911=TODAY()),"🟡 VENCE HOJE",IF(AND(P2911&lt;&gt;"",S2911=""),"🟡 PENDÊNCIA ABERTA",IF(AND(N(J2911)&gt;0,N(K2911)&lt;J2911),"🟡 FALTA EXECUTAR",IF(OR(M2911="PENDENTE",M2911="PARCIAL"),"🟡 FATURAMENTO PENDENTE","🟡 EMBARQUE PENDENTE")))))))))))</f>
        <v/>
      </c>
      <c r="D2911" s="4" t="n"/>
      <c r="E2911" s="5" t="n"/>
      <c r="F2911" s="5" t="n"/>
      <c r="G2911" s="5" t="n"/>
      <c r="H2911" s="5" t="n"/>
      <c r="I2911" s="5" t="n"/>
      <c r="J2911" s="6" t="n"/>
      <c r="K2911" s="6" t="n"/>
      <c r="L2911" s="7">
        <f>IF(OR(D2911="",N(J2911)=0),"",MIN(1,N(K2911)/J2911))</f>
        <v/>
      </c>
      <c r="M2911" s="5" t="n"/>
      <c r="N2911" s="5" t="n"/>
      <c r="O2911" s="5" t="n"/>
      <c r="P2911" s="5" t="n"/>
      <c r="Q2911" s="5" t="n"/>
      <c r="R2911" s="4" t="n"/>
      <c r="S2911" s="4" t="n"/>
      <c r="T2911" s="5" t="n"/>
      <c r="U2911" s="8">
        <f>IF(AND(V2911=1,D2911&lt;&gt;""),IF(D2911&gt;=corte,TODAY()-D2911,""),"")</f>
        <v/>
      </c>
      <c r="V2911" s="8">
        <f>IF(D2911="",0,IF(OR(AND(P2911&lt;&gt;"",S2911=""),AND(N(J2911)&gt;0,N(K2911)&lt;J2911),OR(M2911="PENDENTE",M2911="PARCIAL"),OR(N2911="PENDENTE",N2911="PARCIAL")),1,0))</f>
        <v/>
      </c>
      <c r="W2911" s="8">
        <f>IF(AND(V2911=1,D2911&lt;&gt;""),IF(D2911&gt;=corte,(B2911="CRÍTICO")*1E9+(100000-D2911)*10000+10000-ROW(),""),"")</f>
        <v/>
      </c>
      <c r="X2911" s="8">
        <f>IF(AND(V2911=1,D2911=pas_data,E2911=pas_turno),10000-ROW(),"")</f>
        <v/>
      </c>
    </row>
    <row r="2912">
      <c r="A2912" s="3">
        <f>IF(D2912="","","TT-"&amp;TEXT(ROW()-1,"00000"))</f>
        <v/>
      </c>
      <c r="B2912" s="3">
        <f>IF(D2912="","",IF(V2912=0,"CONCLUÍDO",IF(D2912&lt;corte,"HISTÓRICO",IF(OR(AND(ISNUMBER(R2912),R2912&lt;TODAY()),AND(OR(N2912="PENDENTE",N2912="PARCIAL"),D2912&lt;TODAY()-1)),"CRÍTICO",IF(OR(AND(P2912&lt;&gt;"",S2912=""),AND(N2912="REALIZADO",M2912="PENDENTE"),AND(ISNUMBER(R2912),R2912=TODAY())),"ATENÇÃO",IF(N(K2912)=0,"PENDENTE","EM ANDAMENTO"))))))</f>
        <v/>
      </c>
      <c r="C2912" s="3">
        <f>IF(D2912="","",IF(V2912=0,"🟢 OK",IF(D2912&lt;corte,"⚪ HISTÓRICO (sem baixa)",IF(AND(ISNUMBER(R2912),R2912&lt;TODAY()),"🔴 PRAZO VENCIDO",IF(AND(OR(N2912="PENDENTE",N2912="PARCIAL"),D2912&lt;TODAY()-1),"🔴 EMBARQUE ATRASADO",IF(AND(N2912="REALIZADO",M2912="PENDENTE"),"🟡 EMBARCADO SEM FATURAR",IF(AND(P2912&lt;&gt;"",S2912="",OR(Q2912="",R2912="")),"🟡 PENDÊNCIA SEM RESPONSÁVEL/PRAZO",IF(AND(ISNUMBER(R2912),R2912=TODAY()),"🟡 VENCE HOJE",IF(AND(P2912&lt;&gt;"",S2912=""),"🟡 PENDÊNCIA ABERTA",IF(AND(N(J2912)&gt;0,N(K2912)&lt;J2912),"🟡 FALTA EXECUTAR",IF(OR(M2912="PENDENTE",M2912="PARCIAL"),"🟡 FATURAMENTO PENDENTE","🟡 EMBARQUE PENDENTE")))))))))))</f>
        <v/>
      </c>
      <c r="D2912" s="4" t="n"/>
      <c r="E2912" s="5" t="n"/>
      <c r="F2912" s="5" t="n"/>
      <c r="G2912" s="5" t="n"/>
      <c r="H2912" s="5" t="n"/>
      <c r="I2912" s="5" t="n"/>
      <c r="J2912" s="6" t="n"/>
      <c r="K2912" s="6" t="n"/>
      <c r="L2912" s="7">
        <f>IF(OR(D2912="",N(J2912)=0),"",MIN(1,N(K2912)/J2912))</f>
        <v/>
      </c>
      <c r="M2912" s="5" t="n"/>
      <c r="N2912" s="5" t="n"/>
      <c r="O2912" s="5" t="n"/>
      <c r="P2912" s="5" t="n"/>
      <c r="Q2912" s="5" t="n"/>
      <c r="R2912" s="4" t="n"/>
      <c r="S2912" s="4" t="n"/>
      <c r="T2912" s="5" t="n"/>
      <c r="U2912" s="8">
        <f>IF(AND(V2912=1,D2912&lt;&gt;""),IF(D2912&gt;=corte,TODAY()-D2912,""),"")</f>
        <v/>
      </c>
      <c r="V2912" s="8">
        <f>IF(D2912="",0,IF(OR(AND(P2912&lt;&gt;"",S2912=""),AND(N(J2912)&gt;0,N(K2912)&lt;J2912),OR(M2912="PENDENTE",M2912="PARCIAL"),OR(N2912="PENDENTE",N2912="PARCIAL")),1,0))</f>
        <v/>
      </c>
      <c r="W2912" s="8">
        <f>IF(AND(V2912=1,D2912&lt;&gt;""),IF(D2912&gt;=corte,(B2912="CRÍTICO")*1E9+(100000-D2912)*10000+10000-ROW(),""),"")</f>
        <v/>
      </c>
      <c r="X2912" s="8">
        <f>IF(AND(V2912=1,D2912=pas_data,E2912=pas_turno),10000-ROW(),"")</f>
        <v/>
      </c>
    </row>
    <row r="2913">
      <c r="A2913" s="3">
        <f>IF(D2913="","","TT-"&amp;TEXT(ROW()-1,"00000"))</f>
        <v/>
      </c>
      <c r="B2913" s="3">
        <f>IF(D2913="","",IF(V2913=0,"CONCLUÍDO",IF(D2913&lt;corte,"HISTÓRICO",IF(OR(AND(ISNUMBER(R2913),R2913&lt;TODAY()),AND(OR(N2913="PENDENTE",N2913="PARCIAL"),D2913&lt;TODAY()-1)),"CRÍTICO",IF(OR(AND(P2913&lt;&gt;"",S2913=""),AND(N2913="REALIZADO",M2913="PENDENTE"),AND(ISNUMBER(R2913),R2913=TODAY())),"ATENÇÃO",IF(N(K2913)=0,"PENDENTE","EM ANDAMENTO"))))))</f>
        <v/>
      </c>
      <c r="C2913" s="3">
        <f>IF(D2913="","",IF(V2913=0,"🟢 OK",IF(D2913&lt;corte,"⚪ HISTÓRICO (sem baixa)",IF(AND(ISNUMBER(R2913),R2913&lt;TODAY()),"🔴 PRAZO VENCIDO",IF(AND(OR(N2913="PENDENTE",N2913="PARCIAL"),D2913&lt;TODAY()-1),"🔴 EMBARQUE ATRASADO",IF(AND(N2913="REALIZADO",M2913="PENDENTE"),"🟡 EMBARCADO SEM FATURAR",IF(AND(P2913&lt;&gt;"",S2913="",OR(Q2913="",R2913="")),"🟡 PENDÊNCIA SEM RESPONSÁVEL/PRAZO",IF(AND(ISNUMBER(R2913),R2913=TODAY()),"🟡 VENCE HOJE",IF(AND(P2913&lt;&gt;"",S2913=""),"🟡 PENDÊNCIA ABERTA",IF(AND(N(J2913)&gt;0,N(K2913)&lt;J2913),"🟡 FALTA EXECUTAR",IF(OR(M2913="PENDENTE",M2913="PARCIAL"),"🟡 FATURAMENTO PENDENTE","🟡 EMBARQUE PENDENTE")))))))))))</f>
        <v/>
      </c>
      <c r="D2913" s="4" t="n"/>
      <c r="E2913" s="5" t="n"/>
      <c r="F2913" s="5" t="n"/>
      <c r="G2913" s="5" t="n"/>
      <c r="H2913" s="5" t="n"/>
      <c r="I2913" s="5" t="n"/>
      <c r="J2913" s="6" t="n"/>
      <c r="K2913" s="6" t="n"/>
      <c r="L2913" s="7">
        <f>IF(OR(D2913="",N(J2913)=0),"",MIN(1,N(K2913)/J2913))</f>
        <v/>
      </c>
      <c r="M2913" s="5" t="n"/>
      <c r="N2913" s="5" t="n"/>
      <c r="O2913" s="5" t="n"/>
      <c r="P2913" s="5" t="n"/>
      <c r="Q2913" s="5" t="n"/>
      <c r="R2913" s="4" t="n"/>
      <c r="S2913" s="4" t="n"/>
      <c r="T2913" s="5" t="n"/>
      <c r="U2913" s="8">
        <f>IF(AND(V2913=1,D2913&lt;&gt;""),IF(D2913&gt;=corte,TODAY()-D2913,""),"")</f>
        <v/>
      </c>
      <c r="V2913" s="8">
        <f>IF(D2913="",0,IF(OR(AND(P2913&lt;&gt;"",S2913=""),AND(N(J2913)&gt;0,N(K2913)&lt;J2913),OR(M2913="PENDENTE",M2913="PARCIAL"),OR(N2913="PENDENTE",N2913="PARCIAL")),1,0))</f>
        <v/>
      </c>
      <c r="W2913" s="8">
        <f>IF(AND(V2913=1,D2913&lt;&gt;""),IF(D2913&gt;=corte,(B2913="CRÍTICO")*1E9+(100000-D2913)*10000+10000-ROW(),""),"")</f>
        <v/>
      </c>
      <c r="X2913" s="8">
        <f>IF(AND(V2913=1,D2913=pas_data,E2913=pas_turno),10000-ROW(),"")</f>
        <v/>
      </c>
    </row>
    <row r="2914">
      <c r="A2914" s="3">
        <f>IF(D2914="","","TT-"&amp;TEXT(ROW()-1,"00000"))</f>
        <v/>
      </c>
      <c r="B2914" s="3">
        <f>IF(D2914="","",IF(V2914=0,"CONCLUÍDO",IF(D2914&lt;corte,"HISTÓRICO",IF(OR(AND(ISNUMBER(R2914),R2914&lt;TODAY()),AND(OR(N2914="PENDENTE",N2914="PARCIAL"),D2914&lt;TODAY()-1)),"CRÍTICO",IF(OR(AND(P2914&lt;&gt;"",S2914=""),AND(N2914="REALIZADO",M2914="PENDENTE"),AND(ISNUMBER(R2914),R2914=TODAY())),"ATENÇÃO",IF(N(K2914)=0,"PENDENTE","EM ANDAMENTO"))))))</f>
        <v/>
      </c>
      <c r="C2914" s="3">
        <f>IF(D2914="","",IF(V2914=0,"🟢 OK",IF(D2914&lt;corte,"⚪ HISTÓRICO (sem baixa)",IF(AND(ISNUMBER(R2914),R2914&lt;TODAY()),"🔴 PRAZO VENCIDO",IF(AND(OR(N2914="PENDENTE",N2914="PARCIAL"),D2914&lt;TODAY()-1),"🔴 EMBARQUE ATRASADO",IF(AND(N2914="REALIZADO",M2914="PENDENTE"),"🟡 EMBARCADO SEM FATURAR",IF(AND(P2914&lt;&gt;"",S2914="",OR(Q2914="",R2914="")),"🟡 PENDÊNCIA SEM RESPONSÁVEL/PRAZO",IF(AND(ISNUMBER(R2914),R2914=TODAY()),"🟡 VENCE HOJE",IF(AND(P2914&lt;&gt;"",S2914=""),"🟡 PENDÊNCIA ABERTA",IF(AND(N(J2914)&gt;0,N(K2914)&lt;J2914),"🟡 FALTA EXECUTAR",IF(OR(M2914="PENDENTE",M2914="PARCIAL"),"🟡 FATURAMENTO PENDENTE","🟡 EMBARQUE PENDENTE")))))))))))</f>
        <v/>
      </c>
      <c r="D2914" s="4" t="n"/>
      <c r="E2914" s="5" t="n"/>
      <c r="F2914" s="5" t="n"/>
      <c r="G2914" s="5" t="n"/>
      <c r="H2914" s="5" t="n"/>
      <c r="I2914" s="5" t="n"/>
      <c r="J2914" s="6" t="n"/>
      <c r="K2914" s="6" t="n"/>
      <c r="L2914" s="7">
        <f>IF(OR(D2914="",N(J2914)=0),"",MIN(1,N(K2914)/J2914))</f>
        <v/>
      </c>
      <c r="M2914" s="5" t="n"/>
      <c r="N2914" s="5" t="n"/>
      <c r="O2914" s="5" t="n"/>
      <c r="P2914" s="5" t="n"/>
      <c r="Q2914" s="5" t="n"/>
      <c r="R2914" s="4" t="n"/>
      <c r="S2914" s="4" t="n"/>
      <c r="T2914" s="5" t="n"/>
      <c r="U2914" s="8">
        <f>IF(AND(V2914=1,D2914&lt;&gt;""),IF(D2914&gt;=corte,TODAY()-D2914,""),"")</f>
        <v/>
      </c>
      <c r="V2914" s="8">
        <f>IF(D2914="",0,IF(OR(AND(P2914&lt;&gt;"",S2914=""),AND(N(J2914)&gt;0,N(K2914)&lt;J2914),OR(M2914="PENDENTE",M2914="PARCIAL"),OR(N2914="PENDENTE",N2914="PARCIAL")),1,0))</f>
        <v/>
      </c>
      <c r="W2914" s="8">
        <f>IF(AND(V2914=1,D2914&lt;&gt;""),IF(D2914&gt;=corte,(B2914="CRÍTICO")*1E9+(100000-D2914)*10000+10000-ROW(),""),"")</f>
        <v/>
      </c>
      <c r="X2914" s="8">
        <f>IF(AND(V2914=1,D2914=pas_data,E2914=pas_turno),10000-ROW(),"")</f>
        <v/>
      </c>
    </row>
    <row r="2915">
      <c r="A2915" s="3">
        <f>IF(D2915="","","TT-"&amp;TEXT(ROW()-1,"00000"))</f>
        <v/>
      </c>
      <c r="B2915" s="3">
        <f>IF(D2915="","",IF(V2915=0,"CONCLUÍDO",IF(D2915&lt;corte,"HISTÓRICO",IF(OR(AND(ISNUMBER(R2915),R2915&lt;TODAY()),AND(OR(N2915="PENDENTE",N2915="PARCIAL"),D2915&lt;TODAY()-1)),"CRÍTICO",IF(OR(AND(P2915&lt;&gt;"",S2915=""),AND(N2915="REALIZADO",M2915="PENDENTE"),AND(ISNUMBER(R2915),R2915=TODAY())),"ATENÇÃO",IF(N(K2915)=0,"PENDENTE","EM ANDAMENTO"))))))</f>
        <v/>
      </c>
      <c r="C2915" s="3">
        <f>IF(D2915="","",IF(V2915=0,"🟢 OK",IF(D2915&lt;corte,"⚪ HISTÓRICO (sem baixa)",IF(AND(ISNUMBER(R2915),R2915&lt;TODAY()),"🔴 PRAZO VENCIDO",IF(AND(OR(N2915="PENDENTE",N2915="PARCIAL"),D2915&lt;TODAY()-1),"🔴 EMBARQUE ATRASADO",IF(AND(N2915="REALIZADO",M2915="PENDENTE"),"🟡 EMBARCADO SEM FATURAR",IF(AND(P2915&lt;&gt;"",S2915="",OR(Q2915="",R2915="")),"🟡 PENDÊNCIA SEM RESPONSÁVEL/PRAZO",IF(AND(ISNUMBER(R2915),R2915=TODAY()),"🟡 VENCE HOJE",IF(AND(P2915&lt;&gt;"",S2915=""),"🟡 PENDÊNCIA ABERTA",IF(AND(N(J2915)&gt;0,N(K2915)&lt;J2915),"🟡 FALTA EXECUTAR",IF(OR(M2915="PENDENTE",M2915="PARCIAL"),"🟡 FATURAMENTO PENDENTE","🟡 EMBARQUE PENDENTE")))))))))))</f>
        <v/>
      </c>
      <c r="D2915" s="4" t="n"/>
      <c r="E2915" s="5" t="n"/>
      <c r="F2915" s="5" t="n"/>
      <c r="G2915" s="5" t="n"/>
      <c r="H2915" s="5" t="n"/>
      <c r="I2915" s="5" t="n"/>
      <c r="J2915" s="6" t="n"/>
      <c r="K2915" s="6" t="n"/>
      <c r="L2915" s="7">
        <f>IF(OR(D2915="",N(J2915)=0),"",MIN(1,N(K2915)/J2915))</f>
        <v/>
      </c>
      <c r="M2915" s="5" t="n"/>
      <c r="N2915" s="5" t="n"/>
      <c r="O2915" s="5" t="n"/>
      <c r="P2915" s="5" t="n"/>
      <c r="Q2915" s="5" t="n"/>
      <c r="R2915" s="4" t="n"/>
      <c r="S2915" s="4" t="n"/>
      <c r="T2915" s="5" t="n"/>
      <c r="U2915" s="8">
        <f>IF(AND(V2915=1,D2915&lt;&gt;""),IF(D2915&gt;=corte,TODAY()-D2915,""),"")</f>
        <v/>
      </c>
      <c r="V2915" s="8">
        <f>IF(D2915="",0,IF(OR(AND(P2915&lt;&gt;"",S2915=""),AND(N(J2915)&gt;0,N(K2915)&lt;J2915),OR(M2915="PENDENTE",M2915="PARCIAL"),OR(N2915="PENDENTE",N2915="PARCIAL")),1,0))</f>
        <v/>
      </c>
      <c r="W2915" s="8">
        <f>IF(AND(V2915=1,D2915&lt;&gt;""),IF(D2915&gt;=corte,(B2915="CRÍTICO")*1E9+(100000-D2915)*10000+10000-ROW(),""),"")</f>
        <v/>
      </c>
      <c r="X2915" s="8">
        <f>IF(AND(V2915=1,D2915=pas_data,E2915=pas_turno),10000-ROW(),"")</f>
        <v/>
      </c>
    </row>
    <row r="2916">
      <c r="A2916" s="3">
        <f>IF(D2916="","","TT-"&amp;TEXT(ROW()-1,"00000"))</f>
        <v/>
      </c>
      <c r="B2916" s="3">
        <f>IF(D2916="","",IF(V2916=0,"CONCLUÍDO",IF(D2916&lt;corte,"HISTÓRICO",IF(OR(AND(ISNUMBER(R2916),R2916&lt;TODAY()),AND(OR(N2916="PENDENTE",N2916="PARCIAL"),D2916&lt;TODAY()-1)),"CRÍTICO",IF(OR(AND(P2916&lt;&gt;"",S2916=""),AND(N2916="REALIZADO",M2916="PENDENTE"),AND(ISNUMBER(R2916),R2916=TODAY())),"ATENÇÃO",IF(N(K2916)=0,"PENDENTE","EM ANDAMENTO"))))))</f>
        <v/>
      </c>
      <c r="C2916" s="3">
        <f>IF(D2916="","",IF(V2916=0,"🟢 OK",IF(D2916&lt;corte,"⚪ HISTÓRICO (sem baixa)",IF(AND(ISNUMBER(R2916),R2916&lt;TODAY()),"🔴 PRAZO VENCIDO",IF(AND(OR(N2916="PENDENTE",N2916="PARCIAL"),D2916&lt;TODAY()-1),"🔴 EMBARQUE ATRASADO",IF(AND(N2916="REALIZADO",M2916="PENDENTE"),"🟡 EMBARCADO SEM FATURAR",IF(AND(P2916&lt;&gt;"",S2916="",OR(Q2916="",R2916="")),"🟡 PENDÊNCIA SEM RESPONSÁVEL/PRAZO",IF(AND(ISNUMBER(R2916),R2916=TODAY()),"🟡 VENCE HOJE",IF(AND(P2916&lt;&gt;"",S2916=""),"🟡 PENDÊNCIA ABERTA",IF(AND(N(J2916)&gt;0,N(K2916)&lt;J2916),"🟡 FALTA EXECUTAR",IF(OR(M2916="PENDENTE",M2916="PARCIAL"),"🟡 FATURAMENTO PENDENTE","🟡 EMBARQUE PENDENTE")))))))))))</f>
        <v/>
      </c>
      <c r="D2916" s="4" t="n"/>
      <c r="E2916" s="5" t="n"/>
      <c r="F2916" s="5" t="n"/>
      <c r="G2916" s="5" t="n"/>
      <c r="H2916" s="5" t="n"/>
      <c r="I2916" s="5" t="n"/>
      <c r="J2916" s="6" t="n"/>
      <c r="K2916" s="6" t="n"/>
      <c r="L2916" s="7">
        <f>IF(OR(D2916="",N(J2916)=0),"",MIN(1,N(K2916)/J2916))</f>
        <v/>
      </c>
      <c r="M2916" s="5" t="n"/>
      <c r="N2916" s="5" t="n"/>
      <c r="O2916" s="5" t="n"/>
      <c r="P2916" s="5" t="n"/>
      <c r="Q2916" s="5" t="n"/>
      <c r="R2916" s="4" t="n"/>
      <c r="S2916" s="4" t="n"/>
      <c r="T2916" s="5" t="n"/>
      <c r="U2916" s="8">
        <f>IF(AND(V2916=1,D2916&lt;&gt;""),IF(D2916&gt;=corte,TODAY()-D2916,""),"")</f>
        <v/>
      </c>
      <c r="V2916" s="8">
        <f>IF(D2916="",0,IF(OR(AND(P2916&lt;&gt;"",S2916=""),AND(N(J2916)&gt;0,N(K2916)&lt;J2916),OR(M2916="PENDENTE",M2916="PARCIAL"),OR(N2916="PENDENTE",N2916="PARCIAL")),1,0))</f>
        <v/>
      </c>
      <c r="W2916" s="8">
        <f>IF(AND(V2916=1,D2916&lt;&gt;""),IF(D2916&gt;=corte,(B2916="CRÍTICO")*1E9+(100000-D2916)*10000+10000-ROW(),""),"")</f>
        <v/>
      </c>
      <c r="X2916" s="8">
        <f>IF(AND(V2916=1,D2916=pas_data,E2916=pas_turno),10000-ROW(),"")</f>
        <v/>
      </c>
    </row>
    <row r="2917">
      <c r="A2917" s="3">
        <f>IF(D2917="","","TT-"&amp;TEXT(ROW()-1,"00000"))</f>
        <v/>
      </c>
      <c r="B2917" s="3">
        <f>IF(D2917="","",IF(V2917=0,"CONCLUÍDO",IF(D2917&lt;corte,"HISTÓRICO",IF(OR(AND(ISNUMBER(R2917),R2917&lt;TODAY()),AND(OR(N2917="PENDENTE",N2917="PARCIAL"),D2917&lt;TODAY()-1)),"CRÍTICO",IF(OR(AND(P2917&lt;&gt;"",S2917=""),AND(N2917="REALIZADO",M2917="PENDENTE"),AND(ISNUMBER(R2917),R2917=TODAY())),"ATENÇÃO",IF(N(K2917)=0,"PENDENTE","EM ANDAMENTO"))))))</f>
        <v/>
      </c>
      <c r="C2917" s="3">
        <f>IF(D2917="","",IF(V2917=0,"🟢 OK",IF(D2917&lt;corte,"⚪ HISTÓRICO (sem baixa)",IF(AND(ISNUMBER(R2917),R2917&lt;TODAY()),"🔴 PRAZO VENCIDO",IF(AND(OR(N2917="PENDENTE",N2917="PARCIAL"),D2917&lt;TODAY()-1),"🔴 EMBARQUE ATRASADO",IF(AND(N2917="REALIZADO",M2917="PENDENTE"),"🟡 EMBARCADO SEM FATURAR",IF(AND(P2917&lt;&gt;"",S2917="",OR(Q2917="",R2917="")),"🟡 PENDÊNCIA SEM RESPONSÁVEL/PRAZO",IF(AND(ISNUMBER(R2917),R2917=TODAY()),"🟡 VENCE HOJE",IF(AND(P2917&lt;&gt;"",S2917=""),"🟡 PENDÊNCIA ABERTA",IF(AND(N(J2917)&gt;0,N(K2917)&lt;J2917),"🟡 FALTA EXECUTAR",IF(OR(M2917="PENDENTE",M2917="PARCIAL"),"🟡 FATURAMENTO PENDENTE","🟡 EMBARQUE PENDENTE")))))))))))</f>
        <v/>
      </c>
      <c r="D2917" s="4" t="n"/>
      <c r="E2917" s="5" t="n"/>
      <c r="F2917" s="5" t="n"/>
      <c r="G2917" s="5" t="n"/>
      <c r="H2917" s="5" t="n"/>
      <c r="I2917" s="5" t="n"/>
      <c r="J2917" s="6" t="n"/>
      <c r="K2917" s="6" t="n"/>
      <c r="L2917" s="7">
        <f>IF(OR(D2917="",N(J2917)=0),"",MIN(1,N(K2917)/J2917))</f>
        <v/>
      </c>
      <c r="M2917" s="5" t="n"/>
      <c r="N2917" s="5" t="n"/>
      <c r="O2917" s="5" t="n"/>
      <c r="P2917" s="5" t="n"/>
      <c r="Q2917" s="5" t="n"/>
      <c r="R2917" s="4" t="n"/>
      <c r="S2917" s="4" t="n"/>
      <c r="T2917" s="5" t="n"/>
      <c r="U2917" s="8">
        <f>IF(AND(V2917=1,D2917&lt;&gt;""),IF(D2917&gt;=corte,TODAY()-D2917,""),"")</f>
        <v/>
      </c>
      <c r="V2917" s="8">
        <f>IF(D2917="",0,IF(OR(AND(P2917&lt;&gt;"",S2917=""),AND(N(J2917)&gt;0,N(K2917)&lt;J2917),OR(M2917="PENDENTE",M2917="PARCIAL"),OR(N2917="PENDENTE",N2917="PARCIAL")),1,0))</f>
        <v/>
      </c>
      <c r="W2917" s="8">
        <f>IF(AND(V2917=1,D2917&lt;&gt;""),IF(D2917&gt;=corte,(B2917="CRÍTICO")*1E9+(100000-D2917)*10000+10000-ROW(),""),"")</f>
        <v/>
      </c>
      <c r="X2917" s="8">
        <f>IF(AND(V2917=1,D2917=pas_data,E2917=pas_turno),10000-ROW(),"")</f>
        <v/>
      </c>
    </row>
    <row r="2918">
      <c r="A2918" s="3">
        <f>IF(D2918="","","TT-"&amp;TEXT(ROW()-1,"00000"))</f>
        <v/>
      </c>
      <c r="B2918" s="3">
        <f>IF(D2918="","",IF(V2918=0,"CONCLUÍDO",IF(D2918&lt;corte,"HISTÓRICO",IF(OR(AND(ISNUMBER(R2918),R2918&lt;TODAY()),AND(OR(N2918="PENDENTE",N2918="PARCIAL"),D2918&lt;TODAY()-1)),"CRÍTICO",IF(OR(AND(P2918&lt;&gt;"",S2918=""),AND(N2918="REALIZADO",M2918="PENDENTE"),AND(ISNUMBER(R2918),R2918=TODAY())),"ATENÇÃO",IF(N(K2918)=0,"PENDENTE","EM ANDAMENTO"))))))</f>
        <v/>
      </c>
      <c r="C2918" s="3">
        <f>IF(D2918="","",IF(V2918=0,"🟢 OK",IF(D2918&lt;corte,"⚪ HISTÓRICO (sem baixa)",IF(AND(ISNUMBER(R2918),R2918&lt;TODAY()),"🔴 PRAZO VENCIDO",IF(AND(OR(N2918="PENDENTE",N2918="PARCIAL"),D2918&lt;TODAY()-1),"🔴 EMBARQUE ATRASADO",IF(AND(N2918="REALIZADO",M2918="PENDENTE"),"🟡 EMBARCADO SEM FATURAR",IF(AND(P2918&lt;&gt;"",S2918="",OR(Q2918="",R2918="")),"🟡 PENDÊNCIA SEM RESPONSÁVEL/PRAZO",IF(AND(ISNUMBER(R2918),R2918=TODAY()),"🟡 VENCE HOJE",IF(AND(P2918&lt;&gt;"",S2918=""),"🟡 PENDÊNCIA ABERTA",IF(AND(N(J2918)&gt;0,N(K2918)&lt;J2918),"🟡 FALTA EXECUTAR",IF(OR(M2918="PENDENTE",M2918="PARCIAL"),"🟡 FATURAMENTO PENDENTE","🟡 EMBARQUE PENDENTE")))))))))))</f>
        <v/>
      </c>
      <c r="D2918" s="4" t="n"/>
      <c r="E2918" s="5" t="n"/>
      <c r="F2918" s="5" t="n"/>
      <c r="G2918" s="5" t="n"/>
      <c r="H2918" s="5" t="n"/>
      <c r="I2918" s="5" t="n"/>
      <c r="J2918" s="6" t="n"/>
      <c r="K2918" s="6" t="n"/>
      <c r="L2918" s="7">
        <f>IF(OR(D2918="",N(J2918)=0),"",MIN(1,N(K2918)/J2918))</f>
        <v/>
      </c>
      <c r="M2918" s="5" t="n"/>
      <c r="N2918" s="5" t="n"/>
      <c r="O2918" s="5" t="n"/>
      <c r="P2918" s="5" t="n"/>
      <c r="Q2918" s="5" t="n"/>
      <c r="R2918" s="4" t="n"/>
      <c r="S2918" s="4" t="n"/>
      <c r="T2918" s="5" t="n"/>
      <c r="U2918" s="8">
        <f>IF(AND(V2918=1,D2918&lt;&gt;""),IF(D2918&gt;=corte,TODAY()-D2918,""),"")</f>
        <v/>
      </c>
      <c r="V2918" s="8">
        <f>IF(D2918="",0,IF(OR(AND(P2918&lt;&gt;"",S2918=""),AND(N(J2918)&gt;0,N(K2918)&lt;J2918),OR(M2918="PENDENTE",M2918="PARCIAL"),OR(N2918="PENDENTE",N2918="PARCIAL")),1,0))</f>
        <v/>
      </c>
      <c r="W2918" s="8">
        <f>IF(AND(V2918=1,D2918&lt;&gt;""),IF(D2918&gt;=corte,(B2918="CRÍTICO")*1E9+(100000-D2918)*10000+10000-ROW(),""),"")</f>
        <v/>
      </c>
      <c r="X2918" s="8">
        <f>IF(AND(V2918=1,D2918=pas_data,E2918=pas_turno),10000-ROW(),"")</f>
        <v/>
      </c>
    </row>
    <row r="2919">
      <c r="A2919" s="3">
        <f>IF(D2919="","","TT-"&amp;TEXT(ROW()-1,"00000"))</f>
        <v/>
      </c>
      <c r="B2919" s="3">
        <f>IF(D2919="","",IF(V2919=0,"CONCLUÍDO",IF(D2919&lt;corte,"HISTÓRICO",IF(OR(AND(ISNUMBER(R2919),R2919&lt;TODAY()),AND(OR(N2919="PENDENTE",N2919="PARCIAL"),D2919&lt;TODAY()-1)),"CRÍTICO",IF(OR(AND(P2919&lt;&gt;"",S2919=""),AND(N2919="REALIZADO",M2919="PENDENTE"),AND(ISNUMBER(R2919),R2919=TODAY())),"ATENÇÃO",IF(N(K2919)=0,"PENDENTE","EM ANDAMENTO"))))))</f>
        <v/>
      </c>
      <c r="C2919" s="3">
        <f>IF(D2919="","",IF(V2919=0,"🟢 OK",IF(D2919&lt;corte,"⚪ HISTÓRICO (sem baixa)",IF(AND(ISNUMBER(R2919),R2919&lt;TODAY()),"🔴 PRAZO VENCIDO",IF(AND(OR(N2919="PENDENTE",N2919="PARCIAL"),D2919&lt;TODAY()-1),"🔴 EMBARQUE ATRASADO",IF(AND(N2919="REALIZADO",M2919="PENDENTE"),"🟡 EMBARCADO SEM FATURAR",IF(AND(P2919&lt;&gt;"",S2919="",OR(Q2919="",R2919="")),"🟡 PENDÊNCIA SEM RESPONSÁVEL/PRAZO",IF(AND(ISNUMBER(R2919),R2919=TODAY()),"🟡 VENCE HOJE",IF(AND(P2919&lt;&gt;"",S2919=""),"🟡 PENDÊNCIA ABERTA",IF(AND(N(J2919)&gt;0,N(K2919)&lt;J2919),"🟡 FALTA EXECUTAR",IF(OR(M2919="PENDENTE",M2919="PARCIAL"),"🟡 FATURAMENTO PENDENTE","🟡 EMBARQUE PENDENTE")))))))))))</f>
        <v/>
      </c>
      <c r="D2919" s="4" t="n"/>
      <c r="E2919" s="5" t="n"/>
      <c r="F2919" s="5" t="n"/>
      <c r="G2919" s="5" t="n"/>
      <c r="H2919" s="5" t="n"/>
      <c r="I2919" s="5" t="n"/>
      <c r="J2919" s="6" t="n"/>
      <c r="K2919" s="6" t="n"/>
      <c r="L2919" s="7">
        <f>IF(OR(D2919="",N(J2919)=0),"",MIN(1,N(K2919)/J2919))</f>
        <v/>
      </c>
      <c r="M2919" s="5" t="n"/>
      <c r="N2919" s="5" t="n"/>
      <c r="O2919" s="5" t="n"/>
      <c r="P2919" s="5" t="n"/>
      <c r="Q2919" s="5" t="n"/>
      <c r="R2919" s="4" t="n"/>
      <c r="S2919" s="4" t="n"/>
      <c r="T2919" s="5" t="n"/>
      <c r="U2919" s="8">
        <f>IF(AND(V2919=1,D2919&lt;&gt;""),IF(D2919&gt;=corte,TODAY()-D2919,""),"")</f>
        <v/>
      </c>
      <c r="V2919" s="8">
        <f>IF(D2919="",0,IF(OR(AND(P2919&lt;&gt;"",S2919=""),AND(N(J2919)&gt;0,N(K2919)&lt;J2919),OR(M2919="PENDENTE",M2919="PARCIAL"),OR(N2919="PENDENTE",N2919="PARCIAL")),1,0))</f>
        <v/>
      </c>
      <c r="W2919" s="8">
        <f>IF(AND(V2919=1,D2919&lt;&gt;""),IF(D2919&gt;=corte,(B2919="CRÍTICO")*1E9+(100000-D2919)*10000+10000-ROW(),""),"")</f>
        <v/>
      </c>
      <c r="X2919" s="8">
        <f>IF(AND(V2919=1,D2919=pas_data,E2919=pas_turno),10000-ROW(),"")</f>
        <v/>
      </c>
    </row>
    <row r="2920">
      <c r="A2920" s="3">
        <f>IF(D2920="","","TT-"&amp;TEXT(ROW()-1,"00000"))</f>
        <v/>
      </c>
      <c r="B2920" s="3">
        <f>IF(D2920="","",IF(V2920=0,"CONCLUÍDO",IF(D2920&lt;corte,"HISTÓRICO",IF(OR(AND(ISNUMBER(R2920),R2920&lt;TODAY()),AND(OR(N2920="PENDENTE",N2920="PARCIAL"),D2920&lt;TODAY()-1)),"CRÍTICO",IF(OR(AND(P2920&lt;&gt;"",S2920=""),AND(N2920="REALIZADO",M2920="PENDENTE"),AND(ISNUMBER(R2920),R2920=TODAY())),"ATENÇÃO",IF(N(K2920)=0,"PENDENTE","EM ANDAMENTO"))))))</f>
        <v/>
      </c>
      <c r="C2920" s="3">
        <f>IF(D2920="","",IF(V2920=0,"🟢 OK",IF(D2920&lt;corte,"⚪ HISTÓRICO (sem baixa)",IF(AND(ISNUMBER(R2920),R2920&lt;TODAY()),"🔴 PRAZO VENCIDO",IF(AND(OR(N2920="PENDENTE",N2920="PARCIAL"),D2920&lt;TODAY()-1),"🔴 EMBARQUE ATRASADO",IF(AND(N2920="REALIZADO",M2920="PENDENTE"),"🟡 EMBARCADO SEM FATURAR",IF(AND(P2920&lt;&gt;"",S2920="",OR(Q2920="",R2920="")),"🟡 PENDÊNCIA SEM RESPONSÁVEL/PRAZO",IF(AND(ISNUMBER(R2920),R2920=TODAY()),"🟡 VENCE HOJE",IF(AND(P2920&lt;&gt;"",S2920=""),"🟡 PENDÊNCIA ABERTA",IF(AND(N(J2920)&gt;0,N(K2920)&lt;J2920),"🟡 FALTA EXECUTAR",IF(OR(M2920="PENDENTE",M2920="PARCIAL"),"🟡 FATURAMENTO PENDENTE","🟡 EMBARQUE PENDENTE")))))))))))</f>
        <v/>
      </c>
      <c r="D2920" s="4" t="n"/>
      <c r="E2920" s="5" t="n"/>
      <c r="F2920" s="5" t="n"/>
      <c r="G2920" s="5" t="n"/>
      <c r="H2920" s="5" t="n"/>
      <c r="I2920" s="5" t="n"/>
      <c r="J2920" s="6" t="n"/>
      <c r="K2920" s="6" t="n"/>
      <c r="L2920" s="7">
        <f>IF(OR(D2920="",N(J2920)=0),"",MIN(1,N(K2920)/J2920))</f>
        <v/>
      </c>
      <c r="M2920" s="5" t="n"/>
      <c r="N2920" s="5" t="n"/>
      <c r="O2920" s="5" t="n"/>
      <c r="P2920" s="5" t="n"/>
      <c r="Q2920" s="5" t="n"/>
      <c r="R2920" s="4" t="n"/>
      <c r="S2920" s="4" t="n"/>
      <c r="T2920" s="5" t="n"/>
      <c r="U2920" s="8">
        <f>IF(AND(V2920=1,D2920&lt;&gt;""),IF(D2920&gt;=corte,TODAY()-D2920,""),"")</f>
        <v/>
      </c>
      <c r="V2920" s="8">
        <f>IF(D2920="",0,IF(OR(AND(P2920&lt;&gt;"",S2920=""),AND(N(J2920)&gt;0,N(K2920)&lt;J2920),OR(M2920="PENDENTE",M2920="PARCIAL"),OR(N2920="PENDENTE",N2920="PARCIAL")),1,0))</f>
        <v/>
      </c>
      <c r="W2920" s="8">
        <f>IF(AND(V2920=1,D2920&lt;&gt;""),IF(D2920&gt;=corte,(B2920="CRÍTICO")*1E9+(100000-D2920)*10000+10000-ROW(),""),"")</f>
        <v/>
      </c>
      <c r="X2920" s="8">
        <f>IF(AND(V2920=1,D2920=pas_data,E2920=pas_turno),10000-ROW(),"")</f>
        <v/>
      </c>
    </row>
    <row r="2921">
      <c r="A2921" s="3">
        <f>IF(D2921="","","TT-"&amp;TEXT(ROW()-1,"00000"))</f>
        <v/>
      </c>
      <c r="B2921" s="3">
        <f>IF(D2921="","",IF(V2921=0,"CONCLUÍDO",IF(D2921&lt;corte,"HISTÓRICO",IF(OR(AND(ISNUMBER(R2921),R2921&lt;TODAY()),AND(OR(N2921="PENDENTE",N2921="PARCIAL"),D2921&lt;TODAY()-1)),"CRÍTICO",IF(OR(AND(P2921&lt;&gt;"",S2921=""),AND(N2921="REALIZADO",M2921="PENDENTE"),AND(ISNUMBER(R2921),R2921=TODAY())),"ATENÇÃO",IF(N(K2921)=0,"PENDENTE","EM ANDAMENTO"))))))</f>
        <v/>
      </c>
      <c r="C2921" s="3">
        <f>IF(D2921="","",IF(V2921=0,"🟢 OK",IF(D2921&lt;corte,"⚪ HISTÓRICO (sem baixa)",IF(AND(ISNUMBER(R2921),R2921&lt;TODAY()),"🔴 PRAZO VENCIDO",IF(AND(OR(N2921="PENDENTE",N2921="PARCIAL"),D2921&lt;TODAY()-1),"🔴 EMBARQUE ATRASADO",IF(AND(N2921="REALIZADO",M2921="PENDENTE"),"🟡 EMBARCADO SEM FATURAR",IF(AND(P2921&lt;&gt;"",S2921="",OR(Q2921="",R2921="")),"🟡 PENDÊNCIA SEM RESPONSÁVEL/PRAZO",IF(AND(ISNUMBER(R2921),R2921=TODAY()),"🟡 VENCE HOJE",IF(AND(P2921&lt;&gt;"",S2921=""),"🟡 PENDÊNCIA ABERTA",IF(AND(N(J2921)&gt;0,N(K2921)&lt;J2921),"🟡 FALTA EXECUTAR",IF(OR(M2921="PENDENTE",M2921="PARCIAL"),"🟡 FATURAMENTO PENDENTE","🟡 EMBARQUE PENDENTE")))))))))))</f>
        <v/>
      </c>
      <c r="D2921" s="4" t="n"/>
      <c r="E2921" s="5" t="n"/>
      <c r="F2921" s="5" t="n"/>
      <c r="G2921" s="5" t="n"/>
      <c r="H2921" s="5" t="n"/>
      <c r="I2921" s="5" t="n"/>
      <c r="J2921" s="6" t="n"/>
      <c r="K2921" s="6" t="n"/>
      <c r="L2921" s="7">
        <f>IF(OR(D2921="",N(J2921)=0),"",MIN(1,N(K2921)/J2921))</f>
        <v/>
      </c>
      <c r="M2921" s="5" t="n"/>
      <c r="N2921" s="5" t="n"/>
      <c r="O2921" s="5" t="n"/>
      <c r="P2921" s="5" t="n"/>
      <c r="Q2921" s="5" t="n"/>
      <c r="R2921" s="4" t="n"/>
      <c r="S2921" s="4" t="n"/>
      <c r="T2921" s="5" t="n"/>
      <c r="U2921" s="8">
        <f>IF(AND(V2921=1,D2921&lt;&gt;""),IF(D2921&gt;=corte,TODAY()-D2921,""),"")</f>
        <v/>
      </c>
      <c r="V2921" s="8">
        <f>IF(D2921="",0,IF(OR(AND(P2921&lt;&gt;"",S2921=""),AND(N(J2921)&gt;0,N(K2921)&lt;J2921),OR(M2921="PENDENTE",M2921="PARCIAL"),OR(N2921="PENDENTE",N2921="PARCIAL")),1,0))</f>
        <v/>
      </c>
      <c r="W2921" s="8">
        <f>IF(AND(V2921=1,D2921&lt;&gt;""),IF(D2921&gt;=corte,(B2921="CRÍTICO")*1E9+(100000-D2921)*10000+10000-ROW(),""),"")</f>
        <v/>
      </c>
      <c r="X2921" s="8">
        <f>IF(AND(V2921=1,D2921=pas_data,E2921=pas_turno),10000-ROW(),"")</f>
        <v/>
      </c>
    </row>
    <row r="2922">
      <c r="A2922" s="3">
        <f>IF(D2922="","","TT-"&amp;TEXT(ROW()-1,"00000"))</f>
        <v/>
      </c>
      <c r="B2922" s="3">
        <f>IF(D2922="","",IF(V2922=0,"CONCLUÍDO",IF(D2922&lt;corte,"HISTÓRICO",IF(OR(AND(ISNUMBER(R2922),R2922&lt;TODAY()),AND(OR(N2922="PENDENTE",N2922="PARCIAL"),D2922&lt;TODAY()-1)),"CRÍTICO",IF(OR(AND(P2922&lt;&gt;"",S2922=""),AND(N2922="REALIZADO",M2922="PENDENTE"),AND(ISNUMBER(R2922),R2922=TODAY())),"ATENÇÃO",IF(N(K2922)=0,"PENDENTE","EM ANDAMENTO"))))))</f>
        <v/>
      </c>
      <c r="C2922" s="3">
        <f>IF(D2922="","",IF(V2922=0,"🟢 OK",IF(D2922&lt;corte,"⚪ HISTÓRICO (sem baixa)",IF(AND(ISNUMBER(R2922),R2922&lt;TODAY()),"🔴 PRAZO VENCIDO",IF(AND(OR(N2922="PENDENTE",N2922="PARCIAL"),D2922&lt;TODAY()-1),"🔴 EMBARQUE ATRASADO",IF(AND(N2922="REALIZADO",M2922="PENDENTE"),"🟡 EMBARCADO SEM FATURAR",IF(AND(P2922&lt;&gt;"",S2922="",OR(Q2922="",R2922="")),"🟡 PENDÊNCIA SEM RESPONSÁVEL/PRAZO",IF(AND(ISNUMBER(R2922),R2922=TODAY()),"🟡 VENCE HOJE",IF(AND(P2922&lt;&gt;"",S2922=""),"🟡 PENDÊNCIA ABERTA",IF(AND(N(J2922)&gt;0,N(K2922)&lt;J2922),"🟡 FALTA EXECUTAR",IF(OR(M2922="PENDENTE",M2922="PARCIAL"),"🟡 FATURAMENTO PENDENTE","🟡 EMBARQUE PENDENTE")))))))))))</f>
        <v/>
      </c>
      <c r="D2922" s="4" t="n"/>
      <c r="E2922" s="5" t="n"/>
      <c r="F2922" s="5" t="n"/>
      <c r="G2922" s="5" t="n"/>
      <c r="H2922" s="5" t="n"/>
      <c r="I2922" s="5" t="n"/>
      <c r="J2922" s="6" t="n"/>
      <c r="K2922" s="6" t="n"/>
      <c r="L2922" s="7">
        <f>IF(OR(D2922="",N(J2922)=0),"",MIN(1,N(K2922)/J2922))</f>
        <v/>
      </c>
      <c r="M2922" s="5" t="n"/>
      <c r="N2922" s="5" t="n"/>
      <c r="O2922" s="5" t="n"/>
      <c r="P2922" s="5" t="n"/>
      <c r="Q2922" s="5" t="n"/>
      <c r="R2922" s="4" t="n"/>
      <c r="S2922" s="4" t="n"/>
      <c r="T2922" s="5" t="n"/>
      <c r="U2922" s="8">
        <f>IF(AND(V2922=1,D2922&lt;&gt;""),IF(D2922&gt;=corte,TODAY()-D2922,""),"")</f>
        <v/>
      </c>
      <c r="V2922" s="8">
        <f>IF(D2922="",0,IF(OR(AND(P2922&lt;&gt;"",S2922=""),AND(N(J2922)&gt;0,N(K2922)&lt;J2922),OR(M2922="PENDENTE",M2922="PARCIAL"),OR(N2922="PENDENTE",N2922="PARCIAL")),1,0))</f>
        <v/>
      </c>
      <c r="W2922" s="8">
        <f>IF(AND(V2922=1,D2922&lt;&gt;""),IF(D2922&gt;=corte,(B2922="CRÍTICO")*1E9+(100000-D2922)*10000+10000-ROW(),""),"")</f>
        <v/>
      </c>
      <c r="X2922" s="8">
        <f>IF(AND(V2922=1,D2922=pas_data,E2922=pas_turno),10000-ROW(),"")</f>
        <v/>
      </c>
    </row>
    <row r="2923">
      <c r="A2923" s="3">
        <f>IF(D2923="","","TT-"&amp;TEXT(ROW()-1,"00000"))</f>
        <v/>
      </c>
      <c r="B2923" s="3">
        <f>IF(D2923="","",IF(V2923=0,"CONCLUÍDO",IF(D2923&lt;corte,"HISTÓRICO",IF(OR(AND(ISNUMBER(R2923),R2923&lt;TODAY()),AND(OR(N2923="PENDENTE",N2923="PARCIAL"),D2923&lt;TODAY()-1)),"CRÍTICO",IF(OR(AND(P2923&lt;&gt;"",S2923=""),AND(N2923="REALIZADO",M2923="PENDENTE"),AND(ISNUMBER(R2923),R2923=TODAY())),"ATENÇÃO",IF(N(K2923)=0,"PENDENTE","EM ANDAMENTO"))))))</f>
        <v/>
      </c>
      <c r="C2923" s="3">
        <f>IF(D2923="","",IF(V2923=0,"🟢 OK",IF(D2923&lt;corte,"⚪ HISTÓRICO (sem baixa)",IF(AND(ISNUMBER(R2923),R2923&lt;TODAY()),"🔴 PRAZO VENCIDO",IF(AND(OR(N2923="PENDENTE",N2923="PARCIAL"),D2923&lt;TODAY()-1),"🔴 EMBARQUE ATRASADO",IF(AND(N2923="REALIZADO",M2923="PENDENTE"),"🟡 EMBARCADO SEM FATURAR",IF(AND(P2923&lt;&gt;"",S2923="",OR(Q2923="",R2923="")),"🟡 PENDÊNCIA SEM RESPONSÁVEL/PRAZO",IF(AND(ISNUMBER(R2923),R2923=TODAY()),"🟡 VENCE HOJE",IF(AND(P2923&lt;&gt;"",S2923=""),"🟡 PENDÊNCIA ABERTA",IF(AND(N(J2923)&gt;0,N(K2923)&lt;J2923),"🟡 FALTA EXECUTAR",IF(OR(M2923="PENDENTE",M2923="PARCIAL"),"🟡 FATURAMENTO PENDENTE","🟡 EMBARQUE PENDENTE")))))))))))</f>
        <v/>
      </c>
      <c r="D2923" s="4" t="n"/>
      <c r="E2923" s="5" t="n"/>
      <c r="F2923" s="5" t="n"/>
      <c r="G2923" s="5" t="n"/>
      <c r="H2923" s="5" t="n"/>
      <c r="I2923" s="5" t="n"/>
      <c r="J2923" s="6" t="n"/>
      <c r="K2923" s="6" t="n"/>
      <c r="L2923" s="7">
        <f>IF(OR(D2923="",N(J2923)=0),"",MIN(1,N(K2923)/J2923))</f>
        <v/>
      </c>
      <c r="M2923" s="5" t="n"/>
      <c r="N2923" s="5" t="n"/>
      <c r="O2923" s="5" t="n"/>
      <c r="P2923" s="5" t="n"/>
      <c r="Q2923" s="5" t="n"/>
      <c r="R2923" s="4" t="n"/>
      <c r="S2923" s="4" t="n"/>
      <c r="T2923" s="5" t="n"/>
      <c r="U2923" s="8">
        <f>IF(AND(V2923=1,D2923&lt;&gt;""),IF(D2923&gt;=corte,TODAY()-D2923,""),"")</f>
        <v/>
      </c>
      <c r="V2923" s="8">
        <f>IF(D2923="",0,IF(OR(AND(P2923&lt;&gt;"",S2923=""),AND(N(J2923)&gt;0,N(K2923)&lt;J2923),OR(M2923="PENDENTE",M2923="PARCIAL"),OR(N2923="PENDENTE",N2923="PARCIAL")),1,0))</f>
        <v/>
      </c>
      <c r="W2923" s="8">
        <f>IF(AND(V2923=1,D2923&lt;&gt;""),IF(D2923&gt;=corte,(B2923="CRÍTICO")*1E9+(100000-D2923)*10000+10000-ROW(),""),"")</f>
        <v/>
      </c>
      <c r="X2923" s="8">
        <f>IF(AND(V2923=1,D2923=pas_data,E2923=pas_turno),10000-ROW(),"")</f>
        <v/>
      </c>
    </row>
    <row r="2924">
      <c r="A2924" s="3">
        <f>IF(D2924="","","TT-"&amp;TEXT(ROW()-1,"00000"))</f>
        <v/>
      </c>
      <c r="B2924" s="3">
        <f>IF(D2924="","",IF(V2924=0,"CONCLUÍDO",IF(D2924&lt;corte,"HISTÓRICO",IF(OR(AND(ISNUMBER(R2924),R2924&lt;TODAY()),AND(OR(N2924="PENDENTE",N2924="PARCIAL"),D2924&lt;TODAY()-1)),"CRÍTICO",IF(OR(AND(P2924&lt;&gt;"",S2924=""),AND(N2924="REALIZADO",M2924="PENDENTE"),AND(ISNUMBER(R2924),R2924=TODAY())),"ATENÇÃO",IF(N(K2924)=0,"PENDENTE","EM ANDAMENTO"))))))</f>
        <v/>
      </c>
      <c r="C2924" s="3">
        <f>IF(D2924="","",IF(V2924=0,"🟢 OK",IF(D2924&lt;corte,"⚪ HISTÓRICO (sem baixa)",IF(AND(ISNUMBER(R2924),R2924&lt;TODAY()),"🔴 PRAZO VENCIDO",IF(AND(OR(N2924="PENDENTE",N2924="PARCIAL"),D2924&lt;TODAY()-1),"🔴 EMBARQUE ATRASADO",IF(AND(N2924="REALIZADO",M2924="PENDENTE"),"🟡 EMBARCADO SEM FATURAR",IF(AND(P2924&lt;&gt;"",S2924="",OR(Q2924="",R2924="")),"🟡 PENDÊNCIA SEM RESPONSÁVEL/PRAZO",IF(AND(ISNUMBER(R2924),R2924=TODAY()),"🟡 VENCE HOJE",IF(AND(P2924&lt;&gt;"",S2924=""),"🟡 PENDÊNCIA ABERTA",IF(AND(N(J2924)&gt;0,N(K2924)&lt;J2924),"🟡 FALTA EXECUTAR",IF(OR(M2924="PENDENTE",M2924="PARCIAL"),"🟡 FATURAMENTO PENDENTE","🟡 EMBARQUE PENDENTE")))))))))))</f>
        <v/>
      </c>
      <c r="D2924" s="4" t="n"/>
      <c r="E2924" s="5" t="n"/>
      <c r="F2924" s="5" t="n"/>
      <c r="G2924" s="5" t="n"/>
      <c r="H2924" s="5" t="n"/>
      <c r="I2924" s="5" t="n"/>
      <c r="J2924" s="6" t="n"/>
      <c r="K2924" s="6" t="n"/>
      <c r="L2924" s="7">
        <f>IF(OR(D2924="",N(J2924)=0),"",MIN(1,N(K2924)/J2924))</f>
        <v/>
      </c>
      <c r="M2924" s="5" t="n"/>
      <c r="N2924" s="5" t="n"/>
      <c r="O2924" s="5" t="n"/>
      <c r="P2924" s="5" t="n"/>
      <c r="Q2924" s="5" t="n"/>
      <c r="R2924" s="4" t="n"/>
      <c r="S2924" s="4" t="n"/>
      <c r="T2924" s="5" t="n"/>
      <c r="U2924" s="8">
        <f>IF(AND(V2924=1,D2924&lt;&gt;""),IF(D2924&gt;=corte,TODAY()-D2924,""),"")</f>
        <v/>
      </c>
      <c r="V2924" s="8">
        <f>IF(D2924="",0,IF(OR(AND(P2924&lt;&gt;"",S2924=""),AND(N(J2924)&gt;0,N(K2924)&lt;J2924),OR(M2924="PENDENTE",M2924="PARCIAL"),OR(N2924="PENDENTE",N2924="PARCIAL")),1,0))</f>
        <v/>
      </c>
      <c r="W2924" s="8">
        <f>IF(AND(V2924=1,D2924&lt;&gt;""),IF(D2924&gt;=corte,(B2924="CRÍTICO")*1E9+(100000-D2924)*10000+10000-ROW(),""),"")</f>
        <v/>
      </c>
      <c r="X2924" s="8">
        <f>IF(AND(V2924=1,D2924=pas_data,E2924=pas_turno),10000-ROW(),"")</f>
        <v/>
      </c>
    </row>
    <row r="2925">
      <c r="A2925" s="3">
        <f>IF(D2925="","","TT-"&amp;TEXT(ROW()-1,"00000"))</f>
        <v/>
      </c>
      <c r="B2925" s="3">
        <f>IF(D2925="","",IF(V2925=0,"CONCLUÍDO",IF(D2925&lt;corte,"HISTÓRICO",IF(OR(AND(ISNUMBER(R2925),R2925&lt;TODAY()),AND(OR(N2925="PENDENTE",N2925="PARCIAL"),D2925&lt;TODAY()-1)),"CRÍTICO",IF(OR(AND(P2925&lt;&gt;"",S2925=""),AND(N2925="REALIZADO",M2925="PENDENTE"),AND(ISNUMBER(R2925),R2925=TODAY())),"ATENÇÃO",IF(N(K2925)=0,"PENDENTE","EM ANDAMENTO"))))))</f>
        <v/>
      </c>
      <c r="C2925" s="3">
        <f>IF(D2925="","",IF(V2925=0,"🟢 OK",IF(D2925&lt;corte,"⚪ HISTÓRICO (sem baixa)",IF(AND(ISNUMBER(R2925),R2925&lt;TODAY()),"🔴 PRAZO VENCIDO",IF(AND(OR(N2925="PENDENTE",N2925="PARCIAL"),D2925&lt;TODAY()-1),"🔴 EMBARQUE ATRASADO",IF(AND(N2925="REALIZADO",M2925="PENDENTE"),"🟡 EMBARCADO SEM FATURAR",IF(AND(P2925&lt;&gt;"",S2925="",OR(Q2925="",R2925="")),"🟡 PENDÊNCIA SEM RESPONSÁVEL/PRAZO",IF(AND(ISNUMBER(R2925),R2925=TODAY()),"🟡 VENCE HOJE",IF(AND(P2925&lt;&gt;"",S2925=""),"🟡 PENDÊNCIA ABERTA",IF(AND(N(J2925)&gt;0,N(K2925)&lt;J2925),"🟡 FALTA EXECUTAR",IF(OR(M2925="PENDENTE",M2925="PARCIAL"),"🟡 FATURAMENTO PENDENTE","🟡 EMBARQUE PENDENTE")))))))))))</f>
        <v/>
      </c>
      <c r="D2925" s="4" t="n"/>
      <c r="E2925" s="5" t="n"/>
      <c r="F2925" s="5" t="n"/>
      <c r="G2925" s="5" t="n"/>
      <c r="H2925" s="5" t="n"/>
      <c r="I2925" s="5" t="n"/>
      <c r="J2925" s="6" t="n"/>
      <c r="K2925" s="6" t="n"/>
      <c r="L2925" s="7">
        <f>IF(OR(D2925="",N(J2925)=0),"",MIN(1,N(K2925)/J2925))</f>
        <v/>
      </c>
      <c r="M2925" s="5" t="n"/>
      <c r="N2925" s="5" t="n"/>
      <c r="O2925" s="5" t="n"/>
      <c r="P2925" s="5" t="n"/>
      <c r="Q2925" s="5" t="n"/>
      <c r="R2925" s="4" t="n"/>
      <c r="S2925" s="4" t="n"/>
      <c r="T2925" s="5" t="n"/>
      <c r="U2925" s="8">
        <f>IF(AND(V2925=1,D2925&lt;&gt;""),IF(D2925&gt;=corte,TODAY()-D2925,""),"")</f>
        <v/>
      </c>
      <c r="V2925" s="8">
        <f>IF(D2925="",0,IF(OR(AND(P2925&lt;&gt;"",S2925=""),AND(N(J2925)&gt;0,N(K2925)&lt;J2925),OR(M2925="PENDENTE",M2925="PARCIAL"),OR(N2925="PENDENTE",N2925="PARCIAL")),1,0))</f>
        <v/>
      </c>
      <c r="W2925" s="8">
        <f>IF(AND(V2925=1,D2925&lt;&gt;""),IF(D2925&gt;=corte,(B2925="CRÍTICO")*1E9+(100000-D2925)*10000+10000-ROW(),""),"")</f>
        <v/>
      </c>
      <c r="X2925" s="8">
        <f>IF(AND(V2925=1,D2925=pas_data,E2925=pas_turno),10000-ROW(),"")</f>
        <v/>
      </c>
    </row>
    <row r="2926">
      <c r="A2926" s="3">
        <f>IF(D2926="","","TT-"&amp;TEXT(ROW()-1,"00000"))</f>
        <v/>
      </c>
      <c r="B2926" s="3">
        <f>IF(D2926="","",IF(V2926=0,"CONCLUÍDO",IF(D2926&lt;corte,"HISTÓRICO",IF(OR(AND(ISNUMBER(R2926),R2926&lt;TODAY()),AND(OR(N2926="PENDENTE",N2926="PARCIAL"),D2926&lt;TODAY()-1)),"CRÍTICO",IF(OR(AND(P2926&lt;&gt;"",S2926=""),AND(N2926="REALIZADO",M2926="PENDENTE"),AND(ISNUMBER(R2926),R2926=TODAY())),"ATENÇÃO",IF(N(K2926)=0,"PENDENTE","EM ANDAMENTO"))))))</f>
        <v/>
      </c>
      <c r="C2926" s="3">
        <f>IF(D2926="","",IF(V2926=0,"🟢 OK",IF(D2926&lt;corte,"⚪ HISTÓRICO (sem baixa)",IF(AND(ISNUMBER(R2926),R2926&lt;TODAY()),"🔴 PRAZO VENCIDO",IF(AND(OR(N2926="PENDENTE",N2926="PARCIAL"),D2926&lt;TODAY()-1),"🔴 EMBARQUE ATRASADO",IF(AND(N2926="REALIZADO",M2926="PENDENTE"),"🟡 EMBARCADO SEM FATURAR",IF(AND(P2926&lt;&gt;"",S2926="",OR(Q2926="",R2926="")),"🟡 PENDÊNCIA SEM RESPONSÁVEL/PRAZO",IF(AND(ISNUMBER(R2926),R2926=TODAY()),"🟡 VENCE HOJE",IF(AND(P2926&lt;&gt;"",S2926=""),"🟡 PENDÊNCIA ABERTA",IF(AND(N(J2926)&gt;0,N(K2926)&lt;J2926),"🟡 FALTA EXECUTAR",IF(OR(M2926="PENDENTE",M2926="PARCIAL"),"🟡 FATURAMENTO PENDENTE","🟡 EMBARQUE PENDENTE")))))))))))</f>
        <v/>
      </c>
      <c r="D2926" s="4" t="n"/>
      <c r="E2926" s="5" t="n"/>
      <c r="F2926" s="5" t="n"/>
      <c r="G2926" s="5" t="n"/>
      <c r="H2926" s="5" t="n"/>
      <c r="I2926" s="5" t="n"/>
      <c r="J2926" s="6" t="n"/>
      <c r="K2926" s="6" t="n"/>
      <c r="L2926" s="7">
        <f>IF(OR(D2926="",N(J2926)=0),"",MIN(1,N(K2926)/J2926))</f>
        <v/>
      </c>
      <c r="M2926" s="5" t="n"/>
      <c r="N2926" s="5" t="n"/>
      <c r="O2926" s="5" t="n"/>
      <c r="P2926" s="5" t="n"/>
      <c r="Q2926" s="5" t="n"/>
      <c r="R2926" s="4" t="n"/>
      <c r="S2926" s="4" t="n"/>
      <c r="T2926" s="5" t="n"/>
      <c r="U2926" s="8">
        <f>IF(AND(V2926=1,D2926&lt;&gt;""),IF(D2926&gt;=corte,TODAY()-D2926,""),"")</f>
        <v/>
      </c>
      <c r="V2926" s="8">
        <f>IF(D2926="",0,IF(OR(AND(P2926&lt;&gt;"",S2926=""),AND(N(J2926)&gt;0,N(K2926)&lt;J2926),OR(M2926="PENDENTE",M2926="PARCIAL"),OR(N2926="PENDENTE",N2926="PARCIAL")),1,0))</f>
        <v/>
      </c>
      <c r="W2926" s="8">
        <f>IF(AND(V2926=1,D2926&lt;&gt;""),IF(D2926&gt;=corte,(B2926="CRÍTICO")*1E9+(100000-D2926)*10000+10000-ROW(),""),"")</f>
        <v/>
      </c>
      <c r="X2926" s="8">
        <f>IF(AND(V2926=1,D2926=pas_data,E2926=pas_turno),10000-ROW(),"")</f>
        <v/>
      </c>
    </row>
    <row r="2927">
      <c r="A2927" s="3">
        <f>IF(D2927="","","TT-"&amp;TEXT(ROW()-1,"00000"))</f>
        <v/>
      </c>
      <c r="B2927" s="3">
        <f>IF(D2927="","",IF(V2927=0,"CONCLUÍDO",IF(D2927&lt;corte,"HISTÓRICO",IF(OR(AND(ISNUMBER(R2927),R2927&lt;TODAY()),AND(OR(N2927="PENDENTE",N2927="PARCIAL"),D2927&lt;TODAY()-1)),"CRÍTICO",IF(OR(AND(P2927&lt;&gt;"",S2927=""),AND(N2927="REALIZADO",M2927="PENDENTE"),AND(ISNUMBER(R2927),R2927=TODAY())),"ATENÇÃO",IF(N(K2927)=0,"PENDENTE","EM ANDAMENTO"))))))</f>
        <v/>
      </c>
      <c r="C2927" s="3">
        <f>IF(D2927="","",IF(V2927=0,"🟢 OK",IF(D2927&lt;corte,"⚪ HISTÓRICO (sem baixa)",IF(AND(ISNUMBER(R2927),R2927&lt;TODAY()),"🔴 PRAZO VENCIDO",IF(AND(OR(N2927="PENDENTE",N2927="PARCIAL"),D2927&lt;TODAY()-1),"🔴 EMBARQUE ATRASADO",IF(AND(N2927="REALIZADO",M2927="PENDENTE"),"🟡 EMBARCADO SEM FATURAR",IF(AND(P2927&lt;&gt;"",S2927="",OR(Q2927="",R2927="")),"🟡 PENDÊNCIA SEM RESPONSÁVEL/PRAZO",IF(AND(ISNUMBER(R2927),R2927=TODAY()),"🟡 VENCE HOJE",IF(AND(P2927&lt;&gt;"",S2927=""),"🟡 PENDÊNCIA ABERTA",IF(AND(N(J2927)&gt;0,N(K2927)&lt;J2927),"🟡 FALTA EXECUTAR",IF(OR(M2927="PENDENTE",M2927="PARCIAL"),"🟡 FATURAMENTO PENDENTE","🟡 EMBARQUE PENDENTE")))))))))))</f>
        <v/>
      </c>
      <c r="D2927" s="4" t="n"/>
      <c r="E2927" s="5" t="n"/>
      <c r="F2927" s="5" t="n"/>
      <c r="G2927" s="5" t="n"/>
      <c r="H2927" s="5" t="n"/>
      <c r="I2927" s="5" t="n"/>
      <c r="J2927" s="6" t="n"/>
      <c r="K2927" s="6" t="n"/>
      <c r="L2927" s="7">
        <f>IF(OR(D2927="",N(J2927)=0),"",MIN(1,N(K2927)/J2927))</f>
        <v/>
      </c>
      <c r="M2927" s="5" t="n"/>
      <c r="N2927" s="5" t="n"/>
      <c r="O2927" s="5" t="n"/>
      <c r="P2927" s="5" t="n"/>
      <c r="Q2927" s="5" t="n"/>
      <c r="R2927" s="4" t="n"/>
      <c r="S2927" s="4" t="n"/>
      <c r="T2927" s="5" t="n"/>
      <c r="U2927" s="8">
        <f>IF(AND(V2927=1,D2927&lt;&gt;""),IF(D2927&gt;=corte,TODAY()-D2927,""),"")</f>
        <v/>
      </c>
      <c r="V2927" s="8">
        <f>IF(D2927="",0,IF(OR(AND(P2927&lt;&gt;"",S2927=""),AND(N(J2927)&gt;0,N(K2927)&lt;J2927),OR(M2927="PENDENTE",M2927="PARCIAL"),OR(N2927="PENDENTE",N2927="PARCIAL")),1,0))</f>
        <v/>
      </c>
      <c r="W2927" s="8">
        <f>IF(AND(V2927=1,D2927&lt;&gt;""),IF(D2927&gt;=corte,(B2927="CRÍTICO")*1E9+(100000-D2927)*10000+10000-ROW(),""),"")</f>
        <v/>
      </c>
      <c r="X2927" s="8">
        <f>IF(AND(V2927=1,D2927=pas_data,E2927=pas_turno),10000-ROW(),"")</f>
        <v/>
      </c>
    </row>
    <row r="2928">
      <c r="A2928" s="3">
        <f>IF(D2928="","","TT-"&amp;TEXT(ROW()-1,"00000"))</f>
        <v/>
      </c>
      <c r="B2928" s="3">
        <f>IF(D2928="","",IF(V2928=0,"CONCLUÍDO",IF(D2928&lt;corte,"HISTÓRICO",IF(OR(AND(ISNUMBER(R2928),R2928&lt;TODAY()),AND(OR(N2928="PENDENTE",N2928="PARCIAL"),D2928&lt;TODAY()-1)),"CRÍTICO",IF(OR(AND(P2928&lt;&gt;"",S2928=""),AND(N2928="REALIZADO",M2928="PENDENTE"),AND(ISNUMBER(R2928),R2928=TODAY())),"ATENÇÃO",IF(N(K2928)=0,"PENDENTE","EM ANDAMENTO"))))))</f>
        <v/>
      </c>
      <c r="C2928" s="3">
        <f>IF(D2928="","",IF(V2928=0,"🟢 OK",IF(D2928&lt;corte,"⚪ HISTÓRICO (sem baixa)",IF(AND(ISNUMBER(R2928),R2928&lt;TODAY()),"🔴 PRAZO VENCIDO",IF(AND(OR(N2928="PENDENTE",N2928="PARCIAL"),D2928&lt;TODAY()-1),"🔴 EMBARQUE ATRASADO",IF(AND(N2928="REALIZADO",M2928="PENDENTE"),"🟡 EMBARCADO SEM FATURAR",IF(AND(P2928&lt;&gt;"",S2928="",OR(Q2928="",R2928="")),"🟡 PENDÊNCIA SEM RESPONSÁVEL/PRAZO",IF(AND(ISNUMBER(R2928),R2928=TODAY()),"🟡 VENCE HOJE",IF(AND(P2928&lt;&gt;"",S2928=""),"🟡 PENDÊNCIA ABERTA",IF(AND(N(J2928)&gt;0,N(K2928)&lt;J2928),"🟡 FALTA EXECUTAR",IF(OR(M2928="PENDENTE",M2928="PARCIAL"),"🟡 FATURAMENTO PENDENTE","🟡 EMBARQUE PENDENTE")))))))))))</f>
        <v/>
      </c>
      <c r="D2928" s="4" t="n"/>
      <c r="E2928" s="5" t="n"/>
      <c r="F2928" s="5" t="n"/>
      <c r="G2928" s="5" t="n"/>
      <c r="H2928" s="5" t="n"/>
      <c r="I2928" s="5" t="n"/>
      <c r="J2928" s="6" t="n"/>
      <c r="K2928" s="6" t="n"/>
      <c r="L2928" s="7">
        <f>IF(OR(D2928="",N(J2928)=0),"",MIN(1,N(K2928)/J2928))</f>
        <v/>
      </c>
      <c r="M2928" s="5" t="n"/>
      <c r="N2928" s="5" t="n"/>
      <c r="O2928" s="5" t="n"/>
      <c r="P2928" s="5" t="n"/>
      <c r="Q2928" s="5" t="n"/>
      <c r="R2928" s="4" t="n"/>
      <c r="S2928" s="4" t="n"/>
      <c r="T2928" s="5" t="n"/>
      <c r="U2928" s="8">
        <f>IF(AND(V2928=1,D2928&lt;&gt;""),IF(D2928&gt;=corte,TODAY()-D2928,""),"")</f>
        <v/>
      </c>
      <c r="V2928" s="8">
        <f>IF(D2928="",0,IF(OR(AND(P2928&lt;&gt;"",S2928=""),AND(N(J2928)&gt;0,N(K2928)&lt;J2928),OR(M2928="PENDENTE",M2928="PARCIAL"),OR(N2928="PENDENTE",N2928="PARCIAL")),1,0))</f>
        <v/>
      </c>
      <c r="W2928" s="8">
        <f>IF(AND(V2928=1,D2928&lt;&gt;""),IF(D2928&gt;=corte,(B2928="CRÍTICO")*1E9+(100000-D2928)*10000+10000-ROW(),""),"")</f>
        <v/>
      </c>
      <c r="X2928" s="8">
        <f>IF(AND(V2928=1,D2928=pas_data,E2928=pas_turno),10000-ROW(),"")</f>
        <v/>
      </c>
    </row>
    <row r="2929">
      <c r="A2929" s="3">
        <f>IF(D2929="","","TT-"&amp;TEXT(ROW()-1,"00000"))</f>
        <v/>
      </c>
      <c r="B2929" s="3">
        <f>IF(D2929="","",IF(V2929=0,"CONCLUÍDO",IF(D2929&lt;corte,"HISTÓRICO",IF(OR(AND(ISNUMBER(R2929),R2929&lt;TODAY()),AND(OR(N2929="PENDENTE",N2929="PARCIAL"),D2929&lt;TODAY()-1)),"CRÍTICO",IF(OR(AND(P2929&lt;&gt;"",S2929=""),AND(N2929="REALIZADO",M2929="PENDENTE"),AND(ISNUMBER(R2929),R2929=TODAY())),"ATENÇÃO",IF(N(K2929)=0,"PENDENTE","EM ANDAMENTO"))))))</f>
        <v/>
      </c>
      <c r="C2929" s="3">
        <f>IF(D2929="","",IF(V2929=0,"🟢 OK",IF(D2929&lt;corte,"⚪ HISTÓRICO (sem baixa)",IF(AND(ISNUMBER(R2929),R2929&lt;TODAY()),"🔴 PRAZO VENCIDO",IF(AND(OR(N2929="PENDENTE",N2929="PARCIAL"),D2929&lt;TODAY()-1),"🔴 EMBARQUE ATRASADO",IF(AND(N2929="REALIZADO",M2929="PENDENTE"),"🟡 EMBARCADO SEM FATURAR",IF(AND(P2929&lt;&gt;"",S2929="",OR(Q2929="",R2929="")),"🟡 PENDÊNCIA SEM RESPONSÁVEL/PRAZO",IF(AND(ISNUMBER(R2929),R2929=TODAY()),"🟡 VENCE HOJE",IF(AND(P2929&lt;&gt;"",S2929=""),"🟡 PENDÊNCIA ABERTA",IF(AND(N(J2929)&gt;0,N(K2929)&lt;J2929),"🟡 FALTA EXECUTAR",IF(OR(M2929="PENDENTE",M2929="PARCIAL"),"🟡 FATURAMENTO PENDENTE","🟡 EMBARQUE PENDENTE")))))))))))</f>
        <v/>
      </c>
      <c r="D2929" s="4" t="n"/>
      <c r="E2929" s="5" t="n"/>
      <c r="F2929" s="5" t="n"/>
      <c r="G2929" s="5" t="n"/>
      <c r="H2929" s="5" t="n"/>
      <c r="I2929" s="5" t="n"/>
      <c r="J2929" s="6" t="n"/>
      <c r="K2929" s="6" t="n"/>
      <c r="L2929" s="7">
        <f>IF(OR(D2929="",N(J2929)=0),"",MIN(1,N(K2929)/J2929))</f>
        <v/>
      </c>
      <c r="M2929" s="5" t="n"/>
      <c r="N2929" s="5" t="n"/>
      <c r="O2929" s="5" t="n"/>
      <c r="P2929" s="5" t="n"/>
      <c r="Q2929" s="5" t="n"/>
      <c r="R2929" s="4" t="n"/>
      <c r="S2929" s="4" t="n"/>
      <c r="T2929" s="5" t="n"/>
      <c r="U2929" s="8">
        <f>IF(AND(V2929=1,D2929&lt;&gt;""),IF(D2929&gt;=corte,TODAY()-D2929,""),"")</f>
        <v/>
      </c>
      <c r="V2929" s="8">
        <f>IF(D2929="",0,IF(OR(AND(P2929&lt;&gt;"",S2929=""),AND(N(J2929)&gt;0,N(K2929)&lt;J2929),OR(M2929="PENDENTE",M2929="PARCIAL"),OR(N2929="PENDENTE",N2929="PARCIAL")),1,0))</f>
        <v/>
      </c>
      <c r="W2929" s="8">
        <f>IF(AND(V2929=1,D2929&lt;&gt;""),IF(D2929&gt;=corte,(B2929="CRÍTICO")*1E9+(100000-D2929)*10000+10000-ROW(),""),"")</f>
        <v/>
      </c>
      <c r="X2929" s="8">
        <f>IF(AND(V2929=1,D2929=pas_data,E2929=pas_turno),10000-ROW(),"")</f>
        <v/>
      </c>
    </row>
    <row r="2930">
      <c r="A2930" s="3">
        <f>IF(D2930="","","TT-"&amp;TEXT(ROW()-1,"00000"))</f>
        <v/>
      </c>
      <c r="B2930" s="3">
        <f>IF(D2930="","",IF(V2930=0,"CONCLUÍDO",IF(D2930&lt;corte,"HISTÓRICO",IF(OR(AND(ISNUMBER(R2930),R2930&lt;TODAY()),AND(OR(N2930="PENDENTE",N2930="PARCIAL"),D2930&lt;TODAY()-1)),"CRÍTICO",IF(OR(AND(P2930&lt;&gt;"",S2930=""),AND(N2930="REALIZADO",M2930="PENDENTE"),AND(ISNUMBER(R2930),R2930=TODAY())),"ATENÇÃO",IF(N(K2930)=0,"PENDENTE","EM ANDAMENTO"))))))</f>
        <v/>
      </c>
      <c r="C2930" s="3">
        <f>IF(D2930="","",IF(V2930=0,"🟢 OK",IF(D2930&lt;corte,"⚪ HISTÓRICO (sem baixa)",IF(AND(ISNUMBER(R2930),R2930&lt;TODAY()),"🔴 PRAZO VENCIDO",IF(AND(OR(N2930="PENDENTE",N2930="PARCIAL"),D2930&lt;TODAY()-1),"🔴 EMBARQUE ATRASADO",IF(AND(N2930="REALIZADO",M2930="PENDENTE"),"🟡 EMBARCADO SEM FATURAR",IF(AND(P2930&lt;&gt;"",S2930="",OR(Q2930="",R2930="")),"🟡 PENDÊNCIA SEM RESPONSÁVEL/PRAZO",IF(AND(ISNUMBER(R2930),R2930=TODAY()),"🟡 VENCE HOJE",IF(AND(P2930&lt;&gt;"",S2930=""),"🟡 PENDÊNCIA ABERTA",IF(AND(N(J2930)&gt;0,N(K2930)&lt;J2930),"🟡 FALTA EXECUTAR",IF(OR(M2930="PENDENTE",M2930="PARCIAL"),"🟡 FATURAMENTO PENDENTE","🟡 EMBARQUE PENDENTE")))))))))))</f>
        <v/>
      </c>
      <c r="D2930" s="4" t="n"/>
      <c r="E2930" s="5" t="n"/>
      <c r="F2930" s="5" t="n"/>
      <c r="G2930" s="5" t="n"/>
      <c r="H2930" s="5" t="n"/>
      <c r="I2930" s="5" t="n"/>
      <c r="J2930" s="6" t="n"/>
      <c r="K2930" s="6" t="n"/>
      <c r="L2930" s="7">
        <f>IF(OR(D2930="",N(J2930)=0),"",MIN(1,N(K2930)/J2930))</f>
        <v/>
      </c>
      <c r="M2930" s="5" t="n"/>
      <c r="N2930" s="5" t="n"/>
      <c r="O2930" s="5" t="n"/>
      <c r="P2930" s="5" t="n"/>
      <c r="Q2930" s="5" t="n"/>
      <c r="R2930" s="4" t="n"/>
      <c r="S2930" s="4" t="n"/>
      <c r="T2930" s="5" t="n"/>
      <c r="U2930" s="8">
        <f>IF(AND(V2930=1,D2930&lt;&gt;""),IF(D2930&gt;=corte,TODAY()-D2930,""),"")</f>
        <v/>
      </c>
      <c r="V2930" s="8">
        <f>IF(D2930="",0,IF(OR(AND(P2930&lt;&gt;"",S2930=""),AND(N(J2930)&gt;0,N(K2930)&lt;J2930),OR(M2930="PENDENTE",M2930="PARCIAL"),OR(N2930="PENDENTE",N2930="PARCIAL")),1,0))</f>
        <v/>
      </c>
      <c r="W2930" s="8">
        <f>IF(AND(V2930=1,D2930&lt;&gt;""),IF(D2930&gt;=corte,(B2930="CRÍTICO")*1E9+(100000-D2930)*10000+10000-ROW(),""),"")</f>
        <v/>
      </c>
      <c r="X2930" s="8">
        <f>IF(AND(V2930=1,D2930=pas_data,E2930=pas_turno),10000-ROW(),"")</f>
        <v/>
      </c>
    </row>
    <row r="2931">
      <c r="A2931" s="3">
        <f>IF(D2931="","","TT-"&amp;TEXT(ROW()-1,"00000"))</f>
        <v/>
      </c>
      <c r="B2931" s="3">
        <f>IF(D2931="","",IF(V2931=0,"CONCLUÍDO",IF(D2931&lt;corte,"HISTÓRICO",IF(OR(AND(ISNUMBER(R2931),R2931&lt;TODAY()),AND(OR(N2931="PENDENTE",N2931="PARCIAL"),D2931&lt;TODAY()-1)),"CRÍTICO",IF(OR(AND(P2931&lt;&gt;"",S2931=""),AND(N2931="REALIZADO",M2931="PENDENTE"),AND(ISNUMBER(R2931),R2931=TODAY())),"ATENÇÃO",IF(N(K2931)=0,"PENDENTE","EM ANDAMENTO"))))))</f>
        <v/>
      </c>
      <c r="C2931" s="3">
        <f>IF(D2931="","",IF(V2931=0,"🟢 OK",IF(D2931&lt;corte,"⚪ HISTÓRICO (sem baixa)",IF(AND(ISNUMBER(R2931),R2931&lt;TODAY()),"🔴 PRAZO VENCIDO",IF(AND(OR(N2931="PENDENTE",N2931="PARCIAL"),D2931&lt;TODAY()-1),"🔴 EMBARQUE ATRASADO",IF(AND(N2931="REALIZADO",M2931="PENDENTE"),"🟡 EMBARCADO SEM FATURAR",IF(AND(P2931&lt;&gt;"",S2931="",OR(Q2931="",R2931="")),"🟡 PENDÊNCIA SEM RESPONSÁVEL/PRAZO",IF(AND(ISNUMBER(R2931),R2931=TODAY()),"🟡 VENCE HOJE",IF(AND(P2931&lt;&gt;"",S2931=""),"🟡 PENDÊNCIA ABERTA",IF(AND(N(J2931)&gt;0,N(K2931)&lt;J2931),"🟡 FALTA EXECUTAR",IF(OR(M2931="PENDENTE",M2931="PARCIAL"),"🟡 FATURAMENTO PENDENTE","🟡 EMBARQUE PENDENTE")))))))))))</f>
        <v/>
      </c>
      <c r="D2931" s="4" t="n"/>
      <c r="E2931" s="5" t="n"/>
      <c r="F2931" s="5" t="n"/>
      <c r="G2931" s="5" t="n"/>
      <c r="H2931" s="5" t="n"/>
      <c r="I2931" s="5" t="n"/>
      <c r="J2931" s="6" t="n"/>
      <c r="K2931" s="6" t="n"/>
      <c r="L2931" s="7">
        <f>IF(OR(D2931="",N(J2931)=0),"",MIN(1,N(K2931)/J2931))</f>
        <v/>
      </c>
      <c r="M2931" s="5" t="n"/>
      <c r="N2931" s="5" t="n"/>
      <c r="O2931" s="5" t="n"/>
      <c r="P2931" s="5" t="n"/>
      <c r="Q2931" s="5" t="n"/>
      <c r="R2931" s="4" t="n"/>
      <c r="S2931" s="4" t="n"/>
      <c r="T2931" s="5" t="n"/>
      <c r="U2931" s="8">
        <f>IF(AND(V2931=1,D2931&lt;&gt;""),IF(D2931&gt;=corte,TODAY()-D2931,""),"")</f>
        <v/>
      </c>
      <c r="V2931" s="8">
        <f>IF(D2931="",0,IF(OR(AND(P2931&lt;&gt;"",S2931=""),AND(N(J2931)&gt;0,N(K2931)&lt;J2931),OR(M2931="PENDENTE",M2931="PARCIAL"),OR(N2931="PENDENTE",N2931="PARCIAL")),1,0))</f>
        <v/>
      </c>
      <c r="W2931" s="8">
        <f>IF(AND(V2931=1,D2931&lt;&gt;""),IF(D2931&gt;=corte,(B2931="CRÍTICO")*1E9+(100000-D2931)*10000+10000-ROW(),""),"")</f>
        <v/>
      </c>
      <c r="X2931" s="8">
        <f>IF(AND(V2931=1,D2931=pas_data,E2931=pas_turno),10000-ROW(),"")</f>
        <v/>
      </c>
    </row>
    <row r="2932">
      <c r="A2932" s="3">
        <f>IF(D2932="","","TT-"&amp;TEXT(ROW()-1,"00000"))</f>
        <v/>
      </c>
      <c r="B2932" s="3">
        <f>IF(D2932="","",IF(V2932=0,"CONCLUÍDO",IF(D2932&lt;corte,"HISTÓRICO",IF(OR(AND(ISNUMBER(R2932),R2932&lt;TODAY()),AND(OR(N2932="PENDENTE",N2932="PARCIAL"),D2932&lt;TODAY()-1)),"CRÍTICO",IF(OR(AND(P2932&lt;&gt;"",S2932=""),AND(N2932="REALIZADO",M2932="PENDENTE"),AND(ISNUMBER(R2932),R2932=TODAY())),"ATENÇÃO",IF(N(K2932)=0,"PENDENTE","EM ANDAMENTO"))))))</f>
        <v/>
      </c>
      <c r="C2932" s="3">
        <f>IF(D2932="","",IF(V2932=0,"🟢 OK",IF(D2932&lt;corte,"⚪ HISTÓRICO (sem baixa)",IF(AND(ISNUMBER(R2932),R2932&lt;TODAY()),"🔴 PRAZO VENCIDO",IF(AND(OR(N2932="PENDENTE",N2932="PARCIAL"),D2932&lt;TODAY()-1),"🔴 EMBARQUE ATRASADO",IF(AND(N2932="REALIZADO",M2932="PENDENTE"),"🟡 EMBARCADO SEM FATURAR",IF(AND(P2932&lt;&gt;"",S2932="",OR(Q2932="",R2932="")),"🟡 PENDÊNCIA SEM RESPONSÁVEL/PRAZO",IF(AND(ISNUMBER(R2932),R2932=TODAY()),"🟡 VENCE HOJE",IF(AND(P2932&lt;&gt;"",S2932=""),"🟡 PENDÊNCIA ABERTA",IF(AND(N(J2932)&gt;0,N(K2932)&lt;J2932),"🟡 FALTA EXECUTAR",IF(OR(M2932="PENDENTE",M2932="PARCIAL"),"🟡 FATURAMENTO PENDENTE","🟡 EMBARQUE PENDENTE")))))))))))</f>
        <v/>
      </c>
      <c r="D2932" s="4" t="n"/>
      <c r="E2932" s="5" t="n"/>
      <c r="F2932" s="5" t="n"/>
      <c r="G2932" s="5" t="n"/>
      <c r="H2932" s="5" t="n"/>
      <c r="I2932" s="5" t="n"/>
      <c r="J2932" s="6" t="n"/>
      <c r="K2932" s="6" t="n"/>
      <c r="L2932" s="7">
        <f>IF(OR(D2932="",N(J2932)=0),"",MIN(1,N(K2932)/J2932))</f>
        <v/>
      </c>
      <c r="M2932" s="5" t="n"/>
      <c r="N2932" s="5" t="n"/>
      <c r="O2932" s="5" t="n"/>
      <c r="P2932" s="5" t="n"/>
      <c r="Q2932" s="5" t="n"/>
      <c r="R2932" s="4" t="n"/>
      <c r="S2932" s="4" t="n"/>
      <c r="T2932" s="5" t="n"/>
      <c r="U2932" s="8">
        <f>IF(AND(V2932=1,D2932&lt;&gt;""),IF(D2932&gt;=corte,TODAY()-D2932,""),"")</f>
        <v/>
      </c>
      <c r="V2932" s="8">
        <f>IF(D2932="",0,IF(OR(AND(P2932&lt;&gt;"",S2932=""),AND(N(J2932)&gt;0,N(K2932)&lt;J2932),OR(M2932="PENDENTE",M2932="PARCIAL"),OR(N2932="PENDENTE",N2932="PARCIAL")),1,0))</f>
        <v/>
      </c>
      <c r="W2932" s="8">
        <f>IF(AND(V2932=1,D2932&lt;&gt;""),IF(D2932&gt;=corte,(B2932="CRÍTICO")*1E9+(100000-D2932)*10000+10000-ROW(),""),"")</f>
        <v/>
      </c>
      <c r="X2932" s="8">
        <f>IF(AND(V2932=1,D2932=pas_data,E2932=pas_turno),10000-ROW(),"")</f>
        <v/>
      </c>
    </row>
    <row r="2933">
      <c r="A2933" s="3">
        <f>IF(D2933="","","TT-"&amp;TEXT(ROW()-1,"00000"))</f>
        <v/>
      </c>
      <c r="B2933" s="3">
        <f>IF(D2933="","",IF(V2933=0,"CONCLUÍDO",IF(D2933&lt;corte,"HISTÓRICO",IF(OR(AND(ISNUMBER(R2933),R2933&lt;TODAY()),AND(OR(N2933="PENDENTE",N2933="PARCIAL"),D2933&lt;TODAY()-1)),"CRÍTICO",IF(OR(AND(P2933&lt;&gt;"",S2933=""),AND(N2933="REALIZADO",M2933="PENDENTE"),AND(ISNUMBER(R2933),R2933=TODAY())),"ATENÇÃO",IF(N(K2933)=0,"PENDENTE","EM ANDAMENTO"))))))</f>
        <v/>
      </c>
      <c r="C2933" s="3">
        <f>IF(D2933="","",IF(V2933=0,"🟢 OK",IF(D2933&lt;corte,"⚪ HISTÓRICO (sem baixa)",IF(AND(ISNUMBER(R2933),R2933&lt;TODAY()),"🔴 PRAZO VENCIDO",IF(AND(OR(N2933="PENDENTE",N2933="PARCIAL"),D2933&lt;TODAY()-1),"🔴 EMBARQUE ATRASADO",IF(AND(N2933="REALIZADO",M2933="PENDENTE"),"🟡 EMBARCADO SEM FATURAR",IF(AND(P2933&lt;&gt;"",S2933="",OR(Q2933="",R2933="")),"🟡 PENDÊNCIA SEM RESPONSÁVEL/PRAZO",IF(AND(ISNUMBER(R2933),R2933=TODAY()),"🟡 VENCE HOJE",IF(AND(P2933&lt;&gt;"",S2933=""),"🟡 PENDÊNCIA ABERTA",IF(AND(N(J2933)&gt;0,N(K2933)&lt;J2933),"🟡 FALTA EXECUTAR",IF(OR(M2933="PENDENTE",M2933="PARCIAL"),"🟡 FATURAMENTO PENDENTE","🟡 EMBARQUE PENDENTE")))))))))))</f>
        <v/>
      </c>
      <c r="D2933" s="4" t="n"/>
      <c r="E2933" s="5" t="n"/>
      <c r="F2933" s="5" t="n"/>
      <c r="G2933" s="5" t="n"/>
      <c r="H2933" s="5" t="n"/>
      <c r="I2933" s="5" t="n"/>
      <c r="J2933" s="6" t="n"/>
      <c r="K2933" s="6" t="n"/>
      <c r="L2933" s="7">
        <f>IF(OR(D2933="",N(J2933)=0),"",MIN(1,N(K2933)/J2933))</f>
        <v/>
      </c>
      <c r="M2933" s="5" t="n"/>
      <c r="N2933" s="5" t="n"/>
      <c r="O2933" s="5" t="n"/>
      <c r="P2933" s="5" t="n"/>
      <c r="Q2933" s="5" t="n"/>
      <c r="R2933" s="4" t="n"/>
      <c r="S2933" s="4" t="n"/>
      <c r="T2933" s="5" t="n"/>
      <c r="U2933" s="8">
        <f>IF(AND(V2933=1,D2933&lt;&gt;""),IF(D2933&gt;=corte,TODAY()-D2933,""),"")</f>
        <v/>
      </c>
      <c r="V2933" s="8">
        <f>IF(D2933="",0,IF(OR(AND(P2933&lt;&gt;"",S2933=""),AND(N(J2933)&gt;0,N(K2933)&lt;J2933),OR(M2933="PENDENTE",M2933="PARCIAL"),OR(N2933="PENDENTE",N2933="PARCIAL")),1,0))</f>
        <v/>
      </c>
      <c r="W2933" s="8">
        <f>IF(AND(V2933=1,D2933&lt;&gt;""),IF(D2933&gt;=corte,(B2933="CRÍTICO")*1E9+(100000-D2933)*10000+10000-ROW(),""),"")</f>
        <v/>
      </c>
      <c r="X2933" s="8">
        <f>IF(AND(V2933=1,D2933=pas_data,E2933=pas_turno),10000-ROW(),"")</f>
        <v/>
      </c>
    </row>
    <row r="2934">
      <c r="A2934" s="3">
        <f>IF(D2934="","","TT-"&amp;TEXT(ROW()-1,"00000"))</f>
        <v/>
      </c>
      <c r="B2934" s="3">
        <f>IF(D2934="","",IF(V2934=0,"CONCLUÍDO",IF(D2934&lt;corte,"HISTÓRICO",IF(OR(AND(ISNUMBER(R2934),R2934&lt;TODAY()),AND(OR(N2934="PENDENTE",N2934="PARCIAL"),D2934&lt;TODAY()-1)),"CRÍTICO",IF(OR(AND(P2934&lt;&gt;"",S2934=""),AND(N2934="REALIZADO",M2934="PENDENTE"),AND(ISNUMBER(R2934),R2934=TODAY())),"ATENÇÃO",IF(N(K2934)=0,"PENDENTE","EM ANDAMENTO"))))))</f>
        <v/>
      </c>
      <c r="C2934" s="3">
        <f>IF(D2934="","",IF(V2934=0,"🟢 OK",IF(D2934&lt;corte,"⚪ HISTÓRICO (sem baixa)",IF(AND(ISNUMBER(R2934),R2934&lt;TODAY()),"🔴 PRAZO VENCIDO",IF(AND(OR(N2934="PENDENTE",N2934="PARCIAL"),D2934&lt;TODAY()-1),"🔴 EMBARQUE ATRASADO",IF(AND(N2934="REALIZADO",M2934="PENDENTE"),"🟡 EMBARCADO SEM FATURAR",IF(AND(P2934&lt;&gt;"",S2934="",OR(Q2934="",R2934="")),"🟡 PENDÊNCIA SEM RESPONSÁVEL/PRAZO",IF(AND(ISNUMBER(R2934),R2934=TODAY()),"🟡 VENCE HOJE",IF(AND(P2934&lt;&gt;"",S2934=""),"🟡 PENDÊNCIA ABERTA",IF(AND(N(J2934)&gt;0,N(K2934)&lt;J2934),"🟡 FALTA EXECUTAR",IF(OR(M2934="PENDENTE",M2934="PARCIAL"),"🟡 FATURAMENTO PENDENTE","🟡 EMBARQUE PENDENTE")))))))))))</f>
        <v/>
      </c>
      <c r="D2934" s="4" t="n"/>
      <c r="E2934" s="5" t="n"/>
      <c r="F2934" s="5" t="n"/>
      <c r="G2934" s="5" t="n"/>
      <c r="H2934" s="5" t="n"/>
      <c r="I2934" s="5" t="n"/>
      <c r="J2934" s="6" t="n"/>
      <c r="K2934" s="6" t="n"/>
      <c r="L2934" s="7">
        <f>IF(OR(D2934="",N(J2934)=0),"",MIN(1,N(K2934)/J2934))</f>
        <v/>
      </c>
      <c r="M2934" s="5" t="n"/>
      <c r="N2934" s="5" t="n"/>
      <c r="O2934" s="5" t="n"/>
      <c r="P2934" s="5" t="n"/>
      <c r="Q2934" s="5" t="n"/>
      <c r="R2934" s="4" t="n"/>
      <c r="S2934" s="4" t="n"/>
      <c r="T2934" s="5" t="n"/>
      <c r="U2934" s="8">
        <f>IF(AND(V2934=1,D2934&lt;&gt;""),IF(D2934&gt;=corte,TODAY()-D2934,""),"")</f>
        <v/>
      </c>
      <c r="V2934" s="8">
        <f>IF(D2934="",0,IF(OR(AND(P2934&lt;&gt;"",S2934=""),AND(N(J2934)&gt;0,N(K2934)&lt;J2934),OR(M2934="PENDENTE",M2934="PARCIAL"),OR(N2934="PENDENTE",N2934="PARCIAL")),1,0))</f>
        <v/>
      </c>
      <c r="W2934" s="8">
        <f>IF(AND(V2934=1,D2934&lt;&gt;""),IF(D2934&gt;=corte,(B2934="CRÍTICO")*1E9+(100000-D2934)*10000+10000-ROW(),""),"")</f>
        <v/>
      </c>
      <c r="X2934" s="8">
        <f>IF(AND(V2934=1,D2934=pas_data,E2934=pas_turno),10000-ROW(),"")</f>
        <v/>
      </c>
    </row>
    <row r="2935">
      <c r="A2935" s="3">
        <f>IF(D2935="","","TT-"&amp;TEXT(ROW()-1,"00000"))</f>
        <v/>
      </c>
      <c r="B2935" s="3">
        <f>IF(D2935="","",IF(V2935=0,"CONCLUÍDO",IF(D2935&lt;corte,"HISTÓRICO",IF(OR(AND(ISNUMBER(R2935),R2935&lt;TODAY()),AND(OR(N2935="PENDENTE",N2935="PARCIAL"),D2935&lt;TODAY()-1)),"CRÍTICO",IF(OR(AND(P2935&lt;&gt;"",S2935=""),AND(N2935="REALIZADO",M2935="PENDENTE"),AND(ISNUMBER(R2935),R2935=TODAY())),"ATENÇÃO",IF(N(K2935)=0,"PENDENTE","EM ANDAMENTO"))))))</f>
        <v/>
      </c>
      <c r="C2935" s="3">
        <f>IF(D2935="","",IF(V2935=0,"🟢 OK",IF(D2935&lt;corte,"⚪ HISTÓRICO (sem baixa)",IF(AND(ISNUMBER(R2935),R2935&lt;TODAY()),"🔴 PRAZO VENCIDO",IF(AND(OR(N2935="PENDENTE",N2935="PARCIAL"),D2935&lt;TODAY()-1),"🔴 EMBARQUE ATRASADO",IF(AND(N2935="REALIZADO",M2935="PENDENTE"),"🟡 EMBARCADO SEM FATURAR",IF(AND(P2935&lt;&gt;"",S2935="",OR(Q2935="",R2935="")),"🟡 PENDÊNCIA SEM RESPONSÁVEL/PRAZO",IF(AND(ISNUMBER(R2935),R2935=TODAY()),"🟡 VENCE HOJE",IF(AND(P2935&lt;&gt;"",S2935=""),"🟡 PENDÊNCIA ABERTA",IF(AND(N(J2935)&gt;0,N(K2935)&lt;J2935),"🟡 FALTA EXECUTAR",IF(OR(M2935="PENDENTE",M2935="PARCIAL"),"🟡 FATURAMENTO PENDENTE","🟡 EMBARQUE PENDENTE")))))))))))</f>
        <v/>
      </c>
      <c r="D2935" s="4" t="n"/>
      <c r="E2935" s="5" t="n"/>
      <c r="F2935" s="5" t="n"/>
      <c r="G2935" s="5" t="n"/>
      <c r="H2935" s="5" t="n"/>
      <c r="I2935" s="5" t="n"/>
      <c r="J2935" s="6" t="n"/>
      <c r="K2935" s="6" t="n"/>
      <c r="L2935" s="7">
        <f>IF(OR(D2935="",N(J2935)=0),"",MIN(1,N(K2935)/J2935))</f>
        <v/>
      </c>
      <c r="M2935" s="5" t="n"/>
      <c r="N2935" s="5" t="n"/>
      <c r="O2935" s="5" t="n"/>
      <c r="P2935" s="5" t="n"/>
      <c r="Q2935" s="5" t="n"/>
      <c r="R2935" s="4" t="n"/>
      <c r="S2935" s="4" t="n"/>
      <c r="T2935" s="5" t="n"/>
      <c r="U2935" s="8">
        <f>IF(AND(V2935=1,D2935&lt;&gt;""),IF(D2935&gt;=corte,TODAY()-D2935,""),"")</f>
        <v/>
      </c>
      <c r="V2935" s="8">
        <f>IF(D2935="",0,IF(OR(AND(P2935&lt;&gt;"",S2935=""),AND(N(J2935)&gt;0,N(K2935)&lt;J2935),OR(M2935="PENDENTE",M2935="PARCIAL"),OR(N2935="PENDENTE",N2935="PARCIAL")),1,0))</f>
        <v/>
      </c>
      <c r="W2935" s="8">
        <f>IF(AND(V2935=1,D2935&lt;&gt;""),IF(D2935&gt;=corte,(B2935="CRÍTICO")*1E9+(100000-D2935)*10000+10000-ROW(),""),"")</f>
        <v/>
      </c>
      <c r="X2935" s="8">
        <f>IF(AND(V2935=1,D2935=pas_data,E2935=pas_turno),10000-ROW(),"")</f>
        <v/>
      </c>
    </row>
    <row r="2936">
      <c r="A2936" s="3">
        <f>IF(D2936="","","TT-"&amp;TEXT(ROW()-1,"00000"))</f>
        <v/>
      </c>
      <c r="B2936" s="3">
        <f>IF(D2936="","",IF(V2936=0,"CONCLUÍDO",IF(D2936&lt;corte,"HISTÓRICO",IF(OR(AND(ISNUMBER(R2936),R2936&lt;TODAY()),AND(OR(N2936="PENDENTE",N2936="PARCIAL"),D2936&lt;TODAY()-1)),"CRÍTICO",IF(OR(AND(P2936&lt;&gt;"",S2936=""),AND(N2936="REALIZADO",M2936="PENDENTE"),AND(ISNUMBER(R2936),R2936=TODAY())),"ATENÇÃO",IF(N(K2936)=0,"PENDENTE","EM ANDAMENTO"))))))</f>
        <v/>
      </c>
      <c r="C2936" s="3">
        <f>IF(D2936="","",IF(V2936=0,"🟢 OK",IF(D2936&lt;corte,"⚪ HISTÓRICO (sem baixa)",IF(AND(ISNUMBER(R2936),R2936&lt;TODAY()),"🔴 PRAZO VENCIDO",IF(AND(OR(N2936="PENDENTE",N2936="PARCIAL"),D2936&lt;TODAY()-1),"🔴 EMBARQUE ATRASADO",IF(AND(N2936="REALIZADO",M2936="PENDENTE"),"🟡 EMBARCADO SEM FATURAR",IF(AND(P2936&lt;&gt;"",S2936="",OR(Q2936="",R2936="")),"🟡 PENDÊNCIA SEM RESPONSÁVEL/PRAZO",IF(AND(ISNUMBER(R2936),R2936=TODAY()),"🟡 VENCE HOJE",IF(AND(P2936&lt;&gt;"",S2936=""),"🟡 PENDÊNCIA ABERTA",IF(AND(N(J2936)&gt;0,N(K2936)&lt;J2936),"🟡 FALTA EXECUTAR",IF(OR(M2936="PENDENTE",M2936="PARCIAL"),"🟡 FATURAMENTO PENDENTE","🟡 EMBARQUE PENDENTE")))))))))))</f>
        <v/>
      </c>
      <c r="D2936" s="4" t="n"/>
      <c r="E2936" s="5" t="n"/>
      <c r="F2936" s="5" t="n"/>
      <c r="G2936" s="5" t="n"/>
      <c r="H2936" s="5" t="n"/>
      <c r="I2936" s="5" t="n"/>
      <c r="J2936" s="6" t="n"/>
      <c r="K2936" s="6" t="n"/>
      <c r="L2936" s="7">
        <f>IF(OR(D2936="",N(J2936)=0),"",MIN(1,N(K2936)/J2936))</f>
        <v/>
      </c>
      <c r="M2936" s="5" t="n"/>
      <c r="N2936" s="5" t="n"/>
      <c r="O2936" s="5" t="n"/>
      <c r="P2936" s="5" t="n"/>
      <c r="Q2936" s="5" t="n"/>
      <c r="R2936" s="4" t="n"/>
      <c r="S2936" s="4" t="n"/>
      <c r="T2936" s="5" t="n"/>
      <c r="U2936" s="8">
        <f>IF(AND(V2936=1,D2936&lt;&gt;""),IF(D2936&gt;=corte,TODAY()-D2936,""),"")</f>
        <v/>
      </c>
      <c r="V2936" s="8">
        <f>IF(D2936="",0,IF(OR(AND(P2936&lt;&gt;"",S2936=""),AND(N(J2936)&gt;0,N(K2936)&lt;J2936),OR(M2936="PENDENTE",M2936="PARCIAL"),OR(N2936="PENDENTE",N2936="PARCIAL")),1,0))</f>
        <v/>
      </c>
      <c r="W2936" s="8">
        <f>IF(AND(V2936=1,D2936&lt;&gt;""),IF(D2936&gt;=corte,(B2936="CRÍTICO")*1E9+(100000-D2936)*10000+10000-ROW(),""),"")</f>
        <v/>
      </c>
      <c r="X2936" s="8">
        <f>IF(AND(V2936=1,D2936=pas_data,E2936=pas_turno),10000-ROW(),"")</f>
        <v/>
      </c>
    </row>
    <row r="2937">
      <c r="A2937" s="3">
        <f>IF(D2937="","","TT-"&amp;TEXT(ROW()-1,"00000"))</f>
        <v/>
      </c>
      <c r="B2937" s="3">
        <f>IF(D2937="","",IF(V2937=0,"CONCLUÍDO",IF(D2937&lt;corte,"HISTÓRICO",IF(OR(AND(ISNUMBER(R2937),R2937&lt;TODAY()),AND(OR(N2937="PENDENTE",N2937="PARCIAL"),D2937&lt;TODAY()-1)),"CRÍTICO",IF(OR(AND(P2937&lt;&gt;"",S2937=""),AND(N2937="REALIZADO",M2937="PENDENTE"),AND(ISNUMBER(R2937),R2937=TODAY())),"ATENÇÃO",IF(N(K2937)=0,"PENDENTE","EM ANDAMENTO"))))))</f>
        <v/>
      </c>
      <c r="C2937" s="3">
        <f>IF(D2937="","",IF(V2937=0,"🟢 OK",IF(D2937&lt;corte,"⚪ HISTÓRICO (sem baixa)",IF(AND(ISNUMBER(R2937),R2937&lt;TODAY()),"🔴 PRAZO VENCIDO",IF(AND(OR(N2937="PENDENTE",N2937="PARCIAL"),D2937&lt;TODAY()-1),"🔴 EMBARQUE ATRASADO",IF(AND(N2937="REALIZADO",M2937="PENDENTE"),"🟡 EMBARCADO SEM FATURAR",IF(AND(P2937&lt;&gt;"",S2937="",OR(Q2937="",R2937="")),"🟡 PENDÊNCIA SEM RESPONSÁVEL/PRAZO",IF(AND(ISNUMBER(R2937),R2937=TODAY()),"🟡 VENCE HOJE",IF(AND(P2937&lt;&gt;"",S2937=""),"🟡 PENDÊNCIA ABERTA",IF(AND(N(J2937)&gt;0,N(K2937)&lt;J2937),"🟡 FALTA EXECUTAR",IF(OR(M2937="PENDENTE",M2937="PARCIAL"),"🟡 FATURAMENTO PENDENTE","🟡 EMBARQUE PENDENTE")))))))))))</f>
        <v/>
      </c>
      <c r="D2937" s="4" t="n"/>
      <c r="E2937" s="5" t="n"/>
      <c r="F2937" s="5" t="n"/>
      <c r="G2937" s="5" t="n"/>
      <c r="H2937" s="5" t="n"/>
      <c r="I2937" s="5" t="n"/>
      <c r="J2937" s="6" t="n"/>
      <c r="K2937" s="6" t="n"/>
      <c r="L2937" s="7">
        <f>IF(OR(D2937="",N(J2937)=0),"",MIN(1,N(K2937)/J2937))</f>
        <v/>
      </c>
      <c r="M2937" s="5" t="n"/>
      <c r="N2937" s="5" t="n"/>
      <c r="O2937" s="5" t="n"/>
      <c r="P2937" s="5" t="n"/>
      <c r="Q2937" s="5" t="n"/>
      <c r="R2937" s="4" t="n"/>
      <c r="S2937" s="4" t="n"/>
      <c r="T2937" s="5" t="n"/>
      <c r="U2937" s="8">
        <f>IF(AND(V2937=1,D2937&lt;&gt;""),IF(D2937&gt;=corte,TODAY()-D2937,""),"")</f>
        <v/>
      </c>
      <c r="V2937" s="8">
        <f>IF(D2937="",0,IF(OR(AND(P2937&lt;&gt;"",S2937=""),AND(N(J2937)&gt;0,N(K2937)&lt;J2937),OR(M2937="PENDENTE",M2937="PARCIAL"),OR(N2937="PENDENTE",N2937="PARCIAL")),1,0))</f>
        <v/>
      </c>
      <c r="W2937" s="8">
        <f>IF(AND(V2937=1,D2937&lt;&gt;""),IF(D2937&gt;=corte,(B2937="CRÍTICO")*1E9+(100000-D2937)*10000+10000-ROW(),""),"")</f>
        <v/>
      </c>
      <c r="X2937" s="8">
        <f>IF(AND(V2937=1,D2937=pas_data,E2937=pas_turno),10000-ROW(),"")</f>
        <v/>
      </c>
    </row>
    <row r="2938">
      <c r="A2938" s="3">
        <f>IF(D2938="","","TT-"&amp;TEXT(ROW()-1,"00000"))</f>
        <v/>
      </c>
      <c r="B2938" s="3">
        <f>IF(D2938="","",IF(V2938=0,"CONCLUÍDO",IF(D2938&lt;corte,"HISTÓRICO",IF(OR(AND(ISNUMBER(R2938),R2938&lt;TODAY()),AND(OR(N2938="PENDENTE",N2938="PARCIAL"),D2938&lt;TODAY()-1)),"CRÍTICO",IF(OR(AND(P2938&lt;&gt;"",S2938=""),AND(N2938="REALIZADO",M2938="PENDENTE"),AND(ISNUMBER(R2938),R2938=TODAY())),"ATENÇÃO",IF(N(K2938)=0,"PENDENTE","EM ANDAMENTO"))))))</f>
        <v/>
      </c>
      <c r="C2938" s="3">
        <f>IF(D2938="","",IF(V2938=0,"🟢 OK",IF(D2938&lt;corte,"⚪ HISTÓRICO (sem baixa)",IF(AND(ISNUMBER(R2938),R2938&lt;TODAY()),"🔴 PRAZO VENCIDO",IF(AND(OR(N2938="PENDENTE",N2938="PARCIAL"),D2938&lt;TODAY()-1),"🔴 EMBARQUE ATRASADO",IF(AND(N2938="REALIZADO",M2938="PENDENTE"),"🟡 EMBARCADO SEM FATURAR",IF(AND(P2938&lt;&gt;"",S2938="",OR(Q2938="",R2938="")),"🟡 PENDÊNCIA SEM RESPONSÁVEL/PRAZO",IF(AND(ISNUMBER(R2938),R2938=TODAY()),"🟡 VENCE HOJE",IF(AND(P2938&lt;&gt;"",S2938=""),"🟡 PENDÊNCIA ABERTA",IF(AND(N(J2938)&gt;0,N(K2938)&lt;J2938),"🟡 FALTA EXECUTAR",IF(OR(M2938="PENDENTE",M2938="PARCIAL"),"🟡 FATURAMENTO PENDENTE","🟡 EMBARQUE PENDENTE")))))))))))</f>
        <v/>
      </c>
      <c r="D2938" s="4" t="n"/>
      <c r="E2938" s="5" t="n"/>
      <c r="F2938" s="5" t="n"/>
      <c r="G2938" s="5" t="n"/>
      <c r="H2938" s="5" t="n"/>
      <c r="I2938" s="5" t="n"/>
      <c r="J2938" s="6" t="n"/>
      <c r="K2938" s="6" t="n"/>
      <c r="L2938" s="7">
        <f>IF(OR(D2938="",N(J2938)=0),"",MIN(1,N(K2938)/J2938))</f>
        <v/>
      </c>
      <c r="M2938" s="5" t="n"/>
      <c r="N2938" s="5" t="n"/>
      <c r="O2938" s="5" t="n"/>
      <c r="P2938" s="5" t="n"/>
      <c r="Q2938" s="5" t="n"/>
      <c r="R2938" s="4" t="n"/>
      <c r="S2938" s="4" t="n"/>
      <c r="T2938" s="5" t="n"/>
      <c r="U2938" s="8">
        <f>IF(AND(V2938=1,D2938&lt;&gt;""),IF(D2938&gt;=corte,TODAY()-D2938,""),"")</f>
        <v/>
      </c>
      <c r="V2938" s="8">
        <f>IF(D2938="",0,IF(OR(AND(P2938&lt;&gt;"",S2938=""),AND(N(J2938)&gt;0,N(K2938)&lt;J2938),OR(M2938="PENDENTE",M2938="PARCIAL"),OR(N2938="PENDENTE",N2938="PARCIAL")),1,0))</f>
        <v/>
      </c>
      <c r="W2938" s="8">
        <f>IF(AND(V2938=1,D2938&lt;&gt;""),IF(D2938&gt;=corte,(B2938="CRÍTICO")*1E9+(100000-D2938)*10000+10000-ROW(),""),"")</f>
        <v/>
      </c>
      <c r="X2938" s="8">
        <f>IF(AND(V2938=1,D2938=pas_data,E2938=pas_turno),10000-ROW(),"")</f>
        <v/>
      </c>
    </row>
    <row r="2939">
      <c r="A2939" s="3">
        <f>IF(D2939="","","TT-"&amp;TEXT(ROW()-1,"00000"))</f>
        <v/>
      </c>
      <c r="B2939" s="3">
        <f>IF(D2939="","",IF(V2939=0,"CONCLUÍDO",IF(D2939&lt;corte,"HISTÓRICO",IF(OR(AND(ISNUMBER(R2939),R2939&lt;TODAY()),AND(OR(N2939="PENDENTE",N2939="PARCIAL"),D2939&lt;TODAY()-1)),"CRÍTICO",IF(OR(AND(P2939&lt;&gt;"",S2939=""),AND(N2939="REALIZADO",M2939="PENDENTE"),AND(ISNUMBER(R2939),R2939=TODAY())),"ATENÇÃO",IF(N(K2939)=0,"PENDENTE","EM ANDAMENTO"))))))</f>
        <v/>
      </c>
      <c r="C2939" s="3">
        <f>IF(D2939="","",IF(V2939=0,"🟢 OK",IF(D2939&lt;corte,"⚪ HISTÓRICO (sem baixa)",IF(AND(ISNUMBER(R2939),R2939&lt;TODAY()),"🔴 PRAZO VENCIDO",IF(AND(OR(N2939="PENDENTE",N2939="PARCIAL"),D2939&lt;TODAY()-1),"🔴 EMBARQUE ATRASADO",IF(AND(N2939="REALIZADO",M2939="PENDENTE"),"🟡 EMBARCADO SEM FATURAR",IF(AND(P2939&lt;&gt;"",S2939="",OR(Q2939="",R2939="")),"🟡 PENDÊNCIA SEM RESPONSÁVEL/PRAZO",IF(AND(ISNUMBER(R2939),R2939=TODAY()),"🟡 VENCE HOJE",IF(AND(P2939&lt;&gt;"",S2939=""),"🟡 PENDÊNCIA ABERTA",IF(AND(N(J2939)&gt;0,N(K2939)&lt;J2939),"🟡 FALTA EXECUTAR",IF(OR(M2939="PENDENTE",M2939="PARCIAL"),"🟡 FATURAMENTO PENDENTE","🟡 EMBARQUE PENDENTE")))))))))))</f>
        <v/>
      </c>
      <c r="D2939" s="4" t="n"/>
      <c r="E2939" s="5" t="n"/>
      <c r="F2939" s="5" t="n"/>
      <c r="G2939" s="5" t="n"/>
      <c r="H2939" s="5" t="n"/>
      <c r="I2939" s="5" t="n"/>
      <c r="J2939" s="6" t="n"/>
      <c r="K2939" s="6" t="n"/>
      <c r="L2939" s="7">
        <f>IF(OR(D2939="",N(J2939)=0),"",MIN(1,N(K2939)/J2939))</f>
        <v/>
      </c>
      <c r="M2939" s="5" t="n"/>
      <c r="N2939" s="5" t="n"/>
      <c r="O2939" s="5" t="n"/>
      <c r="P2939" s="5" t="n"/>
      <c r="Q2939" s="5" t="n"/>
      <c r="R2939" s="4" t="n"/>
      <c r="S2939" s="4" t="n"/>
      <c r="T2939" s="5" t="n"/>
      <c r="U2939" s="8">
        <f>IF(AND(V2939=1,D2939&lt;&gt;""),IF(D2939&gt;=corte,TODAY()-D2939,""),"")</f>
        <v/>
      </c>
      <c r="V2939" s="8">
        <f>IF(D2939="",0,IF(OR(AND(P2939&lt;&gt;"",S2939=""),AND(N(J2939)&gt;0,N(K2939)&lt;J2939),OR(M2939="PENDENTE",M2939="PARCIAL"),OR(N2939="PENDENTE",N2939="PARCIAL")),1,0))</f>
        <v/>
      </c>
      <c r="W2939" s="8">
        <f>IF(AND(V2939=1,D2939&lt;&gt;""),IF(D2939&gt;=corte,(B2939="CRÍTICO")*1E9+(100000-D2939)*10000+10000-ROW(),""),"")</f>
        <v/>
      </c>
      <c r="X2939" s="8">
        <f>IF(AND(V2939=1,D2939=pas_data,E2939=pas_turno),10000-ROW(),"")</f>
        <v/>
      </c>
    </row>
    <row r="2940">
      <c r="A2940" s="3">
        <f>IF(D2940="","","TT-"&amp;TEXT(ROW()-1,"00000"))</f>
        <v/>
      </c>
      <c r="B2940" s="3">
        <f>IF(D2940="","",IF(V2940=0,"CONCLUÍDO",IF(D2940&lt;corte,"HISTÓRICO",IF(OR(AND(ISNUMBER(R2940),R2940&lt;TODAY()),AND(OR(N2940="PENDENTE",N2940="PARCIAL"),D2940&lt;TODAY()-1)),"CRÍTICO",IF(OR(AND(P2940&lt;&gt;"",S2940=""),AND(N2940="REALIZADO",M2940="PENDENTE"),AND(ISNUMBER(R2940),R2940=TODAY())),"ATENÇÃO",IF(N(K2940)=0,"PENDENTE","EM ANDAMENTO"))))))</f>
        <v/>
      </c>
      <c r="C2940" s="3">
        <f>IF(D2940="","",IF(V2940=0,"🟢 OK",IF(D2940&lt;corte,"⚪ HISTÓRICO (sem baixa)",IF(AND(ISNUMBER(R2940),R2940&lt;TODAY()),"🔴 PRAZO VENCIDO",IF(AND(OR(N2940="PENDENTE",N2940="PARCIAL"),D2940&lt;TODAY()-1),"🔴 EMBARQUE ATRASADO",IF(AND(N2940="REALIZADO",M2940="PENDENTE"),"🟡 EMBARCADO SEM FATURAR",IF(AND(P2940&lt;&gt;"",S2940="",OR(Q2940="",R2940="")),"🟡 PENDÊNCIA SEM RESPONSÁVEL/PRAZO",IF(AND(ISNUMBER(R2940),R2940=TODAY()),"🟡 VENCE HOJE",IF(AND(P2940&lt;&gt;"",S2940=""),"🟡 PENDÊNCIA ABERTA",IF(AND(N(J2940)&gt;0,N(K2940)&lt;J2940),"🟡 FALTA EXECUTAR",IF(OR(M2940="PENDENTE",M2940="PARCIAL"),"🟡 FATURAMENTO PENDENTE","🟡 EMBARQUE PENDENTE")))))))))))</f>
        <v/>
      </c>
      <c r="D2940" s="4" t="n"/>
      <c r="E2940" s="5" t="n"/>
      <c r="F2940" s="5" t="n"/>
      <c r="G2940" s="5" t="n"/>
      <c r="H2940" s="5" t="n"/>
      <c r="I2940" s="5" t="n"/>
      <c r="J2940" s="6" t="n"/>
      <c r="K2940" s="6" t="n"/>
      <c r="L2940" s="7">
        <f>IF(OR(D2940="",N(J2940)=0),"",MIN(1,N(K2940)/J2940))</f>
        <v/>
      </c>
      <c r="M2940" s="5" t="n"/>
      <c r="N2940" s="5" t="n"/>
      <c r="O2940" s="5" t="n"/>
      <c r="P2940" s="5" t="n"/>
      <c r="Q2940" s="5" t="n"/>
      <c r="R2940" s="4" t="n"/>
      <c r="S2940" s="4" t="n"/>
      <c r="T2940" s="5" t="n"/>
      <c r="U2940" s="8">
        <f>IF(AND(V2940=1,D2940&lt;&gt;""),IF(D2940&gt;=corte,TODAY()-D2940,""),"")</f>
        <v/>
      </c>
      <c r="V2940" s="8">
        <f>IF(D2940="",0,IF(OR(AND(P2940&lt;&gt;"",S2940=""),AND(N(J2940)&gt;0,N(K2940)&lt;J2940),OR(M2940="PENDENTE",M2940="PARCIAL"),OR(N2940="PENDENTE",N2940="PARCIAL")),1,0))</f>
        <v/>
      </c>
      <c r="W2940" s="8">
        <f>IF(AND(V2940=1,D2940&lt;&gt;""),IF(D2940&gt;=corte,(B2940="CRÍTICO")*1E9+(100000-D2940)*10000+10000-ROW(),""),"")</f>
        <v/>
      </c>
      <c r="X2940" s="8">
        <f>IF(AND(V2940=1,D2940=pas_data,E2940=pas_turno),10000-ROW(),"")</f>
        <v/>
      </c>
    </row>
    <row r="2941">
      <c r="A2941" s="3">
        <f>IF(D2941="","","TT-"&amp;TEXT(ROW()-1,"00000"))</f>
        <v/>
      </c>
      <c r="B2941" s="3">
        <f>IF(D2941="","",IF(V2941=0,"CONCLUÍDO",IF(D2941&lt;corte,"HISTÓRICO",IF(OR(AND(ISNUMBER(R2941),R2941&lt;TODAY()),AND(OR(N2941="PENDENTE",N2941="PARCIAL"),D2941&lt;TODAY()-1)),"CRÍTICO",IF(OR(AND(P2941&lt;&gt;"",S2941=""),AND(N2941="REALIZADO",M2941="PENDENTE"),AND(ISNUMBER(R2941),R2941=TODAY())),"ATENÇÃO",IF(N(K2941)=0,"PENDENTE","EM ANDAMENTO"))))))</f>
        <v/>
      </c>
      <c r="C2941" s="3">
        <f>IF(D2941="","",IF(V2941=0,"🟢 OK",IF(D2941&lt;corte,"⚪ HISTÓRICO (sem baixa)",IF(AND(ISNUMBER(R2941),R2941&lt;TODAY()),"🔴 PRAZO VENCIDO",IF(AND(OR(N2941="PENDENTE",N2941="PARCIAL"),D2941&lt;TODAY()-1),"🔴 EMBARQUE ATRASADO",IF(AND(N2941="REALIZADO",M2941="PENDENTE"),"🟡 EMBARCADO SEM FATURAR",IF(AND(P2941&lt;&gt;"",S2941="",OR(Q2941="",R2941="")),"🟡 PENDÊNCIA SEM RESPONSÁVEL/PRAZO",IF(AND(ISNUMBER(R2941),R2941=TODAY()),"🟡 VENCE HOJE",IF(AND(P2941&lt;&gt;"",S2941=""),"🟡 PENDÊNCIA ABERTA",IF(AND(N(J2941)&gt;0,N(K2941)&lt;J2941),"🟡 FALTA EXECUTAR",IF(OR(M2941="PENDENTE",M2941="PARCIAL"),"🟡 FATURAMENTO PENDENTE","🟡 EMBARQUE PENDENTE")))))))))))</f>
        <v/>
      </c>
      <c r="D2941" s="4" t="n"/>
      <c r="E2941" s="5" t="n"/>
      <c r="F2941" s="5" t="n"/>
      <c r="G2941" s="5" t="n"/>
      <c r="H2941" s="5" t="n"/>
      <c r="I2941" s="5" t="n"/>
      <c r="J2941" s="6" t="n"/>
      <c r="K2941" s="6" t="n"/>
      <c r="L2941" s="7">
        <f>IF(OR(D2941="",N(J2941)=0),"",MIN(1,N(K2941)/J2941))</f>
        <v/>
      </c>
      <c r="M2941" s="5" t="n"/>
      <c r="N2941" s="5" t="n"/>
      <c r="O2941" s="5" t="n"/>
      <c r="P2941" s="5" t="n"/>
      <c r="Q2941" s="5" t="n"/>
      <c r="R2941" s="4" t="n"/>
      <c r="S2941" s="4" t="n"/>
      <c r="T2941" s="5" t="n"/>
      <c r="U2941" s="8">
        <f>IF(AND(V2941=1,D2941&lt;&gt;""),IF(D2941&gt;=corte,TODAY()-D2941,""),"")</f>
        <v/>
      </c>
      <c r="V2941" s="8">
        <f>IF(D2941="",0,IF(OR(AND(P2941&lt;&gt;"",S2941=""),AND(N(J2941)&gt;0,N(K2941)&lt;J2941),OR(M2941="PENDENTE",M2941="PARCIAL"),OR(N2941="PENDENTE",N2941="PARCIAL")),1,0))</f>
        <v/>
      </c>
      <c r="W2941" s="8">
        <f>IF(AND(V2941=1,D2941&lt;&gt;""),IF(D2941&gt;=corte,(B2941="CRÍTICO")*1E9+(100000-D2941)*10000+10000-ROW(),""),"")</f>
        <v/>
      </c>
      <c r="X2941" s="8">
        <f>IF(AND(V2941=1,D2941=pas_data,E2941=pas_turno),10000-ROW(),"")</f>
        <v/>
      </c>
    </row>
    <row r="2942">
      <c r="A2942" s="3">
        <f>IF(D2942="","","TT-"&amp;TEXT(ROW()-1,"00000"))</f>
        <v/>
      </c>
      <c r="B2942" s="3">
        <f>IF(D2942="","",IF(V2942=0,"CONCLUÍDO",IF(D2942&lt;corte,"HISTÓRICO",IF(OR(AND(ISNUMBER(R2942),R2942&lt;TODAY()),AND(OR(N2942="PENDENTE",N2942="PARCIAL"),D2942&lt;TODAY()-1)),"CRÍTICO",IF(OR(AND(P2942&lt;&gt;"",S2942=""),AND(N2942="REALIZADO",M2942="PENDENTE"),AND(ISNUMBER(R2942),R2942=TODAY())),"ATENÇÃO",IF(N(K2942)=0,"PENDENTE","EM ANDAMENTO"))))))</f>
        <v/>
      </c>
      <c r="C2942" s="3">
        <f>IF(D2942="","",IF(V2942=0,"🟢 OK",IF(D2942&lt;corte,"⚪ HISTÓRICO (sem baixa)",IF(AND(ISNUMBER(R2942),R2942&lt;TODAY()),"🔴 PRAZO VENCIDO",IF(AND(OR(N2942="PENDENTE",N2942="PARCIAL"),D2942&lt;TODAY()-1),"🔴 EMBARQUE ATRASADO",IF(AND(N2942="REALIZADO",M2942="PENDENTE"),"🟡 EMBARCADO SEM FATURAR",IF(AND(P2942&lt;&gt;"",S2942="",OR(Q2942="",R2942="")),"🟡 PENDÊNCIA SEM RESPONSÁVEL/PRAZO",IF(AND(ISNUMBER(R2942),R2942=TODAY()),"🟡 VENCE HOJE",IF(AND(P2942&lt;&gt;"",S2942=""),"🟡 PENDÊNCIA ABERTA",IF(AND(N(J2942)&gt;0,N(K2942)&lt;J2942),"🟡 FALTA EXECUTAR",IF(OR(M2942="PENDENTE",M2942="PARCIAL"),"🟡 FATURAMENTO PENDENTE","🟡 EMBARQUE PENDENTE")))))))))))</f>
        <v/>
      </c>
      <c r="D2942" s="4" t="n"/>
      <c r="E2942" s="5" t="n"/>
      <c r="F2942" s="5" t="n"/>
      <c r="G2942" s="5" t="n"/>
      <c r="H2942" s="5" t="n"/>
      <c r="I2942" s="5" t="n"/>
      <c r="J2942" s="6" t="n"/>
      <c r="K2942" s="6" t="n"/>
      <c r="L2942" s="7">
        <f>IF(OR(D2942="",N(J2942)=0),"",MIN(1,N(K2942)/J2942))</f>
        <v/>
      </c>
      <c r="M2942" s="5" t="n"/>
      <c r="N2942" s="5" t="n"/>
      <c r="O2942" s="5" t="n"/>
      <c r="P2942" s="5" t="n"/>
      <c r="Q2942" s="5" t="n"/>
      <c r="R2942" s="4" t="n"/>
      <c r="S2942" s="4" t="n"/>
      <c r="T2942" s="5" t="n"/>
      <c r="U2942" s="8">
        <f>IF(AND(V2942=1,D2942&lt;&gt;""),IF(D2942&gt;=corte,TODAY()-D2942,""),"")</f>
        <v/>
      </c>
      <c r="V2942" s="8">
        <f>IF(D2942="",0,IF(OR(AND(P2942&lt;&gt;"",S2942=""),AND(N(J2942)&gt;0,N(K2942)&lt;J2942),OR(M2942="PENDENTE",M2942="PARCIAL"),OR(N2942="PENDENTE",N2942="PARCIAL")),1,0))</f>
        <v/>
      </c>
      <c r="W2942" s="8">
        <f>IF(AND(V2942=1,D2942&lt;&gt;""),IF(D2942&gt;=corte,(B2942="CRÍTICO")*1E9+(100000-D2942)*10000+10000-ROW(),""),"")</f>
        <v/>
      </c>
      <c r="X2942" s="8">
        <f>IF(AND(V2942=1,D2942=pas_data,E2942=pas_turno),10000-ROW(),"")</f>
        <v/>
      </c>
    </row>
    <row r="2943">
      <c r="A2943" s="3">
        <f>IF(D2943="","","TT-"&amp;TEXT(ROW()-1,"00000"))</f>
        <v/>
      </c>
      <c r="B2943" s="3">
        <f>IF(D2943="","",IF(V2943=0,"CONCLUÍDO",IF(D2943&lt;corte,"HISTÓRICO",IF(OR(AND(ISNUMBER(R2943),R2943&lt;TODAY()),AND(OR(N2943="PENDENTE",N2943="PARCIAL"),D2943&lt;TODAY()-1)),"CRÍTICO",IF(OR(AND(P2943&lt;&gt;"",S2943=""),AND(N2943="REALIZADO",M2943="PENDENTE"),AND(ISNUMBER(R2943),R2943=TODAY())),"ATENÇÃO",IF(N(K2943)=0,"PENDENTE","EM ANDAMENTO"))))))</f>
        <v/>
      </c>
      <c r="C2943" s="3">
        <f>IF(D2943="","",IF(V2943=0,"🟢 OK",IF(D2943&lt;corte,"⚪ HISTÓRICO (sem baixa)",IF(AND(ISNUMBER(R2943),R2943&lt;TODAY()),"🔴 PRAZO VENCIDO",IF(AND(OR(N2943="PENDENTE",N2943="PARCIAL"),D2943&lt;TODAY()-1),"🔴 EMBARQUE ATRASADO",IF(AND(N2943="REALIZADO",M2943="PENDENTE"),"🟡 EMBARCADO SEM FATURAR",IF(AND(P2943&lt;&gt;"",S2943="",OR(Q2943="",R2943="")),"🟡 PENDÊNCIA SEM RESPONSÁVEL/PRAZO",IF(AND(ISNUMBER(R2943),R2943=TODAY()),"🟡 VENCE HOJE",IF(AND(P2943&lt;&gt;"",S2943=""),"🟡 PENDÊNCIA ABERTA",IF(AND(N(J2943)&gt;0,N(K2943)&lt;J2943),"🟡 FALTA EXECUTAR",IF(OR(M2943="PENDENTE",M2943="PARCIAL"),"🟡 FATURAMENTO PENDENTE","🟡 EMBARQUE PENDENTE")))))))))))</f>
        <v/>
      </c>
      <c r="D2943" s="4" t="n"/>
      <c r="E2943" s="5" t="n"/>
      <c r="F2943" s="5" t="n"/>
      <c r="G2943" s="5" t="n"/>
      <c r="H2943" s="5" t="n"/>
      <c r="I2943" s="5" t="n"/>
      <c r="J2943" s="6" t="n"/>
      <c r="K2943" s="6" t="n"/>
      <c r="L2943" s="7">
        <f>IF(OR(D2943="",N(J2943)=0),"",MIN(1,N(K2943)/J2943))</f>
        <v/>
      </c>
      <c r="M2943" s="5" t="n"/>
      <c r="N2943" s="5" t="n"/>
      <c r="O2943" s="5" t="n"/>
      <c r="P2943" s="5" t="n"/>
      <c r="Q2943" s="5" t="n"/>
      <c r="R2943" s="4" t="n"/>
      <c r="S2943" s="4" t="n"/>
      <c r="T2943" s="5" t="n"/>
      <c r="U2943" s="8">
        <f>IF(AND(V2943=1,D2943&lt;&gt;""),IF(D2943&gt;=corte,TODAY()-D2943,""),"")</f>
        <v/>
      </c>
      <c r="V2943" s="8">
        <f>IF(D2943="",0,IF(OR(AND(P2943&lt;&gt;"",S2943=""),AND(N(J2943)&gt;0,N(K2943)&lt;J2943),OR(M2943="PENDENTE",M2943="PARCIAL"),OR(N2943="PENDENTE",N2943="PARCIAL")),1,0))</f>
        <v/>
      </c>
      <c r="W2943" s="8">
        <f>IF(AND(V2943=1,D2943&lt;&gt;""),IF(D2943&gt;=corte,(B2943="CRÍTICO")*1E9+(100000-D2943)*10000+10000-ROW(),""),"")</f>
        <v/>
      </c>
      <c r="X2943" s="8">
        <f>IF(AND(V2943=1,D2943=pas_data,E2943=pas_turno),10000-ROW(),"")</f>
        <v/>
      </c>
    </row>
    <row r="2944">
      <c r="A2944" s="3">
        <f>IF(D2944="","","TT-"&amp;TEXT(ROW()-1,"00000"))</f>
        <v/>
      </c>
      <c r="B2944" s="3">
        <f>IF(D2944="","",IF(V2944=0,"CONCLUÍDO",IF(D2944&lt;corte,"HISTÓRICO",IF(OR(AND(ISNUMBER(R2944),R2944&lt;TODAY()),AND(OR(N2944="PENDENTE",N2944="PARCIAL"),D2944&lt;TODAY()-1)),"CRÍTICO",IF(OR(AND(P2944&lt;&gt;"",S2944=""),AND(N2944="REALIZADO",M2944="PENDENTE"),AND(ISNUMBER(R2944),R2944=TODAY())),"ATENÇÃO",IF(N(K2944)=0,"PENDENTE","EM ANDAMENTO"))))))</f>
        <v/>
      </c>
      <c r="C2944" s="3">
        <f>IF(D2944="","",IF(V2944=0,"🟢 OK",IF(D2944&lt;corte,"⚪ HISTÓRICO (sem baixa)",IF(AND(ISNUMBER(R2944),R2944&lt;TODAY()),"🔴 PRAZO VENCIDO",IF(AND(OR(N2944="PENDENTE",N2944="PARCIAL"),D2944&lt;TODAY()-1),"🔴 EMBARQUE ATRASADO",IF(AND(N2944="REALIZADO",M2944="PENDENTE"),"🟡 EMBARCADO SEM FATURAR",IF(AND(P2944&lt;&gt;"",S2944="",OR(Q2944="",R2944="")),"🟡 PENDÊNCIA SEM RESPONSÁVEL/PRAZO",IF(AND(ISNUMBER(R2944),R2944=TODAY()),"🟡 VENCE HOJE",IF(AND(P2944&lt;&gt;"",S2944=""),"🟡 PENDÊNCIA ABERTA",IF(AND(N(J2944)&gt;0,N(K2944)&lt;J2944),"🟡 FALTA EXECUTAR",IF(OR(M2944="PENDENTE",M2944="PARCIAL"),"🟡 FATURAMENTO PENDENTE","🟡 EMBARQUE PENDENTE")))))))))))</f>
        <v/>
      </c>
      <c r="D2944" s="4" t="n"/>
      <c r="E2944" s="5" t="n"/>
      <c r="F2944" s="5" t="n"/>
      <c r="G2944" s="5" t="n"/>
      <c r="H2944" s="5" t="n"/>
      <c r="I2944" s="5" t="n"/>
      <c r="J2944" s="6" t="n"/>
      <c r="K2944" s="6" t="n"/>
      <c r="L2944" s="7">
        <f>IF(OR(D2944="",N(J2944)=0),"",MIN(1,N(K2944)/J2944))</f>
        <v/>
      </c>
      <c r="M2944" s="5" t="n"/>
      <c r="N2944" s="5" t="n"/>
      <c r="O2944" s="5" t="n"/>
      <c r="P2944" s="5" t="n"/>
      <c r="Q2944" s="5" t="n"/>
      <c r="R2944" s="4" t="n"/>
      <c r="S2944" s="4" t="n"/>
      <c r="T2944" s="5" t="n"/>
      <c r="U2944" s="8">
        <f>IF(AND(V2944=1,D2944&lt;&gt;""),IF(D2944&gt;=corte,TODAY()-D2944,""),"")</f>
        <v/>
      </c>
      <c r="V2944" s="8">
        <f>IF(D2944="",0,IF(OR(AND(P2944&lt;&gt;"",S2944=""),AND(N(J2944)&gt;0,N(K2944)&lt;J2944),OR(M2944="PENDENTE",M2944="PARCIAL"),OR(N2944="PENDENTE",N2944="PARCIAL")),1,0))</f>
        <v/>
      </c>
      <c r="W2944" s="8">
        <f>IF(AND(V2944=1,D2944&lt;&gt;""),IF(D2944&gt;=corte,(B2944="CRÍTICO")*1E9+(100000-D2944)*10000+10000-ROW(),""),"")</f>
        <v/>
      </c>
      <c r="X2944" s="8">
        <f>IF(AND(V2944=1,D2944=pas_data,E2944=pas_turno),10000-ROW(),"")</f>
        <v/>
      </c>
    </row>
    <row r="2945">
      <c r="A2945" s="3">
        <f>IF(D2945="","","TT-"&amp;TEXT(ROW()-1,"00000"))</f>
        <v/>
      </c>
      <c r="B2945" s="3">
        <f>IF(D2945="","",IF(V2945=0,"CONCLUÍDO",IF(D2945&lt;corte,"HISTÓRICO",IF(OR(AND(ISNUMBER(R2945),R2945&lt;TODAY()),AND(OR(N2945="PENDENTE",N2945="PARCIAL"),D2945&lt;TODAY()-1)),"CRÍTICO",IF(OR(AND(P2945&lt;&gt;"",S2945=""),AND(N2945="REALIZADO",M2945="PENDENTE"),AND(ISNUMBER(R2945),R2945=TODAY())),"ATENÇÃO",IF(N(K2945)=0,"PENDENTE","EM ANDAMENTO"))))))</f>
        <v/>
      </c>
      <c r="C2945" s="3">
        <f>IF(D2945="","",IF(V2945=0,"🟢 OK",IF(D2945&lt;corte,"⚪ HISTÓRICO (sem baixa)",IF(AND(ISNUMBER(R2945),R2945&lt;TODAY()),"🔴 PRAZO VENCIDO",IF(AND(OR(N2945="PENDENTE",N2945="PARCIAL"),D2945&lt;TODAY()-1),"🔴 EMBARQUE ATRASADO",IF(AND(N2945="REALIZADO",M2945="PENDENTE"),"🟡 EMBARCADO SEM FATURAR",IF(AND(P2945&lt;&gt;"",S2945="",OR(Q2945="",R2945="")),"🟡 PENDÊNCIA SEM RESPONSÁVEL/PRAZO",IF(AND(ISNUMBER(R2945),R2945=TODAY()),"🟡 VENCE HOJE",IF(AND(P2945&lt;&gt;"",S2945=""),"🟡 PENDÊNCIA ABERTA",IF(AND(N(J2945)&gt;0,N(K2945)&lt;J2945),"🟡 FALTA EXECUTAR",IF(OR(M2945="PENDENTE",M2945="PARCIAL"),"🟡 FATURAMENTO PENDENTE","🟡 EMBARQUE PENDENTE")))))))))))</f>
        <v/>
      </c>
      <c r="D2945" s="4" t="n"/>
      <c r="E2945" s="5" t="n"/>
      <c r="F2945" s="5" t="n"/>
      <c r="G2945" s="5" t="n"/>
      <c r="H2945" s="5" t="n"/>
      <c r="I2945" s="5" t="n"/>
      <c r="J2945" s="6" t="n"/>
      <c r="K2945" s="6" t="n"/>
      <c r="L2945" s="7">
        <f>IF(OR(D2945="",N(J2945)=0),"",MIN(1,N(K2945)/J2945))</f>
        <v/>
      </c>
      <c r="M2945" s="5" t="n"/>
      <c r="N2945" s="5" t="n"/>
      <c r="O2945" s="5" t="n"/>
      <c r="P2945" s="5" t="n"/>
      <c r="Q2945" s="5" t="n"/>
      <c r="R2945" s="4" t="n"/>
      <c r="S2945" s="4" t="n"/>
      <c r="T2945" s="5" t="n"/>
      <c r="U2945" s="8">
        <f>IF(AND(V2945=1,D2945&lt;&gt;""),IF(D2945&gt;=corte,TODAY()-D2945,""),"")</f>
        <v/>
      </c>
      <c r="V2945" s="8">
        <f>IF(D2945="",0,IF(OR(AND(P2945&lt;&gt;"",S2945=""),AND(N(J2945)&gt;0,N(K2945)&lt;J2945),OR(M2945="PENDENTE",M2945="PARCIAL"),OR(N2945="PENDENTE",N2945="PARCIAL")),1,0))</f>
        <v/>
      </c>
      <c r="W2945" s="8">
        <f>IF(AND(V2945=1,D2945&lt;&gt;""),IF(D2945&gt;=corte,(B2945="CRÍTICO")*1E9+(100000-D2945)*10000+10000-ROW(),""),"")</f>
        <v/>
      </c>
      <c r="X2945" s="8">
        <f>IF(AND(V2945=1,D2945=pas_data,E2945=pas_turno),10000-ROW(),"")</f>
        <v/>
      </c>
    </row>
    <row r="2946">
      <c r="A2946" s="3">
        <f>IF(D2946="","","TT-"&amp;TEXT(ROW()-1,"00000"))</f>
        <v/>
      </c>
      <c r="B2946" s="3">
        <f>IF(D2946="","",IF(V2946=0,"CONCLUÍDO",IF(D2946&lt;corte,"HISTÓRICO",IF(OR(AND(ISNUMBER(R2946),R2946&lt;TODAY()),AND(OR(N2946="PENDENTE",N2946="PARCIAL"),D2946&lt;TODAY()-1)),"CRÍTICO",IF(OR(AND(P2946&lt;&gt;"",S2946=""),AND(N2946="REALIZADO",M2946="PENDENTE"),AND(ISNUMBER(R2946),R2946=TODAY())),"ATENÇÃO",IF(N(K2946)=0,"PENDENTE","EM ANDAMENTO"))))))</f>
        <v/>
      </c>
      <c r="C2946" s="3">
        <f>IF(D2946="","",IF(V2946=0,"🟢 OK",IF(D2946&lt;corte,"⚪ HISTÓRICO (sem baixa)",IF(AND(ISNUMBER(R2946),R2946&lt;TODAY()),"🔴 PRAZO VENCIDO",IF(AND(OR(N2946="PENDENTE",N2946="PARCIAL"),D2946&lt;TODAY()-1),"🔴 EMBARQUE ATRASADO",IF(AND(N2946="REALIZADO",M2946="PENDENTE"),"🟡 EMBARCADO SEM FATURAR",IF(AND(P2946&lt;&gt;"",S2946="",OR(Q2946="",R2946="")),"🟡 PENDÊNCIA SEM RESPONSÁVEL/PRAZO",IF(AND(ISNUMBER(R2946),R2946=TODAY()),"🟡 VENCE HOJE",IF(AND(P2946&lt;&gt;"",S2946=""),"🟡 PENDÊNCIA ABERTA",IF(AND(N(J2946)&gt;0,N(K2946)&lt;J2946),"🟡 FALTA EXECUTAR",IF(OR(M2946="PENDENTE",M2946="PARCIAL"),"🟡 FATURAMENTO PENDENTE","🟡 EMBARQUE PENDENTE")))))))))))</f>
        <v/>
      </c>
      <c r="D2946" s="4" t="n"/>
      <c r="E2946" s="5" t="n"/>
      <c r="F2946" s="5" t="n"/>
      <c r="G2946" s="5" t="n"/>
      <c r="H2946" s="5" t="n"/>
      <c r="I2946" s="5" t="n"/>
      <c r="J2946" s="6" t="n"/>
      <c r="K2946" s="6" t="n"/>
      <c r="L2946" s="7">
        <f>IF(OR(D2946="",N(J2946)=0),"",MIN(1,N(K2946)/J2946))</f>
        <v/>
      </c>
      <c r="M2946" s="5" t="n"/>
      <c r="N2946" s="5" t="n"/>
      <c r="O2946" s="5" t="n"/>
      <c r="P2946" s="5" t="n"/>
      <c r="Q2946" s="5" t="n"/>
      <c r="R2946" s="4" t="n"/>
      <c r="S2946" s="4" t="n"/>
      <c r="T2946" s="5" t="n"/>
      <c r="U2946" s="8">
        <f>IF(AND(V2946=1,D2946&lt;&gt;""),IF(D2946&gt;=corte,TODAY()-D2946,""),"")</f>
        <v/>
      </c>
      <c r="V2946" s="8">
        <f>IF(D2946="",0,IF(OR(AND(P2946&lt;&gt;"",S2946=""),AND(N(J2946)&gt;0,N(K2946)&lt;J2946),OR(M2946="PENDENTE",M2946="PARCIAL"),OR(N2946="PENDENTE",N2946="PARCIAL")),1,0))</f>
        <v/>
      </c>
      <c r="W2946" s="8">
        <f>IF(AND(V2946=1,D2946&lt;&gt;""),IF(D2946&gt;=corte,(B2946="CRÍTICO")*1E9+(100000-D2946)*10000+10000-ROW(),""),"")</f>
        <v/>
      </c>
      <c r="X2946" s="8">
        <f>IF(AND(V2946=1,D2946=pas_data,E2946=pas_turno),10000-ROW(),"")</f>
        <v/>
      </c>
    </row>
    <row r="2947">
      <c r="A2947" s="3">
        <f>IF(D2947="","","TT-"&amp;TEXT(ROW()-1,"00000"))</f>
        <v/>
      </c>
      <c r="B2947" s="3">
        <f>IF(D2947="","",IF(V2947=0,"CONCLUÍDO",IF(D2947&lt;corte,"HISTÓRICO",IF(OR(AND(ISNUMBER(R2947),R2947&lt;TODAY()),AND(OR(N2947="PENDENTE",N2947="PARCIAL"),D2947&lt;TODAY()-1)),"CRÍTICO",IF(OR(AND(P2947&lt;&gt;"",S2947=""),AND(N2947="REALIZADO",M2947="PENDENTE"),AND(ISNUMBER(R2947),R2947=TODAY())),"ATENÇÃO",IF(N(K2947)=0,"PENDENTE","EM ANDAMENTO"))))))</f>
        <v/>
      </c>
      <c r="C2947" s="3">
        <f>IF(D2947="","",IF(V2947=0,"🟢 OK",IF(D2947&lt;corte,"⚪ HISTÓRICO (sem baixa)",IF(AND(ISNUMBER(R2947),R2947&lt;TODAY()),"🔴 PRAZO VENCIDO",IF(AND(OR(N2947="PENDENTE",N2947="PARCIAL"),D2947&lt;TODAY()-1),"🔴 EMBARQUE ATRASADO",IF(AND(N2947="REALIZADO",M2947="PENDENTE"),"🟡 EMBARCADO SEM FATURAR",IF(AND(P2947&lt;&gt;"",S2947="",OR(Q2947="",R2947="")),"🟡 PENDÊNCIA SEM RESPONSÁVEL/PRAZO",IF(AND(ISNUMBER(R2947),R2947=TODAY()),"🟡 VENCE HOJE",IF(AND(P2947&lt;&gt;"",S2947=""),"🟡 PENDÊNCIA ABERTA",IF(AND(N(J2947)&gt;0,N(K2947)&lt;J2947),"🟡 FALTA EXECUTAR",IF(OR(M2947="PENDENTE",M2947="PARCIAL"),"🟡 FATURAMENTO PENDENTE","🟡 EMBARQUE PENDENTE")))))))))))</f>
        <v/>
      </c>
      <c r="D2947" s="4" t="n"/>
      <c r="E2947" s="5" t="n"/>
      <c r="F2947" s="5" t="n"/>
      <c r="G2947" s="5" t="n"/>
      <c r="H2947" s="5" t="n"/>
      <c r="I2947" s="5" t="n"/>
      <c r="J2947" s="6" t="n"/>
      <c r="K2947" s="6" t="n"/>
      <c r="L2947" s="7">
        <f>IF(OR(D2947="",N(J2947)=0),"",MIN(1,N(K2947)/J2947))</f>
        <v/>
      </c>
      <c r="M2947" s="5" t="n"/>
      <c r="N2947" s="5" t="n"/>
      <c r="O2947" s="5" t="n"/>
      <c r="P2947" s="5" t="n"/>
      <c r="Q2947" s="5" t="n"/>
      <c r="R2947" s="4" t="n"/>
      <c r="S2947" s="4" t="n"/>
      <c r="T2947" s="5" t="n"/>
      <c r="U2947" s="8">
        <f>IF(AND(V2947=1,D2947&lt;&gt;""),IF(D2947&gt;=corte,TODAY()-D2947,""),"")</f>
        <v/>
      </c>
      <c r="V2947" s="8">
        <f>IF(D2947="",0,IF(OR(AND(P2947&lt;&gt;"",S2947=""),AND(N(J2947)&gt;0,N(K2947)&lt;J2947),OR(M2947="PENDENTE",M2947="PARCIAL"),OR(N2947="PENDENTE",N2947="PARCIAL")),1,0))</f>
        <v/>
      </c>
      <c r="W2947" s="8">
        <f>IF(AND(V2947=1,D2947&lt;&gt;""),IF(D2947&gt;=corte,(B2947="CRÍTICO")*1E9+(100000-D2947)*10000+10000-ROW(),""),"")</f>
        <v/>
      </c>
      <c r="X2947" s="8">
        <f>IF(AND(V2947=1,D2947=pas_data,E2947=pas_turno),10000-ROW(),"")</f>
        <v/>
      </c>
    </row>
    <row r="2948">
      <c r="A2948" s="3">
        <f>IF(D2948="","","TT-"&amp;TEXT(ROW()-1,"00000"))</f>
        <v/>
      </c>
      <c r="B2948" s="3">
        <f>IF(D2948="","",IF(V2948=0,"CONCLUÍDO",IF(D2948&lt;corte,"HISTÓRICO",IF(OR(AND(ISNUMBER(R2948),R2948&lt;TODAY()),AND(OR(N2948="PENDENTE",N2948="PARCIAL"),D2948&lt;TODAY()-1)),"CRÍTICO",IF(OR(AND(P2948&lt;&gt;"",S2948=""),AND(N2948="REALIZADO",M2948="PENDENTE"),AND(ISNUMBER(R2948),R2948=TODAY())),"ATENÇÃO",IF(N(K2948)=0,"PENDENTE","EM ANDAMENTO"))))))</f>
        <v/>
      </c>
      <c r="C2948" s="3">
        <f>IF(D2948="","",IF(V2948=0,"🟢 OK",IF(D2948&lt;corte,"⚪ HISTÓRICO (sem baixa)",IF(AND(ISNUMBER(R2948),R2948&lt;TODAY()),"🔴 PRAZO VENCIDO",IF(AND(OR(N2948="PENDENTE",N2948="PARCIAL"),D2948&lt;TODAY()-1),"🔴 EMBARQUE ATRASADO",IF(AND(N2948="REALIZADO",M2948="PENDENTE"),"🟡 EMBARCADO SEM FATURAR",IF(AND(P2948&lt;&gt;"",S2948="",OR(Q2948="",R2948="")),"🟡 PENDÊNCIA SEM RESPONSÁVEL/PRAZO",IF(AND(ISNUMBER(R2948),R2948=TODAY()),"🟡 VENCE HOJE",IF(AND(P2948&lt;&gt;"",S2948=""),"🟡 PENDÊNCIA ABERTA",IF(AND(N(J2948)&gt;0,N(K2948)&lt;J2948),"🟡 FALTA EXECUTAR",IF(OR(M2948="PENDENTE",M2948="PARCIAL"),"🟡 FATURAMENTO PENDENTE","🟡 EMBARQUE PENDENTE")))))))))))</f>
        <v/>
      </c>
      <c r="D2948" s="4" t="n"/>
      <c r="E2948" s="5" t="n"/>
      <c r="F2948" s="5" t="n"/>
      <c r="G2948" s="5" t="n"/>
      <c r="H2948" s="5" t="n"/>
      <c r="I2948" s="5" t="n"/>
      <c r="J2948" s="6" t="n"/>
      <c r="K2948" s="6" t="n"/>
      <c r="L2948" s="7">
        <f>IF(OR(D2948="",N(J2948)=0),"",MIN(1,N(K2948)/J2948))</f>
        <v/>
      </c>
      <c r="M2948" s="5" t="n"/>
      <c r="N2948" s="5" t="n"/>
      <c r="O2948" s="5" t="n"/>
      <c r="P2948" s="5" t="n"/>
      <c r="Q2948" s="5" t="n"/>
      <c r="R2948" s="4" t="n"/>
      <c r="S2948" s="4" t="n"/>
      <c r="T2948" s="5" t="n"/>
      <c r="U2948" s="8">
        <f>IF(AND(V2948=1,D2948&lt;&gt;""),IF(D2948&gt;=corte,TODAY()-D2948,""),"")</f>
        <v/>
      </c>
      <c r="V2948" s="8">
        <f>IF(D2948="",0,IF(OR(AND(P2948&lt;&gt;"",S2948=""),AND(N(J2948)&gt;0,N(K2948)&lt;J2948),OR(M2948="PENDENTE",M2948="PARCIAL"),OR(N2948="PENDENTE",N2948="PARCIAL")),1,0))</f>
        <v/>
      </c>
      <c r="W2948" s="8">
        <f>IF(AND(V2948=1,D2948&lt;&gt;""),IF(D2948&gt;=corte,(B2948="CRÍTICO")*1E9+(100000-D2948)*10000+10000-ROW(),""),"")</f>
        <v/>
      </c>
      <c r="X2948" s="8">
        <f>IF(AND(V2948=1,D2948=pas_data,E2948=pas_turno),10000-ROW(),"")</f>
        <v/>
      </c>
    </row>
    <row r="2949">
      <c r="A2949" s="3">
        <f>IF(D2949="","","TT-"&amp;TEXT(ROW()-1,"00000"))</f>
        <v/>
      </c>
      <c r="B2949" s="3">
        <f>IF(D2949="","",IF(V2949=0,"CONCLUÍDO",IF(D2949&lt;corte,"HISTÓRICO",IF(OR(AND(ISNUMBER(R2949),R2949&lt;TODAY()),AND(OR(N2949="PENDENTE",N2949="PARCIAL"),D2949&lt;TODAY()-1)),"CRÍTICO",IF(OR(AND(P2949&lt;&gt;"",S2949=""),AND(N2949="REALIZADO",M2949="PENDENTE"),AND(ISNUMBER(R2949),R2949=TODAY())),"ATENÇÃO",IF(N(K2949)=0,"PENDENTE","EM ANDAMENTO"))))))</f>
        <v/>
      </c>
      <c r="C2949" s="3">
        <f>IF(D2949="","",IF(V2949=0,"🟢 OK",IF(D2949&lt;corte,"⚪ HISTÓRICO (sem baixa)",IF(AND(ISNUMBER(R2949),R2949&lt;TODAY()),"🔴 PRAZO VENCIDO",IF(AND(OR(N2949="PENDENTE",N2949="PARCIAL"),D2949&lt;TODAY()-1),"🔴 EMBARQUE ATRASADO",IF(AND(N2949="REALIZADO",M2949="PENDENTE"),"🟡 EMBARCADO SEM FATURAR",IF(AND(P2949&lt;&gt;"",S2949="",OR(Q2949="",R2949="")),"🟡 PENDÊNCIA SEM RESPONSÁVEL/PRAZO",IF(AND(ISNUMBER(R2949),R2949=TODAY()),"🟡 VENCE HOJE",IF(AND(P2949&lt;&gt;"",S2949=""),"🟡 PENDÊNCIA ABERTA",IF(AND(N(J2949)&gt;0,N(K2949)&lt;J2949),"🟡 FALTA EXECUTAR",IF(OR(M2949="PENDENTE",M2949="PARCIAL"),"🟡 FATURAMENTO PENDENTE","🟡 EMBARQUE PENDENTE")))))))))))</f>
        <v/>
      </c>
      <c r="D2949" s="4" t="n"/>
      <c r="E2949" s="5" t="n"/>
      <c r="F2949" s="5" t="n"/>
      <c r="G2949" s="5" t="n"/>
      <c r="H2949" s="5" t="n"/>
      <c r="I2949" s="5" t="n"/>
      <c r="J2949" s="6" t="n"/>
      <c r="K2949" s="6" t="n"/>
      <c r="L2949" s="7">
        <f>IF(OR(D2949="",N(J2949)=0),"",MIN(1,N(K2949)/J2949))</f>
        <v/>
      </c>
      <c r="M2949" s="5" t="n"/>
      <c r="N2949" s="5" t="n"/>
      <c r="O2949" s="5" t="n"/>
      <c r="P2949" s="5" t="n"/>
      <c r="Q2949" s="5" t="n"/>
      <c r="R2949" s="4" t="n"/>
      <c r="S2949" s="4" t="n"/>
      <c r="T2949" s="5" t="n"/>
      <c r="U2949" s="8">
        <f>IF(AND(V2949=1,D2949&lt;&gt;""),IF(D2949&gt;=corte,TODAY()-D2949,""),"")</f>
        <v/>
      </c>
      <c r="V2949" s="8">
        <f>IF(D2949="",0,IF(OR(AND(P2949&lt;&gt;"",S2949=""),AND(N(J2949)&gt;0,N(K2949)&lt;J2949),OR(M2949="PENDENTE",M2949="PARCIAL"),OR(N2949="PENDENTE",N2949="PARCIAL")),1,0))</f>
        <v/>
      </c>
      <c r="W2949" s="8">
        <f>IF(AND(V2949=1,D2949&lt;&gt;""),IF(D2949&gt;=corte,(B2949="CRÍTICO")*1E9+(100000-D2949)*10000+10000-ROW(),""),"")</f>
        <v/>
      </c>
      <c r="X2949" s="8">
        <f>IF(AND(V2949=1,D2949=pas_data,E2949=pas_turno),10000-ROW(),"")</f>
        <v/>
      </c>
    </row>
    <row r="2950">
      <c r="A2950" s="3">
        <f>IF(D2950="","","TT-"&amp;TEXT(ROW()-1,"00000"))</f>
        <v/>
      </c>
      <c r="B2950" s="3">
        <f>IF(D2950="","",IF(V2950=0,"CONCLUÍDO",IF(D2950&lt;corte,"HISTÓRICO",IF(OR(AND(ISNUMBER(R2950),R2950&lt;TODAY()),AND(OR(N2950="PENDENTE",N2950="PARCIAL"),D2950&lt;TODAY()-1)),"CRÍTICO",IF(OR(AND(P2950&lt;&gt;"",S2950=""),AND(N2950="REALIZADO",M2950="PENDENTE"),AND(ISNUMBER(R2950),R2950=TODAY())),"ATENÇÃO",IF(N(K2950)=0,"PENDENTE","EM ANDAMENTO"))))))</f>
        <v/>
      </c>
      <c r="C2950" s="3">
        <f>IF(D2950="","",IF(V2950=0,"🟢 OK",IF(D2950&lt;corte,"⚪ HISTÓRICO (sem baixa)",IF(AND(ISNUMBER(R2950),R2950&lt;TODAY()),"🔴 PRAZO VENCIDO",IF(AND(OR(N2950="PENDENTE",N2950="PARCIAL"),D2950&lt;TODAY()-1),"🔴 EMBARQUE ATRASADO",IF(AND(N2950="REALIZADO",M2950="PENDENTE"),"🟡 EMBARCADO SEM FATURAR",IF(AND(P2950&lt;&gt;"",S2950="",OR(Q2950="",R2950="")),"🟡 PENDÊNCIA SEM RESPONSÁVEL/PRAZO",IF(AND(ISNUMBER(R2950),R2950=TODAY()),"🟡 VENCE HOJE",IF(AND(P2950&lt;&gt;"",S2950=""),"🟡 PENDÊNCIA ABERTA",IF(AND(N(J2950)&gt;0,N(K2950)&lt;J2950),"🟡 FALTA EXECUTAR",IF(OR(M2950="PENDENTE",M2950="PARCIAL"),"🟡 FATURAMENTO PENDENTE","🟡 EMBARQUE PENDENTE")))))))))))</f>
        <v/>
      </c>
      <c r="D2950" s="4" t="n"/>
      <c r="E2950" s="5" t="n"/>
      <c r="F2950" s="5" t="n"/>
      <c r="G2950" s="5" t="n"/>
      <c r="H2950" s="5" t="n"/>
      <c r="I2950" s="5" t="n"/>
      <c r="J2950" s="6" t="n"/>
      <c r="K2950" s="6" t="n"/>
      <c r="L2950" s="7">
        <f>IF(OR(D2950="",N(J2950)=0),"",MIN(1,N(K2950)/J2950))</f>
        <v/>
      </c>
      <c r="M2950" s="5" t="n"/>
      <c r="N2950" s="5" t="n"/>
      <c r="O2950" s="5" t="n"/>
      <c r="P2950" s="5" t="n"/>
      <c r="Q2950" s="5" t="n"/>
      <c r="R2950" s="4" t="n"/>
      <c r="S2950" s="4" t="n"/>
      <c r="T2950" s="5" t="n"/>
      <c r="U2950" s="8">
        <f>IF(AND(V2950=1,D2950&lt;&gt;""),IF(D2950&gt;=corte,TODAY()-D2950,""),"")</f>
        <v/>
      </c>
      <c r="V2950" s="8">
        <f>IF(D2950="",0,IF(OR(AND(P2950&lt;&gt;"",S2950=""),AND(N(J2950)&gt;0,N(K2950)&lt;J2950),OR(M2950="PENDENTE",M2950="PARCIAL"),OR(N2950="PENDENTE",N2950="PARCIAL")),1,0))</f>
        <v/>
      </c>
      <c r="W2950" s="8">
        <f>IF(AND(V2950=1,D2950&lt;&gt;""),IF(D2950&gt;=corte,(B2950="CRÍTICO")*1E9+(100000-D2950)*10000+10000-ROW(),""),"")</f>
        <v/>
      </c>
      <c r="X2950" s="8">
        <f>IF(AND(V2950=1,D2950=pas_data,E2950=pas_turno),10000-ROW(),"")</f>
        <v/>
      </c>
    </row>
    <row r="2951">
      <c r="A2951" s="3">
        <f>IF(D2951="","","TT-"&amp;TEXT(ROW()-1,"00000"))</f>
        <v/>
      </c>
      <c r="B2951" s="3">
        <f>IF(D2951="","",IF(V2951=0,"CONCLUÍDO",IF(D2951&lt;corte,"HISTÓRICO",IF(OR(AND(ISNUMBER(R2951),R2951&lt;TODAY()),AND(OR(N2951="PENDENTE",N2951="PARCIAL"),D2951&lt;TODAY()-1)),"CRÍTICO",IF(OR(AND(P2951&lt;&gt;"",S2951=""),AND(N2951="REALIZADO",M2951="PENDENTE"),AND(ISNUMBER(R2951),R2951=TODAY())),"ATENÇÃO",IF(N(K2951)=0,"PENDENTE","EM ANDAMENTO"))))))</f>
        <v/>
      </c>
      <c r="C2951" s="3">
        <f>IF(D2951="","",IF(V2951=0,"🟢 OK",IF(D2951&lt;corte,"⚪ HISTÓRICO (sem baixa)",IF(AND(ISNUMBER(R2951),R2951&lt;TODAY()),"🔴 PRAZO VENCIDO",IF(AND(OR(N2951="PENDENTE",N2951="PARCIAL"),D2951&lt;TODAY()-1),"🔴 EMBARQUE ATRASADO",IF(AND(N2951="REALIZADO",M2951="PENDENTE"),"🟡 EMBARCADO SEM FATURAR",IF(AND(P2951&lt;&gt;"",S2951="",OR(Q2951="",R2951="")),"🟡 PENDÊNCIA SEM RESPONSÁVEL/PRAZO",IF(AND(ISNUMBER(R2951),R2951=TODAY()),"🟡 VENCE HOJE",IF(AND(P2951&lt;&gt;"",S2951=""),"🟡 PENDÊNCIA ABERTA",IF(AND(N(J2951)&gt;0,N(K2951)&lt;J2951),"🟡 FALTA EXECUTAR",IF(OR(M2951="PENDENTE",M2951="PARCIAL"),"🟡 FATURAMENTO PENDENTE","🟡 EMBARQUE PENDENTE")))))))))))</f>
        <v/>
      </c>
      <c r="D2951" s="4" t="n"/>
      <c r="E2951" s="5" t="n"/>
      <c r="F2951" s="5" t="n"/>
      <c r="G2951" s="5" t="n"/>
      <c r="H2951" s="5" t="n"/>
      <c r="I2951" s="5" t="n"/>
      <c r="J2951" s="6" t="n"/>
      <c r="K2951" s="6" t="n"/>
      <c r="L2951" s="7">
        <f>IF(OR(D2951="",N(J2951)=0),"",MIN(1,N(K2951)/J2951))</f>
        <v/>
      </c>
      <c r="M2951" s="5" t="n"/>
      <c r="N2951" s="5" t="n"/>
      <c r="O2951" s="5" t="n"/>
      <c r="P2951" s="5" t="n"/>
      <c r="Q2951" s="5" t="n"/>
      <c r="R2951" s="4" t="n"/>
      <c r="S2951" s="4" t="n"/>
      <c r="T2951" s="5" t="n"/>
      <c r="U2951" s="8">
        <f>IF(AND(V2951=1,D2951&lt;&gt;""),IF(D2951&gt;=corte,TODAY()-D2951,""),"")</f>
        <v/>
      </c>
      <c r="V2951" s="8">
        <f>IF(D2951="",0,IF(OR(AND(P2951&lt;&gt;"",S2951=""),AND(N(J2951)&gt;0,N(K2951)&lt;J2951),OR(M2951="PENDENTE",M2951="PARCIAL"),OR(N2951="PENDENTE",N2951="PARCIAL")),1,0))</f>
        <v/>
      </c>
      <c r="W2951" s="8">
        <f>IF(AND(V2951=1,D2951&lt;&gt;""),IF(D2951&gt;=corte,(B2951="CRÍTICO")*1E9+(100000-D2951)*10000+10000-ROW(),""),"")</f>
        <v/>
      </c>
      <c r="X2951" s="8">
        <f>IF(AND(V2951=1,D2951=pas_data,E2951=pas_turno),10000-ROW(),"")</f>
        <v/>
      </c>
    </row>
    <row r="2952">
      <c r="A2952" s="3">
        <f>IF(D2952="","","TT-"&amp;TEXT(ROW()-1,"00000"))</f>
        <v/>
      </c>
      <c r="B2952" s="3">
        <f>IF(D2952="","",IF(V2952=0,"CONCLUÍDO",IF(D2952&lt;corte,"HISTÓRICO",IF(OR(AND(ISNUMBER(R2952),R2952&lt;TODAY()),AND(OR(N2952="PENDENTE",N2952="PARCIAL"),D2952&lt;TODAY()-1)),"CRÍTICO",IF(OR(AND(P2952&lt;&gt;"",S2952=""),AND(N2952="REALIZADO",M2952="PENDENTE"),AND(ISNUMBER(R2952),R2952=TODAY())),"ATENÇÃO",IF(N(K2952)=0,"PENDENTE","EM ANDAMENTO"))))))</f>
        <v/>
      </c>
      <c r="C2952" s="3">
        <f>IF(D2952="","",IF(V2952=0,"🟢 OK",IF(D2952&lt;corte,"⚪ HISTÓRICO (sem baixa)",IF(AND(ISNUMBER(R2952),R2952&lt;TODAY()),"🔴 PRAZO VENCIDO",IF(AND(OR(N2952="PENDENTE",N2952="PARCIAL"),D2952&lt;TODAY()-1),"🔴 EMBARQUE ATRASADO",IF(AND(N2952="REALIZADO",M2952="PENDENTE"),"🟡 EMBARCADO SEM FATURAR",IF(AND(P2952&lt;&gt;"",S2952="",OR(Q2952="",R2952="")),"🟡 PENDÊNCIA SEM RESPONSÁVEL/PRAZO",IF(AND(ISNUMBER(R2952),R2952=TODAY()),"🟡 VENCE HOJE",IF(AND(P2952&lt;&gt;"",S2952=""),"🟡 PENDÊNCIA ABERTA",IF(AND(N(J2952)&gt;0,N(K2952)&lt;J2952),"🟡 FALTA EXECUTAR",IF(OR(M2952="PENDENTE",M2952="PARCIAL"),"🟡 FATURAMENTO PENDENTE","🟡 EMBARQUE PENDENTE")))))))))))</f>
        <v/>
      </c>
      <c r="D2952" s="4" t="n"/>
      <c r="E2952" s="5" t="n"/>
      <c r="F2952" s="5" t="n"/>
      <c r="G2952" s="5" t="n"/>
      <c r="H2952" s="5" t="n"/>
      <c r="I2952" s="5" t="n"/>
      <c r="J2952" s="6" t="n"/>
      <c r="K2952" s="6" t="n"/>
      <c r="L2952" s="7">
        <f>IF(OR(D2952="",N(J2952)=0),"",MIN(1,N(K2952)/J2952))</f>
        <v/>
      </c>
      <c r="M2952" s="5" t="n"/>
      <c r="N2952" s="5" t="n"/>
      <c r="O2952" s="5" t="n"/>
      <c r="P2952" s="5" t="n"/>
      <c r="Q2952" s="5" t="n"/>
      <c r="R2952" s="4" t="n"/>
      <c r="S2952" s="4" t="n"/>
      <c r="T2952" s="5" t="n"/>
      <c r="U2952" s="8">
        <f>IF(AND(V2952=1,D2952&lt;&gt;""),IF(D2952&gt;=corte,TODAY()-D2952,""),"")</f>
        <v/>
      </c>
      <c r="V2952" s="8">
        <f>IF(D2952="",0,IF(OR(AND(P2952&lt;&gt;"",S2952=""),AND(N(J2952)&gt;0,N(K2952)&lt;J2952),OR(M2952="PENDENTE",M2952="PARCIAL"),OR(N2952="PENDENTE",N2952="PARCIAL")),1,0))</f>
        <v/>
      </c>
      <c r="W2952" s="8">
        <f>IF(AND(V2952=1,D2952&lt;&gt;""),IF(D2952&gt;=corte,(B2952="CRÍTICO")*1E9+(100000-D2952)*10000+10000-ROW(),""),"")</f>
        <v/>
      </c>
      <c r="X2952" s="8">
        <f>IF(AND(V2952=1,D2952=pas_data,E2952=pas_turno),10000-ROW(),"")</f>
        <v/>
      </c>
    </row>
    <row r="2953">
      <c r="A2953" s="3">
        <f>IF(D2953="","","TT-"&amp;TEXT(ROW()-1,"00000"))</f>
        <v/>
      </c>
      <c r="B2953" s="3">
        <f>IF(D2953="","",IF(V2953=0,"CONCLUÍDO",IF(D2953&lt;corte,"HISTÓRICO",IF(OR(AND(ISNUMBER(R2953),R2953&lt;TODAY()),AND(OR(N2953="PENDENTE",N2953="PARCIAL"),D2953&lt;TODAY()-1)),"CRÍTICO",IF(OR(AND(P2953&lt;&gt;"",S2953=""),AND(N2953="REALIZADO",M2953="PENDENTE"),AND(ISNUMBER(R2953),R2953=TODAY())),"ATENÇÃO",IF(N(K2953)=0,"PENDENTE","EM ANDAMENTO"))))))</f>
        <v/>
      </c>
      <c r="C2953" s="3">
        <f>IF(D2953="","",IF(V2953=0,"🟢 OK",IF(D2953&lt;corte,"⚪ HISTÓRICO (sem baixa)",IF(AND(ISNUMBER(R2953),R2953&lt;TODAY()),"🔴 PRAZO VENCIDO",IF(AND(OR(N2953="PENDENTE",N2953="PARCIAL"),D2953&lt;TODAY()-1),"🔴 EMBARQUE ATRASADO",IF(AND(N2953="REALIZADO",M2953="PENDENTE"),"🟡 EMBARCADO SEM FATURAR",IF(AND(P2953&lt;&gt;"",S2953="",OR(Q2953="",R2953="")),"🟡 PENDÊNCIA SEM RESPONSÁVEL/PRAZO",IF(AND(ISNUMBER(R2953),R2953=TODAY()),"🟡 VENCE HOJE",IF(AND(P2953&lt;&gt;"",S2953=""),"🟡 PENDÊNCIA ABERTA",IF(AND(N(J2953)&gt;0,N(K2953)&lt;J2953),"🟡 FALTA EXECUTAR",IF(OR(M2953="PENDENTE",M2953="PARCIAL"),"🟡 FATURAMENTO PENDENTE","🟡 EMBARQUE PENDENTE")))))))))))</f>
        <v/>
      </c>
      <c r="D2953" s="4" t="n"/>
      <c r="E2953" s="5" t="n"/>
      <c r="F2953" s="5" t="n"/>
      <c r="G2953" s="5" t="n"/>
      <c r="H2953" s="5" t="n"/>
      <c r="I2953" s="5" t="n"/>
      <c r="J2953" s="6" t="n"/>
      <c r="K2953" s="6" t="n"/>
      <c r="L2953" s="7">
        <f>IF(OR(D2953="",N(J2953)=0),"",MIN(1,N(K2953)/J2953))</f>
        <v/>
      </c>
      <c r="M2953" s="5" t="n"/>
      <c r="N2953" s="5" t="n"/>
      <c r="O2953" s="5" t="n"/>
      <c r="P2953" s="5" t="n"/>
      <c r="Q2953" s="5" t="n"/>
      <c r="R2953" s="4" t="n"/>
      <c r="S2953" s="4" t="n"/>
      <c r="T2953" s="5" t="n"/>
      <c r="U2953" s="8">
        <f>IF(AND(V2953=1,D2953&lt;&gt;""),IF(D2953&gt;=corte,TODAY()-D2953,""),"")</f>
        <v/>
      </c>
      <c r="V2953" s="8">
        <f>IF(D2953="",0,IF(OR(AND(P2953&lt;&gt;"",S2953=""),AND(N(J2953)&gt;0,N(K2953)&lt;J2953),OR(M2953="PENDENTE",M2953="PARCIAL"),OR(N2953="PENDENTE",N2953="PARCIAL")),1,0))</f>
        <v/>
      </c>
      <c r="W2953" s="8">
        <f>IF(AND(V2953=1,D2953&lt;&gt;""),IF(D2953&gt;=corte,(B2953="CRÍTICO")*1E9+(100000-D2953)*10000+10000-ROW(),""),"")</f>
        <v/>
      </c>
      <c r="X2953" s="8">
        <f>IF(AND(V2953=1,D2953=pas_data,E2953=pas_turno),10000-ROW(),"")</f>
        <v/>
      </c>
    </row>
    <row r="2954">
      <c r="A2954" s="3">
        <f>IF(D2954="","","TT-"&amp;TEXT(ROW()-1,"00000"))</f>
        <v/>
      </c>
      <c r="B2954" s="3">
        <f>IF(D2954="","",IF(V2954=0,"CONCLUÍDO",IF(D2954&lt;corte,"HISTÓRICO",IF(OR(AND(ISNUMBER(R2954),R2954&lt;TODAY()),AND(OR(N2954="PENDENTE",N2954="PARCIAL"),D2954&lt;TODAY()-1)),"CRÍTICO",IF(OR(AND(P2954&lt;&gt;"",S2954=""),AND(N2954="REALIZADO",M2954="PENDENTE"),AND(ISNUMBER(R2954),R2954=TODAY())),"ATENÇÃO",IF(N(K2954)=0,"PENDENTE","EM ANDAMENTO"))))))</f>
        <v/>
      </c>
      <c r="C2954" s="3">
        <f>IF(D2954="","",IF(V2954=0,"🟢 OK",IF(D2954&lt;corte,"⚪ HISTÓRICO (sem baixa)",IF(AND(ISNUMBER(R2954),R2954&lt;TODAY()),"🔴 PRAZO VENCIDO",IF(AND(OR(N2954="PENDENTE",N2954="PARCIAL"),D2954&lt;TODAY()-1),"🔴 EMBARQUE ATRASADO",IF(AND(N2954="REALIZADO",M2954="PENDENTE"),"🟡 EMBARCADO SEM FATURAR",IF(AND(P2954&lt;&gt;"",S2954="",OR(Q2954="",R2954="")),"🟡 PENDÊNCIA SEM RESPONSÁVEL/PRAZO",IF(AND(ISNUMBER(R2954),R2954=TODAY()),"🟡 VENCE HOJE",IF(AND(P2954&lt;&gt;"",S2954=""),"🟡 PENDÊNCIA ABERTA",IF(AND(N(J2954)&gt;0,N(K2954)&lt;J2954),"🟡 FALTA EXECUTAR",IF(OR(M2954="PENDENTE",M2954="PARCIAL"),"🟡 FATURAMENTO PENDENTE","🟡 EMBARQUE PENDENTE")))))))))))</f>
        <v/>
      </c>
      <c r="D2954" s="4" t="n"/>
      <c r="E2954" s="5" t="n"/>
      <c r="F2954" s="5" t="n"/>
      <c r="G2954" s="5" t="n"/>
      <c r="H2954" s="5" t="n"/>
      <c r="I2954" s="5" t="n"/>
      <c r="J2954" s="6" t="n"/>
      <c r="K2954" s="6" t="n"/>
      <c r="L2954" s="7">
        <f>IF(OR(D2954="",N(J2954)=0),"",MIN(1,N(K2954)/J2954))</f>
        <v/>
      </c>
      <c r="M2954" s="5" t="n"/>
      <c r="N2954" s="5" t="n"/>
      <c r="O2954" s="5" t="n"/>
      <c r="P2954" s="5" t="n"/>
      <c r="Q2954" s="5" t="n"/>
      <c r="R2954" s="4" t="n"/>
      <c r="S2954" s="4" t="n"/>
      <c r="T2954" s="5" t="n"/>
      <c r="U2954" s="8">
        <f>IF(AND(V2954=1,D2954&lt;&gt;""),IF(D2954&gt;=corte,TODAY()-D2954,""),"")</f>
        <v/>
      </c>
      <c r="V2954" s="8">
        <f>IF(D2954="",0,IF(OR(AND(P2954&lt;&gt;"",S2954=""),AND(N(J2954)&gt;0,N(K2954)&lt;J2954),OR(M2954="PENDENTE",M2954="PARCIAL"),OR(N2954="PENDENTE",N2954="PARCIAL")),1,0))</f>
        <v/>
      </c>
      <c r="W2954" s="8">
        <f>IF(AND(V2954=1,D2954&lt;&gt;""),IF(D2954&gt;=corte,(B2954="CRÍTICO")*1E9+(100000-D2954)*10000+10000-ROW(),""),"")</f>
        <v/>
      </c>
      <c r="X2954" s="8">
        <f>IF(AND(V2954=1,D2954=pas_data,E2954=pas_turno),10000-ROW(),"")</f>
        <v/>
      </c>
    </row>
    <row r="2955">
      <c r="A2955" s="3">
        <f>IF(D2955="","","TT-"&amp;TEXT(ROW()-1,"00000"))</f>
        <v/>
      </c>
      <c r="B2955" s="3">
        <f>IF(D2955="","",IF(V2955=0,"CONCLUÍDO",IF(D2955&lt;corte,"HISTÓRICO",IF(OR(AND(ISNUMBER(R2955),R2955&lt;TODAY()),AND(OR(N2955="PENDENTE",N2955="PARCIAL"),D2955&lt;TODAY()-1)),"CRÍTICO",IF(OR(AND(P2955&lt;&gt;"",S2955=""),AND(N2955="REALIZADO",M2955="PENDENTE"),AND(ISNUMBER(R2955),R2955=TODAY())),"ATENÇÃO",IF(N(K2955)=0,"PENDENTE","EM ANDAMENTO"))))))</f>
        <v/>
      </c>
      <c r="C2955" s="3">
        <f>IF(D2955="","",IF(V2955=0,"🟢 OK",IF(D2955&lt;corte,"⚪ HISTÓRICO (sem baixa)",IF(AND(ISNUMBER(R2955),R2955&lt;TODAY()),"🔴 PRAZO VENCIDO",IF(AND(OR(N2955="PENDENTE",N2955="PARCIAL"),D2955&lt;TODAY()-1),"🔴 EMBARQUE ATRASADO",IF(AND(N2955="REALIZADO",M2955="PENDENTE"),"🟡 EMBARCADO SEM FATURAR",IF(AND(P2955&lt;&gt;"",S2955="",OR(Q2955="",R2955="")),"🟡 PENDÊNCIA SEM RESPONSÁVEL/PRAZO",IF(AND(ISNUMBER(R2955),R2955=TODAY()),"🟡 VENCE HOJE",IF(AND(P2955&lt;&gt;"",S2955=""),"🟡 PENDÊNCIA ABERTA",IF(AND(N(J2955)&gt;0,N(K2955)&lt;J2955),"🟡 FALTA EXECUTAR",IF(OR(M2955="PENDENTE",M2955="PARCIAL"),"🟡 FATURAMENTO PENDENTE","🟡 EMBARQUE PENDENTE")))))))))))</f>
        <v/>
      </c>
      <c r="D2955" s="4" t="n"/>
      <c r="E2955" s="5" t="n"/>
      <c r="F2955" s="5" t="n"/>
      <c r="G2955" s="5" t="n"/>
      <c r="H2955" s="5" t="n"/>
      <c r="I2955" s="5" t="n"/>
      <c r="J2955" s="6" t="n"/>
      <c r="K2955" s="6" t="n"/>
      <c r="L2955" s="7">
        <f>IF(OR(D2955="",N(J2955)=0),"",MIN(1,N(K2955)/J2955))</f>
        <v/>
      </c>
      <c r="M2955" s="5" t="n"/>
      <c r="N2955" s="5" t="n"/>
      <c r="O2955" s="5" t="n"/>
      <c r="P2955" s="5" t="n"/>
      <c r="Q2955" s="5" t="n"/>
      <c r="R2955" s="4" t="n"/>
      <c r="S2955" s="4" t="n"/>
      <c r="T2955" s="5" t="n"/>
      <c r="U2955" s="8">
        <f>IF(AND(V2955=1,D2955&lt;&gt;""),IF(D2955&gt;=corte,TODAY()-D2955,""),"")</f>
        <v/>
      </c>
      <c r="V2955" s="8">
        <f>IF(D2955="",0,IF(OR(AND(P2955&lt;&gt;"",S2955=""),AND(N(J2955)&gt;0,N(K2955)&lt;J2955),OR(M2955="PENDENTE",M2955="PARCIAL"),OR(N2955="PENDENTE",N2955="PARCIAL")),1,0))</f>
        <v/>
      </c>
      <c r="W2955" s="8">
        <f>IF(AND(V2955=1,D2955&lt;&gt;""),IF(D2955&gt;=corte,(B2955="CRÍTICO")*1E9+(100000-D2955)*10000+10000-ROW(),""),"")</f>
        <v/>
      </c>
      <c r="X2955" s="8">
        <f>IF(AND(V2955=1,D2955=pas_data,E2955=pas_turno),10000-ROW(),"")</f>
        <v/>
      </c>
    </row>
    <row r="2956">
      <c r="A2956" s="3">
        <f>IF(D2956="","","TT-"&amp;TEXT(ROW()-1,"00000"))</f>
        <v/>
      </c>
      <c r="B2956" s="3">
        <f>IF(D2956="","",IF(V2956=0,"CONCLUÍDO",IF(D2956&lt;corte,"HISTÓRICO",IF(OR(AND(ISNUMBER(R2956),R2956&lt;TODAY()),AND(OR(N2956="PENDENTE",N2956="PARCIAL"),D2956&lt;TODAY()-1)),"CRÍTICO",IF(OR(AND(P2956&lt;&gt;"",S2956=""),AND(N2956="REALIZADO",M2956="PENDENTE"),AND(ISNUMBER(R2956),R2956=TODAY())),"ATENÇÃO",IF(N(K2956)=0,"PENDENTE","EM ANDAMENTO"))))))</f>
        <v/>
      </c>
      <c r="C2956" s="3">
        <f>IF(D2956="","",IF(V2956=0,"🟢 OK",IF(D2956&lt;corte,"⚪ HISTÓRICO (sem baixa)",IF(AND(ISNUMBER(R2956),R2956&lt;TODAY()),"🔴 PRAZO VENCIDO",IF(AND(OR(N2956="PENDENTE",N2956="PARCIAL"),D2956&lt;TODAY()-1),"🔴 EMBARQUE ATRASADO",IF(AND(N2956="REALIZADO",M2956="PENDENTE"),"🟡 EMBARCADO SEM FATURAR",IF(AND(P2956&lt;&gt;"",S2956="",OR(Q2956="",R2956="")),"🟡 PENDÊNCIA SEM RESPONSÁVEL/PRAZO",IF(AND(ISNUMBER(R2956),R2956=TODAY()),"🟡 VENCE HOJE",IF(AND(P2956&lt;&gt;"",S2956=""),"🟡 PENDÊNCIA ABERTA",IF(AND(N(J2956)&gt;0,N(K2956)&lt;J2956),"🟡 FALTA EXECUTAR",IF(OR(M2956="PENDENTE",M2956="PARCIAL"),"🟡 FATURAMENTO PENDENTE","🟡 EMBARQUE PENDENTE")))))))))))</f>
        <v/>
      </c>
      <c r="D2956" s="4" t="n"/>
      <c r="E2956" s="5" t="n"/>
      <c r="F2956" s="5" t="n"/>
      <c r="G2956" s="5" t="n"/>
      <c r="H2956" s="5" t="n"/>
      <c r="I2956" s="5" t="n"/>
      <c r="J2956" s="6" t="n"/>
      <c r="K2956" s="6" t="n"/>
      <c r="L2956" s="7">
        <f>IF(OR(D2956="",N(J2956)=0),"",MIN(1,N(K2956)/J2956))</f>
        <v/>
      </c>
      <c r="M2956" s="5" t="n"/>
      <c r="N2956" s="5" t="n"/>
      <c r="O2956" s="5" t="n"/>
      <c r="P2956" s="5" t="n"/>
      <c r="Q2956" s="5" t="n"/>
      <c r="R2956" s="4" t="n"/>
      <c r="S2956" s="4" t="n"/>
      <c r="T2956" s="5" t="n"/>
      <c r="U2956" s="8">
        <f>IF(AND(V2956=1,D2956&lt;&gt;""),IF(D2956&gt;=corte,TODAY()-D2956,""),"")</f>
        <v/>
      </c>
      <c r="V2956" s="8">
        <f>IF(D2956="",0,IF(OR(AND(P2956&lt;&gt;"",S2956=""),AND(N(J2956)&gt;0,N(K2956)&lt;J2956),OR(M2956="PENDENTE",M2956="PARCIAL"),OR(N2956="PENDENTE",N2956="PARCIAL")),1,0))</f>
        <v/>
      </c>
      <c r="W2956" s="8">
        <f>IF(AND(V2956=1,D2956&lt;&gt;""),IF(D2956&gt;=corte,(B2956="CRÍTICO")*1E9+(100000-D2956)*10000+10000-ROW(),""),"")</f>
        <v/>
      </c>
      <c r="X2956" s="8">
        <f>IF(AND(V2956=1,D2956=pas_data,E2956=pas_turno),10000-ROW(),"")</f>
        <v/>
      </c>
    </row>
    <row r="2957">
      <c r="A2957" s="3">
        <f>IF(D2957="","","TT-"&amp;TEXT(ROW()-1,"00000"))</f>
        <v/>
      </c>
      <c r="B2957" s="3">
        <f>IF(D2957="","",IF(V2957=0,"CONCLUÍDO",IF(D2957&lt;corte,"HISTÓRICO",IF(OR(AND(ISNUMBER(R2957),R2957&lt;TODAY()),AND(OR(N2957="PENDENTE",N2957="PARCIAL"),D2957&lt;TODAY()-1)),"CRÍTICO",IF(OR(AND(P2957&lt;&gt;"",S2957=""),AND(N2957="REALIZADO",M2957="PENDENTE"),AND(ISNUMBER(R2957),R2957=TODAY())),"ATENÇÃO",IF(N(K2957)=0,"PENDENTE","EM ANDAMENTO"))))))</f>
        <v/>
      </c>
      <c r="C2957" s="3">
        <f>IF(D2957="","",IF(V2957=0,"🟢 OK",IF(D2957&lt;corte,"⚪ HISTÓRICO (sem baixa)",IF(AND(ISNUMBER(R2957),R2957&lt;TODAY()),"🔴 PRAZO VENCIDO",IF(AND(OR(N2957="PENDENTE",N2957="PARCIAL"),D2957&lt;TODAY()-1),"🔴 EMBARQUE ATRASADO",IF(AND(N2957="REALIZADO",M2957="PENDENTE"),"🟡 EMBARCADO SEM FATURAR",IF(AND(P2957&lt;&gt;"",S2957="",OR(Q2957="",R2957="")),"🟡 PENDÊNCIA SEM RESPONSÁVEL/PRAZO",IF(AND(ISNUMBER(R2957),R2957=TODAY()),"🟡 VENCE HOJE",IF(AND(P2957&lt;&gt;"",S2957=""),"🟡 PENDÊNCIA ABERTA",IF(AND(N(J2957)&gt;0,N(K2957)&lt;J2957),"🟡 FALTA EXECUTAR",IF(OR(M2957="PENDENTE",M2957="PARCIAL"),"🟡 FATURAMENTO PENDENTE","🟡 EMBARQUE PENDENTE")))))))))))</f>
        <v/>
      </c>
      <c r="D2957" s="4" t="n"/>
      <c r="E2957" s="5" t="n"/>
      <c r="F2957" s="5" t="n"/>
      <c r="G2957" s="5" t="n"/>
      <c r="H2957" s="5" t="n"/>
      <c r="I2957" s="5" t="n"/>
      <c r="J2957" s="6" t="n"/>
      <c r="K2957" s="6" t="n"/>
      <c r="L2957" s="7">
        <f>IF(OR(D2957="",N(J2957)=0),"",MIN(1,N(K2957)/J2957))</f>
        <v/>
      </c>
      <c r="M2957" s="5" t="n"/>
      <c r="N2957" s="5" t="n"/>
      <c r="O2957" s="5" t="n"/>
      <c r="P2957" s="5" t="n"/>
      <c r="Q2957" s="5" t="n"/>
      <c r="R2957" s="4" t="n"/>
      <c r="S2957" s="4" t="n"/>
      <c r="T2957" s="5" t="n"/>
      <c r="U2957" s="8">
        <f>IF(AND(V2957=1,D2957&lt;&gt;""),IF(D2957&gt;=corte,TODAY()-D2957,""),"")</f>
        <v/>
      </c>
      <c r="V2957" s="8">
        <f>IF(D2957="",0,IF(OR(AND(P2957&lt;&gt;"",S2957=""),AND(N(J2957)&gt;0,N(K2957)&lt;J2957),OR(M2957="PENDENTE",M2957="PARCIAL"),OR(N2957="PENDENTE",N2957="PARCIAL")),1,0))</f>
        <v/>
      </c>
      <c r="W2957" s="8">
        <f>IF(AND(V2957=1,D2957&lt;&gt;""),IF(D2957&gt;=corte,(B2957="CRÍTICO")*1E9+(100000-D2957)*10000+10000-ROW(),""),"")</f>
        <v/>
      </c>
      <c r="X2957" s="8">
        <f>IF(AND(V2957=1,D2957=pas_data,E2957=pas_turno),10000-ROW(),"")</f>
        <v/>
      </c>
    </row>
    <row r="2958">
      <c r="A2958" s="3">
        <f>IF(D2958="","","TT-"&amp;TEXT(ROW()-1,"00000"))</f>
        <v/>
      </c>
      <c r="B2958" s="3">
        <f>IF(D2958="","",IF(V2958=0,"CONCLUÍDO",IF(D2958&lt;corte,"HISTÓRICO",IF(OR(AND(ISNUMBER(R2958),R2958&lt;TODAY()),AND(OR(N2958="PENDENTE",N2958="PARCIAL"),D2958&lt;TODAY()-1)),"CRÍTICO",IF(OR(AND(P2958&lt;&gt;"",S2958=""),AND(N2958="REALIZADO",M2958="PENDENTE"),AND(ISNUMBER(R2958),R2958=TODAY())),"ATENÇÃO",IF(N(K2958)=0,"PENDENTE","EM ANDAMENTO"))))))</f>
        <v/>
      </c>
      <c r="C2958" s="3">
        <f>IF(D2958="","",IF(V2958=0,"🟢 OK",IF(D2958&lt;corte,"⚪ HISTÓRICO (sem baixa)",IF(AND(ISNUMBER(R2958),R2958&lt;TODAY()),"🔴 PRAZO VENCIDO",IF(AND(OR(N2958="PENDENTE",N2958="PARCIAL"),D2958&lt;TODAY()-1),"🔴 EMBARQUE ATRASADO",IF(AND(N2958="REALIZADO",M2958="PENDENTE"),"🟡 EMBARCADO SEM FATURAR",IF(AND(P2958&lt;&gt;"",S2958="",OR(Q2958="",R2958="")),"🟡 PENDÊNCIA SEM RESPONSÁVEL/PRAZO",IF(AND(ISNUMBER(R2958),R2958=TODAY()),"🟡 VENCE HOJE",IF(AND(P2958&lt;&gt;"",S2958=""),"🟡 PENDÊNCIA ABERTA",IF(AND(N(J2958)&gt;0,N(K2958)&lt;J2958),"🟡 FALTA EXECUTAR",IF(OR(M2958="PENDENTE",M2958="PARCIAL"),"🟡 FATURAMENTO PENDENTE","🟡 EMBARQUE PENDENTE")))))))))))</f>
        <v/>
      </c>
      <c r="D2958" s="4" t="n"/>
      <c r="E2958" s="5" t="n"/>
      <c r="F2958" s="5" t="n"/>
      <c r="G2958" s="5" t="n"/>
      <c r="H2958" s="5" t="n"/>
      <c r="I2958" s="5" t="n"/>
      <c r="J2958" s="6" t="n"/>
      <c r="K2958" s="6" t="n"/>
      <c r="L2958" s="7">
        <f>IF(OR(D2958="",N(J2958)=0),"",MIN(1,N(K2958)/J2958))</f>
        <v/>
      </c>
      <c r="M2958" s="5" t="n"/>
      <c r="N2958" s="5" t="n"/>
      <c r="O2958" s="5" t="n"/>
      <c r="P2958" s="5" t="n"/>
      <c r="Q2958" s="5" t="n"/>
      <c r="R2958" s="4" t="n"/>
      <c r="S2958" s="4" t="n"/>
      <c r="T2958" s="5" t="n"/>
      <c r="U2958" s="8">
        <f>IF(AND(V2958=1,D2958&lt;&gt;""),IF(D2958&gt;=corte,TODAY()-D2958,""),"")</f>
        <v/>
      </c>
      <c r="V2958" s="8">
        <f>IF(D2958="",0,IF(OR(AND(P2958&lt;&gt;"",S2958=""),AND(N(J2958)&gt;0,N(K2958)&lt;J2958),OR(M2958="PENDENTE",M2958="PARCIAL"),OR(N2958="PENDENTE",N2958="PARCIAL")),1,0))</f>
        <v/>
      </c>
      <c r="W2958" s="8">
        <f>IF(AND(V2958=1,D2958&lt;&gt;""),IF(D2958&gt;=corte,(B2958="CRÍTICO")*1E9+(100000-D2958)*10000+10000-ROW(),""),"")</f>
        <v/>
      </c>
      <c r="X2958" s="8">
        <f>IF(AND(V2958=1,D2958=pas_data,E2958=pas_turno),10000-ROW(),"")</f>
        <v/>
      </c>
    </row>
    <row r="2959">
      <c r="A2959" s="3">
        <f>IF(D2959="","","TT-"&amp;TEXT(ROW()-1,"00000"))</f>
        <v/>
      </c>
      <c r="B2959" s="3">
        <f>IF(D2959="","",IF(V2959=0,"CONCLUÍDO",IF(D2959&lt;corte,"HISTÓRICO",IF(OR(AND(ISNUMBER(R2959),R2959&lt;TODAY()),AND(OR(N2959="PENDENTE",N2959="PARCIAL"),D2959&lt;TODAY()-1)),"CRÍTICO",IF(OR(AND(P2959&lt;&gt;"",S2959=""),AND(N2959="REALIZADO",M2959="PENDENTE"),AND(ISNUMBER(R2959),R2959=TODAY())),"ATENÇÃO",IF(N(K2959)=0,"PENDENTE","EM ANDAMENTO"))))))</f>
        <v/>
      </c>
      <c r="C2959" s="3">
        <f>IF(D2959="","",IF(V2959=0,"🟢 OK",IF(D2959&lt;corte,"⚪ HISTÓRICO (sem baixa)",IF(AND(ISNUMBER(R2959),R2959&lt;TODAY()),"🔴 PRAZO VENCIDO",IF(AND(OR(N2959="PENDENTE",N2959="PARCIAL"),D2959&lt;TODAY()-1),"🔴 EMBARQUE ATRASADO",IF(AND(N2959="REALIZADO",M2959="PENDENTE"),"🟡 EMBARCADO SEM FATURAR",IF(AND(P2959&lt;&gt;"",S2959="",OR(Q2959="",R2959="")),"🟡 PENDÊNCIA SEM RESPONSÁVEL/PRAZO",IF(AND(ISNUMBER(R2959),R2959=TODAY()),"🟡 VENCE HOJE",IF(AND(P2959&lt;&gt;"",S2959=""),"🟡 PENDÊNCIA ABERTA",IF(AND(N(J2959)&gt;0,N(K2959)&lt;J2959),"🟡 FALTA EXECUTAR",IF(OR(M2959="PENDENTE",M2959="PARCIAL"),"🟡 FATURAMENTO PENDENTE","🟡 EMBARQUE PENDENTE")))))))))))</f>
        <v/>
      </c>
      <c r="D2959" s="4" t="n"/>
      <c r="E2959" s="5" t="n"/>
      <c r="F2959" s="5" t="n"/>
      <c r="G2959" s="5" t="n"/>
      <c r="H2959" s="5" t="n"/>
      <c r="I2959" s="5" t="n"/>
      <c r="J2959" s="6" t="n"/>
      <c r="K2959" s="6" t="n"/>
      <c r="L2959" s="7">
        <f>IF(OR(D2959="",N(J2959)=0),"",MIN(1,N(K2959)/J2959))</f>
        <v/>
      </c>
      <c r="M2959" s="5" t="n"/>
      <c r="N2959" s="5" t="n"/>
      <c r="O2959" s="5" t="n"/>
      <c r="P2959" s="5" t="n"/>
      <c r="Q2959" s="5" t="n"/>
      <c r="R2959" s="4" t="n"/>
      <c r="S2959" s="4" t="n"/>
      <c r="T2959" s="5" t="n"/>
      <c r="U2959" s="8">
        <f>IF(AND(V2959=1,D2959&lt;&gt;""),IF(D2959&gt;=corte,TODAY()-D2959,""),"")</f>
        <v/>
      </c>
      <c r="V2959" s="8">
        <f>IF(D2959="",0,IF(OR(AND(P2959&lt;&gt;"",S2959=""),AND(N(J2959)&gt;0,N(K2959)&lt;J2959),OR(M2959="PENDENTE",M2959="PARCIAL"),OR(N2959="PENDENTE",N2959="PARCIAL")),1,0))</f>
        <v/>
      </c>
      <c r="W2959" s="8">
        <f>IF(AND(V2959=1,D2959&lt;&gt;""),IF(D2959&gt;=corte,(B2959="CRÍTICO")*1E9+(100000-D2959)*10000+10000-ROW(),""),"")</f>
        <v/>
      </c>
      <c r="X2959" s="8">
        <f>IF(AND(V2959=1,D2959=pas_data,E2959=pas_turno),10000-ROW(),"")</f>
        <v/>
      </c>
    </row>
    <row r="2960">
      <c r="A2960" s="3">
        <f>IF(D2960="","","TT-"&amp;TEXT(ROW()-1,"00000"))</f>
        <v/>
      </c>
      <c r="B2960" s="3">
        <f>IF(D2960="","",IF(V2960=0,"CONCLUÍDO",IF(D2960&lt;corte,"HISTÓRICO",IF(OR(AND(ISNUMBER(R2960),R2960&lt;TODAY()),AND(OR(N2960="PENDENTE",N2960="PARCIAL"),D2960&lt;TODAY()-1)),"CRÍTICO",IF(OR(AND(P2960&lt;&gt;"",S2960=""),AND(N2960="REALIZADO",M2960="PENDENTE"),AND(ISNUMBER(R2960),R2960=TODAY())),"ATENÇÃO",IF(N(K2960)=0,"PENDENTE","EM ANDAMENTO"))))))</f>
        <v/>
      </c>
      <c r="C2960" s="3">
        <f>IF(D2960="","",IF(V2960=0,"🟢 OK",IF(D2960&lt;corte,"⚪ HISTÓRICO (sem baixa)",IF(AND(ISNUMBER(R2960),R2960&lt;TODAY()),"🔴 PRAZO VENCIDO",IF(AND(OR(N2960="PENDENTE",N2960="PARCIAL"),D2960&lt;TODAY()-1),"🔴 EMBARQUE ATRASADO",IF(AND(N2960="REALIZADO",M2960="PENDENTE"),"🟡 EMBARCADO SEM FATURAR",IF(AND(P2960&lt;&gt;"",S2960="",OR(Q2960="",R2960="")),"🟡 PENDÊNCIA SEM RESPONSÁVEL/PRAZO",IF(AND(ISNUMBER(R2960),R2960=TODAY()),"🟡 VENCE HOJE",IF(AND(P2960&lt;&gt;"",S2960=""),"🟡 PENDÊNCIA ABERTA",IF(AND(N(J2960)&gt;0,N(K2960)&lt;J2960),"🟡 FALTA EXECUTAR",IF(OR(M2960="PENDENTE",M2960="PARCIAL"),"🟡 FATURAMENTO PENDENTE","🟡 EMBARQUE PENDENTE")))))))))))</f>
        <v/>
      </c>
      <c r="D2960" s="4" t="n"/>
      <c r="E2960" s="5" t="n"/>
      <c r="F2960" s="5" t="n"/>
      <c r="G2960" s="5" t="n"/>
      <c r="H2960" s="5" t="n"/>
      <c r="I2960" s="5" t="n"/>
      <c r="J2960" s="6" t="n"/>
      <c r="K2960" s="6" t="n"/>
      <c r="L2960" s="7">
        <f>IF(OR(D2960="",N(J2960)=0),"",MIN(1,N(K2960)/J2960))</f>
        <v/>
      </c>
      <c r="M2960" s="5" t="n"/>
      <c r="N2960" s="5" t="n"/>
      <c r="O2960" s="5" t="n"/>
      <c r="P2960" s="5" t="n"/>
      <c r="Q2960" s="5" t="n"/>
      <c r="R2960" s="4" t="n"/>
      <c r="S2960" s="4" t="n"/>
      <c r="T2960" s="5" t="n"/>
      <c r="U2960" s="8">
        <f>IF(AND(V2960=1,D2960&lt;&gt;""),IF(D2960&gt;=corte,TODAY()-D2960,""),"")</f>
        <v/>
      </c>
      <c r="V2960" s="8">
        <f>IF(D2960="",0,IF(OR(AND(P2960&lt;&gt;"",S2960=""),AND(N(J2960)&gt;0,N(K2960)&lt;J2960),OR(M2960="PENDENTE",M2960="PARCIAL"),OR(N2960="PENDENTE",N2960="PARCIAL")),1,0))</f>
        <v/>
      </c>
      <c r="W2960" s="8">
        <f>IF(AND(V2960=1,D2960&lt;&gt;""),IF(D2960&gt;=corte,(B2960="CRÍTICO")*1E9+(100000-D2960)*10000+10000-ROW(),""),"")</f>
        <v/>
      </c>
      <c r="X2960" s="8">
        <f>IF(AND(V2960=1,D2960=pas_data,E2960=pas_turno),10000-ROW(),"")</f>
        <v/>
      </c>
    </row>
    <row r="2961">
      <c r="A2961" s="3">
        <f>IF(D2961="","","TT-"&amp;TEXT(ROW()-1,"00000"))</f>
        <v/>
      </c>
      <c r="B2961" s="3">
        <f>IF(D2961="","",IF(V2961=0,"CONCLUÍDO",IF(D2961&lt;corte,"HISTÓRICO",IF(OR(AND(ISNUMBER(R2961),R2961&lt;TODAY()),AND(OR(N2961="PENDENTE",N2961="PARCIAL"),D2961&lt;TODAY()-1)),"CRÍTICO",IF(OR(AND(P2961&lt;&gt;"",S2961=""),AND(N2961="REALIZADO",M2961="PENDENTE"),AND(ISNUMBER(R2961),R2961=TODAY())),"ATENÇÃO",IF(N(K2961)=0,"PENDENTE","EM ANDAMENTO"))))))</f>
        <v/>
      </c>
      <c r="C2961" s="3">
        <f>IF(D2961="","",IF(V2961=0,"🟢 OK",IF(D2961&lt;corte,"⚪ HISTÓRICO (sem baixa)",IF(AND(ISNUMBER(R2961),R2961&lt;TODAY()),"🔴 PRAZO VENCIDO",IF(AND(OR(N2961="PENDENTE",N2961="PARCIAL"),D2961&lt;TODAY()-1),"🔴 EMBARQUE ATRASADO",IF(AND(N2961="REALIZADO",M2961="PENDENTE"),"🟡 EMBARCADO SEM FATURAR",IF(AND(P2961&lt;&gt;"",S2961="",OR(Q2961="",R2961="")),"🟡 PENDÊNCIA SEM RESPONSÁVEL/PRAZO",IF(AND(ISNUMBER(R2961),R2961=TODAY()),"🟡 VENCE HOJE",IF(AND(P2961&lt;&gt;"",S2961=""),"🟡 PENDÊNCIA ABERTA",IF(AND(N(J2961)&gt;0,N(K2961)&lt;J2961),"🟡 FALTA EXECUTAR",IF(OR(M2961="PENDENTE",M2961="PARCIAL"),"🟡 FATURAMENTO PENDENTE","🟡 EMBARQUE PENDENTE")))))))))))</f>
        <v/>
      </c>
      <c r="D2961" s="4" t="n"/>
      <c r="E2961" s="5" t="n"/>
      <c r="F2961" s="5" t="n"/>
      <c r="G2961" s="5" t="n"/>
      <c r="H2961" s="5" t="n"/>
      <c r="I2961" s="5" t="n"/>
      <c r="J2961" s="6" t="n"/>
      <c r="K2961" s="6" t="n"/>
      <c r="L2961" s="7">
        <f>IF(OR(D2961="",N(J2961)=0),"",MIN(1,N(K2961)/J2961))</f>
        <v/>
      </c>
      <c r="M2961" s="5" t="n"/>
      <c r="N2961" s="5" t="n"/>
      <c r="O2961" s="5" t="n"/>
      <c r="P2961" s="5" t="n"/>
      <c r="Q2961" s="5" t="n"/>
      <c r="R2961" s="4" t="n"/>
      <c r="S2961" s="4" t="n"/>
      <c r="T2961" s="5" t="n"/>
      <c r="U2961" s="8">
        <f>IF(AND(V2961=1,D2961&lt;&gt;""),IF(D2961&gt;=corte,TODAY()-D2961,""),"")</f>
        <v/>
      </c>
      <c r="V2961" s="8">
        <f>IF(D2961="",0,IF(OR(AND(P2961&lt;&gt;"",S2961=""),AND(N(J2961)&gt;0,N(K2961)&lt;J2961),OR(M2961="PENDENTE",M2961="PARCIAL"),OR(N2961="PENDENTE",N2961="PARCIAL")),1,0))</f>
        <v/>
      </c>
      <c r="W2961" s="8">
        <f>IF(AND(V2961=1,D2961&lt;&gt;""),IF(D2961&gt;=corte,(B2961="CRÍTICO")*1E9+(100000-D2961)*10000+10000-ROW(),""),"")</f>
        <v/>
      </c>
      <c r="X2961" s="8">
        <f>IF(AND(V2961=1,D2961=pas_data,E2961=pas_turno),10000-ROW(),"")</f>
        <v/>
      </c>
    </row>
    <row r="2962">
      <c r="A2962" s="3">
        <f>IF(D2962="","","TT-"&amp;TEXT(ROW()-1,"00000"))</f>
        <v/>
      </c>
      <c r="B2962" s="3">
        <f>IF(D2962="","",IF(V2962=0,"CONCLUÍDO",IF(D2962&lt;corte,"HISTÓRICO",IF(OR(AND(ISNUMBER(R2962),R2962&lt;TODAY()),AND(OR(N2962="PENDENTE",N2962="PARCIAL"),D2962&lt;TODAY()-1)),"CRÍTICO",IF(OR(AND(P2962&lt;&gt;"",S2962=""),AND(N2962="REALIZADO",M2962="PENDENTE"),AND(ISNUMBER(R2962),R2962=TODAY())),"ATENÇÃO",IF(N(K2962)=0,"PENDENTE","EM ANDAMENTO"))))))</f>
        <v/>
      </c>
      <c r="C2962" s="3">
        <f>IF(D2962="","",IF(V2962=0,"🟢 OK",IF(D2962&lt;corte,"⚪ HISTÓRICO (sem baixa)",IF(AND(ISNUMBER(R2962),R2962&lt;TODAY()),"🔴 PRAZO VENCIDO",IF(AND(OR(N2962="PENDENTE",N2962="PARCIAL"),D2962&lt;TODAY()-1),"🔴 EMBARQUE ATRASADO",IF(AND(N2962="REALIZADO",M2962="PENDENTE"),"🟡 EMBARCADO SEM FATURAR",IF(AND(P2962&lt;&gt;"",S2962="",OR(Q2962="",R2962="")),"🟡 PENDÊNCIA SEM RESPONSÁVEL/PRAZO",IF(AND(ISNUMBER(R2962),R2962=TODAY()),"🟡 VENCE HOJE",IF(AND(P2962&lt;&gt;"",S2962=""),"🟡 PENDÊNCIA ABERTA",IF(AND(N(J2962)&gt;0,N(K2962)&lt;J2962),"🟡 FALTA EXECUTAR",IF(OR(M2962="PENDENTE",M2962="PARCIAL"),"🟡 FATURAMENTO PENDENTE","🟡 EMBARQUE PENDENTE")))))))))))</f>
        <v/>
      </c>
      <c r="D2962" s="4" t="n"/>
      <c r="E2962" s="5" t="n"/>
      <c r="F2962" s="5" t="n"/>
      <c r="G2962" s="5" t="n"/>
      <c r="H2962" s="5" t="n"/>
      <c r="I2962" s="5" t="n"/>
      <c r="J2962" s="6" t="n"/>
      <c r="K2962" s="6" t="n"/>
      <c r="L2962" s="7">
        <f>IF(OR(D2962="",N(J2962)=0),"",MIN(1,N(K2962)/J2962))</f>
        <v/>
      </c>
      <c r="M2962" s="5" t="n"/>
      <c r="N2962" s="5" t="n"/>
      <c r="O2962" s="5" t="n"/>
      <c r="P2962" s="5" t="n"/>
      <c r="Q2962" s="5" t="n"/>
      <c r="R2962" s="4" t="n"/>
      <c r="S2962" s="4" t="n"/>
      <c r="T2962" s="5" t="n"/>
      <c r="U2962" s="8">
        <f>IF(AND(V2962=1,D2962&lt;&gt;""),IF(D2962&gt;=corte,TODAY()-D2962,""),"")</f>
        <v/>
      </c>
      <c r="V2962" s="8">
        <f>IF(D2962="",0,IF(OR(AND(P2962&lt;&gt;"",S2962=""),AND(N(J2962)&gt;0,N(K2962)&lt;J2962),OR(M2962="PENDENTE",M2962="PARCIAL"),OR(N2962="PENDENTE",N2962="PARCIAL")),1,0))</f>
        <v/>
      </c>
      <c r="W2962" s="8">
        <f>IF(AND(V2962=1,D2962&lt;&gt;""),IF(D2962&gt;=corte,(B2962="CRÍTICO")*1E9+(100000-D2962)*10000+10000-ROW(),""),"")</f>
        <v/>
      </c>
      <c r="X2962" s="8">
        <f>IF(AND(V2962=1,D2962=pas_data,E2962=pas_turno),10000-ROW(),"")</f>
        <v/>
      </c>
    </row>
    <row r="2963">
      <c r="A2963" s="3">
        <f>IF(D2963="","","TT-"&amp;TEXT(ROW()-1,"00000"))</f>
        <v/>
      </c>
      <c r="B2963" s="3">
        <f>IF(D2963="","",IF(V2963=0,"CONCLUÍDO",IF(D2963&lt;corte,"HISTÓRICO",IF(OR(AND(ISNUMBER(R2963),R2963&lt;TODAY()),AND(OR(N2963="PENDENTE",N2963="PARCIAL"),D2963&lt;TODAY()-1)),"CRÍTICO",IF(OR(AND(P2963&lt;&gt;"",S2963=""),AND(N2963="REALIZADO",M2963="PENDENTE"),AND(ISNUMBER(R2963),R2963=TODAY())),"ATENÇÃO",IF(N(K2963)=0,"PENDENTE","EM ANDAMENTO"))))))</f>
        <v/>
      </c>
      <c r="C2963" s="3">
        <f>IF(D2963="","",IF(V2963=0,"🟢 OK",IF(D2963&lt;corte,"⚪ HISTÓRICO (sem baixa)",IF(AND(ISNUMBER(R2963),R2963&lt;TODAY()),"🔴 PRAZO VENCIDO",IF(AND(OR(N2963="PENDENTE",N2963="PARCIAL"),D2963&lt;TODAY()-1),"🔴 EMBARQUE ATRASADO",IF(AND(N2963="REALIZADO",M2963="PENDENTE"),"🟡 EMBARCADO SEM FATURAR",IF(AND(P2963&lt;&gt;"",S2963="",OR(Q2963="",R2963="")),"🟡 PENDÊNCIA SEM RESPONSÁVEL/PRAZO",IF(AND(ISNUMBER(R2963),R2963=TODAY()),"🟡 VENCE HOJE",IF(AND(P2963&lt;&gt;"",S2963=""),"🟡 PENDÊNCIA ABERTA",IF(AND(N(J2963)&gt;0,N(K2963)&lt;J2963),"🟡 FALTA EXECUTAR",IF(OR(M2963="PENDENTE",M2963="PARCIAL"),"🟡 FATURAMENTO PENDENTE","🟡 EMBARQUE PENDENTE")))))))))))</f>
        <v/>
      </c>
      <c r="D2963" s="4" t="n"/>
      <c r="E2963" s="5" t="n"/>
      <c r="F2963" s="5" t="n"/>
      <c r="G2963" s="5" t="n"/>
      <c r="H2963" s="5" t="n"/>
      <c r="I2963" s="5" t="n"/>
      <c r="J2963" s="6" t="n"/>
      <c r="K2963" s="6" t="n"/>
      <c r="L2963" s="7">
        <f>IF(OR(D2963="",N(J2963)=0),"",MIN(1,N(K2963)/J2963))</f>
        <v/>
      </c>
      <c r="M2963" s="5" t="n"/>
      <c r="N2963" s="5" t="n"/>
      <c r="O2963" s="5" t="n"/>
      <c r="P2963" s="5" t="n"/>
      <c r="Q2963" s="5" t="n"/>
      <c r="R2963" s="4" t="n"/>
      <c r="S2963" s="4" t="n"/>
      <c r="T2963" s="5" t="n"/>
      <c r="U2963" s="8">
        <f>IF(AND(V2963=1,D2963&lt;&gt;""),IF(D2963&gt;=corte,TODAY()-D2963,""),"")</f>
        <v/>
      </c>
      <c r="V2963" s="8">
        <f>IF(D2963="",0,IF(OR(AND(P2963&lt;&gt;"",S2963=""),AND(N(J2963)&gt;0,N(K2963)&lt;J2963),OR(M2963="PENDENTE",M2963="PARCIAL"),OR(N2963="PENDENTE",N2963="PARCIAL")),1,0))</f>
        <v/>
      </c>
      <c r="W2963" s="8">
        <f>IF(AND(V2963=1,D2963&lt;&gt;""),IF(D2963&gt;=corte,(B2963="CRÍTICO")*1E9+(100000-D2963)*10000+10000-ROW(),""),"")</f>
        <v/>
      </c>
      <c r="X2963" s="8">
        <f>IF(AND(V2963=1,D2963=pas_data,E2963=pas_turno),10000-ROW(),"")</f>
        <v/>
      </c>
    </row>
    <row r="2964">
      <c r="A2964" s="3">
        <f>IF(D2964="","","TT-"&amp;TEXT(ROW()-1,"00000"))</f>
        <v/>
      </c>
      <c r="B2964" s="3">
        <f>IF(D2964="","",IF(V2964=0,"CONCLUÍDO",IF(D2964&lt;corte,"HISTÓRICO",IF(OR(AND(ISNUMBER(R2964),R2964&lt;TODAY()),AND(OR(N2964="PENDENTE",N2964="PARCIAL"),D2964&lt;TODAY()-1)),"CRÍTICO",IF(OR(AND(P2964&lt;&gt;"",S2964=""),AND(N2964="REALIZADO",M2964="PENDENTE"),AND(ISNUMBER(R2964),R2964=TODAY())),"ATENÇÃO",IF(N(K2964)=0,"PENDENTE","EM ANDAMENTO"))))))</f>
        <v/>
      </c>
      <c r="C2964" s="3">
        <f>IF(D2964="","",IF(V2964=0,"🟢 OK",IF(D2964&lt;corte,"⚪ HISTÓRICO (sem baixa)",IF(AND(ISNUMBER(R2964),R2964&lt;TODAY()),"🔴 PRAZO VENCIDO",IF(AND(OR(N2964="PENDENTE",N2964="PARCIAL"),D2964&lt;TODAY()-1),"🔴 EMBARQUE ATRASADO",IF(AND(N2964="REALIZADO",M2964="PENDENTE"),"🟡 EMBARCADO SEM FATURAR",IF(AND(P2964&lt;&gt;"",S2964="",OR(Q2964="",R2964="")),"🟡 PENDÊNCIA SEM RESPONSÁVEL/PRAZO",IF(AND(ISNUMBER(R2964),R2964=TODAY()),"🟡 VENCE HOJE",IF(AND(P2964&lt;&gt;"",S2964=""),"🟡 PENDÊNCIA ABERTA",IF(AND(N(J2964)&gt;0,N(K2964)&lt;J2964),"🟡 FALTA EXECUTAR",IF(OR(M2964="PENDENTE",M2964="PARCIAL"),"🟡 FATURAMENTO PENDENTE","🟡 EMBARQUE PENDENTE")))))))))))</f>
        <v/>
      </c>
      <c r="D2964" s="4" t="n"/>
      <c r="E2964" s="5" t="n"/>
      <c r="F2964" s="5" t="n"/>
      <c r="G2964" s="5" t="n"/>
      <c r="H2964" s="5" t="n"/>
      <c r="I2964" s="5" t="n"/>
      <c r="J2964" s="6" t="n"/>
      <c r="K2964" s="6" t="n"/>
      <c r="L2964" s="7">
        <f>IF(OR(D2964="",N(J2964)=0),"",MIN(1,N(K2964)/J2964))</f>
        <v/>
      </c>
      <c r="M2964" s="5" t="n"/>
      <c r="N2964" s="5" t="n"/>
      <c r="O2964" s="5" t="n"/>
      <c r="P2964" s="5" t="n"/>
      <c r="Q2964" s="5" t="n"/>
      <c r="R2964" s="4" t="n"/>
      <c r="S2964" s="4" t="n"/>
      <c r="T2964" s="5" t="n"/>
      <c r="U2964" s="8">
        <f>IF(AND(V2964=1,D2964&lt;&gt;""),IF(D2964&gt;=corte,TODAY()-D2964,""),"")</f>
        <v/>
      </c>
      <c r="V2964" s="8">
        <f>IF(D2964="",0,IF(OR(AND(P2964&lt;&gt;"",S2964=""),AND(N(J2964)&gt;0,N(K2964)&lt;J2964),OR(M2964="PENDENTE",M2964="PARCIAL"),OR(N2964="PENDENTE",N2964="PARCIAL")),1,0))</f>
        <v/>
      </c>
      <c r="W2964" s="8">
        <f>IF(AND(V2964=1,D2964&lt;&gt;""),IF(D2964&gt;=corte,(B2964="CRÍTICO")*1E9+(100000-D2964)*10000+10000-ROW(),""),"")</f>
        <v/>
      </c>
      <c r="X2964" s="8">
        <f>IF(AND(V2964=1,D2964=pas_data,E2964=pas_turno),10000-ROW(),"")</f>
        <v/>
      </c>
    </row>
    <row r="2965">
      <c r="A2965" s="3">
        <f>IF(D2965="","","TT-"&amp;TEXT(ROW()-1,"00000"))</f>
        <v/>
      </c>
      <c r="B2965" s="3">
        <f>IF(D2965="","",IF(V2965=0,"CONCLUÍDO",IF(D2965&lt;corte,"HISTÓRICO",IF(OR(AND(ISNUMBER(R2965),R2965&lt;TODAY()),AND(OR(N2965="PENDENTE",N2965="PARCIAL"),D2965&lt;TODAY()-1)),"CRÍTICO",IF(OR(AND(P2965&lt;&gt;"",S2965=""),AND(N2965="REALIZADO",M2965="PENDENTE"),AND(ISNUMBER(R2965),R2965=TODAY())),"ATENÇÃO",IF(N(K2965)=0,"PENDENTE","EM ANDAMENTO"))))))</f>
        <v/>
      </c>
      <c r="C2965" s="3">
        <f>IF(D2965="","",IF(V2965=0,"🟢 OK",IF(D2965&lt;corte,"⚪ HISTÓRICO (sem baixa)",IF(AND(ISNUMBER(R2965),R2965&lt;TODAY()),"🔴 PRAZO VENCIDO",IF(AND(OR(N2965="PENDENTE",N2965="PARCIAL"),D2965&lt;TODAY()-1),"🔴 EMBARQUE ATRASADO",IF(AND(N2965="REALIZADO",M2965="PENDENTE"),"🟡 EMBARCADO SEM FATURAR",IF(AND(P2965&lt;&gt;"",S2965="",OR(Q2965="",R2965="")),"🟡 PENDÊNCIA SEM RESPONSÁVEL/PRAZO",IF(AND(ISNUMBER(R2965),R2965=TODAY()),"🟡 VENCE HOJE",IF(AND(P2965&lt;&gt;"",S2965=""),"🟡 PENDÊNCIA ABERTA",IF(AND(N(J2965)&gt;0,N(K2965)&lt;J2965),"🟡 FALTA EXECUTAR",IF(OR(M2965="PENDENTE",M2965="PARCIAL"),"🟡 FATURAMENTO PENDENTE","🟡 EMBARQUE PENDENTE")))))))))))</f>
        <v/>
      </c>
      <c r="D2965" s="4" t="n"/>
      <c r="E2965" s="5" t="n"/>
      <c r="F2965" s="5" t="n"/>
      <c r="G2965" s="5" t="n"/>
      <c r="H2965" s="5" t="n"/>
      <c r="I2965" s="5" t="n"/>
      <c r="J2965" s="6" t="n"/>
      <c r="K2965" s="6" t="n"/>
      <c r="L2965" s="7">
        <f>IF(OR(D2965="",N(J2965)=0),"",MIN(1,N(K2965)/J2965))</f>
        <v/>
      </c>
      <c r="M2965" s="5" t="n"/>
      <c r="N2965" s="5" t="n"/>
      <c r="O2965" s="5" t="n"/>
      <c r="P2965" s="5" t="n"/>
      <c r="Q2965" s="5" t="n"/>
      <c r="R2965" s="4" t="n"/>
      <c r="S2965" s="4" t="n"/>
      <c r="T2965" s="5" t="n"/>
      <c r="U2965" s="8">
        <f>IF(AND(V2965=1,D2965&lt;&gt;""),IF(D2965&gt;=corte,TODAY()-D2965,""),"")</f>
        <v/>
      </c>
      <c r="V2965" s="8">
        <f>IF(D2965="",0,IF(OR(AND(P2965&lt;&gt;"",S2965=""),AND(N(J2965)&gt;0,N(K2965)&lt;J2965),OR(M2965="PENDENTE",M2965="PARCIAL"),OR(N2965="PENDENTE",N2965="PARCIAL")),1,0))</f>
        <v/>
      </c>
      <c r="W2965" s="8">
        <f>IF(AND(V2965=1,D2965&lt;&gt;""),IF(D2965&gt;=corte,(B2965="CRÍTICO")*1E9+(100000-D2965)*10000+10000-ROW(),""),"")</f>
        <v/>
      </c>
      <c r="X2965" s="8">
        <f>IF(AND(V2965=1,D2965=pas_data,E2965=pas_turno),10000-ROW(),"")</f>
        <v/>
      </c>
    </row>
    <row r="2966">
      <c r="A2966" s="3">
        <f>IF(D2966="","","TT-"&amp;TEXT(ROW()-1,"00000"))</f>
        <v/>
      </c>
      <c r="B2966" s="3">
        <f>IF(D2966="","",IF(V2966=0,"CONCLUÍDO",IF(D2966&lt;corte,"HISTÓRICO",IF(OR(AND(ISNUMBER(R2966),R2966&lt;TODAY()),AND(OR(N2966="PENDENTE",N2966="PARCIAL"),D2966&lt;TODAY()-1)),"CRÍTICO",IF(OR(AND(P2966&lt;&gt;"",S2966=""),AND(N2966="REALIZADO",M2966="PENDENTE"),AND(ISNUMBER(R2966),R2966=TODAY())),"ATENÇÃO",IF(N(K2966)=0,"PENDENTE","EM ANDAMENTO"))))))</f>
        <v/>
      </c>
      <c r="C2966" s="3">
        <f>IF(D2966="","",IF(V2966=0,"🟢 OK",IF(D2966&lt;corte,"⚪ HISTÓRICO (sem baixa)",IF(AND(ISNUMBER(R2966),R2966&lt;TODAY()),"🔴 PRAZO VENCIDO",IF(AND(OR(N2966="PENDENTE",N2966="PARCIAL"),D2966&lt;TODAY()-1),"🔴 EMBARQUE ATRASADO",IF(AND(N2966="REALIZADO",M2966="PENDENTE"),"🟡 EMBARCADO SEM FATURAR",IF(AND(P2966&lt;&gt;"",S2966="",OR(Q2966="",R2966="")),"🟡 PENDÊNCIA SEM RESPONSÁVEL/PRAZO",IF(AND(ISNUMBER(R2966),R2966=TODAY()),"🟡 VENCE HOJE",IF(AND(P2966&lt;&gt;"",S2966=""),"🟡 PENDÊNCIA ABERTA",IF(AND(N(J2966)&gt;0,N(K2966)&lt;J2966),"🟡 FALTA EXECUTAR",IF(OR(M2966="PENDENTE",M2966="PARCIAL"),"🟡 FATURAMENTO PENDENTE","🟡 EMBARQUE PENDENTE")))))))))))</f>
        <v/>
      </c>
      <c r="D2966" s="4" t="n"/>
      <c r="E2966" s="5" t="n"/>
      <c r="F2966" s="5" t="n"/>
      <c r="G2966" s="5" t="n"/>
      <c r="H2966" s="5" t="n"/>
      <c r="I2966" s="5" t="n"/>
      <c r="J2966" s="6" t="n"/>
      <c r="K2966" s="6" t="n"/>
      <c r="L2966" s="7">
        <f>IF(OR(D2966="",N(J2966)=0),"",MIN(1,N(K2966)/J2966))</f>
        <v/>
      </c>
      <c r="M2966" s="5" t="n"/>
      <c r="N2966" s="5" t="n"/>
      <c r="O2966" s="5" t="n"/>
      <c r="P2966" s="5" t="n"/>
      <c r="Q2966" s="5" t="n"/>
      <c r="R2966" s="4" t="n"/>
      <c r="S2966" s="4" t="n"/>
      <c r="T2966" s="5" t="n"/>
      <c r="U2966" s="8">
        <f>IF(AND(V2966=1,D2966&lt;&gt;""),IF(D2966&gt;=corte,TODAY()-D2966,""),"")</f>
        <v/>
      </c>
      <c r="V2966" s="8">
        <f>IF(D2966="",0,IF(OR(AND(P2966&lt;&gt;"",S2966=""),AND(N(J2966)&gt;0,N(K2966)&lt;J2966),OR(M2966="PENDENTE",M2966="PARCIAL"),OR(N2966="PENDENTE",N2966="PARCIAL")),1,0))</f>
        <v/>
      </c>
      <c r="W2966" s="8">
        <f>IF(AND(V2966=1,D2966&lt;&gt;""),IF(D2966&gt;=corte,(B2966="CRÍTICO")*1E9+(100000-D2966)*10000+10000-ROW(),""),"")</f>
        <v/>
      </c>
      <c r="X2966" s="8">
        <f>IF(AND(V2966=1,D2966=pas_data,E2966=pas_turno),10000-ROW(),"")</f>
        <v/>
      </c>
    </row>
    <row r="2967">
      <c r="A2967" s="3">
        <f>IF(D2967="","","TT-"&amp;TEXT(ROW()-1,"00000"))</f>
        <v/>
      </c>
      <c r="B2967" s="3">
        <f>IF(D2967="","",IF(V2967=0,"CONCLUÍDO",IF(D2967&lt;corte,"HISTÓRICO",IF(OR(AND(ISNUMBER(R2967),R2967&lt;TODAY()),AND(OR(N2967="PENDENTE",N2967="PARCIAL"),D2967&lt;TODAY()-1)),"CRÍTICO",IF(OR(AND(P2967&lt;&gt;"",S2967=""),AND(N2967="REALIZADO",M2967="PENDENTE"),AND(ISNUMBER(R2967),R2967=TODAY())),"ATENÇÃO",IF(N(K2967)=0,"PENDENTE","EM ANDAMENTO"))))))</f>
        <v/>
      </c>
      <c r="C2967" s="3">
        <f>IF(D2967="","",IF(V2967=0,"🟢 OK",IF(D2967&lt;corte,"⚪ HISTÓRICO (sem baixa)",IF(AND(ISNUMBER(R2967),R2967&lt;TODAY()),"🔴 PRAZO VENCIDO",IF(AND(OR(N2967="PENDENTE",N2967="PARCIAL"),D2967&lt;TODAY()-1),"🔴 EMBARQUE ATRASADO",IF(AND(N2967="REALIZADO",M2967="PENDENTE"),"🟡 EMBARCADO SEM FATURAR",IF(AND(P2967&lt;&gt;"",S2967="",OR(Q2967="",R2967="")),"🟡 PENDÊNCIA SEM RESPONSÁVEL/PRAZO",IF(AND(ISNUMBER(R2967),R2967=TODAY()),"🟡 VENCE HOJE",IF(AND(P2967&lt;&gt;"",S2967=""),"🟡 PENDÊNCIA ABERTA",IF(AND(N(J2967)&gt;0,N(K2967)&lt;J2967),"🟡 FALTA EXECUTAR",IF(OR(M2967="PENDENTE",M2967="PARCIAL"),"🟡 FATURAMENTO PENDENTE","🟡 EMBARQUE PENDENTE")))))))))))</f>
        <v/>
      </c>
      <c r="D2967" s="4" t="n"/>
      <c r="E2967" s="5" t="n"/>
      <c r="F2967" s="5" t="n"/>
      <c r="G2967" s="5" t="n"/>
      <c r="H2967" s="5" t="n"/>
      <c r="I2967" s="5" t="n"/>
      <c r="J2967" s="6" t="n"/>
      <c r="K2967" s="6" t="n"/>
      <c r="L2967" s="7">
        <f>IF(OR(D2967="",N(J2967)=0),"",MIN(1,N(K2967)/J2967))</f>
        <v/>
      </c>
      <c r="M2967" s="5" t="n"/>
      <c r="N2967" s="5" t="n"/>
      <c r="O2967" s="5" t="n"/>
      <c r="P2967" s="5" t="n"/>
      <c r="Q2967" s="5" t="n"/>
      <c r="R2967" s="4" t="n"/>
      <c r="S2967" s="4" t="n"/>
      <c r="T2967" s="5" t="n"/>
      <c r="U2967" s="8">
        <f>IF(AND(V2967=1,D2967&lt;&gt;""),IF(D2967&gt;=corte,TODAY()-D2967,""),"")</f>
        <v/>
      </c>
      <c r="V2967" s="8">
        <f>IF(D2967="",0,IF(OR(AND(P2967&lt;&gt;"",S2967=""),AND(N(J2967)&gt;0,N(K2967)&lt;J2967),OR(M2967="PENDENTE",M2967="PARCIAL"),OR(N2967="PENDENTE",N2967="PARCIAL")),1,0))</f>
        <v/>
      </c>
      <c r="W2967" s="8">
        <f>IF(AND(V2967=1,D2967&lt;&gt;""),IF(D2967&gt;=corte,(B2967="CRÍTICO")*1E9+(100000-D2967)*10000+10000-ROW(),""),"")</f>
        <v/>
      </c>
      <c r="X2967" s="8">
        <f>IF(AND(V2967=1,D2967=pas_data,E2967=pas_turno),10000-ROW(),"")</f>
        <v/>
      </c>
    </row>
    <row r="2968">
      <c r="A2968" s="3">
        <f>IF(D2968="","","TT-"&amp;TEXT(ROW()-1,"00000"))</f>
        <v/>
      </c>
      <c r="B2968" s="3">
        <f>IF(D2968="","",IF(V2968=0,"CONCLUÍDO",IF(D2968&lt;corte,"HISTÓRICO",IF(OR(AND(ISNUMBER(R2968),R2968&lt;TODAY()),AND(OR(N2968="PENDENTE",N2968="PARCIAL"),D2968&lt;TODAY()-1)),"CRÍTICO",IF(OR(AND(P2968&lt;&gt;"",S2968=""),AND(N2968="REALIZADO",M2968="PENDENTE"),AND(ISNUMBER(R2968),R2968=TODAY())),"ATENÇÃO",IF(N(K2968)=0,"PENDENTE","EM ANDAMENTO"))))))</f>
        <v/>
      </c>
      <c r="C2968" s="3">
        <f>IF(D2968="","",IF(V2968=0,"🟢 OK",IF(D2968&lt;corte,"⚪ HISTÓRICO (sem baixa)",IF(AND(ISNUMBER(R2968),R2968&lt;TODAY()),"🔴 PRAZO VENCIDO",IF(AND(OR(N2968="PENDENTE",N2968="PARCIAL"),D2968&lt;TODAY()-1),"🔴 EMBARQUE ATRASADO",IF(AND(N2968="REALIZADO",M2968="PENDENTE"),"🟡 EMBARCADO SEM FATURAR",IF(AND(P2968&lt;&gt;"",S2968="",OR(Q2968="",R2968="")),"🟡 PENDÊNCIA SEM RESPONSÁVEL/PRAZO",IF(AND(ISNUMBER(R2968),R2968=TODAY()),"🟡 VENCE HOJE",IF(AND(P2968&lt;&gt;"",S2968=""),"🟡 PENDÊNCIA ABERTA",IF(AND(N(J2968)&gt;0,N(K2968)&lt;J2968),"🟡 FALTA EXECUTAR",IF(OR(M2968="PENDENTE",M2968="PARCIAL"),"🟡 FATURAMENTO PENDENTE","🟡 EMBARQUE PENDENTE")))))))))))</f>
        <v/>
      </c>
      <c r="D2968" s="4" t="n"/>
      <c r="E2968" s="5" t="n"/>
      <c r="F2968" s="5" t="n"/>
      <c r="G2968" s="5" t="n"/>
      <c r="H2968" s="5" t="n"/>
      <c r="I2968" s="5" t="n"/>
      <c r="J2968" s="6" t="n"/>
      <c r="K2968" s="6" t="n"/>
      <c r="L2968" s="7">
        <f>IF(OR(D2968="",N(J2968)=0),"",MIN(1,N(K2968)/J2968))</f>
        <v/>
      </c>
      <c r="M2968" s="5" t="n"/>
      <c r="N2968" s="5" t="n"/>
      <c r="O2968" s="5" t="n"/>
      <c r="P2968" s="5" t="n"/>
      <c r="Q2968" s="5" t="n"/>
      <c r="R2968" s="4" t="n"/>
      <c r="S2968" s="4" t="n"/>
      <c r="T2968" s="5" t="n"/>
      <c r="U2968" s="8">
        <f>IF(AND(V2968=1,D2968&lt;&gt;""),IF(D2968&gt;=corte,TODAY()-D2968,""),"")</f>
        <v/>
      </c>
      <c r="V2968" s="8">
        <f>IF(D2968="",0,IF(OR(AND(P2968&lt;&gt;"",S2968=""),AND(N(J2968)&gt;0,N(K2968)&lt;J2968),OR(M2968="PENDENTE",M2968="PARCIAL"),OR(N2968="PENDENTE",N2968="PARCIAL")),1,0))</f>
        <v/>
      </c>
      <c r="W2968" s="8">
        <f>IF(AND(V2968=1,D2968&lt;&gt;""),IF(D2968&gt;=corte,(B2968="CRÍTICO")*1E9+(100000-D2968)*10000+10000-ROW(),""),"")</f>
        <v/>
      </c>
      <c r="X2968" s="8">
        <f>IF(AND(V2968=1,D2968=pas_data,E2968=pas_turno),10000-ROW(),"")</f>
        <v/>
      </c>
    </row>
    <row r="2969">
      <c r="A2969" s="3">
        <f>IF(D2969="","","TT-"&amp;TEXT(ROW()-1,"00000"))</f>
        <v/>
      </c>
      <c r="B2969" s="3">
        <f>IF(D2969="","",IF(V2969=0,"CONCLUÍDO",IF(D2969&lt;corte,"HISTÓRICO",IF(OR(AND(ISNUMBER(R2969),R2969&lt;TODAY()),AND(OR(N2969="PENDENTE",N2969="PARCIAL"),D2969&lt;TODAY()-1)),"CRÍTICO",IF(OR(AND(P2969&lt;&gt;"",S2969=""),AND(N2969="REALIZADO",M2969="PENDENTE"),AND(ISNUMBER(R2969),R2969=TODAY())),"ATENÇÃO",IF(N(K2969)=0,"PENDENTE","EM ANDAMENTO"))))))</f>
        <v/>
      </c>
      <c r="C2969" s="3">
        <f>IF(D2969="","",IF(V2969=0,"🟢 OK",IF(D2969&lt;corte,"⚪ HISTÓRICO (sem baixa)",IF(AND(ISNUMBER(R2969),R2969&lt;TODAY()),"🔴 PRAZO VENCIDO",IF(AND(OR(N2969="PENDENTE",N2969="PARCIAL"),D2969&lt;TODAY()-1),"🔴 EMBARQUE ATRASADO",IF(AND(N2969="REALIZADO",M2969="PENDENTE"),"🟡 EMBARCADO SEM FATURAR",IF(AND(P2969&lt;&gt;"",S2969="",OR(Q2969="",R2969="")),"🟡 PENDÊNCIA SEM RESPONSÁVEL/PRAZO",IF(AND(ISNUMBER(R2969),R2969=TODAY()),"🟡 VENCE HOJE",IF(AND(P2969&lt;&gt;"",S2969=""),"🟡 PENDÊNCIA ABERTA",IF(AND(N(J2969)&gt;0,N(K2969)&lt;J2969),"🟡 FALTA EXECUTAR",IF(OR(M2969="PENDENTE",M2969="PARCIAL"),"🟡 FATURAMENTO PENDENTE","🟡 EMBARQUE PENDENTE")))))))))))</f>
        <v/>
      </c>
      <c r="D2969" s="4" t="n"/>
      <c r="E2969" s="5" t="n"/>
      <c r="F2969" s="5" t="n"/>
      <c r="G2969" s="5" t="n"/>
      <c r="H2969" s="5" t="n"/>
      <c r="I2969" s="5" t="n"/>
      <c r="J2969" s="6" t="n"/>
      <c r="K2969" s="6" t="n"/>
      <c r="L2969" s="7">
        <f>IF(OR(D2969="",N(J2969)=0),"",MIN(1,N(K2969)/J2969))</f>
        <v/>
      </c>
      <c r="M2969" s="5" t="n"/>
      <c r="N2969" s="5" t="n"/>
      <c r="O2969" s="5" t="n"/>
      <c r="P2969" s="5" t="n"/>
      <c r="Q2969" s="5" t="n"/>
      <c r="R2969" s="4" t="n"/>
      <c r="S2969" s="4" t="n"/>
      <c r="T2969" s="5" t="n"/>
      <c r="U2969" s="8">
        <f>IF(AND(V2969=1,D2969&lt;&gt;""),IF(D2969&gt;=corte,TODAY()-D2969,""),"")</f>
        <v/>
      </c>
      <c r="V2969" s="8">
        <f>IF(D2969="",0,IF(OR(AND(P2969&lt;&gt;"",S2969=""),AND(N(J2969)&gt;0,N(K2969)&lt;J2969),OR(M2969="PENDENTE",M2969="PARCIAL"),OR(N2969="PENDENTE",N2969="PARCIAL")),1,0))</f>
        <v/>
      </c>
      <c r="W2969" s="8">
        <f>IF(AND(V2969=1,D2969&lt;&gt;""),IF(D2969&gt;=corte,(B2969="CRÍTICO")*1E9+(100000-D2969)*10000+10000-ROW(),""),"")</f>
        <v/>
      </c>
      <c r="X2969" s="8">
        <f>IF(AND(V2969=1,D2969=pas_data,E2969=pas_turno),10000-ROW(),"")</f>
        <v/>
      </c>
    </row>
    <row r="2970">
      <c r="A2970" s="3">
        <f>IF(D2970="","","TT-"&amp;TEXT(ROW()-1,"00000"))</f>
        <v/>
      </c>
      <c r="B2970" s="3">
        <f>IF(D2970="","",IF(V2970=0,"CONCLUÍDO",IF(D2970&lt;corte,"HISTÓRICO",IF(OR(AND(ISNUMBER(R2970),R2970&lt;TODAY()),AND(OR(N2970="PENDENTE",N2970="PARCIAL"),D2970&lt;TODAY()-1)),"CRÍTICO",IF(OR(AND(P2970&lt;&gt;"",S2970=""),AND(N2970="REALIZADO",M2970="PENDENTE"),AND(ISNUMBER(R2970),R2970=TODAY())),"ATENÇÃO",IF(N(K2970)=0,"PENDENTE","EM ANDAMENTO"))))))</f>
        <v/>
      </c>
      <c r="C2970" s="3">
        <f>IF(D2970="","",IF(V2970=0,"🟢 OK",IF(D2970&lt;corte,"⚪ HISTÓRICO (sem baixa)",IF(AND(ISNUMBER(R2970),R2970&lt;TODAY()),"🔴 PRAZO VENCIDO",IF(AND(OR(N2970="PENDENTE",N2970="PARCIAL"),D2970&lt;TODAY()-1),"🔴 EMBARQUE ATRASADO",IF(AND(N2970="REALIZADO",M2970="PENDENTE"),"🟡 EMBARCADO SEM FATURAR",IF(AND(P2970&lt;&gt;"",S2970="",OR(Q2970="",R2970="")),"🟡 PENDÊNCIA SEM RESPONSÁVEL/PRAZO",IF(AND(ISNUMBER(R2970),R2970=TODAY()),"🟡 VENCE HOJE",IF(AND(P2970&lt;&gt;"",S2970=""),"🟡 PENDÊNCIA ABERTA",IF(AND(N(J2970)&gt;0,N(K2970)&lt;J2970),"🟡 FALTA EXECUTAR",IF(OR(M2970="PENDENTE",M2970="PARCIAL"),"🟡 FATURAMENTO PENDENTE","🟡 EMBARQUE PENDENTE")))))))))))</f>
        <v/>
      </c>
      <c r="D2970" s="4" t="n"/>
      <c r="E2970" s="5" t="n"/>
      <c r="F2970" s="5" t="n"/>
      <c r="G2970" s="5" t="n"/>
      <c r="H2970" s="5" t="n"/>
      <c r="I2970" s="5" t="n"/>
      <c r="J2970" s="6" t="n"/>
      <c r="K2970" s="6" t="n"/>
      <c r="L2970" s="7">
        <f>IF(OR(D2970="",N(J2970)=0),"",MIN(1,N(K2970)/J2970))</f>
        <v/>
      </c>
      <c r="M2970" s="5" t="n"/>
      <c r="N2970" s="5" t="n"/>
      <c r="O2970" s="5" t="n"/>
      <c r="P2970" s="5" t="n"/>
      <c r="Q2970" s="5" t="n"/>
      <c r="R2970" s="4" t="n"/>
      <c r="S2970" s="4" t="n"/>
      <c r="T2970" s="5" t="n"/>
      <c r="U2970" s="8">
        <f>IF(AND(V2970=1,D2970&lt;&gt;""),IF(D2970&gt;=corte,TODAY()-D2970,""),"")</f>
        <v/>
      </c>
      <c r="V2970" s="8">
        <f>IF(D2970="",0,IF(OR(AND(P2970&lt;&gt;"",S2970=""),AND(N(J2970)&gt;0,N(K2970)&lt;J2970),OR(M2970="PENDENTE",M2970="PARCIAL"),OR(N2970="PENDENTE",N2970="PARCIAL")),1,0))</f>
        <v/>
      </c>
      <c r="W2970" s="8">
        <f>IF(AND(V2970=1,D2970&lt;&gt;""),IF(D2970&gt;=corte,(B2970="CRÍTICO")*1E9+(100000-D2970)*10000+10000-ROW(),""),"")</f>
        <v/>
      </c>
      <c r="X2970" s="8">
        <f>IF(AND(V2970=1,D2970=pas_data,E2970=pas_turno),10000-ROW(),"")</f>
        <v/>
      </c>
    </row>
    <row r="2971">
      <c r="A2971" s="3">
        <f>IF(D2971="","","TT-"&amp;TEXT(ROW()-1,"00000"))</f>
        <v/>
      </c>
      <c r="B2971" s="3">
        <f>IF(D2971="","",IF(V2971=0,"CONCLUÍDO",IF(D2971&lt;corte,"HISTÓRICO",IF(OR(AND(ISNUMBER(R2971),R2971&lt;TODAY()),AND(OR(N2971="PENDENTE",N2971="PARCIAL"),D2971&lt;TODAY()-1)),"CRÍTICO",IF(OR(AND(P2971&lt;&gt;"",S2971=""),AND(N2971="REALIZADO",M2971="PENDENTE"),AND(ISNUMBER(R2971),R2971=TODAY())),"ATENÇÃO",IF(N(K2971)=0,"PENDENTE","EM ANDAMENTO"))))))</f>
        <v/>
      </c>
      <c r="C2971" s="3">
        <f>IF(D2971="","",IF(V2971=0,"🟢 OK",IF(D2971&lt;corte,"⚪ HISTÓRICO (sem baixa)",IF(AND(ISNUMBER(R2971),R2971&lt;TODAY()),"🔴 PRAZO VENCIDO",IF(AND(OR(N2971="PENDENTE",N2971="PARCIAL"),D2971&lt;TODAY()-1),"🔴 EMBARQUE ATRASADO",IF(AND(N2971="REALIZADO",M2971="PENDENTE"),"🟡 EMBARCADO SEM FATURAR",IF(AND(P2971&lt;&gt;"",S2971="",OR(Q2971="",R2971="")),"🟡 PENDÊNCIA SEM RESPONSÁVEL/PRAZO",IF(AND(ISNUMBER(R2971),R2971=TODAY()),"🟡 VENCE HOJE",IF(AND(P2971&lt;&gt;"",S2971=""),"🟡 PENDÊNCIA ABERTA",IF(AND(N(J2971)&gt;0,N(K2971)&lt;J2971),"🟡 FALTA EXECUTAR",IF(OR(M2971="PENDENTE",M2971="PARCIAL"),"🟡 FATURAMENTO PENDENTE","🟡 EMBARQUE PENDENTE")))))))))))</f>
        <v/>
      </c>
      <c r="D2971" s="4" t="n"/>
      <c r="E2971" s="5" t="n"/>
      <c r="F2971" s="5" t="n"/>
      <c r="G2971" s="5" t="n"/>
      <c r="H2971" s="5" t="n"/>
      <c r="I2971" s="5" t="n"/>
      <c r="J2971" s="6" t="n"/>
      <c r="K2971" s="6" t="n"/>
      <c r="L2971" s="7">
        <f>IF(OR(D2971="",N(J2971)=0),"",MIN(1,N(K2971)/J2971))</f>
        <v/>
      </c>
      <c r="M2971" s="5" t="n"/>
      <c r="N2971" s="5" t="n"/>
      <c r="O2971" s="5" t="n"/>
      <c r="P2971" s="5" t="n"/>
      <c r="Q2971" s="5" t="n"/>
      <c r="R2971" s="4" t="n"/>
      <c r="S2971" s="4" t="n"/>
      <c r="T2971" s="5" t="n"/>
      <c r="U2971" s="8">
        <f>IF(AND(V2971=1,D2971&lt;&gt;""),IF(D2971&gt;=corte,TODAY()-D2971,""),"")</f>
        <v/>
      </c>
      <c r="V2971" s="8">
        <f>IF(D2971="",0,IF(OR(AND(P2971&lt;&gt;"",S2971=""),AND(N(J2971)&gt;0,N(K2971)&lt;J2971),OR(M2971="PENDENTE",M2971="PARCIAL"),OR(N2971="PENDENTE",N2971="PARCIAL")),1,0))</f>
        <v/>
      </c>
      <c r="W2971" s="8">
        <f>IF(AND(V2971=1,D2971&lt;&gt;""),IF(D2971&gt;=corte,(B2971="CRÍTICO")*1E9+(100000-D2971)*10000+10000-ROW(),""),"")</f>
        <v/>
      </c>
      <c r="X2971" s="8">
        <f>IF(AND(V2971=1,D2971=pas_data,E2971=pas_turno),10000-ROW(),"")</f>
        <v/>
      </c>
    </row>
    <row r="2972">
      <c r="A2972" s="3">
        <f>IF(D2972="","","TT-"&amp;TEXT(ROW()-1,"00000"))</f>
        <v/>
      </c>
      <c r="B2972" s="3">
        <f>IF(D2972="","",IF(V2972=0,"CONCLUÍDO",IF(D2972&lt;corte,"HISTÓRICO",IF(OR(AND(ISNUMBER(R2972),R2972&lt;TODAY()),AND(OR(N2972="PENDENTE",N2972="PARCIAL"),D2972&lt;TODAY()-1)),"CRÍTICO",IF(OR(AND(P2972&lt;&gt;"",S2972=""),AND(N2972="REALIZADO",M2972="PENDENTE"),AND(ISNUMBER(R2972),R2972=TODAY())),"ATENÇÃO",IF(N(K2972)=0,"PENDENTE","EM ANDAMENTO"))))))</f>
        <v/>
      </c>
      <c r="C2972" s="3">
        <f>IF(D2972="","",IF(V2972=0,"🟢 OK",IF(D2972&lt;corte,"⚪ HISTÓRICO (sem baixa)",IF(AND(ISNUMBER(R2972),R2972&lt;TODAY()),"🔴 PRAZO VENCIDO",IF(AND(OR(N2972="PENDENTE",N2972="PARCIAL"),D2972&lt;TODAY()-1),"🔴 EMBARQUE ATRASADO",IF(AND(N2972="REALIZADO",M2972="PENDENTE"),"🟡 EMBARCADO SEM FATURAR",IF(AND(P2972&lt;&gt;"",S2972="",OR(Q2972="",R2972="")),"🟡 PENDÊNCIA SEM RESPONSÁVEL/PRAZO",IF(AND(ISNUMBER(R2972),R2972=TODAY()),"🟡 VENCE HOJE",IF(AND(P2972&lt;&gt;"",S2972=""),"🟡 PENDÊNCIA ABERTA",IF(AND(N(J2972)&gt;0,N(K2972)&lt;J2972),"🟡 FALTA EXECUTAR",IF(OR(M2972="PENDENTE",M2972="PARCIAL"),"🟡 FATURAMENTO PENDENTE","🟡 EMBARQUE PENDENTE")))))))))))</f>
        <v/>
      </c>
      <c r="D2972" s="4" t="n"/>
      <c r="E2972" s="5" t="n"/>
      <c r="F2972" s="5" t="n"/>
      <c r="G2972" s="5" t="n"/>
      <c r="H2972" s="5" t="n"/>
      <c r="I2972" s="5" t="n"/>
      <c r="J2972" s="6" t="n"/>
      <c r="K2972" s="6" t="n"/>
      <c r="L2972" s="7">
        <f>IF(OR(D2972="",N(J2972)=0),"",MIN(1,N(K2972)/J2972))</f>
        <v/>
      </c>
      <c r="M2972" s="5" t="n"/>
      <c r="N2972" s="5" t="n"/>
      <c r="O2972" s="5" t="n"/>
      <c r="P2972" s="5" t="n"/>
      <c r="Q2972" s="5" t="n"/>
      <c r="R2972" s="4" t="n"/>
      <c r="S2972" s="4" t="n"/>
      <c r="T2972" s="5" t="n"/>
      <c r="U2972" s="8">
        <f>IF(AND(V2972=1,D2972&lt;&gt;""),IF(D2972&gt;=corte,TODAY()-D2972,""),"")</f>
        <v/>
      </c>
      <c r="V2972" s="8">
        <f>IF(D2972="",0,IF(OR(AND(P2972&lt;&gt;"",S2972=""),AND(N(J2972)&gt;0,N(K2972)&lt;J2972),OR(M2972="PENDENTE",M2972="PARCIAL"),OR(N2972="PENDENTE",N2972="PARCIAL")),1,0))</f>
        <v/>
      </c>
      <c r="W2972" s="8">
        <f>IF(AND(V2972=1,D2972&lt;&gt;""),IF(D2972&gt;=corte,(B2972="CRÍTICO")*1E9+(100000-D2972)*10000+10000-ROW(),""),"")</f>
        <v/>
      </c>
      <c r="X2972" s="8">
        <f>IF(AND(V2972=1,D2972=pas_data,E2972=pas_turno),10000-ROW(),"")</f>
        <v/>
      </c>
    </row>
    <row r="2973">
      <c r="A2973" s="3">
        <f>IF(D2973="","","TT-"&amp;TEXT(ROW()-1,"00000"))</f>
        <v/>
      </c>
      <c r="B2973" s="3">
        <f>IF(D2973="","",IF(V2973=0,"CONCLUÍDO",IF(D2973&lt;corte,"HISTÓRICO",IF(OR(AND(ISNUMBER(R2973),R2973&lt;TODAY()),AND(OR(N2973="PENDENTE",N2973="PARCIAL"),D2973&lt;TODAY()-1)),"CRÍTICO",IF(OR(AND(P2973&lt;&gt;"",S2973=""),AND(N2973="REALIZADO",M2973="PENDENTE"),AND(ISNUMBER(R2973),R2973=TODAY())),"ATENÇÃO",IF(N(K2973)=0,"PENDENTE","EM ANDAMENTO"))))))</f>
        <v/>
      </c>
      <c r="C2973" s="3">
        <f>IF(D2973="","",IF(V2973=0,"🟢 OK",IF(D2973&lt;corte,"⚪ HISTÓRICO (sem baixa)",IF(AND(ISNUMBER(R2973),R2973&lt;TODAY()),"🔴 PRAZO VENCIDO",IF(AND(OR(N2973="PENDENTE",N2973="PARCIAL"),D2973&lt;TODAY()-1),"🔴 EMBARQUE ATRASADO",IF(AND(N2973="REALIZADO",M2973="PENDENTE"),"🟡 EMBARCADO SEM FATURAR",IF(AND(P2973&lt;&gt;"",S2973="",OR(Q2973="",R2973="")),"🟡 PENDÊNCIA SEM RESPONSÁVEL/PRAZO",IF(AND(ISNUMBER(R2973),R2973=TODAY()),"🟡 VENCE HOJE",IF(AND(P2973&lt;&gt;"",S2973=""),"🟡 PENDÊNCIA ABERTA",IF(AND(N(J2973)&gt;0,N(K2973)&lt;J2973),"🟡 FALTA EXECUTAR",IF(OR(M2973="PENDENTE",M2973="PARCIAL"),"🟡 FATURAMENTO PENDENTE","🟡 EMBARQUE PENDENTE")))))))))))</f>
        <v/>
      </c>
      <c r="D2973" s="4" t="n"/>
      <c r="E2973" s="5" t="n"/>
      <c r="F2973" s="5" t="n"/>
      <c r="G2973" s="5" t="n"/>
      <c r="H2973" s="5" t="n"/>
      <c r="I2973" s="5" t="n"/>
      <c r="J2973" s="6" t="n"/>
      <c r="K2973" s="6" t="n"/>
      <c r="L2973" s="7">
        <f>IF(OR(D2973="",N(J2973)=0),"",MIN(1,N(K2973)/J2973))</f>
        <v/>
      </c>
      <c r="M2973" s="5" t="n"/>
      <c r="N2973" s="5" t="n"/>
      <c r="O2973" s="5" t="n"/>
      <c r="P2973" s="5" t="n"/>
      <c r="Q2973" s="5" t="n"/>
      <c r="R2973" s="4" t="n"/>
      <c r="S2973" s="4" t="n"/>
      <c r="T2973" s="5" t="n"/>
      <c r="U2973" s="8">
        <f>IF(AND(V2973=1,D2973&lt;&gt;""),IF(D2973&gt;=corte,TODAY()-D2973,""),"")</f>
        <v/>
      </c>
      <c r="V2973" s="8">
        <f>IF(D2973="",0,IF(OR(AND(P2973&lt;&gt;"",S2973=""),AND(N(J2973)&gt;0,N(K2973)&lt;J2973),OR(M2973="PENDENTE",M2973="PARCIAL"),OR(N2973="PENDENTE",N2973="PARCIAL")),1,0))</f>
        <v/>
      </c>
      <c r="W2973" s="8">
        <f>IF(AND(V2973=1,D2973&lt;&gt;""),IF(D2973&gt;=corte,(B2973="CRÍTICO")*1E9+(100000-D2973)*10000+10000-ROW(),""),"")</f>
        <v/>
      </c>
      <c r="X2973" s="8">
        <f>IF(AND(V2973=1,D2973=pas_data,E2973=pas_turno),10000-ROW(),"")</f>
        <v/>
      </c>
    </row>
    <row r="2974">
      <c r="A2974" s="3">
        <f>IF(D2974="","","TT-"&amp;TEXT(ROW()-1,"00000"))</f>
        <v/>
      </c>
      <c r="B2974" s="3">
        <f>IF(D2974="","",IF(V2974=0,"CONCLUÍDO",IF(D2974&lt;corte,"HISTÓRICO",IF(OR(AND(ISNUMBER(R2974),R2974&lt;TODAY()),AND(OR(N2974="PENDENTE",N2974="PARCIAL"),D2974&lt;TODAY()-1)),"CRÍTICO",IF(OR(AND(P2974&lt;&gt;"",S2974=""),AND(N2974="REALIZADO",M2974="PENDENTE"),AND(ISNUMBER(R2974),R2974=TODAY())),"ATENÇÃO",IF(N(K2974)=0,"PENDENTE","EM ANDAMENTO"))))))</f>
        <v/>
      </c>
      <c r="C2974" s="3">
        <f>IF(D2974="","",IF(V2974=0,"🟢 OK",IF(D2974&lt;corte,"⚪ HISTÓRICO (sem baixa)",IF(AND(ISNUMBER(R2974),R2974&lt;TODAY()),"🔴 PRAZO VENCIDO",IF(AND(OR(N2974="PENDENTE",N2974="PARCIAL"),D2974&lt;TODAY()-1),"🔴 EMBARQUE ATRASADO",IF(AND(N2974="REALIZADO",M2974="PENDENTE"),"🟡 EMBARCADO SEM FATURAR",IF(AND(P2974&lt;&gt;"",S2974="",OR(Q2974="",R2974="")),"🟡 PENDÊNCIA SEM RESPONSÁVEL/PRAZO",IF(AND(ISNUMBER(R2974),R2974=TODAY()),"🟡 VENCE HOJE",IF(AND(P2974&lt;&gt;"",S2974=""),"🟡 PENDÊNCIA ABERTA",IF(AND(N(J2974)&gt;0,N(K2974)&lt;J2974),"🟡 FALTA EXECUTAR",IF(OR(M2974="PENDENTE",M2974="PARCIAL"),"🟡 FATURAMENTO PENDENTE","🟡 EMBARQUE PENDENTE")))))))))))</f>
        <v/>
      </c>
      <c r="D2974" s="4" t="n"/>
      <c r="E2974" s="5" t="n"/>
      <c r="F2974" s="5" t="n"/>
      <c r="G2974" s="5" t="n"/>
      <c r="H2974" s="5" t="n"/>
      <c r="I2974" s="5" t="n"/>
      <c r="J2974" s="6" t="n"/>
      <c r="K2974" s="6" t="n"/>
      <c r="L2974" s="7">
        <f>IF(OR(D2974="",N(J2974)=0),"",MIN(1,N(K2974)/J2974))</f>
        <v/>
      </c>
      <c r="M2974" s="5" t="n"/>
      <c r="N2974" s="5" t="n"/>
      <c r="O2974" s="5" t="n"/>
      <c r="P2974" s="5" t="n"/>
      <c r="Q2974" s="5" t="n"/>
      <c r="R2974" s="4" t="n"/>
      <c r="S2974" s="4" t="n"/>
      <c r="T2974" s="5" t="n"/>
      <c r="U2974" s="8">
        <f>IF(AND(V2974=1,D2974&lt;&gt;""),IF(D2974&gt;=corte,TODAY()-D2974,""),"")</f>
        <v/>
      </c>
      <c r="V2974" s="8">
        <f>IF(D2974="",0,IF(OR(AND(P2974&lt;&gt;"",S2974=""),AND(N(J2974)&gt;0,N(K2974)&lt;J2974),OR(M2974="PENDENTE",M2974="PARCIAL"),OR(N2974="PENDENTE",N2974="PARCIAL")),1,0))</f>
        <v/>
      </c>
      <c r="W2974" s="8">
        <f>IF(AND(V2974=1,D2974&lt;&gt;""),IF(D2974&gt;=corte,(B2974="CRÍTICO")*1E9+(100000-D2974)*10000+10000-ROW(),""),"")</f>
        <v/>
      </c>
      <c r="X2974" s="8">
        <f>IF(AND(V2974=1,D2974=pas_data,E2974=pas_turno),10000-ROW(),"")</f>
        <v/>
      </c>
    </row>
    <row r="2975">
      <c r="A2975" s="3">
        <f>IF(D2975="","","TT-"&amp;TEXT(ROW()-1,"00000"))</f>
        <v/>
      </c>
      <c r="B2975" s="3">
        <f>IF(D2975="","",IF(V2975=0,"CONCLUÍDO",IF(D2975&lt;corte,"HISTÓRICO",IF(OR(AND(ISNUMBER(R2975),R2975&lt;TODAY()),AND(OR(N2975="PENDENTE",N2975="PARCIAL"),D2975&lt;TODAY()-1)),"CRÍTICO",IF(OR(AND(P2975&lt;&gt;"",S2975=""),AND(N2975="REALIZADO",M2975="PENDENTE"),AND(ISNUMBER(R2975),R2975=TODAY())),"ATENÇÃO",IF(N(K2975)=0,"PENDENTE","EM ANDAMENTO"))))))</f>
        <v/>
      </c>
      <c r="C2975" s="3">
        <f>IF(D2975="","",IF(V2975=0,"🟢 OK",IF(D2975&lt;corte,"⚪ HISTÓRICO (sem baixa)",IF(AND(ISNUMBER(R2975),R2975&lt;TODAY()),"🔴 PRAZO VENCIDO",IF(AND(OR(N2975="PENDENTE",N2975="PARCIAL"),D2975&lt;TODAY()-1),"🔴 EMBARQUE ATRASADO",IF(AND(N2975="REALIZADO",M2975="PENDENTE"),"🟡 EMBARCADO SEM FATURAR",IF(AND(P2975&lt;&gt;"",S2975="",OR(Q2975="",R2975="")),"🟡 PENDÊNCIA SEM RESPONSÁVEL/PRAZO",IF(AND(ISNUMBER(R2975),R2975=TODAY()),"🟡 VENCE HOJE",IF(AND(P2975&lt;&gt;"",S2975=""),"🟡 PENDÊNCIA ABERTA",IF(AND(N(J2975)&gt;0,N(K2975)&lt;J2975),"🟡 FALTA EXECUTAR",IF(OR(M2975="PENDENTE",M2975="PARCIAL"),"🟡 FATURAMENTO PENDENTE","🟡 EMBARQUE PENDENTE")))))))))))</f>
        <v/>
      </c>
      <c r="D2975" s="4" t="n"/>
      <c r="E2975" s="5" t="n"/>
      <c r="F2975" s="5" t="n"/>
      <c r="G2975" s="5" t="n"/>
      <c r="H2975" s="5" t="n"/>
      <c r="I2975" s="5" t="n"/>
      <c r="J2975" s="6" t="n"/>
      <c r="K2975" s="6" t="n"/>
      <c r="L2975" s="7">
        <f>IF(OR(D2975="",N(J2975)=0),"",MIN(1,N(K2975)/J2975))</f>
        <v/>
      </c>
      <c r="M2975" s="5" t="n"/>
      <c r="N2975" s="5" t="n"/>
      <c r="O2975" s="5" t="n"/>
      <c r="P2975" s="5" t="n"/>
      <c r="Q2975" s="5" t="n"/>
      <c r="R2975" s="4" t="n"/>
      <c r="S2975" s="4" t="n"/>
      <c r="T2975" s="5" t="n"/>
      <c r="U2975" s="8">
        <f>IF(AND(V2975=1,D2975&lt;&gt;""),IF(D2975&gt;=corte,TODAY()-D2975,""),"")</f>
        <v/>
      </c>
      <c r="V2975" s="8">
        <f>IF(D2975="",0,IF(OR(AND(P2975&lt;&gt;"",S2975=""),AND(N(J2975)&gt;0,N(K2975)&lt;J2975),OR(M2975="PENDENTE",M2975="PARCIAL"),OR(N2975="PENDENTE",N2975="PARCIAL")),1,0))</f>
        <v/>
      </c>
      <c r="W2975" s="8">
        <f>IF(AND(V2975=1,D2975&lt;&gt;""),IF(D2975&gt;=corte,(B2975="CRÍTICO")*1E9+(100000-D2975)*10000+10000-ROW(),""),"")</f>
        <v/>
      </c>
      <c r="X2975" s="8">
        <f>IF(AND(V2975=1,D2975=pas_data,E2975=pas_turno),10000-ROW(),"")</f>
        <v/>
      </c>
    </row>
    <row r="2976">
      <c r="A2976" s="3">
        <f>IF(D2976="","","TT-"&amp;TEXT(ROW()-1,"00000"))</f>
        <v/>
      </c>
      <c r="B2976" s="3">
        <f>IF(D2976="","",IF(V2976=0,"CONCLUÍDO",IF(D2976&lt;corte,"HISTÓRICO",IF(OR(AND(ISNUMBER(R2976),R2976&lt;TODAY()),AND(OR(N2976="PENDENTE",N2976="PARCIAL"),D2976&lt;TODAY()-1)),"CRÍTICO",IF(OR(AND(P2976&lt;&gt;"",S2976=""),AND(N2976="REALIZADO",M2976="PENDENTE"),AND(ISNUMBER(R2976),R2976=TODAY())),"ATENÇÃO",IF(N(K2976)=0,"PENDENTE","EM ANDAMENTO"))))))</f>
        <v/>
      </c>
      <c r="C2976" s="3">
        <f>IF(D2976="","",IF(V2976=0,"🟢 OK",IF(D2976&lt;corte,"⚪ HISTÓRICO (sem baixa)",IF(AND(ISNUMBER(R2976),R2976&lt;TODAY()),"🔴 PRAZO VENCIDO",IF(AND(OR(N2976="PENDENTE",N2976="PARCIAL"),D2976&lt;TODAY()-1),"🔴 EMBARQUE ATRASADO",IF(AND(N2976="REALIZADO",M2976="PENDENTE"),"🟡 EMBARCADO SEM FATURAR",IF(AND(P2976&lt;&gt;"",S2976="",OR(Q2976="",R2976="")),"🟡 PENDÊNCIA SEM RESPONSÁVEL/PRAZO",IF(AND(ISNUMBER(R2976),R2976=TODAY()),"🟡 VENCE HOJE",IF(AND(P2976&lt;&gt;"",S2976=""),"🟡 PENDÊNCIA ABERTA",IF(AND(N(J2976)&gt;0,N(K2976)&lt;J2976),"🟡 FALTA EXECUTAR",IF(OR(M2976="PENDENTE",M2976="PARCIAL"),"🟡 FATURAMENTO PENDENTE","🟡 EMBARQUE PENDENTE")))))))))))</f>
        <v/>
      </c>
      <c r="D2976" s="4" t="n"/>
      <c r="E2976" s="5" t="n"/>
      <c r="F2976" s="5" t="n"/>
      <c r="G2976" s="5" t="n"/>
      <c r="H2976" s="5" t="n"/>
      <c r="I2976" s="5" t="n"/>
      <c r="J2976" s="6" t="n"/>
      <c r="K2976" s="6" t="n"/>
      <c r="L2976" s="7">
        <f>IF(OR(D2976="",N(J2976)=0),"",MIN(1,N(K2976)/J2976))</f>
        <v/>
      </c>
      <c r="M2976" s="5" t="n"/>
      <c r="N2976" s="5" t="n"/>
      <c r="O2976" s="5" t="n"/>
      <c r="P2976" s="5" t="n"/>
      <c r="Q2976" s="5" t="n"/>
      <c r="R2976" s="4" t="n"/>
      <c r="S2976" s="4" t="n"/>
      <c r="T2976" s="5" t="n"/>
      <c r="U2976" s="8">
        <f>IF(AND(V2976=1,D2976&lt;&gt;""),IF(D2976&gt;=corte,TODAY()-D2976,""),"")</f>
        <v/>
      </c>
      <c r="V2976" s="8">
        <f>IF(D2976="",0,IF(OR(AND(P2976&lt;&gt;"",S2976=""),AND(N(J2976)&gt;0,N(K2976)&lt;J2976),OR(M2976="PENDENTE",M2976="PARCIAL"),OR(N2976="PENDENTE",N2976="PARCIAL")),1,0))</f>
        <v/>
      </c>
      <c r="W2976" s="8">
        <f>IF(AND(V2976=1,D2976&lt;&gt;""),IF(D2976&gt;=corte,(B2976="CRÍTICO")*1E9+(100000-D2976)*10000+10000-ROW(),""),"")</f>
        <v/>
      </c>
      <c r="X2976" s="8">
        <f>IF(AND(V2976=1,D2976=pas_data,E2976=pas_turno),10000-ROW(),"")</f>
        <v/>
      </c>
    </row>
    <row r="2977">
      <c r="A2977" s="3">
        <f>IF(D2977="","","TT-"&amp;TEXT(ROW()-1,"00000"))</f>
        <v/>
      </c>
      <c r="B2977" s="3">
        <f>IF(D2977="","",IF(V2977=0,"CONCLUÍDO",IF(D2977&lt;corte,"HISTÓRICO",IF(OR(AND(ISNUMBER(R2977),R2977&lt;TODAY()),AND(OR(N2977="PENDENTE",N2977="PARCIAL"),D2977&lt;TODAY()-1)),"CRÍTICO",IF(OR(AND(P2977&lt;&gt;"",S2977=""),AND(N2977="REALIZADO",M2977="PENDENTE"),AND(ISNUMBER(R2977),R2977=TODAY())),"ATENÇÃO",IF(N(K2977)=0,"PENDENTE","EM ANDAMENTO"))))))</f>
        <v/>
      </c>
      <c r="C2977" s="3">
        <f>IF(D2977="","",IF(V2977=0,"🟢 OK",IF(D2977&lt;corte,"⚪ HISTÓRICO (sem baixa)",IF(AND(ISNUMBER(R2977),R2977&lt;TODAY()),"🔴 PRAZO VENCIDO",IF(AND(OR(N2977="PENDENTE",N2977="PARCIAL"),D2977&lt;TODAY()-1),"🔴 EMBARQUE ATRASADO",IF(AND(N2977="REALIZADO",M2977="PENDENTE"),"🟡 EMBARCADO SEM FATURAR",IF(AND(P2977&lt;&gt;"",S2977="",OR(Q2977="",R2977="")),"🟡 PENDÊNCIA SEM RESPONSÁVEL/PRAZO",IF(AND(ISNUMBER(R2977),R2977=TODAY()),"🟡 VENCE HOJE",IF(AND(P2977&lt;&gt;"",S2977=""),"🟡 PENDÊNCIA ABERTA",IF(AND(N(J2977)&gt;0,N(K2977)&lt;J2977),"🟡 FALTA EXECUTAR",IF(OR(M2977="PENDENTE",M2977="PARCIAL"),"🟡 FATURAMENTO PENDENTE","🟡 EMBARQUE PENDENTE")))))))))))</f>
        <v/>
      </c>
      <c r="D2977" s="4" t="n"/>
      <c r="E2977" s="5" t="n"/>
      <c r="F2977" s="5" t="n"/>
      <c r="G2977" s="5" t="n"/>
      <c r="H2977" s="5" t="n"/>
      <c r="I2977" s="5" t="n"/>
      <c r="J2977" s="6" t="n"/>
      <c r="K2977" s="6" t="n"/>
      <c r="L2977" s="7">
        <f>IF(OR(D2977="",N(J2977)=0),"",MIN(1,N(K2977)/J2977))</f>
        <v/>
      </c>
      <c r="M2977" s="5" t="n"/>
      <c r="N2977" s="5" t="n"/>
      <c r="O2977" s="5" t="n"/>
      <c r="P2977" s="5" t="n"/>
      <c r="Q2977" s="5" t="n"/>
      <c r="R2977" s="4" t="n"/>
      <c r="S2977" s="4" t="n"/>
      <c r="T2977" s="5" t="n"/>
      <c r="U2977" s="8">
        <f>IF(AND(V2977=1,D2977&lt;&gt;""),IF(D2977&gt;=corte,TODAY()-D2977,""),"")</f>
        <v/>
      </c>
      <c r="V2977" s="8">
        <f>IF(D2977="",0,IF(OR(AND(P2977&lt;&gt;"",S2977=""),AND(N(J2977)&gt;0,N(K2977)&lt;J2977),OR(M2977="PENDENTE",M2977="PARCIAL"),OR(N2977="PENDENTE",N2977="PARCIAL")),1,0))</f>
        <v/>
      </c>
      <c r="W2977" s="8">
        <f>IF(AND(V2977=1,D2977&lt;&gt;""),IF(D2977&gt;=corte,(B2977="CRÍTICO")*1E9+(100000-D2977)*10000+10000-ROW(),""),"")</f>
        <v/>
      </c>
      <c r="X2977" s="8">
        <f>IF(AND(V2977=1,D2977=pas_data,E2977=pas_turno),10000-ROW(),"")</f>
        <v/>
      </c>
    </row>
    <row r="2978">
      <c r="A2978" s="3">
        <f>IF(D2978="","","TT-"&amp;TEXT(ROW()-1,"00000"))</f>
        <v/>
      </c>
      <c r="B2978" s="3">
        <f>IF(D2978="","",IF(V2978=0,"CONCLUÍDO",IF(D2978&lt;corte,"HISTÓRICO",IF(OR(AND(ISNUMBER(R2978),R2978&lt;TODAY()),AND(OR(N2978="PENDENTE",N2978="PARCIAL"),D2978&lt;TODAY()-1)),"CRÍTICO",IF(OR(AND(P2978&lt;&gt;"",S2978=""),AND(N2978="REALIZADO",M2978="PENDENTE"),AND(ISNUMBER(R2978),R2978=TODAY())),"ATENÇÃO",IF(N(K2978)=0,"PENDENTE","EM ANDAMENTO"))))))</f>
        <v/>
      </c>
      <c r="C2978" s="3">
        <f>IF(D2978="","",IF(V2978=0,"🟢 OK",IF(D2978&lt;corte,"⚪ HISTÓRICO (sem baixa)",IF(AND(ISNUMBER(R2978),R2978&lt;TODAY()),"🔴 PRAZO VENCIDO",IF(AND(OR(N2978="PENDENTE",N2978="PARCIAL"),D2978&lt;TODAY()-1),"🔴 EMBARQUE ATRASADO",IF(AND(N2978="REALIZADO",M2978="PENDENTE"),"🟡 EMBARCADO SEM FATURAR",IF(AND(P2978&lt;&gt;"",S2978="",OR(Q2978="",R2978="")),"🟡 PENDÊNCIA SEM RESPONSÁVEL/PRAZO",IF(AND(ISNUMBER(R2978),R2978=TODAY()),"🟡 VENCE HOJE",IF(AND(P2978&lt;&gt;"",S2978=""),"🟡 PENDÊNCIA ABERTA",IF(AND(N(J2978)&gt;0,N(K2978)&lt;J2978),"🟡 FALTA EXECUTAR",IF(OR(M2978="PENDENTE",M2978="PARCIAL"),"🟡 FATURAMENTO PENDENTE","🟡 EMBARQUE PENDENTE")))))))))))</f>
        <v/>
      </c>
      <c r="D2978" s="4" t="n"/>
      <c r="E2978" s="5" t="n"/>
      <c r="F2978" s="5" t="n"/>
      <c r="G2978" s="5" t="n"/>
      <c r="H2978" s="5" t="n"/>
      <c r="I2978" s="5" t="n"/>
      <c r="J2978" s="6" t="n"/>
      <c r="K2978" s="6" t="n"/>
      <c r="L2978" s="7">
        <f>IF(OR(D2978="",N(J2978)=0),"",MIN(1,N(K2978)/J2978))</f>
        <v/>
      </c>
      <c r="M2978" s="5" t="n"/>
      <c r="N2978" s="5" t="n"/>
      <c r="O2978" s="5" t="n"/>
      <c r="P2978" s="5" t="n"/>
      <c r="Q2978" s="5" t="n"/>
      <c r="R2978" s="4" t="n"/>
      <c r="S2978" s="4" t="n"/>
      <c r="T2978" s="5" t="n"/>
      <c r="U2978" s="8">
        <f>IF(AND(V2978=1,D2978&lt;&gt;""),IF(D2978&gt;=corte,TODAY()-D2978,""),"")</f>
        <v/>
      </c>
      <c r="V2978" s="8">
        <f>IF(D2978="",0,IF(OR(AND(P2978&lt;&gt;"",S2978=""),AND(N(J2978)&gt;0,N(K2978)&lt;J2978),OR(M2978="PENDENTE",M2978="PARCIAL"),OR(N2978="PENDENTE",N2978="PARCIAL")),1,0))</f>
        <v/>
      </c>
      <c r="W2978" s="8">
        <f>IF(AND(V2978=1,D2978&lt;&gt;""),IF(D2978&gt;=corte,(B2978="CRÍTICO")*1E9+(100000-D2978)*10000+10000-ROW(),""),"")</f>
        <v/>
      </c>
      <c r="X2978" s="8">
        <f>IF(AND(V2978=1,D2978=pas_data,E2978=pas_turno),10000-ROW(),"")</f>
        <v/>
      </c>
    </row>
    <row r="2979">
      <c r="A2979" s="3">
        <f>IF(D2979="","","TT-"&amp;TEXT(ROW()-1,"00000"))</f>
        <v/>
      </c>
      <c r="B2979" s="3">
        <f>IF(D2979="","",IF(V2979=0,"CONCLUÍDO",IF(D2979&lt;corte,"HISTÓRICO",IF(OR(AND(ISNUMBER(R2979),R2979&lt;TODAY()),AND(OR(N2979="PENDENTE",N2979="PARCIAL"),D2979&lt;TODAY()-1)),"CRÍTICO",IF(OR(AND(P2979&lt;&gt;"",S2979=""),AND(N2979="REALIZADO",M2979="PENDENTE"),AND(ISNUMBER(R2979),R2979=TODAY())),"ATENÇÃO",IF(N(K2979)=0,"PENDENTE","EM ANDAMENTO"))))))</f>
        <v/>
      </c>
      <c r="C2979" s="3">
        <f>IF(D2979="","",IF(V2979=0,"🟢 OK",IF(D2979&lt;corte,"⚪ HISTÓRICO (sem baixa)",IF(AND(ISNUMBER(R2979),R2979&lt;TODAY()),"🔴 PRAZO VENCIDO",IF(AND(OR(N2979="PENDENTE",N2979="PARCIAL"),D2979&lt;TODAY()-1),"🔴 EMBARQUE ATRASADO",IF(AND(N2979="REALIZADO",M2979="PENDENTE"),"🟡 EMBARCADO SEM FATURAR",IF(AND(P2979&lt;&gt;"",S2979="",OR(Q2979="",R2979="")),"🟡 PENDÊNCIA SEM RESPONSÁVEL/PRAZO",IF(AND(ISNUMBER(R2979),R2979=TODAY()),"🟡 VENCE HOJE",IF(AND(P2979&lt;&gt;"",S2979=""),"🟡 PENDÊNCIA ABERTA",IF(AND(N(J2979)&gt;0,N(K2979)&lt;J2979),"🟡 FALTA EXECUTAR",IF(OR(M2979="PENDENTE",M2979="PARCIAL"),"🟡 FATURAMENTO PENDENTE","🟡 EMBARQUE PENDENTE")))))))))))</f>
        <v/>
      </c>
      <c r="D2979" s="4" t="n"/>
      <c r="E2979" s="5" t="n"/>
      <c r="F2979" s="5" t="n"/>
      <c r="G2979" s="5" t="n"/>
      <c r="H2979" s="5" t="n"/>
      <c r="I2979" s="5" t="n"/>
      <c r="J2979" s="6" t="n"/>
      <c r="K2979" s="6" t="n"/>
      <c r="L2979" s="7">
        <f>IF(OR(D2979="",N(J2979)=0),"",MIN(1,N(K2979)/J2979))</f>
        <v/>
      </c>
      <c r="M2979" s="5" t="n"/>
      <c r="N2979" s="5" t="n"/>
      <c r="O2979" s="5" t="n"/>
      <c r="P2979" s="5" t="n"/>
      <c r="Q2979" s="5" t="n"/>
      <c r="R2979" s="4" t="n"/>
      <c r="S2979" s="4" t="n"/>
      <c r="T2979" s="5" t="n"/>
      <c r="U2979" s="8">
        <f>IF(AND(V2979=1,D2979&lt;&gt;""),IF(D2979&gt;=corte,TODAY()-D2979,""),"")</f>
        <v/>
      </c>
      <c r="V2979" s="8">
        <f>IF(D2979="",0,IF(OR(AND(P2979&lt;&gt;"",S2979=""),AND(N(J2979)&gt;0,N(K2979)&lt;J2979),OR(M2979="PENDENTE",M2979="PARCIAL"),OR(N2979="PENDENTE",N2979="PARCIAL")),1,0))</f>
        <v/>
      </c>
      <c r="W2979" s="8">
        <f>IF(AND(V2979=1,D2979&lt;&gt;""),IF(D2979&gt;=corte,(B2979="CRÍTICO")*1E9+(100000-D2979)*10000+10000-ROW(),""),"")</f>
        <v/>
      </c>
      <c r="X2979" s="8">
        <f>IF(AND(V2979=1,D2979=pas_data,E2979=pas_turno),10000-ROW(),"")</f>
        <v/>
      </c>
    </row>
    <row r="2980">
      <c r="A2980" s="3">
        <f>IF(D2980="","","TT-"&amp;TEXT(ROW()-1,"00000"))</f>
        <v/>
      </c>
      <c r="B2980" s="3">
        <f>IF(D2980="","",IF(V2980=0,"CONCLUÍDO",IF(D2980&lt;corte,"HISTÓRICO",IF(OR(AND(ISNUMBER(R2980),R2980&lt;TODAY()),AND(OR(N2980="PENDENTE",N2980="PARCIAL"),D2980&lt;TODAY()-1)),"CRÍTICO",IF(OR(AND(P2980&lt;&gt;"",S2980=""),AND(N2980="REALIZADO",M2980="PENDENTE"),AND(ISNUMBER(R2980),R2980=TODAY())),"ATENÇÃO",IF(N(K2980)=0,"PENDENTE","EM ANDAMENTO"))))))</f>
        <v/>
      </c>
      <c r="C2980" s="3">
        <f>IF(D2980="","",IF(V2980=0,"🟢 OK",IF(D2980&lt;corte,"⚪ HISTÓRICO (sem baixa)",IF(AND(ISNUMBER(R2980),R2980&lt;TODAY()),"🔴 PRAZO VENCIDO",IF(AND(OR(N2980="PENDENTE",N2980="PARCIAL"),D2980&lt;TODAY()-1),"🔴 EMBARQUE ATRASADO",IF(AND(N2980="REALIZADO",M2980="PENDENTE"),"🟡 EMBARCADO SEM FATURAR",IF(AND(P2980&lt;&gt;"",S2980="",OR(Q2980="",R2980="")),"🟡 PENDÊNCIA SEM RESPONSÁVEL/PRAZO",IF(AND(ISNUMBER(R2980),R2980=TODAY()),"🟡 VENCE HOJE",IF(AND(P2980&lt;&gt;"",S2980=""),"🟡 PENDÊNCIA ABERTA",IF(AND(N(J2980)&gt;0,N(K2980)&lt;J2980),"🟡 FALTA EXECUTAR",IF(OR(M2980="PENDENTE",M2980="PARCIAL"),"🟡 FATURAMENTO PENDENTE","🟡 EMBARQUE PENDENTE")))))))))))</f>
        <v/>
      </c>
      <c r="D2980" s="4" t="n"/>
      <c r="E2980" s="5" t="n"/>
      <c r="F2980" s="5" t="n"/>
      <c r="G2980" s="5" t="n"/>
      <c r="H2980" s="5" t="n"/>
      <c r="I2980" s="5" t="n"/>
      <c r="J2980" s="6" t="n"/>
      <c r="K2980" s="6" t="n"/>
      <c r="L2980" s="7">
        <f>IF(OR(D2980="",N(J2980)=0),"",MIN(1,N(K2980)/J2980))</f>
        <v/>
      </c>
      <c r="M2980" s="5" t="n"/>
      <c r="N2980" s="5" t="n"/>
      <c r="O2980" s="5" t="n"/>
      <c r="P2980" s="5" t="n"/>
      <c r="Q2980" s="5" t="n"/>
      <c r="R2980" s="4" t="n"/>
      <c r="S2980" s="4" t="n"/>
      <c r="T2980" s="5" t="n"/>
      <c r="U2980" s="8">
        <f>IF(AND(V2980=1,D2980&lt;&gt;""),IF(D2980&gt;=corte,TODAY()-D2980,""),"")</f>
        <v/>
      </c>
      <c r="V2980" s="8">
        <f>IF(D2980="",0,IF(OR(AND(P2980&lt;&gt;"",S2980=""),AND(N(J2980)&gt;0,N(K2980)&lt;J2980),OR(M2980="PENDENTE",M2980="PARCIAL"),OR(N2980="PENDENTE",N2980="PARCIAL")),1,0))</f>
        <v/>
      </c>
      <c r="W2980" s="8">
        <f>IF(AND(V2980=1,D2980&lt;&gt;""),IF(D2980&gt;=corte,(B2980="CRÍTICO")*1E9+(100000-D2980)*10000+10000-ROW(),""),"")</f>
        <v/>
      </c>
      <c r="X2980" s="8">
        <f>IF(AND(V2980=1,D2980=pas_data,E2980=pas_turno),10000-ROW(),"")</f>
        <v/>
      </c>
    </row>
    <row r="2981">
      <c r="A2981" s="3">
        <f>IF(D2981="","","TT-"&amp;TEXT(ROW()-1,"00000"))</f>
        <v/>
      </c>
      <c r="B2981" s="3">
        <f>IF(D2981="","",IF(V2981=0,"CONCLUÍDO",IF(D2981&lt;corte,"HISTÓRICO",IF(OR(AND(ISNUMBER(R2981),R2981&lt;TODAY()),AND(OR(N2981="PENDENTE",N2981="PARCIAL"),D2981&lt;TODAY()-1)),"CRÍTICO",IF(OR(AND(P2981&lt;&gt;"",S2981=""),AND(N2981="REALIZADO",M2981="PENDENTE"),AND(ISNUMBER(R2981),R2981=TODAY())),"ATENÇÃO",IF(N(K2981)=0,"PENDENTE","EM ANDAMENTO"))))))</f>
        <v/>
      </c>
      <c r="C2981" s="3">
        <f>IF(D2981="","",IF(V2981=0,"🟢 OK",IF(D2981&lt;corte,"⚪ HISTÓRICO (sem baixa)",IF(AND(ISNUMBER(R2981),R2981&lt;TODAY()),"🔴 PRAZO VENCIDO",IF(AND(OR(N2981="PENDENTE",N2981="PARCIAL"),D2981&lt;TODAY()-1),"🔴 EMBARQUE ATRASADO",IF(AND(N2981="REALIZADO",M2981="PENDENTE"),"🟡 EMBARCADO SEM FATURAR",IF(AND(P2981&lt;&gt;"",S2981="",OR(Q2981="",R2981="")),"🟡 PENDÊNCIA SEM RESPONSÁVEL/PRAZO",IF(AND(ISNUMBER(R2981),R2981=TODAY()),"🟡 VENCE HOJE",IF(AND(P2981&lt;&gt;"",S2981=""),"🟡 PENDÊNCIA ABERTA",IF(AND(N(J2981)&gt;0,N(K2981)&lt;J2981),"🟡 FALTA EXECUTAR",IF(OR(M2981="PENDENTE",M2981="PARCIAL"),"🟡 FATURAMENTO PENDENTE","🟡 EMBARQUE PENDENTE")))))))))))</f>
        <v/>
      </c>
      <c r="D2981" s="4" t="n"/>
      <c r="E2981" s="5" t="n"/>
      <c r="F2981" s="5" t="n"/>
      <c r="G2981" s="5" t="n"/>
      <c r="H2981" s="5" t="n"/>
      <c r="I2981" s="5" t="n"/>
      <c r="J2981" s="6" t="n"/>
      <c r="K2981" s="6" t="n"/>
      <c r="L2981" s="7">
        <f>IF(OR(D2981="",N(J2981)=0),"",MIN(1,N(K2981)/J2981))</f>
        <v/>
      </c>
      <c r="M2981" s="5" t="n"/>
      <c r="N2981" s="5" t="n"/>
      <c r="O2981" s="5" t="n"/>
      <c r="P2981" s="5" t="n"/>
      <c r="Q2981" s="5" t="n"/>
      <c r="R2981" s="4" t="n"/>
      <c r="S2981" s="4" t="n"/>
      <c r="T2981" s="5" t="n"/>
      <c r="U2981" s="8">
        <f>IF(AND(V2981=1,D2981&lt;&gt;""),IF(D2981&gt;=corte,TODAY()-D2981,""),"")</f>
        <v/>
      </c>
      <c r="V2981" s="8">
        <f>IF(D2981="",0,IF(OR(AND(P2981&lt;&gt;"",S2981=""),AND(N(J2981)&gt;0,N(K2981)&lt;J2981),OR(M2981="PENDENTE",M2981="PARCIAL"),OR(N2981="PENDENTE",N2981="PARCIAL")),1,0))</f>
        <v/>
      </c>
      <c r="W2981" s="8">
        <f>IF(AND(V2981=1,D2981&lt;&gt;""),IF(D2981&gt;=corte,(B2981="CRÍTICO")*1E9+(100000-D2981)*10000+10000-ROW(),""),"")</f>
        <v/>
      </c>
      <c r="X2981" s="8">
        <f>IF(AND(V2981=1,D2981=pas_data,E2981=pas_turno),10000-ROW(),"")</f>
        <v/>
      </c>
    </row>
    <row r="2982">
      <c r="A2982" s="3">
        <f>IF(D2982="","","TT-"&amp;TEXT(ROW()-1,"00000"))</f>
        <v/>
      </c>
      <c r="B2982" s="3">
        <f>IF(D2982="","",IF(V2982=0,"CONCLUÍDO",IF(D2982&lt;corte,"HISTÓRICO",IF(OR(AND(ISNUMBER(R2982),R2982&lt;TODAY()),AND(OR(N2982="PENDENTE",N2982="PARCIAL"),D2982&lt;TODAY()-1)),"CRÍTICO",IF(OR(AND(P2982&lt;&gt;"",S2982=""),AND(N2982="REALIZADO",M2982="PENDENTE"),AND(ISNUMBER(R2982),R2982=TODAY())),"ATENÇÃO",IF(N(K2982)=0,"PENDENTE","EM ANDAMENTO"))))))</f>
        <v/>
      </c>
      <c r="C2982" s="3">
        <f>IF(D2982="","",IF(V2982=0,"🟢 OK",IF(D2982&lt;corte,"⚪ HISTÓRICO (sem baixa)",IF(AND(ISNUMBER(R2982),R2982&lt;TODAY()),"🔴 PRAZO VENCIDO",IF(AND(OR(N2982="PENDENTE",N2982="PARCIAL"),D2982&lt;TODAY()-1),"🔴 EMBARQUE ATRASADO",IF(AND(N2982="REALIZADO",M2982="PENDENTE"),"🟡 EMBARCADO SEM FATURAR",IF(AND(P2982&lt;&gt;"",S2982="",OR(Q2982="",R2982="")),"🟡 PENDÊNCIA SEM RESPONSÁVEL/PRAZO",IF(AND(ISNUMBER(R2982),R2982=TODAY()),"🟡 VENCE HOJE",IF(AND(P2982&lt;&gt;"",S2982=""),"🟡 PENDÊNCIA ABERTA",IF(AND(N(J2982)&gt;0,N(K2982)&lt;J2982),"🟡 FALTA EXECUTAR",IF(OR(M2982="PENDENTE",M2982="PARCIAL"),"🟡 FATURAMENTO PENDENTE","🟡 EMBARQUE PENDENTE")))))))))))</f>
        <v/>
      </c>
      <c r="D2982" s="4" t="n"/>
      <c r="E2982" s="5" t="n"/>
      <c r="F2982" s="5" t="n"/>
      <c r="G2982" s="5" t="n"/>
      <c r="H2982" s="5" t="n"/>
      <c r="I2982" s="5" t="n"/>
      <c r="J2982" s="6" t="n"/>
      <c r="K2982" s="6" t="n"/>
      <c r="L2982" s="7">
        <f>IF(OR(D2982="",N(J2982)=0),"",MIN(1,N(K2982)/J2982))</f>
        <v/>
      </c>
      <c r="M2982" s="5" t="n"/>
      <c r="N2982" s="5" t="n"/>
      <c r="O2982" s="5" t="n"/>
      <c r="P2982" s="5" t="n"/>
      <c r="Q2982" s="5" t="n"/>
      <c r="R2982" s="4" t="n"/>
      <c r="S2982" s="4" t="n"/>
      <c r="T2982" s="5" t="n"/>
      <c r="U2982" s="8">
        <f>IF(AND(V2982=1,D2982&lt;&gt;""),IF(D2982&gt;=corte,TODAY()-D2982,""),"")</f>
        <v/>
      </c>
      <c r="V2982" s="8">
        <f>IF(D2982="",0,IF(OR(AND(P2982&lt;&gt;"",S2982=""),AND(N(J2982)&gt;0,N(K2982)&lt;J2982),OR(M2982="PENDENTE",M2982="PARCIAL"),OR(N2982="PENDENTE",N2982="PARCIAL")),1,0))</f>
        <v/>
      </c>
      <c r="W2982" s="8">
        <f>IF(AND(V2982=1,D2982&lt;&gt;""),IF(D2982&gt;=corte,(B2982="CRÍTICO")*1E9+(100000-D2982)*10000+10000-ROW(),""),"")</f>
        <v/>
      </c>
      <c r="X2982" s="8">
        <f>IF(AND(V2982=1,D2982=pas_data,E2982=pas_turno),10000-ROW(),"")</f>
        <v/>
      </c>
    </row>
    <row r="2983">
      <c r="A2983" s="3">
        <f>IF(D2983="","","TT-"&amp;TEXT(ROW()-1,"00000"))</f>
        <v/>
      </c>
      <c r="B2983" s="3">
        <f>IF(D2983="","",IF(V2983=0,"CONCLUÍDO",IF(D2983&lt;corte,"HISTÓRICO",IF(OR(AND(ISNUMBER(R2983),R2983&lt;TODAY()),AND(OR(N2983="PENDENTE",N2983="PARCIAL"),D2983&lt;TODAY()-1)),"CRÍTICO",IF(OR(AND(P2983&lt;&gt;"",S2983=""),AND(N2983="REALIZADO",M2983="PENDENTE"),AND(ISNUMBER(R2983),R2983=TODAY())),"ATENÇÃO",IF(N(K2983)=0,"PENDENTE","EM ANDAMENTO"))))))</f>
        <v/>
      </c>
      <c r="C2983" s="3">
        <f>IF(D2983="","",IF(V2983=0,"🟢 OK",IF(D2983&lt;corte,"⚪ HISTÓRICO (sem baixa)",IF(AND(ISNUMBER(R2983),R2983&lt;TODAY()),"🔴 PRAZO VENCIDO",IF(AND(OR(N2983="PENDENTE",N2983="PARCIAL"),D2983&lt;TODAY()-1),"🔴 EMBARQUE ATRASADO",IF(AND(N2983="REALIZADO",M2983="PENDENTE"),"🟡 EMBARCADO SEM FATURAR",IF(AND(P2983&lt;&gt;"",S2983="",OR(Q2983="",R2983="")),"🟡 PENDÊNCIA SEM RESPONSÁVEL/PRAZO",IF(AND(ISNUMBER(R2983),R2983=TODAY()),"🟡 VENCE HOJE",IF(AND(P2983&lt;&gt;"",S2983=""),"🟡 PENDÊNCIA ABERTA",IF(AND(N(J2983)&gt;0,N(K2983)&lt;J2983),"🟡 FALTA EXECUTAR",IF(OR(M2983="PENDENTE",M2983="PARCIAL"),"🟡 FATURAMENTO PENDENTE","🟡 EMBARQUE PENDENTE")))))))))))</f>
        <v/>
      </c>
      <c r="D2983" s="4" t="n"/>
      <c r="E2983" s="5" t="n"/>
      <c r="F2983" s="5" t="n"/>
      <c r="G2983" s="5" t="n"/>
      <c r="H2983" s="5" t="n"/>
      <c r="I2983" s="5" t="n"/>
      <c r="J2983" s="6" t="n"/>
      <c r="K2983" s="6" t="n"/>
      <c r="L2983" s="7">
        <f>IF(OR(D2983="",N(J2983)=0),"",MIN(1,N(K2983)/J2983))</f>
        <v/>
      </c>
      <c r="M2983" s="5" t="n"/>
      <c r="N2983" s="5" t="n"/>
      <c r="O2983" s="5" t="n"/>
      <c r="P2983" s="5" t="n"/>
      <c r="Q2983" s="5" t="n"/>
      <c r="R2983" s="4" t="n"/>
      <c r="S2983" s="4" t="n"/>
      <c r="T2983" s="5" t="n"/>
      <c r="U2983" s="8">
        <f>IF(AND(V2983=1,D2983&lt;&gt;""),IF(D2983&gt;=corte,TODAY()-D2983,""),"")</f>
        <v/>
      </c>
      <c r="V2983" s="8">
        <f>IF(D2983="",0,IF(OR(AND(P2983&lt;&gt;"",S2983=""),AND(N(J2983)&gt;0,N(K2983)&lt;J2983),OR(M2983="PENDENTE",M2983="PARCIAL"),OR(N2983="PENDENTE",N2983="PARCIAL")),1,0))</f>
        <v/>
      </c>
      <c r="W2983" s="8">
        <f>IF(AND(V2983=1,D2983&lt;&gt;""),IF(D2983&gt;=corte,(B2983="CRÍTICO")*1E9+(100000-D2983)*10000+10000-ROW(),""),"")</f>
        <v/>
      </c>
      <c r="X2983" s="8">
        <f>IF(AND(V2983=1,D2983=pas_data,E2983=pas_turno),10000-ROW(),"")</f>
        <v/>
      </c>
    </row>
    <row r="2984">
      <c r="A2984" s="3">
        <f>IF(D2984="","","TT-"&amp;TEXT(ROW()-1,"00000"))</f>
        <v/>
      </c>
      <c r="B2984" s="3">
        <f>IF(D2984="","",IF(V2984=0,"CONCLUÍDO",IF(D2984&lt;corte,"HISTÓRICO",IF(OR(AND(ISNUMBER(R2984),R2984&lt;TODAY()),AND(OR(N2984="PENDENTE",N2984="PARCIAL"),D2984&lt;TODAY()-1)),"CRÍTICO",IF(OR(AND(P2984&lt;&gt;"",S2984=""),AND(N2984="REALIZADO",M2984="PENDENTE"),AND(ISNUMBER(R2984),R2984=TODAY())),"ATENÇÃO",IF(N(K2984)=0,"PENDENTE","EM ANDAMENTO"))))))</f>
        <v/>
      </c>
      <c r="C2984" s="3">
        <f>IF(D2984="","",IF(V2984=0,"🟢 OK",IF(D2984&lt;corte,"⚪ HISTÓRICO (sem baixa)",IF(AND(ISNUMBER(R2984),R2984&lt;TODAY()),"🔴 PRAZO VENCIDO",IF(AND(OR(N2984="PENDENTE",N2984="PARCIAL"),D2984&lt;TODAY()-1),"🔴 EMBARQUE ATRASADO",IF(AND(N2984="REALIZADO",M2984="PENDENTE"),"🟡 EMBARCADO SEM FATURAR",IF(AND(P2984&lt;&gt;"",S2984="",OR(Q2984="",R2984="")),"🟡 PENDÊNCIA SEM RESPONSÁVEL/PRAZO",IF(AND(ISNUMBER(R2984),R2984=TODAY()),"🟡 VENCE HOJE",IF(AND(P2984&lt;&gt;"",S2984=""),"🟡 PENDÊNCIA ABERTA",IF(AND(N(J2984)&gt;0,N(K2984)&lt;J2984),"🟡 FALTA EXECUTAR",IF(OR(M2984="PENDENTE",M2984="PARCIAL"),"🟡 FATURAMENTO PENDENTE","🟡 EMBARQUE PENDENTE")))))))))))</f>
        <v/>
      </c>
      <c r="D2984" s="4" t="n"/>
      <c r="E2984" s="5" t="n"/>
      <c r="F2984" s="5" t="n"/>
      <c r="G2984" s="5" t="n"/>
      <c r="H2984" s="5" t="n"/>
      <c r="I2984" s="5" t="n"/>
      <c r="J2984" s="6" t="n"/>
      <c r="K2984" s="6" t="n"/>
      <c r="L2984" s="7">
        <f>IF(OR(D2984="",N(J2984)=0),"",MIN(1,N(K2984)/J2984))</f>
        <v/>
      </c>
      <c r="M2984" s="5" t="n"/>
      <c r="N2984" s="5" t="n"/>
      <c r="O2984" s="5" t="n"/>
      <c r="P2984" s="5" t="n"/>
      <c r="Q2984" s="5" t="n"/>
      <c r="R2984" s="4" t="n"/>
      <c r="S2984" s="4" t="n"/>
      <c r="T2984" s="5" t="n"/>
      <c r="U2984" s="8">
        <f>IF(AND(V2984=1,D2984&lt;&gt;""),IF(D2984&gt;=corte,TODAY()-D2984,""),"")</f>
        <v/>
      </c>
      <c r="V2984" s="8">
        <f>IF(D2984="",0,IF(OR(AND(P2984&lt;&gt;"",S2984=""),AND(N(J2984)&gt;0,N(K2984)&lt;J2984),OR(M2984="PENDENTE",M2984="PARCIAL"),OR(N2984="PENDENTE",N2984="PARCIAL")),1,0))</f>
        <v/>
      </c>
      <c r="W2984" s="8">
        <f>IF(AND(V2984=1,D2984&lt;&gt;""),IF(D2984&gt;=corte,(B2984="CRÍTICO")*1E9+(100000-D2984)*10000+10000-ROW(),""),"")</f>
        <v/>
      </c>
      <c r="X2984" s="8">
        <f>IF(AND(V2984=1,D2984=pas_data,E2984=pas_turno),10000-ROW(),"")</f>
        <v/>
      </c>
    </row>
    <row r="2985">
      <c r="A2985" s="3">
        <f>IF(D2985="","","TT-"&amp;TEXT(ROW()-1,"00000"))</f>
        <v/>
      </c>
      <c r="B2985" s="3">
        <f>IF(D2985="","",IF(V2985=0,"CONCLUÍDO",IF(D2985&lt;corte,"HISTÓRICO",IF(OR(AND(ISNUMBER(R2985),R2985&lt;TODAY()),AND(OR(N2985="PENDENTE",N2985="PARCIAL"),D2985&lt;TODAY()-1)),"CRÍTICO",IF(OR(AND(P2985&lt;&gt;"",S2985=""),AND(N2985="REALIZADO",M2985="PENDENTE"),AND(ISNUMBER(R2985),R2985=TODAY())),"ATENÇÃO",IF(N(K2985)=0,"PENDENTE","EM ANDAMENTO"))))))</f>
        <v/>
      </c>
      <c r="C2985" s="3">
        <f>IF(D2985="","",IF(V2985=0,"🟢 OK",IF(D2985&lt;corte,"⚪ HISTÓRICO (sem baixa)",IF(AND(ISNUMBER(R2985),R2985&lt;TODAY()),"🔴 PRAZO VENCIDO",IF(AND(OR(N2985="PENDENTE",N2985="PARCIAL"),D2985&lt;TODAY()-1),"🔴 EMBARQUE ATRASADO",IF(AND(N2985="REALIZADO",M2985="PENDENTE"),"🟡 EMBARCADO SEM FATURAR",IF(AND(P2985&lt;&gt;"",S2985="",OR(Q2985="",R2985="")),"🟡 PENDÊNCIA SEM RESPONSÁVEL/PRAZO",IF(AND(ISNUMBER(R2985),R2985=TODAY()),"🟡 VENCE HOJE",IF(AND(P2985&lt;&gt;"",S2985=""),"🟡 PENDÊNCIA ABERTA",IF(AND(N(J2985)&gt;0,N(K2985)&lt;J2985),"🟡 FALTA EXECUTAR",IF(OR(M2985="PENDENTE",M2985="PARCIAL"),"🟡 FATURAMENTO PENDENTE","🟡 EMBARQUE PENDENTE")))))))))))</f>
        <v/>
      </c>
      <c r="D2985" s="4" t="n"/>
      <c r="E2985" s="5" t="n"/>
      <c r="F2985" s="5" t="n"/>
      <c r="G2985" s="5" t="n"/>
      <c r="H2985" s="5" t="n"/>
      <c r="I2985" s="5" t="n"/>
      <c r="J2985" s="6" t="n"/>
      <c r="K2985" s="6" t="n"/>
      <c r="L2985" s="7">
        <f>IF(OR(D2985="",N(J2985)=0),"",MIN(1,N(K2985)/J2985))</f>
        <v/>
      </c>
      <c r="M2985" s="5" t="n"/>
      <c r="N2985" s="5" t="n"/>
      <c r="O2985" s="5" t="n"/>
      <c r="P2985" s="5" t="n"/>
      <c r="Q2985" s="5" t="n"/>
      <c r="R2985" s="4" t="n"/>
      <c r="S2985" s="4" t="n"/>
      <c r="T2985" s="5" t="n"/>
      <c r="U2985" s="8">
        <f>IF(AND(V2985=1,D2985&lt;&gt;""),IF(D2985&gt;=corte,TODAY()-D2985,""),"")</f>
        <v/>
      </c>
      <c r="V2985" s="8">
        <f>IF(D2985="",0,IF(OR(AND(P2985&lt;&gt;"",S2985=""),AND(N(J2985)&gt;0,N(K2985)&lt;J2985),OR(M2985="PENDENTE",M2985="PARCIAL"),OR(N2985="PENDENTE",N2985="PARCIAL")),1,0))</f>
        <v/>
      </c>
      <c r="W2985" s="8">
        <f>IF(AND(V2985=1,D2985&lt;&gt;""),IF(D2985&gt;=corte,(B2985="CRÍTICO")*1E9+(100000-D2985)*10000+10000-ROW(),""),"")</f>
        <v/>
      </c>
      <c r="X2985" s="8">
        <f>IF(AND(V2985=1,D2985=pas_data,E2985=pas_turno),10000-ROW(),"")</f>
        <v/>
      </c>
    </row>
    <row r="2986">
      <c r="A2986" s="3">
        <f>IF(D2986="","","TT-"&amp;TEXT(ROW()-1,"00000"))</f>
        <v/>
      </c>
      <c r="B2986" s="3">
        <f>IF(D2986="","",IF(V2986=0,"CONCLUÍDO",IF(D2986&lt;corte,"HISTÓRICO",IF(OR(AND(ISNUMBER(R2986),R2986&lt;TODAY()),AND(OR(N2986="PENDENTE",N2986="PARCIAL"),D2986&lt;TODAY()-1)),"CRÍTICO",IF(OR(AND(P2986&lt;&gt;"",S2986=""),AND(N2986="REALIZADO",M2986="PENDENTE"),AND(ISNUMBER(R2986),R2986=TODAY())),"ATENÇÃO",IF(N(K2986)=0,"PENDENTE","EM ANDAMENTO"))))))</f>
        <v/>
      </c>
      <c r="C2986" s="3">
        <f>IF(D2986="","",IF(V2986=0,"🟢 OK",IF(D2986&lt;corte,"⚪ HISTÓRICO (sem baixa)",IF(AND(ISNUMBER(R2986),R2986&lt;TODAY()),"🔴 PRAZO VENCIDO",IF(AND(OR(N2986="PENDENTE",N2986="PARCIAL"),D2986&lt;TODAY()-1),"🔴 EMBARQUE ATRASADO",IF(AND(N2986="REALIZADO",M2986="PENDENTE"),"🟡 EMBARCADO SEM FATURAR",IF(AND(P2986&lt;&gt;"",S2986="",OR(Q2986="",R2986="")),"🟡 PENDÊNCIA SEM RESPONSÁVEL/PRAZO",IF(AND(ISNUMBER(R2986),R2986=TODAY()),"🟡 VENCE HOJE",IF(AND(P2986&lt;&gt;"",S2986=""),"🟡 PENDÊNCIA ABERTA",IF(AND(N(J2986)&gt;0,N(K2986)&lt;J2986),"🟡 FALTA EXECUTAR",IF(OR(M2986="PENDENTE",M2986="PARCIAL"),"🟡 FATURAMENTO PENDENTE","🟡 EMBARQUE PENDENTE")))))))))))</f>
        <v/>
      </c>
      <c r="D2986" s="4" t="n"/>
      <c r="E2986" s="5" t="n"/>
      <c r="F2986" s="5" t="n"/>
      <c r="G2986" s="5" t="n"/>
      <c r="H2986" s="5" t="n"/>
      <c r="I2986" s="5" t="n"/>
      <c r="J2986" s="6" t="n"/>
      <c r="K2986" s="6" t="n"/>
      <c r="L2986" s="7">
        <f>IF(OR(D2986="",N(J2986)=0),"",MIN(1,N(K2986)/J2986))</f>
        <v/>
      </c>
      <c r="M2986" s="5" t="n"/>
      <c r="N2986" s="5" t="n"/>
      <c r="O2986" s="5" t="n"/>
      <c r="P2986" s="5" t="n"/>
      <c r="Q2986" s="5" t="n"/>
      <c r="R2986" s="4" t="n"/>
      <c r="S2986" s="4" t="n"/>
      <c r="T2986" s="5" t="n"/>
      <c r="U2986" s="8">
        <f>IF(AND(V2986=1,D2986&lt;&gt;""),IF(D2986&gt;=corte,TODAY()-D2986,""),"")</f>
        <v/>
      </c>
      <c r="V2986" s="8">
        <f>IF(D2986="",0,IF(OR(AND(P2986&lt;&gt;"",S2986=""),AND(N(J2986)&gt;0,N(K2986)&lt;J2986),OR(M2986="PENDENTE",M2986="PARCIAL"),OR(N2986="PENDENTE",N2986="PARCIAL")),1,0))</f>
        <v/>
      </c>
      <c r="W2986" s="8">
        <f>IF(AND(V2986=1,D2986&lt;&gt;""),IF(D2986&gt;=corte,(B2986="CRÍTICO")*1E9+(100000-D2986)*10000+10000-ROW(),""),"")</f>
        <v/>
      </c>
      <c r="X2986" s="8">
        <f>IF(AND(V2986=1,D2986=pas_data,E2986=pas_turno),10000-ROW(),"")</f>
        <v/>
      </c>
    </row>
    <row r="2987">
      <c r="A2987" s="3">
        <f>IF(D2987="","","TT-"&amp;TEXT(ROW()-1,"00000"))</f>
        <v/>
      </c>
      <c r="B2987" s="3">
        <f>IF(D2987="","",IF(V2987=0,"CONCLUÍDO",IF(D2987&lt;corte,"HISTÓRICO",IF(OR(AND(ISNUMBER(R2987),R2987&lt;TODAY()),AND(OR(N2987="PENDENTE",N2987="PARCIAL"),D2987&lt;TODAY()-1)),"CRÍTICO",IF(OR(AND(P2987&lt;&gt;"",S2987=""),AND(N2987="REALIZADO",M2987="PENDENTE"),AND(ISNUMBER(R2987),R2987=TODAY())),"ATENÇÃO",IF(N(K2987)=0,"PENDENTE","EM ANDAMENTO"))))))</f>
        <v/>
      </c>
      <c r="C2987" s="3">
        <f>IF(D2987="","",IF(V2987=0,"🟢 OK",IF(D2987&lt;corte,"⚪ HISTÓRICO (sem baixa)",IF(AND(ISNUMBER(R2987),R2987&lt;TODAY()),"🔴 PRAZO VENCIDO",IF(AND(OR(N2987="PENDENTE",N2987="PARCIAL"),D2987&lt;TODAY()-1),"🔴 EMBARQUE ATRASADO",IF(AND(N2987="REALIZADO",M2987="PENDENTE"),"🟡 EMBARCADO SEM FATURAR",IF(AND(P2987&lt;&gt;"",S2987="",OR(Q2987="",R2987="")),"🟡 PENDÊNCIA SEM RESPONSÁVEL/PRAZO",IF(AND(ISNUMBER(R2987),R2987=TODAY()),"🟡 VENCE HOJE",IF(AND(P2987&lt;&gt;"",S2987=""),"🟡 PENDÊNCIA ABERTA",IF(AND(N(J2987)&gt;0,N(K2987)&lt;J2987),"🟡 FALTA EXECUTAR",IF(OR(M2987="PENDENTE",M2987="PARCIAL"),"🟡 FATURAMENTO PENDENTE","🟡 EMBARQUE PENDENTE")))))))))))</f>
        <v/>
      </c>
      <c r="D2987" s="4" t="n"/>
      <c r="E2987" s="5" t="n"/>
      <c r="F2987" s="5" t="n"/>
      <c r="G2987" s="5" t="n"/>
      <c r="H2987" s="5" t="n"/>
      <c r="I2987" s="5" t="n"/>
      <c r="J2987" s="6" t="n"/>
      <c r="K2987" s="6" t="n"/>
      <c r="L2987" s="7">
        <f>IF(OR(D2987="",N(J2987)=0),"",MIN(1,N(K2987)/J2987))</f>
        <v/>
      </c>
      <c r="M2987" s="5" t="n"/>
      <c r="N2987" s="5" t="n"/>
      <c r="O2987" s="5" t="n"/>
      <c r="P2987" s="5" t="n"/>
      <c r="Q2987" s="5" t="n"/>
      <c r="R2987" s="4" t="n"/>
      <c r="S2987" s="4" t="n"/>
      <c r="T2987" s="5" t="n"/>
      <c r="U2987" s="8">
        <f>IF(AND(V2987=1,D2987&lt;&gt;""),IF(D2987&gt;=corte,TODAY()-D2987,""),"")</f>
        <v/>
      </c>
      <c r="V2987" s="8">
        <f>IF(D2987="",0,IF(OR(AND(P2987&lt;&gt;"",S2987=""),AND(N(J2987)&gt;0,N(K2987)&lt;J2987),OR(M2987="PENDENTE",M2987="PARCIAL"),OR(N2987="PENDENTE",N2987="PARCIAL")),1,0))</f>
        <v/>
      </c>
      <c r="W2987" s="8">
        <f>IF(AND(V2987=1,D2987&lt;&gt;""),IF(D2987&gt;=corte,(B2987="CRÍTICO")*1E9+(100000-D2987)*10000+10000-ROW(),""),"")</f>
        <v/>
      </c>
      <c r="X2987" s="8">
        <f>IF(AND(V2987=1,D2987=pas_data,E2987=pas_turno),10000-ROW(),"")</f>
        <v/>
      </c>
    </row>
    <row r="2988">
      <c r="A2988" s="3">
        <f>IF(D2988="","","TT-"&amp;TEXT(ROW()-1,"00000"))</f>
        <v/>
      </c>
      <c r="B2988" s="3">
        <f>IF(D2988="","",IF(V2988=0,"CONCLUÍDO",IF(D2988&lt;corte,"HISTÓRICO",IF(OR(AND(ISNUMBER(R2988),R2988&lt;TODAY()),AND(OR(N2988="PENDENTE",N2988="PARCIAL"),D2988&lt;TODAY()-1)),"CRÍTICO",IF(OR(AND(P2988&lt;&gt;"",S2988=""),AND(N2988="REALIZADO",M2988="PENDENTE"),AND(ISNUMBER(R2988),R2988=TODAY())),"ATENÇÃO",IF(N(K2988)=0,"PENDENTE","EM ANDAMENTO"))))))</f>
        <v/>
      </c>
      <c r="C2988" s="3">
        <f>IF(D2988="","",IF(V2988=0,"🟢 OK",IF(D2988&lt;corte,"⚪ HISTÓRICO (sem baixa)",IF(AND(ISNUMBER(R2988),R2988&lt;TODAY()),"🔴 PRAZO VENCIDO",IF(AND(OR(N2988="PENDENTE",N2988="PARCIAL"),D2988&lt;TODAY()-1),"🔴 EMBARQUE ATRASADO",IF(AND(N2988="REALIZADO",M2988="PENDENTE"),"🟡 EMBARCADO SEM FATURAR",IF(AND(P2988&lt;&gt;"",S2988="",OR(Q2988="",R2988="")),"🟡 PENDÊNCIA SEM RESPONSÁVEL/PRAZO",IF(AND(ISNUMBER(R2988),R2988=TODAY()),"🟡 VENCE HOJE",IF(AND(P2988&lt;&gt;"",S2988=""),"🟡 PENDÊNCIA ABERTA",IF(AND(N(J2988)&gt;0,N(K2988)&lt;J2988),"🟡 FALTA EXECUTAR",IF(OR(M2988="PENDENTE",M2988="PARCIAL"),"🟡 FATURAMENTO PENDENTE","🟡 EMBARQUE PENDENTE")))))))))))</f>
        <v/>
      </c>
      <c r="D2988" s="4" t="n"/>
      <c r="E2988" s="5" t="n"/>
      <c r="F2988" s="5" t="n"/>
      <c r="G2988" s="5" t="n"/>
      <c r="H2988" s="5" t="n"/>
      <c r="I2988" s="5" t="n"/>
      <c r="J2988" s="6" t="n"/>
      <c r="K2988" s="6" t="n"/>
      <c r="L2988" s="7">
        <f>IF(OR(D2988="",N(J2988)=0),"",MIN(1,N(K2988)/J2988))</f>
        <v/>
      </c>
      <c r="M2988" s="5" t="n"/>
      <c r="N2988" s="5" t="n"/>
      <c r="O2988" s="5" t="n"/>
      <c r="P2988" s="5" t="n"/>
      <c r="Q2988" s="5" t="n"/>
      <c r="R2988" s="4" t="n"/>
      <c r="S2988" s="4" t="n"/>
      <c r="T2988" s="5" t="n"/>
      <c r="U2988" s="8">
        <f>IF(AND(V2988=1,D2988&lt;&gt;""),IF(D2988&gt;=corte,TODAY()-D2988,""),"")</f>
        <v/>
      </c>
      <c r="V2988" s="8">
        <f>IF(D2988="",0,IF(OR(AND(P2988&lt;&gt;"",S2988=""),AND(N(J2988)&gt;0,N(K2988)&lt;J2988),OR(M2988="PENDENTE",M2988="PARCIAL"),OR(N2988="PENDENTE",N2988="PARCIAL")),1,0))</f>
        <v/>
      </c>
      <c r="W2988" s="8">
        <f>IF(AND(V2988=1,D2988&lt;&gt;""),IF(D2988&gt;=corte,(B2988="CRÍTICO")*1E9+(100000-D2988)*10000+10000-ROW(),""),"")</f>
        <v/>
      </c>
      <c r="X2988" s="8">
        <f>IF(AND(V2988=1,D2988=pas_data,E2988=pas_turno),10000-ROW(),"")</f>
        <v/>
      </c>
    </row>
    <row r="2989">
      <c r="A2989" s="3">
        <f>IF(D2989="","","TT-"&amp;TEXT(ROW()-1,"00000"))</f>
        <v/>
      </c>
      <c r="B2989" s="3">
        <f>IF(D2989="","",IF(V2989=0,"CONCLUÍDO",IF(D2989&lt;corte,"HISTÓRICO",IF(OR(AND(ISNUMBER(R2989),R2989&lt;TODAY()),AND(OR(N2989="PENDENTE",N2989="PARCIAL"),D2989&lt;TODAY()-1)),"CRÍTICO",IF(OR(AND(P2989&lt;&gt;"",S2989=""),AND(N2989="REALIZADO",M2989="PENDENTE"),AND(ISNUMBER(R2989),R2989=TODAY())),"ATENÇÃO",IF(N(K2989)=0,"PENDENTE","EM ANDAMENTO"))))))</f>
        <v/>
      </c>
      <c r="C2989" s="3">
        <f>IF(D2989="","",IF(V2989=0,"🟢 OK",IF(D2989&lt;corte,"⚪ HISTÓRICO (sem baixa)",IF(AND(ISNUMBER(R2989),R2989&lt;TODAY()),"🔴 PRAZO VENCIDO",IF(AND(OR(N2989="PENDENTE",N2989="PARCIAL"),D2989&lt;TODAY()-1),"🔴 EMBARQUE ATRASADO",IF(AND(N2989="REALIZADO",M2989="PENDENTE"),"🟡 EMBARCADO SEM FATURAR",IF(AND(P2989&lt;&gt;"",S2989="",OR(Q2989="",R2989="")),"🟡 PENDÊNCIA SEM RESPONSÁVEL/PRAZO",IF(AND(ISNUMBER(R2989),R2989=TODAY()),"🟡 VENCE HOJE",IF(AND(P2989&lt;&gt;"",S2989=""),"🟡 PENDÊNCIA ABERTA",IF(AND(N(J2989)&gt;0,N(K2989)&lt;J2989),"🟡 FALTA EXECUTAR",IF(OR(M2989="PENDENTE",M2989="PARCIAL"),"🟡 FATURAMENTO PENDENTE","🟡 EMBARQUE PENDENTE")))))))))))</f>
        <v/>
      </c>
      <c r="D2989" s="4" t="n"/>
      <c r="E2989" s="5" t="n"/>
      <c r="F2989" s="5" t="n"/>
      <c r="G2989" s="5" t="n"/>
      <c r="H2989" s="5" t="n"/>
      <c r="I2989" s="5" t="n"/>
      <c r="J2989" s="6" t="n"/>
      <c r="K2989" s="6" t="n"/>
      <c r="L2989" s="7">
        <f>IF(OR(D2989="",N(J2989)=0),"",MIN(1,N(K2989)/J2989))</f>
        <v/>
      </c>
      <c r="M2989" s="5" t="n"/>
      <c r="N2989" s="5" t="n"/>
      <c r="O2989" s="5" t="n"/>
      <c r="P2989" s="5" t="n"/>
      <c r="Q2989" s="5" t="n"/>
      <c r="R2989" s="4" t="n"/>
      <c r="S2989" s="4" t="n"/>
      <c r="T2989" s="5" t="n"/>
      <c r="U2989" s="8">
        <f>IF(AND(V2989=1,D2989&lt;&gt;""),IF(D2989&gt;=corte,TODAY()-D2989,""),"")</f>
        <v/>
      </c>
      <c r="V2989" s="8">
        <f>IF(D2989="",0,IF(OR(AND(P2989&lt;&gt;"",S2989=""),AND(N(J2989)&gt;0,N(K2989)&lt;J2989),OR(M2989="PENDENTE",M2989="PARCIAL"),OR(N2989="PENDENTE",N2989="PARCIAL")),1,0))</f>
        <v/>
      </c>
      <c r="W2989" s="8">
        <f>IF(AND(V2989=1,D2989&lt;&gt;""),IF(D2989&gt;=corte,(B2989="CRÍTICO")*1E9+(100000-D2989)*10000+10000-ROW(),""),"")</f>
        <v/>
      </c>
      <c r="X2989" s="8">
        <f>IF(AND(V2989=1,D2989=pas_data,E2989=pas_turno),10000-ROW(),"")</f>
        <v/>
      </c>
    </row>
    <row r="2990">
      <c r="A2990" s="3">
        <f>IF(D2990="","","TT-"&amp;TEXT(ROW()-1,"00000"))</f>
        <v/>
      </c>
      <c r="B2990" s="3">
        <f>IF(D2990="","",IF(V2990=0,"CONCLUÍDO",IF(D2990&lt;corte,"HISTÓRICO",IF(OR(AND(ISNUMBER(R2990),R2990&lt;TODAY()),AND(OR(N2990="PENDENTE",N2990="PARCIAL"),D2990&lt;TODAY()-1)),"CRÍTICO",IF(OR(AND(P2990&lt;&gt;"",S2990=""),AND(N2990="REALIZADO",M2990="PENDENTE"),AND(ISNUMBER(R2990),R2990=TODAY())),"ATENÇÃO",IF(N(K2990)=0,"PENDENTE","EM ANDAMENTO"))))))</f>
        <v/>
      </c>
      <c r="C2990" s="3">
        <f>IF(D2990="","",IF(V2990=0,"🟢 OK",IF(D2990&lt;corte,"⚪ HISTÓRICO (sem baixa)",IF(AND(ISNUMBER(R2990),R2990&lt;TODAY()),"🔴 PRAZO VENCIDO",IF(AND(OR(N2990="PENDENTE",N2990="PARCIAL"),D2990&lt;TODAY()-1),"🔴 EMBARQUE ATRASADO",IF(AND(N2990="REALIZADO",M2990="PENDENTE"),"🟡 EMBARCADO SEM FATURAR",IF(AND(P2990&lt;&gt;"",S2990="",OR(Q2990="",R2990="")),"🟡 PENDÊNCIA SEM RESPONSÁVEL/PRAZO",IF(AND(ISNUMBER(R2990),R2990=TODAY()),"🟡 VENCE HOJE",IF(AND(P2990&lt;&gt;"",S2990=""),"🟡 PENDÊNCIA ABERTA",IF(AND(N(J2990)&gt;0,N(K2990)&lt;J2990),"🟡 FALTA EXECUTAR",IF(OR(M2990="PENDENTE",M2990="PARCIAL"),"🟡 FATURAMENTO PENDENTE","🟡 EMBARQUE PENDENTE")))))))))))</f>
        <v/>
      </c>
      <c r="D2990" s="4" t="n"/>
      <c r="E2990" s="5" t="n"/>
      <c r="F2990" s="5" t="n"/>
      <c r="G2990" s="5" t="n"/>
      <c r="H2990" s="5" t="n"/>
      <c r="I2990" s="5" t="n"/>
      <c r="J2990" s="6" t="n"/>
      <c r="K2990" s="6" t="n"/>
      <c r="L2990" s="7">
        <f>IF(OR(D2990="",N(J2990)=0),"",MIN(1,N(K2990)/J2990))</f>
        <v/>
      </c>
      <c r="M2990" s="5" t="n"/>
      <c r="N2990" s="5" t="n"/>
      <c r="O2990" s="5" t="n"/>
      <c r="P2990" s="5" t="n"/>
      <c r="Q2990" s="5" t="n"/>
      <c r="R2990" s="4" t="n"/>
      <c r="S2990" s="4" t="n"/>
      <c r="T2990" s="5" t="n"/>
      <c r="U2990" s="8">
        <f>IF(AND(V2990=1,D2990&lt;&gt;""),IF(D2990&gt;=corte,TODAY()-D2990,""),"")</f>
        <v/>
      </c>
      <c r="V2990" s="8">
        <f>IF(D2990="",0,IF(OR(AND(P2990&lt;&gt;"",S2990=""),AND(N(J2990)&gt;0,N(K2990)&lt;J2990),OR(M2990="PENDENTE",M2990="PARCIAL"),OR(N2990="PENDENTE",N2990="PARCIAL")),1,0))</f>
        <v/>
      </c>
      <c r="W2990" s="8">
        <f>IF(AND(V2990=1,D2990&lt;&gt;""),IF(D2990&gt;=corte,(B2990="CRÍTICO")*1E9+(100000-D2990)*10000+10000-ROW(),""),"")</f>
        <v/>
      </c>
      <c r="X2990" s="8">
        <f>IF(AND(V2990=1,D2990=pas_data,E2990=pas_turno),10000-ROW(),"")</f>
        <v/>
      </c>
    </row>
    <row r="2991">
      <c r="A2991" s="3">
        <f>IF(D2991="","","TT-"&amp;TEXT(ROW()-1,"00000"))</f>
        <v/>
      </c>
      <c r="B2991" s="3">
        <f>IF(D2991="","",IF(V2991=0,"CONCLUÍDO",IF(D2991&lt;corte,"HISTÓRICO",IF(OR(AND(ISNUMBER(R2991),R2991&lt;TODAY()),AND(OR(N2991="PENDENTE",N2991="PARCIAL"),D2991&lt;TODAY()-1)),"CRÍTICO",IF(OR(AND(P2991&lt;&gt;"",S2991=""),AND(N2991="REALIZADO",M2991="PENDENTE"),AND(ISNUMBER(R2991),R2991=TODAY())),"ATENÇÃO",IF(N(K2991)=0,"PENDENTE","EM ANDAMENTO"))))))</f>
        <v/>
      </c>
      <c r="C2991" s="3">
        <f>IF(D2991="","",IF(V2991=0,"🟢 OK",IF(D2991&lt;corte,"⚪ HISTÓRICO (sem baixa)",IF(AND(ISNUMBER(R2991),R2991&lt;TODAY()),"🔴 PRAZO VENCIDO",IF(AND(OR(N2991="PENDENTE",N2991="PARCIAL"),D2991&lt;TODAY()-1),"🔴 EMBARQUE ATRASADO",IF(AND(N2991="REALIZADO",M2991="PENDENTE"),"🟡 EMBARCADO SEM FATURAR",IF(AND(P2991&lt;&gt;"",S2991="",OR(Q2991="",R2991="")),"🟡 PENDÊNCIA SEM RESPONSÁVEL/PRAZO",IF(AND(ISNUMBER(R2991),R2991=TODAY()),"🟡 VENCE HOJE",IF(AND(P2991&lt;&gt;"",S2991=""),"🟡 PENDÊNCIA ABERTA",IF(AND(N(J2991)&gt;0,N(K2991)&lt;J2991),"🟡 FALTA EXECUTAR",IF(OR(M2991="PENDENTE",M2991="PARCIAL"),"🟡 FATURAMENTO PENDENTE","🟡 EMBARQUE PENDENTE")))))))))))</f>
        <v/>
      </c>
      <c r="D2991" s="4" t="n"/>
      <c r="E2991" s="5" t="n"/>
      <c r="F2991" s="5" t="n"/>
      <c r="G2991" s="5" t="n"/>
      <c r="H2991" s="5" t="n"/>
      <c r="I2991" s="5" t="n"/>
      <c r="J2991" s="6" t="n"/>
      <c r="K2991" s="6" t="n"/>
      <c r="L2991" s="7">
        <f>IF(OR(D2991="",N(J2991)=0),"",MIN(1,N(K2991)/J2991))</f>
        <v/>
      </c>
      <c r="M2991" s="5" t="n"/>
      <c r="N2991" s="5" t="n"/>
      <c r="O2991" s="5" t="n"/>
      <c r="P2991" s="5" t="n"/>
      <c r="Q2991" s="5" t="n"/>
      <c r="R2991" s="4" t="n"/>
      <c r="S2991" s="4" t="n"/>
      <c r="T2991" s="5" t="n"/>
      <c r="U2991" s="8">
        <f>IF(AND(V2991=1,D2991&lt;&gt;""),IF(D2991&gt;=corte,TODAY()-D2991,""),"")</f>
        <v/>
      </c>
      <c r="V2991" s="8">
        <f>IF(D2991="",0,IF(OR(AND(P2991&lt;&gt;"",S2991=""),AND(N(J2991)&gt;0,N(K2991)&lt;J2991),OR(M2991="PENDENTE",M2991="PARCIAL"),OR(N2991="PENDENTE",N2991="PARCIAL")),1,0))</f>
        <v/>
      </c>
      <c r="W2991" s="8">
        <f>IF(AND(V2991=1,D2991&lt;&gt;""),IF(D2991&gt;=corte,(B2991="CRÍTICO")*1E9+(100000-D2991)*10000+10000-ROW(),""),"")</f>
        <v/>
      </c>
      <c r="X2991" s="8">
        <f>IF(AND(V2991=1,D2991=pas_data,E2991=pas_turno),10000-ROW(),"")</f>
        <v/>
      </c>
    </row>
    <row r="2992">
      <c r="A2992" s="3">
        <f>IF(D2992="","","TT-"&amp;TEXT(ROW()-1,"00000"))</f>
        <v/>
      </c>
      <c r="B2992" s="3">
        <f>IF(D2992="","",IF(V2992=0,"CONCLUÍDO",IF(D2992&lt;corte,"HISTÓRICO",IF(OR(AND(ISNUMBER(R2992),R2992&lt;TODAY()),AND(OR(N2992="PENDENTE",N2992="PARCIAL"),D2992&lt;TODAY()-1)),"CRÍTICO",IF(OR(AND(P2992&lt;&gt;"",S2992=""),AND(N2992="REALIZADO",M2992="PENDENTE"),AND(ISNUMBER(R2992),R2992=TODAY())),"ATENÇÃO",IF(N(K2992)=0,"PENDENTE","EM ANDAMENTO"))))))</f>
        <v/>
      </c>
      <c r="C2992" s="3">
        <f>IF(D2992="","",IF(V2992=0,"🟢 OK",IF(D2992&lt;corte,"⚪ HISTÓRICO (sem baixa)",IF(AND(ISNUMBER(R2992),R2992&lt;TODAY()),"🔴 PRAZO VENCIDO",IF(AND(OR(N2992="PENDENTE",N2992="PARCIAL"),D2992&lt;TODAY()-1),"🔴 EMBARQUE ATRASADO",IF(AND(N2992="REALIZADO",M2992="PENDENTE"),"🟡 EMBARCADO SEM FATURAR",IF(AND(P2992&lt;&gt;"",S2992="",OR(Q2992="",R2992="")),"🟡 PENDÊNCIA SEM RESPONSÁVEL/PRAZO",IF(AND(ISNUMBER(R2992),R2992=TODAY()),"🟡 VENCE HOJE",IF(AND(P2992&lt;&gt;"",S2992=""),"🟡 PENDÊNCIA ABERTA",IF(AND(N(J2992)&gt;0,N(K2992)&lt;J2992),"🟡 FALTA EXECUTAR",IF(OR(M2992="PENDENTE",M2992="PARCIAL"),"🟡 FATURAMENTO PENDENTE","🟡 EMBARQUE PENDENTE")))))))))))</f>
        <v/>
      </c>
      <c r="D2992" s="4" t="n"/>
      <c r="E2992" s="5" t="n"/>
      <c r="F2992" s="5" t="n"/>
      <c r="G2992" s="5" t="n"/>
      <c r="H2992" s="5" t="n"/>
      <c r="I2992" s="5" t="n"/>
      <c r="J2992" s="6" t="n"/>
      <c r="K2992" s="6" t="n"/>
      <c r="L2992" s="7">
        <f>IF(OR(D2992="",N(J2992)=0),"",MIN(1,N(K2992)/J2992))</f>
        <v/>
      </c>
      <c r="M2992" s="5" t="n"/>
      <c r="N2992" s="5" t="n"/>
      <c r="O2992" s="5" t="n"/>
      <c r="P2992" s="5" t="n"/>
      <c r="Q2992" s="5" t="n"/>
      <c r="R2992" s="4" t="n"/>
      <c r="S2992" s="4" t="n"/>
      <c r="T2992" s="5" t="n"/>
      <c r="U2992" s="8">
        <f>IF(AND(V2992=1,D2992&lt;&gt;""),IF(D2992&gt;=corte,TODAY()-D2992,""),"")</f>
        <v/>
      </c>
      <c r="V2992" s="8">
        <f>IF(D2992="",0,IF(OR(AND(P2992&lt;&gt;"",S2992=""),AND(N(J2992)&gt;0,N(K2992)&lt;J2992),OR(M2992="PENDENTE",M2992="PARCIAL"),OR(N2992="PENDENTE",N2992="PARCIAL")),1,0))</f>
        <v/>
      </c>
      <c r="W2992" s="8">
        <f>IF(AND(V2992=1,D2992&lt;&gt;""),IF(D2992&gt;=corte,(B2992="CRÍTICO")*1E9+(100000-D2992)*10000+10000-ROW(),""),"")</f>
        <v/>
      </c>
      <c r="X2992" s="8">
        <f>IF(AND(V2992=1,D2992=pas_data,E2992=pas_turno),10000-ROW(),"")</f>
        <v/>
      </c>
    </row>
    <row r="2993">
      <c r="A2993" s="3">
        <f>IF(D2993="","","TT-"&amp;TEXT(ROW()-1,"00000"))</f>
        <v/>
      </c>
      <c r="B2993" s="3">
        <f>IF(D2993="","",IF(V2993=0,"CONCLUÍDO",IF(D2993&lt;corte,"HISTÓRICO",IF(OR(AND(ISNUMBER(R2993),R2993&lt;TODAY()),AND(OR(N2993="PENDENTE",N2993="PARCIAL"),D2993&lt;TODAY()-1)),"CRÍTICO",IF(OR(AND(P2993&lt;&gt;"",S2993=""),AND(N2993="REALIZADO",M2993="PENDENTE"),AND(ISNUMBER(R2993),R2993=TODAY())),"ATENÇÃO",IF(N(K2993)=0,"PENDENTE","EM ANDAMENTO"))))))</f>
        <v/>
      </c>
      <c r="C2993" s="3">
        <f>IF(D2993="","",IF(V2993=0,"🟢 OK",IF(D2993&lt;corte,"⚪ HISTÓRICO (sem baixa)",IF(AND(ISNUMBER(R2993),R2993&lt;TODAY()),"🔴 PRAZO VENCIDO",IF(AND(OR(N2993="PENDENTE",N2993="PARCIAL"),D2993&lt;TODAY()-1),"🔴 EMBARQUE ATRASADO",IF(AND(N2993="REALIZADO",M2993="PENDENTE"),"🟡 EMBARCADO SEM FATURAR",IF(AND(P2993&lt;&gt;"",S2993="",OR(Q2993="",R2993="")),"🟡 PENDÊNCIA SEM RESPONSÁVEL/PRAZO",IF(AND(ISNUMBER(R2993),R2993=TODAY()),"🟡 VENCE HOJE",IF(AND(P2993&lt;&gt;"",S2993=""),"🟡 PENDÊNCIA ABERTA",IF(AND(N(J2993)&gt;0,N(K2993)&lt;J2993),"🟡 FALTA EXECUTAR",IF(OR(M2993="PENDENTE",M2993="PARCIAL"),"🟡 FATURAMENTO PENDENTE","🟡 EMBARQUE PENDENTE")))))))))))</f>
        <v/>
      </c>
      <c r="D2993" s="4" t="n"/>
      <c r="E2993" s="5" t="n"/>
      <c r="F2993" s="5" t="n"/>
      <c r="G2993" s="5" t="n"/>
      <c r="H2993" s="5" t="n"/>
      <c r="I2993" s="5" t="n"/>
      <c r="J2993" s="6" t="n"/>
      <c r="K2993" s="6" t="n"/>
      <c r="L2993" s="7">
        <f>IF(OR(D2993="",N(J2993)=0),"",MIN(1,N(K2993)/J2993))</f>
        <v/>
      </c>
      <c r="M2993" s="5" t="n"/>
      <c r="N2993" s="5" t="n"/>
      <c r="O2993" s="5" t="n"/>
      <c r="P2993" s="5" t="n"/>
      <c r="Q2993" s="5" t="n"/>
      <c r="R2993" s="4" t="n"/>
      <c r="S2993" s="4" t="n"/>
      <c r="T2993" s="5" t="n"/>
      <c r="U2993" s="8">
        <f>IF(AND(V2993=1,D2993&lt;&gt;""),IF(D2993&gt;=corte,TODAY()-D2993,""),"")</f>
        <v/>
      </c>
      <c r="V2993" s="8">
        <f>IF(D2993="",0,IF(OR(AND(P2993&lt;&gt;"",S2993=""),AND(N(J2993)&gt;0,N(K2993)&lt;J2993),OR(M2993="PENDENTE",M2993="PARCIAL"),OR(N2993="PENDENTE",N2993="PARCIAL")),1,0))</f>
        <v/>
      </c>
      <c r="W2993" s="8">
        <f>IF(AND(V2993=1,D2993&lt;&gt;""),IF(D2993&gt;=corte,(B2993="CRÍTICO")*1E9+(100000-D2993)*10000+10000-ROW(),""),"")</f>
        <v/>
      </c>
      <c r="X2993" s="8">
        <f>IF(AND(V2993=1,D2993=pas_data,E2993=pas_turno),10000-ROW(),"")</f>
        <v/>
      </c>
    </row>
    <row r="2994">
      <c r="A2994" s="3">
        <f>IF(D2994="","","TT-"&amp;TEXT(ROW()-1,"00000"))</f>
        <v/>
      </c>
      <c r="B2994" s="3">
        <f>IF(D2994="","",IF(V2994=0,"CONCLUÍDO",IF(D2994&lt;corte,"HISTÓRICO",IF(OR(AND(ISNUMBER(R2994),R2994&lt;TODAY()),AND(OR(N2994="PENDENTE",N2994="PARCIAL"),D2994&lt;TODAY()-1)),"CRÍTICO",IF(OR(AND(P2994&lt;&gt;"",S2994=""),AND(N2994="REALIZADO",M2994="PENDENTE"),AND(ISNUMBER(R2994),R2994=TODAY())),"ATENÇÃO",IF(N(K2994)=0,"PENDENTE","EM ANDAMENTO"))))))</f>
        <v/>
      </c>
      <c r="C2994" s="3">
        <f>IF(D2994="","",IF(V2994=0,"🟢 OK",IF(D2994&lt;corte,"⚪ HISTÓRICO (sem baixa)",IF(AND(ISNUMBER(R2994),R2994&lt;TODAY()),"🔴 PRAZO VENCIDO",IF(AND(OR(N2994="PENDENTE",N2994="PARCIAL"),D2994&lt;TODAY()-1),"🔴 EMBARQUE ATRASADO",IF(AND(N2994="REALIZADO",M2994="PENDENTE"),"🟡 EMBARCADO SEM FATURAR",IF(AND(P2994&lt;&gt;"",S2994="",OR(Q2994="",R2994="")),"🟡 PENDÊNCIA SEM RESPONSÁVEL/PRAZO",IF(AND(ISNUMBER(R2994),R2994=TODAY()),"🟡 VENCE HOJE",IF(AND(P2994&lt;&gt;"",S2994=""),"🟡 PENDÊNCIA ABERTA",IF(AND(N(J2994)&gt;0,N(K2994)&lt;J2994),"🟡 FALTA EXECUTAR",IF(OR(M2994="PENDENTE",M2994="PARCIAL"),"🟡 FATURAMENTO PENDENTE","🟡 EMBARQUE PENDENTE")))))))))))</f>
        <v/>
      </c>
      <c r="D2994" s="4" t="n"/>
      <c r="E2994" s="5" t="n"/>
      <c r="F2994" s="5" t="n"/>
      <c r="G2994" s="5" t="n"/>
      <c r="H2994" s="5" t="n"/>
      <c r="I2994" s="5" t="n"/>
      <c r="J2994" s="6" t="n"/>
      <c r="K2994" s="6" t="n"/>
      <c r="L2994" s="7">
        <f>IF(OR(D2994="",N(J2994)=0),"",MIN(1,N(K2994)/J2994))</f>
        <v/>
      </c>
      <c r="M2994" s="5" t="n"/>
      <c r="N2994" s="5" t="n"/>
      <c r="O2994" s="5" t="n"/>
      <c r="P2994" s="5" t="n"/>
      <c r="Q2994" s="5" t="n"/>
      <c r="R2994" s="4" t="n"/>
      <c r="S2994" s="4" t="n"/>
      <c r="T2994" s="5" t="n"/>
      <c r="U2994" s="8">
        <f>IF(AND(V2994=1,D2994&lt;&gt;""),IF(D2994&gt;=corte,TODAY()-D2994,""),"")</f>
        <v/>
      </c>
      <c r="V2994" s="8">
        <f>IF(D2994="",0,IF(OR(AND(P2994&lt;&gt;"",S2994=""),AND(N(J2994)&gt;0,N(K2994)&lt;J2994),OR(M2994="PENDENTE",M2994="PARCIAL"),OR(N2994="PENDENTE",N2994="PARCIAL")),1,0))</f>
        <v/>
      </c>
      <c r="W2994" s="8">
        <f>IF(AND(V2994=1,D2994&lt;&gt;""),IF(D2994&gt;=corte,(B2994="CRÍTICO")*1E9+(100000-D2994)*10000+10000-ROW(),""),"")</f>
        <v/>
      </c>
      <c r="X2994" s="8">
        <f>IF(AND(V2994=1,D2994=pas_data,E2994=pas_turno),10000-ROW(),"")</f>
        <v/>
      </c>
    </row>
    <row r="2995">
      <c r="A2995" s="3">
        <f>IF(D2995="","","TT-"&amp;TEXT(ROW()-1,"00000"))</f>
        <v/>
      </c>
      <c r="B2995" s="3">
        <f>IF(D2995="","",IF(V2995=0,"CONCLUÍDO",IF(D2995&lt;corte,"HISTÓRICO",IF(OR(AND(ISNUMBER(R2995),R2995&lt;TODAY()),AND(OR(N2995="PENDENTE",N2995="PARCIAL"),D2995&lt;TODAY()-1)),"CRÍTICO",IF(OR(AND(P2995&lt;&gt;"",S2995=""),AND(N2995="REALIZADO",M2995="PENDENTE"),AND(ISNUMBER(R2995),R2995=TODAY())),"ATENÇÃO",IF(N(K2995)=0,"PENDENTE","EM ANDAMENTO"))))))</f>
        <v/>
      </c>
      <c r="C2995" s="3">
        <f>IF(D2995="","",IF(V2995=0,"🟢 OK",IF(D2995&lt;corte,"⚪ HISTÓRICO (sem baixa)",IF(AND(ISNUMBER(R2995),R2995&lt;TODAY()),"🔴 PRAZO VENCIDO",IF(AND(OR(N2995="PENDENTE",N2995="PARCIAL"),D2995&lt;TODAY()-1),"🔴 EMBARQUE ATRASADO",IF(AND(N2995="REALIZADO",M2995="PENDENTE"),"🟡 EMBARCADO SEM FATURAR",IF(AND(P2995&lt;&gt;"",S2995="",OR(Q2995="",R2995="")),"🟡 PENDÊNCIA SEM RESPONSÁVEL/PRAZO",IF(AND(ISNUMBER(R2995),R2995=TODAY()),"🟡 VENCE HOJE",IF(AND(P2995&lt;&gt;"",S2995=""),"🟡 PENDÊNCIA ABERTA",IF(AND(N(J2995)&gt;0,N(K2995)&lt;J2995),"🟡 FALTA EXECUTAR",IF(OR(M2995="PENDENTE",M2995="PARCIAL"),"🟡 FATURAMENTO PENDENTE","🟡 EMBARQUE PENDENTE")))))))))))</f>
        <v/>
      </c>
      <c r="D2995" s="4" t="n"/>
      <c r="E2995" s="5" t="n"/>
      <c r="F2995" s="5" t="n"/>
      <c r="G2995" s="5" t="n"/>
      <c r="H2995" s="5" t="n"/>
      <c r="I2995" s="5" t="n"/>
      <c r="J2995" s="6" t="n"/>
      <c r="K2995" s="6" t="n"/>
      <c r="L2995" s="7">
        <f>IF(OR(D2995="",N(J2995)=0),"",MIN(1,N(K2995)/J2995))</f>
        <v/>
      </c>
      <c r="M2995" s="5" t="n"/>
      <c r="N2995" s="5" t="n"/>
      <c r="O2995" s="5" t="n"/>
      <c r="P2995" s="5" t="n"/>
      <c r="Q2995" s="5" t="n"/>
      <c r="R2995" s="4" t="n"/>
      <c r="S2995" s="4" t="n"/>
      <c r="T2995" s="5" t="n"/>
      <c r="U2995" s="8">
        <f>IF(AND(V2995=1,D2995&lt;&gt;""),IF(D2995&gt;=corte,TODAY()-D2995,""),"")</f>
        <v/>
      </c>
      <c r="V2995" s="8">
        <f>IF(D2995="",0,IF(OR(AND(P2995&lt;&gt;"",S2995=""),AND(N(J2995)&gt;0,N(K2995)&lt;J2995),OR(M2995="PENDENTE",M2995="PARCIAL"),OR(N2995="PENDENTE",N2995="PARCIAL")),1,0))</f>
        <v/>
      </c>
      <c r="W2995" s="8">
        <f>IF(AND(V2995=1,D2995&lt;&gt;""),IF(D2995&gt;=corte,(B2995="CRÍTICO")*1E9+(100000-D2995)*10000+10000-ROW(),""),"")</f>
        <v/>
      </c>
      <c r="X2995" s="8">
        <f>IF(AND(V2995=1,D2995=pas_data,E2995=pas_turno),10000-ROW(),"")</f>
        <v/>
      </c>
    </row>
    <row r="2996">
      <c r="A2996" s="3">
        <f>IF(D2996="","","TT-"&amp;TEXT(ROW()-1,"00000"))</f>
        <v/>
      </c>
      <c r="B2996" s="3">
        <f>IF(D2996="","",IF(V2996=0,"CONCLUÍDO",IF(D2996&lt;corte,"HISTÓRICO",IF(OR(AND(ISNUMBER(R2996),R2996&lt;TODAY()),AND(OR(N2996="PENDENTE",N2996="PARCIAL"),D2996&lt;TODAY()-1)),"CRÍTICO",IF(OR(AND(P2996&lt;&gt;"",S2996=""),AND(N2996="REALIZADO",M2996="PENDENTE"),AND(ISNUMBER(R2996),R2996=TODAY())),"ATENÇÃO",IF(N(K2996)=0,"PENDENTE","EM ANDAMENTO"))))))</f>
        <v/>
      </c>
      <c r="C2996" s="3">
        <f>IF(D2996="","",IF(V2996=0,"🟢 OK",IF(D2996&lt;corte,"⚪ HISTÓRICO (sem baixa)",IF(AND(ISNUMBER(R2996),R2996&lt;TODAY()),"🔴 PRAZO VENCIDO",IF(AND(OR(N2996="PENDENTE",N2996="PARCIAL"),D2996&lt;TODAY()-1),"🔴 EMBARQUE ATRASADO",IF(AND(N2996="REALIZADO",M2996="PENDENTE"),"🟡 EMBARCADO SEM FATURAR",IF(AND(P2996&lt;&gt;"",S2996="",OR(Q2996="",R2996="")),"🟡 PENDÊNCIA SEM RESPONSÁVEL/PRAZO",IF(AND(ISNUMBER(R2996),R2996=TODAY()),"🟡 VENCE HOJE",IF(AND(P2996&lt;&gt;"",S2996=""),"🟡 PENDÊNCIA ABERTA",IF(AND(N(J2996)&gt;0,N(K2996)&lt;J2996),"🟡 FALTA EXECUTAR",IF(OR(M2996="PENDENTE",M2996="PARCIAL"),"🟡 FATURAMENTO PENDENTE","🟡 EMBARQUE PENDENTE")))))))))))</f>
        <v/>
      </c>
      <c r="D2996" s="4" t="n"/>
      <c r="E2996" s="5" t="n"/>
      <c r="F2996" s="5" t="n"/>
      <c r="G2996" s="5" t="n"/>
      <c r="H2996" s="5" t="n"/>
      <c r="I2996" s="5" t="n"/>
      <c r="J2996" s="6" t="n"/>
      <c r="K2996" s="6" t="n"/>
      <c r="L2996" s="7">
        <f>IF(OR(D2996="",N(J2996)=0),"",MIN(1,N(K2996)/J2996))</f>
        <v/>
      </c>
      <c r="M2996" s="5" t="n"/>
      <c r="N2996" s="5" t="n"/>
      <c r="O2996" s="5" t="n"/>
      <c r="P2996" s="5" t="n"/>
      <c r="Q2996" s="5" t="n"/>
      <c r="R2996" s="4" t="n"/>
      <c r="S2996" s="4" t="n"/>
      <c r="T2996" s="5" t="n"/>
      <c r="U2996" s="8">
        <f>IF(AND(V2996=1,D2996&lt;&gt;""),IF(D2996&gt;=corte,TODAY()-D2996,""),"")</f>
        <v/>
      </c>
      <c r="V2996" s="8">
        <f>IF(D2996="",0,IF(OR(AND(P2996&lt;&gt;"",S2996=""),AND(N(J2996)&gt;0,N(K2996)&lt;J2996),OR(M2996="PENDENTE",M2996="PARCIAL"),OR(N2996="PENDENTE",N2996="PARCIAL")),1,0))</f>
        <v/>
      </c>
      <c r="W2996" s="8">
        <f>IF(AND(V2996=1,D2996&lt;&gt;""),IF(D2996&gt;=corte,(B2996="CRÍTICO")*1E9+(100000-D2996)*10000+10000-ROW(),""),"")</f>
        <v/>
      </c>
      <c r="X2996" s="8">
        <f>IF(AND(V2996=1,D2996=pas_data,E2996=pas_turno),10000-ROW(),"")</f>
        <v/>
      </c>
    </row>
    <row r="2997">
      <c r="A2997" s="3">
        <f>IF(D2997="","","TT-"&amp;TEXT(ROW()-1,"00000"))</f>
        <v/>
      </c>
      <c r="B2997" s="3">
        <f>IF(D2997="","",IF(V2997=0,"CONCLUÍDO",IF(D2997&lt;corte,"HISTÓRICO",IF(OR(AND(ISNUMBER(R2997),R2997&lt;TODAY()),AND(OR(N2997="PENDENTE",N2997="PARCIAL"),D2997&lt;TODAY()-1)),"CRÍTICO",IF(OR(AND(P2997&lt;&gt;"",S2997=""),AND(N2997="REALIZADO",M2997="PENDENTE"),AND(ISNUMBER(R2997),R2997=TODAY())),"ATENÇÃO",IF(N(K2997)=0,"PENDENTE","EM ANDAMENTO"))))))</f>
        <v/>
      </c>
      <c r="C2997" s="3">
        <f>IF(D2997="","",IF(V2997=0,"🟢 OK",IF(D2997&lt;corte,"⚪ HISTÓRICO (sem baixa)",IF(AND(ISNUMBER(R2997),R2997&lt;TODAY()),"🔴 PRAZO VENCIDO",IF(AND(OR(N2997="PENDENTE",N2997="PARCIAL"),D2997&lt;TODAY()-1),"🔴 EMBARQUE ATRASADO",IF(AND(N2997="REALIZADO",M2997="PENDENTE"),"🟡 EMBARCADO SEM FATURAR",IF(AND(P2997&lt;&gt;"",S2997="",OR(Q2997="",R2997="")),"🟡 PENDÊNCIA SEM RESPONSÁVEL/PRAZO",IF(AND(ISNUMBER(R2997),R2997=TODAY()),"🟡 VENCE HOJE",IF(AND(P2997&lt;&gt;"",S2997=""),"🟡 PENDÊNCIA ABERTA",IF(AND(N(J2997)&gt;0,N(K2997)&lt;J2997),"🟡 FALTA EXECUTAR",IF(OR(M2997="PENDENTE",M2997="PARCIAL"),"🟡 FATURAMENTO PENDENTE","🟡 EMBARQUE PENDENTE")))))))))))</f>
        <v/>
      </c>
      <c r="D2997" s="4" t="n"/>
      <c r="E2997" s="5" t="n"/>
      <c r="F2997" s="5" t="n"/>
      <c r="G2997" s="5" t="n"/>
      <c r="H2997" s="5" t="n"/>
      <c r="I2997" s="5" t="n"/>
      <c r="J2997" s="6" t="n"/>
      <c r="K2997" s="6" t="n"/>
      <c r="L2997" s="7">
        <f>IF(OR(D2997="",N(J2997)=0),"",MIN(1,N(K2997)/J2997))</f>
        <v/>
      </c>
      <c r="M2997" s="5" t="n"/>
      <c r="N2997" s="5" t="n"/>
      <c r="O2997" s="5" t="n"/>
      <c r="P2997" s="5" t="n"/>
      <c r="Q2997" s="5" t="n"/>
      <c r="R2997" s="4" t="n"/>
      <c r="S2997" s="4" t="n"/>
      <c r="T2997" s="5" t="n"/>
      <c r="U2997" s="8">
        <f>IF(AND(V2997=1,D2997&lt;&gt;""),IF(D2997&gt;=corte,TODAY()-D2997,""),"")</f>
        <v/>
      </c>
      <c r="V2997" s="8">
        <f>IF(D2997="",0,IF(OR(AND(P2997&lt;&gt;"",S2997=""),AND(N(J2997)&gt;0,N(K2997)&lt;J2997),OR(M2997="PENDENTE",M2997="PARCIAL"),OR(N2997="PENDENTE",N2997="PARCIAL")),1,0))</f>
        <v/>
      </c>
      <c r="W2997" s="8">
        <f>IF(AND(V2997=1,D2997&lt;&gt;""),IF(D2997&gt;=corte,(B2997="CRÍTICO")*1E9+(100000-D2997)*10000+10000-ROW(),""),"")</f>
        <v/>
      </c>
      <c r="X2997" s="8">
        <f>IF(AND(V2997=1,D2997=pas_data,E2997=pas_turno),10000-ROW(),"")</f>
        <v/>
      </c>
    </row>
    <row r="2998">
      <c r="A2998" s="3">
        <f>IF(D2998="","","TT-"&amp;TEXT(ROW()-1,"00000"))</f>
        <v/>
      </c>
      <c r="B2998" s="3">
        <f>IF(D2998="","",IF(V2998=0,"CONCLUÍDO",IF(D2998&lt;corte,"HISTÓRICO",IF(OR(AND(ISNUMBER(R2998),R2998&lt;TODAY()),AND(OR(N2998="PENDENTE",N2998="PARCIAL"),D2998&lt;TODAY()-1)),"CRÍTICO",IF(OR(AND(P2998&lt;&gt;"",S2998=""),AND(N2998="REALIZADO",M2998="PENDENTE"),AND(ISNUMBER(R2998),R2998=TODAY())),"ATENÇÃO",IF(N(K2998)=0,"PENDENTE","EM ANDAMENTO"))))))</f>
        <v/>
      </c>
      <c r="C2998" s="3">
        <f>IF(D2998="","",IF(V2998=0,"🟢 OK",IF(D2998&lt;corte,"⚪ HISTÓRICO (sem baixa)",IF(AND(ISNUMBER(R2998),R2998&lt;TODAY()),"🔴 PRAZO VENCIDO",IF(AND(OR(N2998="PENDENTE",N2998="PARCIAL"),D2998&lt;TODAY()-1),"🔴 EMBARQUE ATRASADO",IF(AND(N2998="REALIZADO",M2998="PENDENTE"),"🟡 EMBARCADO SEM FATURAR",IF(AND(P2998&lt;&gt;"",S2998="",OR(Q2998="",R2998="")),"🟡 PENDÊNCIA SEM RESPONSÁVEL/PRAZO",IF(AND(ISNUMBER(R2998),R2998=TODAY()),"🟡 VENCE HOJE",IF(AND(P2998&lt;&gt;"",S2998=""),"🟡 PENDÊNCIA ABERTA",IF(AND(N(J2998)&gt;0,N(K2998)&lt;J2998),"🟡 FALTA EXECUTAR",IF(OR(M2998="PENDENTE",M2998="PARCIAL"),"🟡 FATURAMENTO PENDENTE","🟡 EMBARQUE PENDENTE")))))))))))</f>
        <v/>
      </c>
      <c r="D2998" s="4" t="n"/>
      <c r="E2998" s="5" t="n"/>
      <c r="F2998" s="5" t="n"/>
      <c r="G2998" s="5" t="n"/>
      <c r="H2998" s="5" t="n"/>
      <c r="I2998" s="5" t="n"/>
      <c r="J2998" s="6" t="n"/>
      <c r="K2998" s="6" t="n"/>
      <c r="L2998" s="7">
        <f>IF(OR(D2998="",N(J2998)=0),"",MIN(1,N(K2998)/J2998))</f>
        <v/>
      </c>
      <c r="M2998" s="5" t="n"/>
      <c r="N2998" s="5" t="n"/>
      <c r="O2998" s="5" t="n"/>
      <c r="P2998" s="5" t="n"/>
      <c r="Q2998" s="5" t="n"/>
      <c r="R2998" s="4" t="n"/>
      <c r="S2998" s="4" t="n"/>
      <c r="T2998" s="5" t="n"/>
      <c r="U2998" s="8">
        <f>IF(AND(V2998=1,D2998&lt;&gt;""),IF(D2998&gt;=corte,TODAY()-D2998,""),"")</f>
        <v/>
      </c>
      <c r="V2998" s="8">
        <f>IF(D2998="",0,IF(OR(AND(P2998&lt;&gt;"",S2998=""),AND(N(J2998)&gt;0,N(K2998)&lt;J2998),OR(M2998="PENDENTE",M2998="PARCIAL"),OR(N2998="PENDENTE",N2998="PARCIAL")),1,0))</f>
        <v/>
      </c>
      <c r="W2998" s="8">
        <f>IF(AND(V2998=1,D2998&lt;&gt;""),IF(D2998&gt;=corte,(B2998="CRÍTICO")*1E9+(100000-D2998)*10000+10000-ROW(),""),"")</f>
        <v/>
      </c>
      <c r="X2998" s="8">
        <f>IF(AND(V2998=1,D2998=pas_data,E2998=pas_turno),10000-ROW(),"")</f>
        <v/>
      </c>
    </row>
    <row r="2999">
      <c r="A2999" s="3">
        <f>IF(D2999="","","TT-"&amp;TEXT(ROW()-1,"00000"))</f>
        <v/>
      </c>
      <c r="B2999" s="3">
        <f>IF(D2999="","",IF(V2999=0,"CONCLUÍDO",IF(D2999&lt;corte,"HISTÓRICO",IF(OR(AND(ISNUMBER(R2999),R2999&lt;TODAY()),AND(OR(N2999="PENDENTE",N2999="PARCIAL"),D2999&lt;TODAY()-1)),"CRÍTICO",IF(OR(AND(P2999&lt;&gt;"",S2999=""),AND(N2999="REALIZADO",M2999="PENDENTE"),AND(ISNUMBER(R2999),R2999=TODAY())),"ATENÇÃO",IF(N(K2999)=0,"PENDENTE","EM ANDAMENTO"))))))</f>
        <v/>
      </c>
      <c r="C2999" s="3">
        <f>IF(D2999="","",IF(V2999=0,"🟢 OK",IF(D2999&lt;corte,"⚪ HISTÓRICO (sem baixa)",IF(AND(ISNUMBER(R2999),R2999&lt;TODAY()),"🔴 PRAZO VENCIDO",IF(AND(OR(N2999="PENDENTE",N2999="PARCIAL"),D2999&lt;TODAY()-1),"🔴 EMBARQUE ATRASADO",IF(AND(N2999="REALIZADO",M2999="PENDENTE"),"🟡 EMBARCADO SEM FATURAR",IF(AND(P2999&lt;&gt;"",S2999="",OR(Q2999="",R2999="")),"🟡 PENDÊNCIA SEM RESPONSÁVEL/PRAZO",IF(AND(ISNUMBER(R2999),R2999=TODAY()),"🟡 VENCE HOJE",IF(AND(P2999&lt;&gt;"",S2999=""),"🟡 PENDÊNCIA ABERTA",IF(AND(N(J2999)&gt;0,N(K2999)&lt;J2999),"🟡 FALTA EXECUTAR",IF(OR(M2999="PENDENTE",M2999="PARCIAL"),"🟡 FATURAMENTO PENDENTE","🟡 EMBARQUE PENDENTE")))))))))))</f>
        <v/>
      </c>
      <c r="D2999" s="4" t="n"/>
      <c r="E2999" s="5" t="n"/>
      <c r="F2999" s="5" t="n"/>
      <c r="G2999" s="5" t="n"/>
      <c r="H2999" s="5" t="n"/>
      <c r="I2999" s="5" t="n"/>
      <c r="J2999" s="6" t="n"/>
      <c r="K2999" s="6" t="n"/>
      <c r="L2999" s="7">
        <f>IF(OR(D2999="",N(J2999)=0),"",MIN(1,N(K2999)/J2999))</f>
        <v/>
      </c>
      <c r="M2999" s="5" t="n"/>
      <c r="N2999" s="5" t="n"/>
      <c r="O2999" s="5" t="n"/>
      <c r="P2999" s="5" t="n"/>
      <c r="Q2999" s="5" t="n"/>
      <c r="R2999" s="4" t="n"/>
      <c r="S2999" s="4" t="n"/>
      <c r="T2999" s="5" t="n"/>
      <c r="U2999" s="8">
        <f>IF(AND(V2999=1,D2999&lt;&gt;""),IF(D2999&gt;=corte,TODAY()-D2999,""),"")</f>
        <v/>
      </c>
      <c r="V2999" s="8">
        <f>IF(D2999="",0,IF(OR(AND(P2999&lt;&gt;"",S2999=""),AND(N(J2999)&gt;0,N(K2999)&lt;J2999),OR(M2999="PENDENTE",M2999="PARCIAL"),OR(N2999="PENDENTE",N2999="PARCIAL")),1,0))</f>
        <v/>
      </c>
      <c r="W2999" s="8">
        <f>IF(AND(V2999=1,D2999&lt;&gt;""),IF(D2999&gt;=corte,(B2999="CRÍTICO")*1E9+(100000-D2999)*10000+10000-ROW(),""),"")</f>
        <v/>
      </c>
      <c r="X2999" s="8">
        <f>IF(AND(V2999=1,D2999=pas_data,E2999=pas_turno),10000-ROW(),"")</f>
        <v/>
      </c>
    </row>
    <row r="3000">
      <c r="A3000" s="3">
        <f>IF(D3000="","","TT-"&amp;TEXT(ROW()-1,"00000"))</f>
        <v/>
      </c>
      <c r="B3000" s="3">
        <f>IF(D3000="","",IF(V3000=0,"CONCLUÍDO",IF(D3000&lt;corte,"HISTÓRICO",IF(OR(AND(ISNUMBER(R3000),R3000&lt;TODAY()),AND(OR(N3000="PENDENTE",N3000="PARCIAL"),D3000&lt;TODAY()-1)),"CRÍTICO",IF(OR(AND(P3000&lt;&gt;"",S3000=""),AND(N3000="REALIZADO",M3000="PENDENTE"),AND(ISNUMBER(R3000),R3000=TODAY())),"ATENÇÃO",IF(N(K3000)=0,"PENDENTE","EM ANDAMENTO"))))))</f>
        <v/>
      </c>
      <c r="C3000" s="3">
        <f>IF(D3000="","",IF(V3000=0,"🟢 OK",IF(D3000&lt;corte,"⚪ HISTÓRICO (sem baixa)",IF(AND(ISNUMBER(R3000),R3000&lt;TODAY()),"🔴 PRAZO VENCIDO",IF(AND(OR(N3000="PENDENTE",N3000="PARCIAL"),D3000&lt;TODAY()-1),"🔴 EMBARQUE ATRASADO",IF(AND(N3000="REALIZADO",M3000="PENDENTE"),"🟡 EMBARCADO SEM FATURAR",IF(AND(P3000&lt;&gt;"",S3000="",OR(Q3000="",R3000="")),"🟡 PENDÊNCIA SEM RESPONSÁVEL/PRAZO",IF(AND(ISNUMBER(R3000),R3000=TODAY()),"🟡 VENCE HOJE",IF(AND(P3000&lt;&gt;"",S3000=""),"🟡 PENDÊNCIA ABERTA",IF(AND(N(J3000)&gt;0,N(K3000)&lt;J3000),"🟡 FALTA EXECUTAR",IF(OR(M3000="PENDENTE",M3000="PARCIAL"),"🟡 FATURAMENTO PENDENTE","🟡 EMBARQUE PENDENTE")))))))))))</f>
        <v/>
      </c>
      <c r="D3000" s="4" t="n"/>
      <c r="E3000" s="5" t="n"/>
      <c r="F3000" s="5" t="n"/>
      <c r="G3000" s="5" t="n"/>
      <c r="H3000" s="5" t="n"/>
      <c r="I3000" s="5" t="n"/>
      <c r="J3000" s="6" t="n"/>
      <c r="K3000" s="6" t="n"/>
      <c r="L3000" s="7">
        <f>IF(OR(D3000="",N(J3000)=0),"",MIN(1,N(K3000)/J3000))</f>
        <v/>
      </c>
      <c r="M3000" s="5" t="n"/>
      <c r="N3000" s="5" t="n"/>
      <c r="O3000" s="5" t="n"/>
      <c r="P3000" s="5" t="n"/>
      <c r="Q3000" s="5" t="n"/>
      <c r="R3000" s="4" t="n"/>
      <c r="S3000" s="4" t="n"/>
      <c r="T3000" s="5" t="n"/>
      <c r="U3000" s="8">
        <f>IF(AND(V3000=1,D3000&lt;&gt;""),IF(D3000&gt;=corte,TODAY()-D3000,""),"")</f>
        <v/>
      </c>
      <c r="V3000" s="8">
        <f>IF(D3000="",0,IF(OR(AND(P3000&lt;&gt;"",S3000=""),AND(N(J3000)&gt;0,N(K3000)&lt;J3000),OR(M3000="PENDENTE",M3000="PARCIAL"),OR(N3000="PENDENTE",N3000="PARCIAL")),1,0))</f>
        <v/>
      </c>
      <c r="W3000" s="8">
        <f>IF(AND(V3000=1,D3000&lt;&gt;""),IF(D3000&gt;=corte,(B3000="CRÍTICO")*1E9+(100000-D3000)*10000+10000-ROW(),""),"")</f>
        <v/>
      </c>
      <c r="X3000" s="8">
        <f>IF(AND(V3000=1,D3000=pas_data,E3000=pas_turno),10000-ROW(),"")</f>
        <v/>
      </c>
    </row>
    <row r="3001">
      <c r="A3001" s="3">
        <f>IF(D3001="","","TT-"&amp;TEXT(ROW()-1,"00000"))</f>
        <v/>
      </c>
      <c r="B3001" s="3">
        <f>IF(D3001="","",IF(V3001=0,"CONCLUÍDO",IF(D3001&lt;corte,"HISTÓRICO",IF(OR(AND(ISNUMBER(R3001),R3001&lt;TODAY()),AND(OR(N3001="PENDENTE",N3001="PARCIAL"),D3001&lt;TODAY()-1)),"CRÍTICO",IF(OR(AND(P3001&lt;&gt;"",S3001=""),AND(N3001="REALIZADO",M3001="PENDENTE"),AND(ISNUMBER(R3001),R3001=TODAY())),"ATENÇÃO",IF(N(K3001)=0,"PENDENTE","EM ANDAMENTO"))))))</f>
        <v/>
      </c>
      <c r="C3001" s="3">
        <f>IF(D3001="","",IF(V3001=0,"🟢 OK",IF(D3001&lt;corte,"⚪ HISTÓRICO (sem baixa)",IF(AND(ISNUMBER(R3001),R3001&lt;TODAY()),"🔴 PRAZO VENCIDO",IF(AND(OR(N3001="PENDENTE",N3001="PARCIAL"),D3001&lt;TODAY()-1),"🔴 EMBARQUE ATRASADO",IF(AND(N3001="REALIZADO",M3001="PENDENTE"),"🟡 EMBARCADO SEM FATURAR",IF(AND(P3001&lt;&gt;"",S3001="",OR(Q3001="",R3001="")),"🟡 PENDÊNCIA SEM RESPONSÁVEL/PRAZO",IF(AND(ISNUMBER(R3001),R3001=TODAY()),"🟡 VENCE HOJE",IF(AND(P3001&lt;&gt;"",S3001=""),"🟡 PENDÊNCIA ABERTA",IF(AND(N(J3001)&gt;0,N(K3001)&lt;J3001),"🟡 FALTA EXECUTAR",IF(OR(M3001="PENDENTE",M3001="PARCIAL"),"🟡 FATURAMENTO PENDENTE","🟡 EMBARQUE PENDENTE")))))))))))</f>
        <v/>
      </c>
      <c r="D3001" s="4" t="n"/>
      <c r="E3001" s="5" t="n"/>
      <c r="F3001" s="5" t="n"/>
      <c r="G3001" s="5" t="n"/>
      <c r="H3001" s="5" t="n"/>
      <c r="I3001" s="5" t="n"/>
      <c r="J3001" s="6" t="n"/>
      <c r="K3001" s="6" t="n"/>
      <c r="L3001" s="7">
        <f>IF(OR(D3001="",N(J3001)=0),"",MIN(1,N(K3001)/J3001))</f>
        <v/>
      </c>
      <c r="M3001" s="5" t="n"/>
      <c r="N3001" s="5" t="n"/>
      <c r="O3001" s="5" t="n"/>
      <c r="P3001" s="5" t="n"/>
      <c r="Q3001" s="5" t="n"/>
      <c r="R3001" s="4" t="n"/>
      <c r="S3001" s="4" t="n"/>
      <c r="T3001" s="5" t="n"/>
      <c r="U3001" s="8">
        <f>IF(AND(V3001=1,D3001&lt;&gt;""),IF(D3001&gt;=corte,TODAY()-D3001,""),"")</f>
        <v/>
      </c>
      <c r="V3001" s="8">
        <f>IF(D3001="",0,IF(OR(AND(P3001&lt;&gt;"",S3001=""),AND(N(J3001)&gt;0,N(K3001)&lt;J3001),OR(M3001="PENDENTE",M3001="PARCIAL"),OR(N3001="PENDENTE",N3001="PARCIAL")),1,0))</f>
        <v/>
      </c>
      <c r="W3001" s="8">
        <f>IF(AND(V3001=1,D3001&lt;&gt;""),IF(D3001&gt;=corte,(B3001="CRÍTICO")*1E9+(100000-D3001)*10000+10000-ROW(),""),"")</f>
        <v/>
      </c>
      <c r="X3001" s="8">
        <f>IF(AND(V3001=1,D3001=pas_data,E3001=pas_turno),10000-ROW(),"")</f>
        <v/>
      </c>
    </row>
    <row r="3002">
      <c r="A3002" s="3">
        <f>IF(D3002="","","TT-"&amp;TEXT(ROW()-1,"00000"))</f>
        <v/>
      </c>
      <c r="B3002" s="3">
        <f>IF(D3002="","",IF(V3002=0,"CONCLUÍDO",IF(D3002&lt;corte,"HISTÓRICO",IF(OR(AND(ISNUMBER(R3002),R3002&lt;TODAY()),AND(OR(N3002="PENDENTE",N3002="PARCIAL"),D3002&lt;TODAY()-1)),"CRÍTICO",IF(OR(AND(P3002&lt;&gt;"",S3002=""),AND(N3002="REALIZADO",M3002="PENDENTE"),AND(ISNUMBER(R3002),R3002=TODAY())),"ATENÇÃO",IF(N(K3002)=0,"PENDENTE","EM ANDAMENTO"))))))</f>
        <v/>
      </c>
      <c r="C3002" s="3">
        <f>IF(D3002="","",IF(V3002=0,"🟢 OK",IF(D3002&lt;corte,"⚪ HISTÓRICO (sem baixa)",IF(AND(ISNUMBER(R3002),R3002&lt;TODAY()),"🔴 PRAZO VENCIDO",IF(AND(OR(N3002="PENDENTE",N3002="PARCIAL"),D3002&lt;TODAY()-1),"🔴 EMBARQUE ATRASADO",IF(AND(N3002="REALIZADO",M3002="PENDENTE"),"🟡 EMBARCADO SEM FATURAR",IF(AND(P3002&lt;&gt;"",S3002="",OR(Q3002="",R3002="")),"🟡 PENDÊNCIA SEM RESPONSÁVEL/PRAZO",IF(AND(ISNUMBER(R3002),R3002=TODAY()),"🟡 VENCE HOJE",IF(AND(P3002&lt;&gt;"",S3002=""),"🟡 PENDÊNCIA ABERTA",IF(AND(N(J3002)&gt;0,N(K3002)&lt;J3002),"🟡 FALTA EXECUTAR",IF(OR(M3002="PENDENTE",M3002="PARCIAL"),"🟡 FATURAMENTO PENDENTE","🟡 EMBARQUE PENDENTE")))))))))))</f>
        <v/>
      </c>
      <c r="D3002" s="4" t="n"/>
      <c r="E3002" s="5" t="n"/>
      <c r="F3002" s="5" t="n"/>
      <c r="G3002" s="5" t="n"/>
      <c r="H3002" s="5" t="n"/>
      <c r="I3002" s="5" t="n"/>
      <c r="J3002" s="6" t="n"/>
      <c r="K3002" s="6" t="n"/>
      <c r="L3002" s="7">
        <f>IF(OR(D3002="",N(J3002)=0),"",MIN(1,N(K3002)/J3002))</f>
        <v/>
      </c>
      <c r="M3002" s="5" t="n"/>
      <c r="N3002" s="5" t="n"/>
      <c r="O3002" s="5" t="n"/>
      <c r="P3002" s="5" t="n"/>
      <c r="Q3002" s="5" t="n"/>
      <c r="R3002" s="4" t="n"/>
      <c r="S3002" s="4" t="n"/>
      <c r="T3002" s="5" t="n"/>
      <c r="U3002" s="8">
        <f>IF(AND(V3002=1,D3002&lt;&gt;""),IF(D3002&gt;=corte,TODAY()-D3002,""),"")</f>
        <v/>
      </c>
      <c r="V3002" s="8">
        <f>IF(D3002="",0,IF(OR(AND(P3002&lt;&gt;"",S3002=""),AND(N(J3002)&gt;0,N(K3002)&lt;J3002),OR(M3002="PENDENTE",M3002="PARCIAL"),OR(N3002="PENDENTE",N3002="PARCIAL")),1,0))</f>
        <v/>
      </c>
      <c r="W3002" s="8">
        <f>IF(AND(V3002=1,D3002&lt;&gt;""),IF(D3002&gt;=corte,(B3002="CRÍTICO")*1E9+(100000-D3002)*10000+10000-ROW(),""),"")</f>
        <v/>
      </c>
      <c r="X3002" s="8">
        <f>IF(AND(V3002=1,D3002=pas_data,E3002=pas_turno),10000-ROW(),"")</f>
        <v/>
      </c>
    </row>
    <row r="3003">
      <c r="A3003" s="3">
        <f>IF(D3003="","","TT-"&amp;TEXT(ROW()-1,"00000"))</f>
        <v/>
      </c>
      <c r="B3003" s="3">
        <f>IF(D3003="","",IF(V3003=0,"CONCLUÍDO",IF(D3003&lt;corte,"HISTÓRICO",IF(OR(AND(ISNUMBER(R3003),R3003&lt;TODAY()),AND(OR(N3003="PENDENTE",N3003="PARCIAL"),D3003&lt;TODAY()-1)),"CRÍTICO",IF(OR(AND(P3003&lt;&gt;"",S3003=""),AND(N3003="REALIZADO",M3003="PENDENTE"),AND(ISNUMBER(R3003),R3003=TODAY())),"ATENÇÃO",IF(N(K3003)=0,"PENDENTE","EM ANDAMENTO"))))))</f>
        <v/>
      </c>
      <c r="C3003" s="3">
        <f>IF(D3003="","",IF(V3003=0,"🟢 OK",IF(D3003&lt;corte,"⚪ HISTÓRICO (sem baixa)",IF(AND(ISNUMBER(R3003),R3003&lt;TODAY()),"🔴 PRAZO VENCIDO",IF(AND(OR(N3003="PENDENTE",N3003="PARCIAL"),D3003&lt;TODAY()-1),"🔴 EMBARQUE ATRASADO",IF(AND(N3003="REALIZADO",M3003="PENDENTE"),"🟡 EMBARCADO SEM FATURAR",IF(AND(P3003&lt;&gt;"",S3003="",OR(Q3003="",R3003="")),"🟡 PENDÊNCIA SEM RESPONSÁVEL/PRAZO",IF(AND(ISNUMBER(R3003),R3003=TODAY()),"🟡 VENCE HOJE",IF(AND(P3003&lt;&gt;"",S3003=""),"🟡 PENDÊNCIA ABERTA",IF(AND(N(J3003)&gt;0,N(K3003)&lt;J3003),"🟡 FALTA EXECUTAR",IF(OR(M3003="PENDENTE",M3003="PARCIAL"),"🟡 FATURAMENTO PENDENTE","🟡 EMBARQUE PENDENTE")))))))))))</f>
        <v/>
      </c>
      <c r="D3003" s="4" t="n"/>
      <c r="E3003" s="5" t="n"/>
      <c r="F3003" s="5" t="n"/>
      <c r="G3003" s="5" t="n"/>
      <c r="H3003" s="5" t="n"/>
      <c r="I3003" s="5" t="n"/>
      <c r="J3003" s="6" t="n"/>
      <c r="K3003" s="6" t="n"/>
      <c r="L3003" s="7">
        <f>IF(OR(D3003="",N(J3003)=0),"",MIN(1,N(K3003)/J3003))</f>
        <v/>
      </c>
      <c r="M3003" s="5" t="n"/>
      <c r="N3003" s="5" t="n"/>
      <c r="O3003" s="5" t="n"/>
      <c r="P3003" s="5" t="n"/>
      <c r="Q3003" s="5" t="n"/>
      <c r="R3003" s="4" t="n"/>
      <c r="S3003" s="4" t="n"/>
      <c r="T3003" s="5" t="n"/>
      <c r="U3003" s="8">
        <f>IF(AND(V3003=1,D3003&lt;&gt;""),IF(D3003&gt;=corte,TODAY()-D3003,""),"")</f>
        <v/>
      </c>
      <c r="V3003" s="8">
        <f>IF(D3003="",0,IF(OR(AND(P3003&lt;&gt;"",S3003=""),AND(N(J3003)&gt;0,N(K3003)&lt;J3003),OR(M3003="PENDENTE",M3003="PARCIAL"),OR(N3003="PENDENTE",N3003="PARCIAL")),1,0))</f>
        <v/>
      </c>
      <c r="W3003" s="8">
        <f>IF(AND(V3003=1,D3003&lt;&gt;""),IF(D3003&gt;=corte,(B3003="CRÍTICO")*1E9+(100000-D3003)*10000+10000-ROW(),""),"")</f>
        <v/>
      </c>
      <c r="X3003" s="8">
        <f>IF(AND(V3003=1,D3003=pas_data,E3003=pas_turno),10000-ROW(),"")</f>
        <v/>
      </c>
    </row>
    <row r="3004">
      <c r="A3004" s="3">
        <f>IF(D3004="","","TT-"&amp;TEXT(ROW()-1,"00000"))</f>
        <v/>
      </c>
      <c r="B3004" s="3">
        <f>IF(D3004="","",IF(V3004=0,"CONCLUÍDO",IF(D3004&lt;corte,"HISTÓRICO",IF(OR(AND(ISNUMBER(R3004),R3004&lt;TODAY()),AND(OR(N3004="PENDENTE",N3004="PARCIAL"),D3004&lt;TODAY()-1)),"CRÍTICO",IF(OR(AND(P3004&lt;&gt;"",S3004=""),AND(N3004="REALIZADO",M3004="PENDENTE"),AND(ISNUMBER(R3004),R3004=TODAY())),"ATENÇÃO",IF(N(K3004)=0,"PENDENTE","EM ANDAMENTO"))))))</f>
        <v/>
      </c>
      <c r="C3004" s="3">
        <f>IF(D3004="","",IF(V3004=0,"🟢 OK",IF(D3004&lt;corte,"⚪ HISTÓRICO (sem baixa)",IF(AND(ISNUMBER(R3004),R3004&lt;TODAY()),"🔴 PRAZO VENCIDO",IF(AND(OR(N3004="PENDENTE",N3004="PARCIAL"),D3004&lt;TODAY()-1),"🔴 EMBARQUE ATRASADO",IF(AND(N3004="REALIZADO",M3004="PENDENTE"),"🟡 EMBARCADO SEM FATURAR",IF(AND(P3004&lt;&gt;"",S3004="",OR(Q3004="",R3004="")),"🟡 PENDÊNCIA SEM RESPONSÁVEL/PRAZO",IF(AND(ISNUMBER(R3004),R3004=TODAY()),"🟡 VENCE HOJE",IF(AND(P3004&lt;&gt;"",S3004=""),"🟡 PENDÊNCIA ABERTA",IF(AND(N(J3004)&gt;0,N(K3004)&lt;J3004),"🟡 FALTA EXECUTAR",IF(OR(M3004="PENDENTE",M3004="PARCIAL"),"🟡 FATURAMENTO PENDENTE","🟡 EMBARQUE PENDENTE")))))))))))</f>
        <v/>
      </c>
      <c r="D3004" s="4" t="n"/>
      <c r="E3004" s="5" t="n"/>
      <c r="F3004" s="5" t="n"/>
      <c r="G3004" s="5" t="n"/>
      <c r="H3004" s="5" t="n"/>
      <c r="I3004" s="5" t="n"/>
      <c r="J3004" s="6" t="n"/>
      <c r="K3004" s="6" t="n"/>
      <c r="L3004" s="7">
        <f>IF(OR(D3004="",N(J3004)=0),"",MIN(1,N(K3004)/J3004))</f>
        <v/>
      </c>
      <c r="M3004" s="5" t="n"/>
      <c r="N3004" s="5" t="n"/>
      <c r="O3004" s="5" t="n"/>
      <c r="P3004" s="5" t="n"/>
      <c r="Q3004" s="5" t="n"/>
      <c r="R3004" s="4" t="n"/>
      <c r="S3004" s="4" t="n"/>
      <c r="T3004" s="5" t="n"/>
      <c r="U3004" s="8">
        <f>IF(AND(V3004=1,D3004&lt;&gt;""),IF(D3004&gt;=corte,TODAY()-D3004,""),"")</f>
        <v/>
      </c>
      <c r="V3004" s="8">
        <f>IF(D3004="",0,IF(OR(AND(P3004&lt;&gt;"",S3004=""),AND(N(J3004)&gt;0,N(K3004)&lt;J3004),OR(M3004="PENDENTE",M3004="PARCIAL"),OR(N3004="PENDENTE",N3004="PARCIAL")),1,0))</f>
        <v/>
      </c>
      <c r="W3004" s="8">
        <f>IF(AND(V3004=1,D3004&lt;&gt;""),IF(D3004&gt;=corte,(B3004="CRÍTICO")*1E9+(100000-D3004)*10000+10000-ROW(),""),"")</f>
        <v/>
      </c>
      <c r="X3004" s="8">
        <f>IF(AND(V3004=1,D3004=pas_data,E3004=pas_turno),10000-ROW(),"")</f>
        <v/>
      </c>
    </row>
    <row r="3005">
      <c r="A3005" s="3">
        <f>IF(D3005="","","TT-"&amp;TEXT(ROW()-1,"00000"))</f>
        <v/>
      </c>
      <c r="B3005" s="3">
        <f>IF(D3005="","",IF(V3005=0,"CONCLUÍDO",IF(D3005&lt;corte,"HISTÓRICO",IF(OR(AND(ISNUMBER(R3005),R3005&lt;TODAY()),AND(OR(N3005="PENDENTE",N3005="PARCIAL"),D3005&lt;TODAY()-1)),"CRÍTICO",IF(OR(AND(P3005&lt;&gt;"",S3005=""),AND(N3005="REALIZADO",M3005="PENDENTE"),AND(ISNUMBER(R3005),R3005=TODAY())),"ATENÇÃO",IF(N(K3005)=0,"PENDENTE","EM ANDAMENTO"))))))</f>
        <v/>
      </c>
      <c r="C3005" s="3">
        <f>IF(D3005="","",IF(V3005=0,"🟢 OK",IF(D3005&lt;corte,"⚪ HISTÓRICO (sem baixa)",IF(AND(ISNUMBER(R3005),R3005&lt;TODAY()),"🔴 PRAZO VENCIDO",IF(AND(OR(N3005="PENDENTE",N3005="PARCIAL"),D3005&lt;TODAY()-1),"🔴 EMBARQUE ATRASADO",IF(AND(N3005="REALIZADO",M3005="PENDENTE"),"🟡 EMBARCADO SEM FATURAR",IF(AND(P3005&lt;&gt;"",S3005="",OR(Q3005="",R3005="")),"🟡 PENDÊNCIA SEM RESPONSÁVEL/PRAZO",IF(AND(ISNUMBER(R3005),R3005=TODAY()),"🟡 VENCE HOJE",IF(AND(P3005&lt;&gt;"",S3005=""),"🟡 PENDÊNCIA ABERTA",IF(AND(N(J3005)&gt;0,N(K3005)&lt;J3005),"🟡 FALTA EXECUTAR",IF(OR(M3005="PENDENTE",M3005="PARCIAL"),"🟡 FATURAMENTO PENDENTE","🟡 EMBARQUE PENDENTE")))))))))))</f>
        <v/>
      </c>
      <c r="D3005" s="4" t="n"/>
      <c r="E3005" s="5" t="n"/>
      <c r="F3005" s="5" t="n"/>
      <c r="G3005" s="5" t="n"/>
      <c r="H3005" s="5" t="n"/>
      <c r="I3005" s="5" t="n"/>
      <c r="J3005" s="6" t="n"/>
      <c r="K3005" s="6" t="n"/>
      <c r="L3005" s="7">
        <f>IF(OR(D3005="",N(J3005)=0),"",MIN(1,N(K3005)/J3005))</f>
        <v/>
      </c>
      <c r="M3005" s="5" t="n"/>
      <c r="N3005" s="5" t="n"/>
      <c r="O3005" s="5" t="n"/>
      <c r="P3005" s="5" t="n"/>
      <c r="Q3005" s="5" t="n"/>
      <c r="R3005" s="4" t="n"/>
      <c r="S3005" s="4" t="n"/>
      <c r="T3005" s="5" t="n"/>
      <c r="U3005" s="8">
        <f>IF(AND(V3005=1,D3005&lt;&gt;""),IF(D3005&gt;=corte,TODAY()-D3005,""),"")</f>
        <v/>
      </c>
      <c r="V3005" s="8">
        <f>IF(D3005="",0,IF(OR(AND(P3005&lt;&gt;"",S3005=""),AND(N(J3005)&gt;0,N(K3005)&lt;J3005),OR(M3005="PENDENTE",M3005="PARCIAL"),OR(N3005="PENDENTE",N3005="PARCIAL")),1,0))</f>
        <v/>
      </c>
      <c r="W3005" s="8">
        <f>IF(AND(V3005=1,D3005&lt;&gt;""),IF(D3005&gt;=corte,(B3005="CRÍTICO")*1E9+(100000-D3005)*10000+10000-ROW(),""),"")</f>
        <v/>
      </c>
      <c r="X3005" s="8">
        <f>IF(AND(V3005=1,D3005=pas_data,E3005=pas_turno),10000-ROW(),"")</f>
        <v/>
      </c>
    </row>
    <row r="3006">
      <c r="A3006" s="3">
        <f>IF(D3006="","","TT-"&amp;TEXT(ROW()-1,"00000"))</f>
        <v/>
      </c>
      <c r="B3006" s="3">
        <f>IF(D3006="","",IF(V3006=0,"CONCLUÍDO",IF(D3006&lt;corte,"HISTÓRICO",IF(OR(AND(ISNUMBER(R3006),R3006&lt;TODAY()),AND(OR(N3006="PENDENTE",N3006="PARCIAL"),D3006&lt;TODAY()-1)),"CRÍTICO",IF(OR(AND(P3006&lt;&gt;"",S3006=""),AND(N3006="REALIZADO",M3006="PENDENTE"),AND(ISNUMBER(R3006),R3006=TODAY())),"ATENÇÃO",IF(N(K3006)=0,"PENDENTE","EM ANDAMENTO"))))))</f>
        <v/>
      </c>
      <c r="C3006" s="3">
        <f>IF(D3006="","",IF(V3006=0,"🟢 OK",IF(D3006&lt;corte,"⚪ HISTÓRICO (sem baixa)",IF(AND(ISNUMBER(R3006),R3006&lt;TODAY()),"🔴 PRAZO VENCIDO",IF(AND(OR(N3006="PENDENTE",N3006="PARCIAL"),D3006&lt;TODAY()-1),"🔴 EMBARQUE ATRASADO",IF(AND(N3006="REALIZADO",M3006="PENDENTE"),"🟡 EMBARCADO SEM FATURAR",IF(AND(P3006&lt;&gt;"",S3006="",OR(Q3006="",R3006="")),"🟡 PENDÊNCIA SEM RESPONSÁVEL/PRAZO",IF(AND(ISNUMBER(R3006),R3006=TODAY()),"🟡 VENCE HOJE",IF(AND(P3006&lt;&gt;"",S3006=""),"🟡 PENDÊNCIA ABERTA",IF(AND(N(J3006)&gt;0,N(K3006)&lt;J3006),"🟡 FALTA EXECUTAR",IF(OR(M3006="PENDENTE",M3006="PARCIAL"),"🟡 FATURAMENTO PENDENTE","🟡 EMBARQUE PENDENTE")))))))))))</f>
        <v/>
      </c>
      <c r="D3006" s="4" t="n"/>
      <c r="E3006" s="5" t="n"/>
      <c r="F3006" s="5" t="n"/>
      <c r="G3006" s="5" t="n"/>
      <c r="H3006" s="5" t="n"/>
      <c r="I3006" s="5" t="n"/>
      <c r="J3006" s="6" t="n"/>
      <c r="K3006" s="6" t="n"/>
      <c r="L3006" s="7">
        <f>IF(OR(D3006="",N(J3006)=0),"",MIN(1,N(K3006)/J3006))</f>
        <v/>
      </c>
      <c r="M3006" s="5" t="n"/>
      <c r="N3006" s="5" t="n"/>
      <c r="O3006" s="5" t="n"/>
      <c r="P3006" s="5" t="n"/>
      <c r="Q3006" s="5" t="n"/>
      <c r="R3006" s="4" t="n"/>
      <c r="S3006" s="4" t="n"/>
      <c r="T3006" s="5" t="n"/>
      <c r="U3006" s="8">
        <f>IF(AND(V3006=1,D3006&lt;&gt;""),IF(D3006&gt;=corte,TODAY()-D3006,""),"")</f>
        <v/>
      </c>
      <c r="V3006" s="8">
        <f>IF(D3006="",0,IF(OR(AND(P3006&lt;&gt;"",S3006=""),AND(N(J3006)&gt;0,N(K3006)&lt;J3006),OR(M3006="PENDENTE",M3006="PARCIAL"),OR(N3006="PENDENTE",N3006="PARCIAL")),1,0))</f>
        <v/>
      </c>
      <c r="W3006" s="8">
        <f>IF(AND(V3006=1,D3006&lt;&gt;""),IF(D3006&gt;=corte,(B3006="CRÍTICO")*1E9+(100000-D3006)*10000+10000-ROW(),""),"")</f>
        <v/>
      </c>
      <c r="X3006" s="8">
        <f>IF(AND(V3006=1,D3006=pas_data,E3006=pas_turno),10000-ROW(),"")</f>
        <v/>
      </c>
    </row>
    <row r="3007">
      <c r="A3007" s="3">
        <f>IF(D3007="","","TT-"&amp;TEXT(ROW()-1,"00000"))</f>
        <v/>
      </c>
      <c r="B3007" s="3">
        <f>IF(D3007="","",IF(V3007=0,"CONCLUÍDO",IF(D3007&lt;corte,"HISTÓRICO",IF(OR(AND(ISNUMBER(R3007),R3007&lt;TODAY()),AND(OR(N3007="PENDENTE",N3007="PARCIAL"),D3007&lt;TODAY()-1)),"CRÍTICO",IF(OR(AND(P3007&lt;&gt;"",S3007=""),AND(N3007="REALIZADO",M3007="PENDENTE"),AND(ISNUMBER(R3007),R3007=TODAY())),"ATENÇÃO",IF(N(K3007)=0,"PENDENTE","EM ANDAMENTO"))))))</f>
        <v/>
      </c>
      <c r="C3007" s="3">
        <f>IF(D3007="","",IF(V3007=0,"🟢 OK",IF(D3007&lt;corte,"⚪ HISTÓRICO (sem baixa)",IF(AND(ISNUMBER(R3007),R3007&lt;TODAY()),"🔴 PRAZO VENCIDO",IF(AND(OR(N3007="PENDENTE",N3007="PARCIAL"),D3007&lt;TODAY()-1),"🔴 EMBARQUE ATRASADO",IF(AND(N3007="REALIZADO",M3007="PENDENTE"),"🟡 EMBARCADO SEM FATURAR",IF(AND(P3007&lt;&gt;"",S3007="",OR(Q3007="",R3007="")),"🟡 PENDÊNCIA SEM RESPONSÁVEL/PRAZO",IF(AND(ISNUMBER(R3007),R3007=TODAY()),"🟡 VENCE HOJE",IF(AND(P3007&lt;&gt;"",S3007=""),"🟡 PENDÊNCIA ABERTA",IF(AND(N(J3007)&gt;0,N(K3007)&lt;J3007),"🟡 FALTA EXECUTAR",IF(OR(M3007="PENDENTE",M3007="PARCIAL"),"🟡 FATURAMENTO PENDENTE","🟡 EMBARQUE PENDENTE")))))))))))</f>
        <v/>
      </c>
      <c r="D3007" s="4" t="n"/>
      <c r="E3007" s="5" t="n"/>
      <c r="F3007" s="5" t="n"/>
      <c r="G3007" s="5" t="n"/>
      <c r="H3007" s="5" t="n"/>
      <c r="I3007" s="5" t="n"/>
      <c r="J3007" s="6" t="n"/>
      <c r="K3007" s="6" t="n"/>
      <c r="L3007" s="7">
        <f>IF(OR(D3007="",N(J3007)=0),"",MIN(1,N(K3007)/J3007))</f>
        <v/>
      </c>
      <c r="M3007" s="5" t="n"/>
      <c r="N3007" s="5" t="n"/>
      <c r="O3007" s="5" t="n"/>
      <c r="P3007" s="5" t="n"/>
      <c r="Q3007" s="5" t="n"/>
      <c r="R3007" s="4" t="n"/>
      <c r="S3007" s="4" t="n"/>
      <c r="T3007" s="5" t="n"/>
      <c r="U3007" s="8">
        <f>IF(AND(V3007=1,D3007&lt;&gt;""),IF(D3007&gt;=corte,TODAY()-D3007,""),"")</f>
        <v/>
      </c>
      <c r="V3007" s="8">
        <f>IF(D3007="",0,IF(OR(AND(P3007&lt;&gt;"",S3007=""),AND(N(J3007)&gt;0,N(K3007)&lt;J3007),OR(M3007="PENDENTE",M3007="PARCIAL"),OR(N3007="PENDENTE",N3007="PARCIAL")),1,0))</f>
        <v/>
      </c>
      <c r="W3007" s="8">
        <f>IF(AND(V3007=1,D3007&lt;&gt;""),IF(D3007&gt;=corte,(B3007="CRÍTICO")*1E9+(100000-D3007)*10000+10000-ROW(),""),"")</f>
        <v/>
      </c>
      <c r="X3007" s="8">
        <f>IF(AND(V3007=1,D3007=pas_data,E3007=pas_turno),10000-ROW(),"")</f>
        <v/>
      </c>
    </row>
    <row r="3008">
      <c r="A3008" s="3">
        <f>IF(D3008="","","TT-"&amp;TEXT(ROW()-1,"00000"))</f>
        <v/>
      </c>
      <c r="B3008" s="3">
        <f>IF(D3008="","",IF(V3008=0,"CONCLUÍDO",IF(D3008&lt;corte,"HISTÓRICO",IF(OR(AND(ISNUMBER(R3008),R3008&lt;TODAY()),AND(OR(N3008="PENDENTE",N3008="PARCIAL"),D3008&lt;TODAY()-1)),"CRÍTICO",IF(OR(AND(P3008&lt;&gt;"",S3008=""),AND(N3008="REALIZADO",M3008="PENDENTE"),AND(ISNUMBER(R3008),R3008=TODAY())),"ATENÇÃO",IF(N(K3008)=0,"PENDENTE","EM ANDAMENTO"))))))</f>
        <v/>
      </c>
      <c r="C3008" s="3">
        <f>IF(D3008="","",IF(V3008=0,"🟢 OK",IF(D3008&lt;corte,"⚪ HISTÓRICO (sem baixa)",IF(AND(ISNUMBER(R3008),R3008&lt;TODAY()),"🔴 PRAZO VENCIDO",IF(AND(OR(N3008="PENDENTE",N3008="PARCIAL"),D3008&lt;TODAY()-1),"🔴 EMBARQUE ATRASADO",IF(AND(N3008="REALIZADO",M3008="PENDENTE"),"🟡 EMBARCADO SEM FATURAR",IF(AND(P3008&lt;&gt;"",S3008="",OR(Q3008="",R3008="")),"🟡 PENDÊNCIA SEM RESPONSÁVEL/PRAZO",IF(AND(ISNUMBER(R3008),R3008=TODAY()),"🟡 VENCE HOJE",IF(AND(P3008&lt;&gt;"",S3008=""),"🟡 PENDÊNCIA ABERTA",IF(AND(N(J3008)&gt;0,N(K3008)&lt;J3008),"🟡 FALTA EXECUTAR",IF(OR(M3008="PENDENTE",M3008="PARCIAL"),"🟡 FATURAMENTO PENDENTE","🟡 EMBARQUE PENDENTE")))))))))))</f>
        <v/>
      </c>
      <c r="D3008" s="4" t="n"/>
      <c r="E3008" s="5" t="n"/>
      <c r="F3008" s="5" t="n"/>
      <c r="G3008" s="5" t="n"/>
      <c r="H3008" s="5" t="n"/>
      <c r="I3008" s="5" t="n"/>
      <c r="J3008" s="6" t="n"/>
      <c r="K3008" s="6" t="n"/>
      <c r="L3008" s="7">
        <f>IF(OR(D3008="",N(J3008)=0),"",MIN(1,N(K3008)/J3008))</f>
        <v/>
      </c>
      <c r="M3008" s="5" t="n"/>
      <c r="N3008" s="5" t="n"/>
      <c r="O3008" s="5" t="n"/>
      <c r="P3008" s="5" t="n"/>
      <c r="Q3008" s="5" t="n"/>
      <c r="R3008" s="4" t="n"/>
      <c r="S3008" s="4" t="n"/>
      <c r="T3008" s="5" t="n"/>
      <c r="U3008" s="8">
        <f>IF(AND(V3008=1,D3008&lt;&gt;""),IF(D3008&gt;=corte,TODAY()-D3008,""),"")</f>
        <v/>
      </c>
      <c r="V3008" s="8">
        <f>IF(D3008="",0,IF(OR(AND(P3008&lt;&gt;"",S3008=""),AND(N(J3008)&gt;0,N(K3008)&lt;J3008),OR(M3008="PENDENTE",M3008="PARCIAL"),OR(N3008="PENDENTE",N3008="PARCIAL")),1,0))</f>
        <v/>
      </c>
      <c r="W3008" s="8">
        <f>IF(AND(V3008=1,D3008&lt;&gt;""),IF(D3008&gt;=corte,(B3008="CRÍTICO")*1E9+(100000-D3008)*10000+10000-ROW(),""),"")</f>
        <v/>
      </c>
      <c r="X3008" s="8">
        <f>IF(AND(V3008=1,D3008=pas_data,E3008=pas_turno),10000-ROW(),"")</f>
        <v/>
      </c>
    </row>
    <row r="3009">
      <c r="A3009" s="3">
        <f>IF(D3009="","","TT-"&amp;TEXT(ROW()-1,"00000"))</f>
        <v/>
      </c>
      <c r="B3009" s="3">
        <f>IF(D3009="","",IF(V3009=0,"CONCLUÍDO",IF(D3009&lt;corte,"HISTÓRICO",IF(OR(AND(ISNUMBER(R3009),R3009&lt;TODAY()),AND(OR(N3009="PENDENTE",N3009="PARCIAL"),D3009&lt;TODAY()-1)),"CRÍTICO",IF(OR(AND(P3009&lt;&gt;"",S3009=""),AND(N3009="REALIZADO",M3009="PENDENTE"),AND(ISNUMBER(R3009),R3009=TODAY())),"ATENÇÃO",IF(N(K3009)=0,"PENDENTE","EM ANDAMENTO"))))))</f>
        <v/>
      </c>
      <c r="C3009" s="3">
        <f>IF(D3009="","",IF(V3009=0,"🟢 OK",IF(D3009&lt;corte,"⚪ HISTÓRICO (sem baixa)",IF(AND(ISNUMBER(R3009),R3009&lt;TODAY()),"🔴 PRAZO VENCIDO",IF(AND(OR(N3009="PENDENTE",N3009="PARCIAL"),D3009&lt;TODAY()-1),"🔴 EMBARQUE ATRASADO",IF(AND(N3009="REALIZADO",M3009="PENDENTE"),"🟡 EMBARCADO SEM FATURAR",IF(AND(P3009&lt;&gt;"",S3009="",OR(Q3009="",R3009="")),"🟡 PENDÊNCIA SEM RESPONSÁVEL/PRAZO",IF(AND(ISNUMBER(R3009),R3009=TODAY()),"🟡 VENCE HOJE",IF(AND(P3009&lt;&gt;"",S3009=""),"🟡 PENDÊNCIA ABERTA",IF(AND(N(J3009)&gt;0,N(K3009)&lt;J3009),"🟡 FALTA EXECUTAR",IF(OR(M3009="PENDENTE",M3009="PARCIAL"),"🟡 FATURAMENTO PENDENTE","🟡 EMBARQUE PENDENTE")))))))))))</f>
        <v/>
      </c>
      <c r="D3009" s="4" t="n"/>
      <c r="E3009" s="5" t="n"/>
      <c r="F3009" s="5" t="n"/>
      <c r="G3009" s="5" t="n"/>
      <c r="H3009" s="5" t="n"/>
      <c r="I3009" s="5" t="n"/>
      <c r="J3009" s="6" t="n"/>
      <c r="K3009" s="6" t="n"/>
      <c r="L3009" s="7">
        <f>IF(OR(D3009="",N(J3009)=0),"",MIN(1,N(K3009)/J3009))</f>
        <v/>
      </c>
      <c r="M3009" s="5" t="n"/>
      <c r="N3009" s="5" t="n"/>
      <c r="O3009" s="5" t="n"/>
      <c r="P3009" s="5" t="n"/>
      <c r="Q3009" s="5" t="n"/>
      <c r="R3009" s="4" t="n"/>
      <c r="S3009" s="4" t="n"/>
      <c r="T3009" s="5" t="n"/>
      <c r="U3009" s="8">
        <f>IF(AND(V3009=1,D3009&lt;&gt;""),IF(D3009&gt;=corte,TODAY()-D3009,""),"")</f>
        <v/>
      </c>
      <c r="V3009" s="8">
        <f>IF(D3009="",0,IF(OR(AND(P3009&lt;&gt;"",S3009=""),AND(N(J3009)&gt;0,N(K3009)&lt;J3009),OR(M3009="PENDENTE",M3009="PARCIAL"),OR(N3009="PENDENTE",N3009="PARCIAL")),1,0))</f>
        <v/>
      </c>
      <c r="W3009" s="8">
        <f>IF(AND(V3009=1,D3009&lt;&gt;""),IF(D3009&gt;=corte,(B3009="CRÍTICO")*1E9+(100000-D3009)*10000+10000-ROW(),""),"")</f>
        <v/>
      </c>
      <c r="X3009" s="8">
        <f>IF(AND(V3009=1,D3009=pas_data,E3009=pas_turno),10000-ROW(),"")</f>
        <v/>
      </c>
    </row>
    <row r="3010">
      <c r="A3010" s="3">
        <f>IF(D3010="","","TT-"&amp;TEXT(ROW()-1,"00000"))</f>
        <v/>
      </c>
      <c r="B3010" s="3">
        <f>IF(D3010="","",IF(V3010=0,"CONCLUÍDO",IF(D3010&lt;corte,"HISTÓRICO",IF(OR(AND(ISNUMBER(R3010),R3010&lt;TODAY()),AND(OR(N3010="PENDENTE",N3010="PARCIAL"),D3010&lt;TODAY()-1)),"CRÍTICO",IF(OR(AND(P3010&lt;&gt;"",S3010=""),AND(N3010="REALIZADO",M3010="PENDENTE"),AND(ISNUMBER(R3010),R3010=TODAY())),"ATENÇÃO",IF(N(K3010)=0,"PENDENTE","EM ANDAMENTO"))))))</f>
        <v/>
      </c>
      <c r="C3010" s="3">
        <f>IF(D3010="","",IF(V3010=0,"🟢 OK",IF(D3010&lt;corte,"⚪ HISTÓRICO (sem baixa)",IF(AND(ISNUMBER(R3010),R3010&lt;TODAY()),"🔴 PRAZO VENCIDO",IF(AND(OR(N3010="PENDENTE",N3010="PARCIAL"),D3010&lt;TODAY()-1),"🔴 EMBARQUE ATRASADO",IF(AND(N3010="REALIZADO",M3010="PENDENTE"),"🟡 EMBARCADO SEM FATURAR",IF(AND(P3010&lt;&gt;"",S3010="",OR(Q3010="",R3010="")),"🟡 PENDÊNCIA SEM RESPONSÁVEL/PRAZO",IF(AND(ISNUMBER(R3010),R3010=TODAY()),"🟡 VENCE HOJE",IF(AND(P3010&lt;&gt;"",S3010=""),"🟡 PENDÊNCIA ABERTA",IF(AND(N(J3010)&gt;0,N(K3010)&lt;J3010),"🟡 FALTA EXECUTAR",IF(OR(M3010="PENDENTE",M3010="PARCIAL"),"🟡 FATURAMENTO PENDENTE","🟡 EMBARQUE PENDENTE")))))))))))</f>
        <v/>
      </c>
      <c r="D3010" s="4" t="n"/>
      <c r="E3010" s="5" t="n"/>
      <c r="F3010" s="5" t="n"/>
      <c r="G3010" s="5" t="n"/>
      <c r="H3010" s="5" t="n"/>
      <c r="I3010" s="5" t="n"/>
      <c r="J3010" s="6" t="n"/>
      <c r="K3010" s="6" t="n"/>
      <c r="L3010" s="7">
        <f>IF(OR(D3010="",N(J3010)=0),"",MIN(1,N(K3010)/J3010))</f>
        <v/>
      </c>
      <c r="M3010" s="5" t="n"/>
      <c r="N3010" s="5" t="n"/>
      <c r="O3010" s="5" t="n"/>
      <c r="P3010" s="5" t="n"/>
      <c r="Q3010" s="5" t="n"/>
      <c r="R3010" s="4" t="n"/>
      <c r="S3010" s="4" t="n"/>
      <c r="T3010" s="5" t="n"/>
      <c r="U3010" s="8">
        <f>IF(AND(V3010=1,D3010&lt;&gt;""),IF(D3010&gt;=corte,TODAY()-D3010,""),"")</f>
        <v/>
      </c>
      <c r="V3010" s="8">
        <f>IF(D3010="",0,IF(OR(AND(P3010&lt;&gt;"",S3010=""),AND(N(J3010)&gt;0,N(K3010)&lt;J3010),OR(M3010="PENDENTE",M3010="PARCIAL"),OR(N3010="PENDENTE",N3010="PARCIAL")),1,0))</f>
        <v/>
      </c>
      <c r="W3010" s="8">
        <f>IF(AND(V3010=1,D3010&lt;&gt;""),IF(D3010&gt;=corte,(B3010="CRÍTICO")*1E9+(100000-D3010)*10000+10000-ROW(),""),"")</f>
        <v/>
      </c>
      <c r="X3010" s="8">
        <f>IF(AND(V3010=1,D3010=pas_data,E3010=pas_turno),10000-ROW(),"")</f>
        <v/>
      </c>
    </row>
    <row r="3011">
      <c r="A3011" s="3">
        <f>IF(D3011="","","TT-"&amp;TEXT(ROW()-1,"00000"))</f>
        <v/>
      </c>
      <c r="B3011" s="3">
        <f>IF(D3011="","",IF(V3011=0,"CONCLUÍDO",IF(D3011&lt;corte,"HISTÓRICO",IF(OR(AND(ISNUMBER(R3011),R3011&lt;TODAY()),AND(OR(N3011="PENDENTE",N3011="PARCIAL"),D3011&lt;TODAY()-1)),"CRÍTICO",IF(OR(AND(P3011&lt;&gt;"",S3011=""),AND(N3011="REALIZADO",M3011="PENDENTE"),AND(ISNUMBER(R3011),R3011=TODAY())),"ATENÇÃO",IF(N(K3011)=0,"PENDENTE","EM ANDAMENTO"))))))</f>
        <v/>
      </c>
      <c r="C3011" s="3">
        <f>IF(D3011="","",IF(V3011=0,"🟢 OK",IF(D3011&lt;corte,"⚪ HISTÓRICO (sem baixa)",IF(AND(ISNUMBER(R3011),R3011&lt;TODAY()),"🔴 PRAZO VENCIDO",IF(AND(OR(N3011="PENDENTE",N3011="PARCIAL"),D3011&lt;TODAY()-1),"🔴 EMBARQUE ATRASADO",IF(AND(N3011="REALIZADO",M3011="PENDENTE"),"🟡 EMBARCADO SEM FATURAR",IF(AND(P3011&lt;&gt;"",S3011="",OR(Q3011="",R3011="")),"🟡 PENDÊNCIA SEM RESPONSÁVEL/PRAZO",IF(AND(ISNUMBER(R3011),R3011=TODAY()),"🟡 VENCE HOJE",IF(AND(P3011&lt;&gt;"",S3011=""),"🟡 PENDÊNCIA ABERTA",IF(AND(N(J3011)&gt;0,N(K3011)&lt;J3011),"🟡 FALTA EXECUTAR",IF(OR(M3011="PENDENTE",M3011="PARCIAL"),"🟡 FATURAMENTO PENDENTE","🟡 EMBARQUE PENDENTE")))))))))))</f>
        <v/>
      </c>
      <c r="D3011" s="4" t="n"/>
      <c r="E3011" s="5" t="n"/>
      <c r="F3011" s="5" t="n"/>
      <c r="G3011" s="5" t="n"/>
      <c r="H3011" s="5" t="n"/>
      <c r="I3011" s="5" t="n"/>
      <c r="J3011" s="6" t="n"/>
      <c r="K3011" s="6" t="n"/>
      <c r="L3011" s="7">
        <f>IF(OR(D3011="",N(J3011)=0),"",MIN(1,N(K3011)/J3011))</f>
        <v/>
      </c>
      <c r="M3011" s="5" t="n"/>
      <c r="N3011" s="5" t="n"/>
      <c r="O3011" s="5" t="n"/>
      <c r="P3011" s="5" t="n"/>
      <c r="Q3011" s="5" t="n"/>
      <c r="R3011" s="4" t="n"/>
      <c r="S3011" s="4" t="n"/>
      <c r="T3011" s="5" t="n"/>
      <c r="U3011" s="8">
        <f>IF(AND(V3011=1,D3011&lt;&gt;""),IF(D3011&gt;=corte,TODAY()-D3011,""),"")</f>
        <v/>
      </c>
      <c r="V3011" s="8">
        <f>IF(D3011="",0,IF(OR(AND(P3011&lt;&gt;"",S3011=""),AND(N(J3011)&gt;0,N(K3011)&lt;J3011),OR(M3011="PENDENTE",M3011="PARCIAL"),OR(N3011="PENDENTE",N3011="PARCIAL")),1,0))</f>
        <v/>
      </c>
      <c r="W3011" s="8">
        <f>IF(AND(V3011=1,D3011&lt;&gt;""),IF(D3011&gt;=corte,(B3011="CRÍTICO")*1E9+(100000-D3011)*10000+10000-ROW(),""),"")</f>
        <v/>
      </c>
      <c r="X3011" s="8">
        <f>IF(AND(V3011=1,D3011=pas_data,E3011=pas_turno),10000-ROW(),"")</f>
        <v/>
      </c>
    </row>
    <row r="3012">
      <c r="A3012" s="3">
        <f>IF(D3012="","","TT-"&amp;TEXT(ROW()-1,"00000"))</f>
        <v/>
      </c>
      <c r="B3012" s="3">
        <f>IF(D3012="","",IF(V3012=0,"CONCLUÍDO",IF(D3012&lt;corte,"HISTÓRICO",IF(OR(AND(ISNUMBER(R3012),R3012&lt;TODAY()),AND(OR(N3012="PENDENTE",N3012="PARCIAL"),D3012&lt;TODAY()-1)),"CRÍTICO",IF(OR(AND(P3012&lt;&gt;"",S3012=""),AND(N3012="REALIZADO",M3012="PENDENTE"),AND(ISNUMBER(R3012),R3012=TODAY())),"ATENÇÃO",IF(N(K3012)=0,"PENDENTE","EM ANDAMENTO"))))))</f>
        <v/>
      </c>
      <c r="C3012" s="3">
        <f>IF(D3012="","",IF(V3012=0,"🟢 OK",IF(D3012&lt;corte,"⚪ HISTÓRICO (sem baixa)",IF(AND(ISNUMBER(R3012),R3012&lt;TODAY()),"🔴 PRAZO VENCIDO",IF(AND(OR(N3012="PENDENTE",N3012="PARCIAL"),D3012&lt;TODAY()-1),"🔴 EMBARQUE ATRASADO",IF(AND(N3012="REALIZADO",M3012="PENDENTE"),"🟡 EMBARCADO SEM FATURAR",IF(AND(P3012&lt;&gt;"",S3012="",OR(Q3012="",R3012="")),"🟡 PENDÊNCIA SEM RESPONSÁVEL/PRAZO",IF(AND(ISNUMBER(R3012),R3012=TODAY()),"🟡 VENCE HOJE",IF(AND(P3012&lt;&gt;"",S3012=""),"🟡 PENDÊNCIA ABERTA",IF(AND(N(J3012)&gt;0,N(K3012)&lt;J3012),"🟡 FALTA EXECUTAR",IF(OR(M3012="PENDENTE",M3012="PARCIAL"),"🟡 FATURAMENTO PENDENTE","🟡 EMBARQUE PENDENTE")))))))))))</f>
        <v/>
      </c>
      <c r="D3012" s="4" t="n"/>
      <c r="E3012" s="5" t="n"/>
      <c r="F3012" s="5" t="n"/>
      <c r="G3012" s="5" t="n"/>
      <c r="H3012" s="5" t="n"/>
      <c r="I3012" s="5" t="n"/>
      <c r="J3012" s="6" t="n"/>
      <c r="K3012" s="6" t="n"/>
      <c r="L3012" s="7">
        <f>IF(OR(D3012="",N(J3012)=0),"",MIN(1,N(K3012)/J3012))</f>
        <v/>
      </c>
      <c r="M3012" s="5" t="n"/>
      <c r="N3012" s="5" t="n"/>
      <c r="O3012" s="5" t="n"/>
      <c r="P3012" s="5" t="n"/>
      <c r="Q3012" s="5" t="n"/>
      <c r="R3012" s="4" t="n"/>
      <c r="S3012" s="4" t="n"/>
      <c r="T3012" s="5" t="n"/>
      <c r="U3012" s="8">
        <f>IF(AND(V3012=1,D3012&lt;&gt;""),IF(D3012&gt;=corte,TODAY()-D3012,""),"")</f>
        <v/>
      </c>
      <c r="V3012" s="8">
        <f>IF(D3012="",0,IF(OR(AND(P3012&lt;&gt;"",S3012=""),AND(N(J3012)&gt;0,N(K3012)&lt;J3012),OR(M3012="PENDENTE",M3012="PARCIAL"),OR(N3012="PENDENTE",N3012="PARCIAL")),1,0))</f>
        <v/>
      </c>
      <c r="W3012" s="8">
        <f>IF(AND(V3012=1,D3012&lt;&gt;""),IF(D3012&gt;=corte,(B3012="CRÍTICO")*1E9+(100000-D3012)*10000+10000-ROW(),""),"")</f>
        <v/>
      </c>
      <c r="X3012" s="8">
        <f>IF(AND(V3012=1,D3012=pas_data,E3012=pas_turno),10000-ROW(),"")</f>
        <v/>
      </c>
    </row>
    <row r="3013">
      <c r="A3013" s="3">
        <f>IF(D3013="","","TT-"&amp;TEXT(ROW()-1,"00000"))</f>
        <v/>
      </c>
      <c r="B3013" s="3">
        <f>IF(D3013="","",IF(V3013=0,"CONCLUÍDO",IF(D3013&lt;corte,"HISTÓRICO",IF(OR(AND(ISNUMBER(R3013),R3013&lt;TODAY()),AND(OR(N3013="PENDENTE",N3013="PARCIAL"),D3013&lt;TODAY()-1)),"CRÍTICO",IF(OR(AND(P3013&lt;&gt;"",S3013=""),AND(N3013="REALIZADO",M3013="PENDENTE"),AND(ISNUMBER(R3013),R3013=TODAY())),"ATENÇÃO",IF(N(K3013)=0,"PENDENTE","EM ANDAMENTO"))))))</f>
        <v/>
      </c>
      <c r="C3013" s="3">
        <f>IF(D3013="","",IF(V3013=0,"🟢 OK",IF(D3013&lt;corte,"⚪ HISTÓRICO (sem baixa)",IF(AND(ISNUMBER(R3013),R3013&lt;TODAY()),"🔴 PRAZO VENCIDO",IF(AND(OR(N3013="PENDENTE",N3013="PARCIAL"),D3013&lt;TODAY()-1),"🔴 EMBARQUE ATRASADO",IF(AND(N3013="REALIZADO",M3013="PENDENTE"),"🟡 EMBARCADO SEM FATURAR",IF(AND(P3013&lt;&gt;"",S3013="",OR(Q3013="",R3013="")),"🟡 PENDÊNCIA SEM RESPONSÁVEL/PRAZO",IF(AND(ISNUMBER(R3013),R3013=TODAY()),"🟡 VENCE HOJE",IF(AND(P3013&lt;&gt;"",S3013=""),"🟡 PENDÊNCIA ABERTA",IF(AND(N(J3013)&gt;0,N(K3013)&lt;J3013),"🟡 FALTA EXECUTAR",IF(OR(M3013="PENDENTE",M3013="PARCIAL"),"🟡 FATURAMENTO PENDENTE","🟡 EMBARQUE PENDENTE")))))))))))</f>
        <v/>
      </c>
      <c r="D3013" s="4" t="n"/>
      <c r="E3013" s="5" t="n"/>
      <c r="F3013" s="5" t="n"/>
      <c r="G3013" s="5" t="n"/>
      <c r="H3013" s="5" t="n"/>
      <c r="I3013" s="5" t="n"/>
      <c r="J3013" s="6" t="n"/>
      <c r="K3013" s="6" t="n"/>
      <c r="L3013" s="7">
        <f>IF(OR(D3013="",N(J3013)=0),"",MIN(1,N(K3013)/J3013))</f>
        <v/>
      </c>
      <c r="M3013" s="5" t="n"/>
      <c r="N3013" s="5" t="n"/>
      <c r="O3013" s="5" t="n"/>
      <c r="P3013" s="5" t="n"/>
      <c r="Q3013" s="5" t="n"/>
      <c r="R3013" s="4" t="n"/>
      <c r="S3013" s="4" t="n"/>
      <c r="T3013" s="5" t="n"/>
      <c r="U3013" s="8">
        <f>IF(AND(V3013=1,D3013&lt;&gt;""),IF(D3013&gt;=corte,TODAY()-D3013,""),"")</f>
        <v/>
      </c>
      <c r="V3013" s="8">
        <f>IF(D3013="",0,IF(OR(AND(P3013&lt;&gt;"",S3013=""),AND(N(J3013)&gt;0,N(K3013)&lt;J3013),OR(M3013="PENDENTE",M3013="PARCIAL"),OR(N3013="PENDENTE",N3013="PARCIAL")),1,0))</f>
        <v/>
      </c>
      <c r="W3013" s="8">
        <f>IF(AND(V3013=1,D3013&lt;&gt;""),IF(D3013&gt;=corte,(B3013="CRÍTICO")*1E9+(100000-D3013)*10000+10000-ROW(),""),"")</f>
        <v/>
      </c>
      <c r="X3013" s="8">
        <f>IF(AND(V3013=1,D3013=pas_data,E3013=pas_turno),10000-ROW(),"")</f>
        <v/>
      </c>
    </row>
    <row r="3014">
      <c r="A3014" s="3">
        <f>IF(D3014="","","TT-"&amp;TEXT(ROW()-1,"00000"))</f>
        <v/>
      </c>
      <c r="B3014" s="3">
        <f>IF(D3014="","",IF(V3014=0,"CONCLUÍDO",IF(D3014&lt;corte,"HISTÓRICO",IF(OR(AND(ISNUMBER(R3014),R3014&lt;TODAY()),AND(OR(N3014="PENDENTE",N3014="PARCIAL"),D3014&lt;TODAY()-1)),"CRÍTICO",IF(OR(AND(P3014&lt;&gt;"",S3014=""),AND(N3014="REALIZADO",M3014="PENDENTE"),AND(ISNUMBER(R3014),R3014=TODAY())),"ATENÇÃO",IF(N(K3014)=0,"PENDENTE","EM ANDAMENTO"))))))</f>
        <v/>
      </c>
      <c r="C3014" s="3">
        <f>IF(D3014="","",IF(V3014=0,"🟢 OK",IF(D3014&lt;corte,"⚪ HISTÓRICO (sem baixa)",IF(AND(ISNUMBER(R3014),R3014&lt;TODAY()),"🔴 PRAZO VENCIDO",IF(AND(OR(N3014="PENDENTE",N3014="PARCIAL"),D3014&lt;TODAY()-1),"🔴 EMBARQUE ATRASADO",IF(AND(N3014="REALIZADO",M3014="PENDENTE"),"🟡 EMBARCADO SEM FATURAR",IF(AND(P3014&lt;&gt;"",S3014="",OR(Q3014="",R3014="")),"🟡 PENDÊNCIA SEM RESPONSÁVEL/PRAZO",IF(AND(ISNUMBER(R3014),R3014=TODAY()),"🟡 VENCE HOJE",IF(AND(P3014&lt;&gt;"",S3014=""),"🟡 PENDÊNCIA ABERTA",IF(AND(N(J3014)&gt;0,N(K3014)&lt;J3014),"🟡 FALTA EXECUTAR",IF(OR(M3014="PENDENTE",M3014="PARCIAL"),"🟡 FATURAMENTO PENDENTE","🟡 EMBARQUE PENDENTE")))))))))))</f>
        <v/>
      </c>
      <c r="D3014" s="4" t="n"/>
      <c r="E3014" s="5" t="n"/>
      <c r="F3014" s="5" t="n"/>
      <c r="G3014" s="5" t="n"/>
      <c r="H3014" s="5" t="n"/>
      <c r="I3014" s="5" t="n"/>
      <c r="J3014" s="6" t="n"/>
      <c r="K3014" s="6" t="n"/>
      <c r="L3014" s="7">
        <f>IF(OR(D3014="",N(J3014)=0),"",MIN(1,N(K3014)/J3014))</f>
        <v/>
      </c>
      <c r="M3014" s="5" t="n"/>
      <c r="N3014" s="5" t="n"/>
      <c r="O3014" s="5" t="n"/>
      <c r="P3014" s="5" t="n"/>
      <c r="Q3014" s="5" t="n"/>
      <c r="R3014" s="4" t="n"/>
      <c r="S3014" s="4" t="n"/>
      <c r="T3014" s="5" t="n"/>
      <c r="U3014" s="8">
        <f>IF(AND(V3014=1,D3014&lt;&gt;""),IF(D3014&gt;=corte,TODAY()-D3014,""),"")</f>
        <v/>
      </c>
      <c r="V3014" s="8">
        <f>IF(D3014="",0,IF(OR(AND(P3014&lt;&gt;"",S3014=""),AND(N(J3014)&gt;0,N(K3014)&lt;J3014),OR(M3014="PENDENTE",M3014="PARCIAL"),OR(N3014="PENDENTE",N3014="PARCIAL")),1,0))</f>
        <v/>
      </c>
      <c r="W3014" s="8">
        <f>IF(AND(V3014=1,D3014&lt;&gt;""),IF(D3014&gt;=corte,(B3014="CRÍTICO")*1E9+(100000-D3014)*10000+10000-ROW(),""),"")</f>
        <v/>
      </c>
      <c r="X3014" s="8">
        <f>IF(AND(V3014=1,D3014=pas_data,E3014=pas_turno),10000-ROW(),"")</f>
        <v/>
      </c>
    </row>
    <row r="3015">
      <c r="A3015" s="3">
        <f>IF(D3015="","","TT-"&amp;TEXT(ROW()-1,"00000"))</f>
        <v/>
      </c>
      <c r="B3015" s="3">
        <f>IF(D3015="","",IF(V3015=0,"CONCLUÍDO",IF(D3015&lt;corte,"HISTÓRICO",IF(OR(AND(ISNUMBER(R3015),R3015&lt;TODAY()),AND(OR(N3015="PENDENTE",N3015="PARCIAL"),D3015&lt;TODAY()-1)),"CRÍTICO",IF(OR(AND(P3015&lt;&gt;"",S3015=""),AND(N3015="REALIZADO",M3015="PENDENTE"),AND(ISNUMBER(R3015),R3015=TODAY())),"ATENÇÃO",IF(N(K3015)=0,"PENDENTE","EM ANDAMENTO"))))))</f>
        <v/>
      </c>
      <c r="C3015" s="3">
        <f>IF(D3015="","",IF(V3015=0,"🟢 OK",IF(D3015&lt;corte,"⚪ HISTÓRICO (sem baixa)",IF(AND(ISNUMBER(R3015),R3015&lt;TODAY()),"🔴 PRAZO VENCIDO",IF(AND(OR(N3015="PENDENTE",N3015="PARCIAL"),D3015&lt;TODAY()-1),"🔴 EMBARQUE ATRASADO",IF(AND(N3015="REALIZADO",M3015="PENDENTE"),"🟡 EMBARCADO SEM FATURAR",IF(AND(P3015&lt;&gt;"",S3015="",OR(Q3015="",R3015="")),"🟡 PENDÊNCIA SEM RESPONSÁVEL/PRAZO",IF(AND(ISNUMBER(R3015),R3015=TODAY()),"🟡 VENCE HOJE",IF(AND(P3015&lt;&gt;"",S3015=""),"🟡 PENDÊNCIA ABERTA",IF(AND(N(J3015)&gt;0,N(K3015)&lt;J3015),"🟡 FALTA EXECUTAR",IF(OR(M3015="PENDENTE",M3015="PARCIAL"),"🟡 FATURAMENTO PENDENTE","🟡 EMBARQUE PENDENTE")))))))))))</f>
        <v/>
      </c>
      <c r="D3015" s="4" t="n"/>
      <c r="E3015" s="5" t="n"/>
      <c r="F3015" s="5" t="n"/>
      <c r="G3015" s="5" t="n"/>
      <c r="H3015" s="5" t="n"/>
      <c r="I3015" s="5" t="n"/>
      <c r="J3015" s="6" t="n"/>
      <c r="K3015" s="6" t="n"/>
      <c r="L3015" s="7">
        <f>IF(OR(D3015="",N(J3015)=0),"",MIN(1,N(K3015)/J3015))</f>
        <v/>
      </c>
      <c r="M3015" s="5" t="n"/>
      <c r="N3015" s="5" t="n"/>
      <c r="O3015" s="5" t="n"/>
      <c r="P3015" s="5" t="n"/>
      <c r="Q3015" s="5" t="n"/>
      <c r="R3015" s="4" t="n"/>
      <c r="S3015" s="4" t="n"/>
      <c r="T3015" s="5" t="n"/>
      <c r="U3015" s="8">
        <f>IF(AND(V3015=1,D3015&lt;&gt;""),IF(D3015&gt;=corte,TODAY()-D3015,""),"")</f>
        <v/>
      </c>
      <c r="V3015" s="8">
        <f>IF(D3015="",0,IF(OR(AND(P3015&lt;&gt;"",S3015=""),AND(N(J3015)&gt;0,N(K3015)&lt;J3015),OR(M3015="PENDENTE",M3015="PARCIAL"),OR(N3015="PENDENTE",N3015="PARCIAL")),1,0))</f>
        <v/>
      </c>
      <c r="W3015" s="8">
        <f>IF(AND(V3015=1,D3015&lt;&gt;""),IF(D3015&gt;=corte,(B3015="CRÍTICO")*1E9+(100000-D3015)*10000+10000-ROW(),""),"")</f>
        <v/>
      </c>
      <c r="X3015" s="8">
        <f>IF(AND(V3015=1,D3015=pas_data,E3015=pas_turno),10000-ROW(),"")</f>
        <v/>
      </c>
    </row>
    <row r="3016">
      <c r="A3016" s="3">
        <f>IF(D3016="","","TT-"&amp;TEXT(ROW()-1,"00000"))</f>
        <v/>
      </c>
      <c r="B3016" s="3">
        <f>IF(D3016="","",IF(V3016=0,"CONCLUÍDO",IF(D3016&lt;corte,"HISTÓRICO",IF(OR(AND(ISNUMBER(R3016),R3016&lt;TODAY()),AND(OR(N3016="PENDENTE",N3016="PARCIAL"),D3016&lt;TODAY()-1)),"CRÍTICO",IF(OR(AND(P3016&lt;&gt;"",S3016=""),AND(N3016="REALIZADO",M3016="PENDENTE"),AND(ISNUMBER(R3016),R3016=TODAY())),"ATENÇÃO",IF(N(K3016)=0,"PENDENTE","EM ANDAMENTO"))))))</f>
        <v/>
      </c>
      <c r="C3016" s="3">
        <f>IF(D3016="","",IF(V3016=0,"🟢 OK",IF(D3016&lt;corte,"⚪ HISTÓRICO (sem baixa)",IF(AND(ISNUMBER(R3016),R3016&lt;TODAY()),"🔴 PRAZO VENCIDO",IF(AND(OR(N3016="PENDENTE",N3016="PARCIAL"),D3016&lt;TODAY()-1),"🔴 EMBARQUE ATRASADO",IF(AND(N3016="REALIZADO",M3016="PENDENTE"),"🟡 EMBARCADO SEM FATURAR",IF(AND(P3016&lt;&gt;"",S3016="",OR(Q3016="",R3016="")),"🟡 PENDÊNCIA SEM RESPONSÁVEL/PRAZO",IF(AND(ISNUMBER(R3016),R3016=TODAY()),"🟡 VENCE HOJE",IF(AND(P3016&lt;&gt;"",S3016=""),"🟡 PENDÊNCIA ABERTA",IF(AND(N(J3016)&gt;0,N(K3016)&lt;J3016),"🟡 FALTA EXECUTAR",IF(OR(M3016="PENDENTE",M3016="PARCIAL"),"🟡 FATURAMENTO PENDENTE","🟡 EMBARQUE PENDENTE")))))))))))</f>
        <v/>
      </c>
      <c r="D3016" s="4" t="n"/>
      <c r="E3016" s="5" t="n"/>
      <c r="F3016" s="5" t="n"/>
      <c r="G3016" s="5" t="n"/>
      <c r="H3016" s="5" t="n"/>
      <c r="I3016" s="5" t="n"/>
      <c r="J3016" s="6" t="n"/>
      <c r="K3016" s="6" t="n"/>
      <c r="L3016" s="7">
        <f>IF(OR(D3016="",N(J3016)=0),"",MIN(1,N(K3016)/J3016))</f>
        <v/>
      </c>
      <c r="M3016" s="5" t="n"/>
      <c r="N3016" s="5" t="n"/>
      <c r="O3016" s="5" t="n"/>
      <c r="P3016" s="5" t="n"/>
      <c r="Q3016" s="5" t="n"/>
      <c r="R3016" s="4" t="n"/>
      <c r="S3016" s="4" t="n"/>
      <c r="T3016" s="5" t="n"/>
      <c r="U3016" s="8">
        <f>IF(AND(V3016=1,D3016&lt;&gt;""),IF(D3016&gt;=corte,TODAY()-D3016,""),"")</f>
        <v/>
      </c>
      <c r="V3016" s="8">
        <f>IF(D3016="",0,IF(OR(AND(P3016&lt;&gt;"",S3016=""),AND(N(J3016)&gt;0,N(K3016)&lt;J3016),OR(M3016="PENDENTE",M3016="PARCIAL"),OR(N3016="PENDENTE",N3016="PARCIAL")),1,0))</f>
        <v/>
      </c>
      <c r="W3016" s="8">
        <f>IF(AND(V3016=1,D3016&lt;&gt;""),IF(D3016&gt;=corte,(B3016="CRÍTICO")*1E9+(100000-D3016)*10000+10000-ROW(),""),"")</f>
        <v/>
      </c>
      <c r="X3016" s="8">
        <f>IF(AND(V3016=1,D3016=pas_data,E3016=pas_turno),10000-ROW(),"")</f>
        <v/>
      </c>
    </row>
    <row r="3017">
      <c r="A3017" s="3">
        <f>IF(D3017="","","TT-"&amp;TEXT(ROW()-1,"00000"))</f>
        <v/>
      </c>
      <c r="B3017" s="3">
        <f>IF(D3017="","",IF(V3017=0,"CONCLUÍDO",IF(D3017&lt;corte,"HISTÓRICO",IF(OR(AND(ISNUMBER(R3017),R3017&lt;TODAY()),AND(OR(N3017="PENDENTE",N3017="PARCIAL"),D3017&lt;TODAY()-1)),"CRÍTICO",IF(OR(AND(P3017&lt;&gt;"",S3017=""),AND(N3017="REALIZADO",M3017="PENDENTE"),AND(ISNUMBER(R3017),R3017=TODAY())),"ATENÇÃO",IF(N(K3017)=0,"PENDENTE","EM ANDAMENTO"))))))</f>
        <v/>
      </c>
      <c r="C3017" s="3">
        <f>IF(D3017="","",IF(V3017=0,"🟢 OK",IF(D3017&lt;corte,"⚪ HISTÓRICO (sem baixa)",IF(AND(ISNUMBER(R3017),R3017&lt;TODAY()),"🔴 PRAZO VENCIDO",IF(AND(OR(N3017="PENDENTE",N3017="PARCIAL"),D3017&lt;TODAY()-1),"🔴 EMBARQUE ATRASADO",IF(AND(N3017="REALIZADO",M3017="PENDENTE"),"🟡 EMBARCADO SEM FATURAR",IF(AND(P3017&lt;&gt;"",S3017="",OR(Q3017="",R3017="")),"🟡 PENDÊNCIA SEM RESPONSÁVEL/PRAZO",IF(AND(ISNUMBER(R3017),R3017=TODAY()),"🟡 VENCE HOJE",IF(AND(P3017&lt;&gt;"",S3017=""),"🟡 PENDÊNCIA ABERTA",IF(AND(N(J3017)&gt;0,N(K3017)&lt;J3017),"🟡 FALTA EXECUTAR",IF(OR(M3017="PENDENTE",M3017="PARCIAL"),"🟡 FATURAMENTO PENDENTE","🟡 EMBARQUE PENDENTE")))))))))))</f>
        <v/>
      </c>
      <c r="D3017" s="4" t="n"/>
      <c r="E3017" s="5" t="n"/>
      <c r="F3017" s="5" t="n"/>
      <c r="G3017" s="5" t="n"/>
      <c r="H3017" s="5" t="n"/>
      <c r="I3017" s="5" t="n"/>
      <c r="J3017" s="6" t="n"/>
      <c r="K3017" s="6" t="n"/>
      <c r="L3017" s="7">
        <f>IF(OR(D3017="",N(J3017)=0),"",MIN(1,N(K3017)/J3017))</f>
        <v/>
      </c>
      <c r="M3017" s="5" t="n"/>
      <c r="N3017" s="5" t="n"/>
      <c r="O3017" s="5" t="n"/>
      <c r="P3017" s="5" t="n"/>
      <c r="Q3017" s="5" t="n"/>
      <c r="R3017" s="4" t="n"/>
      <c r="S3017" s="4" t="n"/>
      <c r="T3017" s="5" t="n"/>
      <c r="U3017" s="8">
        <f>IF(AND(V3017=1,D3017&lt;&gt;""),IF(D3017&gt;=corte,TODAY()-D3017,""),"")</f>
        <v/>
      </c>
      <c r="V3017" s="8">
        <f>IF(D3017="",0,IF(OR(AND(P3017&lt;&gt;"",S3017=""),AND(N(J3017)&gt;0,N(K3017)&lt;J3017),OR(M3017="PENDENTE",M3017="PARCIAL"),OR(N3017="PENDENTE",N3017="PARCIAL")),1,0))</f>
        <v/>
      </c>
      <c r="W3017" s="8">
        <f>IF(AND(V3017=1,D3017&lt;&gt;""),IF(D3017&gt;=corte,(B3017="CRÍTICO")*1E9+(100000-D3017)*10000+10000-ROW(),""),"")</f>
        <v/>
      </c>
      <c r="X3017" s="8">
        <f>IF(AND(V3017=1,D3017=pas_data,E3017=pas_turno),10000-ROW(),"")</f>
        <v/>
      </c>
    </row>
    <row r="3018">
      <c r="A3018" s="3">
        <f>IF(D3018="","","TT-"&amp;TEXT(ROW()-1,"00000"))</f>
        <v/>
      </c>
      <c r="B3018" s="3">
        <f>IF(D3018="","",IF(V3018=0,"CONCLUÍDO",IF(D3018&lt;corte,"HISTÓRICO",IF(OR(AND(ISNUMBER(R3018),R3018&lt;TODAY()),AND(OR(N3018="PENDENTE",N3018="PARCIAL"),D3018&lt;TODAY()-1)),"CRÍTICO",IF(OR(AND(P3018&lt;&gt;"",S3018=""),AND(N3018="REALIZADO",M3018="PENDENTE"),AND(ISNUMBER(R3018),R3018=TODAY())),"ATENÇÃO",IF(N(K3018)=0,"PENDENTE","EM ANDAMENTO"))))))</f>
        <v/>
      </c>
      <c r="C3018" s="3">
        <f>IF(D3018="","",IF(V3018=0,"🟢 OK",IF(D3018&lt;corte,"⚪ HISTÓRICO (sem baixa)",IF(AND(ISNUMBER(R3018),R3018&lt;TODAY()),"🔴 PRAZO VENCIDO",IF(AND(OR(N3018="PENDENTE",N3018="PARCIAL"),D3018&lt;TODAY()-1),"🔴 EMBARQUE ATRASADO",IF(AND(N3018="REALIZADO",M3018="PENDENTE"),"🟡 EMBARCADO SEM FATURAR",IF(AND(P3018&lt;&gt;"",S3018="",OR(Q3018="",R3018="")),"🟡 PENDÊNCIA SEM RESPONSÁVEL/PRAZO",IF(AND(ISNUMBER(R3018),R3018=TODAY()),"🟡 VENCE HOJE",IF(AND(P3018&lt;&gt;"",S3018=""),"🟡 PENDÊNCIA ABERTA",IF(AND(N(J3018)&gt;0,N(K3018)&lt;J3018),"🟡 FALTA EXECUTAR",IF(OR(M3018="PENDENTE",M3018="PARCIAL"),"🟡 FATURAMENTO PENDENTE","🟡 EMBARQUE PENDENTE")))))))))))</f>
        <v/>
      </c>
      <c r="D3018" s="4" t="n"/>
      <c r="E3018" s="5" t="n"/>
      <c r="F3018" s="5" t="n"/>
      <c r="G3018" s="5" t="n"/>
      <c r="H3018" s="5" t="n"/>
      <c r="I3018" s="5" t="n"/>
      <c r="J3018" s="6" t="n"/>
      <c r="K3018" s="6" t="n"/>
      <c r="L3018" s="7">
        <f>IF(OR(D3018="",N(J3018)=0),"",MIN(1,N(K3018)/J3018))</f>
        <v/>
      </c>
      <c r="M3018" s="5" t="n"/>
      <c r="N3018" s="5" t="n"/>
      <c r="O3018" s="5" t="n"/>
      <c r="P3018" s="5" t="n"/>
      <c r="Q3018" s="5" t="n"/>
      <c r="R3018" s="4" t="n"/>
      <c r="S3018" s="4" t="n"/>
      <c r="T3018" s="5" t="n"/>
      <c r="U3018" s="8">
        <f>IF(AND(V3018=1,D3018&lt;&gt;""),IF(D3018&gt;=corte,TODAY()-D3018,""),"")</f>
        <v/>
      </c>
      <c r="V3018" s="8">
        <f>IF(D3018="",0,IF(OR(AND(P3018&lt;&gt;"",S3018=""),AND(N(J3018)&gt;0,N(K3018)&lt;J3018),OR(M3018="PENDENTE",M3018="PARCIAL"),OR(N3018="PENDENTE",N3018="PARCIAL")),1,0))</f>
        <v/>
      </c>
      <c r="W3018" s="8">
        <f>IF(AND(V3018=1,D3018&lt;&gt;""),IF(D3018&gt;=corte,(B3018="CRÍTICO")*1E9+(100000-D3018)*10000+10000-ROW(),""),"")</f>
        <v/>
      </c>
      <c r="X3018" s="8">
        <f>IF(AND(V3018=1,D3018=pas_data,E3018=pas_turno),10000-ROW(),"")</f>
        <v/>
      </c>
    </row>
    <row r="3019">
      <c r="A3019" s="3">
        <f>IF(D3019="","","TT-"&amp;TEXT(ROW()-1,"00000"))</f>
        <v/>
      </c>
      <c r="B3019" s="3">
        <f>IF(D3019="","",IF(V3019=0,"CONCLUÍDO",IF(D3019&lt;corte,"HISTÓRICO",IF(OR(AND(ISNUMBER(R3019),R3019&lt;TODAY()),AND(OR(N3019="PENDENTE",N3019="PARCIAL"),D3019&lt;TODAY()-1)),"CRÍTICO",IF(OR(AND(P3019&lt;&gt;"",S3019=""),AND(N3019="REALIZADO",M3019="PENDENTE"),AND(ISNUMBER(R3019),R3019=TODAY())),"ATENÇÃO",IF(N(K3019)=0,"PENDENTE","EM ANDAMENTO"))))))</f>
        <v/>
      </c>
      <c r="C3019" s="3">
        <f>IF(D3019="","",IF(V3019=0,"🟢 OK",IF(D3019&lt;corte,"⚪ HISTÓRICO (sem baixa)",IF(AND(ISNUMBER(R3019),R3019&lt;TODAY()),"🔴 PRAZO VENCIDO",IF(AND(OR(N3019="PENDENTE",N3019="PARCIAL"),D3019&lt;TODAY()-1),"🔴 EMBARQUE ATRASADO",IF(AND(N3019="REALIZADO",M3019="PENDENTE"),"🟡 EMBARCADO SEM FATURAR",IF(AND(P3019&lt;&gt;"",S3019="",OR(Q3019="",R3019="")),"🟡 PENDÊNCIA SEM RESPONSÁVEL/PRAZO",IF(AND(ISNUMBER(R3019),R3019=TODAY()),"🟡 VENCE HOJE",IF(AND(P3019&lt;&gt;"",S3019=""),"🟡 PENDÊNCIA ABERTA",IF(AND(N(J3019)&gt;0,N(K3019)&lt;J3019),"🟡 FALTA EXECUTAR",IF(OR(M3019="PENDENTE",M3019="PARCIAL"),"🟡 FATURAMENTO PENDENTE","🟡 EMBARQUE PENDENTE")))))))))))</f>
        <v/>
      </c>
      <c r="D3019" s="4" t="n"/>
      <c r="E3019" s="5" t="n"/>
      <c r="F3019" s="5" t="n"/>
      <c r="G3019" s="5" t="n"/>
      <c r="H3019" s="5" t="n"/>
      <c r="I3019" s="5" t="n"/>
      <c r="J3019" s="6" t="n"/>
      <c r="K3019" s="6" t="n"/>
      <c r="L3019" s="7">
        <f>IF(OR(D3019="",N(J3019)=0),"",MIN(1,N(K3019)/J3019))</f>
        <v/>
      </c>
      <c r="M3019" s="5" t="n"/>
      <c r="N3019" s="5" t="n"/>
      <c r="O3019" s="5" t="n"/>
      <c r="P3019" s="5" t="n"/>
      <c r="Q3019" s="5" t="n"/>
      <c r="R3019" s="4" t="n"/>
      <c r="S3019" s="4" t="n"/>
      <c r="T3019" s="5" t="n"/>
      <c r="U3019" s="8">
        <f>IF(AND(V3019=1,D3019&lt;&gt;""),IF(D3019&gt;=corte,TODAY()-D3019,""),"")</f>
        <v/>
      </c>
      <c r="V3019" s="8">
        <f>IF(D3019="",0,IF(OR(AND(P3019&lt;&gt;"",S3019=""),AND(N(J3019)&gt;0,N(K3019)&lt;J3019),OR(M3019="PENDENTE",M3019="PARCIAL"),OR(N3019="PENDENTE",N3019="PARCIAL")),1,0))</f>
        <v/>
      </c>
      <c r="W3019" s="8">
        <f>IF(AND(V3019=1,D3019&lt;&gt;""),IF(D3019&gt;=corte,(B3019="CRÍTICO")*1E9+(100000-D3019)*10000+10000-ROW(),""),"")</f>
        <v/>
      </c>
      <c r="X3019" s="8">
        <f>IF(AND(V3019=1,D3019=pas_data,E3019=pas_turno),10000-ROW(),"")</f>
        <v/>
      </c>
    </row>
    <row r="3020">
      <c r="A3020" s="3">
        <f>IF(D3020="","","TT-"&amp;TEXT(ROW()-1,"00000"))</f>
        <v/>
      </c>
      <c r="B3020" s="3">
        <f>IF(D3020="","",IF(V3020=0,"CONCLUÍDO",IF(D3020&lt;corte,"HISTÓRICO",IF(OR(AND(ISNUMBER(R3020),R3020&lt;TODAY()),AND(OR(N3020="PENDENTE",N3020="PARCIAL"),D3020&lt;TODAY()-1)),"CRÍTICO",IF(OR(AND(P3020&lt;&gt;"",S3020=""),AND(N3020="REALIZADO",M3020="PENDENTE"),AND(ISNUMBER(R3020),R3020=TODAY())),"ATENÇÃO",IF(N(K3020)=0,"PENDENTE","EM ANDAMENTO"))))))</f>
        <v/>
      </c>
      <c r="C3020" s="3">
        <f>IF(D3020="","",IF(V3020=0,"🟢 OK",IF(D3020&lt;corte,"⚪ HISTÓRICO (sem baixa)",IF(AND(ISNUMBER(R3020),R3020&lt;TODAY()),"🔴 PRAZO VENCIDO",IF(AND(OR(N3020="PENDENTE",N3020="PARCIAL"),D3020&lt;TODAY()-1),"🔴 EMBARQUE ATRASADO",IF(AND(N3020="REALIZADO",M3020="PENDENTE"),"🟡 EMBARCADO SEM FATURAR",IF(AND(P3020&lt;&gt;"",S3020="",OR(Q3020="",R3020="")),"🟡 PENDÊNCIA SEM RESPONSÁVEL/PRAZO",IF(AND(ISNUMBER(R3020),R3020=TODAY()),"🟡 VENCE HOJE",IF(AND(P3020&lt;&gt;"",S3020=""),"🟡 PENDÊNCIA ABERTA",IF(AND(N(J3020)&gt;0,N(K3020)&lt;J3020),"🟡 FALTA EXECUTAR",IF(OR(M3020="PENDENTE",M3020="PARCIAL"),"🟡 FATURAMENTO PENDENTE","🟡 EMBARQUE PENDENTE")))))))))))</f>
        <v/>
      </c>
      <c r="D3020" s="4" t="n"/>
      <c r="E3020" s="5" t="n"/>
      <c r="F3020" s="5" t="n"/>
      <c r="G3020" s="5" t="n"/>
      <c r="H3020" s="5" t="n"/>
      <c r="I3020" s="5" t="n"/>
      <c r="J3020" s="6" t="n"/>
      <c r="K3020" s="6" t="n"/>
      <c r="L3020" s="7">
        <f>IF(OR(D3020="",N(J3020)=0),"",MIN(1,N(K3020)/J3020))</f>
        <v/>
      </c>
      <c r="M3020" s="5" t="n"/>
      <c r="N3020" s="5" t="n"/>
      <c r="O3020" s="5" t="n"/>
      <c r="P3020" s="5" t="n"/>
      <c r="Q3020" s="5" t="n"/>
      <c r="R3020" s="4" t="n"/>
      <c r="S3020" s="4" t="n"/>
      <c r="T3020" s="5" t="n"/>
      <c r="U3020" s="8">
        <f>IF(AND(V3020=1,D3020&lt;&gt;""),IF(D3020&gt;=corte,TODAY()-D3020,""),"")</f>
        <v/>
      </c>
      <c r="V3020" s="8">
        <f>IF(D3020="",0,IF(OR(AND(P3020&lt;&gt;"",S3020=""),AND(N(J3020)&gt;0,N(K3020)&lt;J3020),OR(M3020="PENDENTE",M3020="PARCIAL"),OR(N3020="PENDENTE",N3020="PARCIAL")),1,0))</f>
        <v/>
      </c>
      <c r="W3020" s="8">
        <f>IF(AND(V3020=1,D3020&lt;&gt;""),IF(D3020&gt;=corte,(B3020="CRÍTICO")*1E9+(100000-D3020)*10000+10000-ROW(),""),"")</f>
        <v/>
      </c>
      <c r="X3020" s="8">
        <f>IF(AND(V3020=1,D3020=pas_data,E3020=pas_turno),10000-ROW(),"")</f>
        <v/>
      </c>
    </row>
    <row r="3021">
      <c r="A3021" s="3">
        <f>IF(D3021="","","TT-"&amp;TEXT(ROW()-1,"00000"))</f>
        <v/>
      </c>
      <c r="B3021" s="3">
        <f>IF(D3021="","",IF(V3021=0,"CONCLUÍDO",IF(D3021&lt;corte,"HISTÓRICO",IF(OR(AND(ISNUMBER(R3021),R3021&lt;TODAY()),AND(OR(N3021="PENDENTE",N3021="PARCIAL"),D3021&lt;TODAY()-1)),"CRÍTICO",IF(OR(AND(P3021&lt;&gt;"",S3021=""),AND(N3021="REALIZADO",M3021="PENDENTE"),AND(ISNUMBER(R3021),R3021=TODAY())),"ATENÇÃO",IF(N(K3021)=0,"PENDENTE","EM ANDAMENTO"))))))</f>
        <v/>
      </c>
      <c r="C3021" s="3">
        <f>IF(D3021="","",IF(V3021=0,"🟢 OK",IF(D3021&lt;corte,"⚪ HISTÓRICO (sem baixa)",IF(AND(ISNUMBER(R3021),R3021&lt;TODAY()),"🔴 PRAZO VENCIDO",IF(AND(OR(N3021="PENDENTE",N3021="PARCIAL"),D3021&lt;TODAY()-1),"🔴 EMBARQUE ATRASADO",IF(AND(N3021="REALIZADO",M3021="PENDENTE"),"🟡 EMBARCADO SEM FATURAR",IF(AND(P3021&lt;&gt;"",S3021="",OR(Q3021="",R3021="")),"🟡 PENDÊNCIA SEM RESPONSÁVEL/PRAZO",IF(AND(ISNUMBER(R3021),R3021=TODAY()),"🟡 VENCE HOJE",IF(AND(P3021&lt;&gt;"",S3021=""),"🟡 PENDÊNCIA ABERTA",IF(AND(N(J3021)&gt;0,N(K3021)&lt;J3021),"🟡 FALTA EXECUTAR",IF(OR(M3021="PENDENTE",M3021="PARCIAL"),"🟡 FATURAMENTO PENDENTE","🟡 EMBARQUE PENDENTE")))))))))))</f>
        <v/>
      </c>
      <c r="D3021" s="4" t="n"/>
      <c r="E3021" s="5" t="n"/>
      <c r="F3021" s="5" t="n"/>
      <c r="G3021" s="5" t="n"/>
      <c r="H3021" s="5" t="n"/>
      <c r="I3021" s="5" t="n"/>
      <c r="J3021" s="6" t="n"/>
      <c r="K3021" s="6" t="n"/>
      <c r="L3021" s="7">
        <f>IF(OR(D3021="",N(J3021)=0),"",MIN(1,N(K3021)/J3021))</f>
        <v/>
      </c>
      <c r="M3021" s="5" t="n"/>
      <c r="N3021" s="5" t="n"/>
      <c r="O3021" s="5" t="n"/>
      <c r="P3021" s="5" t="n"/>
      <c r="Q3021" s="5" t="n"/>
      <c r="R3021" s="4" t="n"/>
      <c r="S3021" s="4" t="n"/>
      <c r="T3021" s="5" t="n"/>
      <c r="U3021" s="8">
        <f>IF(AND(V3021=1,D3021&lt;&gt;""),IF(D3021&gt;=corte,TODAY()-D3021,""),"")</f>
        <v/>
      </c>
      <c r="V3021" s="8">
        <f>IF(D3021="",0,IF(OR(AND(P3021&lt;&gt;"",S3021=""),AND(N(J3021)&gt;0,N(K3021)&lt;J3021),OR(M3021="PENDENTE",M3021="PARCIAL"),OR(N3021="PENDENTE",N3021="PARCIAL")),1,0))</f>
        <v/>
      </c>
      <c r="W3021" s="8">
        <f>IF(AND(V3021=1,D3021&lt;&gt;""),IF(D3021&gt;=corte,(B3021="CRÍTICO")*1E9+(100000-D3021)*10000+10000-ROW(),""),"")</f>
        <v/>
      </c>
      <c r="X3021" s="8">
        <f>IF(AND(V3021=1,D3021=pas_data,E3021=pas_turno),10000-ROW(),"")</f>
        <v/>
      </c>
    </row>
    <row r="3022">
      <c r="A3022" s="3">
        <f>IF(D3022="","","TT-"&amp;TEXT(ROW()-1,"00000"))</f>
        <v/>
      </c>
      <c r="B3022" s="3">
        <f>IF(D3022="","",IF(V3022=0,"CONCLUÍDO",IF(D3022&lt;corte,"HISTÓRICO",IF(OR(AND(ISNUMBER(R3022),R3022&lt;TODAY()),AND(OR(N3022="PENDENTE",N3022="PARCIAL"),D3022&lt;TODAY()-1)),"CRÍTICO",IF(OR(AND(P3022&lt;&gt;"",S3022=""),AND(N3022="REALIZADO",M3022="PENDENTE"),AND(ISNUMBER(R3022),R3022=TODAY())),"ATENÇÃO",IF(N(K3022)=0,"PENDENTE","EM ANDAMENTO"))))))</f>
        <v/>
      </c>
      <c r="C3022" s="3">
        <f>IF(D3022="","",IF(V3022=0,"🟢 OK",IF(D3022&lt;corte,"⚪ HISTÓRICO (sem baixa)",IF(AND(ISNUMBER(R3022),R3022&lt;TODAY()),"🔴 PRAZO VENCIDO",IF(AND(OR(N3022="PENDENTE",N3022="PARCIAL"),D3022&lt;TODAY()-1),"🔴 EMBARQUE ATRASADO",IF(AND(N3022="REALIZADO",M3022="PENDENTE"),"🟡 EMBARCADO SEM FATURAR",IF(AND(P3022&lt;&gt;"",S3022="",OR(Q3022="",R3022="")),"🟡 PENDÊNCIA SEM RESPONSÁVEL/PRAZO",IF(AND(ISNUMBER(R3022),R3022=TODAY()),"🟡 VENCE HOJE",IF(AND(P3022&lt;&gt;"",S3022=""),"🟡 PENDÊNCIA ABERTA",IF(AND(N(J3022)&gt;0,N(K3022)&lt;J3022),"🟡 FALTA EXECUTAR",IF(OR(M3022="PENDENTE",M3022="PARCIAL"),"🟡 FATURAMENTO PENDENTE","🟡 EMBARQUE PENDENTE")))))))))))</f>
        <v/>
      </c>
      <c r="D3022" s="4" t="n"/>
      <c r="E3022" s="5" t="n"/>
      <c r="F3022" s="5" t="n"/>
      <c r="G3022" s="5" t="n"/>
      <c r="H3022" s="5" t="n"/>
      <c r="I3022" s="5" t="n"/>
      <c r="J3022" s="6" t="n"/>
      <c r="K3022" s="6" t="n"/>
      <c r="L3022" s="7">
        <f>IF(OR(D3022="",N(J3022)=0),"",MIN(1,N(K3022)/J3022))</f>
        <v/>
      </c>
      <c r="M3022" s="5" t="n"/>
      <c r="N3022" s="5" t="n"/>
      <c r="O3022" s="5" t="n"/>
      <c r="P3022" s="5" t="n"/>
      <c r="Q3022" s="5" t="n"/>
      <c r="R3022" s="4" t="n"/>
      <c r="S3022" s="4" t="n"/>
      <c r="T3022" s="5" t="n"/>
      <c r="U3022" s="8">
        <f>IF(AND(V3022=1,D3022&lt;&gt;""),IF(D3022&gt;=corte,TODAY()-D3022,""),"")</f>
        <v/>
      </c>
      <c r="V3022" s="8">
        <f>IF(D3022="",0,IF(OR(AND(P3022&lt;&gt;"",S3022=""),AND(N(J3022)&gt;0,N(K3022)&lt;J3022),OR(M3022="PENDENTE",M3022="PARCIAL"),OR(N3022="PENDENTE",N3022="PARCIAL")),1,0))</f>
        <v/>
      </c>
      <c r="W3022" s="8">
        <f>IF(AND(V3022=1,D3022&lt;&gt;""),IF(D3022&gt;=corte,(B3022="CRÍTICO")*1E9+(100000-D3022)*10000+10000-ROW(),""),"")</f>
        <v/>
      </c>
      <c r="X3022" s="8">
        <f>IF(AND(V3022=1,D3022=pas_data,E3022=pas_turno),10000-ROW(),"")</f>
        <v/>
      </c>
    </row>
    <row r="3023">
      <c r="A3023" s="3">
        <f>IF(D3023="","","TT-"&amp;TEXT(ROW()-1,"00000"))</f>
        <v/>
      </c>
      <c r="B3023" s="3">
        <f>IF(D3023="","",IF(V3023=0,"CONCLUÍDO",IF(D3023&lt;corte,"HISTÓRICO",IF(OR(AND(ISNUMBER(R3023),R3023&lt;TODAY()),AND(OR(N3023="PENDENTE",N3023="PARCIAL"),D3023&lt;TODAY()-1)),"CRÍTICO",IF(OR(AND(P3023&lt;&gt;"",S3023=""),AND(N3023="REALIZADO",M3023="PENDENTE"),AND(ISNUMBER(R3023),R3023=TODAY())),"ATENÇÃO",IF(N(K3023)=0,"PENDENTE","EM ANDAMENTO"))))))</f>
        <v/>
      </c>
      <c r="C3023" s="3">
        <f>IF(D3023="","",IF(V3023=0,"🟢 OK",IF(D3023&lt;corte,"⚪ HISTÓRICO (sem baixa)",IF(AND(ISNUMBER(R3023),R3023&lt;TODAY()),"🔴 PRAZO VENCIDO",IF(AND(OR(N3023="PENDENTE",N3023="PARCIAL"),D3023&lt;TODAY()-1),"🔴 EMBARQUE ATRASADO",IF(AND(N3023="REALIZADO",M3023="PENDENTE"),"🟡 EMBARCADO SEM FATURAR",IF(AND(P3023&lt;&gt;"",S3023="",OR(Q3023="",R3023="")),"🟡 PENDÊNCIA SEM RESPONSÁVEL/PRAZO",IF(AND(ISNUMBER(R3023),R3023=TODAY()),"🟡 VENCE HOJE",IF(AND(P3023&lt;&gt;"",S3023=""),"🟡 PENDÊNCIA ABERTA",IF(AND(N(J3023)&gt;0,N(K3023)&lt;J3023),"🟡 FALTA EXECUTAR",IF(OR(M3023="PENDENTE",M3023="PARCIAL"),"🟡 FATURAMENTO PENDENTE","🟡 EMBARQUE PENDENTE")))))))))))</f>
        <v/>
      </c>
      <c r="D3023" s="4" t="n"/>
      <c r="E3023" s="5" t="n"/>
      <c r="F3023" s="5" t="n"/>
      <c r="G3023" s="5" t="n"/>
      <c r="H3023" s="5" t="n"/>
      <c r="I3023" s="5" t="n"/>
      <c r="J3023" s="6" t="n"/>
      <c r="K3023" s="6" t="n"/>
      <c r="L3023" s="7">
        <f>IF(OR(D3023="",N(J3023)=0),"",MIN(1,N(K3023)/J3023))</f>
        <v/>
      </c>
      <c r="M3023" s="5" t="n"/>
      <c r="N3023" s="5" t="n"/>
      <c r="O3023" s="5" t="n"/>
      <c r="P3023" s="5" t="n"/>
      <c r="Q3023" s="5" t="n"/>
      <c r="R3023" s="4" t="n"/>
      <c r="S3023" s="4" t="n"/>
      <c r="T3023" s="5" t="n"/>
      <c r="U3023" s="8">
        <f>IF(AND(V3023=1,D3023&lt;&gt;""),IF(D3023&gt;=corte,TODAY()-D3023,""),"")</f>
        <v/>
      </c>
      <c r="V3023" s="8">
        <f>IF(D3023="",0,IF(OR(AND(P3023&lt;&gt;"",S3023=""),AND(N(J3023)&gt;0,N(K3023)&lt;J3023),OR(M3023="PENDENTE",M3023="PARCIAL"),OR(N3023="PENDENTE",N3023="PARCIAL")),1,0))</f>
        <v/>
      </c>
      <c r="W3023" s="8">
        <f>IF(AND(V3023=1,D3023&lt;&gt;""),IF(D3023&gt;=corte,(B3023="CRÍTICO")*1E9+(100000-D3023)*10000+10000-ROW(),""),"")</f>
        <v/>
      </c>
      <c r="X3023" s="8">
        <f>IF(AND(V3023=1,D3023=pas_data,E3023=pas_turno),10000-ROW(),"")</f>
        <v/>
      </c>
    </row>
    <row r="3024">
      <c r="A3024" s="3">
        <f>IF(D3024="","","TT-"&amp;TEXT(ROW()-1,"00000"))</f>
        <v/>
      </c>
      <c r="B3024" s="3">
        <f>IF(D3024="","",IF(V3024=0,"CONCLUÍDO",IF(D3024&lt;corte,"HISTÓRICO",IF(OR(AND(ISNUMBER(R3024),R3024&lt;TODAY()),AND(OR(N3024="PENDENTE",N3024="PARCIAL"),D3024&lt;TODAY()-1)),"CRÍTICO",IF(OR(AND(P3024&lt;&gt;"",S3024=""),AND(N3024="REALIZADO",M3024="PENDENTE"),AND(ISNUMBER(R3024),R3024=TODAY())),"ATENÇÃO",IF(N(K3024)=0,"PENDENTE","EM ANDAMENTO"))))))</f>
        <v/>
      </c>
      <c r="C3024" s="3">
        <f>IF(D3024="","",IF(V3024=0,"🟢 OK",IF(D3024&lt;corte,"⚪ HISTÓRICO (sem baixa)",IF(AND(ISNUMBER(R3024),R3024&lt;TODAY()),"🔴 PRAZO VENCIDO",IF(AND(OR(N3024="PENDENTE",N3024="PARCIAL"),D3024&lt;TODAY()-1),"🔴 EMBARQUE ATRASADO",IF(AND(N3024="REALIZADO",M3024="PENDENTE"),"🟡 EMBARCADO SEM FATURAR",IF(AND(P3024&lt;&gt;"",S3024="",OR(Q3024="",R3024="")),"🟡 PENDÊNCIA SEM RESPONSÁVEL/PRAZO",IF(AND(ISNUMBER(R3024),R3024=TODAY()),"🟡 VENCE HOJE",IF(AND(P3024&lt;&gt;"",S3024=""),"🟡 PENDÊNCIA ABERTA",IF(AND(N(J3024)&gt;0,N(K3024)&lt;J3024),"🟡 FALTA EXECUTAR",IF(OR(M3024="PENDENTE",M3024="PARCIAL"),"🟡 FATURAMENTO PENDENTE","🟡 EMBARQUE PENDENTE")))))))))))</f>
        <v/>
      </c>
      <c r="D3024" s="4" t="n"/>
      <c r="E3024" s="5" t="n"/>
      <c r="F3024" s="5" t="n"/>
      <c r="G3024" s="5" t="n"/>
      <c r="H3024" s="5" t="n"/>
      <c r="I3024" s="5" t="n"/>
      <c r="J3024" s="6" t="n"/>
      <c r="K3024" s="6" t="n"/>
      <c r="L3024" s="7">
        <f>IF(OR(D3024="",N(J3024)=0),"",MIN(1,N(K3024)/J3024))</f>
        <v/>
      </c>
      <c r="M3024" s="5" t="n"/>
      <c r="N3024" s="5" t="n"/>
      <c r="O3024" s="5" t="n"/>
      <c r="P3024" s="5" t="n"/>
      <c r="Q3024" s="5" t="n"/>
      <c r="R3024" s="4" t="n"/>
      <c r="S3024" s="4" t="n"/>
      <c r="T3024" s="5" t="n"/>
      <c r="U3024" s="8">
        <f>IF(AND(V3024=1,D3024&lt;&gt;""),IF(D3024&gt;=corte,TODAY()-D3024,""),"")</f>
        <v/>
      </c>
      <c r="V3024" s="8">
        <f>IF(D3024="",0,IF(OR(AND(P3024&lt;&gt;"",S3024=""),AND(N(J3024)&gt;0,N(K3024)&lt;J3024),OR(M3024="PENDENTE",M3024="PARCIAL"),OR(N3024="PENDENTE",N3024="PARCIAL")),1,0))</f>
        <v/>
      </c>
      <c r="W3024" s="8">
        <f>IF(AND(V3024=1,D3024&lt;&gt;""),IF(D3024&gt;=corte,(B3024="CRÍTICO")*1E9+(100000-D3024)*10000+10000-ROW(),""),"")</f>
        <v/>
      </c>
      <c r="X3024" s="8">
        <f>IF(AND(V3024=1,D3024=pas_data,E3024=pas_turno),10000-ROW(),"")</f>
        <v/>
      </c>
    </row>
    <row r="3025">
      <c r="A3025" s="3">
        <f>IF(D3025="","","TT-"&amp;TEXT(ROW()-1,"00000"))</f>
        <v/>
      </c>
      <c r="B3025" s="3">
        <f>IF(D3025="","",IF(V3025=0,"CONCLUÍDO",IF(D3025&lt;corte,"HISTÓRICO",IF(OR(AND(ISNUMBER(R3025),R3025&lt;TODAY()),AND(OR(N3025="PENDENTE",N3025="PARCIAL"),D3025&lt;TODAY()-1)),"CRÍTICO",IF(OR(AND(P3025&lt;&gt;"",S3025=""),AND(N3025="REALIZADO",M3025="PENDENTE"),AND(ISNUMBER(R3025),R3025=TODAY())),"ATENÇÃO",IF(N(K3025)=0,"PENDENTE","EM ANDAMENTO"))))))</f>
        <v/>
      </c>
      <c r="C3025" s="3">
        <f>IF(D3025="","",IF(V3025=0,"🟢 OK",IF(D3025&lt;corte,"⚪ HISTÓRICO (sem baixa)",IF(AND(ISNUMBER(R3025),R3025&lt;TODAY()),"🔴 PRAZO VENCIDO",IF(AND(OR(N3025="PENDENTE",N3025="PARCIAL"),D3025&lt;TODAY()-1),"🔴 EMBARQUE ATRASADO",IF(AND(N3025="REALIZADO",M3025="PENDENTE"),"🟡 EMBARCADO SEM FATURAR",IF(AND(P3025&lt;&gt;"",S3025="",OR(Q3025="",R3025="")),"🟡 PENDÊNCIA SEM RESPONSÁVEL/PRAZO",IF(AND(ISNUMBER(R3025),R3025=TODAY()),"🟡 VENCE HOJE",IF(AND(P3025&lt;&gt;"",S3025=""),"🟡 PENDÊNCIA ABERTA",IF(AND(N(J3025)&gt;0,N(K3025)&lt;J3025),"🟡 FALTA EXECUTAR",IF(OR(M3025="PENDENTE",M3025="PARCIAL"),"🟡 FATURAMENTO PENDENTE","🟡 EMBARQUE PENDENTE")))))))))))</f>
        <v/>
      </c>
      <c r="D3025" s="4" t="n"/>
      <c r="E3025" s="5" t="n"/>
      <c r="F3025" s="5" t="n"/>
      <c r="G3025" s="5" t="n"/>
      <c r="H3025" s="5" t="n"/>
      <c r="I3025" s="5" t="n"/>
      <c r="J3025" s="6" t="n"/>
      <c r="K3025" s="6" t="n"/>
      <c r="L3025" s="7">
        <f>IF(OR(D3025="",N(J3025)=0),"",MIN(1,N(K3025)/J3025))</f>
        <v/>
      </c>
      <c r="M3025" s="5" t="n"/>
      <c r="N3025" s="5" t="n"/>
      <c r="O3025" s="5" t="n"/>
      <c r="P3025" s="5" t="n"/>
      <c r="Q3025" s="5" t="n"/>
      <c r="R3025" s="4" t="n"/>
      <c r="S3025" s="4" t="n"/>
      <c r="T3025" s="5" t="n"/>
      <c r="U3025" s="8">
        <f>IF(AND(V3025=1,D3025&lt;&gt;""),IF(D3025&gt;=corte,TODAY()-D3025,""),"")</f>
        <v/>
      </c>
      <c r="V3025" s="8">
        <f>IF(D3025="",0,IF(OR(AND(P3025&lt;&gt;"",S3025=""),AND(N(J3025)&gt;0,N(K3025)&lt;J3025),OR(M3025="PENDENTE",M3025="PARCIAL"),OR(N3025="PENDENTE",N3025="PARCIAL")),1,0))</f>
        <v/>
      </c>
      <c r="W3025" s="8">
        <f>IF(AND(V3025=1,D3025&lt;&gt;""),IF(D3025&gt;=corte,(B3025="CRÍTICO")*1E9+(100000-D3025)*10000+10000-ROW(),""),"")</f>
        <v/>
      </c>
      <c r="X3025" s="8">
        <f>IF(AND(V3025=1,D3025=pas_data,E3025=pas_turno),10000-ROW(),"")</f>
        <v/>
      </c>
    </row>
    <row r="3026">
      <c r="A3026" s="3">
        <f>IF(D3026="","","TT-"&amp;TEXT(ROW()-1,"00000"))</f>
        <v/>
      </c>
      <c r="B3026" s="3">
        <f>IF(D3026="","",IF(V3026=0,"CONCLUÍDO",IF(D3026&lt;corte,"HISTÓRICO",IF(OR(AND(ISNUMBER(R3026),R3026&lt;TODAY()),AND(OR(N3026="PENDENTE",N3026="PARCIAL"),D3026&lt;TODAY()-1)),"CRÍTICO",IF(OR(AND(P3026&lt;&gt;"",S3026=""),AND(N3026="REALIZADO",M3026="PENDENTE"),AND(ISNUMBER(R3026),R3026=TODAY())),"ATENÇÃO",IF(N(K3026)=0,"PENDENTE","EM ANDAMENTO"))))))</f>
        <v/>
      </c>
      <c r="C3026" s="3">
        <f>IF(D3026="","",IF(V3026=0,"🟢 OK",IF(D3026&lt;corte,"⚪ HISTÓRICO (sem baixa)",IF(AND(ISNUMBER(R3026),R3026&lt;TODAY()),"🔴 PRAZO VENCIDO",IF(AND(OR(N3026="PENDENTE",N3026="PARCIAL"),D3026&lt;TODAY()-1),"🔴 EMBARQUE ATRASADO",IF(AND(N3026="REALIZADO",M3026="PENDENTE"),"🟡 EMBARCADO SEM FATURAR",IF(AND(P3026&lt;&gt;"",S3026="",OR(Q3026="",R3026="")),"🟡 PENDÊNCIA SEM RESPONSÁVEL/PRAZO",IF(AND(ISNUMBER(R3026),R3026=TODAY()),"🟡 VENCE HOJE",IF(AND(P3026&lt;&gt;"",S3026=""),"🟡 PENDÊNCIA ABERTA",IF(AND(N(J3026)&gt;0,N(K3026)&lt;J3026),"🟡 FALTA EXECUTAR",IF(OR(M3026="PENDENTE",M3026="PARCIAL"),"🟡 FATURAMENTO PENDENTE","🟡 EMBARQUE PENDENTE")))))))))))</f>
        <v/>
      </c>
      <c r="D3026" s="4" t="n"/>
      <c r="E3026" s="5" t="n"/>
      <c r="F3026" s="5" t="n"/>
      <c r="G3026" s="5" t="n"/>
      <c r="H3026" s="5" t="n"/>
      <c r="I3026" s="5" t="n"/>
      <c r="J3026" s="6" t="n"/>
      <c r="K3026" s="6" t="n"/>
      <c r="L3026" s="7">
        <f>IF(OR(D3026="",N(J3026)=0),"",MIN(1,N(K3026)/J3026))</f>
        <v/>
      </c>
      <c r="M3026" s="5" t="n"/>
      <c r="N3026" s="5" t="n"/>
      <c r="O3026" s="5" t="n"/>
      <c r="P3026" s="5" t="n"/>
      <c r="Q3026" s="5" t="n"/>
      <c r="R3026" s="4" t="n"/>
      <c r="S3026" s="4" t="n"/>
      <c r="T3026" s="5" t="n"/>
      <c r="U3026" s="8">
        <f>IF(AND(V3026=1,D3026&lt;&gt;""),IF(D3026&gt;=corte,TODAY()-D3026,""),"")</f>
        <v/>
      </c>
      <c r="V3026" s="8">
        <f>IF(D3026="",0,IF(OR(AND(P3026&lt;&gt;"",S3026=""),AND(N(J3026)&gt;0,N(K3026)&lt;J3026),OR(M3026="PENDENTE",M3026="PARCIAL"),OR(N3026="PENDENTE",N3026="PARCIAL")),1,0))</f>
        <v/>
      </c>
      <c r="W3026" s="8">
        <f>IF(AND(V3026=1,D3026&lt;&gt;""),IF(D3026&gt;=corte,(B3026="CRÍTICO")*1E9+(100000-D3026)*10000+10000-ROW(),""),"")</f>
        <v/>
      </c>
      <c r="X3026" s="8">
        <f>IF(AND(V3026=1,D3026=pas_data,E3026=pas_turno),10000-ROW(),"")</f>
        <v/>
      </c>
    </row>
    <row r="3027">
      <c r="A3027" s="3">
        <f>IF(D3027="","","TT-"&amp;TEXT(ROW()-1,"00000"))</f>
        <v/>
      </c>
      <c r="B3027" s="3">
        <f>IF(D3027="","",IF(V3027=0,"CONCLUÍDO",IF(D3027&lt;corte,"HISTÓRICO",IF(OR(AND(ISNUMBER(R3027),R3027&lt;TODAY()),AND(OR(N3027="PENDENTE",N3027="PARCIAL"),D3027&lt;TODAY()-1)),"CRÍTICO",IF(OR(AND(P3027&lt;&gt;"",S3027=""),AND(N3027="REALIZADO",M3027="PENDENTE"),AND(ISNUMBER(R3027),R3027=TODAY())),"ATENÇÃO",IF(N(K3027)=0,"PENDENTE","EM ANDAMENTO"))))))</f>
        <v/>
      </c>
      <c r="C3027" s="3">
        <f>IF(D3027="","",IF(V3027=0,"🟢 OK",IF(D3027&lt;corte,"⚪ HISTÓRICO (sem baixa)",IF(AND(ISNUMBER(R3027),R3027&lt;TODAY()),"🔴 PRAZO VENCIDO",IF(AND(OR(N3027="PENDENTE",N3027="PARCIAL"),D3027&lt;TODAY()-1),"🔴 EMBARQUE ATRASADO",IF(AND(N3027="REALIZADO",M3027="PENDENTE"),"🟡 EMBARCADO SEM FATURAR",IF(AND(P3027&lt;&gt;"",S3027="",OR(Q3027="",R3027="")),"🟡 PENDÊNCIA SEM RESPONSÁVEL/PRAZO",IF(AND(ISNUMBER(R3027),R3027=TODAY()),"🟡 VENCE HOJE",IF(AND(P3027&lt;&gt;"",S3027=""),"🟡 PENDÊNCIA ABERTA",IF(AND(N(J3027)&gt;0,N(K3027)&lt;J3027),"🟡 FALTA EXECUTAR",IF(OR(M3027="PENDENTE",M3027="PARCIAL"),"🟡 FATURAMENTO PENDENTE","🟡 EMBARQUE PENDENTE")))))))))))</f>
        <v/>
      </c>
      <c r="D3027" s="4" t="n"/>
      <c r="E3027" s="5" t="n"/>
      <c r="F3027" s="5" t="n"/>
      <c r="G3027" s="5" t="n"/>
      <c r="H3027" s="5" t="n"/>
      <c r="I3027" s="5" t="n"/>
      <c r="J3027" s="6" t="n"/>
      <c r="K3027" s="6" t="n"/>
      <c r="L3027" s="7">
        <f>IF(OR(D3027="",N(J3027)=0),"",MIN(1,N(K3027)/J3027))</f>
        <v/>
      </c>
      <c r="M3027" s="5" t="n"/>
      <c r="N3027" s="5" t="n"/>
      <c r="O3027" s="5" t="n"/>
      <c r="P3027" s="5" t="n"/>
      <c r="Q3027" s="5" t="n"/>
      <c r="R3027" s="4" t="n"/>
      <c r="S3027" s="4" t="n"/>
      <c r="T3027" s="5" t="n"/>
      <c r="U3027" s="8">
        <f>IF(AND(V3027=1,D3027&lt;&gt;""),IF(D3027&gt;=corte,TODAY()-D3027,""),"")</f>
        <v/>
      </c>
      <c r="V3027" s="8">
        <f>IF(D3027="",0,IF(OR(AND(P3027&lt;&gt;"",S3027=""),AND(N(J3027)&gt;0,N(K3027)&lt;J3027),OR(M3027="PENDENTE",M3027="PARCIAL"),OR(N3027="PENDENTE",N3027="PARCIAL")),1,0))</f>
        <v/>
      </c>
      <c r="W3027" s="8">
        <f>IF(AND(V3027=1,D3027&lt;&gt;""),IF(D3027&gt;=corte,(B3027="CRÍTICO")*1E9+(100000-D3027)*10000+10000-ROW(),""),"")</f>
        <v/>
      </c>
      <c r="X3027" s="8">
        <f>IF(AND(V3027=1,D3027=pas_data,E3027=pas_turno),10000-ROW(),"")</f>
        <v/>
      </c>
    </row>
    <row r="3028">
      <c r="A3028" s="3">
        <f>IF(D3028="","","TT-"&amp;TEXT(ROW()-1,"00000"))</f>
        <v/>
      </c>
      <c r="B3028" s="3">
        <f>IF(D3028="","",IF(V3028=0,"CONCLUÍDO",IF(D3028&lt;corte,"HISTÓRICO",IF(OR(AND(ISNUMBER(R3028),R3028&lt;TODAY()),AND(OR(N3028="PENDENTE",N3028="PARCIAL"),D3028&lt;TODAY()-1)),"CRÍTICO",IF(OR(AND(P3028&lt;&gt;"",S3028=""),AND(N3028="REALIZADO",M3028="PENDENTE"),AND(ISNUMBER(R3028),R3028=TODAY())),"ATENÇÃO",IF(N(K3028)=0,"PENDENTE","EM ANDAMENTO"))))))</f>
        <v/>
      </c>
      <c r="C3028" s="3">
        <f>IF(D3028="","",IF(V3028=0,"🟢 OK",IF(D3028&lt;corte,"⚪ HISTÓRICO (sem baixa)",IF(AND(ISNUMBER(R3028),R3028&lt;TODAY()),"🔴 PRAZO VENCIDO",IF(AND(OR(N3028="PENDENTE",N3028="PARCIAL"),D3028&lt;TODAY()-1),"🔴 EMBARQUE ATRASADO",IF(AND(N3028="REALIZADO",M3028="PENDENTE"),"🟡 EMBARCADO SEM FATURAR",IF(AND(P3028&lt;&gt;"",S3028="",OR(Q3028="",R3028="")),"🟡 PENDÊNCIA SEM RESPONSÁVEL/PRAZO",IF(AND(ISNUMBER(R3028),R3028=TODAY()),"🟡 VENCE HOJE",IF(AND(P3028&lt;&gt;"",S3028=""),"🟡 PENDÊNCIA ABERTA",IF(AND(N(J3028)&gt;0,N(K3028)&lt;J3028),"🟡 FALTA EXECUTAR",IF(OR(M3028="PENDENTE",M3028="PARCIAL"),"🟡 FATURAMENTO PENDENTE","🟡 EMBARQUE PENDENTE")))))))))))</f>
        <v/>
      </c>
      <c r="D3028" s="4" t="n"/>
      <c r="E3028" s="5" t="n"/>
      <c r="F3028" s="5" t="n"/>
      <c r="G3028" s="5" t="n"/>
      <c r="H3028" s="5" t="n"/>
      <c r="I3028" s="5" t="n"/>
      <c r="J3028" s="6" t="n"/>
      <c r="K3028" s="6" t="n"/>
      <c r="L3028" s="7">
        <f>IF(OR(D3028="",N(J3028)=0),"",MIN(1,N(K3028)/J3028))</f>
        <v/>
      </c>
      <c r="M3028" s="5" t="n"/>
      <c r="N3028" s="5" t="n"/>
      <c r="O3028" s="5" t="n"/>
      <c r="P3028" s="5" t="n"/>
      <c r="Q3028" s="5" t="n"/>
      <c r="R3028" s="4" t="n"/>
      <c r="S3028" s="4" t="n"/>
      <c r="T3028" s="5" t="n"/>
      <c r="U3028" s="8">
        <f>IF(AND(V3028=1,D3028&lt;&gt;""),IF(D3028&gt;=corte,TODAY()-D3028,""),"")</f>
        <v/>
      </c>
      <c r="V3028" s="8">
        <f>IF(D3028="",0,IF(OR(AND(P3028&lt;&gt;"",S3028=""),AND(N(J3028)&gt;0,N(K3028)&lt;J3028),OR(M3028="PENDENTE",M3028="PARCIAL"),OR(N3028="PENDENTE",N3028="PARCIAL")),1,0))</f>
        <v/>
      </c>
      <c r="W3028" s="8">
        <f>IF(AND(V3028=1,D3028&lt;&gt;""),IF(D3028&gt;=corte,(B3028="CRÍTICO")*1E9+(100000-D3028)*10000+10000-ROW(),""),"")</f>
        <v/>
      </c>
      <c r="X3028" s="8">
        <f>IF(AND(V3028=1,D3028=pas_data,E3028=pas_turno),10000-ROW(),"")</f>
        <v/>
      </c>
    </row>
    <row r="3029">
      <c r="A3029" s="3">
        <f>IF(D3029="","","TT-"&amp;TEXT(ROW()-1,"00000"))</f>
        <v/>
      </c>
      <c r="B3029" s="3">
        <f>IF(D3029="","",IF(V3029=0,"CONCLUÍDO",IF(D3029&lt;corte,"HISTÓRICO",IF(OR(AND(ISNUMBER(R3029),R3029&lt;TODAY()),AND(OR(N3029="PENDENTE",N3029="PARCIAL"),D3029&lt;TODAY()-1)),"CRÍTICO",IF(OR(AND(P3029&lt;&gt;"",S3029=""),AND(N3029="REALIZADO",M3029="PENDENTE"),AND(ISNUMBER(R3029),R3029=TODAY())),"ATENÇÃO",IF(N(K3029)=0,"PENDENTE","EM ANDAMENTO"))))))</f>
        <v/>
      </c>
      <c r="C3029" s="3">
        <f>IF(D3029="","",IF(V3029=0,"🟢 OK",IF(D3029&lt;corte,"⚪ HISTÓRICO (sem baixa)",IF(AND(ISNUMBER(R3029),R3029&lt;TODAY()),"🔴 PRAZO VENCIDO",IF(AND(OR(N3029="PENDENTE",N3029="PARCIAL"),D3029&lt;TODAY()-1),"🔴 EMBARQUE ATRASADO",IF(AND(N3029="REALIZADO",M3029="PENDENTE"),"🟡 EMBARCADO SEM FATURAR",IF(AND(P3029&lt;&gt;"",S3029="",OR(Q3029="",R3029="")),"🟡 PENDÊNCIA SEM RESPONSÁVEL/PRAZO",IF(AND(ISNUMBER(R3029),R3029=TODAY()),"🟡 VENCE HOJE",IF(AND(P3029&lt;&gt;"",S3029=""),"🟡 PENDÊNCIA ABERTA",IF(AND(N(J3029)&gt;0,N(K3029)&lt;J3029),"🟡 FALTA EXECUTAR",IF(OR(M3029="PENDENTE",M3029="PARCIAL"),"🟡 FATURAMENTO PENDENTE","🟡 EMBARQUE PENDENTE")))))))))))</f>
        <v/>
      </c>
      <c r="D3029" s="4" t="n"/>
      <c r="E3029" s="5" t="n"/>
      <c r="F3029" s="5" t="n"/>
      <c r="G3029" s="5" t="n"/>
      <c r="H3029" s="5" t="n"/>
      <c r="I3029" s="5" t="n"/>
      <c r="J3029" s="6" t="n"/>
      <c r="K3029" s="6" t="n"/>
      <c r="L3029" s="7">
        <f>IF(OR(D3029="",N(J3029)=0),"",MIN(1,N(K3029)/J3029))</f>
        <v/>
      </c>
      <c r="M3029" s="5" t="n"/>
      <c r="N3029" s="5" t="n"/>
      <c r="O3029" s="5" t="n"/>
      <c r="P3029" s="5" t="n"/>
      <c r="Q3029" s="5" t="n"/>
      <c r="R3029" s="4" t="n"/>
      <c r="S3029" s="4" t="n"/>
      <c r="T3029" s="5" t="n"/>
      <c r="U3029" s="8">
        <f>IF(AND(V3029=1,D3029&lt;&gt;""),IF(D3029&gt;=corte,TODAY()-D3029,""),"")</f>
        <v/>
      </c>
      <c r="V3029" s="8">
        <f>IF(D3029="",0,IF(OR(AND(P3029&lt;&gt;"",S3029=""),AND(N(J3029)&gt;0,N(K3029)&lt;J3029),OR(M3029="PENDENTE",M3029="PARCIAL"),OR(N3029="PENDENTE",N3029="PARCIAL")),1,0))</f>
        <v/>
      </c>
      <c r="W3029" s="8">
        <f>IF(AND(V3029=1,D3029&lt;&gt;""),IF(D3029&gt;=corte,(B3029="CRÍTICO")*1E9+(100000-D3029)*10000+10000-ROW(),""),"")</f>
        <v/>
      </c>
      <c r="X3029" s="8">
        <f>IF(AND(V3029=1,D3029=pas_data,E3029=pas_turno),10000-ROW(),"")</f>
        <v/>
      </c>
    </row>
    <row r="3030">
      <c r="A3030" s="3">
        <f>IF(D3030="","","TT-"&amp;TEXT(ROW()-1,"00000"))</f>
        <v/>
      </c>
      <c r="B3030" s="3">
        <f>IF(D3030="","",IF(V3030=0,"CONCLUÍDO",IF(D3030&lt;corte,"HISTÓRICO",IF(OR(AND(ISNUMBER(R3030),R3030&lt;TODAY()),AND(OR(N3030="PENDENTE",N3030="PARCIAL"),D3030&lt;TODAY()-1)),"CRÍTICO",IF(OR(AND(P3030&lt;&gt;"",S3030=""),AND(N3030="REALIZADO",M3030="PENDENTE"),AND(ISNUMBER(R3030),R3030=TODAY())),"ATENÇÃO",IF(N(K3030)=0,"PENDENTE","EM ANDAMENTO"))))))</f>
        <v/>
      </c>
      <c r="C3030" s="3">
        <f>IF(D3030="","",IF(V3030=0,"🟢 OK",IF(D3030&lt;corte,"⚪ HISTÓRICO (sem baixa)",IF(AND(ISNUMBER(R3030),R3030&lt;TODAY()),"🔴 PRAZO VENCIDO",IF(AND(OR(N3030="PENDENTE",N3030="PARCIAL"),D3030&lt;TODAY()-1),"🔴 EMBARQUE ATRASADO",IF(AND(N3030="REALIZADO",M3030="PENDENTE"),"🟡 EMBARCADO SEM FATURAR",IF(AND(P3030&lt;&gt;"",S3030="",OR(Q3030="",R3030="")),"🟡 PENDÊNCIA SEM RESPONSÁVEL/PRAZO",IF(AND(ISNUMBER(R3030),R3030=TODAY()),"🟡 VENCE HOJE",IF(AND(P3030&lt;&gt;"",S3030=""),"🟡 PENDÊNCIA ABERTA",IF(AND(N(J3030)&gt;0,N(K3030)&lt;J3030),"🟡 FALTA EXECUTAR",IF(OR(M3030="PENDENTE",M3030="PARCIAL"),"🟡 FATURAMENTO PENDENTE","🟡 EMBARQUE PENDENTE")))))))))))</f>
        <v/>
      </c>
      <c r="D3030" s="4" t="n"/>
      <c r="E3030" s="5" t="n"/>
      <c r="F3030" s="5" t="n"/>
      <c r="G3030" s="5" t="n"/>
      <c r="H3030" s="5" t="n"/>
      <c r="I3030" s="5" t="n"/>
      <c r="J3030" s="6" t="n"/>
      <c r="K3030" s="6" t="n"/>
      <c r="L3030" s="7">
        <f>IF(OR(D3030="",N(J3030)=0),"",MIN(1,N(K3030)/J3030))</f>
        <v/>
      </c>
      <c r="M3030" s="5" t="n"/>
      <c r="N3030" s="5" t="n"/>
      <c r="O3030" s="5" t="n"/>
      <c r="P3030" s="5" t="n"/>
      <c r="Q3030" s="5" t="n"/>
      <c r="R3030" s="4" t="n"/>
      <c r="S3030" s="4" t="n"/>
      <c r="T3030" s="5" t="n"/>
      <c r="U3030" s="8">
        <f>IF(AND(V3030=1,D3030&lt;&gt;""),IF(D3030&gt;=corte,TODAY()-D3030,""),"")</f>
        <v/>
      </c>
      <c r="V3030" s="8">
        <f>IF(D3030="",0,IF(OR(AND(P3030&lt;&gt;"",S3030=""),AND(N(J3030)&gt;0,N(K3030)&lt;J3030),OR(M3030="PENDENTE",M3030="PARCIAL"),OR(N3030="PENDENTE",N3030="PARCIAL")),1,0))</f>
        <v/>
      </c>
      <c r="W3030" s="8">
        <f>IF(AND(V3030=1,D3030&lt;&gt;""),IF(D3030&gt;=corte,(B3030="CRÍTICO")*1E9+(100000-D3030)*10000+10000-ROW(),""),"")</f>
        <v/>
      </c>
      <c r="X3030" s="8">
        <f>IF(AND(V3030=1,D3030=pas_data,E3030=pas_turno),10000-ROW(),"")</f>
        <v/>
      </c>
    </row>
    <row r="3031">
      <c r="A3031" s="3">
        <f>IF(D3031="","","TT-"&amp;TEXT(ROW()-1,"00000"))</f>
        <v/>
      </c>
      <c r="B3031" s="3">
        <f>IF(D3031="","",IF(V3031=0,"CONCLUÍDO",IF(D3031&lt;corte,"HISTÓRICO",IF(OR(AND(ISNUMBER(R3031),R3031&lt;TODAY()),AND(OR(N3031="PENDENTE",N3031="PARCIAL"),D3031&lt;TODAY()-1)),"CRÍTICO",IF(OR(AND(P3031&lt;&gt;"",S3031=""),AND(N3031="REALIZADO",M3031="PENDENTE"),AND(ISNUMBER(R3031),R3031=TODAY())),"ATENÇÃO",IF(N(K3031)=0,"PENDENTE","EM ANDAMENTO"))))))</f>
        <v/>
      </c>
      <c r="C3031" s="3">
        <f>IF(D3031="","",IF(V3031=0,"🟢 OK",IF(D3031&lt;corte,"⚪ HISTÓRICO (sem baixa)",IF(AND(ISNUMBER(R3031),R3031&lt;TODAY()),"🔴 PRAZO VENCIDO",IF(AND(OR(N3031="PENDENTE",N3031="PARCIAL"),D3031&lt;TODAY()-1),"🔴 EMBARQUE ATRASADO",IF(AND(N3031="REALIZADO",M3031="PENDENTE"),"🟡 EMBARCADO SEM FATURAR",IF(AND(P3031&lt;&gt;"",S3031="",OR(Q3031="",R3031="")),"🟡 PENDÊNCIA SEM RESPONSÁVEL/PRAZO",IF(AND(ISNUMBER(R3031),R3031=TODAY()),"🟡 VENCE HOJE",IF(AND(P3031&lt;&gt;"",S3031=""),"🟡 PENDÊNCIA ABERTA",IF(AND(N(J3031)&gt;0,N(K3031)&lt;J3031),"🟡 FALTA EXECUTAR",IF(OR(M3031="PENDENTE",M3031="PARCIAL"),"🟡 FATURAMENTO PENDENTE","🟡 EMBARQUE PENDENTE")))))))))))</f>
        <v/>
      </c>
      <c r="D3031" s="4" t="n"/>
      <c r="E3031" s="5" t="n"/>
      <c r="F3031" s="5" t="n"/>
      <c r="G3031" s="5" t="n"/>
      <c r="H3031" s="5" t="n"/>
      <c r="I3031" s="5" t="n"/>
      <c r="J3031" s="6" t="n"/>
      <c r="K3031" s="6" t="n"/>
      <c r="L3031" s="7">
        <f>IF(OR(D3031="",N(J3031)=0),"",MIN(1,N(K3031)/J3031))</f>
        <v/>
      </c>
      <c r="M3031" s="5" t="n"/>
      <c r="N3031" s="5" t="n"/>
      <c r="O3031" s="5" t="n"/>
      <c r="P3031" s="5" t="n"/>
      <c r="Q3031" s="5" t="n"/>
      <c r="R3031" s="4" t="n"/>
      <c r="S3031" s="4" t="n"/>
      <c r="T3031" s="5" t="n"/>
      <c r="U3031" s="8">
        <f>IF(AND(V3031=1,D3031&lt;&gt;""),IF(D3031&gt;=corte,TODAY()-D3031,""),"")</f>
        <v/>
      </c>
      <c r="V3031" s="8">
        <f>IF(D3031="",0,IF(OR(AND(P3031&lt;&gt;"",S3031=""),AND(N(J3031)&gt;0,N(K3031)&lt;J3031),OR(M3031="PENDENTE",M3031="PARCIAL"),OR(N3031="PENDENTE",N3031="PARCIAL")),1,0))</f>
        <v/>
      </c>
      <c r="W3031" s="8">
        <f>IF(AND(V3031=1,D3031&lt;&gt;""),IF(D3031&gt;=corte,(B3031="CRÍTICO")*1E9+(100000-D3031)*10000+10000-ROW(),""),"")</f>
        <v/>
      </c>
      <c r="X3031" s="8">
        <f>IF(AND(V3031=1,D3031=pas_data,E3031=pas_turno),10000-ROW(),"")</f>
        <v/>
      </c>
    </row>
    <row r="3032">
      <c r="A3032" s="3">
        <f>IF(D3032="","","TT-"&amp;TEXT(ROW()-1,"00000"))</f>
        <v/>
      </c>
      <c r="B3032" s="3">
        <f>IF(D3032="","",IF(V3032=0,"CONCLUÍDO",IF(D3032&lt;corte,"HISTÓRICO",IF(OR(AND(ISNUMBER(R3032),R3032&lt;TODAY()),AND(OR(N3032="PENDENTE",N3032="PARCIAL"),D3032&lt;TODAY()-1)),"CRÍTICO",IF(OR(AND(P3032&lt;&gt;"",S3032=""),AND(N3032="REALIZADO",M3032="PENDENTE"),AND(ISNUMBER(R3032),R3032=TODAY())),"ATENÇÃO",IF(N(K3032)=0,"PENDENTE","EM ANDAMENTO"))))))</f>
        <v/>
      </c>
      <c r="C3032" s="3">
        <f>IF(D3032="","",IF(V3032=0,"🟢 OK",IF(D3032&lt;corte,"⚪ HISTÓRICO (sem baixa)",IF(AND(ISNUMBER(R3032),R3032&lt;TODAY()),"🔴 PRAZO VENCIDO",IF(AND(OR(N3032="PENDENTE",N3032="PARCIAL"),D3032&lt;TODAY()-1),"🔴 EMBARQUE ATRASADO",IF(AND(N3032="REALIZADO",M3032="PENDENTE"),"🟡 EMBARCADO SEM FATURAR",IF(AND(P3032&lt;&gt;"",S3032="",OR(Q3032="",R3032="")),"🟡 PENDÊNCIA SEM RESPONSÁVEL/PRAZO",IF(AND(ISNUMBER(R3032),R3032=TODAY()),"🟡 VENCE HOJE",IF(AND(P3032&lt;&gt;"",S3032=""),"🟡 PENDÊNCIA ABERTA",IF(AND(N(J3032)&gt;0,N(K3032)&lt;J3032),"🟡 FALTA EXECUTAR",IF(OR(M3032="PENDENTE",M3032="PARCIAL"),"🟡 FATURAMENTO PENDENTE","🟡 EMBARQUE PENDENTE")))))))))))</f>
        <v/>
      </c>
      <c r="D3032" s="4" t="n"/>
      <c r="E3032" s="5" t="n"/>
      <c r="F3032" s="5" t="n"/>
      <c r="G3032" s="5" t="n"/>
      <c r="H3032" s="5" t="n"/>
      <c r="I3032" s="5" t="n"/>
      <c r="J3032" s="6" t="n"/>
      <c r="K3032" s="6" t="n"/>
      <c r="L3032" s="7">
        <f>IF(OR(D3032="",N(J3032)=0),"",MIN(1,N(K3032)/J3032))</f>
        <v/>
      </c>
      <c r="M3032" s="5" t="n"/>
      <c r="N3032" s="5" t="n"/>
      <c r="O3032" s="5" t="n"/>
      <c r="P3032" s="5" t="n"/>
      <c r="Q3032" s="5" t="n"/>
      <c r="R3032" s="4" t="n"/>
      <c r="S3032" s="4" t="n"/>
      <c r="T3032" s="5" t="n"/>
      <c r="U3032" s="8">
        <f>IF(AND(V3032=1,D3032&lt;&gt;""),IF(D3032&gt;=corte,TODAY()-D3032,""),"")</f>
        <v/>
      </c>
      <c r="V3032" s="8">
        <f>IF(D3032="",0,IF(OR(AND(P3032&lt;&gt;"",S3032=""),AND(N(J3032)&gt;0,N(K3032)&lt;J3032),OR(M3032="PENDENTE",M3032="PARCIAL"),OR(N3032="PENDENTE",N3032="PARCIAL")),1,0))</f>
        <v/>
      </c>
      <c r="W3032" s="8">
        <f>IF(AND(V3032=1,D3032&lt;&gt;""),IF(D3032&gt;=corte,(B3032="CRÍTICO")*1E9+(100000-D3032)*10000+10000-ROW(),""),"")</f>
        <v/>
      </c>
      <c r="X3032" s="8">
        <f>IF(AND(V3032=1,D3032=pas_data,E3032=pas_turno),10000-ROW(),"")</f>
        <v/>
      </c>
    </row>
    <row r="3033">
      <c r="A3033" s="3">
        <f>IF(D3033="","","TT-"&amp;TEXT(ROW()-1,"00000"))</f>
        <v/>
      </c>
      <c r="B3033" s="3">
        <f>IF(D3033="","",IF(V3033=0,"CONCLUÍDO",IF(D3033&lt;corte,"HISTÓRICO",IF(OR(AND(ISNUMBER(R3033),R3033&lt;TODAY()),AND(OR(N3033="PENDENTE",N3033="PARCIAL"),D3033&lt;TODAY()-1)),"CRÍTICO",IF(OR(AND(P3033&lt;&gt;"",S3033=""),AND(N3033="REALIZADO",M3033="PENDENTE"),AND(ISNUMBER(R3033),R3033=TODAY())),"ATENÇÃO",IF(N(K3033)=0,"PENDENTE","EM ANDAMENTO"))))))</f>
        <v/>
      </c>
      <c r="C3033" s="3">
        <f>IF(D3033="","",IF(V3033=0,"🟢 OK",IF(D3033&lt;corte,"⚪ HISTÓRICO (sem baixa)",IF(AND(ISNUMBER(R3033),R3033&lt;TODAY()),"🔴 PRAZO VENCIDO",IF(AND(OR(N3033="PENDENTE",N3033="PARCIAL"),D3033&lt;TODAY()-1),"🔴 EMBARQUE ATRASADO",IF(AND(N3033="REALIZADO",M3033="PENDENTE"),"🟡 EMBARCADO SEM FATURAR",IF(AND(P3033&lt;&gt;"",S3033="",OR(Q3033="",R3033="")),"🟡 PENDÊNCIA SEM RESPONSÁVEL/PRAZO",IF(AND(ISNUMBER(R3033),R3033=TODAY()),"🟡 VENCE HOJE",IF(AND(P3033&lt;&gt;"",S3033=""),"🟡 PENDÊNCIA ABERTA",IF(AND(N(J3033)&gt;0,N(K3033)&lt;J3033),"🟡 FALTA EXECUTAR",IF(OR(M3033="PENDENTE",M3033="PARCIAL"),"🟡 FATURAMENTO PENDENTE","🟡 EMBARQUE PENDENTE")))))))))))</f>
        <v/>
      </c>
      <c r="D3033" s="4" t="n"/>
      <c r="E3033" s="5" t="n"/>
      <c r="F3033" s="5" t="n"/>
      <c r="G3033" s="5" t="n"/>
      <c r="H3033" s="5" t="n"/>
      <c r="I3033" s="5" t="n"/>
      <c r="J3033" s="6" t="n"/>
      <c r="K3033" s="6" t="n"/>
      <c r="L3033" s="7">
        <f>IF(OR(D3033="",N(J3033)=0),"",MIN(1,N(K3033)/J3033))</f>
        <v/>
      </c>
      <c r="M3033" s="5" t="n"/>
      <c r="N3033" s="5" t="n"/>
      <c r="O3033" s="5" t="n"/>
      <c r="P3033" s="5" t="n"/>
      <c r="Q3033" s="5" t="n"/>
      <c r="R3033" s="4" t="n"/>
      <c r="S3033" s="4" t="n"/>
      <c r="T3033" s="5" t="n"/>
      <c r="U3033" s="8">
        <f>IF(AND(V3033=1,D3033&lt;&gt;""),IF(D3033&gt;=corte,TODAY()-D3033,""),"")</f>
        <v/>
      </c>
      <c r="V3033" s="8">
        <f>IF(D3033="",0,IF(OR(AND(P3033&lt;&gt;"",S3033=""),AND(N(J3033)&gt;0,N(K3033)&lt;J3033),OR(M3033="PENDENTE",M3033="PARCIAL"),OR(N3033="PENDENTE",N3033="PARCIAL")),1,0))</f>
        <v/>
      </c>
      <c r="W3033" s="8">
        <f>IF(AND(V3033=1,D3033&lt;&gt;""),IF(D3033&gt;=corte,(B3033="CRÍTICO")*1E9+(100000-D3033)*10000+10000-ROW(),""),"")</f>
        <v/>
      </c>
      <c r="X3033" s="8">
        <f>IF(AND(V3033=1,D3033=pas_data,E3033=pas_turno),10000-ROW(),"")</f>
        <v/>
      </c>
    </row>
    <row r="3034">
      <c r="A3034" s="3">
        <f>IF(D3034="","","TT-"&amp;TEXT(ROW()-1,"00000"))</f>
        <v/>
      </c>
      <c r="B3034" s="3">
        <f>IF(D3034="","",IF(V3034=0,"CONCLUÍDO",IF(D3034&lt;corte,"HISTÓRICO",IF(OR(AND(ISNUMBER(R3034),R3034&lt;TODAY()),AND(OR(N3034="PENDENTE",N3034="PARCIAL"),D3034&lt;TODAY()-1)),"CRÍTICO",IF(OR(AND(P3034&lt;&gt;"",S3034=""),AND(N3034="REALIZADO",M3034="PENDENTE"),AND(ISNUMBER(R3034),R3034=TODAY())),"ATENÇÃO",IF(N(K3034)=0,"PENDENTE","EM ANDAMENTO"))))))</f>
        <v/>
      </c>
      <c r="C3034" s="3">
        <f>IF(D3034="","",IF(V3034=0,"🟢 OK",IF(D3034&lt;corte,"⚪ HISTÓRICO (sem baixa)",IF(AND(ISNUMBER(R3034),R3034&lt;TODAY()),"🔴 PRAZO VENCIDO",IF(AND(OR(N3034="PENDENTE",N3034="PARCIAL"),D3034&lt;TODAY()-1),"🔴 EMBARQUE ATRASADO",IF(AND(N3034="REALIZADO",M3034="PENDENTE"),"🟡 EMBARCADO SEM FATURAR",IF(AND(P3034&lt;&gt;"",S3034="",OR(Q3034="",R3034="")),"🟡 PENDÊNCIA SEM RESPONSÁVEL/PRAZO",IF(AND(ISNUMBER(R3034),R3034=TODAY()),"🟡 VENCE HOJE",IF(AND(P3034&lt;&gt;"",S3034=""),"🟡 PENDÊNCIA ABERTA",IF(AND(N(J3034)&gt;0,N(K3034)&lt;J3034),"🟡 FALTA EXECUTAR",IF(OR(M3034="PENDENTE",M3034="PARCIAL"),"🟡 FATURAMENTO PENDENTE","🟡 EMBARQUE PENDENTE")))))))))))</f>
        <v/>
      </c>
      <c r="D3034" s="4" t="n"/>
      <c r="E3034" s="5" t="n"/>
      <c r="F3034" s="5" t="n"/>
      <c r="G3034" s="5" t="n"/>
      <c r="H3034" s="5" t="n"/>
      <c r="I3034" s="5" t="n"/>
      <c r="J3034" s="6" t="n"/>
      <c r="K3034" s="6" t="n"/>
      <c r="L3034" s="7">
        <f>IF(OR(D3034="",N(J3034)=0),"",MIN(1,N(K3034)/J3034))</f>
        <v/>
      </c>
      <c r="M3034" s="5" t="n"/>
      <c r="N3034" s="5" t="n"/>
      <c r="O3034" s="5" t="n"/>
      <c r="P3034" s="5" t="n"/>
      <c r="Q3034" s="5" t="n"/>
      <c r="R3034" s="4" t="n"/>
      <c r="S3034" s="4" t="n"/>
      <c r="T3034" s="5" t="n"/>
      <c r="U3034" s="8">
        <f>IF(AND(V3034=1,D3034&lt;&gt;""),IF(D3034&gt;=corte,TODAY()-D3034,""),"")</f>
        <v/>
      </c>
      <c r="V3034" s="8">
        <f>IF(D3034="",0,IF(OR(AND(P3034&lt;&gt;"",S3034=""),AND(N(J3034)&gt;0,N(K3034)&lt;J3034),OR(M3034="PENDENTE",M3034="PARCIAL"),OR(N3034="PENDENTE",N3034="PARCIAL")),1,0))</f>
        <v/>
      </c>
      <c r="W3034" s="8">
        <f>IF(AND(V3034=1,D3034&lt;&gt;""),IF(D3034&gt;=corte,(B3034="CRÍTICO")*1E9+(100000-D3034)*10000+10000-ROW(),""),"")</f>
        <v/>
      </c>
      <c r="X3034" s="8">
        <f>IF(AND(V3034=1,D3034=pas_data,E3034=pas_turno),10000-ROW(),"")</f>
        <v/>
      </c>
    </row>
    <row r="3035">
      <c r="A3035" s="3">
        <f>IF(D3035="","","TT-"&amp;TEXT(ROW()-1,"00000"))</f>
        <v/>
      </c>
      <c r="B3035" s="3">
        <f>IF(D3035="","",IF(V3035=0,"CONCLUÍDO",IF(D3035&lt;corte,"HISTÓRICO",IF(OR(AND(ISNUMBER(R3035),R3035&lt;TODAY()),AND(OR(N3035="PENDENTE",N3035="PARCIAL"),D3035&lt;TODAY()-1)),"CRÍTICO",IF(OR(AND(P3035&lt;&gt;"",S3035=""),AND(N3035="REALIZADO",M3035="PENDENTE"),AND(ISNUMBER(R3035),R3035=TODAY())),"ATENÇÃO",IF(N(K3035)=0,"PENDENTE","EM ANDAMENTO"))))))</f>
        <v/>
      </c>
      <c r="C3035" s="3">
        <f>IF(D3035="","",IF(V3035=0,"🟢 OK",IF(D3035&lt;corte,"⚪ HISTÓRICO (sem baixa)",IF(AND(ISNUMBER(R3035),R3035&lt;TODAY()),"🔴 PRAZO VENCIDO",IF(AND(OR(N3035="PENDENTE",N3035="PARCIAL"),D3035&lt;TODAY()-1),"🔴 EMBARQUE ATRASADO",IF(AND(N3035="REALIZADO",M3035="PENDENTE"),"🟡 EMBARCADO SEM FATURAR",IF(AND(P3035&lt;&gt;"",S3035="",OR(Q3035="",R3035="")),"🟡 PENDÊNCIA SEM RESPONSÁVEL/PRAZO",IF(AND(ISNUMBER(R3035),R3035=TODAY()),"🟡 VENCE HOJE",IF(AND(P3035&lt;&gt;"",S3035=""),"🟡 PENDÊNCIA ABERTA",IF(AND(N(J3035)&gt;0,N(K3035)&lt;J3035),"🟡 FALTA EXECUTAR",IF(OR(M3035="PENDENTE",M3035="PARCIAL"),"🟡 FATURAMENTO PENDENTE","🟡 EMBARQUE PENDENTE")))))))))))</f>
        <v/>
      </c>
      <c r="D3035" s="4" t="n"/>
      <c r="E3035" s="5" t="n"/>
      <c r="F3035" s="5" t="n"/>
      <c r="G3035" s="5" t="n"/>
      <c r="H3035" s="5" t="n"/>
      <c r="I3035" s="5" t="n"/>
      <c r="J3035" s="6" t="n"/>
      <c r="K3035" s="6" t="n"/>
      <c r="L3035" s="7">
        <f>IF(OR(D3035="",N(J3035)=0),"",MIN(1,N(K3035)/J3035))</f>
        <v/>
      </c>
      <c r="M3035" s="5" t="n"/>
      <c r="N3035" s="5" t="n"/>
      <c r="O3035" s="5" t="n"/>
      <c r="P3035" s="5" t="n"/>
      <c r="Q3035" s="5" t="n"/>
      <c r="R3035" s="4" t="n"/>
      <c r="S3035" s="4" t="n"/>
      <c r="T3035" s="5" t="n"/>
      <c r="U3035" s="8">
        <f>IF(AND(V3035=1,D3035&lt;&gt;""),IF(D3035&gt;=corte,TODAY()-D3035,""),"")</f>
        <v/>
      </c>
      <c r="V3035" s="8">
        <f>IF(D3035="",0,IF(OR(AND(P3035&lt;&gt;"",S3035=""),AND(N(J3035)&gt;0,N(K3035)&lt;J3035),OR(M3035="PENDENTE",M3035="PARCIAL"),OR(N3035="PENDENTE",N3035="PARCIAL")),1,0))</f>
        <v/>
      </c>
      <c r="W3035" s="8">
        <f>IF(AND(V3035=1,D3035&lt;&gt;""),IF(D3035&gt;=corte,(B3035="CRÍTICO")*1E9+(100000-D3035)*10000+10000-ROW(),""),"")</f>
        <v/>
      </c>
      <c r="X3035" s="8">
        <f>IF(AND(V3035=1,D3035=pas_data,E3035=pas_turno),10000-ROW(),"")</f>
        <v/>
      </c>
    </row>
    <row r="3036">
      <c r="A3036" s="3">
        <f>IF(D3036="","","TT-"&amp;TEXT(ROW()-1,"00000"))</f>
        <v/>
      </c>
      <c r="B3036" s="3">
        <f>IF(D3036="","",IF(V3036=0,"CONCLUÍDO",IF(D3036&lt;corte,"HISTÓRICO",IF(OR(AND(ISNUMBER(R3036),R3036&lt;TODAY()),AND(OR(N3036="PENDENTE",N3036="PARCIAL"),D3036&lt;TODAY()-1)),"CRÍTICO",IF(OR(AND(P3036&lt;&gt;"",S3036=""),AND(N3036="REALIZADO",M3036="PENDENTE"),AND(ISNUMBER(R3036),R3036=TODAY())),"ATENÇÃO",IF(N(K3036)=0,"PENDENTE","EM ANDAMENTO"))))))</f>
        <v/>
      </c>
      <c r="C3036" s="3">
        <f>IF(D3036="","",IF(V3036=0,"🟢 OK",IF(D3036&lt;corte,"⚪ HISTÓRICO (sem baixa)",IF(AND(ISNUMBER(R3036),R3036&lt;TODAY()),"🔴 PRAZO VENCIDO",IF(AND(OR(N3036="PENDENTE",N3036="PARCIAL"),D3036&lt;TODAY()-1),"🔴 EMBARQUE ATRASADO",IF(AND(N3036="REALIZADO",M3036="PENDENTE"),"🟡 EMBARCADO SEM FATURAR",IF(AND(P3036&lt;&gt;"",S3036="",OR(Q3036="",R3036="")),"🟡 PENDÊNCIA SEM RESPONSÁVEL/PRAZO",IF(AND(ISNUMBER(R3036),R3036=TODAY()),"🟡 VENCE HOJE",IF(AND(P3036&lt;&gt;"",S3036=""),"🟡 PENDÊNCIA ABERTA",IF(AND(N(J3036)&gt;0,N(K3036)&lt;J3036),"🟡 FALTA EXECUTAR",IF(OR(M3036="PENDENTE",M3036="PARCIAL"),"🟡 FATURAMENTO PENDENTE","🟡 EMBARQUE PENDENTE")))))))))))</f>
        <v/>
      </c>
      <c r="D3036" s="4" t="n"/>
      <c r="E3036" s="5" t="n"/>
      <c r="F3036" s="5" t="n"/>
      <c r="G3036" s="5" t="n"/>
      <c r="H3036" s="5" t="n"/>
      <c r="I3036" s="5" t="n"/>
      <c r="J3036" s="6" t="n"/>
      <c r="K3036" s="6" t="n"/>
      <c r="L3036" s="7">
        <f>IF(OR(D3036="",N(J3036)=0),"",MIN(1,N(K3036)/J3036))</f>
        <v/>
      </c>
      <c r="M3036" s="5" t="n"/>
      <c r="N3036" s="5" t="n"/>
      <c r="O3036" s="5" t="n"/>
      <c r="P3036" s="5" t="n"/>
      <c r="Q3036" s="5" t="n"/>
      <c r="R3036" s="4" t="n"/>
      <c r="S3036" s="4" t="n"/>
      <c r="T3036" s="5" t="n"/>
      <c r="U3036" s="8">
        <f>IF(AND(V3036=1,D3036&lt;&gt;""),IF(D3036&gt;=corte,TODAY()-D3036,""),"")</f>
        <v/>
      </c>
      <c r="V3036" s="8">
        <f>IF(D3036="",0,IF(OR(AND(P3036&lt;&gt;"",S3036=""),AND(N(J3036)&gt;0,N(K3036)&lt;J3036),OR(M3036="PENDENTE",M3036="PARCIAL"),OR(N3036="PENDENTE",N3036="PARCIAL")),1,0))</f>
        <v/>
      </c>
      <c r="W3036" s="8">
        <f>IF(AND(V3036=1,D3036&lt;&gt;""),IF(D3036&gt;=corte,(B3036="CRÍTICO")*1E9+(100000-D3036)*10000+10000-ROW(),""),"")</f>
        <v/>
      </c>
      <c r="X3036" s="8">
        <f>IF(AND(V3036=1,D3036=pas_data,E3036=pas_turno),10000-ROW(),"")</f>
        <v/>
      </c>
    </row>
    <row r="3037">
      <c r="A3037" s="3">
        <f>IF(D3037="","","TT-"&amp;TEXT(ROW()-1,"00000"))</f>
        <v/>
      </c>
      <c r="B3037" s="3">
        <f>IF(D3037="","",IF(V3037=0,"CONCLUÍDO",IF(D3037&lt;corte,"HISTÓRICO",IF(OR(AND(ISNUMBER(R3037),R3037&lt;TODAY()),AND(OR(N3037="PENDENTE",N3037="PARCIAL"),D3037&lt;TODAY()-1)),"CRÍTICO",IF(OR(AND(P3037&lt;&gt;"",S3037=""),AND(N3037="REALIZADO",M3037="PENDENTE"),AND(ISNUMBER(R3037),R3037=TODAY())),"ATENÇÃO",IF(N(K3037)=0,"PENDENTE","EM ANDAMENTO"))))))</f>
        <v/>
      </c>
      <c r="C3037" s="3">
        <f>IF(D3037="","",IF(V3037=0,"🟢 OK",IF(D3037&lt;corte,"⚪ HISTÓRICO (sem baixa)",IF(AND(ISNUMBER(R3037),R3037&lt;TODAY()),"🔴 PRAZO VENCIDO",IF(AND(OR(N3037="PENDENTE",N3037="PARCIAL"),D3037&lt;TODAY()-1),"🔴 EMBARQUE ATRASADO",IF(AND(N3037="REALIZADO",M3037="PENDENTE"),"🟡 EMBARCADO SEM FATURAR",IF(AND(P3037&lt;&gt;"",S3037="",OR(Q3037="",R3037="")),"🟡 PENDÊNCIA SEM RESPONSÁVEL/PRAZO",IF(AND(ISNUMBER(R3037),R3037=TODAY()),"🟡 VENCE HOJE",IF(AND(P3037&lt;&gt;"",S3037=""),"🟡 PENDÊNCIA ABERTA",IF(AND(N(J3037)&gt;0,N(K3037)&lt;J3037),"🟡 FALTA EXECUTAR",IF(OR(M3037="PENDENTE",M3037="PARCIAL"),"🟡 FATURAMENTO PENDENTE","🟡 EMBARQUE PENDENTE")))))))))))</f>
        <v/>
      </c>
      <c r="D3037" s="4" t="n"/>
      <c r="E3037" s="5" t="n"/>
      <c r="F3037" s="5" t="n"/>
      <c r="G3037" s="5" t="n"/>
      <c r="H3037" s="5" t="n"/>
      <c r="I3037" s="5" t="n"/>
      <c r="J3037" s="6" t="n"/>
      <c r="K3037" s="6" t="n"/>
      <c r="L3037" s="7">
        <f>IF(OR(D3037="",N(J3037)=0),"",MIN(1,N(K3037)/J3037))</f>
        <v/>
      </c>
      <c r="M3037" s="5" t="n"/>
      <c r="N3037" s="5" t="n"/>
      <c r="O3037" s="5" t="n"/>
      <c r="P3037" s="5" t="n"/>
      <c r="Q3037" s="5" t="n"/>
      <c r="R3037" s="4" t="n"/>
      <c r="S3037" s="4" t="n"/>
      <c r="T3037" s="5" t="n"/>
      <c r="U3037" s="8">
        <f>IF(AND(V3037=1,D3037&lt;&gt;""),IF(D3037&gt;=corte,TODAY()-D3037,""),"")</f>
        <v/>
      </c>
      <c r="V3037" s="8">
        <f>IF(D3037="",0,IF(OR(AND(P3037&lt;&gt;"",S3037=""),AND(N(J3037)&gt;0,N(K3037)&lt;J3037),OR(M3037="PENDENTE",M3037="PARCIAL"),OR(N3037="PENDENTE",N3037="PARCIAL")),1,0))</f>
        <v/>
      </c>
      <c r="W3037" s="8">
        <f>IF(AND(V3037=1,D3037&lt;&gt;""),IF(D3037&gt;=corte,(B3037="CRÍTICO")*1E9+(100000-D3037)*10000+10000-ROW(),""),"")</f>
        <v/>
      </c>
      <c r="X3037" s="8">
        <f>IF(AND(V3037=1,D3037=pas_data,E3037=pas_turno),10000-ROW(),"")</f>
        <v/>
      </c>
    </row>
    <row r="3038">
      <c r="A3038" s="3">
        <f>IF(D3038="","","TT-"&amp;TEXT(ROW()-1,"00000"))</f>
        <v/>
      </c>
      <c r="B3038" s="3">
        <f>IF(D3038="","",IF(V3038=0,"CONCLUÍDO",IF(D3038&lt;corte,"HISTÓRICO",IF(OR(AND(ISNUMBER(R3038),R3038&lt;TODAY()),AND(OR(N3038="PENDENTE",N3038="PARCIAL"),D3038&lt;TODAY()-1)),"CRÍTICO",IF(OR(AND(P3038&lt;&gt;"",S3038=""),AND(N3038="REALIZADO",M3038="PENDENTE"),AND(ISNUMBER(R3038),R3038=TODAY())),"ATENÇÃO",IF(N(K3038)=0,"PENDENTE","EM ANDAMENTO"))))))</f>
        <v/>
      </c>
      <c r="C3038" s="3">
        <f>IF(D3038="","",IF(V3038=0,"🟢 OK",IF(D3038&lt;corte,"⚪ HISTÓRICO (sem baixa)",IF(AND(ISNUMBER(R3038),R3038&lt;TODAY()),"🔴 PRAZO VENCIDO",IF(AND(OR(N3038="PENDENTE",N3038="PARCIAL"),D3038&lt;TODAY()-1),"🔴 EMBARQUE ATRASADO",IF(AND(N3038="REALIZADO",M3038="PENDENTE"),"🟡 EMBARCADO SEM FATURAR",IF(AND(P3038&lt;&gt;"",S3038="",OR(Q3038="",R3038="")),"🟡 PENDÊNCIA SEM RESPONSÁVEL/PRAZO",IF(AND(ISNUMBER(R3038),R3038=TODAY()),"🟡 VENCE HOJE",IF(AND(P3038&lt;&gt;"",S3038=""),"🟡 PENDÊNCIA ABERTA",IF(AND(N(J3038)&gt;0,N(K3038)&lt;J3038),"🟡 FALTA EXECUTAR",IF(OR(M3038="PENDENTE",M3038="PARCIAL"),"🟡 FATURAMENTO PENDENTE","🟡 EMBARQUE PENDENTE")))))))))))</f>
        <v/>
      </c>
      <c r="D3038" s="4" t="n"/>
      <c r="E3038" s="5" t="n"/>
      <c r="F3038" s="5" t="n"/>
      <c r="G3038" s="5" t="n"/>
      <c r="H3038" s="5" t="n"/>
      <c r="I3038" s="5" t="n"/>
      <c r="J3038" s="6" t="n"/>
      <c r="K3038" s="6" t="n"/>
      <c r="L3038" s="7">
        <f>IF(OR(D3038="",N(J3038)=0),"",MIN(1,N(K3038)/J3038))</f>
        <v/>
      </c>
      <c r="M3038" s="5" t="n"/>
      <c r="N3038" s="5" t="n"/>
      <c r="O3038" s="5" t="n"/>
      <c r="P3038" s="5" t="n"/>
      <c r="Q3038" s="5" t="n"/>
      <c r="R3038" s="4" t="n"/>
      <c r="S3038" s="4" t="n"/>
      <c r="T3038" s="5" t="n"/>
      <c r="U3038" s="8">
        <f>IF(AND(V3038=1,D3038&lt;&gt;""),IF(D3038&gt;=corte,TODAY()-D3038,""),"")</f>
        <v/>
      </c>
      <c r="V3038" s="8">
        <f>IF(D3038="",0,IF(OR(AND(P3038&lt;&gt;"",S3038=""),AND(N(J3038)&gt;0,N(K3038)&lt;J3038),OR(M3038="PENDENTE",M3038="PARCIAL"),OR(N3038="PENDENTE",N3038="PARCIAL")),1,0))</f>
        <v/>
      </c>
      <c r="W3038" s="8">
        <f>IF(AND(V3038=1,D3038&lt;&gt;""),IF(D3038&gt;=corte,(B3038="CRÍTICO")*1E9+(100000-D3038)*10000+10000-ROW(),""),"")</f>
        <v/>
      </c>
      <c r="X3038" s="8">
        <f>IF(AND(V3038=1,D3038=pas_data,E3038=pas_turno),10000-ROW(),"")</f>
        <v/>
      </c>
    </row>
    <row r="3039">
      <c r="A3039" s="3">
        <f>IF(D3039="","","TT-"&amp;TEXT(ROW()-1,"00000"))</f>
        <v/>
      </c>
      <c r="B3039" s="3">
        <f>IF(D3039="","",IF(V3039=0,"CONCLUÍDO",IF(D3039&lt;corte,"HISTÓRICO",IF(OR(AND(ISNUMBER(R3039),R3039&lt;TODAY()),AND(OR(N3039="PENDENTE",N3039="PARCIAL"),D3039&lt;TODAY()-1)),"CRÍTICO",IF(OR(AND(P3039&lt;&gt;"",S3039=""),AND(N3039="REALIZADO",M3039="PENDENTE"),AND(ISNUMBER(R3039),R3039=TODAY())),"ATENÇÃO",IF(N(K3039)=0,"PENDENTE","EM ANDAMENTO"))))))</f>
        <v/>
      </c>
      <c r="C3039" s="3">
        <f>IF(D3039="","",IF(V3039=0,"🟢 OK",IF(D3039&lt;corte,"⚪ HISTÓRICO (sem baixa)",IF(AND(ISNUMBER(R3039),R3039&lt;TODAY()),"🔴 PRAZO VENCIDO",IF(AND(OR(N3039="PENDENTE",N3039="PARCIAL"),D3039&lt;TODAY()-1),"🔴 EMBARQUE ATRASADO",IF(AND(N3039="REALIZADO",M3039="PENDENTE"),"🟡 EMBARCADO SEM FATURAR",IF(AND(P3039&lt;&gt;"",S3039="",OR(Q3039="",R3039="")),"🟡 PENDÊNCIA SEM RESPONSÁVEL/PRAZO",IF(AND(ISNUMBER(R3039),R3039=TODAY()),"🟡 VENCE HOJE",IF(AND(P3039&lt;&gt;"",S3039=""),"🟡 PENDÊNCIA ABERTA",IF(AND(N(J3039)&gt;0,N(K3039)&lt;J3039),"🟡 FALTA EXECUTAR",IF(OR(M3039="PENDENTE",M3039="PARCIAL"),"🟡 FATURAMENTO PENDENTE","🟡 EMBARQUE PENDENTE")))))))))))</f>
        <v/>
      </c>
      <c r="D3039" s="4" t="n"/>
      <c r="E3039" s="5" t="n"/>
      <c r="F3039" s="5" t="n"/>
      <c r="G3039" s="5" t="n"/>
      <c r="H3039" s="5" t="n"/>
      <c r="I3039" s="5" t="n"/>
      <c r="J3039" s="6" t="n"/>
      <c r="K3039" s="6" t="n"/>
      <c r="L3039" s="7">
        <f>IF(OR(D3039="",N(J3039)=0),"",MIN(1,N(K3039)/J3039))</f>
        <v/>
      </c>
      <c r="M3039" s="5" t="n"/>
      <c r="N3039" s="5" t="n"/>
      <c r="O3039" s="5" t="n"/>
      <c r="P3039" s="5" t="n"/>
      <c r="Q3039" s="5" t="n"/>
      <c r="R3039" s="4" t="n"/>
      <c r="S3039" s="4" t="n"/>
      <c r="T3039" s="5" t="n"/>
      <c r="U3039" s="8">
        <f>IF(AND(V3039=1,D3039&lt;&gt;""),IF(D3039&gt;=corte,TODAY()-D3039,""),"")</f>
        <v/>
      </c>
      <c r="V3039" s="8">
        <f>IF(D3039="",0,IF(OR(AND(P3039&lt;&gt;"",S3039=""),AND(N(J3039)&gt;0,N(K3039)&lt;J3039),OR(M3039="PENDENTE",M3039="PARCIAL"),OR(N3039="PENDENTE",N3039="PARCIAL")),1,0))</f>
        <v/>
      </c>
      <c r="W3039" s="8">
        <f>IF(AND(V3039=1,D3039&lt;&gt;""),IF(D3039&gt;=corte,(B3039="CRÍTICO")*1E9+(100000-D3039)*10000+10000-ROW(),""),"")</f>
        <v/>
      </c>
      <c r="X3039" s="8">
        <f>IF(AND(V3039=1,D3039=pas_data,E3039=pas_turno),10000-ROW(),"")</f>
        <v/>
      </c>
    </row>
    <row r="3040">
      <c r="A3040" s="3">
        <f>IF(D3040="","","TT-"&amp;TEXT(ROW()-1,"00000"))</f>
        <v/>
      </c>
      <c r="B3040" s="3">
        <f>IF(D3040="","",IF(V3040=0,"CONCLUÍDO",IF(D3040&lt;corte,"HISTÓRICO",IF(OR(AND(ISNUMBER(R3040),R3040&lt;TODAY()),AND(OR(N3040="PENDENTE",N3040="PARCIAL"),D3040&lt;TODAY()-1)),"CRÍTICO",IF(OR(AND(P3040&lt;&gt;"",S3040=""),AND(N3040="REALIZADO",M3040="PENDENTE"),AND(ISNUMBER(R3040),R3040=TODAY())),"ATENÇÃO",IF(N(K3040)=0,"PENDENTE","EM ANDAMENTO"))))))</f>
        <v/>
      </c>
      <c r="C3040" s="3">
        <f>IF(D3040="","",IF(V3040=0,"🟢 OK",IF(D3040&lt;corte,"⚪ HISTÓRICO (sem baixa)",IF(AND(ISNUMBER(R3040),R3040&lt;TODAY()),"🔴 PRAZO VENCIDO",IF(AND(OR(N3040="PENDENTE",N3040="PARCIAL"),D3040&lt;TODAY()-1),"🔴 EMBARQUE ATRASADO",IF(AND(N3040="REALIZADO",M3040="PENDENTE"),"🟡 EMBARCADO SEM FATURAR",IF(AND(P3040&lt;&gt;"",S3040="",OR(Q3040="",R3040="")),"🟡 PENDÊNCIA SEM RESPONSÁVEL/PRAZO",IF(AND(ISNUMBER(R3040),R3040=TODAY()),"🟡 VENCE HOJE",IF(AND(P3040&lt;&gt;"",S3040=""),"🟡 PENDÊNCIA ABERTA",IF(AND(N(J3040)&gt;0,N(K3040)&lt;J3040),"🟡 FALTA EXECUTAR",IF(OR(M3040="PENDENTE",M3040="PARCIAL"),"🟡 FATURAMENTO PENDENTE","🟡 EMBARQUE PENDENTE")))))))))))</f>
        <v/>
      </c>
      <c r="D3040" s="4" t="n"/>
      <c r="E3040" s="5" t="n"/>
      <c r="F3040" s="5" t="n"/>
      <c r="G3040" s="5" t="n"/>
      <c r="H3040" s="5" t="n"/>
      <c r="I3040" s="5" t="n"/>
      <c r="J3040" s="6" t="n"/>
      <c r="K3040" s="6" t="n"/>
      <c r="L3040" s="7">
        <f>IF(OR(D3040="",N(J3040)=0),"",MIN(1,N(K3040)/J3040))</f>
        <v/>
      </c>
      <c r="M3040" s="5" t="n"/>
      <c r="N3040" s="5" t="n"/>
      <c r="O3040" s="5" t="n"/>
      <c r="P3040" s="5" t="n"/>
      <c r="Q3040" s="5" t="n"/>
      <c r="R3040" s="4" t="n"/>
      <c r="S3040" s="4" t="n"/>
      <c r="T3040" s="5" t="n"/>
      <c r="U3040" s="8">
        <f>IF(AND(V3040=1,D3040&lt;&gt;""),IF(D3040&gt;=corte,TODAY()-D3040,""),"")</f>
        <v/>
      </c>
      <c r="V3040" s="8">
        <f>IF(D3040="",0,IF(OR(AND(P3040&lt;&gt;"",S3040=""),AND(N(J3040)&gt;0,N(K3040)&lt;J3040),OR(M3040="PENDENTE",M3040="PARCIAL"),OR(N3040="PENDENTE",N3040="PARCIAL")),1,0))</f>
        <v/>
      </c>
      <c r="W3040" s="8">
        <f>IF(AND(V3040=1,D3040&lt;&gt;""),IF(D3040&gt;=corte,(B3040="CRÍTICO")*1E9+(100000-D3040)*10000+10000-ROW(),""),"")</f>
        <v/>
      </c>
      <c r="X3040" s="8">
        <f>IF(AND(V3040=1,D3040=pas_data,E3040=pas_turno),10000-ROW(),"")</f>
        <v/>
      </c>
    </row>
    <row r="3041">
      <c r="A3041" s="3">
        <f>IF(D3041="","","TT-"&amp;TEXT(ROW()-1,"00000"))</f>
        <v/>
      </c>
      <c r="B3041" s="3">
        <f>IF(D3041="","",IF(V3041=0,"CONCLUÍDO",IF(D3041&lt;corte,"HISTÓRICO",IF(OR(AND(ISNUMBER(R3041),R3041&lt;TODAY()),AND(OR(N3041="PENDENTE",N3041="PARCIAL"),D3041&lt;TODAY()-1)),"CRÍTICO",IF(OR(AND(P3041&lt;&gt;"",S3041=""),AND(N3041="REALIZADO",M3041="PENDENTE"),AND(ISNUMBER(R3041),R3041=TODAY())),"ATENÇÃO",IF(N(K3041)=0,"PENDENTE","EM ANDAMENTO"))))))</f>
        <v/>
      </c>
      <c r="C3041" s="3">
        <f>IF(D3041="","",IF(V3041=0,"🟢 OK",IF(D3041&lt;corte,"⚪ HISTÓRICO (sem baixa)",IF(AND(ISNUMBER(R3041),R3041&lt;TODAY()),"🔴 PRAZO VENCIDO",IF(AND(OR(N3041="PENDENTE",N3041="PARCIAL"),D3041&lt;TODAY()-1),"🔴 EMBARQUE ATRASADO",IF(AND(N3041="REALIZADO",M3041="PENDENTE"),"🟡 EMBARCADO SEM FATURAR",IF(AND(P3041&lt;&gt;"",S3041="",OR(Q3041="",R3041="")),"🟡 PENDÊNCIA SEM RESPONSÁVEL/PRAZO",IF(AND(ISNUMBER(R3041),R3041=TODAY()),"🟡 VENCE HOJE",IF(AND(P3041&lt;&gt;"",S3041=""),"🟡 PENDÊNCIA ABERTA",IF(AND(N(J3041)&gt;0,N(K3041)&lt;J3041),"🟡 FALTA EXECUTAR",IF(OR(M3041="PENDENTE",M3041="PARCIAL"),"🟡 FATURAMENTO PENDENTE","🟡 EMBARQUE PENDENTE")))))))))))</f>
        <v/>
      </c>
      <c r="D3041" s="4" t="n"/>
      <c r="E3041" s="5" t="n"/>
      <c r="F3041" s="5" t="n"/>
      <c r="G3041" s="5" t="n"/>
      <c r="H3041" s="5" t="n"/>
      <c r="I3041" s="5" t="n"/>
      <c r="J3041" s="6" t="n"/>
      <c r="K3041" s="6" t="n"/>
      <c r="L3041" s="7">
        <f>IF(OR(D3041="",N(J3041)=0),"",MIN(1,N(K3041)/J3041))</f>
        <v/>
      </c>
      <c r="M3041" s="5" t="n"/>
      <c r="N3041" s="5" t="n"/>
      <c r="O3041" s="5" t="n"/>
      <c r="P3041" s="5" t="n"/>
      <c r="Q3041" s="5" t="n"/>
      <c r="R3041" s="4" t="n"/>
      <c r="S3041" s="4" t="n"/>
      <c r="T3041" s="5" t="n"/>
      <c r="U3041" s="8">
        <f>IF(AND(V3041=1,D3041&lt;&gt;""),IF(D3041&gt;=corte,TODAY()-D3041,""),"")</f>
        <v/>
      </c>
      <c r="V3041" s="8">
        <f>IF(D3041="",0,IF(OR(AND(P3041&lt;&gt;"",S3041=""),AND(N(J3041)&gt;0,N(K3041)&lt;J3041),OR(M3041="PENDENTE",M3041="PARCIAL"),OR(N3041="PENDENTE",N3041="PARCIAL")),1,0))</f>
        <v/>
      </c>
      <c r="W3041" s="8">
        <f>IF(AND(V3041=1,D3041&lt;&gt;""),IF(D3041&gt;=corte,(B3041="CRÍTICO")*1E9+(100000-D3041)*10000+10000-ROW(),""),"")</f>
        <v/>
      </c>
      <c r="X3041" s="8">
        <f>IF(AND(V3041=1,D3041=pas_data,E3041=pas_turno),10000-ROW(),"")</f>
        <v/>
      </c>
    </row>
    <row r="3042">
      <c r="A3042" s="3">
        <f>IF(D3042="","","TT-"&amp;TEXT(ROW()-1,"00000"))</f>
        <v/>
      </c>
      <c r="B3042" s="3">
        <f>IF(D3042="","",IF(V3042=0,"CONCLUÍDO",IF(D3042&lt;corte,"HISTÓRICO",IF(OR(AND(ISNUMBER(R3042),R3042&lt;TODAY()),AND(OR(N3042="PENDENTE",N3042="PARCIAL"),D3042&lt;TODAY()-1)),"CRÍTICO",IF(OR(AND(P3042&lt;&gt;"",S3042=""),AND(N3042="REALIZADO",M3042="PENDENTE"),AND(ISNUMBER(R3042),R3042=TODAY())),"ATENÇÃO",IF(N(K3042)=0,"PENDENTE","EM ANDAMENTO"))))))</f>
        <v/>
      </c>
      <c r="C3042" s="3">
        <f>IF(D3042="","",IF(V3042=0,"🟢 OK",IF(D3042&lt;corte,"⚪ HISTÓRICO (sem baixa)",IF(AND(ISNUMBER(R3042),R3042&lt;TODAY()),"🔴 PRAZO VENCIDO",IF(AND(OR(N3042="PENDENTE",N3042="PARCIAL"),D3042&lt;TODAY()-1),"🔴 EMBARQUE ATRASADO",IF(AND(N3042="REALIZADO",M3042="PENDENTE"),"🟡 EMBARCADO SEM FATURAR",IF(AND(P3042&lt;&gt;"",S3042="",OR(Q3042="",R3042="")),"🟡 PENDÊNCIA SEM RESPONSÁVEL/PRAZO",IF(AND(ISNUMBER(R3042),R3042=TODAY()),"🟡 VENCE HOJE",IF(AND(P3042&lt;&gt;"",S3042=""),"🟡 PENDÊNCIA ABERTA",IF(AND(N(J3042)&gt;0,N(K3042)&lt;J3042),"🟡 FALTA EXECUTAR",IF(OR(M3042="PENDENTE",M3042="PARCIAL"),"🟡 FATURAMENTO PENDENTE","🟡 EMBARQUE PENDENTE")))))))))))</f>
        <v/>
      </c>
      <c r="D3042" s="4" t="n"/>
      <c r="E3042" s="5" t="n"/>
      <c r="F3042" s="5" t="n"/>
      <c r="G3042" s="5" t="n"/>
      <c r="H3042" s="5" t="n"/>
      <c r="I3042" s="5" t="n"/>
      <c r="J3042" s="6" t="n"/>
      <c r="K3042" s="6" t="n"/>
      <c r="L3042" s="7">
        <f>IF(OR(D3042="",N(J3042)=0),"",MIN(1,N(K3042)/J3042))</f>
        <v/>
      </c>
      <c r="M3042" s="5" t="n"/>
      <c r="N3042" s="5" t="n"/>
      <c r="O3042" s="5" t="n"/>
      <c r="P3042" s="5" t="n"/>
      <c r="Q3042" s="5" t="n"/>
      <c r="R3042" s="4" t="n"/>
      <c r="S3042" s="4" t="n"/>
      <c r="T3042" s="5" t="n"/>
      <c r="U3042" s="8">
        <f>IF(AND(V3042=1,D3042&lt;&gt;""),IF(D3042&gt;=corte,TODAY()-D3042,""),"")</f>
        <v/>
      </c>
      <c r="V3042" s="8">
        <f>IF(D3042="",0,IF(OR(AND(P3042&lt;&gt;"",S3042=""),AND(N(J3042)&gt;0,N(K3042)&lt;J3042),OR(M3042="PENDENTE",M3042="PARCIAL"),OR(N3042="PENDENTE",N3042="PARCIAL")),1,0))</f>
        <v/>
      </c>
      <c r="W3042" s="8">
        <f>IF(AND(V3042=1,D3042&lt;&gt;""),IF(D3042&gt;=corte,(B3042="CRÍTICO")*1E9+(100000-D3042)*10000+10000-ROW(),""),"")</f>
        <v/>
      </c>
      <c r="X3042" s="8">
        <f>IF(AND(V3042=1,D3042=pas_data,E3042=pas_turno),10000-ROW(),"")</f>
        <v/>
      </c>
    </row>
    <row r="3043">
      <c r="A3043" s="3">
        <f>IF(D3043="","","TT-"&amp;TEXT(ROW()-1,"00000"))</f>
        <v/>
      </c>
      <c r="B3043" s="3">
        <f>IF(D3043="","",IF(V3043=0,"CONCLUÍDO",IF(D3043&lt;corte,"HISTÓRICO",IF(OR(AND(ISNUMBER(R3043),R3043&lt;TODAY()),AND(OR(N3043="PENDENTE",N3043="PARCIAL"),D3043&lt;TODAY()-1)),"CRÍTICO",IF(OR(AND(P3043&lt;&gt;"",S3043=""),AND(N3043="REALIZADO",M3043="PENDENTE"),AND(ISNUMBER(R3043),R3043=TODAY())),"ATENÇÃO",IF(N(K3043)=0,"PENDENTE","EM ANDAMENTO"))))))</f>
        <v/>
      </c>
      <c r="C3043" s="3">
        <f>IF(D3043="","",IF(V3043=0,"🟢 OK",IF(D3043&lt;corte,"⚪ HISTÓRICO (sem baixa)",IF(AND(ISNUMBER(R3043),R3043&lt;TODAY()),"🔴 PRAZO VENCIDO",IF(AND(OR(N3043="PENDENTE",N3043="PARCIAL"),D3043&lt;TODAY()-1),"🔴 EMBARQUE ATRASADO",IF(AND(N3043="REALIZADO",M3043="PENDENTE"),"🟡 EMBARCADO SEM FATURAR",IF(AND(P3043&lt;&gt;"",S3043="",OR(Q3043="",R3043="")),"🟡 PENDÊNCIA SEM RESPONSÁVEL/PRAZO",IF(AND(ISNUMBER(R3043),R3043=TODAY()),"🟡 VENCE HOJE",IF(AND(P3043&lt;&gt;"",S3043=""),"🟡 PENDÊNCIA ABERTA",IF(AND(N(J3043)&gt;0,N(K3043)&lt;J3043),"🟡 FALTA EXECUTAR",IF(OR(M3043="PENDENTE",M3043="PARCIAL"),"🟡 FATURAMENTO PENDENTE","🟡 EMBARQUE PENDENTE")))))))))))</f>
        <v/>
      </c>
      <c r="D3043" s="4" t="n"/>
      <c r="E3043" s="5" t="n"/>
      <c r="F3043" s="5" t="n"/>
      <c r="G3043" s="5" t="n"/>
      <c r="H3043" s="5" t="n"/>
      <c r="I3043" s="5" t="n"/>
      <c r="J3043" s="6" t="n"/>
      <c r="K3043" s="6" t="n"/>
      <c r="L3043" s="7">
        <f>IF(OR(D3043="",N(J3043)=0),"",MIN(1,N(K3043)/J3043))</f>
        <v/>
      </c>
      <c r="M3043" s="5" t="n"/>
      <c r="N3043" s="5" t="n"/>
      <c r="O3043" s="5" t="n"/>
      <c r="P3043" s="5" t="n"/>
      <c r="Q3043" s="5" t="n"/>
      <c r="R3043" s="4" t="n"/>
      <c r="S3043" s="4" t="n"/>
      <c r="T3043" s="5" t="n"/>
      <c r="U3043" s="8">
        <f>IF(AND(V3043=1,D3043&lt;&gt;""),IF(D3043&gt;=corte,TODAY()-D3043,""),"")</f>
        <v/>
      </c>
      <c r="V3043" s="8">
        <f>IF(D3043="",0,IF(OR(AND(P3043&lt;&gt;"",S3043=""),AND(N(J3043)&gt;0,N(K3043)&lt;J3043),OR(M3043="PENDENTE",M3043="PARCIAL"),OR(N3043="PENDENTE",N3043="PARCIAL")),1,0))</f>
        <v/>
      </c>
      <c r="W3043" s="8">
        <f>IF(AND(V3043=1,D3043&lt;&gt;""),IF(D3043&gt;=corte,(B3043="CRÍTICO")*1E9+(100000-D3043)*10000+10000-ROW(),""),"")</f>
        <v/>
      </c>
      <c r="X3043" s="8">
        <f>IF(AND(V3043=1,D3043=pas_data,E3043=pas_turno),10000-ROW(),"")</f>
        <v/>
      </c>
    </row>
    <row r="3044">
      <c r="A3044" s="3">
        <f>IF(D3044="","","TT-"&amp;TEXT(ROW()-1,"00000"))</f>
        <v/>
      </c>
      <c r="B3044" s="3">
        <f>IF(D3044="","",IF(V3044=0,"CONCLUÍDO",IF(D3044&lt;corte,"HISTÓRICO",IF(OR(AND(ISNUMBER(R3044),R3044&lt;TODAY()),AND(OR(N3044="PENDENTE",N3044="PARCIAL"),D3044&lt;TODAY()-1)),"CRÍTICO",IF(OR(AND(P3044&lt;&gt;"",S3044=""),AND(N3044="REALIZADO",M3044="PENDENTE"),AND(ISNUMBER(R3044),R3044=TODAY())),"ATENÇÃO",IF(N(K3044)=0,"PENDENTE","EM ANDAMENTO"))))))</f>
        <v/>
      </c>
      <c r="C3044" s="3">
        <f>IF(D3044="","",IF(V3044=0,"🟢 OK",IF(D3044&lt;corte,"⚪ HISTÓRICO (sem baixa)",IF(AND(ISNUMBER(R3044),R3044&lt;TODAY()),"🔴 PRAZO VENCIDO",IF(AND(OR(N3044="PENDENTE",N3044="PARCIAL"),D3044&lt;TODAY()-1),"🔴 EMBARQUE ATRASADO",IF(AND(N3044="REALIZADO",M3044="PENDENTE"),"🟡 EMBARCADO SEM FATURAR",IF(AND(P3044&lt;&gt;"",S3044="",OR(Q3044="",R3044="")),"🟡 PENDÊNCIA SEM RESPONSÁVEL/PRAZO",IF(AND(ISNUMBER(R3044),R3044=TODAY()),"🟡 VENCE HOJE",IF(AND(P3044&lt;&gt;"",S3044=""),"🟡 PENDÊNCIA ABERTA",IF(AND(N(J3044)&gt;0,N(K3044)&lt;J3044),"🟡 FALTA EXECUTAR",IF(OR(M3044="PENDENTE",M3044="PARCIAL"),"🟡 FATURAMENTO PENDENTE","🟡 EMBARQUE PENDENTE")))))))))))</f>
        <v/>
      </c>
      <c r="D3044" s="4" t="n"/>
      <c r="E3044" s="5" t="n"/>
      <c r="F3044" s="5" t="n"/>
      <c r="G3044" s="5" t="n"/>
      <c r="H3044" s="5" t="n"/>
      <c r="I3044" s="5" t="n"/>
      <c r="J3044" s="6" t="n"/>
      <c r="K3044" s="6" t="n"/>
      <c r="L3044" s="7">
        <f>IF(OR(D3044="",N(J3044)=0),"",MIN(1,N(K3044)/J3044))</f>
        <v/>
      </c>
      <c r="M3044" s="5" t="n"/>
      <c r="N3044" s="5" t="n"/>
      <c r="O3044" s="5" t="n"/>
      <c r="P3044" s="5" t="n"/>
      <c r="Q3044" s="5" t="n"/>
      <c r="R3044" s="4" t="n"/>
      <c r="S3044" s="4" t="n"/>
      <c r="T3044" s="5" t="n"/>
      <c r="U3044" s="8">
        <f>IF(AND(V3044=1,D3044&lt;&gt;""),IF(D3044&gt;=corte,TODAY()-D3044,""),"")</f>
        <v/>
      </c>
      <c r="V3044" s="8">
        <f>IF(D3044="",0,IF(OR(AND(P3044&lt;&gt;"",S3044=""),AND(N(J3044)&gt;0,N(K3044)&lt;J3044),OR(M3044="PENDENTE",M3044="PARCIAL"),OR(N3044="PENDENTE",N3044="PARCIAL")),1,0))</f>
        <v/>
      </c>
      <c r="W3044" s="8">
        <f>IF(AND(V3044=1,D3044&lt;&gt;""),IF(D3044&gt;=corte,(B3044="CRÍTICO")*1E9+(100000-D3044)*10000+10000-ROW(),""),"")</f>
        <v/>
      </c>
      <c r="X3044" s="8">
        <f>IF(AND(V3044=1,D3044=pas_data,E3044=pas_turno),10000-ROW(),"")</f>
        <v/>
      </c>
    </row>
    <row r="3045">
      <c r="A3045" s="3">
        <f>IF(D3045="","","TT-"&amp;TEXT(ROW()-1,"00000"))</f>
        <v/>
      </c>
      <c r="B3045" s="3">
        <f>IF(D3045="","",IF(V3045=0,"CONCLUÍDO",IF(D3045&lt;corte,"HISTÓRICO",IF(OR(AND(ISNUMBER(R3045),R3045&lt;TODAY()),AND(OR(N3045="PENDENTE",N3045="PARCIAL"),D3045&lt;TODAY()-1)),"CRÍTICO",IF(OR(AND(P3045&lt;&gt;"",S3045=""),AND(N3045="REALIZADO",M3045="PENDENTE"),AND(ISNUMBER(R3045),R3045=TODAY())),"ATENÇÃO",IF(N(K3045)=0,"PENDENTE","EM ANDAMENTO"))))))</f>
        <v/>
      </c>
      <c r="C3045" s="3">
        <f>IF(D3045="","",IF(V3045=0,"🟢 OK",IF(D3045&lt;corte,"⚪ HISTÓRICO (sem baixa)",IF(AND(ISNUMBER(R3045),R3045&lt;TODAY()),"🔴 PRAZO VENCIDO",IF(AND(OR(N3045="PENDENTE",N3045="PARCIAL"),D3045&lt;TODAY()-1),"🔴 EMBARQUE ATRASADO",IF(AND(N3045="REALIZADO",M3045="PENDENTE"),"🟡 EMBARCADO SEM FATURAR",IF(AND(P3045&lt;&gt;"",S3045="",OR(Q3045="",R3045="")),"🟡 PENDÊNCIA SEM RESPONSÁVEL/PRAZO",IF(AND(ISNUMBER(R3045),R3045=TODAY()),"🟡 VENCE HOJE",IF(AND(P3045&lt;&gt;"",S3045=""),"🟡 PENDÊNCIA ABERTA",IF(AND(N(J3045)&gt;0,N(K3045)&lt;J3045),"🟡 FALTA EXECUTAR",IF(OR(M3045="PENDENTE",M3045="PARCIAL"),"🟡 FATURAMENTO PENDENTE","🟡 EMBARQUE PENDENTE")))))))))))</f>
        <v/>
      </c>
      <c r="D3045" s="4" t="n"/>
      <c r="E3045" s="5" t="n"/>
      <c r="F3045" s="5" t="n"/>
      <c r="G3045" s="5" t="n"/>
      <c r="H3045" s="5" t="n"/>
      <c r="I3045" s="5" t="n"/>
      <c r="J3045" s="6" t="n"/>
      <c r="K3045" s="6" t="n"/>
      <c r="L3045" s="7">
        <f>IF(OR(D3045="",N(J3045)=0),"",MIN(1,N(K3045)/J3045))</f>
        <v/>
      </c>
      <c r="M3045" s="5" t="n"/>
      <c r="N3045" s="5" t="n"/>
      <c r="O3045" s="5" t="n"/>
      <c r="P3045" s="5" t="n"/>
      <c r="Q3045" s="5" t="n"/>
      <c r="R3045" s="4" t="n"/>
      <c r="S3045" s="4" t="n"/>
      <c r="T3045" s="5" t="n"/>
      <c r="U3045" s="8">
        <f>IF(AND(V3045=1,D3045&lt;&gt;""),IF(D3045&gt;=corte,TODAY()-D3045,""),"")</f>
        <v/>
      </c>
      <c r="V3045" s="8">
        <f>IF(D3045="",0,IF(OR(AND(P3045&lt;&gt;"",S3045=""),AND(N(J3045)&gt;0,N(K3045)&lt;J3045),OR(M3045="PENDENTE",M3045="PARCIAL"),OR(N3045="PENDENTE",N3045="PARCIAL")),1,0))</f>
        <v/>
      </c>
      <c r="W3045" s="8">
        <f>IF(AND(V3045=1,D3045&lt;&gt;""),IF(D3045&gt;=corte,(B3045="CRÍTICO")*1E9+(100000-D3045)*10000+10000-ROW(),""),"")</f>
        <v/>
      </c>
      <c r="X3045" s="8">
        <f>IF(AND(V3045=1,D3045=pas_data,E3045=pas_turno),10000-ROW(),"")</f>
        <v/>
      </c>
    </row>
    <row r="3046">
      <c r="A3046" s="3">
        <f>IF(D3046="","","TT-"&amp;TEXT(ROW()-1,"00000"))</f>
        <v/>
      </c>
      <c r="B3046" s="3">
        <f>IF(D3046="","",IF(V3046=0,"CONCLUÍDO",IF(D3046&lt;corte,"HISTÓRICO",IF(OR(AND(ISNUMBER(R3046),R3046&lt;TODAY()),AND(OR(N3046="PENDENTE",N3046="PARCIAL"),D3046&lt;TODAY()-1)),"CRÍTICO",IF(OR(AND(P3046&lt;&gt;"",S3046=""),AND(N3046="REALIZADO",M3046="PENDENTE"),AND(ISNUMBER(R3046),R3046=TODAY())),"ATENÇÃO",IF(N(K3046)=0,"PENDENTE","EM ANDAMENTO"))))))</f>
        <v/>
      </c>
      <c r="C3046" s="3">
        <f>IF(D3046="","",IF(V3046=0,"🟢 OK",IF(D3046&lt;corte,"⚪ HISTÓRICO (sem baixa)",IF(AND(ISNUMBER(R3046),R3046&lt;TODAY()),"🔴 PRAZO VENCIDO",IF(AND(OR(N3046="PENDENTE",N3046="PARCIAL"),D3046&lt;TODAY()-1),"🔴 EMBARQUE ATRASADO",IF(AND(N3046="REALIZADO",M3046="PENDENTE"),"🟡 EMBARCADO SEM FATURAR",IF(AND(P3046&lt;&gt;"",S3046="",OR(Q3046="",R3046="")),"🟡 PENDÊNCIA SEM RESPONSÁVEL/PRAZO",IF(AND(ISNUMBER(R3046),R3046=TODAY()),"🟡 VENCE HOJE",IF(AND(P3046&lt;&gt;"",S3046=""),"🟡 PENDÊNCIA ABERTA",IF(AND(N(J3046)&gt;0,N(K3046)&lt;J3046),"🟡 FALTA EXECUTAR",IF(OR(M3046="PENDENTE",M3046="PARCIAL"),"🟡 FATURAMENTO PENDENTE","🟡 EMBARQUE PENDENTE")))))))))))</f>
        <v/>
      </c>
      <c r="D3046" s="4" t="n"/>
      <c r="E3046" s="5" t="n"/>
      <c r="F3046" s="5" t="n"/>
      <c r="G3046" s="5" t="n"/>
      <c r="H3046" s="5" t="n"/>
      <c r="I3046" s="5" t="n"/>
      <c r="J3046" s="6" t="n"/>
      <c r="K3046" s="6" t="n"/>
      <c r="L3046" s="7">
        <f>IF(OR(D3046="",N(J3046)=0),"",MIN(1,N(K3046)/J3046))</f>
        <v/>
      </c>
      <c r="M3046" s="5" t="n"/>
      <c r="N3046" s="5" t="n"/>
      <c r="O3046" s="5" t="n"/>
      <c r="P3046" s="5" t="n"/>
      <c r="Q3046" s="5" t="n"/>
      <c r="R3046" s="4" t="n"/>
      <c r="S3046" s="4" t="n"/>
      <c r="T3046" s="5" t="n"/>
      <c r="U3046" s="8">
        <f>IF(AND(V3046=1,D3046&lt;&gt;""),IF(D3046&gt;=corte,TODAY()-D3046,""),"")</f>
        <v/>
      </c>
      <c r="V3046" s="8">
        <f>IF(D3046="",0,IF(OR(AND(P3046&lt;&gt;"",S3046=""),AND(N(J3046)&gt;0,N(K3046)&lt;J3046),OR(M3046="PENDENTE",M3046="PARCIAL"),OR(N3046="PENDENTE",N3046="PARCIAL")),1,0))</f>
        <v/>
      </c>
      <c r="W3046" s="8">
        <f>IF(AND(V3046=1,D3046&lt;&gt;""),IF(D3046&gt;=corte,(B3046="CRÍTICO")*1E9+(100000-D3046)*10000+10000-ROW(),""),"")</f>
        <v/>
      </c>
      <c r="X3046" s="8">
        <f>IF(AND(V3046=1,D3046=pas_data,E3046=pas_turno),10000-ROW(),"")</f>
        <v/>
      </c>
    </row>
    <row r="3047">
      <c r="A3047" s="3">
        <f>IF(D3047="","","TT-"&amp;TEXT(ROW()-1,"00000"))</f>
        <v/>
      </c>
      <c r="B3047" s="3">
        <f>IF(D3047="","",IF(V3047=0,"CONCLUÍDO",IF(D3047&lt;corte,"HISTÓRICO",IF(OR(AND(ISNUMBER(R3047),R3047&lt;TODAY()),AND(OR(N3047="PENDENTE",N3047="PARCIAL"),D3047&lt;TODAY()-1)),"CRÍTICO",IF(OR(AND(P3047&lt;&gt;"",S3047=""),AND(N3047="REALIZADO",M3047="PENDENTE"),AND(ISNUMBER(R3047),R3047=TODAY())),"ATENÇÃO",IF(N(K3047)=0,"PENDENTE","EM ANDAMENTO"))))))</f>
        <v/>
      </c>
      <c r="C3047" s="3">
        <f>IF(D3047="","",IF(V3047=0,"🟢 OK",IF(D3047&lt;corte,"⚪ HISTÓRICO (sem baixa)",IF(AND(ISNUMBER(R3047),R3047&lt;TODAY()),"🔴 PRAZO VENCIDO",IF(AND(OR(N3047="PENDENTE",N3047="PARCIAL"),D3047&lt;TODAY()-1),"🔴 EMBARQUE ATRASADO",IF(AND(N3047="REALIZADO",M3047="PENDENTE"),"🟡 EMBARCADO SEM FATURAR",IF(AND(P3047&lt;&gt;"",S3047="",OR(Q3047="",R3047="")),"🟡 PENDÊNCIA SEM RESPONSÁVEL/PRAZO",IF(AND(ISNUMBER(R3047),R3047=TODAY()),"🟡 VENCE HOJE",IF(AND(P3047&lt;&gt;"",S3047=""),"🟡 PENDÊNCIA ABERTA",IF(AND(N(J3047)&gt;0,N(K3047)&lt;J3047),"🟡 FALTA EXECUTAR",IF(OR(M3047="PENDENTE",M3047="PARCIAL"),"🟡 FATURAMENTO PENDENTE","🟡 EMBARQUE PENDENTE")))))))))))</f>
        <v/>
      </c>
      <c r="D3047" s="4" t="n"/>
      <c r="E3047" s="5" t="n"/>
      <c r="F3047" s="5" t="n"/>
      <c r="G3047" s="5" t="n"/>
      <c r="H3047" s="5" t="n"/>
      <c r="I3047" s="5" t="n"/>
      <c r="J3047" s="6" t="n"/>
      <c r="K3047" s="6" t="n"/>
      <c r="L3047" s="7">
        <f>IF(OR(D3047="",N(J3047)=0),"",MIN(1,N(K3047)/J3047))</f>
        <v/>
      </c>
      <c r="M3047" s="5" t="n"/>
      <c r="N3047" s="5" t="n"/>
      <c r="O3047" s="5" t="n"/>
      <c r="P3047" s="5" t="n"/>
      <c r="Q3047" s="5" t="n"/>
      <c r="R3047" s="4" t="n"/>
      <c r="S3047" s="4" t="n"/>
      <c r="T3047" s="5" t="n"/>
      <c r="U3047" s="8">
        <f>IF(AND(V3047=1,D3047&lt;&gt;""),IF(D3047&gt;=corte,TODAY()-D3047,""),"")</f>
        <v/>
      </c>
      <c r="V3047" s="8">
        <f>IF(D3047="",0,IF(OR(AND(P3047&lt;&gt;"",S3047=""),AND(N(J3047)&gt;0,N(K3047)&lt;J3047),OR(M3047="PENDENTE",M3047="PARCIAL"),OR(N3047="PENDENTE",N3047="PARCIAL")),1,0))</f>
        <v/>
      </c>
      <c r="W3047" s="8">
        <f>IF(AND(V3047=1,D3047&lt;&gt;""),IF(D3047&gt;=corte,(B3047="CRÍTICO")*1E9+(100000-D3047)*10000+10000-ROW(),""),"")</f>
        <v/>
      </c>
      <c r="X3047" s="8">
        <f>IF(AND(V3047=1,D3047=pas_data,E3047=pas_turno),10000-ROW(),"")</f>
        <v/>
      </c>
    </row>
    <row r="3048">
      <c r="A3048" s="3">
        <f>IF(D3048="","","TT-"&amp;TEXT(ROW()-1,"00000"))</f>
        <v/>
      </c>
      <c r="B3048" s="3">
        <f>IF(D3048="","",IF(V3048=0,"CONCLUÍDO",IF(D3048&lt;corte,"HISTÓRICO",IF(OR(AND(ISNUMBER(R3048),R3048&lt;TODAY()),AND(OR(N3048="PENDENTE",N3048="PARCIAL"),D3048&lt;TODAY()-1)),"CRÍTICO",IF(OR(AND(P3048&lt;&gt;"",S3048=""),AND(N3048="REALIZADO",M3048="PENDENTE"),AND(ISNUMBER(R3048),R3048=TODAY())),"ATENÇÃO",IF(N(K3048)=0,"PENDENTE","EM ANDAMENTO"))))))</f>
        <v/>
      </c>
      <c r="C3048" s="3">
        <f>IF(D3048="","",IF(V3048=0,"🟢 OK",IF(D3048&lt;corte,"⚪ HISTÓRICO (sem baixa)",IF(AND(ISNUMBER(R3048),R3048&lt;TODAY()),"🔴 PRAZO VENCIDO",IF(AND(OR(N3048="PENDENTE",N3048="PARCIAL"),D3048&lt;TODAY()-1),"🔴 EMBARQUE ATRASADO",IF(AND(N3048="REALIZADO",M3048="PENDENTE"),"🟡 EMBARCADO SEM FATURAR",IF(AND(P3048&lt;&gt;"",S3048="",OR(Q3048="",R3048="")),"🟡 PENDÊNCIA SEM RESPONSÁVEL/PRAZO",IF(AND(ISNUMBER(R3048),R3048=TODAY()),"🟡 VENCE HOJE",IF(AND(P3048&lt;&gt;"",S3048=""),"🟡 PENDÊNCIA ABERTA",IF(AND(N(J3048)&gt;0,N(K3048)&lt;J3048),"🟡 FALTA EXECUTAR",IF(OR(M3048="PENDENTE",M3048="PARCIAL"),"🟡 FATURAMENTO PENDENTE","🟡 EMBARQUE PENDENTE")))))))))))</f>
        <v/>
      </c>
      <c r="D3048" s="4" t="n"/>
      <c r="E3048" s="5" t="n"/>
      <c r="F3048" s="5" t="n"/>
      <c r="G3048" s="5" t="n"/>
      <c r="H3048" s="5" t="n"/>
      <c r="I3048" s="5" t="n"/>
      <c r="J3048" s="6" t="n"/>
      <c r="K3048" s="6" t="n"/>
      <c r="L3048" s="7">
        <f>IF(OR(D3048="",N(J3048)=0),"",MIN(1,N(K3048)/J3048))</f>
        <v/>
      </c>
      <c r="M3048" s="5" t="n"/>
      <c r="N3048" s="5" t="n"/>
      <c r="O3048" s="5" t="n"/>
      <c r="P3048" s="5" t="n"/>
      <c r="Q3048" s="5" t="n"/>
      <c r="R3048" s="4" t="n"/>
      <c r="S3048" s="4" t="n"/>
      <c r="T3048" s="5" t="n"/>
      <c r="U3048" s="8">
        <f>IF(AND(V3048=1,D3048&lt;&gt;""),IF(D3048&gt;=corte,TODAY()-D3048,""),"")</f>
        <v/>
      </c>
      <c r="V3048" s="8">
        <f>IF(D3048="",0,IF(OR(AND(P3048&lt;&gt;"",S3048=""),AND(N(J3048)&gt;0,N(K3048)&lt;J3048),OR(M3048="PENDENTE",M3048="PARCIAL"),OR(N3048="PENDENTE",N3048="PARCIAL")),1,0))</f>
        <v/>
      </c>
      <c r="W3048" s="8">
        <f>IF(AND(V3048=1,D3048&lt;&gt;""),IF(D3048&gt;=corte,(B3048="CRÍTICO")*1E9+(100000-D3048)*10000+10000-ROW(),""),"")</f>
        <v/>
      </c>
      <c r="X3048" s="8">
        <f>IF(AND(V3048=1,D3048=pas_data,E3048=pas_turno),10000-ROW(),"")</f>
        <v/>
      </c>
    </row>
    <row r="3049">
      <c r="A3049" s="3">
        <f>IF(D3049="","","TT-"&amp;TEXT(ROW()-1,"00000"))</f>
        <v/>
      </c>
      <c r="B3049" s="3">
        <f>IF(D3049="","",IF(V3049=0,"CONCLUÍDO",IF(D3049&lt;corte,"HISTÓRICO",IF(OR(AND(ISNUMBER(R3049),R3049&lt;TODAY()),AND(OR(N3049="PENDENTE",N3049="PARCIAL"),D3049&lt;TODAY()-1)),"CRÍTICO",IF(OR(AND(P3049&lt;&gt;"",S3049=""),AND(N3049="REALIZADO",M3049="PENDENTE"),AND(ISNUMBER(R3049),R3049=TODAY())),"ATENÇÃO",IF(N(K3049)=0,"PENDENTE","EM ANDAMENTO"))))))</f>
        <v/>
      </c>
      <c r="C3049" s="3">
        <f>IF(D3049="","",IF(V3049=0,"🟢 OK",IF(D3049&lt;corte,"⚪ HISTÓRICO (sem baixa)",IF(AND(ISNUMBER(R3049),R3049&lt;TODAY()),"🔴 PRAZO VENCIDO",IF(AND(OR(N3049="PENDENTE",N3049="PARCIAL"),D3049&lt;TODAY()-1),"🔴 EMBARQUE ATRASADO",IF(AND(N3049="REALIZADO",M3049="PENDENTE"),"🟡 EMBARCADO SEM FATURAR",IF(AND(P3049&lt;&gt;"",S3049="",OR(Q3049="",R3049="")),"🟡 PENDÊNCIA SEM RESPONSÁVEL/PRAZO",IF(AND(ISNUMBER(R3049),R3049=TODAY()),"🟡 VENCE HOJE",IF(AND(P3049&lt;&gt;"",S3049=""),"🟡 PENDÊNCIA ABERTA",IF(AND(N(J3049)&gt;0,N(K3049)&lt;J3049),"🟡 FALTA EXECUTAR",IF(OR(M3049="PENDENTE",M3049="PARCIAL"),"🟡 FATURAMENTO PENDENTE","🟡 EMBARQUE PENDENTE")))))))))))</f>
        <v/>
      </c>
      <c r="D3049" s="4" t="n"/>
      <c r="E3049" s="5" t="n"/>
      <c r="F3049" s="5" t="n"/>
      <c r="G3049" s="5" t="n"/>
      <c r="H3049" s="5" t="n"/>
      <c r="I3049" s="5" t="n"/>
      <c r="J3049" s="6" t="n"/>
      <c r="K3049" s="6" t="n"/>
      <c r="L3049" s="7">
        <f>IF(OR(D3049="",N(J3049)=0),"",MIN(1,N(K3049)/J3049))</f>
        <v/>
      </c>
      <c r="M3049" s="5" t="n"/>
      <c r="N3049" s="5" t="n"/>
      <c r="O3049" s="5" t="n"/>
      <c r="P3049" s="5" t="n"/>
      <c r="Q3049" s="5" t="n"/>
      <c r="R3049" s="4" t="n"/>
      <c r="S3049" s="4" t="n"/>
      <c r="T3049" s="5" t="n"/>
      <c r="U3049" s="8">
        <f>IF(AND(V3049=1,D3049&lt;&gt;""),IF(D3049&gt;=corte,TODAY()-D3049,""),"")</f>
        <v/>
      </c>
      <c r="V3049" s="8">
        <f>IF(D3049="",0,IF(OR(AND(P3049&lt;&gt;"",S3049=""),AND(N(J3049)&gt;0,N(K3049)&lt;J3049),OR(M3049="PENDENTE",M3049="PARCIAL"),OR(N3049="PENDENTE",N3049="PARCIAL")),1,0))</f>
        <v/>
      </c>
      <c r="W3049" s="8">
        <f>IF(AND(V3049=1,D3049&lt;&gt;""),IF(D3049&gt;=corte,(B3049="CRÍTICO")*1E9+(100000-D3049)*10000+10000-ROW(),""),"")</f>
        <v/>
      </c>
      <c r="X3049" s="8">
        <f>IF(AND(V3049=1,D3049=pas_data,E3049=pas_turno),10000-ROW(),"")</f>
        <v/>
      </c>
    </row>
    <row r="3050">
      <c r="A3050" s="3">
        <f>IF(D3050="","","TT-"&amp;TEXT(ROW()-1,"00000"))</f>
        <v/>
      </c>
      <c r="B3050" s="3">
        <f>IF(D3050="","",IF(V3050=0,"CONCLUÍDO",IF(D3050&lt;corte,"HISTÓRICO",IF(OR(AND(ISNUMBER(R3050),R3050&lt;TODAY()),AND(OR(N3050="PENDENTE",N3050="PARCIAL"),D3050&lt;TODAY()-1)),"CRÍTICO",IF(OR(AND(P3050&lt;&gt;"",S3050=""),AND(N3050="REALIZADO",M3050="PENDENTE"),AND(ISNUMBER(R3050),R3050=TODAY())),"ATENÇÃO",IF(N(K3050)=0,"PENDENTE","EM ANDAMENTO"))))))</f>
        <v/>
      </c>
      <c r="C3050" s="3">
        <f>IF(D3050="","",IF(V3050=0,"🟢 OK",IF(D3050&lt;corte,"⚪ HISTÓRICO (sem baixa)",IF(AND(ISNUMBER(R3050),R3050&lt;TODAY()),"🔴 PRAZO VENCIDO",IF(AND(OR(N3050="PENDENTE",N3050="PARCIAL"),D3050&lt;TODAY()-1),"🔴 EMBARQUE ATRASADO",IF(AND(N3050="REALIZADO",M3050="PENDENTE"),"🟡 EMBARCADO SEM FATURAR",IF(AND(P3050&lt;&gt;"",S3050="",OR(Q3050="",R3050="")),"🟡 PENDÊNCIA SEM RESPONSÁVEL/PRAZO",IF(AND(ISNUMBER(R3050),R3050=TODAY()),"🟡 VENCE HOJE",IF(AND(P3050&lt;&gt;"",S3050=""),"🟡 PENDÊNCIA ABERTA",IF(AND(N(J3050)&gt;0,N(K3050)&lt;J3050),"🟡 FALTA EXECUTAR",IF(OR(M3050="PENDENTE",M3050="PARCIAL"),"🟡 FATURAMENTO PENDENTE","🟡 EMBARQUE PENDENTE")))))))))))</f>
        <v/>
      </c>
      <c r="D3050" s="4" t="n"/>
      <c r="E3050" s="5" t="n"/>
      <c r="F3050" s="5" t="n"/>
      <c r="G3050" s="5" t="n"/>
      <c r="H3050" s="5" t="n"/>
      <c r="I3050" s="5" t="n"/>
      <c r="J3050" s="6" t="n"/>
      <c r="K3050" s="6" t="n"/>
      <c r="L3050" s="7">
        <f>IF(OR(D3050="",N(J3050)=0),"",MIN(1,N(K3050)/J3050))</f>
        <v/>
      </c>
      <c r="M3050" s="5" t="n"/>
      <c r="N3050" s="5" t="n"/>
      <c r="O3050" s="5" t="n"/>
      <c r="P3050" s="5" t="n"/>
      <c r="Q3050" s="5" t="n"/>
      <c r="R3050" s="4" t="n"/>
      <c r="S3050" s="4" t="n"/>
      <c r="T3050" s="5" t="n"/>
      <c r="U3050" s="8">
        <f>IF(AND(V3050=1,D3050&lt;&gt;""),IF(D3050&gt;=corte,TODAY()-D3050,""),"")</f>
        <v/>
      </c>
      <c r="V3050" s="8">
        <f>IF(D3050="",0,IF(OR(AND(P3050&lt;&gt;"",S3050=""),AND(N(J3050)&gt;0,N(K3050)&lt;J3050),OR(M3050="PENDENTE",M3050="PARCIAL"),OR(N3050="PENDENTE",N3050="PARCIAL")),1,0))</f>
        <v/>
      </c>
      <c r="W3050" s="8">
        <f>IF(AND(V3050=1,D3050&lt;&gt;""),IF(D3050&gt;=corte,(B3050="CRÍTICO")*1E9+(100000-D3050)*10000+10000-ROW(),""),"")</f>
        <v/>
      </c>
      <c r="X3050" s="8">
        <f>IF(AND(V3050=1,D3050=pas_data,E3050=pas_turno),10000-ROW(),"")</f>
        <v/>
      </c>
    </row>
    <row r="3051">
      <c r="A3051" s="3">
        <f>IF(D3051="","","TT-"&amp;TEXT(ROW()-1,"00000"))</f>
        <v/>
      </c>
      <c r="B3051" s="3">
        <f>IF(D3051="","",IF(V3051=0,"CONCLUÍDO",IF(D3051&lt;corte,"HISTÓRICO",IF(OR(AND(ISNUMBER(R3051),R3051&lt;TODAY()),AND(OR(N3051="PENDENTE",N3051="PARCIAL"),D3051&lt;TODAY()-1)),"CRÍTICO",IF(OR(AND(P3051&lt;&gt;"",S3051=""),AND(N3051="REALIZADO",M3051="PENDENTE"),AND(ISNUMBER(R3051),R3051=TODAY())),"ATENÇÃO",IF(N(K3051)=0,"PENDENTE","EM ANDAMENTO"))))))</f>
        <v/>
      </c>
      <c r="C3051" s="3">
        <f>IF(D3051="","",IF(V3051=0,"🟢 OK",IF(D3051&lt;corte,"⚪ HISTÓRICO (sem baixa)",IF(AND(ISNUMBER(R3051),R3051&lt;TODAY()),"🔴 PRAZO VENCIDO",IF(AND(OR(N3051="PENDENTE",N3051="PARCIAL"),D3051&lt;TODAY()-1),"🔴 EMBARQUE ATRASADO",IF(AND(N3051="REALIZADO",M3051="PENDENTE"),"🟡 EMBARCADO SEM FATURAR",IF(AND(P3051&lt;&gt;"",S3051="",OR(Q3051="",R3051="")),"🟡 PENDÊNCIA SEM RESPONSÁVEL/PRAZO",IF(AND(ISNUMBER(R3051),R3051=TODAY()),"🟡 VENCE HOJE",IF(AND(P3051&lt;&gt;"",S3051=""),"🟡 PENDÊNCIA ABERTA",IF(AND(N(J3051)&gt;0,N(K3051)&lt;J3051),"🟡 FALTA EXECUTAR",IF(OR(M3051="PENDENTE",M3051="PARCIAL"),"🟡 FATURAMENTO PENDENTE","🟡 EMBARQUE PENDENTE")))))))))))</f>
        <v/>
      </c>
      <c r="D3051" s="4" t="n"/>
      <c r="E3051" s="5" t="n"/>
      <c r="F3051" s="5" t="n"/>
      <c r="G3051" s="5" t="n"/>
      <c r="H3051" s="5" t="n"/>
      <c r="I3051" s="5" t="n"/>
      <c r="J3051" s="6" t="n"/>
      <c r="K3051" s="6" t="n"/>
      <c r="L3051" s="7">
        <f>IF(OR(D3051="",N(J3051)=0),"",MIN(1,N(K3051)/J3051))</f>
        <v/>
      </c>
      <c r="M3051" s="5" t="n"/>
      <c r="N3051" s="5" t="n"/>
      <c r="O3051" s="5" t="n"/>
      <c r="P3051" s="5" t="n"/>
      <c r="Q3051" s="5" t="n"/>
      <c r="R3051" s="4" t="n"/>
      <c r="S3051" s="4" t="n"/>
      <c r="T3051" s="5" t="n"/>
      <c r="U3051" s="8">
        <f>IF(AND(V3051=1,D3051&lt;&gt;""),IF(D3051&gt;=corte,TODAY()-D3051,""),"")</f>
        <v/>
      </c>
      <c r="V3051" s="8">
        <f>IF(D3051="",0,IF(OR(AND(P3051&lt;&gt;"",S3051=""),AND(N(J3051)&gt;0,N(K3051)&lt;J3051),OR(M3051="PENDENTE",M3051="PARCIAL"),OR(N3051="PENDENTE",N3051="PARCIAL")),1,0))</f>
        <v/>
      </c>
      <c r="W3051" s="8">
        <f>IF(AND(V3051=1,D3051&lt;&gt;""),IF(D3051&gt;=corte,(B3051="CRÍTICO")*1E9+(100000-D3051)*10000+10000-ROW(),""),"")</f>
        <v/>
      </c>
      <c r="X3051" s="8">
        <f>IF(AND(V3051=1,D3051=pas_data,E3051=pas_turno),10000-ROW(),"")</f>
        <v/>
      </c>
    </row>
    <row r="3052">
      <c r="A3052" s="3">
        <f>IF(D3052="","","TT-"&amp;TEXT(ROW()-1,"00000"))</f>
        <v/>
      </c>
      <c r="B3052" s="3">
        <f>IF(D3052="","",IF(V3052=0,"CONCLUÍDO",IF(D3052&lt;corte,"HISTÓRICO",IF(OR(AND(ISNUMBER(R3052),R3052&lt;TODAY()),AND(OR(N3052="PENDENTE",N3052="PARCIAL"),D3052&lt;TODAY()-1)),"CRÍTICO",IF(OR(AND(P3052&lt;&gt;"",S3052=""),AND(N3052="REALIZADO",M3052="PENDENTE"),AND(ISNUMBER(R3052),R3052=TODAY())),"ATENÇÃO",IF(N(K3052)=0,"PENDENTE","EM ANDAMENTO"))))))</f>
        <v/>
      </c>
      <c r="C3052" s="3">
        <f>IF(D3052="","",IF(V3052=0,"🟢 OK",IF(D3052&lt;corte,"⚪ HISTÓRICO (sem baixa)",IF(AND(ISNUMBER(R3052),R3052&lt;TODAY()),"🔴 PRAZO VENCIDO",IF(AND(OR(N3052="PENDENTE",N3052="PARCIAL"),D3052&lt;TODAY()-1),"🔴 EMBARQUE ATRASADO",IF(AND(N3052="REALIZADO",M3052="PENDENTE"),"🟡 EMBARCADO SEM FATURAR",IF(AND(P3052&lt;&gt;"",S3052="",OR(Q3052="",R3052="")),"🟡 PENDÊNCIA SEM RESPONSÁVEL/PRAZO",IF(AND(ISNUMBER(R3052),R3052=TODAY()),"🟡 VENCE HOJE",IF(AND(P3052&lt;&gt;"",S3052=""),"🟡 PENDÊNCIA ABERTA",IF(AND(N(J3052)&gt;0,N(K3052)&lt;J3052),"🟡 FALTA EXECUTAR",IF(OR(M3052="PENDENTE",M3052="PARCIAL"),"🟡 FATURAMENTO PENDENTE","🟡 EMBARQUE PENDENTE")))))))))))</f>
        <v/>
      </c>
      <c r="D3052" s="4" t="n"/>
      <c r="E3052" s="5" t="n"/>
      <c r="F3052" s="5" t="n"/>
      <c r="G3052" s="5" t="n"/>
      <c r="H3052" s="5" t="n"/>
      <c r="I3052" s="5" t="n"/>
      <c r="J3052" s="6" t="n"/>
      <c r="K3052" s="6" t="n"/>
      <c r="L3052" s="7">
        <f>IF(OR(D3052="",N(J3052)=0),"",MIN(1,N(K3052)/J3052))</f>
        <v/>
      </c>
      <c r="M3052" s="5" t="n"/>
      <c r="N3052" s="5" t="n"/>
      <c r="O3052" s="5" t="n"/>
      <c r="P3052" s="5" t="n"/>
      <c r="Q3052" s="5" t="n"/>
      <c r="R3052" s="4" t="n"/>
      <c r="S3052" s="4" t="n"/>
      <c r="T3052" s="5" t="n"/>
      <c r="U3052" s="8">
        <f>IF(AND(V3052=1,D3052&lt;&gt;""),IF(D3052&gt;=corte,TODAY()-D3052,""),"")</f>
        <v/>
      </c>
      <c r="V3052" s="8">
        <f>IF(D3052="",0,IF(OR(AND(P3052&lt;&gt;"",S3052=""),AND(N(J3052)&gt;0,N(K3052)&lt;J3052),OR(M3052="PENDENTE",M3052="PARCIAL"),OR(N3052="PENDENTE",N3052="PARCIAL")),1,0))</f>
        <v/>
      </c>
      <c r="W3052" s="8">
        <f>IF(AND(V3052=1,D3052&lt;&gt;""),IF(D3052&gt;=corte,(B3052="CRÍTICO")*1E9+(100000-D3052)*10000+10000-ROW(),""),"")</f>
        <v/>
      </c>
      <c r="X3052" s="8">
        <f>IF(AND(V3052=1,D3052=pas_data,E3052=pas_turno),10000-ROW(),"")</f>
        <v/>
      </c>
    </row>
    <row r="3053">
      <c r="A3053" s="3">
        <f>IF(D3053="","","TT-"&amp;TEXT(ROW()-1,"00000"))</f>
        <v/>
      </c>
      <c r="B3053" s="3">
        <f>IF(D3053="","",IF(V3053=0,"CONCLUÍDO",IF(D3053&lt;corte,"HISTÓRICO",IF(OR(AND(ISNUMBER(R3053),R3053&lt;TODAY()),AND(OR(N3053="PENDENTE",N3053="PARCIAL"),D3053&lt;TODAY()-1)),"CRÍTICO",IF(OR(AND(P3053&lt;&gt;"",S3053=""),AND(N3053="REALIZADO",M3053="PENDENTE"),AND(ISNUMBER(R3053),R3053=TODAY())),"ATENÇÃO",IF(N(K3053)=0,"PENDENTE","EM ANDAMENTO"))))))</f>
        <v/>
      </c>
      <c r="C3053" s="3">
        <f>IF(D3053="","",IF(V3053=0,"🟢 OK",IF(D3053&lt;corte,"⚪ HISTÓRICO (sem baixa)",IF(AND(ISNUMBER(R3053),R3053&lt;TODAY()),"🔴 PRAZO VENCIDO",IF(AND(OR(N3053="PENDENTE",N3053="PARCIAL"),D3053&lt;TODAY()-1),"🔴 EMBARQUE ATRASADO",IF(AND(N3053="REALIZADO",M3053="PENDENTE"),"🟡 EMBARCADO SEM FATURAR",IF(AND(P3053&lt;&gt;"",S3053="",OR(Q3053="",R3053="")),"🟡 PENDÊNCIA SEM RESPONSÁVEL/PRAZO",IF(AND(ISNUMBER(R3053),R3053=TODAY()),"🟡 VENCE HOJE",IF(AND(P3053&lt;&gt;"",S3053=""),"🟡 PENDÊNCIA ABERTA",IF(AND(N(J3053)&gt;0,N(K3053)&lt;J3053),"🟡 FALTA EXECUTAR",IF(OR(M3053="PENDENTE",M3053="PARCIAL"),"🟡 FATURAMENTO PENDENTE","🟡 EMBARQUE PENDENTE")))))))))))</f>
        <v/>
      </c>
      <c r="D3053" s="4" t="n"/>
      <c r="E3053" s="5" t="n"/>
      <c r="F3053" s="5" t="n"/>
      <c r="G3053" s="5" t="n"/>
      <c r="H3053" s="5" t="n"/>
      <c r="I3053" s="5" t="n"/>
      <c r="J3053" s="6" t="n"/>
      <c r="K3053" s="6" t="n"/>
      <c r="L3053" s="7">
        <f>IF(OR(D3053="",N(J3053)=0),"",MIN(1,N(K3053)/J3053))</f>
        <v/>
      </c>
      <c r="M3053" s="5" t="n"/>
      <c r="N3053" s="5" t="n"/>
      <c r="O3053" s="5" t="n"/>
      <c r="P3053" s="5" t="n"/>
      <c r="Q3053" s="5" t="n"/>
      <c r="R3053" s="4" t="n"/>
      <c r="S3053" s="4" t="n"/>
      <c r="T3053" s="5" t="n"/>
      <c r="U3053" s="8">
        <f>IF(AND(V3053=1,D3053&lt;&gt;""),IF(D3053&gt;=corte,TODAY()-D3053,""),"")</f>
        <v/>
      </c>
      <c r="V3053" s="8">
        <f>IF(D3053="",0,IF(OR(AND(P3053&lt;&gt;"",S3053=""),AND(N(J3053)&gt;0,N(K3053)&lt;J3053),OR(M3053="PENDENTE",M3053="PARCIAL"),OR(N3053="PENDENTE",N3053="PARCIAL")),1,0))</f>
        <v/>
      </c>
      <c r="W3053" s="8">
        <f>IF(AND(V3053=1,D3053&lt;&gt;""),IF(D3053&gt;=corte,(B3053="CRÍTICO")*1E9+(100000-D3053)*10000+10000-ROW(),""),"")</f>
        <v/>
      </c>
      <c r="X3053" s="8">
        <f>IF(AND(V3053=1,D3053=pas_data,E3053=pas_turno),10000-ROW(),"")</f>
        <v/>
      </c>
    </row>
    <row r="3054">
      <c r="A3054" s="3">
        <f>IF(D3054="","","TT-"&amp;TEXT(ROW()-1,"00000"))</f>
        <v/>
      </c>
      <c r="B3054" s="3">
        <f>IF(D3054="","",IF(V3054=0,"CONCLUÍDO",IF(D3054&lt;corte,"HISTÓRICO",IF(OR(AND(ISNUMBER(R3054),R3054&lt;TODAY()),AND(OR(N3054="PENDENTE",N3054="PARCIAL"),D3054&lt;TODAY()-1)),"CRÍTICO",IF(OR(AND(P3054&lt;&gt;"",S3054=""),AND(N3054="REALIZADO",M3054="PENDENTE"),AND(ISNUMBER(R3054),R3054=TODAY())),"ATENÇÃO",IF(N(K3054)=0,"PENDENTE","EM ANDAMENTO"))))))</f>
        <v/>
      </c>
      <c r="C3054" s="3">
        <f>IF(D3054="","",IF(V3054=0,"🟢 OK",IF(D3054&lt;corte,"⚪ HISTÓRICO (sem baixa)",IF(AND(ISNUMBER(R3054),R3054&lt;TODAY()),"🔴 PRAZO VENCIDO",IF(AND(OR(N3054="PENDENTE",N3054="PARCIAL"),D3054&lt;TODAY()-1),"🔴 EMBARQUE ATRASADO",IF(AND(N3054="REALIZADO",M3054="PENDENTE"),"🟡 EMBARCADO SEM FATURAR",IF(AND(P3054&lt;&gt;"",S3054="",OR(Q3054="",R3054="")),"🟡 PENDÊNCIA SEM RESPONSÁVEL/PRAZO",IF(AND(ISNUMBER(R3054),R3054=TODAY()),"🟡 VENCE HOJE",IF(AND(P3054&lt;&gt;"",S3054=""),"🟡 PENDÊNCIA ABERTA",IF(AND(N(J3054)&gt;0,N(K3054)&lt;J3054),"🟡 FALTA EXECUTAR",IF(OR(M3054="PENDENTE",M3054="PARCIAL"),"🟡 FATURAMENTO PENDENTE","🟡 EMBARQUE PENDENTE")))))))))))</f>
        <v/>
      </c>
      <c r="D3054" s="4" t="n"/>
      <c r="E3054" s="5" t="n"/>
      <c r="F3054" s="5" t="n"/>
      <c r="G3054" s="5" t="n"/>
      <c r="H3054" s="5" t="n"/>
      <c r="I3054" s="5" t="n"/>
      <c r="J3054" s="6" t="n"/>
      <c r="K3054" s="6" t="n"/>
      <c r="L3054" s="7">
        <f>IF(OR(D3054="",N(J3054)=0),"",MIN(1,N(K3054)/J3054))</f>
        <v/>
      </c>
      <c r="M3054" s="5" t="n"/>
      <c r="N3054" s="5" t="n"/>
      <c r="O3054" s="5" t="n"/>
      <c r="P3054" s="5" t="n"/>
      <c r="Q3054" s="5" t="n"/>
      <c r="R3054" s="4" t="n"/>
      <c r="S3054" s="4" t="n"/>
      <c r="T3054" s="5" t="n"/>
      <c r="U3054" s="8">
        <f>IF(AND(V3054=1,D3054&lt;&gt;""),IF(D3054&gt;=corte,TODAY()-D3054,""),"")</f>
        <v/>
      </c>
      <c r="V3054" s="8">
        <f>IF(D3054="",0,IF(OR(AND(P3054&lt;&gt;"",S3054=""),AND(N(J3054)&gt;0,N(K3054)&lt;J3054),OR(M3054="PENDENTE",M3054="PARCIAL"),OR(N3054="PENDENTE",N3054="PARCIAL")),1,0))</f>
        <v/>
      </c>
      <c r="W3054" s="8">
        <f>IF(AND(V3054=1,D3054&lt;&gt;""),IF(D3054&gt;=corte,(B3054="CRÍTICO")*1E9+(100000-D3054)*10000+10000-ROW(),""),"")</f>
        <v/>
      </c>
      <c r="X3054" s="8">
        <f>IF(AND(V3054=1,D3054=pas_data,E3054=pas_turno),10000-ROW(),"")</f>
        <v/>
      </c>
    </row>
    <row r="3055">
      <c r="A3055" s="3">
        <f>IF(D3055="","","TT-"&amp;TEXT(ROW()-1,"00000"))</f>
        <v/>
      </c>
      <c r="B3055" s="3">
        <f>IF(D3055="","",IF(V3055=0,"CONCLUÍDO",IF(D3055&lt;corte,"HISTÓRICO",IF(OR(AND(ISNUMBER(R3055),R3055&lt;TODAY()),AND(OR(N3055="PENDENTE",N3055="PARCIAL"),D3055&lt;TODAY()-1)),"CRÍTICO",IF(OR(AND(P3055&lt;&gt;"",S3055=""),AND(N3055="REALIZADO",M3055="PENDENTE"),AND(ISNUMBER(R3055),R3055=TODAY())),"ATENÇÃO",IF(N(K3055)=0,"PENDENTE","EM ANDAMENTO"))))))</f>
        <v/>
      </c>
      <c r="C3055" s="3">
        <f>IF(D3055="","",IF(V3055=0,"🟢 OK",IF(D3055&lt;corte,"⚪ HISTÓRICO (sem baixa)",IF(AND(ISNUMBER(R3055),R3055&lt;TODAY()),"🔴 PRAZO VENCIDO",IF(AND(OR(N3055="PENDENTE",N3055="PARCIAL"),D3055&lt;TODAY()-1),"🔴 EMBARQUE ATRASADO",IF(AND(N3055="REALIZADO",M3055="PENDENTE"),"🟡 EMBARCADO SEM FATURAR",IF(AND(P3055&lt;&gt;"",S3055="",OR(Q3055="",R3055="")),"🟡 PENDÊNCIA SEM RESPONSÁVEL/PRAZO",IF(AND(ISNUMBER(R3055),R3055=TODAY()),"🟡 VENCE HOJE",IF(AND(P3055&lt;&gt;"",S3055=""),"🟡 PENDÊNCIA ABERTA",IF(AND(N(J3055)&gt;0,N(K3055)&lt;J3055),"🟡 FALTA EXECUTAR",IF(OR(M3055="PENDENTE",M3055="PARCIAL"),"🟡 FATURAMENTO PENDENTE","🟡 EMBARQUE PENDENTE")))))))))))</f>
        <v/>
      </c>
      <c r="D3055" s="4" t="n"/>
      <c r="E3055" s="5" t="n"/>
      <c r="F3055" s="5" t="n"/>
      <c r="G3055" s="5" t="n"/>
      <c r="H3055" s="5" t="n"/>
      <c r="I3055" s="5" t="n"/>
      <c r="J3055" s="6" t="n"/>
      <c r="K3055" s="6" t="n"/>
      <c r="L3055" s="7">
        <f>IF(OR(D3055="",N(J3055)=0),"",MIN(1,N(K3055)/J3055))</f>
        <v/>
      </c>
      <c r="M3055" s="5" t="n"/>
      <c r="N3055" s="5" t="n"/>
      <c r="O3055" s="5" t="n"/>
      <c r="P3055" s="5" t="n"/>
      <c r="Q3055" s="5" t="n"/>
      <c r="R3055" s="4" t="n"/>
      <c r="S3055" s="4" t="n"/>
      <c r="T3055" s="5" t="n"/>
      <c r="U3055" s="8">
        <f>IF(AND(V3055=1,D3055&lt;&gt;""),IF(D3055&gt;=corte,TODAY()-D3055,""),"")</f>
        <v/>
      </c>
      <c r="V3055" s="8">
        <f>IF(D3055="",0,IF(OR(AND(P3055&lt;&gt;"",S3055=""),AND(N(J3055)&gt;0,N(K3055)&lt;J3055),OR(M3055="PENDENTE",M3055="PARCIAL"),OR(N3055="PENDENTE",N3055="PARCIAL")),1,0))</f>
        <v/>
      </c>
      <c r="W3055" s="8">
        <f>IF(AND(V3055=1,D3055&lt;&gt;""),IF(D3055&gt;=corte,(B3055="CRÍTICO")*1E9+(100000-D3055)*10000+10000-ROW(),""),"")</f>
        <v/>
      </c>
      <c r="X3055" s="8">
        <f>IF(AND(V3055=1,D3055=pas_data,E3055=pas_turno),10000-ROW(),"")</f>
        <v/>
      </c>
    </row>
    <row r="3056">
      <c r="A3056" s="3">
        <f>IF(D3056="","","TT-"&amp;TEXT(ROW()-1,"00000"))</f>
        <v/>
      </c>
      <c r="B3056" s="3">
        <f>IF(D3056="","",IF(V3056=0,"CONCLUÍDO",IF(D3056&lt;corte,"HISTÓRICO",IF(OR(AND(ISNUMBER(R3056),R3056&lt;TODAY()),AND(OR(N3056="PENDENTE",N3056="PARCIAL"),D3056&lt;TODAY()-1)),"CRÍTICO",IF(OR(AND(P3056&lt;&gt;"",S3056=""),AND(N3056="REALIZADO",M3056="PENDENTE"),AND(ISNUMBER(R3056),R3056=TODAY())),"ATENÇÃO",IF(N(K3056)=0,"PENDENTE","EM ANDAMENTO"))))))</f>
        <v/>
      </c>
      <c r="C3056" s="3">
        <f>IF(D3056="","",IF(V3056=0,"🟢 OK",IF(D3056&lt;corte,"⚪ HISTÓRICO (sem baixa)",IF(AND(ISNUMBER(R3056),R3056&lt;TODAY()),"🔴 PRAZO VENCIDO",IF(AND(OR(N3056="PENDENTE",N3056="PARCIAL"),D3056&lt;TODAY()-1),"🔴 EMBARQUE ATRASADO",IF(AND(N3056="REALIZADO",M3056="PENDENTE"),"🟡 EMBARCADO SEM FATURAR",IF(AND(P3056&lt;&gt;"",S3056="",OR(Q3056="",R3056="")),"🟡 PENDÊNCIA SEM RESPONSÁVEL/PRAZO",IF(AND(ISNUMBER(R3056),R3056=TODAY()),"🟡 VENCE HOJE",IF(AND(P3056&lt;&gt;"",S3056=""),"🟡 PENDÊNCIA ABERTA",IF(AND(N(J3056)&gt;0,N(K3056)&lt;J3056),"🟡 FALTA EXECUTAR",IF(OR(M3056="PENDENTE",M3056="PARCIAL"),"🟡 FATURAMENTO PENDENTE","🟡 EMBARQUE PENDENTE")))))))))))</f>
        <v/>
      </c>
      <c r="D3056" s="4" t="n"/>
      <c r="E3056" s="5" t="n"/>
      <c r="F3056" s="5" t="n"/>
      <c r="G3056" s="5" t="n"/>
      <c r="H3056" s="5" t="n"/>
      <c r="I3056" s="5" t="n"/>
      <c r="J3056" s="6" t="n"/>
      <c r="K3056" s="6" t="n"/>
      <c r="L3056" s="7">
        <f>IF(OR(D3056="",N(J3056)=0),"",MIN(1,N(K3056)/J3056))</f>
        <v/>
      </c>
      <c r="M3056" s="5" t="n"/>
      <c r="N3056" s="5" t="n"/>
      <c r="O3056" s="5" t="n"/>
      <c r="P3056" s="5" t="n"/>
      <c r="Q3056" s="5" t="n"/>
      <c r="R3056" s="4" t="n"/>
      <c r="S3056" s="4" t="n"/>
      <c r="T3056" s="5" t="n"/>
      <c r="U3056" s="8">
        <f>IF(AND(V3056=1,D3056&lt;&gt;""),IF(D3056&gt;=corte,TODAY()-D3056,""),"")</f>
        <v/>
      </c>
      <c r="V3056" s="8">
        <f>IF(D3056="",0,IF(OR(AND(P3056&lt;&gt;"",S3056=""),AND(N(J3056)&gt;0,N(K3056)&lt;J3056),OR(M3056="PENDENTE",M3056="PARCIAL"),OR(N3056="PENDENTE",N3056="PARCIAL")),1,0))</f>
        <v/>
      </c>
      <c r="W3056" s="8">
        <f>IF(AND(V3056=1,D3056&lt;&gt;""),IF(D3056&gt;=corte,(B3056="CRÍTICO")*1E9+(100000-D3056)*10000+10000-ROW(),""),"")</f>
        <v/>
      </c>
      <c r="X3056" s="8">
        <f>IF(AND(V3056=1,D3056=pas_data,E3056=pas_turno),10000-ROW(),"")</f>
        <v/>
      </c>
    </row>
    <row r="3057">
      <c r="A3057" s="3">
        <f>IF(D3057="","","TT-"&amp;TEXT(ROW()-1,"00000"))</f>
        <v/>
      </c>
      <c r="B3057" s="3">
        <f>IF(D3057="","",IF(V3057=0,"CONCLUÍDO",IF(D3057&lt;corte,"HISTÓRICO",IF(OR(AND(ISNUMBER(R3057),R3057&lt;TODAY()),AND(OR(N3057="PENDENTE",N3057="PARCIAL"),D3057&lt;TODAY()-1)),"CRÍTICO",IF(OR(AND(P3057&lt;&gt;"",S3057=""),AND(N3057="REALIZADO",M3057="PENDENTE"),AND(ISNUMBER(R3057),R3057=TODAY())),"ATENÇÃO",IF(N(K3057)=0,"PENDENTE","EM ANDAMENTO"))))))</f>
        <v/>
      </c>
      <c r="C3057" s="3">
        <f>IF(D3057="","",IF(V3057=0,"🟢 OK",IF(D3057&lt;corte,"⚪ HISTÓRICO (sem baixa)",IF(AND(ISNUMBER(R3057),R3057&lt;TODAY()),"🔴 PRAZO VENCIDO",IF(AND(OR(N3057="PENDENTE",N3057="PARCIAL"),D3057&lt;TODAY()-1),"🔴 EMBARQUE ATRASADO",IF(AND(N3057="REALIZADO",M3057="PENDENTE"),"🟡 EMBARCADO SEM FATURAR",IF(AND(P3057&lt;&gt;"",S3057="",OR(Q3057="",R3057="")),"🟡 PENDÊNCIA SEM RESPONSÁVEL/PRAZO",IF(AND(ISNUMBER(R3057),R3057=TODAY()),"🟡 VENCE HOJE",IF(AND(P3057&lt;&gt;"",S3057=""),"🟡 PENDÊNCIA ABERTA",IF(AND(N(J3057)&gt;0,N(K3057)&lt;J3057),"🟡 FALTA EXECUTAR",IF(OR(M3057="PENDENTE",M3057="PARCIAL"),"🟡 FATURAMENTO PENDENTE","🟡 EMBARQUE PENDENTE")))))))))))</f>
        <v/>
      </c>
      <c r="D3057" s="4" t="n"/>
      <c r="E3057" s="5" t="n"/>
      <c r="F3057" s="5" t="n"/>
      <c r="G3057" s="5" t="n"/>
      <c r="H3057" s="5" t="n"/>
      <c r="I3057" s="5" t="n"/>
      <c r="J3057" s="6" t="n"/>
      <c r="K3057" s="6" t="n"/>
      <c r="L3057" s="7">
        <f>IF(OR(D3057="",N(J3057)=0),"",MIN(1,N(K3057)/J3057))</f>
        <v/>
      </c>
      <c r="M3057" s="5" t="n"/>
      <c r="N3057" s="5" t="n"/>
      <c r="O3057" s="5" t="n"/>
      <c r="P3057" s="5" t="n"/>
      <c r="Q3057" s="5" t="n"/>
      <c r="R3057" s="4" t="n"/>
      <c r="S3057" s="4" t="n"/>
      <c r="T3057" s="5" t="n"/>
      <c r="U3057" s="8">
        <f>IF(AND(V3057=1,D3057&lt;&gt;""),IF(D3057&gt;=corte,TODAY()-D3057,""),"")</f>
        <v/>
      </c>
      <c r="V3057" s="8">
        <f>IF(D3057="",0,IF(OR(AND(P3057&lt;&gt;"",S3057=""),AND(N(J3057)&gt;0,N(K3057)&lt;J3057),OR(M3057="PENDENTE",M3057="PARCIAL"),OR(N3057="PENDENTE",N3057="PARCIAL")),1,0))</f>
        <v/>
      </c>
      <c r="W3057" s="8">
        <f>IF(AND(V3057=1,D3057&lt;&gt;""),IF(D3057&gt;=corte,(B3057="CRÍTICO")*1E9+(100000-D3057)*10000+10000-ROW(),""),"")</f>
        <v/>
      </c>
      <c r="X3057" s="8">
        <f>IF(AND(V3057=1,D3057=pas_data,E3057=pas_turno),10000-ROW(),"")</f>
        <v/>
      </c>
    </row>
    <row r="3058">
      <c r="A3058" s="3">
        <f>IF(D3058="","","TT-"&amp;TEXT(ROW()-1,"00000"))</f>
        <v/>
      </c>
      <c r="B3058" s="3">
        <f>IF(D3058="","",IF(V3058=0,"CONCLUÍDO",IF(D3058&lt;corte,"HISTÓRICO",IF(OR(AND(ISNUMBER(R3058),R3058&lt;TODAY()),AND(OR(N3058="PENDENTE",N3058="PARCIAL"),D3058&lt;TODAY()-1)),"CRÍTICO",IF(OR(AND(P3058&lt;&gt;"",S3058=""),AND(N3058="REALIZADO",M3058="PENDENTE"),AND(ISNUMBER(R3058),R3058=TODAY())),"ATENÇÃO",IF(N(K3058)=0,"PENDENTE","EM ANDAMENTO"))))))</f>
        <v/>
      </c>
      <c r="C3058" s="3">
        <f>IF(D3058="","",IF(V3058=0,"🟢 OK",IF(D3058&lt;corte,"⚪ HISTÓRICO (sem baixa)",IF(AND(ISNUMBER(R3058),R3058&lt;TODAY()),"🔴 PRAZO VENCIDO",IF(AND(OR(N3058="PENDENTE",N3058="PARCIAL"),D3058&lt;TODAY()-1),"🔴 EMBARQUE ATRASADO",IF(AND(N3058="REALIZADO",M3058="PENDENTE"),"🟡 EMBARCADO SEM FATURAR",IF(AND(P3058&lt;&gt;"",S3058="",OR(Q3058="",R3058="")),"🟡 PENDÊNCIA SEM RESPONSÁVEL/PRAZO",IF(AND(ISNUMBER(R3058),R3058=TODAY()),"🟡 VENCE HOJE",IF(AND(P3058&lt;&gt;"",S3058=""),"🟡 PENDÊNCIA ABERTA",IF(AND(N(J3058)&gt;0,N(K3058)&lt;J3058),"🟡 FALTA EXECUTAR",IF(OR(M3058="PENDENTE",M3058="PARCIAL"),"🟡 FATURAMENTO PENDENTE","🟡 EMBARQUE PENDENTE")))))))))))</f>
        <v/>
      </c>
      <c r="D3058" s="4" t="n"/>
      <c r="E3058" s="5" t="n"/>
      <c r="F3058" s="5" t="n"/>
      <c r="G3058" s="5" t="n"/>
      <c r="H3058" s="5" t="n"/>
      <c r="I3058" s="5" t="n"/>
      <c r="J3058" s="6" t="n"/>
      <c r="K3058" s="6" t="n"/>
      <c r="L3058" s="7">
        <f>IF(OR(D3058="",N(J3058)=0),"",MIN(1,N(K3058)/J3058))</f>
        <v/>
      </c>
      <c r="M3058" s="5" t="n"/>
      <c r="N3058" s="5" t="n"/>
      <c r="O3058" s="5" t="n"/>
      <c r="P3058" s="5" t="n"/>
      <c r="Q3058" s="5" t="n"/>
      <c r="R3058" s="4" t="n"/>
      <c r="S3058" s="4" t="n"/>
      <c r="T3058" s="5" t="n"/>
      <c r="U3058" s="8">
        <f>IF(AND(V3058=1,D3058&lt;&gt;""),IF(D3058&gt;=corte,TODAY()-D3058,""),"")</f>
        <v/>
      </c>
      <c r="V3058" s="8">
        <f>IF(D3058="",0,IF(OR(AND(P3058&lt;&gt;"",S3058=""),AND(N(J3058)&gt;0,N(K3058)&lt;J3058),OR(M3058="PENDENTE",M3058="PARCIAL"),OR(N3058="PENDENTE",N3058="PARCIAL")),1,0))</f>
        <v/>
      </c>
      <c r="W3058" s="8">
        <f>IF(AND(V3058=1,D3058&lt;&gt;""),IF(D3058&gt;=corte,(B3058="CRÍTICO")*1E9+(100000-D3058)*10000+10000-ROW(),""),"")</f>
        <v/>
      </c>
      <c r="X3058" s="8">
        <f>IF(AND(V3058=1,D3058=pas_data,E3058=pas_turno),10000-ROW(),"")</f>
        <v/>
      </c>
    </row>
    <row r="3059">
      <c r="A3059" s="3">
        <f>IF(D3059="","","TT-"&amp;TEXT(ROW()-1,"00000"))</f>
        <v/>
      </c>
      <c r="B3059" s="3">
        <f>IF(D3059="","",IF(V3059=0,"CONCLUÍDO",IF(D3059&lt;corte,"HISTÓRICO",IF(OR(AND(ISNUMBER(R3059),R3059&lt;TODAY()),AND(OR(N3059="PENDENTE",N3059="PARCIAL"),D3059&lt;TODAY()-1)),"CRÍTICO",IF(OR(AND(P3059&lt;&gt;"",S3059=""),AND(N3059="REALIZADO",M3059="PENDENTE"),AND(ISNUMBER(R3059),R3059=TODAY())),"ATENÇÃO",IF(N(K3059)=0,"PENDENTE","EM ANDAMENTO"))))))</f>
        <v/>
      </c>
      <c r="C3059" s="3">
        <f>IF(D3059="","",IF(V3059=0,"🟢 OK",IF(D3059&lt;corte,"⚪ HISTÓRICO (sem baixa)",IF(AND(ISNUMBER(R3059),R3059&lt;TODAY()),"🔴 PRAZO VENCIDO",IF(AND(OR(N3059="PENDENTE",N3059="PARCIAL"),D3059&lt;TODAY()-1),"🔴 EMBARQUE ATRASADO",IF(AND(N3059="REALIZADO",M3059="PENDENTE"),"🟡 EMBARCADO SEM FATURAR",IF(AND(P3059&lt;&gt;"",S3059="",OR(Q3059="",R3059="")),"🟡 PENDÊNCIA SEM RESPONSÁVEL/PRAZO",IF(AND(ISNUMBER(R3059),R3059=TODAY()),"🟡 VENCE HOJE",IF(AND(P3059&lt;&gt;"",S3059=""),"🟡 PENDÊNCIA ABERTA",IF(AND(N(J3059)&gt;0,N(K3059)&lt;J3059),"🟡 FALTA EXECUTAR",IF(OR(M3059="PENDENTE",M3059="PARCIAL"),"🟡 FATURAMENTO PENDENTE","🟡 EMBARQUE PENDENTE")))))))))))</f>
        <v/>
      </c>
      <c r="D3059" s="4" t="n"/>
      <c r="E3059" s="5" t="n"/>
      <c r="F3059" s="5" t="n"/>
      <c r="G3059" s="5" t="n"/>
      <c r="H3059" s="5" t="n"/>
      <c r="I3059" s="5" t="n"/>
      <c r="J3059" s="6" t="n"/>
      <c r="K3059" s="6" t="n"/>
      <c r="L3059" s="7">
        <f>IF(OR(D3059="",N(J3059)=0),"",MIN(1,N(K3059)/J3059))</f>
        <v/>
      </c>
      <c r="M3059" s="5" t="n"/>
      <c r="N3059" s="5" t="n"/>
      <c r="O3059" s="5" t="n"/>
      <c r="P3059" s="5" t="n"/>
      <c r="Q3059" s="5" t="n"/>
      <c r="R3059" s="4" t="n"/>
      <c r="S3059" s="4" t="n"/>
      <c r="T3059" s="5" t="n"/>
      <c r="U3059" s="8">
        <f>IF(AND(V3059=1,D3059&lt;&gt;""),IF(D3059&gt;=corte,TODAY()-D3059,""),"")</f>
        <v/>
      </c>
      <c r="V3059" s="8">
        <f>IF(D3059="",0,IF(OR(AND(P3059&lt;&gt;"",S3059=""),AND(N(J3059)&gt;0,N(K3059)&lt;J3059),OR(M3059="PENDENTE",M3059="PARCIAL"),OR(N3059="PENDENTE",N3059="PARCIAL")),1,0))</f>
        <v/>
      </c>
      <c r="W3059" s="8">
        <f>IF(AND(V3059=1,D3059&lt;&gt;""),IF(D3059&gt;=corte,(B3059="CRÍTICO")*1E9+(100000-D3059)*10000+10000-ROW(),""),"")</f>
        <v/>
      </c>
      <c r="X3059" s="8">
        <f>IF(AND(V3059=1,D3059=pas_data,E3059=pas_turno),10000-ROW(),"")</f>
        <v/>
      </c>
    </row>
    <row r="3060">
      <c r="A3060" s="3">
        <f>IF(D3060="","","TT-"&amp;TEXT(ROW()-1,"00000"))</f>
        <v/>
      </c>
      <c r="B3060" s="3">
        <f>IF(D3060="","",IF(V3060=0,"CONCLUÍDO",IF(D3060&lt;corte,"HISTÓRICO",IF(OR(AND(ISNUMBER(R3060),R3060&lt;TODAY()),AND(OR(N3060="PENDENTE",N3060="PARCIAL"),D3060&lt;TODAY()-1)),"CRÍTICO",IF(OR(AND(P3060&lt;&gt;"",S3060=""),AND(N3060="REALIZADO",M3060="PENDENTE"),AND(ISNUMBER(R3060),R3060=TODAY())),"ATENÇÃO",IF(N(K3060)=0,"PENDENTE","EM ANDAMENTO"))))))</f>
        <v/>
      </c>
      <c r="C3060" s="3">
        <f>IF(D3060="","",IF(V3060=0,"🟢 OK",IF(D3060&lt;corte,"⚪ HISTÓRICO (sem baixa)",IF(AND(ISNUMBER(R3060),R3060&lt;TODAY()),"🔴 PRAZO VENCIDO",IF(AND(OR(N3060="PENDENTE",N3060="PARCIAL"),D3060&lt;TODAY()-1),"🔴 EMBARQUE ATRASADO",IF(AND(N3060="REALIZADO",M3060="PENDENTE"),"🟡 EMBARCADO SEM FATURAR",IF(AND(P3060&lt;&gt;"",S3060="",OR(Q3060="",R3060="")),"🟡 PENDÊNCIA SEM RESPONSÁVEL/PRAZO",IF(AND(ISNUMBER(R3060),R3060=TODAY()),"🟡 VENCE HOJE",IF(AND(P3060&lt;&gt;"",S3060=""),"🟡 PENDÊNCIA ABERTA",IF(AND(N(J3060)&gt;0,N(K3060)&lt;J3060),"🟡 FALTA EXECUTAR",IF(OR(M3060="PENDENTE",M3060="PARCIAL"),"🟡 FATURAMENTO PENDENTE","🟡 EMBARQUE PENDENTE")))))))))))</f>
        <v/>
      </c>
      <c r="D3060" s="4" t="n"/>
      <c r="E3060" s="5" t="n"/>
      <c r="F3060" s="5" t="n"/>
      <c r="G3060" s="5" t="n"/>
      <c r="H3060" s="5" t="n"/>
      <c r="I3060" s="5" t="n"/>
      <c r="J3060" s="6" t="n"/>
      <c r="K3060" s="6" t="n"/>
      <c r="L3060" s="7">
        <f>IF(OR(D3060="",N(J3060)=0),"",MIN(1,N(K3060)/J3060))</f>
        <v/>
      </c>
      <c r="M3060" s="5" t="n"/>
      <c r="N3060" s="5" t="n"/>
      <c r="O3060" s="5" t="n"/>
      <c r="P3060" s="5" t="n"/>
      <c r="Q3060" s="5" t="n"/>
      <c r="R3060" s="4" t="n"/>
      <c r="S3060" s="4" t="n"/>
      <c r="T3060" s="5" t="n"/>
      <c r="U3060" s="8">
        <f>IF(AND(V3060=1,D3060&lt;&gt;""),IF(D3060&gt;=corte,TODAY()-D3060,""),"")</f>
        <v/>
      </c>
      <c r="V3060" s="8">
        <f>IF(D3060="",0,IF(OR(AND(P3060&lt;&gt;"",S3060=""),AND(N(J3060)&gt;0,N(K3060)&lt;J3060),OR(M3060="PENDENTE",M3060="PARCIAL"),OR(N3060="PENDENTE",N3060="PARCIAL")),1,0))</f>
        <v/>
      </c>
      <c r="W3060" s="8">
        <f>IF(AND(V3060=1,D3060&lt;&gt;""),IF(D3060&gt;=corte,(B3060="CRÍTICO")*1E9+(100000-D3060)*10000+10000-ROW(),""),"")</f>
        <v/>
      </c>
      <c r="X3060" s="8">
        <f>IF(AND(V3060=1,D3060=pas_data,E3060=pas_turno),10000-ROW(),"")</f>
        <v/>
      </c>
    </row>
    <row r="3061">
      <c r="A3061" s="3">
        <f>IF(D3061="","","TT-"&amp;TEXT(ROW()-1,"00000"))</f>
        <v/>
      </c>
      <c r="B3061" s="3">
        <f>IF(D3061="","",IF(V3061=0,"CONCLUÍDO",IF(D3061&lt;corte,"HISTÓRICO",IF(OR(AND(ISNUMBER(R3061),R3061&lt;TODAY()),AND(OR(N3061="PENDENTE",N3061="PARCIAL"),D3061&lt;TODAY()-1)),"CRÍTICO",IF(OR(AND(P3061&lt;&gt;"",S3061=""),AND(N3061="REALIZADO",M3061="PENDENTE"),AND(ISNUMBER(R3061),R3061=TODAY())),"ATENÇÃO",IF(N(K3061)=0,"PENDENTE","EM ANDAMENTO"))))))</f>
        <v/>
      </c>
      <c r="C3061" s="3">
        <f>IF(D3061="","",IF(V3061=0,"🟢 OK",IF(D3061&lt;corte,"⚪ HISTÓRICO (sem baixa)",IF(AND(ISNUMBER(R3061),R3061&lt;TODAY()),"🔴 PRAZO VENCIDO",IF(AND(OR(N3061="PENDENTE",N3061="PARCIAL"),D3061&lt;TODAY()-1),"🔴 EMBARQUE ATRASADO",IF(AND(N3061="REALIZADO",M3061="PENDENTE"),"🟡 EMBARCADO SEM FATURAR",IF(AND(P3061&lt;&gt;"",S3061="",OR(Q3061="",R3061="")),"🟡 PENDÊNCIA SEM RESPONSÁVEL/PRAZO",IF(AND(ISNUMBER(R3061),R3061=TODAY()),"🟡 VENCE HOJE",IF(AND(P3061&lt;&gt;"",S3061=""),"🟡 PENDÊNCIA ABERTA",IF(AND(N(J3061)&gt;0,N(K3061)&lt;J3061),"🟡 FALTA EXECUTAR",IF(OR(M3061="PENDENTE",M3061="PARCIAL"),"🟡 FATURAMENTO PENDENTE","🟡 EMBARQUE PENDENTE")))))))))))</f>
        <v/>
      </c>
      <c r="D3061" s="4" t="n"/>
      <c r="E3061" s="5" t="n"/>
      <c r="F3061" s="5" t="n"/>
      <c r="G3061" s="5" t="n"/>
      <c r="H3061" s="5" t="n"/>
      <c r="I3061" s="5" t="n"/>
      <c r="J3061" s="6" t="n"/>
      <c r="K3061" s="6" t="n"/>
      <c r="L3061" s="7">
        <f>IF(OR(D3061="",N(J3061)=0),"",MIN(1,N(K3061)/J3061))</f>
        <v/>
      </c>
      <c r="M3061" s="5" t="n"/>
      <c r="N3061" s="5" t="n"/>
      <c r="O3061" s="5" t="n"/>
      <c r="P3061" s="5" t="n"/>
      <c r="Q3061" s="5" t="n"/>
      <c r="R3061" s="4" t="n"/>
      <c r="S3061" s="4" t="n"/>
      <c r="T3061" s="5" t="n"/>
      <c r="U3061" s="8">
        <f>IF(AND(V3061=1,D3061&lt;&gt;""),IF(D3061&gt;=corte,TODAY()-D3061,""),"")</f>
        <v/>
      </c>
      <c r="V3061" s="8">
        <f>IF(D3061="",0,IF(OR(AND(P3061&lt;&gt;"",S3061=""),AND(N(J3061)&gt;0,N(K3061)&lt;J3061),OR(M3061="PENDENTE",M3061="PARCIAL"),OR(N3061="PENDENTE",N3061="PARCIAL")),1,0))</f>
        <v/>
      </c>
      <c r="W3061" s="8">
        <f>IF(AND(V3061=1,D3061&lt;&gt;""),IF(D3061&gt;=corte,(B3061="CRÍTICO")*1E9+(100000-D3061)*10000+10000-ROW(),""),"")</f>
        <v/>
      </c>
      <c r="X3061" s="8">
        <f>IF(AND(V3061=1,D3061=pas_data,E3061=pas_turno),10000-ROW(),"")</f>
        <v/>
      </c>
    </row>
    <row r="3062">
      <c r="A3062" s="3">
        <f>IF(D3062="","","TT-"&amp;TEXT(ROW()-1,"00000"))</f>
        <v/>
      </c>
      <c r="B3062" s="3">
        <f>IF(D3062="","",IF(V3062=0,"CONCLUÍDO",IF(D3062&lt;corte,"HISTÓRICO",IF(OR(AND(ISNUMBER(R3062),R3062&lt;TODAY()),AND(OR(N3062="PENDENTE",N3062="PARCIAL"),D3062&lt;TODAY()-1)),"CRÍTICO",IF(OR(AND(P3062&lt;&gt;"",S3062=""),AND(N3062="REALIZADO",M3062="PENDENTE"),AND(ISNUMBER(R3062),R3062=TODAY())),"ATENÇÃO",IF(N(K3062)=0,"PENDENTE","EM ANDAMENTO"))))))</f>
        <v/>
      </c>
      <c r="C3062" s="3">
        <f>IF(D3062="","",IF(V3062=0,"🟢 OK",IF(D3062&lt;corte,"⚪ HISTÓRICO (sem baixa)",IF(AND(ISNUMBER(R3062),R3062&lt;TODAY()),"🔴 PRAZO VENCIDO",IF(AND(OR(N3062="PENDENTE",N3062="PARCIAL"),D3062&lt;TODAY()-1),"🔴 EMBARQUE ATRASADO",IF(AND(N3062="REALIZADO",M3062="PENDENTE"),"🟡 EMBARCADO SEM FATURAR",IF(AND(P3062&lt;&gt;"",S3062="",OR(Q3062="",R3062="")),"🟡 PENDÊNCIA SEM RESPONSÁVEL/PRAZO",IF(AND(ISNUMBER(R3062),R3062=TODAY()),"🟡 VENCE HOJE",IF(AND(P3062&lt;&gt;"",S3062=""),"🟡 PENDÊNCIA ABERTA",IF(AND(N(J3062)&gt;0,N(K3062)&lt;J3062),"🟡 FALTA EXECUTAR",IF(OR(M3062="PENDENTE",M3062="PARCIAL"),"🟡 FATURAMENTO PENDENTE","🟡 EMBARQUE PENDENTE")))))))))))</f>
        <v/>
      </c>
      <c r="D3062" s="4" t="n"/>
      <c r="E3062" s="5" t="n"/>
      <c r="F3062" s="5" t="n"/>
      <c r="G3062" s="5" t="n"/>
      <c r="H3062" s="5" t="n"/>
      <c r="I3062" s="5" t="n"/>
      <c r="J3062" s="6" t="n"/>
      <c r="K3062" s="6" t="n"/>
      <c r="L3062" s="7">
        <f>IF(OR(D3062="",N(J3062)=0),"",MIN(1,N(K3062)/J3062))</f>
        <v/>
      </c>
      <c r="M3062" s="5" t="n"/>
      <c r="N3062" s="5" t="n"/>
      <c r="O3062" s="5" t="n"/>
      <c r="P3062" s="5" t="n"/>
      <c r="Q3062" s="5" t="n"/>
      <c r="R3062" s="4" t="n"/>
      <c r="S3062" s="4" t="n"/>
      <c r="T3062" s="5" t="n"/>
      <c r="U3062" s="8">
        <f>IF(AND(V3062=1,D3062&lt;&gt;""),IF(D3062&gt;=corte,TODAY()-D3062,""),"")</f>
        <v/>
      </c>
      <c r="V3062" s="8">
        <f>IF(D3062="",0,IF(OR(AND(P3062&lt;&gt;"",S3062=""),AND(N(J3062)&gt;0,N(K3062)&lt;J3062),OR(M3062="PENDENTE",M3062="PARCIAL"),OR(N3062="PENDENTE",N3062="PARCIAL")),1,0))</f>
        <v/>
      </c>
      <c r="W3062" s="8">
        <f>IF(AND(V3062=1,D3062&lt;&gt;""),IF(D3062&gt;=corte,(B3062="CRÍTICO")*1E9+(100000-D3062)*10000+10000-ROW(),""),"")</f>
        <v/>
      </c>
      <c r="X3062" s="8">
        <f>IF(AND(V3062=1,D3062=pas_data,E3062=pas_turno),10000-ROW(),"")</f>
        <v/>
      </c>
    </row>
    <row r="3063">
      <c r="A3063" s="3">
        <f>IF(D3063="","","TT-"&amp;TEXT(ROW()-1,"00000"))</f>
        <v/>
      </c>
      <c r="B3063" s="3">
        <f>IF(D3063="","",IF(V3063=0,"CONCLUÍDO",IF(D3063&lt;corte,"HISTÓRICO",IF(OR(AND(ISNUMBER(R3063),R3063&lt;TODAY()),AND(OR(N3063="PENDENTE",N3063="PARCIAL"),D3063&lt;TODAY()-1)),"CRÍTICO",IF(OR(AND(P3063&lt;&gt;"",S3063=""),AND(N3063="REALIZADO",M3063="PENDENTE"),AND(ISNUMBER(R3063),R3063=TODAY())),"ATENÇÃO",IF(N(K3063)=0,"PENDENTE","EM ANDAMENTO"))))))</f>
        <v/>
      </c>
      <c r="C3063" s="3">
        <f>IF(D3063="","",IF(V3063=0,"🟢 OK",IF(D3063&lt;corte,"⚪ HISTÓRICO (sem baixa)",IF(AND(ISNUMBER(R3063),R3063&lt;TODAY()),"🔴 PRAZO VENCIDO",IF(AND(OR(N3063="PENDENTE",N3063="PARCIAL"),D3063&lt;TODAY()-1),"🔴 EMBARQUE ATRASADO",IF(AND(N3063="REALIZADO",M3063="PENDENTE"),"🟡 EMBARCADO SEM FATURAR",IF(AND(P3063&lt;&gt;"",S3063="",OR(Q3063="",R3063="")),"🟡 PENDÊNCIA SEM RESPONSÁVEL/PRAZO",IF(AND(ISNUMBER(R3063),R3063=TODAY()),"🟡 VENCE HOJE",IF(AND(P3063&lt;&gt;"",S3063=""),"🟡 PENDÊNCIA ABERTA",IF(AND(N(J3063)&gt;0,N(K3063)&lt;J3063),"🟡 FALTA EXECUTAR",IF(OR(M3063="PENDENTE",M3063="PARCIAL"),"🟡 FATURAMENTO PENDENTE","🟡 EMBARQUE PENDENTE")))))))))))</f>
        <v/>
      </c>
      <c r="D3063" s="4" t="n"/>
      <c r="E3063" s="5" t="n"/>
      <c r="F3063" s="5" t="n"/>
      <c r="G3063" s="5" t="n"/>
      <c r="H3063" s="5" t="n"/>
      <c r="I3063" s="5" t="n"/>
      <c r="J3063" s="6" t="n"/>
      <c r="K3063" s="6" t="n"/>
      <c r="L3063" s="7">
        <f>IF(OR(D3063="",N(J3063)=0),"",MIN(1,N(K3063)/J3063))</f>
        <v/>
      </c>
      <c r="M3063" s="5" t="n"/>
      <c r="N3063" s="5" t="n"/>
      <c r="O3063" s="5" t="n"/>
      <c r="P3063" s="5" t="n"/>
      <c r="Q3063" s="5" t="n"/>
      <c r="R3063" s="4" t="n"/>
      <c r="S3063" s="4" t="n"/>
      <c r="T3063" s="5" t="n"/>
      <c r="U3063" s="8">
        <f>IF(AND(V3063=1,D3063&lt;&gt;""),IF(D3063&gt;=corte,TODAY()-D3063,""),"")</f>
        <v/>
      </c>
      <c r="V3063" s="8">
        <f>IF(D3063="",0,IF(OR(AND(P3063&lt;&gt;"",S3063=""),AND(N(J3063)&gt;0,N(K3063)&lt;J3063),OR(M3063="PENDENTE",M3063="PARCIAL"),OR(N3063="PENDENTE",N3063="PARCIAL")),1,0))</f>
        <v/>
      </c>
      <c r="W3063" s="8">
        <f>IF(AND(V3063=1,D3063&lt;&gt;""),IF(D3063&gt;=corte,(B3063="CRÍTICO")*1E9+(100000-D3063)*10000+10000-ROW(),""),"")</f>
        <v/>
      </c>
      <c r="X3063" s="8">
        <f>IF(AND(V3063=1,D3063=pas_data,E3063=pas_turno),10000-ROW(),"")</f>
        <v/>
      </c>
    </row>
    <row r="3064">
      <c r="A3064" s="3">
        <f>IF(D3064="","","TT-"&amp;TEXT(ROW()-1,"00000"))</f>
        <v/>
      </c>
      <c r="B3064" s="3">
        <f>IF(D3064="","",IF(V3064=0,"CONCLUÍDO",IF(D3064&lt;corte,"HISTÓRICO",IF(OR(AND(ISNUMBER(R3064),R3064&lt;TODAY()),AND(OR(N3064="PENDENTE",N3064="PARCIAL"),D3064&lt;TODAY()-1)),"CRÍTICO",IF(OR(AND(P3064&lt;&gt;"",S3064=""),AND(N3064="REALIZADO",M3064="PENDENTE"),AND(ISNUMBER(R3064),R3064=TODAY())),"ATENÇÃO",IF(N(K3064)=0,"PENDENTE","EM ANDAMENTO"))))))</f>
        <v/>
      </c>
      <c r="C3064" s="3">
        <f>IF(D3064="","",IF(V3064=0,"🟢 OK",IF(D3064&lt;corte,"⚪ HISTÓRICO (sem baixa)",IF(AND(ISNUMBER(R3064),R3064&lt;TODAY()),"🔴 PRAZO VENCIDO",IF(AND(OR(N3064="PENDENTE",N3064="PARCIAL"),D3064&lt;TODAY()-1),"🔴 EMBARQUE ATRASADO",IF(AND(N3064="REALIZADO",M3064="PENDENTE"),"🟡 EMBARCADO SEM FATURAR",IF(AND(P3064&lt;&gt;"",S3064="",OR(Q3064="",R3064="")),"🟡 PENDÊNCIA SEM RESPONSÁVEL/PRAZO",IF(AND(ISNUMBER(R3064),R3064=TODAY()),"🟡 VENCE HOJE",IF(AND(P3064&lt;&gt;"",S3064=""),"🟡 PENDÊNCIA ABERTA",IF(AND(N(J3064)&gt;0,N(K3064)&lt;J3064),"🟡 FALTA EXECUTAR",IF(OR(M3064="PENDENTE",M3064="PARCIAL"),"🟡 FATURAMENTO PENDENTE","🟡 EMBARQUE PENDENTE")))))))))))</f>
        <v/>
      </c>
      <c r="D3064" s="4" t="n"/>
      <c r="E3064" s="5" t="n"/>
      <c r="F3064" s="5" t="n"/>
      <c r="G3064" s="5" t="n"/>
      <c r="H3064" s="5" t="n"/>
      <c r="I3064" s="5" t="n"/>
      <c r="J3064" s="6" t="n"/>
      <c r="K3064" s="6" t="n"/>
      <c r="L3064" s="7">
        <f>IF(OR(D3064="",N(J3064)=0),"",MIN(1,N(K3064)/J3064))</f>
        <v/>
      </c>
      <c r="M3064" s="5" t="n"/>
      <c r="N3064" s="5" t="n"/>
      <c r="O3064" s="5" t="n"/>
      <c r="P3064" s="5" t="n"/>
      <c r="Q3064" s="5" t="n"/>
      <c r="R3064" s="4" t="n"/>
      <c r="S3064" s="4" t="n"/>
      <c r="T3064" s="5" t="n"/>
      <c r="U3064" s="8">
        <f>IF(AND(V3064=1,D3064&lt;&gt;""),IF(D3064&gt;=corte,TODAY()-D3064,""),"")</f>
        <v/>
      </c>
      <c r="V3064" s="8">
        <f>IF(D3064="",0,IF(OR(AND(P3064&lt;&gt;"",S3064=""),AND(N(J3064)&gt;0,N(K3064)&lt;J3064),OR(M3064="PENDENTE",M3064="PARCIAL"),OR(N3064="PENDENTE",N3064="PARCIAL")),1,0))</f>
        <v/>
      </c>
      <c r="W3064" s="8">
        <f>IF(AND(V3064=1,D3064&lt;&gt;""),IF(D3064&gt;=corte,(B3064="CRÍTICO")*1E9+(100000-D3064)*10000+10000-ROW(),""),"")</f>
        <v/>
      </c>
      <c r="X3064" s="8">
        <f>IF(AND(V3064=1,D3064=pas_data,E3064=pas_turno),10000-ROW(),"")</f>
        <v/>
      </c>
    </row>
    <row r="3065">
      <c r="A3065" s="3">
        <f>IF(D3065="","","TT-"&amp;TEXT(ROW()-1,"00000"))</f>
        <v/>
      </c>
      <c r="B3065" s="3">
        <f>IF(D3065="","",IF(V3065=0,"CONCLUÍDO",IF(D3065&lt;corte,"HISTÓRICO",IF(OR(AND(ISNUMBER(R3065),R3065&lt;TODAY()),AND(OR(N3065="PENDENTE",N3065="PARCIAL"),D3065&lt;TODAY()-1)),"CRÍTICO",IF(OR(AND(P3065&lt;&gt;"",S3065=""),AND(N3065="REALIZADO",M3065="PENDENTE"),AND(ISNUMBER(R3065),R3065=TODAY())),"ATENÇÃO",IF(N(K3065)=0,"PENDENTE","EM ANDAMENTO"))))))</f>
        <v/>
      </c>
      <c r="C3065" s="3">
        <f>IF(D3065="","",IF(V3065=0,"🟢 OK",IF(D3065&lt;corte,"⚪ HISTÓRICO (sem baixa)",IF(AND(ISNUMBER(R3065),R3065&lt;TODAY()),"🔴 PRAZO VENCIDO",IF(AND(OR(N3065="PENDENTE",N3065="PARCIAL"),D3065&lt;TODAY()-1),"🔴 EMBARQUE ATRASADO",IF(AND(N3065="REALIZADO",M3065="PENDENTE"),"🟡 EMBARCADO SEM FATURAR",IF(AND(P3065&lt;&gt;"",S3065="",OR(Q3065="",R3065="")),"🟡 PENDÊNCIA SEM RESPONSÁVEL/PRAZO",IF(AND(ISNUMBER(R3065),R3065=TODAY()),"🟡 VENCE HOJE",IF(AND(P3065&lt;&gt;"",S3065=""),"🟡 PENDÊNCIA ABERTA",IF(AND(N(J3065)&gt;0,N(K3065)&lt;J3065),"🟡 FALTA EXECUTAR",IF(OR(M3065="PENDENTE",M3065="PARCIAL"),"🟡 FATURAMENTO PENDENTE","🟡 EMBARQUE PENDENTE")))))))))))</f>
        <v/>
      </c>
      <c r="D3065" s="4" t="n"/>
      <c r="E3065" s="5" t="n"/>
      <c r="F3065" s="5" t="n"/>
      <c r="G3065" s="5" t="n"/>
      <c r="H3065" s="5" t="n"/>
      <c r="I3065" s="5" t="n"/>
      <c r="J3065" s="6" t="n"/>
      <c r="K3065" s="6" t="n"/>
      <c r="L3065" s="7">
        <f>IF(OR(D3065="",N(J3065)=0),"",MIN(1,N(K3065)/J3065))</f>
        <v/>
      </c>
      <c r="M3065" s="5" t="n"/>
      <c r="N3065" s="5" t="n"/>
      <c r="O3065" s="5" t="n"/>
      <c r="P3065" s="5" t="n"/>
      <c r="Q3065" s="5" t="n"/>
      <c r="R3065" s="4" t="n"/>
      <c r="S3065" s="4" t="n"/>
      <c r="T3065" s="5" t="n"/>
      <c r="U3065" s="8">
        <f>IF(AND(V3065=1,D3065&lt;&gt;""),IF(D3065&gt;=corte,TODAY()-D3065,""),"")</f>
        <v/>
      </c>
      <c r="V3065" s="8">
        <f>IF(D3065="",0,IF(OR(AND(P3065&lt;&gt;"",S3065=""),AND(N(J3065)&gt;0,N(K3065)&lt;J3065),OR(M3065="PENDENTE",M3065="PARCIAL"),OR(N3065="PENDENTE",N3065="PARCIAL")),1,0))</f>
        <v/>
      </c>
      <c r="W3065" s="8">
        <f>IF(AND(V3065=1,D3065&lt;&gt;""),IF(D3065&gt;=corte,(B3065="CRÍTICO")*1E9+(100000-D3065)*10000+10000-ROW(),""),"")</f>
        <v/>
      </c>
      <c r="X3065" s="8">
        <f>IF(AND(V3065=1,D3065=pas_data,E3065=pas_turno),10000-ROW(),"")</f>
        <v/>
      </c>
    </row>
    <row r="3066">
      <c r="A3066" s="3">
        <f>IF(D3066="","","TT-"&amp;TEXT(ROW()-1,"00000"))</f>
        <v/>
      </c>
      <c r="B3066" s="3">
        <f>IF(D3066="","",IF(V3066=0,"CONCLUÍDO",IF(D3066&lt;corte,"HISTÓRICO",IF(OR(AND(ISNUMBER(R3066),R3066&lt;TODAY()),AND(OR(N3066="PENDENTE",N3066="PARCIAL"),D3066&lt;TODAY()-1)),"CRÍTICO",IF(OR(AND(P3066&lt;&gt;"",S3066=""),AND(N3066="REALIZADO",M3066="PENDENTE"),AND(ISNUMBER(R3066),R3066=TODAY())),"ATENÇÃO",IF(N(K3066)=0,"PENDENTE","EM ANDAMENTO"))))))</f>
        <v/>
      </c>
      <c r="C3066" s="3">
        <f>IF(D3066="","",IF(V3066=0,"🟢 OK",IF(D3066&lt;corte,"⚪ HISTÓRICO (sem baixa)",IF(AND(ISNUMBER(R3066),R3066&lt;TODAY()),"🔴 PRAZO VENCIDO",IF(AND(OR(N3066="PENDENTE",N3066="PARCIAL"),D3066&lt;TODAY()-1),"🔴 EMBARQUE ATRASADO",IF(AND(N3066="REALIZADO",M3066="PENDENTE"),"🟡 EMBARCADO SEM FATURAR",IF(AND(P3066&lt;&gt;"",S3066="",OR(Q3066="",R3066="")),"🟡 PENDÊNCIA SEM RESPONSÁVEL/PRAZO",IF(AND(ISNUMBER(R3066),R3066=TODAY()),"🟡 VENCE HOJE",IF(AND(P3066&lt;&gt;"",S3066=""),"🟡 PENDÊNCIA ABERTA",IF(AND(N(J3066)&gt;0,N(K3066)&lt;J3066),"🟡 FALTA EXECUTAR",IF(OR(M3066="PENDENTE",M3066="PARCIAL"),"🟡 FATURAMENTO PENDENTE","🟡 EMBARQUE PENDENTE")))))))))))</f>
        <v/>
      </c>
      <c r="D3066" s="4" t="n"/>
      <c r="E3066" s="5" t="n"/>
      <c r="F3066" s="5" t="n"/>
      <c r="G3066" s="5" t="n"/>
      <c r="H3066" s="5" t="n"/>
      <c r="I3066" s="5" t="n"/>
      <c r="J3066" s="6" t="n"/>
      <c r="K3066" s="6" t="n"/>
      <c r="L3066" s="7">
        <f>IF(OR(D3066="",N(J3066)=0),"",MIN(1,N(K3066)/J3066))</f>
        <v/>
      </c>
      <c r="M3066" s="5" t="n"/>
      <c r="N3066" s="5" t="n"/>
      <c r="O3066" s="5" t="n"/>
      <c r="P3066" s="5" t="n"/>
      <c r="Q3066" s="5" t="n"/>
      <c r="R3066" s="4" t="n"/>
      <c r="S3066" s="4" t="n"/>
      <c r="T3066" s="5" t="n"/>
      <c r="U3066" s="8">
        <f>IF(AND(V3066=1,D3066&lt;&gt;""),IF(D3066&gt;=corte,TODAY()-D3066,""),"")</f>
        <v/>
      </c>
      <c r="V3066" s="8">
        <f>IF(D3066="",0,IF(OR(AND(P3066&lt;&gt;"",S3066=""),AND(N(J3066)&gt;0,N(K3066)&lt;J3066),OR(M3066="PENDENTE",M3066="PARCIAL"),OR(N3066="PENDENTE",N3066="PARCIAL")),1,0))</f>
        <v/>
      </c>
      <c r="W3066" s="8">
        <f>IF(AND(V3066=1,D3066&lt;&gt;""),IF(D3066&gt;=corte,(B3066="CRÍTICO")*1E9+(100000-D3066)*10000+10000-ROW(),""),"")</f>
        <v/>
      </c>
      <c r="X3066" s="8">
        <f>IF(AND(V3066=1,D3066=pas_data,E3066=pas_turno),10000-ROW(),"")</f>
        <v/>
      </c>
    </row>
    <row r="3067">
      <c r="A3067" s="3">
        <f>IF(D3067="","","TT-"&amp;TEXT(ROW()-1,"00000"))</f>
        <v/>
      </c>
      <c r="B3067" s="3">
        <f>IF(D3067="","",IF(V3067=0,"CONCLUÍDO",IF(D3067&lt;corte,"HISTÓRICO",IF(OR(AND(ISNUMBER(R3067),R3067&lt;TODAY()),AND(OR(N3067="PENDENTE",N3067="PARCIAL"),D3067&lt;TODAY()-1)),"CRÍTICO",IF(OR(AND(P3067&lt;&gt;"",S3067=""),AND(N3067="REALIZADO",M3067="PENDENTE"),AND(ISNUMBER(R3067),R3067=TODAY())),"ATENÇÃO",IF(N(K3067)=0,"PENDENTE","EM ANDAMENTO"))))))</f>
        <v/>
      </c>
      <c r="C3067" s="3">
        <f>IF(D3067="","",IF(V3067=0,"🟢 OK",IF(D3067&lt;corte,"⚪ HISTÓRICO (sem baixa)",IF(AND(ISNUMBER(R3067),R3067&lt;TODAY()),"🔴 PRAZO VENCIDO",IF(AND(OR(N3067="PENDENTE",N3067="PARCIAL"),D3067&lt;TODAY()-1),"🔴 EMBARQUE ATRASADO",IF(AND(N3067="REALIZADO",M3067="PENDENTE"),"🟡 EMBARCADO SEM FATURAR",IF(AND(P3067&lt;&gt;"",S3067="",OR(Q3067="",R3067="")),"🟡 PENDÊNCIA SEM RESPONSÁVEL/PRAZO",IF(AND(ISNUMBER(R3067),R3067=TODAY()),"🟡 VENCE HOJE",IF(AND(P3067&lt;&gt;"",S3067=""),"🟡 PENDÊNCIA ABERTA",IF(AND(N(J3067)&gt;0,N(K3067)&lt;J3067),"🟡 FALTA EXECUTAR",IF(OR(M3067="PENDENTE",M3067="PARCIAL"),"🟡 FATURAMENTO PENDENTE","🟡 EMBARQUE PENDENTE")))))))))))</f>
        <v/>
      </c>
      <c r="D3067" s="4" t="n"/>
      <c r="E3067" s="5" t="n"/>
      <c r="F3067" s="5" t="n"/>
      <c r="G3067" s="5" t="n"/>
      <c r="H3067" s="5" t="n"/>
      <c r="I3067" s="5" t="n"/>
      <c r="J3067" s="6" t="n"/>
      <c r="K3067" s="6" t="n"/>
      <c r="L3067" s="7">
        <f>IF(OR(D3067="",N(J3067)=0),"",MIN(1,N(K3067)/J3067))</f>
        <v/>
      </c>
      <c r="M3067" s="5" t="n"/>
      <c r="N3067" s="5" t="n"/>
      <c r="O3067" s="5" t="n"/>
      <c r="P3067" s="5" t="n"/>
      <c r="Q3067" s="5" t="n"/>
      <c r="R3067" s="4" t="n"/>
      <c r="S3067" s="4" t="n"/>
      <c r="T3067" s="5" t="n"/>
      <c r="U3067" s="8">
        <f>IF(AND(V3067=1,D3067&lt;&gt;""),IF(D3067&gt;=corte,TODAY()-D3067,""),"")</f>
        <v/>
      </c>
      <c r="V3067" s="8">
        <f>IF(D3067="",0,IF(OR(AND(P3067&lt;&gt;"",S3067=""),AND(N(J3067)&gt;0,N(K3067)&lt;J3067),OR(M3067="PENDENTE",M3067="PARCIAL"),OR(N3067="PENDENTE",N3067="PARCIAL")),1,0))</f>
        <v/>
      </c>
      <c r="W3067" s="8">
        <f>IF(AND(V3067=1,D3067&lt;&gt;""),IF(D3067&gt;=corte,(B3067="CRÍTICO")*1E9+(100000-D3067)*10000+10000-ROW(),""),"")</f>
        <v/>
      </c>
      <c r="X3067" s="8">
        <f>IF(AND(V3067=1,D3067=pas_data,E3067=pas_turno),10000-ROW(),"")</f>
        <v/>
      </c>
    </row>
    <row r="3068">
      <c r="A3068" s="3">
        <f>IF(D3068="","","TT-"&amp;TEXT(ROW()-1,"00000"))</f>
        <v/>
      </c>
      <c r="B3068" s="3">
        <f>IF(D3068="","",IF(V3068=0,"CONCLUÍDO",IF(D3068&lt;corte,"HISTÓRICO",IF(OR(AND(ISNUMBER(R3068),R3068&lt;TODAY()),AND(OR(N3068="PENDENTE",N3068="PARCIAL"),D3068&lt;TODAY()-1)),"CRÍTICO",IF(OR(AND(P3068&lt;&gt;"",S3068=""),AND(N3068="REALIZADO",M3068="PENDENTE"),AND(ISNUMBER(R3068),R3068=TODAY())),"ATENÇÃO",IF(N(K3068)=0,"PENDENTE","EM ANDAMENTO"))))))</f>
        <v/>
      </c>
      <c r="C3068" s="3">
        <f>IF(D3068="","",IF(V3068=0,"🟢 OK",IF(D3068&lt;corte,"⚪ HISTÓRICO (sem baixa)",IF(AND(ISNUMBER(R3068),R3068&lt;TODAY()),"🔴 PRAZO VENCIDO",IF(AND(OR(N3068="PENDENTE",N3068="PARCIAL"),D3068&lt;TODAY()-1),"🔴 EMBARQUE ATRASADO",IF(AND(N3068="REALIZADO",M3068="PENDENTE"),"🟡 EMBARCADO SEM FATURAR",IF(AND(P3068&lt;&gt;"",S3068="",OR(Q3068="",R3068="")),"🟡 PENDÊNCIA SEM RESPONSÁVEL/PRAZO",IF(AND(ISNUMBER(R3068),R3068=TODAY()),"🟡 VENCE HOJE",IF(AND(P3068&lt;&gt;"",S3068=""),"🟡 PENDÊNCIA ABERTA",IF(AND(N(J3068)&gt;0,N(K3068)&lt;J3068),"🟡 FALTA EXECUTAR",IF(OR(M3068="PENDENTE",M3068="PARCIAL"),"🟡 FATURAMENTO PENDENTE","🟡 EMBARQUE PENDENTE")))))))))))</f>
        <v/>
      </c>
      <c r="D3068" s="4" t="n"/>
      <c r="E3068" s="5" t="n"/>
      <c r="F3068" s="5" t="n"/>
      <c r="G3068" s="5" t="n"/>
      <c r="H3068" s="5" t="n"/>
      <c r="I3068" s="5" t="n"/>
      <c r="J3068" s="6" t="n"/>
      <c r="K3068" s="6" t="n"/>
      <c r="L3068" s="7">
        <f>IF(OR(D3068="",N(J3068)=0),"",MIN(1,N(K3068)/J3068))</f>
        <v/>
      </c>
      <c r="M3068" s="5" t="n"/>
      <c r="N3068" s="5" t="n"/>
      <c r="O3068" s="5" t="n"/>
      <c r="P3068" s="5" t="n"/>
      <c r="Q3068" s="5" t="n"/>
      <c r="R3068" s="4" t="n"/>
      <c r="S3068" s="4" t="n"/>
      <c r="T3068" s="5" t="n"/>
      <c r="U3068" s="8">
        <f>IF(AND(V3068=1,D3068&lt;&gt;""),IF(D3068&gt;=corte,TODAY()-D3068,""),"")</f>
        <v/>
      </c>
      <c r="V3068" s="8">
        <f>IF(D3068="",0,IF(OR(AND(P3068&lt;&gt;"",S3068=""),AND(N(J3068)&gt;0,N(K3068)&lt;J3068),OR(M3068="PENDENTE",M3068="PARCIAL"),OR(N3068="PENDENTE",N3068="PARCIAL")),1,0))</f>
        <v/>
      </c>
      <c r="W3068" s="8">
        <f>IF(AND(V3068=1,D3068&lt;&gt;""),IF(D3068&gt;=corte,(B3068="CRÍTICO")*1E9+(100000-D3068)*10000+10000-ROW(),""),"")</f>
        <v/>
      </c>
      <c r="X3068" s="8">
        <f>IF(AND(V3068=1,D3068=pas_data,E3068=pas_turno),10000-ROW(),"")</f>
        <v/>
      </c>
    </row>
    <row r="3069">
      <c r="A3069" s="3">
        <f>IF(D3069="","","TT-"&amp;TEXT(ROW()-1,"00000"))</f>
        <v/>
      </c>
      <c r="B3069" s="3">
        <f>IF(D3069="","",IF(V3069=0,"CONCLUÍDO",IF(D3069&lt;corte,"HISTÓRICO",IF(OR(AND(ISNUMBER(R3069),R3069&lt;TODAY()),AND(OR(N3069="PENDENTE",N3069="PARCIAL"),D3069&lt;TODAY()-1)),"CRÍTICO",IF(OR(AND(P3069&lt;&gt;"",S3069=""),AND(N3069="REALIZADO",M3069="PENDENTE"),AND(ISNUMBER(R3069),R3069=TODAY())),"ATENÇÃO",IF(N(K3069)=0,"PENDENTE","EM ANDAMENTO"))))))</f>
        <v/>
      </c>
      <c r="C3069" s="3">
        <f>IF(D3069="","",IF(V3069=0,"🟢 OK",IF(D3069&lt;corte,"⚪ HISTÓRICO (sem baixa)",IF(AND(ISNUMBER(R3069),R3069&lt;TODAY()),"🔴 PRAZO VENCIDO",IF(AND(OR(N3069="PENDENTE",N3069="PARCIAL"),D3069&lt;TODAY()-1),"🔴 EMBARQUE ATRASADO",IF(AND(N3069="REALIZADO",M3069="PENDENTE"),"🟡 EMBARCADO SEM FATURAR",IF(AND(P3069&lt;&gt;"",S3069="",OR(Q3069="",R3069="")),"🟡 PENDÊNCIA SEM RESPONSÁVEL/PRAZO",IF(AND(ISNUMBER(R3069),R3069=TODAY()),"🟡 VENCE HOJE",IF(AND(P3069&lt;&gt;"",S3069=""),"🟡 PENDÊNCIA ABERTA",IF(AND(N(J3069)&gt;0,N(K3069)&lt;J3069),"🟡 FALTA EXECUTAR",IF(OR(M3069="PENDENTE",M3069="PARCIAL"),"🟡 FATURAMENTO PENDENTE","🟡 EMBARQUE PENDENTE")))))))))))</f>
        <v/>
      </c>
      <c r="D3069" s="4" t="n"/>
      <c r="E3069" s="5" t="n"/>
      <c r="F3069" s="5" t="n"/>
      <c r="G3069" s="5" t="n"/>
      <c r="H3069" s="5" t="n"/>
      <c r="I3069" s="5" t="n"/>
      <c r="J3069" s="6" t="n"/>
      <c r="K3069" s="6" t="n"/>
      <c r="L3069" s="7">
        <f>IF(OR(D3069="",N(J3069)=0),"",MIN(1,N(K3069)/J3069))</f>
        <v/>
      </c>
      <c r="M3069" s="5" t="n"/>
      <c r="N3069" s="5" t="n"/>
      <c r="O3069" s="5" t="n"/>
      <c r="P3069" s="5" t="n"/>
      <c r="Q3069" s="5" t="n"/>
      <c r="R3069" s="4" t="n"/>
      <c r="S3069" s="4" t="n"/>
      <c r="T3069" s="5" t="n"/>
      <c r="U3069" s="8">
        <f>IF(AND(V3069=1,D3069&lt;&gt;""),IF(D3069&gt;=corte,TODAY()-D3069,""),"")</f>
        <v/>
      </c>
      <c r="V3069" s="8">
        <f>IF(D3069="",0,IF(OR(AND(P3069&lt;&gt;"",S3069=""),AND(N(J3069)&gt;0,N(K3069)&lt;J3069),OR(M3069="PENDENTE",M3069="PARCIAL"),OR(N3069="PENDENTE",N3069="PARCIAL")),1,0))</f>
        <v/>
      </c>
      <c r="W3069" s="8">
        <f>IF(AND(V3069=1,D3069&lt;&gt;""),IF(D3069&gt;=corte,(B3069="CRÍTICO")*1E9+(100000-D3069)*10000+10000-ROW(),""),"")</f>
        <v/>
      </c>
      <c r="X3069" s="8">
        <f>IF(AND(V3069=1,D3069=pas_data,E3069=pas_turno),10000-ROW(),"")</f>
        <v/>
      </c>
    </row>
    <row r="3070">
      <c r="A3070" s="3">
        <f>IF(D3070="","","TT-"&amp;TEXT(ROW()-1,"00000"))</f>
        <v/>
      </c>
      <c r="B3070" s="3">
        <f>IF(D3070="","",IF(V3070=0,"CONCLUÍDO",IF(D3070&lt;corte,"HISTÓRICO",IF(OR(AND(ISNUMBER(R3070),R3070&lt;TODAY()),AND(OR(N3070="PENDENTE",N3070="PARCIAL"),D3070&lt;TODAY()-1)),"CRÍTICO",IF(OR(AND(P3070&lt;&gt;"",S3070=""),AND(N3070="REALIZADO",M3070="PENDENTE"),AND(ISNUMBER(R3070),R3070=TODAY())),"ATENÇÃO",IF(N(K3070)=0,"PENDENTE","EM ANDAMENTO"))))))</f>
        <v/>
      </c>
      <c r="C3070" s="3">
        <f>IF(D3070="","",IF(V3070=0,"🟢 OK",IF(D3070&lt;corte,"⚪ HISTÓRICO (sem baixa)",IF(AND(ISNUMBER(R3070),R3070&lt;TODAY()),"🔴 PRAZO VENCIDO",IF(AND(OR(N3070="PENDENTE",N3070="PARCIAL"),D3070&lt;TODAY()-1),"🔴 EMBARQUE ATRASADO",IF(AND(N3070="REALIZADO",M3070="PENDENTE"),"🟡 EMBARCADO SEM FATURAR",IF(AND(P3070&lt;&gt;"",S3070="",OR(Q3070="",R3070="")),"🟡 PENDÊNCIA SEM RESPONSÁVEL/PRAZO",IF(AND(ISNUMBER(R3070),R3070=TODAY()),"🟡 VENCE HOJE",IF(AND(P3070&lt;&gt;"",S3070=""),"🟡 PENDÊNCIA ABERTA",IF(AND(N(J3070)&gt;0,N(K3070)&lt;J3070),"🟡 FALTA EXECUTAR",IF(OR(M3070="PENDENTE",M3070="PARCIAL"),"🟡 FATURAMENTO PENDENTE","🟡 EMBARQUE PENDENTE")))))))))))</f>
        <v/>
      </c>
      <c r="D3070" s="4" t="n"/>
      <c r="E3070" s="5" t="n"/>
      <c r="F3070" s="5" t="n"/>
      <c r="G3070" s="5" t="n"/>
      <c r="H3070" s="5" t="n"/>
      <c r="I3070" s="5" t="n"/>
      <c r="J3070" s="6" t="n"/>
      <c r="K3070" s="6" t="n"/>
      <c r="L3070" s="7">
        <f>IF(OR(D3070="",N(J3070)=0),"",MIN(1,N(K3070)/J3070))</f>
        <v/>
      </c>
      <c r="M3070" s="5" t="n"/>
      <c r="N3070" s="5" t="n"/>
      <c r="O3070" s="5" t="n"/>
      <c r="P3070" s="5" t="n"/>
      <c r="Q3070" s="5" t="n"/>
      <c r="R3070" s="4" t="n"/>
      <c r="S3070" s="4" t="n"/>
      <c r="T3070" s="5" t="n"/>
      <c r="U3070" s="8">
        <f>IF(AND(V3070=1,D3070&lt;&gt;""),IF(D3070&gt;=corte,TODAY()-D3070,""),"")</f>
        <v/>
      </c>
      <c r="V3070" s="8">
        <f>IF(D3070="",0,IF(OR(AND(P3070&lt;&gt;"",S3070=""),AND(N(J3070)&gt;0,N(K3070)&lt;J3070),OR(M3070="PENDENTE",M3070="PARCIAL"),OR(N3070="PENDENTE",N3070="PARCIAL")),1,0))</f>
        <v/>
      </c>
      <c r="W3070" s="8">
        <f>IF(AND(V3070=1,D3070&lt;&gt;""),IF(D3070&gt;=corte,(B3070="CRÍTICO")*1E9+(100000-D3070)*10000+10000-ROW(),""),"")</f>
        <v/>
      </c>
      <c r="X3070" s="8">
        <f>IF(AND(V3070=1,D3070=pas_data,E3070=pas_turno),10000-ROW(),"")</f>
        <v/>
      </c>
    </row>
    <row r="3071">
      <c r="A3071" s="3">
        <f>IF(D3071="","","TT-"&amp;TEXT(ROW()-1,"00000"))</f>
        <v/>
      </c>
      <c r="B3071" s="3">
        <f>IF(D3071="","",IF(V3071=0,"CONCLUÍDO",IF(D3071&lt;corte,"HISTÓRICO",IF(OR(AND(ISNUMBER(R3071),R3071&lt;TODAY()),AND(OR(N3071="PENDENTE",N3071="PARCIAL"),D3071&lt;TODAY()-1)),"CRÍTICO",IF(OR(AND(P3071&lt;&gt;"",S3071=""),AND(N3071="REALIZADO",M3071="PENDENTE"),AND(ISNUMBER(R3071),R3071=TODAY())),"ATENÇÃO",IF(N(K3071)=0,"PENDENTE","EM ANDAMENTO"))))))</f>
        <v/>
      </c>
      <c r="C3071" s="3">
        <f>IF(D3071="","",IF(V3071=0,"🟢 OK",IF(D3071&lt;corte,"⚪ HISTÓRICO (sem baixa)",IF(AND(ISNUMBER(R3071),R3071&lt;TODAY()),"🔴 PRAZO VENCIDO",IF(AND(OR(N3071="PENDENTE",N3071="PARCIAL"),D3071&lt;TODAY()-1),"🔴 EMBARQUE ATRASADO",IF(AND(N3071="REALIZADO",M3071="PENDENTE"),"🟡 EMBARCADO SEM FATURAR",IF(AND(P3071&lt;&gt;"",S3071="",OR(Q3071="",R3071="")),"🟡 PENDÊNCIA SEM RESPONSÁVEL/PRAZO",IF(AND(ISNUMBER(R3071),R3071=TODAY()),"🟡 VENCE HOJE",IF(AND(P3071&lt;&gt;"",S3071=""),"🟡 PENDÊNCIA ABERTA",IF(AND(N(J3071)&gt;0,N(K3071)&lt;J3071),"🟡 FALTA EXECUTAR",IF(OR(M3071="PENDENTE",M3071="PARCIAL"),"🟡 FATURAMENTO PENDENTE","🟡 EMBARQUE PENDENTE")))))))))))</f>
        <v/>
      </c>
      <c r="D3071" s="4" t="n"/>
      <c r="E3071" s="5" t="n"/>
      <c r="F3071" s="5" t="n"/>
      <c r="G3071" s="5" t="n"/>
      <c r="H3071" s="5" t="n"/>
      <c r="I3071" s="5" t="n"/>
      <c r="J3071" s="6" t="n"/>
      <c r="K3071" s="6" t="n"/>
      <c r="L3071" s="7">
        <f>IF(OR(D3071="",N(J3071)=0),"",MIN(1,N(K3071)/J3071))</f>
        <v/>
      </c>
      <c r="M3071" s="5" t="n"/>
      <c r="N3071" s="5" t="n"/>
      <c r="O3071" s="5" t="n"/>
      <c r="P3071" s="5" t="n"/>
      <c r="Q3071" s="5" t="n"/>
      <c r="R3071" s="4" t="n"/>
      <c r="S3071" s="4" t="n"/>
      <c r="T3071" s="5" t="n"/>
      <c r="U3071" s="8">
        <f>IF(AND(V3071=1,D3071&lt;&gt;""),IF(D3071&gt;=corte,TODAY()-D3071,""),"")</f>
        <v/>
      </c>
      <c r="V3071" s="8">
        <f>IF(D3071="",0,IF(OR(AND(P3071&lt;&gt;"",S3071=""),AND(N(J3071)&gt;0,N(K3071)&lt;J3071),OR(M3071="PENDENTE",M3071="PARCIAL"),OR(N3071="PENDENTE",N3071="PARCIAL")),1,0))</f>
        <v/>
      </c>
      <c r="W3071" s="8">
        <f>IF(AND(V3071=1,D3071&lt;&gt;""),IF(D3071&gt;=corte,(B3071="CRÍTICO")*1E9+(100000-D3071)*10000+10000-ROW(),""),"")</f>
        <v/>
      </c>
      <c r="X3071" s="8">
        <f>IF(AND(V3071=1,D3071=pas_data,E3071=pas_turno),10000-ROW(),"")</f>
        <v/>
      </c>
    </row>
    <row r="3072">
      <c r="A3072" s="3">
        <f>IF(D3072="","","TT-"&amp;TEXT(ROW()-1,"00000"))</f>
        <v/>
      </c>
      <c r="B3072" s="3">
        <f>IF(D3072="","",IF(V3072=0,"CONCLUÍDO",IF(D3072&lt;corte,"HISTÓRICO",IF(OR(AND(ISNUMBER(R3072),R3072&lt;TODAY()),AND(OR(N3072="PENDENTE",N3072="PARCIAL"),D3072&lt;TODAY()-1)),"CRÍTICO",IF(OR(AND(P3072&lt;&gt;"",S3072=""),AND(N3072="REALIZADO",M3072="PENDENTE"),AND(ISNUMBER(R3072),R3072=TODAY())),"ATENÇÃO",IF(N(K3072)=0,"PENDENTE","EM ANDAMENTO"))))))</f>
        <v/>
      </c>
      <c r="C3072" s="3">
        <f>IF(D3072="","",IF(V3072=0,"🟢 OK",IF(D3072&lt;corte,"⚪ HISTÓRICO (sem baixa)",IF(AND(ISNUMBER(R3072),R3072&lt;TODAY()),"🔴 PRAZO VENCIDO",IF(AND(OR(N3072="PENDENTE",N3072="PARCIAL"),D3072&lt;TODAY()-1),"🔴 EMBARQUE ATRASADO",IF(AND(N3072="REALIZADO",M3072="PENDENTE"),"🟡 EMBARCADO SEM FATURAR",IF(AND(P3072&lt;&gt;"",S3072="",OR(Q3072="",R3072="")),"🟡 PENDÊNCIA SEM RESPONSÁVEL/PRAZO",IF(AND(ISNUMBER(R3072),R3072=TODAY()),"🟡 VENCE HOJE",IF(AND(P3072&lt;&gt;"",S3072=""),"🟡 PENDÊNCIA ABERTA",IF(AND(N(J3072)&gt;0,N(K3072)&lt;J3072),"🟡 FALTA EXECUTAR",IF(OR(M3072="PENDENTE",M3072="PARCIAL"),"🟡 FATURAMENTO PENDENTE","🟡 EMBARQUE PENDENTE")))))))))))</f>
        <v/>
      </c>
      <c r="D3072" s="4" t="n"/>
      <c r="E3072" s="5" t="n"/>
      <c r="F3072" s="5" t="n"/>
      <c r="G3072" s="5" t="n"/>
      <c r="H3072" s="5" t="n"/>
      <c r="I3072" s="5" t="n"/>
      <c r="J3072" s="6" t="n"/>
      <c r="K3072" s="6" t="n"/>
      <c r="L3072" s="7">
        <f>IF(OR(D3072="",N(J3072)=0),"",MIN(1,N(K3072)/J3072))</f>
        <v/>
      </c>
      <c r="M3072" s="5" t="n"/>
      <c r="N3072" s="5" t="n"/>
      <c r="O3072" s="5" t="n"/>
      <c r="P3072" s="5" t="n"/>
      <c r="Q3072" s="5" t="n"/>
      <c r="R3072" s="4" t="n"/>
      <c r="S3072" s="4" t="n"/>
      <c r="T3072" s="5" t="n"/>
      <c r="U3072" s="8">
        <f>IF(AND(V3072=1,D3072&lt;&gt;""),IF(D3072&gt;=corte,TODAY()-D3072,""),"")</f>
        <v/>
      </c>
      <c r="V3072" s="8">
        <f>IF(D3072="",0,IF(OR(AND(P3072&lt;&gt;"",S3072=""),AND(N(J3072)&gt;0,N(K3072)&lt;J3072),OR(M3072="PENDENTE",M3072="PARCIAL"),OR(N3072="PENDENTE",N3072="PARCIAL")),1,0))</f>
        <v/>
      </c>
      <c r="W3072" s="8">
        <f>IF(AND(V3072=1,D3072&lt;&gt;""),IF(D3072&gt;=corte,(B3072="CRÍTICO")*1E9+(100000-D3072)*10000+10000-ROW(),""),"")</f>
        <v/>
      </c>
      <c r="X3072" s="8">
        <f>IF(AND(V3072=1,D3072=pas_data,E3072=pas_turno),10000-ROW(),"")</f>
        <v/>
      </c>
    </row>
    <row r="3073">
      <c r="A3073" s="3">
        <f>IF(D3073="","","TT-"&amp;TEXT(ROW()-1,"00000"))</f>
        <v/>
      </c>
      <c r="B3073" s="3">
        <f>IF(D3073="","",IF(V3073=0,"CONCLUÍDO",IF(D3073&lt;corte,"HISTÓRICO",IF(OR(AND(ISNUMBER(R3073),R3073&lt;TODAY()),AND(OR(N3073="PENDENTE",N3073="PARCIAL"),D3073&lt;TODAY()-1)),"CRÍTICO",IF(OR(AND(P3073&lt;&gt;"",S3073=""),AND(N3073="REALIZADO",M3073="PENDENTE"),AND(ISNUMBER(R3073),R3073=TODAY())),"ATENÇÃO",IF(N(K3073)=0,"PENDENTE","EM ANDAMENTO"))))))</f>
        <v/>
      </c>
      <c r="C3073" s="3">
        <f>IF(D3073="","",IF(V3073=0,"🟢 OK",IF(D3073&lt;corte,"⚪ HISTÓRICO (sem baixa)",IF(AND(ISNUMBER(R3073),R3073&lt;TODAY()),"🔴 PRAZO VENCIDO",IF(AND(OR(N3073="PENDENTE",N3073="PARCIAL"),D3073&lt;TODAY()-1),"🔴 EMBARQUE ATRASADO",IF(AND(N3073="REALIZADO",M3073="PENDENTE"),"🟡 EMBARCADO SEM FATURAR",IF(AND(P3073&lt;&gt;"",S3073="",OR(Q3073="",R3073="")),"🟡 PENDÊNCIA SEM RESPONSÁVEL/PRAZO",IF(AND(ISNUMBER(R3073),R3073=TODAY()),"🟡 VENCE HOJE",IF(AND(P3073&lt;&gt;"",S3073=""),"🟡 PENDÊNCIA ABERTA",IF(AND(N(J3073)&gt;0,N(K3073)&lt;J3073),"🟡 FALTA EXECUTAR",IF(OR(M3073="PENDENTE",M3073="PARCIAL"),"🟡 FATURAMENTO PENDENTE","🟡 EMBARQUE PENDENTE")))))))))))</f>
        <v/>
      </c>
      <c r="D3073" s="4" t="n"/>
      <c r="E3073" s="5" t="n"/>
      <c r="F3073" s="5" t="n"/>
      <c r="G3073" s="5" t="n"/>
      <c r="H3073" s="5" t="n"/>
      <c r="I3073" s="5" t="n"/>
      <c r="J3073" s="6" t="n"/>
      <c r="K3073" s="6" t="n"/>
      <c r="L3073" s="7">
        <f>IF(OR(D3073="",N(J3073)=0),"",MIN(1,N(K3073)/J3073))</f>
        <v/>
      </c>
      <c r="M3073" s="5" t="n"/>
      <c r="N3073" s="5" t="n"/>
      <c r="O3073" s="5" t="n"/>
      <c r="P3073" s="5" t="n"/>
      <c r="Q3073" s="5" t="n"/>
      <c r="R3073" s="4" t="n"/>
      <c r="S3073" s="4" t="n"/>
      <c r="T3073" s="5" t="n"/>
      <c r="U3073" s="8">
        <f>IF(AND(V3073=1,D3073&lt;&gt;""),IF(D3073&gt;=corte,TODAY()-D3073,""),"")</f>
        <v/>
      </c>
      <c r="V3073" s="8">
        <f>IF(D3073="",0,IF(OR(AND(P3073&lt;&gt;"",S3073=""),AND(N(J3073)&gt;0,N(K3073)&lt;J3073),OR(M3073="PENDENTE",M3073="PARCIAL"),OR(N3073="PENDENTE",N3073="PARCIAL")),1,0))</f>
        <v/>
      </c>
      <c r="W3073" s="8">
        <f>IF(AND(V3073=1,D3073&lt;&gt;""),IF(D3073&gt;=corte,(B3073="CRÍTICO")*1E9+(100000-D3073)*10000+10000-ROW(),""),"")</f>
        <v/>
      </c>
      <c r="X3073" s="8">
        <f>IF(AND(V3073=1,D3073=pas_data,E3073=pas_turno),10000-ROW(),"")</f>
        <v/>
      </c>
    </row>
    <row r="3074">
      <c r="A3074" s="3">
        <f>IF(D3074="","","TT-"&amp;TEXT(ROW()-1,"00000"))</f>
        <v/>
      </c>
      <c r="B3074" s="3">
        <f>IF(D3074="","",IF(V3074=0,"CONCLUÍDO",IF(D3074&lt;corte,"HISTÓRICO",IF(OR(AND(ISNUMBER(R3074),R3074&lt;TODAY()),AND(OR(N3074="PENDENTE",N3074="PARCIAL"),D3074&lt;TODAY()-1)),"CRÍTICO",IF(OR(AND(P3074&lt;&gt;"",S3074=""),AND(N3074="REALIZADO",M3074="PENDENTE"),AND(ISNUMBER(R3074),R3074=TODAY())),"ATENÇÃO",IF(N(K3074)=0,"PENDENTE","EM ANDAMENTO"))))))</f>
        <v/>
      </c>
      <c r="C3074" s="3">
        <f>IF(D3074="","",IF(V3074=0,"🟢 OK",IF(D3074&lt;corte,"⚪ HISTÓRICO (sem baixa)",IF(AND(ISNUMBER(R3074),R3074&lt;TODAY()),"🔴 PRAZO VENCIDO",IF(AND(OR(N3074="PENDENTE",N3074="PARCIAL"),D3074&lt;TODAY()-1),"🔴 EMBARQUE ATRASADO",IF(AND(N3074="REALIZADO",M3074="PENDENTE"),"🟡 EMBARCADO SEM FATURAR",IF(AND(P3074&lt;&gt;"",S3074="",OR(Q3074="",R3074="")),"🟡 PENDÊNCIA SEM RESPONSÁVEL/PRAZO",IF(AND(ISNUMBER(R3074),R3074=TODAY()),"🟡 VENCE HOJE",IF(AND(P3074&lt;&gt;"",S3074=""),"🟡 PENDÊNCIA ABERTA",IF(AND(N(J3074)&gt;0,N(K3074)&lt;J3074),"🟡 FALTA EXECUTAR",IF(OR(M3074="PENDENTE",M3074="PARCIAL"),"🟡 FATURAMENTO PENDENTE","🟡 EMBARQUE PENDENTE")))))))))))</f>
        <v/>
      </c>
      <c r="D3074" s="4" t="n"/>
      <c r="E3074" s="5" t="n"/>
      <c r="F3074" s="5" t="n"/>
      <c r="G3074" s="5" t="n"/>
      <c r="H3074" s="5" t="n"/>
      <c r="I3074" s="5" t="n"/>
      <c r="J3074" s="6" t="n"/>
      <c r="K3074" s="6" t="n"/>
      <c r="L3074" s="7">
        <f>IF(OR(D3074="",N(J3074)=0),"",MIN(1,N(K3074)/J3074))</f>
        <v/>
      </c>
      <c r="M3074" s="5" t="n"/>
      <c r="N3074" s="5" t="n"/>
      <c r="O3074" s="5" t="n"/>
      <c r="P3074" s="5" t="n"/>
      <c r="Q3074" s="5" t="n"/>
      <c r="R3074" s="4" t="n"/>
      <c r="S3074" s="4" t="n"/>
      <c r="T3074" s="5" t="n"/>
      <c r="U3074" s="8">
        <f>IF(AND(V3074=1,D3074&lt;&gt;""),IF(D3074&gt;=corte,TODAY()-D3074,""),"")</f>
        <v/>
      </c>
      <c r="V3074" s="8">
        <f>IF(D3074="",0,IF(OR(AND(P3074&lt;&gt;"",S3074=""),AND(N(J3074)&gt;0,N(K3074)&lt;J3074),OR(M3074="PENDENTE",M3074="PARCIAL"),OR(N3074="PENDENTE",N3074="PARCIAL")),1,0))</f>
        <v/>
      </c>
      <c r="W3074" s="8">
        <f>IF(AND(V3074=1,D3074&lt;&gt;""),IF(D3074&gt;=corte,(B3074="CRÍTICO")*1E9+(100000-D3074)*10000+10000-ROW(),""),"")</f>
        <v/>
      </c>
      <c r="X3074" s="8">
        <f>IF(AND(V3074=1,D3074=pas_data,E3074=pas_turno),10000-ROW(),"")</f>
        <v/>
      </c>
    </row>
    <row r="3075">
      <c r="A3075" s="3">
        <f>IF(D3075="","","TT-"&amp;TEXT(ROW()-1,"00000"))</f>
        <v/>
      </c>
      <c r="B3075" s="3">
        <f>IF(D3075="","",IF(V3075=0,"CONCLUÍDO",IF(D3075&lt;corte,"HISTÓRICO",IF(OR(AND(ISNUMBER(R3075),R3075&lt;TODAY()),AND(OR(N3075="PENDENTE",N3075="PARCIAL"),D3075&lt;TODAY()-1)),"CRÍTICO",IF(OR(AND(P3075&lt;&gt;"",S3075=""),AND(N3075="REALIZADO",M3075="PENDENTE"),AND(ISNUMBER(R3075),R3075=TODAY())),"ATENÇÃO",IF(N(K3075)=0,"PENDENTE","EM ANDAMENTO"))))))</f>
        <v/>
      </c>
      <c r="C3075" s="3">
        <f>IF(D3075="","",IF(V3075=0,"🟢 OK",IF(D3075&lt;corte,"⚪ HISTÓRICO (sem baixa)",IF(AND(ISNUMBER(R3075),R3075&lt;TODAY()),"🔴 PRAZO VENCIDO",IF(AND(OR(N3075="PENDENTE",N3075="PARCIAL"),D3075&lt;TODAY()-1),"🔴 EMBARQUE ATRASADO",IF(AND(N3075="REALIZADO",M3075="PENDENTE"),"🟡 EMBARCADO SEM FATURAR",IF(AND(P3075&lt;&gt;"",S3075="",OR(Q3075="",R3075="")),"🟡 PENDÊNCIA SEM RESPONSÁVEL/PRAZO",IF(AND(ISNUMBER(R3075),R3075=TODAY()),"🟡 VENCE HOJE",IF(AND(P3075&lt;&gt;"",S3075=""),"🟡 PENDÊNCIA ABERTA",IF(AND(N(J3075)&gt;0,N(K3075)&lt;J3075),"🟡 FALTA EXECUTAR",IF(OR(M3075="PENDENTE",M3075="PARCIAL"),"🟡 FATURAMENTO PENDENTE","🟡 EMBARQUE PENDENTE")))))))))))</f>
        <v/>
      </c>
      <c r="D3075" s="4" t="n"/>
      <c r="E3075" s="5" t="n"/>
      <c r="F3075" s="5" t="n"/>
      <c r="G3075" s="5" t="n"/>
      <c r="H3075" s="5" t="n"/>
      <c r="I3075" s="5" t="n"/>
      <c r="J3075" s="6" t="n"/>
      <c r="K3075" s="6" t="n"/>
      <c r="L3075" s="7">
        <f>IF(OR(D3075="",N(J3075)=0),"",MIN(1,N(K3075)/J3075))</f>
        <v/>
      </c>
      <c r="M3075" s="5" t="n"/>
      <c r="N3075" s="5" t="n"/>
      <c r="O3075" s="5" t="n"/>
      <c r="P3075" s="5" t="n"/>
      <c r="Q3075" s="5" t="n"/>
      <c r="R3075" s="4" t="n"/>
      <c r="S3075" s="4" t="n"/>
      <c r="T3075" s="5" t="n"/>
      <c r="U3075" s="8">
        <f>IF(AND(V3075=1,D3075&lt;&gt;""),IF(D3075&gt;=corte,TODAY()-D3075,""),"")</f>
        <v/>
      </c>
      <c r="V3075" s="8">
        <f>IF(D3075="",0,IF(OR(AND(P3075&lt;&gt;"",S3075=""),AND(N(J3075)&gt;0,N(K3075)&lt;J3075),OR(M3075="PENDENTE",M3075="PARCIAL"),OR(N3075="PENDENTE",N3075="PARCIAL")),1,0))</f>
        <v/>
      </c>
      <c r="W3075" s="8">
        <f>IF(AND(V3075=1,D3075&lt;&gt;""),IF(D3075&gt;=corte,(B3075="CRÍTICO")*1E9+(100000-D3075)*10000+10000-ROW(),""),"")</f>
        <v/>
      </c>
      <c r="X3075" s="8">
        <f>IF(AND(V3075=1,D3075=pas_data,E3075=pas_turno),10000-ROW(),"")</f>
        <v/>
      </c>
    </row>
    <row r="3076">
      <c r="A3076" s="3">
        <f>IF(D3076="","","TT-"&amp;TEXT(ROW()-1,"00000"))</f>
        <v/>
      </c>
      <c r="B3076" s="3">
        <f>IF(D3076="","",IF(V3076=0,"CONCLUÍDO",IF(D3076&lt;corte,"HISTÓRICO",IF(OR(AND(ISNUMBER(R3076),R3076&lt;TODAY()),AND(OR(N3076="PENDENTE",N3076="PARCIAL"),D3076&lt;TODAY()-1)),"CRÍTICO",IF(OR(AND(P3076&lt;&gt;"",S3076=""),AND(N3076="REALIZADO",M3076="PENDENTE"),AND(ISNUMBER(R3076),R3076=TODAY())),"ATENÇÃO",IF(N(K3076)=0,"PENDENTE","EM ANDAMENTO"))))))</f>
        <v/>
      </c>
      <c r="C3076" s="3">
        <f>IF(D3076="","",IF(V3076=0,"🟢 OK",IF(D3076&lt;corte,"⚪ HISTÓRICO (sem baixa)",IF(AND(ISNUMBER(R3076),R3076&lt;TODAY()),"🔴 PRAZO VENCIDO",IF(AND(OR(N3076="PENDENTE",N3076="PARCIAL"),D3076&lt;TODAY()-1),"🔴 EMBARQUE ATRASADO",IF(AND(N3076="REALIZADO",M3076="PENDENTE"),"🟡 EMBARCADO SEM FATURAR",IF(AND(P3076&lt;&gt;"",S3076="",OR(Q3076="",R3076="")),"🟡 PENDÊNCIA SEM RESPONSÁVEL/PRAZO",IF(AND(ISNUMBER(R3076),R3076=TODAY()),"🟡 VENCE HOJE",IF(AND(P3076&lt;&gt;"",S3076=""),"🟡 PENDÊNCIA ABERTA",IF(AND(N(J3076)&gt;0,N(K3076)&lt;J3076),"🟡 FALTA EXECUTAR",IF(OR(M3076="PENDENTE",M3076="PARCIAL"),"🟡 FATURAMENTO PENDENTE","🟡 EMBARQUE PENDENTE")))))))))))</f>
        <v/>
      </c>
      <c r="D3076" s="4" t="n"/>
      <c r="E3076" s="5" t="n"/>
      <c r="F3076" s="5" t="n"/>
      <c r="G3076" s="5" t="n"/>
      <c r="H3076" s="5" t="n"/>
      <c r="I3076" s="5" t="n"/>
      <c r="J3076" s="6" t="n"/>
      <c r="K3076" s="6" t="n"/>
      <c r="L3076" s="7">
        <f>IF(OR(D3076="",N(J3076)=0),"",MIN(1,N(K3076)/J3076))</f>
        <v/>
      </c>
      <c r="M3076" s="5" t="n"/>
      <c r="N3076" s="5" t="n"/>
      <c r="O3076" s="5" t="n"/>
      <c r="P3076" s="5" t="n"/>
      <c r="Q3076" s="5" t="n"/>
      <c r="R3076" s="4" t="n"/>
      <c r="S3076" s="4" t="n"/>
      <c r="T3076" s="5" t="n"/>
      <c r="U3076" s="8">
        <f>IF(AND(V3076=1,D3076&lt;&gt;""),IF(D3076&gt;=corte,TODAY()-D3076,""),"")</f>
        <v/>
      </c>
      <c r="V3076" s="8">
        <f>IF(D3076="",0,IF(OR(AND(P3076&lt;&gt;"",S3076=""),AND(N(J3076)&gt;0,N(K3076)&lt;J3076),OR(M3076="PENDENTE",M3076="PARCIAL"),OR(N3076="PENDENTE",N3076="PARCIAL")),1,0))</f>
        <v/>
      </c>
      <c r="W3076" s="8">
        <f>IF(AND(V3076=1,D3076&lt;&gt;""),IF(D3076&gt;=corte,(B3076="CRÍTICO")*1E9+(100000-D3076)*10000+10000-ROW(),""),"")</f>
        <v/>
      </c>
      <c r="X3076" s="8">
        <f>IF(AND(V3076=1,D3076=pas_data,E3076=pas_turno),10000-ROW(),"")</f>
        <v/>
      </c>
    </row>
    <row r="3077">
      <c r="A3077" s="3">
        <f>IF(D3077="","","TT-"&amp;TEXT(ROW()-1,"00000"))</f>
        <v/>
      </c>
      <c r="B3077" s="3">
        <f>IF(D3077="","",IF(V3077=0,"CONCLUÍDO",IF(D3077&lt;corte,"HISTÓRICO",IF(OR(AND(ISNUMBER(R3077),R3077&lt;TODAY()),AND(OR(N3077="PENDENTE",N3077="PARCIAL"),D3077&lt;TODAY()-1)),"CRÍTICO",IF(OR(AND(P3077&lt;&gt;"",S3077=""),AND(N3077="REALIZADO",M3077="PENDENTE"),AND(ISNUMBER(R3077),R3077=TODAY())),"ATENÇÃO",IF(N(K3077)=0,"PENDENTE","EM ANDAMENTO"))))))</f>
        <v/>
      </c>
      <c r="C3077" s="3">
        <f>IF(D3077="","",IF(V3077=0,"🟢 OK",IF(D3077&lt;corte,"⚪ HISTÓRICO (sem baixa)",IF(AND(ISNUMBER(R3077),R3077&lt;TODAY()),"🔴 PRAZO VENCIDO",IF(AND(OR(N3077="PENDENTE",N3077="PARCIAL"),D3077&lt;TODAY()-1),"🔴 EMBARQUE ATRASADO",IF(AND(N3077="REALIZADO",M3077="PENDENTE"),"🟡 EMBARCADO SEM FATURAR",IF(AND(P3077&lt;&gt;"",S3077="",OR(Q3077="",R3077="")),"🟡 PENDÊNCIA SEM RESPONSÁVEL/PRAZO",IF(AND(ISNUMBER(R3077),R3077=TODAY()),"🟡 VENCE HOJE",IF(AND(P3077&lt;&gt;"",S3077=""),"🟡 PENDÊNCIA ABERTA",IF(AND(N(J3077)&gt;0,N(K3077)&lt;J3077),"🟡 FALTA EXECUTAR",IF(OR(M3077="PENDENTE",M3077="PARCIAL"),"🟡 FATURAMENTO PENDENTE","🟡 EMBARQUE PENDENTE")))))))))))</f>
        <v/>
      </c>
      <c r="D3077" s="4" t="n"/>
      <c r="E3077" s="5" t="n"/>
      <c r="F3077" s="5" t="n"/>
      <c r="G3077" s="5" t="n"/>
      <c r="H3077" s="5" t="n"/>
      <c r="I3077" s="5" t="n"/>
      <c r="J3077" s="6" t="n"/>
      <c r="K3077" s="6" t="n"/>
      <c r="L3077" s="7">
        <f>IF(OR(D3077="",N(J3077)=0),"",MIN(1,N(K3077)/J3077))</f>
        <v/>
      </c>
      <c r="M3077" s="5" t="n"/>
      <c r="N3077" s="5" t="n"/>
      <c r="O3077" s="5" t="n"/>
      <c r="P3077" s="5" t="n"/>
      <c r="Q3077" s="5" t="n"/>
      <c r="R3077" s="4" t="n"/>
      <c r="S3077" s="4" t="n"/>
      <c r="T3077" s="5" t="n"/>
      <c r="U3077" s="8">
        <f>IF(AND(V3077=1,D3077&lt;&gt;""),IF(D3077&gt;=corte,TODAY()-D3077,""),"")</f>
        <v/>
      </c>
      <c r="V3077" s="8">
        <f>IF(D3077="",0,IF(OR(AND(P3077&lt;&gt;"",S3077=""),AND(N(J3077)&gt;0,N(K3077)&lt;J3077),OR(M3077="PENDENTE",M3077="PARCIAL"),OR(N3077="PENDENTE",N3077="PARCIAL")),1,0))</f>
        <v/>
      </c>
      <c r="W3077" s="8">
        <f>IF(AND(V3077=1,D3077&lt;&gt;""),IF(D3077&gt;=corte,(B3077="CRÍTICO")*1E9+(100000-D3077)*10000+10000-ROW(),""),"")</f>
        <v/>
      </c>
      <c r="X3077" s="8">
        <f>IF(AND(V3077=1,D3077=pas_data,E3077=pas_turno),10000-ROW(),"")</f>
        <v/>
      </c>
    </row>
    <row r="3078">
      <c r="A3078" s="3">
        <f>IF(D3078="","","TT-"&amp;TEXT(ROW()-1,"00000"))</f>
        <v/>
      </c>
      <c r="B3078" s="3">
        <f>IF(D3078="","",IF(V3078=0,"CONCLUÍDO",IF(D3078&lt;corte,"HISTÓRICO",IF(OR(AND(ISNUMBER(R3078),R3078&lt;TODAY()),AND(OR(N3078="PENDENTE",N3078="PARCIAL"),D3078&lt;TODAY()-1)),"CRÍTICO",IF(OR(AND(P3078&lt;&gt;"",S3078=""),AND(N3078="REALIZADO",M3078="PENDENTE"),AND(ISNUMBER(R3078),R3078=TODAY())),"ATENÇÃO",IF(N(K3078)=0,"PENDENTE","EM ANDAMENTO"))))))</f>
        <v/>
      </c>
      <c r="C3078" s="3">
        <f>IF(D3078="","",IF(V3078=0,"🟢 OK",IF(D3078&lt;corte,"⚪ HISTÓRICO (sem baixa)",IF(AND(ISNUMBER(R3078),R3078&lt;TODAY()),"🔴 PRAZO VENCIDO",IF(AND(OR(N3078="PENDENTE",N3078="PARCIAL"),D3078&lt;TODAY()-1),"🔴 EMBARQUE ATRASADO",IF(AND(N3078="REALIZADO",M3078="PENDENTE"),"🟡 EMBARCADO SEM FATURAR",IF(AND(P3078&lt;&gt;"",S3078="",OR(Q3078="",R3078="")),"🟡 PENDÊNCIA SEM RESPONSÁVEL/PRAZO",IF(AND(ISNUMBER(R3078),R3078=TODAY()),"🟡 VENCE HOJE",IF(AND(P3078&lt;&gt;"",S3078=""),"🟡 PENDÊNCIA ABERTA",IF(AND(N(J3078)&gt;0,N(K3078)&lt;J3078),"🟡 FALTA EXECUTAR",IF(OR(M3078="PENDENTE",M3078="PARCIAL"),"🟡 FATURAMENTO PENDENTE","🟡 EMBARQUE PENDENTE")))))))))))</f>
        <v/>
      </c>
      <c r="D3078" s="4" t="n"/>
      <c r="E3078" s="5" t="n"/>
      <c r="F3078" s="5" t="n"/>
      <c r="G3078" s="5" t="n"/>
      <c r="H3078" s="5" t="n"/>
      <c r="I3078" s="5" t="n"/>
      <c r="J3078" s="6" t="n"/>
      <c r="K3078" s="6" t="n"/>
      <c r="L3078" s="7">
        <f>IF(OR(D3078="",N(J3078)=0),"",MIN(1,N(K3078)/J3078))</f>
        <v/>
      </c>
      <c r="M3078" s="5" t="n"/>
      <c r="N3078" s="5" t="n"/>
      <c r="O3078" s="5" t="n"/>
      <c r="P3078" s="5" t="n"/>
      <c r="Q3078" s="5" t="n"/>
      <c r="R3078" s="4" t="n"/>
      <c r="S3078" s="4" t="n"/>
      <c r="T3078" s="5" t="n"/>
      <c r="U3078" s="8">
        <f>IF(AND(V3078=1,D3078&lt;&gt;""),IF(D3078&gt;=corte,TODAY()-D3078,""),"")</f>
        <v/>
      </c>
      <c r="V3078" s="8">
        <f>IF(D3078="",0,IF(OR(AND(P3078&lt;&gt;"",S3078=""),AND(N(J3078)&gt;0,N(K3078)&lt;J3078),OR(M3078="PENDENTE",M3078="PARCIAL"),OR(N3078="PENDENTE",N3078="PARCIAL")),1,0))</f>
        <v/>
      </c>
      <c r="W3078" s="8">
        <f>IF(AND(V3078=1,D3078&lt;&gt;""),IF(D3078&gt;=corte,(B3078="CRÍTICO")*1E9+(100000-D3078)*10000+10000-ROW(),""),"")</f>
        <v/>
      </c>
      <c r="X3078" s="8">
        <f>IF(AND(V3078=1,D3078=pas_data,E3078=pas_turno),10000-ROW(),"")</f>
        <v/>
      </c>
    </row>
    <row r="3079">
      <c r="A3079" s="3">
        <f>IF(D3079="","","TT-"&amp;TEXT(ROW()-1,"00000"))</f>
        <v/>
      </c>
      <c r="B3079" s="3">
        <f>IF(D3079="","",IF(V3079=0,"CONCLUÍDO",IF(D3079&lt;corte,"HISTÓRICO",IF(OR(AND(ISNUMBER(R3079),R3079&lt;TODAY()),AND(OR(N3079="PENDENTE",N3079="PARCIAL"),D3079&lt;TODAY()-1)),"CRÍTICO",IF(OR(AND(P3079&lt;&gt;"",S3079=""),AND(N3079="REALIZADO",M3079="PENDENTE"),AND(ISNUMBER(R3079),R3079=TODAY())),"ATENÇÃO",IF(N(K3079)=0,"PENDENTE","EM ANDAMENTO"))))))</f>
        <v/>
      </c>
      <c r="C3079" s="3">
        <f>IF(D3079="","",IF(V3079=0,"🟢 OK",IF(D3079&lt;corte,"⚪ HISTÓRICO (sem baixa)",IF(AND(ISNUMBER(R3079),R3079&lt;TODAY()),"🔴 PRAZO VENCIDO",IF(AND(OR(N3079="PENDENTE",N3079="PARCIAL"),D3079&lt;TODAY()-1),"🔴 EMBARQUE ATRASADO",IF(AND(N3079="REALIZADO",M3079="PENDENTE"),"🟡 EMBARCADO SEM FATURAR",IF(AND(P3079&lt;&gt;"",S3079="",OR(Q3079="",R3079="")),"🟡 PENDÊNCIA SEM RESPONSÁVEL/PRAZO",IF(AND(ISNUMBER(R3079),R3079=TODAY()),"🟡 VENCE HOJE",IF(AND(P3079&lt;&gt;"",S3079=""),"🟡 PENDÊNCIA ABERTA",IF(AND(N(J3079)&gt;0,N(K3079)&lt;J3079),"🟡 FALTA EXECUTAR",IF(OR(M3079="PENDENTE",M3079="PARCIAL"),"🟡 FATURAMENTO PENDENTE","🟡 EMBARQUE PENDENTE")))))))))))</f>
        <v/>
      </c>
      <c r="D3079" s="4" t="n"/>
      <c r="E3079" s="5" t="n"/>
      <c r="F3079" s="5" t="n"/>
      <c r="G3079" s="5" t="n"/>
      <c r="H3079" s="5" t="n"/>
      <c r="I3079" s="5" t="n"/>
      <c r="J3079" s="6" t="n"/>
      <c r="K3079" s="6" t="n"/>
      <c r="L3079" s="7">
        <f>IF(OR(D3079="",N(J3079)=0),"",MIN(1,N(K3079)/J3079))</f>
        <v/>
      </c>
      <c r="M3079" s="5" t="n"/>
      <c r="N3079" s="5" t="n"/>
      <c r="O3079" s="5" t="n"/>
      <c r="P3079" s="5" t="n"/>
      <c r="Q3079" s="5" t="n"/>
      <c r="R3079" s="4" t="n"/>
      <c r="S3079" s="4" t="n"/>
      <c r="T3079" s="5" t="n"/>
      <c r="U3079" s="8">
        <f>IF(AND(V3079=1,D3079&lt;&gt;""),IF(D3079&gt;=corte,TODAY()-D3079,""),"")</f>
        <v/>
      </c>
      <c r="V3079" s="8">
        <f>IF(D3079="",0,IF(OR(AND(P3079&lt;&gt;"",S3079=""),AND(N(J3079)&gt;0,N(K3079)&lt;J3079),OR(M3079="PENDENTE",M3079="PARCIAL"),OR(N3079="PENDENTE",N3079="PARCIAL")),1,0))</f>
        <v/>
      </c>
      <c r="W3079" s="8">
        <f>IF(AND(V3079=1,D3079&lt;&gt;""),IF(D3079&gt;=corte,(B3079="CRÍTICO")*1E9+(100000-D3079)*10000+10000-ROW(),""),"")</f>
        <v/>
      </c>
      <c r="X3079" s="8">
        <f>IF(AND(V3079=1,D3079=pas_data,E3079=pas_turno),10000-ROW(),"")</f>
        <v/>
      </c>
    </row>
    <row r="3080">
      <c r="A3080" s="3">
        <f>IF(D3080="","","TT-"&amp;TEXT(ROW()-1,"00000"))</f>
        <v/>
      </c>
      <c r="B3080" s="3">
        <f>IF(D3080="","",IF(V3080=0,"CONCLUÍDO",IF(D3080&lt;corte,"HISTÓRICO",IF(OR(AND(ISNUMBER(R3080),R3080&lt;TODAY()),AND(OR(N3080="PENDENTE",N3080="PARCIAL"),D3080&lt;TODAY()-1)),"CRÍTICO",IF(OR(AND(P3080&lt;&gt;"",S3080=""),AND(N3080="REALIZADO",M3080="PENDENTE"),AND(ISNUMBER(R3080),R3080=TODAY())),"ATENÇÃO",IF(N(K3080)=0,"PENDENTE","EM ANDAMENTO"))))))</f>
        <v/>
      </c>
      <c r="C3080" s="3">
        <f>IF(D3080="","",IF(V3080=0,"🟢 OK",IF(D3080&lt;corte,"⚪ HISTÓRICO (sem baixa)",IF(AND(ISNUMBER(R3080),R3080&lt;TODAY()),"🔴 PRAZO VENCIDO",IF(AND(OR(N3080="PENDENTE",N3080="PARCIAL"),D3080&lt;TODAY()-1),"🔴 EMBARQUE ATRASADO",IF(AND(N3080="REALIZADO",M3080="PENDENTE"),"🟡 EMBARCADO SEM FATURAR",IF(AND(P3080&lt;&gt;"",S3080="",OR(Q3080="",R3080="")),"🟡 PENDÊNCIA SEM RESPONSÁVEL/PRAZO",IF(AND(ISNUMBER(R3080),R3080=TODAY()),"🟡 VENCE HOJE",IF(AND(P3080&lt;&gt;"",S3080=""),"🟡 PENDÊNCIA ABERTA",IF(AND(N(J3080)&gt;0,N(K3080)&lt;J3080),"🟡 FALTA EXECUTAR",IF(OR(M3080="PENDENTE",M3080="PARCIAL"),"🟡 FATURAMENTO PENDENTE","🟡 EMBARQUE PENDENTE")))))))))))</f>
        <v/>
      </c>
      <c r="D3080" s="4" t="n"/>
      <c r="E3080" s="5" t="n"/>
      <c r="F3080" s="5" t="n"/>
      <c r="G3080" s="5" t="n"/>
      <c r="H3080" s="5" t="n"/>
      <c r="I3080" s="5" t="n"/>
      <c r="J3080" s="6" t="n"/>
      <c r="K3080" s="6" t="n"/>
      <c r="L3080" s="7">
        <f>IF(OR(D3080="",N(J3080)=0),"",MIN(1,N(K3080)/J3080))</f>
        <v/>
      </c>
      <c r="M3080" s="5" t="n"/>
      <c r="N3080" s="5" t="n"/>
      <c r="O3080" s="5" t="n"/>
      <c r="P3080" s="5" t="n"/>
      <c r="Q3080" s="5" t="n"/>
      <c r="R3080" s="4" t="n"/>
      <c r="S3080" s="4" t="n"/>
      <c r="T3080" s="5" t="n"/>
      <c r="U3080" s="8">
        <f>IF(AND(V3080=1,D3080&lt;&gt;""),IF(D3080&gt;=corte,TODAY()-D3080,""),"")</f>
        <v/>
      </c>
      <c r="V3080" s="8">
        <f>IF(D3080="",0,IF(OR(AND(P3080&lt;&gt;"",S3080=""),AND(N(J3080)&gt;0,N(K3080)&lt;J3080),OR(M3080="PENDENTE",M3080="PARCIAL"),OR(N3080="PENDENTE",N3080="PARCIAL")),1,0))</f>
        <v/>
      </c>
      <c r="W3080" s="8">
        <f>IF(AND(V3080=1,D3080&lt;&gt;""),IF(D3080&gt;=corte,(B3080="CRÍTICO")*1E9+(100000-D3080)*10000+10000-ROW(),""),"")</f>
        <v/>
      </c>
      <c r="X3080" s="8">
        <f>IF(AND(V3080=1,D3080=pas_data,E3080=pas_turno),10000-ROW(),"")</f>
        <v/>
      </c>
    </row>
    <row r="3081">
      <c r="A3081" s="3">
        <f>IF(D3081="","","TT-"&amp;TEXT(ROW()-1,"00000"))</f>
        <v/>
      </c>
      <c r="B3081" s="3">
        <f>IF(D3081="","",IF(V3081=0,"CONCLUÍDO",IF(D3081&lt;corte,"HISTÓRICO",IF(OR(AND(ISNUMBER(R3081),R3081&lt;TODAY()),AND(OR(N3081="PENDENTE",N3081="PARCIAL"),D3081&lt;TODAY()-1)),"CRÍTICO",IF(OR(AND(P3081&lt;&gt;"",S3081=""),AND(N3081="REALIZADO",M3081="PENDENTE"),AND(ISNUMBER(R3081),R3081=TODAY())),"ATENÇÃO",IF(N(K3081)=0,"PENDENTE","EM ANDAMENTO"))))))</f>
        <v/>
      </c>
      <c r="C3081" s="3">
        <f>IF(D3081="","",IF(V3081=0,"🟢 OK",IF(D3081&lt;corte,"⚪ HISTÓRICO (sem baixa)",IF(AND(ISNUMBER(R3081),R3081&lt;TODAY()),"🔴 PRAZO VENCIDO",IF(AND(OR(N3081="PENDENTE",N3081="PARCIAL"),D3081&lt;TODAY()-1),"🔴 EMBARQUE ATRASADO",IF(AND(N3081="REALIZADO",M3081="PENDENTE"),"🟡 EMBARCADO SEM FATURAR",IF(AND(P3081&lt;&gt;"",S3081="",OR(Q3081="",R3081="")),"🟡 PENDÊNCIA SEM RESPONSÁVEL/PRAZO",IF(AND(ISNUMBER(R3081),R3081=TODAY()),"🟡 VENCE HOJE",IF(AND(P3081&lt;&gt;"",S3081=""),"🟡 PENDÊNCIA ABERTA",IF(AND(N(J3081)&gt;0,N(K3081)&lt;J3081),"🟡 FALTA EXECUTAR",IF(OR(M3081="PENDENTE",M3081="PARCIAL"),"🟡 FATURAMENTO PENDENTE","🟡 EMBARQUE PENDENTE")))))))))))</f>
        <v/>
      </c>
      <c r="D3081" s="4" t="n"/>
      <c r="E3081" s="5" t="n"/>
      <c r="F3081" s="5" t="n"/>
      <c r="G3081" s="5" t="n"/>
      <c r="H3081" s="5" t="n"/>
      <c r="I3081" s="5" t="n"/>
      <c r="J3081" s="6" t="n"/>
      <c r="K3081" s="6" t="n"/>
      <c r="L3081" s="7">
        <f>IF(OR(D3081="",N(J3081)=0),"",MIN(1,N(K3081)/J3081))</f>
        <v/>
      </c>
      <c r="M3081" s="5" t="n"/>
      <c r="N3081" s="5" t="n"/>
      <c r="O3081" s="5" t="n"/>
      <c r="P3081" s="5" t="n"/>
      <c r="Q3081" s="5" t="n"/>
      <c r="R3081" s="4" t="n"/>
      <c r="S3081" s="4" t="n"/>
      <c r="T3081" s="5" t="n"/>
      <c r="U3081" s="8">
        <f>IF(AND(V3081=1,D3081&lt;&gt;""),IF(D3081&gt;=corte,TODAY()-D3081,""),"")</f>
        <v/>
      </c>
      <c r="V3081" s="8">
        <f>IF(D3081="",0,IF(OR(AND(P3081&lt;&gt;"",S3081=""),AND(N(J3081)&gt;0,N(K3081)&lt;J3081),OR(M3081="PENDENTE",M3081="PARCIAL"),OR(N3081="PENDENTE",N3081="PARCIAL")),1,0))</f>
        <v/>
      </c>
      <c r="W3081" s="8">
        <f>IF(AND(V3081=1,D3081&lt;&gt;""),IF(D3081&gt;=corte,(B3081="CRÍTICO")*1E9+(100000-D3081)*10000+10000-ROW(),""),"")</f>
        <v/>
      </c>
      <c r="X3081" s="8">
        <f>IF(AND(V3081=1,D3081=pas_data,E3081=pas_turno),10000-ROW(),"")</f>
        <v/>
      </c>
    </row>
    <row r="3082">
      <c r="A3082" s="3">
        <f>IF(D3082="","","TT-"&amp;TEXT(ROW()-1,"00000"))</f>
        <v/>
      </c>
      <c r="B3082" s="3">
        <f>IF(D3082="","",IF(V3082=0,"CONCLUÍDO",IF(D3082&lt;corte,"HISTÓRICO",IF(OR(AND(ISNUMBER(R3082),R3082&lt;TODAY()),AND(OR(N3082="PENDENTE",N3082="PARCIAL"),D3082&lt;TODAY()-1)),"CRÍTICO",IF(OR(AND(P3082&lt;&gt;"",S3082=""),AND(N3082="REALIZADO",M3082="PENDENTE"),AND(ISNUMBER(R3082),R3082=TODAY())),"ATENÇÃO",IF(N(K3082)=0,"PENDENTE","EM ANDAMENTO"))))))</f>
        <v/>
      </c>
      <c r="C3082" s="3">
        <f>IF(D3082="","",IF(V3082=0,"🟢 OK",IF(D3082&lt;corte,"⚪ HISTÓRICO (sem baixa)",IF(AND(ISNUMBER(R3082),R3082&lt;TODAY()),"🔴 PRAZO VENCIDO",IF(AND(OR(N3082="PENDENTE",N3082="PARCIAL"),D3082&lt;TODAY()-1),"🔴 EMBARQUE ATRASADO",IF(AND(N3082="REALIZADO",M3082="PENDENTE"),"🟡 EMBARCADO SEM FATURAR",IF(AND(P3082&lt;&gt;"",S3082="",OR(Q3082="",R3082="")),"🟡 PENDÊNCIA SEM RESPONSÁVEL/PRAZO",IF(AND(ISNUMBER(R3082),R3082=TODAY()),"🟡 VENCE HOJE",IF(AND(P3082&lt;&gt;"",S3082=""),"🟡 PENDÊNCIA ABERTA",IF(AND(N(J3082)&gt;0,N(K3082)&lt;J3082),"🟡 FALTA EXECUTAR",IF(OR(M3082="PENDENTE",M3082="PARCIAL"),"🟡 FATURAMENTO PENDENTE","🟡 EMBARQUE PENDENTE")))))))))))</f>
        <v/>
      </c>
      <c r="D3082" s="4" t="n"/>
      <c r="E3082" s="5" t="n"/>
      <c r="F3082" s="5" t="n"/>
      <c r="G3082" s="5" t="n"/>
      <c r="H3082" s="5" t="n"/>
      <c r="I3082" s="5" t="n"/>
      <c r="J3082" s="6" t="n"/>
      <c r="K3082" s="6" t="n"/>
      <c r="L3082" s="7">
        <f>IF(OR(D3082="",N(J3082)=0),"",MIN(1,N(K3082)/J3082))</f>
        <v/>
      </c>
      <c r="M3082" s="5" t="n"/>
      <c r="N3082" s="5" t="n"/>
      <c r="O3082" s="5" t="n"/>
      <c r="P3082" s="5" t="n"/>
      <c r="Q3082" s="5" t="n"/>
      <c r="R3082" s="4" t="n"/>
      <c r="S3082" s="4" t="n"/>
      <c r="T3082" s="5" t="n"/>
      <c r="U3082" s="8">
        <f>IF(AND(V3082=1,D3082&lt;&gt;""),IF(D3082&gt;=corte,TODAY()-D3082,""),"")</f>
        <v/>
      </c>
      <c r="V3082" s="8">
        <f>IF(D3082="",0,IF(OR(AND(P3082&lt;&gt;"",S3082=""),AND(N(J3082)&gt;0,N(K3082)&lt;J3082),OR(M3082="PENDENTE",M3082="PARCIAL"),OR(N3082="PENDENTE",N3082="PARCIAL")),1,0))</f>
        <v/>
      </c>
      <c r="W3082" s="8">
        <f>IF(AND(V3082=1,D3082&lt;&gt;""),IF(D3082&gt;=corte,(B3082="CRÍTICO")*1E9+(100000-D3082)*10000+10000-ROW(),""),"")</f>
        <v/>
      </c>
      <c r="X3082" s="8">
        <f>IF(AND(V3082=1,D3082=pas_data,E3082=pas_turno),10000-ROW(),"")</f>
        <v/>
      </c>
    </row>
    <row r="3083">
      <c r="A3083" s="3">
        <f>IF(D3083="","","TT-"&amp;TEXT(ROW()-1,"00000"))</f>
        <v/>
      </c>
      <c r="B3083" s="3">
        <f>IF(D3083="","",IF(V3083=0,"CONCLUÍDO",IF(D3083&lt;corte,"HISTÓRICO",IF(OR(AND(ISNUMBER(R3083),R3083&lt;TODAY()),AND(OR(N3083="PENDENTE",N3083="PARCIAL"),D3083&lt;TODAY()-1)),"CRÍTICO",IF(OR(AND(P3083&lt;&gt;"",S3083=""),AND(N3083="REALIZADO",M3083="PENDENTE"),AND(ISNUMBER(R3083),R3083=TODAY())),"ATENÇÃO",IF(N(K3083)=0,"PENDENTE","EM ANDAMENTO"))))))</f>
        <v/>
      </c>
      <c r="C3083" s="3">
        <f>IF(D3083="","",IF(V3083=0,"🟢 OK",IF(D3083&lt;corte,"⚪ HISTÓRICO (sem baixa)",IF(AND(ISNUMBER(R3083),R3083&lt;TODAY()),"🔴 PRAZO VENCIDO",IF(AND(OR(N3083="PENDENTE",N3083="PARCIAL"),D3083&lt;TODAY()-1),"🔴 EMBARQUE ATRASADO",IF(AND(N3083="REALIZADO",M3083="PENDENTE"),"🟡 EMBARCADO SEM FATURAR",IF(AND(P3083&lt;&gt;"",S3083="",OR(Q3083="",R3083="")),"🟡 PENDÊNCIA SEM RESPONSÁVEL/PRAZO",IF(AND(ISNUMBER(R3083),R3083=TODAY()),"🟡 VENCE HOJE",IF(AND(P3083&lt;&gt;"",S3083=""),"🟡 PENDÊNCIA ABERTA",IF(AND(N(J3083)&gt;0,N(K3083)&lt;J3083),"🟡 FALTA EXECUTAR",IF(OR(M3083="PENDENTE",M3083="PARCIAL"),"🟡 FATURAMENTO PENDENTE","🟡 EMBARQUE PENDENTE")))))))))))</f>
        <v/>
      </c>
      <c r="D3083" s="4" t="n"/>
      <c r="E3083" s="5" t="n"/>
      <c r="F3083" s="5" t="n"/>
      <c r="G3083" s="5" t="n"/>
      <c r="H3083" s="5" t="n"/>
      <c r="I3083" s="5" t="n"/>
      <c r="J3083" s="6" t="n"/>
      <c r="K3083" s="6" t="n"/>
      <c r="L3083" s="7">
        <f>IF(OR(D3083="",N(J3083)=0),"",MIN(1,N(K3083)/J3083))</f>
        <v/>
      </c>
      <c r="M3083" s="5" t="n"/>
      <c r="N3083" s="5" t="n"/>
      <c r="O3083" s="5" t="n"/>
      <c r="P3083" s="5" t="n"/>
      <c r="Q3083" s="5" t="n"/>
      <c r="R3083" s="4" t="n"/>
      <c r="S3083" s="4" t="n"/>
      <c r="T3083" s="5" t="n"/>
      <c r="U3083" s="8">
        <f>IF(AND(V3083=1,D3083&lt;&gt;""),IF(D3083&gt;=corte,TODAY()-D3083,""),"")</f>
        <v/>
      </c>
      <c r="V3083" s="8">
        <f>IF(D3083="",0,IF(OR(AND(P3083&lt;&gt;"",S3083=""),AND(N(J3083)&gt;0,N(K3083)&lt;J3083),OR(M3083="PENDENTE",M3083="PARCIAL"),OR(N3083="PENDENTE",N3083="PARCIAL")),1,0))</f>
        <v/>
      </c>
      <c r="W3083" s="8">
        <f>IF(AND(V3083=1,D3083&lt;&gt;""),IF(D3083&gt;=corte,(B3083="CRÍTICO")*1E9+(100000-D3083)*10000+10000-ROW(),""),"")</f>
        <v/>
      </c>
      <c r="X3083" s="8">
        <f>IF(AND(V3083=1,D3083=pas_data,E3083=pas_turno),10000-ROW(),"")</f>
        <v/>
      </c>
    </row>
    <row r="3084">
      <c r="A3084" s="3">
        <f>IF(D3084="","","TT-"&amp;TEXT(ROW()-1,"00000"))</f>
        <v/>
      </c>
      <c r="B3084" s="3">
        <f>IF(D3084="","",IF(V3084=0,"CONCLUÍDO",IF(D3084&lt;corte,"HISTÓRICO",IF(OR(AND(ISNUMBER(R3084),R3084&lt;TODAY()),AND(OR(N3084="PENDENTE",N3084="PARCIAL"),D3084&lt;TODAY()-1)),"CRÍTICO",IF(OR(AND(P3084&lt;&gt;"",S3084=""),AND(N3084="REALIZADO",M3084="PENDENTE"),AND(ISNUMBER(R3084),R3084=TODAY())),"ATENÇÃO",IF(N(K3084)=0,"PENDENTE","EM ANDAMENTO"))))))</f>
        <v/>
      </c>
      <c r="C3084" s="3">
        <f>IF(D3084="","",IF(V3084=0,"🟢 OK",IF(D3084&lt;corte,"⚪ HISTÓRICO (sem baixa)",IF(AND(ISNUMBER(R3084),R3084&lt;TODAY()),"🔴 PRAZO VENCIDO",IF(AND(OR(N3084="PENDENTE",N3084="PARCIAL"),D3084&lt;TODAY()-1),"🔴 EMBARQUE ATRASADO",IF(AND(N3084="REALIZADO",M3084="PENDENTE"),"🟡 EMBARCADO SEM FATURAR",IF(AND(P3084&lt;&gt;"",S3084="",OR(Q3084="",R3084="")),"🟡 PENDÊNCIA SEM RESPONSÁVEL/PRAZO",IF(AND(ISNUMBER(R3084),R3084=TODAY()),"🟡 VENCE HOJE",IF(AND(P3084&lt;&gt;"",S3084=""),"🟡 PENDÊNCIA ABERTA",IF(AND(N(J3084)&gt;0,N(K3084)&lt;J3084),"🟡 FALTA EXECUTAR",IF(OR(M3084="PENDENTE",M3084="PARCIAL"),"🟡 FATURAMENTO PENDENTE","🟡 EMBARQUE PENDENTE")))))))))))</f>
        <v/>
      </c>
      <c r="D3084" s="4" t="n"/>
      <c r="E3084" s="5" t="n"/>
      <c r="F3084" s="5" t="n"/>
      <c r="G3084" s="5" t="n"/>
      <c r="H3084" s="5" t="n"/>
      <c r="I3084" s="5" t="n"/>
      <c r="J3084" s="6" t="n"/>
      <c r="K3084" s="6" t="n"/>
      <c r="L3084" s="7">
        <f>IF(OR(D3084="",N(J3084)=0),"",MIN(1,N(K3084)/J3084))</f>
        <v/>
      </c>
      <c r="M3084" s="5" t="n"/>
      <c r="N3084" s="5" t="n"/>
      <c r="O3084" s="5" t="n"/>
      <c r="P3084" s="5" t="n"/>
      <c r="Q3084" s="5" t="n"/>
      <c r="R3084" s="4" t="n"/>
      <c r="S3084" s="4" t="n"/>
      <c r="T3084" s="5" t="n"/>
      <c r="U3084" s="8">
        <f>IF(AND(V3084=1,D3084&lt;&gt;""),IF(D3084&gt;=corte,TODAY()-D3084,""),"")</f>
        <v/>
      </c>
      <c r="V3084" s="8">
        <f>IF(D3084="",0,IF(OR(AND(P3084&lt;&gt;"",S3084=""),AND(N(J3084)&gt;0,N(K3084)&lt;J3084),OR(M3084="PENDENTE",M3084="PARCIAL"),OR(N3084="PENDENTE",N3084="PARCIAL")),1,0))</f>
        <v/>
      </c>
      <c r="W3084" s="8">
        <f>IF(AND(V3084=1,D3084&lt;&gt;""),IF(D3084&gt;=corte,(B3084="CRÍTICO")*1E9+(100000-D3084)*10000+10000-ROW(),""),"")</f>
        <v/>
      </c>
      <c r="X3084" s="8">
        <f>IF(AND(V3084=1,D3084=pas_data,E3084=pas_turno),10000-ROW(),"")</f>
        <v/>
      </c>
    </row>
    <row r="3085">
      <c r="A3085" s="3">
        <f>IF(D3085="","","TT-"&amp;TEXT(ROW()-1,"00000"))</f>
        <v/>
      </c>
      <c r="B3085" s="3">
        <f>IF(D3085="","",IF(V3085=0,"CONCLUÍDO",IF(D3085&lt;corte,"HISTÓRICO",IF(OR(AND(ISNUMBER(R3085),R3085&lt;TODAY()),AND(OR(N3085="PENDENTE",N3085="PARCIAL"),D3085&lt;TODAY()-1)),"CRÍTICO",IF(OR(AND(P3085&lt;&gt;"",S3085=""),AND(N3085="REALIZADO",M3085="PENDENTE"),AND(ISNUMBER(R3085),R3085=TODAY())),"ATENÇÃO",IF(N(K3085)=0,"PENDENTE","EM ANDAMENTO"))))))</f>
        <v/>
      </c>
      <c r="C3085" s="3">
        <f>IF(D3085="","",IF(V3085=0,"🟢 OK",IF(D3085&lt;corte,"⚪ HISTÓRICO (sem baixa)",IF(AND(ISNUMBER(R3085),R3085&lt;TODAY()),"🔴 PRAZO VENCIDO",IF(AND(OR(N3085="PENDENTE",N3085="PARCIAL"),D3085&lt;TODAY()-1),"🔴 EMBARQUE ATRASADO",IF(AND(N3085="REALIZADO",M3085="PENDENTE"),"🟡 EMBARCADO SEM FATURAR",IF(AND(P3085&lt;&gt;"",S3085="",OR(Q3085="",R3085="")),"🟡 PENDÊNCIA SEM RESPONSÁVEL/PRAZO",IF(AND(ISNUMBER(R3085),R3085=TODAY()),"🟡 VENCE HOJE",IF(AND(P3085&lt;&gt;"",S3085=""),"🟡 PENDÊNCIA ABERTA",IF(AND(N(J3085)&gt;0,N(K3085)&lt;J3085),"🟡 FALTA EXECUTAR",IF(OR(M3085="PENDENTE",M3085="PARCIAL"),"🟡 FATURAMENTO PENDENTE","🟡 EMBARQUE PENDENTE")))))))))))</f>
        <v/>
      </c>
      <c r="D3085" s="4" t="n"/>
      <c r="E3085" s="5" t="n"/>
      <c r="F3085" s="5" t="n"/>
      <c r="G3085" s="5" t="n"/>
      <c r="H3085" s="5" t="n"/>
      <c r="I3085" s="5" t="n"/>
      <c r="J3085" s="6" t="n"/>
      <c r="K3085" s="6" t="n"/>
      <c r="L3085" s="7">
        <f>IF(OR(D3085="",N(J3085)=0),"",MIN(1,N(K3085)/J3085))</f>
        <v/>
      </c>
      <c r="M3085" s="5" t="n"/>
      <c r="N3085" s="5" t="n"/>
      <c r="O3085" s="5" t="n"/>
      <c r="P3085" s="5" t="n"/>
      <c r="Q3085" s="5" t="n"/>
      <c r="R3085" s="4" t="n"/>
      <c r="S3085" s="4" t="n"/>
      <c r="T3085" s="5" t="n"/>
      <c r="U3085" s="8">
        <f>IF(AND(V3085=1,D3085&lt;&gt;""),IF(D3085&gt;=corte,TODAY()-D3085,""),"")</f>
        <v/>
      </c>
      <c r="V3085" s="8">
        <f>IF(D3085="",0,IF(OR(AND(P3085&lt;&gt;"",S3085=""),AND(N(J3085)&gt;0,N(K3085)&lt;J3085),OR(M3085="PENDENTE",M3085="PARCIAL"),OR(N3085="PENDENTE",N3085="PARCIAL")),1,0))</f>
        <v/>
      </c>
      <c r="W3085" s="8">
        <f>IF(AND(V3085=1,D3085&lt;&gt;""),IF(D3085&gt;=corte,(B3085="CRÍTICO")*1E9+(100000-D3085)*10000+10000-ROW(),""),"")</f>
        <v/>
      </c>
      <c r="X3085" s="8">
        <f>IF(AND(V3085=1,D3085=pas_data,E3085=pas_turno),10000-ROW(),"")</f>
        <v/>
      </c>
    </row>
    <row r="3086">
      <c r="A3086" s="3">
        <f>IF(D3086="","","TT-"&amp;TEXT(ROW()-1,"00000"))</f>
        <v/>
      </c>
      <c r="B3086" s="3">
        <f>IF(D3086="","",IF(V3086=0,"CONCLUÍDO",IF(D3086&lt;corte,"HISTÓRICO",IF(OR(AND(ISNUMBER(R3086),R3086&lt;TODAY()),AND(OR(N3086="PENDENTE",N3086="PARCIAL"),D3086&lt;TODAY()-1)),"CRÍTICO",IF(OR(AND(P3086&lt;&gt;"",S3086=""),AND(N3086="REALIZADO",M3086="PENDENTE"),AND(ISNUMBER(R3086),R3086=TODAY())),"ATENÇÃO",IF(N(K3086)=0,"PENDENTE","EM ANDAMENTO"))))))</f>
        <v/>
      </c>
      <c r="C3086" s="3">
        <f>IF(D3086="","",IF(V3086=0,"🟢 OK",IF(D3086&lt;corte,"⚪ HISTÓRICO (sem baixa)",IF(AND(ISNUMBER(R3086),R3086&lt;TODAY()),"🔴 PRAZO VENCIDO",IF(AND(OR(N3086="PENDENTE",N3086="PARCIAL"),D3086&lt;TODAY()-1),"🔴 EMBARQUE ATRASADO",IF(AND(N3086="REALIZADO",M3086="PENDENTE"),"🟡 EMBARCADO SEM FATURAR",IF(AND(P3086&lt;&gt;"",S3086="",OR(Q3086="",R3086="")),"🟡 PENDÊNCIA SEM RESPONSÁVEL/PRAZO",IF(AND(ISNUMBER(R3086),R3086=TODAY()),"🟡 VENCE HOJE",IF(AND(P3086&lt;&gt;"",S3086=""),"🟡 PENDÊNCIA ABERTA",IF(AND(N(J3086)&gt;0,N(K3086)&lt;J3086),"🟡 FALTA EXECUTAR",IF(OR(M3086="PENDENTE",M3086="PARCIAL"),"🟡 FATURAMENTO PENDENTE","🟡 EMBARQUE PENDENTE")))))))))))</f>
        <v/>
      </c>
      <c r="D3086" s="4" t="n"/>
      <c r="E3086" s="5" t="n"/>
      <c r="F3086" s="5" t="n"/>
      <c r="G3086" s="5" t="n"/>
      <c r="H3086" s="5" t="n"/>
      <c r="I3086" s="5" t="n"/>
      <c r="J3086" s="6" t="n"/>
      <c r="K3086" s="6" t="n"/>
      <c r="L3086" s="7">
        <f>IF(OR(D3086="",N(J3086)=0),"",MIN(1,N(K3086)/J3086))</f>
        <v/>
      </c>
      <c r="M3086" s="5" t="n"/>
      <c r="N3086" s="5" t="n"/>
      <c r="O3086" s="5" t="n"/>
      <c r="P3086" s="5" t="n"/>
      <c r="Q3086" s="5" t="n"/>
      <c r="R3086" s="4" t="n"/>
      <c r="S3086" s="4" t="n"/>
      <c r="T3086" s="5" t="n"/>
      <c r="U3086" s="8">
        <f>IF(AND(V3086=1,D3086&lt;&gt;""),IF(D3086&gt;=corte,TODAY()-D3086,""),"")</f>
        <v/>
      </c>
      <c r="V3086" s="8">
        <f>IF(D3086="",0,IF(OR(AND(P3086&lt;&gt;"",S3086=""),AND(N(J3086)&gt;0,N(K3086)&lt;J3086),OR(M3086="PENDENTE",M3086="PARCIAL"),OR(N3086="PENDENTE",N3086="PARCIAL")),1,0))</f>
        <v/>
      </c>
      <c r="W3086" s="8">
        <f>IF(AND(V3086=1,D3086&lt;&gt;""),IF(D3086&gt;=corte,(B3086="CRÍTICO")*1E9+(100000-D3086)*10000+10000-ROW(),""),"")</f>
        <v/>
      </c>
      <c r="X3086" s="8">
        <f>IF(AND(V3086=1,D3086=pas_data,E3086=pas_turno),10000-ROW(),"")</f>
        <v/>
      </c>
    </row>
    <row r="3087">
      <c r="A3087" s="3">
        <f>IF(D3087="","","TT-"&amp;TEXT(ROW()-1,"00000"))</f>
        <v/>
      </c>
      <c r="B3087" s="3">
        <f>IF(D3087="","",IF(V3087=0,"CONCLUÍDO",IF(D3087&lt;corte,"HISTÓRICO",IF(OR(AND(ISNUMBER(R3087),R3087&lt;TODAY()),AND(OR(N3087="PENDENTE",N3087="PARCIAL"),D3087&lt;TODAY()-1)),"CRÍTICO",IF(OR(AND(P3087&lt;&gt;"",S3087=""),AND(N3087="REALIZADO",M3087="PENDENTE"),AND(ISNUMBER(R3087),R3087=TODAY())),"ATENÇÃO",IF(N(K3087)=0,"PENDENTE","EM ANDAMENTO"))))))</f>
        <v/>
      </c>
      <c r="C3087" s="3">
        <f>IF(D3087="","",IF(V3087=0,"🟢 OK",IF(D3087&lt;corte,"⚪ HISTÓRICO (sem baixa)",IF(AND(ISNUMBER(R3087),R3087&lt;TODAY()),"🔴 PRAZO VENCIDO",IF(AND(OR(N3087="PENDENTE",N3087="PARCIAL"),D3087&lt;TODAY()-1),"🔴 EMBARQUE ATRASADO",IF(AND(N3087="REALIZADO",M3087="PENDENTE"),"🟡 EMBARCADO SEM FATURAR",IF(AND(P3087&lt;&gt;"",S3087="",OR(Q3087="",R3087="")),"🟡 PENDÊNCIA SEM RESPONSÁVEL/PRAZO",IF(AND(ISNUMBER(R3087),R3087=TODAY()),"🟡 VENCE HOJE",IF(AND(P3087&lt;&gt;"",S3087=""),"🟡 PENDÊNCIA ABERTA",IF(AND(N(J3087)&gt;0,N(K3087)&lt;J3087),"🟡 FALTA EXECUTAR",IF(OR(M3087="PENDENTE",M3087="PARCIAL"),"🟡 FATURAMENTO PENDENTE","🟡 EMBARQUE PENDENTE")))))))))))</f>
        <v/>
      </c>
      <c r="D3087" s="4" t="n"/>
      <c r="E3087" s="5" t="n"/>
      <c r="F3087" s="5" t="n"/>
      <c r="G3087" s="5" t="n"/>
      <c r="H3087" s="5" t="n"/>
      <c r="I3087" s="5" t="n"/>
      <c r="J3087" s="6" t="n"/>
      <c r="K3087" s="6" t="n"/>
      <c r="L3087" s="7">
        <f>IF(OR(D3087="",N(J3087)=0),"",MIN(1,N(K3087)/J3087))</f>
        <v/>
      </c>
      <c r="M3087" s="5" t="n"/>
      <c r="N3087" s="5" t="n"/>
      <c r="O3087" s="5" t="n"/>
      <c r="P3087" s="5" t="n"/>
      <c r="Q3087" s="5" t="n"/>
      <c r="R3087" s="4" t="n"/>
      <c r="S3087" s="4" t="n"/>
      <c r="T3087" s="5" t="n"/>
      <c r="U3087" s="8">
        <f>IF(AND(V3087=1,D3087&lt;&gt;""),IF(D3087&gt;=corte,TODAY()-D3087,""),"")</f>
        <v/>
      </c>
      <c r="V3087" s="8">
        <f>IF(D3087="",0,IF(OR(AND(P3087&lt;&gt;"",S3087=""),AND(N(J3087)&gt;0,N(K3087)&lt;J3087),OR(M3087="PENDENTE",M3087="PARCIAL"),OR(N3087="PENDENTE",N3087="PARCIAL")),1,0))</f>
        <v/>
      </c>
      <c r="W3087" s="8">
        <f>IF(AND(V3087=1,D3087&lt;&gt;""),IF(D3087&gt;=corte,(B3087="CRÍTICO")*1E9+(100000-D3087)*10000+10000-ROW(),""),"")</f>
        <v/>
      </c>
      <c r="X3087" s="8">
        <f>IF(AND(V3087=1,D3087=pas_data,E3087=pas_turno),10000-ROW(),"")</f>
        <v/>
      </c>
    </row>
    <row r="3088">
      <c r="A3088" s="3">
        <f>IF(D3088="","","TT-"&amp;TEXT(ROW()-1,"00000"))</f>
        <v/>
      </c>
      <c r="B3088" s="3">
        <f>IF(D3088="","",IF(V3088=0,"CONCLUÍDO",IF(D3088&lt;corte,"HISTÓRICO",IF(OR(AND(ISNUMBER(R3088),R3088&lt;TODAY()),AND(OR(N3088="PENDENTE",N3088="PARCIAL"),D3088&lt;TODAY()-1)),"CRÍTICO",IF(OR(AND(P3088&lt;&gt;"",S3088=""),AND(N3088="REALIZADO",M3088="PENDENTE"),AND(ISNUMBER(R3088),R3088=TODAY())),"ATENÇÃO",IF(N(K3088)=0,"PENDENTE","EM ANDAMENTO"))))))</f>
        <v/>
      </c>
      <c r="C3088" s="3">
        <f>IF(D3088="","",IF(V3088=0,"🟢 OK",IF(D3088&lt;corte,"⚪ HISTÓRICO (sem baixa)",IF(AND(ISNUMBER(R3088),R3088&lt;TODAY()),"🔴 PRAZO VENCIDO",IF(AND(OR(N3088="PENDENTE",N3088="PARCIAL"),D3088&lt;TODAY()-1),"🔴 EMBARQUE ATRASADO",IF(AND(N3088="REALIZADO",M3088="PENDENTE"),"🟡 EMBARCADO SEM FATURAR",IF(AND(P3088&lt;&gt;"",S3088="",OR(Q3088="",R3088="")),"🟡 PENDÊNCIA SEM RESPONSÁVEL/PRAZO",IF(AND(ISNUMBER(R3088),R3088=TODAY()),"🟡 VENCE HOJE",IF(AND(P3088&lt;&gt;"",S3088=""),"🟡 PENDÊNCIA ABERTA",IF(AND(N(J3088)&gt;0,N(K3088)&lt;J3088),"🟡 FALTA EXECUTAR",IF(OR(M3088="PENDENTE",M3088="PARCIAL"),"🟡 FATURAMENTO PENDENTE","🟡 EMBARQUE PENDENTE")))))))))))</f>
        <v/>
      </c>
      <c r="D3088" s="4" t="n"/>
      <c r="E3088" s="5" t="n"/>
      <c r="F3088" s="5" t="n"/>
      <c r="G3088" s="5" t="n"/>
      <c r="H3088" s="5" t="n"/>
      <c r="I3088" s="5" t="n"/>
      <c r="J3088" s="6" t="n"/>
      <c r="K3088" s="6" t="n"/>
      <c r="L3088" s="7">
        <f>IF(OR(D3088="",N(J3088)=0),"",MIN(1,N(K3088)/J3088))</f>
        <v/>
      </c>
      <c r="M3088" s="5" t="n"/>
      <c r="N3088" s="5" t="n"/>
      <c r="O3088" s="5" t="n"/>
      <c r="P3088" s="5" t="n"/>
      <c r="Q3088" s="5" t="n"/>
      <c r="R3088" s="4" t="n"/>
      <c r="S3088" s="4" t="n"/>
      <c r="T3088" s="5" t="n"/>
      <c r="U3088" s="8">
        <f>IF(AND(V3088=1,D3088&lt;&gt;""),IF(D3088&gt;=corte,TODAY()-D3088,""),"")</f>
        <v/>
      </c>
      <c r="V3088" s="8">
        <f>IF(D3088="",0,IF(OR(AND(P3088&lt;&gt;"",S3088=""),AND(N(J3088)&gt;0,N(K3088)&lt;J3088),OR(M3088="PENDENTE",M3088="PARCIAL"),OR(N3088="PENDENTE",N3088="PARCIAL")),1,0))</f>
        <v/>
      </c>
      <c r="W3088" s="8">
        <f>IF(AND(V3088=1,D3088&lt;&gt;""),IF(D3088&gt;=corte,(B3088="CRÍTICO")*1E9+(100000-D3088)*10000+10000-ROW(),""),"")</f>
        <v/>
      </c>
      <c r="X3088" s="8">
        <f>IF(AND(V3088=1,D3088=pas_data,E3088=pas_turno),10000-ROW(),"")</f>
        <v/>
      </c>
    </row>
    <row r="3089">
      <c r="A3089" s="3">
        <f>IF(D3089="","","TT-"&amp;TEXT(ROW()-1,"00000"))</f>
        <v/>
      </c>
      <c r="B3089" s="3">
        <f>IF(D3089="","",IF(V3089=0,"CONCLUÍDO",IF(D3089&lt;corte,"HISTÓRICO",IF(OR(AND(ISNUMBER(R3089),R3089&lt;TODAY()),AND(OR(N3089="PENDENTE",N3089="PARCIAL"),D3089&lt;TODAY()-1)),"CRÍTICO",IF(OR(AND(P3089&lt;&gt;"",S3089=""),AND(N3089="REALIZADO",M3089="PENDENTE"),AND(ISNUMBER(R3089),R3089=TODAY())),"ATENÇÃO",IF(N(K3089)=0,"PENDENTE","EM ANDAMENTO"))))))</f>
        <v/>
      </c>
      <c r="C3089" s="3">
        <f>IF(D3089="","",IF(V3089=0,"🟢 OK",IF(D3089&lt;corte,"⚪ HISTÓRICO (sem baixa)",IF(AND(ISNUMBER(R3089),R3089&lt;TODAY()),"🔴 PRAZO VENCIDO",IF(AND(OR(N3089="PENDENTE",N3089="PARCIAL"),D3089&lt;TODAY()-1),"🔴 EMBARQUE ATRASADO",IF(AND(N3089="REALIZADO",M3089="PENDENTE"),"🟡 EMBARCADO SEM FATURAR",IF(AND(P3089&lt;&gt;"",S3089="",OR(Q3089="",R3089="")),"🟡 PENDÊNCIA SEM RESPONSÁVEL/PRAZO",IF(AND(ISNUMBER(R3089),R3089=TODAY()),"🟡 VENCE HOJE",IF(AND(P3089&lt;&gt;"",S3089=""),"🟡 PENDÊNCIA ABERTA",IF(AND(N(J3089)&gt;0,N(K3089)&lt;J3089),"🟡 FALTA EXECUTAR",IF(OR(M3089="PENDENTE",M3089="PARCIAL"),"🟡 FATURAMENTO PENDENTE","🟡 EMBARQUE PENDENTE")))))))))))</f>
        <v/>
      </c>
      <c r="D3089" s="4" t="n"/>
      <c r="E3089" s="5" t="n"/>
      <c r="F3089" s="5" t="n"/>
      <c r="G3089" s="5" t="n"/>
      <c r="H3089" s="5" t="n"/>
      <c r="I3089" s="5" t="n"/>
      <c r="J3089" s="6" t="n"/>
      <c r="K3089" s="6" t="n"/>
      <c r="L3089" s="7">
        <f>IF(OR(D3089="",N(J3089)=0),"",MIN(1,N(K3089)/J3089))</f>
        <v/>
      </c>
      <c r="M3089" s="5" t="n"/>
      <c r="N3089" s="5" t="n"/>
      <c r="O3089" s="5" t="n"/>
      <c r="P3089" s="5" t="n"/>
      <c r="Q3089" s="5" t="n"/>
      <c r="R3089" s="4" t="n"/>
      <c r="S3089" s="4" t="n"/>
      <c r="T3089" s="5" t="n"/>
      <c r="U3089" s="8">
        <f>IF(AND(V3089=1,D3089&lt;&gt;""),IF(D3089&gt;=corte,TODAY()-D3089,""),"")</f>
        <v/>
      </c>
      <c r="V3089" s="8">
        <f>IF(D3089="",0,IF(OR(AND(P3089&lt;&gt;"",S3089=""),AND(N(J3089)&gt;0,N(K3089)&lt;J3089),OR(M3089="PENDENTE",M3089="PARCIAL"),OR(N3089="PENDENTE",N3089="PARCIAL")),1,0))</f>
        <v/>
      </c>
      <c r="W3089" s="8">
        <f>IF(AND(V3089=1,D3089&lt;&gt;""),IF(D3089&gt;=corte,(B3089="CRÍTICO")*1E9+(100000-D3089)*10000+10000-ROW(),""),"")</f>
        <v/>
      </c>
      <c r="X3089" s="8">
        <f>IF(AND(V3089=1,D3089=pas_data,E3089=pas_turno),10000-ROW(),"")</f>
        <v/>
      </c>
    </row>
    <row r="3090">
      <c r="A3090" s="3">
        <f>IF(D3090="","","TT-"&amp;TEXT(ROW()-1,"00000"))</f>
        <v/>
      </c>
      <c r="B3090" s="3">
        <f>IF(D3090="","",IF(V3090=0,"CONCLUÍDO",IF(D3090&lt;corte,"HISTÓRICO",IF(OR(AND(ISNUMBER(R3090),R3090&lt;TODAY()),AND(OR(N3090="PENDENTE",N3090="PARCIAL"),D3090&lt;TODAY()-1)),"CRÍTICO",IF(OR(AND(P3090&lt;&gt;"",S3090=""),AND(N3090="REALIZADO",M3090="PENDENTE"),AND(ISNUMBER(R3090),R3090=TODAY())),"ATENÇÃO",IF(N(K3090)=0,"PENDENTE","EM ANDAMENTO"))))))</f>
        <v/>
      </c>
      <c r="C3090" s="3">
        <f>IF(D3090="","",IF(V3090=0,"🟢 OK",IF(D3090&lt;corte,"⚪ HISTÓRICO (sem baixa)",IF(AND(ISNUMBER(R3090),R3090&lt;TODAY()),"🔴 PRAZO VENCIDO",IF(AND(OR(N3090="PENDENTE",N3090="PARCIAL"),D3090&lt;TODAY()-1),"🔴 EMBARQUE ATRASADO",IF(AND(N3090="REALIZADO",M3090="PENDENTE"),"🟡 EMBARCADO SEM FATURAR",IF(AND(P3090&lt;&gt;"",S3090="",OR(Q3090="",R3090="")),"🟡 PENDÊNCIA SEM RESPONSÁVEL/PRAZO",IF(AND(ISNUMBER(R3090),R3090=TODAY()),"🟡 VENCE HOJE",IF(AND(P3090&lt;&gt;"",S3090=""),"🟡 PENDÊNCIA ABERTA",IF(AND(N(J3090)&gt;0,N(K3090)&lt;J3090),"🟡 FALTA EXECUTAR",IF(OR(M3090="PENDENTE",M3090="PARCIAL"),"🟡 FATURAMENTO PENDENTE","🟡 EMBARQUE PENDENTE")))))))))))</f>
        <v/>
      </c>
      <c r="D3090" s="4" t="n"/>
      <c r="E3090" s="5" t="n"/>
      <c r="F3090" s="5" t="n"/>
      <c r="G3090" s="5" t="n"/>
      <c r="H3090" s="5" t="n"/>
      <c r="I3090" s="5" t="n"/>
      <c r="J3090" s="6" t="n"/>
      <c r="K3090" s="6" t="n"/>
      <c r="L3090" s="7">
        <f>IF(OR(D3090="",N(J3090)=0),"",MIN(1,N(K3090)/J3090))</f>
        <v/>
      </c>
      <c r="M3090" s="5" t="n"/>
      <c r="N3090" s="5" t="n"/>
      <c r="O3090" s="5" t="n"/>
      <c r="P3090" s="5" t="n"/>
      <c r="Q3090" s="5" t="n"/>
      <c r="R3090" s="4" t="n"/>
      <c r="S3090" s="4" t="n"/>
      <c r="T3090" s="5" t="n"/>
      <c r="U3090" s="8">
        <f>IF(AND(V3090=1,D3090&lt;&gt;""),IF(D3090&gt;=corte,TODAY()-D3090,""),"")</f>
        <v/>
      </c>
      <c r="V3090" s="8">
        <f>IF(D3090="",0,IF(OR(AND(P3090&lt;&gt;"",S3090=""),AND(N(J3090)&gt;0,N(K3090)&lt;J3090),OR(M3090="PENDENTE",M3090="PARCIAL"),OR(N3090="PENDENTE",N3090="PARCIAL")),1,0))</f>
        <v/>
      </c>
      <c r="W3090" s="8">
        <f>IF(AND(V3090=1,D3090&lt;&gt;""),IF(D3090&gt;=corte,(B3090="CRÍTICO")*1E9+(100000-D3090)*10000+10000-ROW(),""),"")</f>
        <v/>
      </c>
      <c r="X3090" s="8">
        <f>IF(AND(V3090=1,D3090=pas_data,E3090=pas_turno),10000-ROW(),"")</f>
        <v/>
      </c>
    </row>
    <row r="3091">
      <c r="A3091" s="3">
        <f>IF(D3091="","","TT-"&amp;TEXT(ROW()-1,"00000"))</f>
        <v/>
      </c>
      <c r="B3091" s="3">
        <f>IF(D3091="","",IF(V3091=0,"CONCLUÍDO",IF(D3091&lt;corte,"HISTÓRICO",IF(OR(AND(ISNUMBER(R3091),R3091&lt;TODAY()),AND(OR(N3091="PENDENTE",N3091="PARCIAL"),D3091&lt;TODAY()-1)),"CRÍTICO",IF(OR(AND(P3091&lt;&gt;"",S3091=""),AND(N3091="REALIZADO",M3091="PENDENTE"),AND(ISNUMBER(R3091),R3091=TODAY())),"ATENÇÃO",IF(N(K3091)=0,"PENDENTE","EM ANDAMENTO"))))))</f>
        <v/>
      </c>
      <c r="C3091" s="3">
        <f>IF(D3091="","",IF(V3091=0,"🟢 OK",IF(D3091&lt;corte,"⚪ HISTÓRICO (sem baixa)",IF(AND(ISNUMBER(R3091),R3091&lt;TODAY()),"🔴 PRAZO VENCIDO",IF(AND(OR(N3091="PENDENTE",N3091="PARCIAL"),D3091&lt;TODAY()-1),"🔴 EMBARQUE ATRASADO",IF(AND(N3091="REALIZADO",M3091="PENDENTE"),"🟡 EMBARCADO SEM FATURAR",IF(AND(P3091&lt;&gt;"",S3091="",OR(Q3091="",R3091="")),"🟡 PENDÊNCIA SEM RESPONSÁVEL/PRAZO",IF(AND(ISNUMBER(R3091),R3091=TODAY()),"🟡 VENCE HOJE",IF(AND(P3091&lt;&gt;"",S3091=""),"🟡 PENDÊNCIA ABERTA",IF(AND(N(J3091)&gt;0,N(K3091)&lt;J3091),"🟡 FALTA EXECUTAR",IF(OR(M3091="PENDENTE",M3091="PARCIAL"),"🟡 FATURAMENTO PENDENTE","🟡 EMBARQUE PENDENTE")))))))))))</f>
        <v/>
      </c>
      <c r="D3091" s="4" t="n"/>
      <c r="E3091" s="5" t="n"/>
      <c r="F3091" s="5" t="n"/>
      <c r="G3091" s="5" t="n"/>
      <c r="H3091" s="5" t="n"/>
      <c r="I3091" s="5" t="n"/>
      <c r="J3091" s="6" t="n"/>
      <c r="K3091" s="6" t="n"/>
      <c r="L3091" s="7">
        <f>IF(OR(D3091="",N(J3091)=0),"",MIN(1,N(K3091)/J3091))</f>
        <v/>
      </c>
      <c r="M3091" s="5" t="n"/>
      <c r="N3091" s="5" t="n"/>
      <c r="O3091" s="5" t="n"/>
      <c r="P3091" s="5" t="n"/>
      <c r="Q3091" s="5" t="n"/>
      <c r="R3091" s="4" t="n"/>
      <c r="S3091" s="4" t="n"/>
      <c r="T3091" s="5" t="n"/>
      <c r="U3091" s="8">
        <f>IF(AND(V3091=1,D3091&lt;&gt;""),IF(D3091&gt;=corte,TODAY()-D3091,""),"")</f>
        <v/>
      </c>
      <c r="V3091" s="8">
        <f>IF(D3091="",0,IF(OR(AND(P3091&lt;&gt;"",S3091=""),AND(N(J3091)&gt;0,N(K3091)&lt;J3091),OR(M3091="PENDENTE",M3091="PARCIAL"),OR(N3091="PENDENTE",N3091="PARCIAL")),1,0))</f>
        <v/>
      </c>
      <c r="W3091" s="8">
        <f>IF(AND(V3091=1,D3091&lt;&gt;""),IF(D3091&gt;=corte,(B3091="CRÍTICO")*1E9+(100000-D3091)*10000+10000-ROW(),""),"")</f>
        <v/>
      </c>
      <c r="X3091" s="8">
        <f>IF(AND(V3091=1,D3091=pas_data,E3091=pas_turno),10000-ROW(),"")</f>
        <v/>
      </c>
    </row>
    <row r="3092">
      <c r="A3092" s="3">
        <f>IF(D3092="","","TT-"&amp;TEXT(ROW()-1,"00000"))</f>
        <v/>
      </c>
      <c r="B3092" s="3">
        <f>IF(D3092="","",IF(V3092=0,"CONCLUÍDO",IF(D3092&lt;corte,"HISTÓRICO",IF(OR(AND(ISNUMBER(R3092),R3092&lt;TODAY()),AND(OR(N3092="PENDENTE",N3092="PARCIAL"),D3092&lt;TODAY()-1)),"CRÍTICO",IF(OR(AND(P3092&lt;&gt;"",S3092=""),AND(N3092="REALIZADO",M3092="PENDENTE"),AND(ISNUMBER(R3092),R3092=TODAY())),"ATENÇÃO",IF(N(K3092)=0,"PENDENTE","EM ANDAMENTO"))))))</f>
        <v/>
      </c>
      <c r="C3092" s="3">
        <f>IF(D3092="","",IF(V3092=0,"🟢 OK",IF(D3092&lt;corte,"⚪ HISTÓRICO (sem baixa)",IF(AND(ISNUMBER(R3092),R3092&lt;TODAY()),"🔴 PRAZO VENCIDO",IF(AND(OR(N3092="PENDENTE",N3092="PARCIAL"),D3092&lt;TODAY()-1),"🔴 EMBARQUE ATRASADO",IF(AND(N3092="REALIZADO",M3092="PENDENTE"),"🟡 EMBARCADO SEM FATURAR",IF(AND(P3092&lt;&gt;"",S3092="",OR(Q3092="",R3092="")),"🟡 PENDÊNCIA SEM RESPONSÁVEL/PRAZO",IF(AND(ISNUMBER(R3092),R3092=TODAY()),"🟡 VENCE HOJE",IF(AND(P3092&lt;&gt;"",S3092=""),"🟡 PENDÊNCIA ABERTA",IF(AND(N(J3092)&gt;0,N(K3092)&lt;J3092),"🟡 FALTA EXECUTAR",IF(OR(M3092="PENDENTE",M3092="PARCIAL"),"🟡 FATURAMENTO PENDENTE","🟡 EMBARQUE PENDENTE")))))))))))</f>
        <v/>
      </c>
      <c r="D3092" s="4" t="n"/>
      <c r="E3092" s="5" t="n"/>
      <c r="F3092" s="5" t="n"/>
      <c r="G3092" s="5" t="n"/>
      <c r="H3092" s="5" t="n"/>
      <c r="I3092" s="5" t="n"/>
      <c r="J3092" s="6" t="n"/>
      <c r="K3092" s="6" t="n"/>
      <c r="L3092" s="7">
        <f>IF(OR(D3092="",N(J3092)=0),"",MIN(1,N(K3092)/J3092))</f>
        <v/>
      </c>
      <c r="M3092" s="5" t="n"/>
      <c r="N3092" s="5" t="n"/>
      <c r="O3092" s="5" t="n"/>
      <c r="P3092" s="5" t="n"/>
      <c r="Q3092" s="5" t="n"/>
      <c r="R3092" s="4" t="n"/>
      <c r="S3092" s="4" t="n"/>
      <c r="T3092" s="5" t="n"/>
      <c r="U3092" s="8">
        <f>IF(AND(V3092=1,D3092&lt;&gt;""),IF(D3092&gt;=corte,TODAY()-D3092,""),"")</f>
        <v/>
      </c>
      <c r="V3092" s="8">
        <f>IF(D3092="",0,IF(OR(AND(P3092&lt;&gt;"",S3092=""),AND(N(J3092)&gt;0,N(K3092)&lt;J3092),OR(M3092="PENDENTE",M3092="PARCIAL"),OR(N3092="PENDENTE",N3092="PARCIAL")),1,0))</f>
        <v/>
      </c>
      <c r="W3092" s="8">
        <f>IF(AND(V3092=1,D3092&lt;&gt;""),IF(D3092&gt;=corte,(B3092="CRÍTICO")*1E9+(100000-D3092)*10000+10000-ROW(),""),"")</f>
        <v/>
      </c>
      <c r="X3092" s="8">
        <f>IF(AND(V3092=1,D3092=pas_data,E3092=pas_turno),10000-ROW(),"")</f>
        <v/>
      </c>
    </row>
    <row r="3093">
      <c r="A3093" s="3">
        <f>IF(D3093="","","TT-"&amp;TEXT(ROW()-1,"00000"))</f>
        <v/>
      </c>
      <c r="B3093" s="3">
        <f>IF(D3093="","",IF(V3093=0,"CONCLUÍDO",IF(D3093&lt;corte,"HISTÓRICO",IF(OR(AND(ISNUMBER(R3093),R3093&lt;TODAY()),AND(OR(N3093="PENDENTE",N3093="PARCIAL"),D3093&lt;TODAY()-1)),"CRÍTICO",IF(OR(AND(P3093&lt;&gt;"",S3093=""),AND(N3093="REALIZADO",M3093="PENDENTE"),AND(ISNUMBER(R3093),R3093=TODAY())),"ATENÇÃO",IF(N(K3093)=0,"PENDENTE","EM ANDAMENTO"))))))</f>
        <v/>
      </c>
      <c r="C3093" s="3">
        <f>IF(D3093="","",IF(V3093=0,"🟢 OK",IF(D3093&lt;corte,"⚪ HISTÓRICO (sem baixa)",IF(AND(ISNUMBER(R3093),R3093&lt;TODAY()),"🔴 PRAZO VENCIDO",IF(AND(OR(N3093="PENDENTE",N3093="PARCIAL"),D3093&lt;TODAY()-1),"🔴 EMBARQUE ATRASADO",IF(AND(N3093="REALIZADO",M3093="PENDENTE"),"🟡 EMBARCADO SEM FATURAR",IF(AND(P3093&lt;&gt;"",S3093="",OR(Q3093="",R3093="")),"🟡 PENDÊNCIA SEM RESPONSÁVEL/PRAZO",IF(AND(ISNUMBER(R3093),R3093=TODAY()),"🟡 VENCE HOJE",IF(AND(P3093&lt;&gt;"",S3093=""),"🟡 PENDÊNCIA ABERTA",IF(AND(N(J3093)&gt;0,N(K3093)&lt;J3093),"🟡 FALTA EXECUTAR",IF(OR(M3093="PENDENTE",M3093="PARCIAL"),"🟡 FATURAMENTO PENDENTE","🟡 EMBARQUE PENDENTE")))))))))))</f>
        <v/>
      </c>
      <c r="D3093" s="4" t="n"/>
      <c r="E3093" s="5" t="n"/>
      <c r="F3093" s="5" t="n"/>
      <c r="G3093" s="5" t="n"/>
      <c r="H3093" s="5" t="n"/>
      <c r="I3093" s="5" t="n"/>
      <c r="J3093" s="6" t="n"/>
      <c r="K3093" s="6" t="n"/>
      <c r="L3093" s="7">
        <f>IF(OR(D3093="",N(J3093)=0),"",MIN(1,N(K3093)/J3093))</f>
        <v/>
      </c>
      <c r="M3093" s="5" t="n"/>
      <c r="N3093" s="5" t="n"/>
      <c r="O3093" s="5" t="n"/>
      <c r="P3093" s="5" t="n"/>
      <c r="Q3093" s="5" t="n"/>
      <c r="R3093" s="4" t="n"/>
      <c r="S3093" s="4" t="n"/>
      <c r="T3093" s="5" t="n"/>
      <c r="U3093" s="8">
        <f>IF(AND(V3093=1,D3093&lt;&gt;""),IF(D3093&gt;=corte,TODAY()-D3093,""),"")</f>
        <v/>
      </c>
      <c r="V3093" s="8">
        <f>IF(D3093="",0,IF(OR(AND(P3093&lt;&gt;"",S3093=""),AND(N(J3093)&gt;0,N(K3093)&lt;J3093),OR(M3093="PENDENTE",M3093="PARCIAL"),OR(N3093="PENDENTE",N3093="PARCIAL")),1,0))</f>
        <v/>
      </c>
      <c r="W3093" s="8">
        <f>IF(AND(V3093=1,D3093&lt;&gt;""),IF(D3093&gt;=corte,(B3093="CRÍTICO")*1E9+(100000-D3093)*10000+10000-ROW(),""),"")</f>
        <v/>
      </c>
      <c r="X3093" s="8">
        <f>IF(AND(V3093=1,D3093=pas_data,E3093=pas_turno),10000-ROW(),"")</f>
        <v/>
      </c>
    </row>
    <row r="3094">
      <c r="A3094" s="3">
        <f>IF(D3094="","","TT-"&amp;TEXT(ROW()-1,"00000"))</f>
        <v/>
      </c>
      <c r="B3094" s="3">
        <f>IF(D3094="","",IF(V3094=0,"CONCLUÍDO",IF(D3094&lt;corte,"HISTÓRICO",IF(OR(AND(ISNUMBER(R3094),R3094&lt;TODAY()),AND(OR(N3094="PENDENTE",N3094="PARCIAL"),D3094&lt;TODAY()-1)),"CRÍTICO",IF(OR(AND(P3094&lt;&gt;"",S3094=""),AND(N3094="REALIZADO",M3094="PENDENTE"),AND(ISNUMBER(R3094),R3094=TODAY())),"ATENÇÃO",IF(N(K3094)=0,"PENDENTE","EM ANDAMENTO"))))))</f>
        <v/>
      </c>
      <c r="C3094" s="3">
        <f>IF(D3094="","",IF(V3094=0,"🟢 OK",IF(D3094&lt;corte,"⚪ HISTÓRICO (sem baixa)",IF(AND(ISNUMBER(R3094),R3094&lt;TODAY()),"🔴 PRAZO VENCIDO",IF(AND(OR(N3094="PENDENTE",N3094="PARCIAL"),D3094&lt;TODAY()-1),"🔴 EMBARQUE ATRASADO",IF(AND(N3094="REALIZADO",M3094="PENDENTE"),"🟡 EMBARCADO SEM FATURAR",IF(AND(P3094&lt;&gt;"",S3094="",OR(Q3094="",R3094="")),"🟡 PENDÊNCIA SEM RESPONSÁVEL/PRAZO",IF(AND(ISNUMBER(R3094),R3094=TODAY()),"🟡 VENCE HOJE",IF(AND(P3094&lt;&gt;"",S3094=""),"🟡 PENDÊNCIA ABERTA",IF(AND(N(J3094)&gt;0,N(K3094)&lt;J3094),"🟡 FALTA EXECUTAR",IF(OR(M3094="PENDENTE",M3094="PARCIAL"),"🟡 FATURAMENTO PENDENTE","🟡 EMBARQUE PENDENTE")))))))))))</f>
        <v/>
      </c>
      <c r="D3094" s="4" t="n"/>
      <c r="E3094" s="5" t="n"/>
      <c r="F3094" s="5" t="n"/>
      <c r="G3094" s="5" t="n"/>
      <c r="H3094" s="5" t="n"/>
      <c r="I3094" s="5" t="n"/>
      <c r="J3094" s="6" t="n"/>
      <c r="K3094" s="6" t="n"/>
      <c r="L3094" s="7">
        <f>IF(OR(D3094="",N(J3094)=0),"",MIN(1,N(K3094)/J3094))</f>
        <v/>
      </c>
      <c r="M3094" s="5" t="n"/>
      <c r="N3094" s="5" t="n"/>
      <c r="O3094" s="5" t="n"/>
      <c r="P3094" s="5" t="n"/>
      <c r="Q3094" s="5" t="n"/>
      <c r="R3094" s="4" t="n"/>
      <c r="S3094" s="4" t="n"/>
      <c r="T3094" s="5" t="n"/>
      <c r="U3094" s="8">
        <f>IF(AND(V3094=1,D3094&lt;&gt;""),IF(D3094&gt;=corte,TODAY()-D3094,""),"")</f>
        <v/>
      </c>
      <c r="V3094" s="8">
        <f>IF(D3094="",0,IF(OR(AND(P3094&lt;&gt;"",S3094=""),AND(N(J3094)&gt;0,N(K3094)&lt;J3094),OR(M3094="PENDENTE",M3094="PARCIAL"),OR(N3094="PENDENTE",N3094="PARCIAL")),1,0))</f>
        <v/>
      </c>
      <c r="W3094" s="8">
        <f>IF(AND(V3094=1,D3094&lt;&gt;""),IF(D3094&gt;=corte,(B3094="CRÍTICO")*1E9+(100000-D3094)*10000+10000-ROW(),""),"")</f>
        <v/>
      </c>
      <c r="X3094" s="8">
        <f>IF(AND(V3094=1,D3094=pas_data,E3094=pas_turno),10000-ROW(),"")</f>
        <v/>
      </c>
    </row>
    <row r="3095">
      <c r="A3095" s="3">
        <f>IF(D3095="","","TT-"&amp;TEXT(ROW()-1,"00000"))</f>
        <v/>
      </c>
      <c r="B3095" s="3">
        <f>IF(D3095="","",IF(V3095=0,"CONCLUÍDO",IF(D3095&lt;corte,"HISTÓRICO",IF(OR(AND(ISNUMBER(R3095),R3095&lt;TODAY()),AND(OR(N3095="PENDENTE",N3095="PARCIAL"),D3095&lt;TODAY()-1)),"CRÍTICO",IF(OR(AND(P3095&lt;&gt;"",S3095=""),AND(N3095="REALIZADO",M3095="PENDENTE"),AND(ISNUMBER(R3095),R3095=TODAY())),"ATENÇÃO",IF(N(K3095)=0,"PENDENTE","EM ANDAMENTO"))))))</f>
        <v/>
      </c>
      <c r="C3095" s="3">
        <f>IF(D3095="","",IF(V3095=0,"🟢 OK",IF(D3095&lt;corte,"⚪ HISTÓRICO (sem baixa)",IF(AND(ISNUMBER(R3095),R3095&lt;TODAY()),"🔴 PRAZO VENCIDO",IF(AND(OR(N3095="PENDENTE",N3095="PARCIAL"),D3095&lt;TODAY()-1),"🔴 EMBARQUE ATRASADO",IF(AND(N3095="REALIZADO",M3095="PENDENTE"),"🟡 EMBARCADO SEM FATURAR",IF(AND(P3095&lt;&gt;"",S3095="",OR(Q3095="",R3095="")),"🟡 PENDÊNCIA SEM RESPONSÁVEL/PRAZO",IF(AND(ISNUMBER(R3095),R3095=TODAY()),"🟡 VENCE HOJE",IF(AND(P3095&lt;&gt;"",S3095=""),"🟡 PENDÊNCIA ABERTA",IF(AND(N(J3095)&gt;0,N(K3095)&lt;J3095),"🟡 FALTA EXECUTAR",IF(OR(M3095="PENDENTE",M3095="PARCIAL"),"🟡 FATURAMENTO PENDENTE","🟡 EMBARQUE PENDENTE")))))))))))</f>
        <v/>
      </c>
      <c r="D3095" s="4" t="n"/>
      <c r="E3095" s="5" t="n"/>
      <c r="F3095" s="5" t="n"/>
      <c r="G3095" s="5" t="n"/>
      <c r="H3095" s="5" t="n"/>
      <c r="I3095" s="5" t="n"/>
      <c r="J3095" s="6" t="n"/>
      <c r="K3095" s="6" t="n"/>
      <c r="L3095" s="7">
        <f>IF(OR(D3095="",N(J3095)=0),"",MIN(1,N(K3095)/J3095))</f>
        <v/>
      </c>
      <c r="M3095" s="5" t="n"/>
      <c r="N3095" s="5" t="n"/>
      <c r="O3095" s="5" t="n"/>
      <c r="P3095" s="5" t="n"/>
      <c r="Q3095" s="5" t="n"/>
      <c r="R3095" s="4" t="n"/>
      <c r="S3095" s="4" t="n"/>
      <c r="T3095" s="5" t="n"/>
      <c r="U3095" s="8">
        <f>IF(AND(V3095=1,D3095&lt;&gt;""),IF(D3095&gt;=corte,TODAY()-D3095,""),"")</f>
        <v/>
      </c>
      <c r="V3095" s="8">
        <f>IF(D3095="",0,IF(OR(AND(P3095&lt;&gt;"",S3095=""),AND(N(J3095)&gt;0,N(K3095)&lt;J3095),OR(M3095="PENDENTE",M3095="PARCIAL"),OR(N3095="PENDENTE",N3095="PARCIAL")),1,0))</f>
        <v/>
      </c>
      <c r="W3095" s="8">
        <f>IF(AND(V3095=1,D3095&lt;&gt;""),IF(D3095&gt;=corte,(B3095="CRÍTICO")*1E9+(100000-D3095)*10000+10000-ROW(),""),"")</f>
        <v/>
      </c>
      <c r="X3095" s="8">
        <f>IF(AND(V3095=1,D3095=pas_data,E3095=pas_turno),10000-ROW(),"")</f>
        <v/>
      </c>
    </row>
    <row r="3096">
      <c r="A3096" s="3">
        <f>IF(D3096="","","TT-"&amp;TEXT(ROW()-1,"00000"))</f>
        <v/>
      </c>
      <c r="B3096" s="3">
        <f>IF(D3096="","",IF(V3096=0,"CONCLUÍDO",IF(D3096&lt;corte,"HISTÓRICO",IF(OR(AND(ISNUMBER(R3096),R3096&lt;TODAY()),AND(OR(N3096="PENDENTE",N3096="PARCIAL"),D3096&lt;TODAY()-1)),"CRÍTICO",IF(OR(AND(P3096&lt;&gt;"",S3096=""),AND(N3096="REALIZADO",M3096="PENDENTE"),AND(ISNUMBER(R3096),R3096=TODAY())),"ATENÇÃO",IF(N(K3096)=0,"PENDENTE","EM ANDAMENTO"))))))</f>
        <v/>
      </c>
      <c r="C3096" s="3">
        <f>IF(D3096="","",IF(V3096=0,"🟢 OK",IF(D3096&lt;corte,"⚪ HISTÓRICO (sem baixa)",IF(AND(ISNUMBER(R3096),R3096&lt;TODAY()),"🔴 PRAZO VENCIDO",IF(AND(OR(N3096="PENDENTE",N3096="PARCIAL"),D3096&lt;TODAY()-1),"🔴 EMBARQUE ATRASADO",IF(AND(N3096="REALIZADO",M3096="PENDENTE"),"🟡 EMBARCADO SEM FATURAR",IF(AND(P3096&lt;&gt;"",S3096="",OR(Q3096="",R3096="")),"🟡 PENDÊNCIA SEM RESPONSÁVEL/PRAZO",IF(AND(ISNUMBER(R3096),R3096=TODAY()),"🟡 VENCE HOJE",IF(AND(P3096&lt;&gt;"",S3096=""),"🟡 PENDÊNCIA ABERTA",IF(AND(N(J3096)&gt;0,N(K3096)&lt;J3096),"🟡 FALTA EXECUTAR",IF(OR(M3096="PENDENTE",M3096="PARCIAL"),"🟡 FATURAMENTO PENDENTE","🟡 EMBARQUE PENDENTE")))))))))))</f>
        <v/>
      </c>
      <c r="D3096" s="4" t="n"/>
      <c r="E3096" s="5" t="n"/>
      <c r="F3096" s="5" t="n"/>
      <c r="G3096" s="5" t="n"/>
      <c r="H3096" s="5" t="n"/>
      <c r="I3096" s="5" t="n"/>
      <c r="J3096" s="6" t="n"/>
      <c r="K3096" s="6" t="n"/>
      <c r="L3096" s="7">
        <f>IF(OR(D3096="",N(J3096)=0),"",MIN(1,N(K3096)/J3096))</f>
        <v/>
      </c>
      <c r="M3096" s="5" t="n"/>
      <c r="N3096" s="5" t="n"/>
      <c r="O3096" s="5" t="n"/>
      <c r="P3096" s="5" t="n"/>
      <c r="Q3096" s="5" t="n"/>
      <c r="R3096" s="4" t="n"/>
      <c r="S3096" s="4" t="n"/>
      <c r="T3096" s="5" t="n"/>
      <c r="U3096" s="8">
        <f>IF(AND(V3096=1,D3096&lt;&gt;""),IF(D3096&gt;=corte,TODAY()-D3096,""),"")</f>
        <v/>
      </c>
      <c r="V3096" s="8">
        <f>IF(D3096="",0,IF(OR(AND(P3096&lt;&gt;"",S3096=""),AND(N(J3096)&gt;0,N(K3096)&lt;J3096),OR(M3096="PENDENTE",M3096="PARCIAL"),OR(N3096="PENDENTE",N3096="PARCIAL")),1,0))</f>
        <v/>
      </c>
      <c r="W3096" s="8">
        <f>IF(AND(V3096=1,D3096&lt;&gt;""),IF(D3096&gt;=corte,(B3096="CRÍTICO")*1E9+(100000-D3096)*10000+10000-ROW(),""),"")</f>
        <v/>
      </c>
      <c r="X3096" s="8">
        <f>IF(AND(V3096=1,D3096=pas_data,E3096=pas_turno),10000-ROW(),"")</f>
        <v/>
      </c>
    </row>
    <row r="3097">
      <c r="A3097" s="3">
        <f>IF(D3097="","","TT-"&amp;TEXT(ROW()-1,"00000"))</f>
        <v/>
      </c>
      <c r="B3097" s="3">
        <f>IF(D3097="","",IF(V3097=0,"CONCLUÍDO",IF(D3097&lt;corte,"HISTÓRICO",IF(OR(AND(ISNUMBER(R3097),R3097&lt;TODAY()),AND(OR(N3097="PENDENTE",N3097="PARCIAL"),D3097&lt;TODAY()-1)),"CRÍTICO",IF(OR(AND(P3097&lt;&gt;"",S3097=""),AND(N3097="REALIZADO",M3097="PENDENTE"),AND(ISNUMBER(R3097),R3097=TODAY())),"ATENÇÃO",IF(N(K3097)=0,"PENDENTE","EM ANDAMENTO"))))))</f>
        <v/>
      </c>
      <c r="C3097" s="3">
        <f>IF(D3097="","",IF(V3097=0,"🟢 OK",IF(D3097&lt;corte,"⚪ HISTÓRICO (sem baixa)",IF(AND(ISNUMBER(R3097),R3097&lt;TODAY()),"🔴 PRAZO VENCIDO",IF(AND(OR(N3097="PENDENTE",N3097="PARCIAL"),D3097&lt;TODAY()-1),"🔴 EMBARQUE ATRASADO",IF(AND(N3097="REALIZADO",M3097="PENDENTE"),"🟡 EMBARCADO SEM FATURAR",IF(AND(P3097&lt;&gt;"",S3097="",OR(Q3097="",R3097="")),"🟡 PENDÊNCIA SEM RESPONSÁVEL/PRAZO",IF(AND(ISNUMBER(R3097),R3097=TODAY()),"🟡 VENCE HOJE",IF(AND(P3097&lt;&gt;"",S3097=""),"🟡 PENDÊNCIA ABERTA",IF(AND(N(J3097)&gt;0,N(K3097)&lt;J3097),"🟡 FALTA EXECUTAR",IF(OR(M3097="PENDENTE",M3097="PARCIAL"),"🟡 FATURAMENTO PENDENTE","🟡 EMBARQUE PENDENTE")))))))))))</f>
        <v/>
      </c>
      <c r="D3097" s="4" t="n"/>
      <c r="E3097" s="5" t="n"/>
      <c r="F3097" s="5" t="n"/>
      <c r="G3097" s="5" t="n"/>
      <c r="H3097" s="5" t="n"/>
      <c r="I3097" s="5" t="n"/>
      <c r="J3097" s="6" t="n"/>
      <c r="K3097" s="6" t="n"/>
      <c r="L3097" s="7">
        <f>IF(OR(D3097="",N(J3097)=0),"",MIN(1,N(K3097)/J3097))</f>
        <v/>
      </c>
      <c r="M3097" s="5" t="n"/>
      <c r="N3097" s="5" t="n"/>
      <c r="O3097" s="5" t="n"/>
      <c r="P3097" s="5" t="n"/>
      <c r="Q3097" s="5" t="n"/>
      <c r="R3097" s="4" t="n"/>
      <c r="S3097" s="4" t="n"/>
      <c r="T3097" s="5" t="n"/>
      <c r="U3097" s="8">
        <f>IF(AND(V3097=1,D3097&lt;&gt;""),IF(D3097&gt;=corte,TODAY()-D3097,""),"")</f>
        <v/>
      </c>
      <c r="V3097" s="8">
        <f>IF(D3097="",0,IF(OR(AND(P3097&lt;&gt;"",S3097=""),AND(N(J3097)&gt;0,N(K3097)&lt;J3097),OR(M3097="PENDENTE",M3097="PARCIAL"),OR(N3097="PENDENTE",N3097="PARCIAL")),1,0))</f>
        <v/>
      </c>
      <c r="W3097" s="8">
        <f>IF(AND(V3097=1,D3097&lt;&gt;""),IF(D3097&gt;=corte,(B3097="CRÍTICO")*1E9+(100000-D3097)*10000+10000-ROW(),""),"")</f>
        <v/>
      </c>
      <c r="X3097" s="8">
        <f>IF(AND(V3097=1,D3097=pas_data,E3097=pas_turno),10000-ROW(),"")</f>
        <v/>
      </c>
    </row>
    <row r="3098">
      <c r="A3098" s="3">
        <f>IF(D3098="","","TT-"&amp;TEXT(ROW()-1,"00000"))</f>
        <v/>
      </c>
      <c r="B3098" s="3">
        <f>IF(D3098="","",IF(V3098=0,"CONCLUÍDO",IF(D3098&lt;corte,"HISTÓRICO",IF(OR(AND(ISNUMBER(R3098),R3098&lt;TODAY()),AND(OR(N3098="PENDENTE",N3098="PARCIAL"),D3098&lt;TODAY()-1)),"CRÍTICO",IF(OR(AND(P3098&lt;&gt;"",S3098=""),AND(N3098="REALIZADO",M3098="PENDENTE"),AND(ISNUMBER(R3098),R3098=TODAY())),"ATENÇÃO",IF(N(K3098)=0,"PENDENTE","EM ANDAMENTO"))))))</f>
        <v/>
      </c>
      <c r="C3098" s="3">
        <f>IF(D3098="","",IF(V3098=0,"🟢 OK",IF(D3098&lt;corte,"⚪ HISTÓRICO (sem baixa)",IF(AND(ISNUMBER(R3098),R3098&lt;TODAY()),"🔴 PRAZO VENCIDO",IF(AND(OR(N3098="PENDENTE",N3098="PARCIAL"),D3098&lt;TODAY()-1),"🔴 EMBARQUE ATRASADO",IF(AND(N3098="REALIZADO",M3098="PENDENTE"),"🟡 EMBARCADO SEM FATURAR",IF(AND(P3098&lt;&gt;"",S3098="",OR(Q3098="",R3098="")),"🟡 PENDÊNCIA SEM RESPONSÁVEL/PRAZO",IF(AND(ISNUMBER(R3098),R3098=TODAY()),"🟡 VENCE HOJE",IF(AND(P3098&lt;&gt;"",S3098=""),"🟡 PENDÊNCIA ABERTA",IF(AND(N(J3098)&gt;0,N(K3098)&lt;J3098),"🟡 FALTA EXECUTAR",IF(OR(M3098="PENDENTE",M3098="PARCIAL"),"🟡 FATURAMENTO PENDENTE","🟡 EMBARQUE PENDENTE")))))))))))</f>
        <v/>
      </c>
      <c r="D3098" s="4" t="n"/>
      <c r="E3098" s="5" t="n"/>
      <c r="F3098" s="5" t="n"/>
      <c r="G3098" s="5" t="n"/>
      <c r="H3098" s="5" t="n"/>
      <c r="I3098" s="5" t="n"/>
      <c r="J3098" s="6" t="n"/>
      <c r="K3098" s="6" t="n"/>
      <c r="L3098" s="7">
        <f>IF(OR(D3098="",N(J3098)=0),"",MIN(1,N(K3098)/J3098))</f>
        <v/>
      </c>
      <c r="M3098" s="5" t="n"/>
      <c r="N3098" s="5" t="n"/>
      <c r="O3098" s="5" t="n"/>
      <c r="P3098" s="5" t="n"/>
      <c r="Q3098" s="5" t="n"/>
      <c r="R3098" s="4" t="n"/>
      <c r="S3098" s="4" t="n"/>
      <c r="T3098" s="5" t="n"/>
      <c r="U3098" s="8">
        <f>IF(AND(V3098=1,D3098&lt;&gt;""),IF(D3098&gt;=corte,TODAY()-D3098,""),"")</f>
        <v/>
      </c>
      <c r="V3098" s="8">
        <f>IF(D3098="",0,IF(OR(AND(P3098&lt;&gt;"",S3098=""),AND(N(J3098)&gt;0,N(K3098)&lt;J3098),OR(M3098="PENDENTE",M3098="PARCIAL"),OR(N3098="PENDENTE",N3098="PARCIAL")),1,0))</f>
        <v/>
      </c>
      <c r="W3098" s="8">
        <f>IF(AND(V3098=1,D3098&lt;&gt;""),IF(D3098&gt;=corte,(B3098="CRÍTICO")*1E9+(100000-D3098)*10000+10000-ROW(),""),"")</f>
        <v/>
      </c>
      <c r="X3098" s="8">
        <f>IF(AND(V3098=1,D3098=pas_data,E3098=pas_turno),10000-ROW(),"")</f>
        <v/>
      </c>
    </row>
    <row r="3099">
      <c r="A3099" s="3">
        <f>IF(D3099="","","TT-"&amp;TEXT(ROW()-1,"00000"))</f>
        <v/>
      </c>
      <c r="B3099" s="3">
        <f>IF(D3099="","",IF(V3099=0,"CONCLUÍDO",IF(D3099&lt;corte,"HISTÓRICO",IF(OR(AND(ISNUMBER(R3099),R3099&lt;TODAY()),AND(OR(N3099="PENDENTE",N3099="PARCIAL"),D3099&lt;TODAY()-1)),"CRÍTICO",IF(OR(AND(P3099&lt;&gt;"",S3099=""),AND(N3099="REALIZADO",M3099="PENDENTE"),AND(ISNUMBER(R3099),R3099=TODAY())),"ATENÇÃO",IF(N(K3099)=0,"PENDENTE","EM ANDAMENTO"))))))</f>
        <v/>
      </c>
      <c r="C3099" s="3">
        <f>IF(D3099="","",IF(V3099=0,"🟢 OK",IF(D3099&lt;corte,"⚪ HISTÓRICO (sem baixa)",IF(AND(ISNUMBER(R3099),R3099&lt;TODAY()),"🔴 PRAZO VENCIDO",IF(AND(OR(N3099="PENDENTE",N3099="PARCIAL"),D3099&lt;TODAY()-1),"🔴 EMBARQUE ATRASADO",IF(AND(N3099="REALIZADO",M3099="PENDENTE"),"🟡 EMBARCADO SEM FATURAR",IF(AND(P3099&lt;&gt;"",S3099="",OR(Q3099="",R3099="")),"🟡 PENDÊNCIA SEM RESPONSÁVEL/PRAZO",IF(AND(ISNUMBER(R3099),R3099=TODAY()),"🟡 VENCE HOJE",IF(AND(P3099&lt;&gt;"",S3099=""),"🟡 PENDÊNCIA ABERTA",IF(AND(N(J3099)&gt;0,N(K3099)&lt;J3099),"🟡 FALTA EXECUTAR",IF(OR(M3099="PENDENTE",M3099="PARCIAL"),"🟡 FATURAMENTO PENDENTE","🟡 EMBARQUE PENDENTE")))))))))))</f>
        <v/>
      </c>
      <c r="D3099" s="4" t="n"/>
      <c r="E3099" s="5" t="n"/>
      <c r="F3099" s="5" t="n"/>
      <c r="G3099" s="5" t="n"/>
      <c r="H3099" s="5" t="n"/>
      <c r="I3099" s="5" t="n"/>
      <c r="J3099" s="6" t="n"/>
      <c r="K3099" s="6" t="n"/>
      <c r="L3099" s="7">
        <f>IF(OR(D3099="",N(J3099)=0),"",MIN(1,N(K3099)/J3099))</f>
        <v/>
      </c>
      <c r="M3099" s="5" t="n"/>
      <c r="N3099" s="5" t="n"/>
      <c r="O3099" s="5" t="n"/>
      <c r="P3099" s="5" t="n"/>
      <c r="Q3099" s="5" t="n"/>
      <c r="R3099" s="4" t="n"/>
      <c r="S3099" s="4" t="n"/>
      <c r="T3099" s="5" t="n"/>
      <c r="U3099" s="8">
        <f>IF(AND(V3099=1,D3099&lt;&gt;""),IF(D3099&gt;=corte,TODAY()-D3099,""),"")</f>
        <v/>
      </c>
      <c r="V3099" s="8">
        <f>IF(D3099="",0,IF(OR(AND(P3099&lt;&gt;"",S3099=""),AND(N(J3099)&gt;0,N(K3099)&lt;J3099),OR(M3099="PENDENTE",M3099="PARCIAL"),OR(N3099="PENDENTE",N3099="PARCIAL")),1,0))</f>
        <v/>
      </c>
      <c r="W3099" s="8">
        <f>IF(AND(V3099=1,D3099&lt;&gt;""),IF(D3099&gt;=corte,(B3099="CRÍTICO")*1E9+(100000-D3099)*10000+10000-ROW(),""),"")</f>
        <v/>
      </c>
      <c r="X3099" s="8">
        <f>IF(AND(V3099=1,D3099=pas_data,E3099=pas_turno),10000-ROW(),"")</f>
        <v/>
      </c>
    </row>
    <row r="3100">
      <c r="A3100" s="3">
        <f>IF(D3100="","","TT-"&amp;TEXT(ROW()-1,"00000"))</f>
        <v/>
      </c>
      <c r="B3100" s="3">
        <f>IF(D3100="","",IF(V3100=0,"CONCLUÍDO",IF(D3100&lt;corte,"HISTÓRICO",IF(OR(AND(ISNUMBER(R3100),R3100&lt;TODAY()),AND(OR(N3100="PENDENTE",N3100="PARCIAL"),D3100&lt;TODAY()-1)),"CRÍTICO",IF(OR(AND(P3100&lt;&gt;"",S3100=""),AND(N3100="REALIZADO",M3100="PENDENTE"),AND(ISNUMBER(R3100),R3100=TODAY())),"ATENÇÃO",IF(N(K3100)=0,"PENDENTE","EM ANDAMENTO"))))))</f>
        <v/>
      </c>
      <c r="C3100" s="3">
        <f>IF(D3100="","",IF(V3100=0,"🟢 OK",IF(D3100&lt;corte,"⚪ HISTÓRICO (sem baixa)",IF(AND(ISNUMBER(R3100),R3100&lt;TODAY()),"🔴 PRAZO VENCIDO",IF(AND(OR(N3100="PENDENTE",N3100="PARCIAL"),D3100&lt;TODAY()-1),"🔴 EMBARQUE ATRASADO",IF(AND(N3100="REALIZADO",M3100="PENDENTE"),"🟡 EMBARCADO SEM FATURAR",IF(AND(P3100&lt;&gt;"",S3100="",OR(Q3100="",R3100="")),"🟡 PENDÊNCIA SEM RESPONSÁVEL/PRAZO",IF(AND(ISNUMBER(R3100),R3100=TODAY()),"🟡 VENCE HOJE",IF(AND(P3100&lt;&gt;"",S3100=""),"🟡 PENDÊNCIA ABERTA",IF(AND(N(J3100)&gt;0,N(K3100)&lt;J3100),"🟡 FALTA EXECUTAR",IF(OR(M3100="PENDENTE",M3100="PARCIAL"),"🟡 FATURAMENTO PENDENTE","🟡 EMBARQUE PENDENTE")))))))))))</f>
        <v/>
      </c>
      <c r="D3100" s="4" t="n"/>
      <c r="E3100" s="5" t="n"/>
      <c r="F3100" s="5" t="n"/>
      <c r="G3100" s="5" t="n"/>
      <c r="H3100" s="5" t="n"/>
      <c r="I3100" s="5" t="n"/>
      <c r="J3100" s="6" t="n"/>
      <c r="K3100" s="6" t="n"/>
      <c r="L3100" s="7">
        <f>IF(OR(D3100="",N(J3100)=0),"",MIN(1,N(K3100)/J3100))</f>
        <v/>
      </c>
      <c r="M3100" s="5" t="n"/>
      <c r="N3100" s="5" t="n"/>
      <c r="O3100" s="5" t="n"/>
      <c r="P3100" s="5" t="n"/>
      <c r="Q3100" s="5" t="n"/>
      <c r="R3100" s="4" t="n"/>
      <c r="S3100" s="4" t="n"/>
      <c r="T3100" s="5" t="n"/>
      <c r="U3100" s="8">
        <f>IF(AND(V3100=1,D3100&lt;&gt;""),IF(D3100&gt;=corte,TODAY()-D3100,""),"")</f>
        <v/>
      </c>
      <c r="V3100" s="8">
        <f>IF(D3100="",0,IF(OR(AND(P3100&lt;&gt;"",S3100=""),AND(N(J3100)&gt;0,N(K3100)&lt;J3100),OR(M3100="PENDENTE",M3100="PARCIAL"),OR(N3100="PENDENTE",N3100="PARCIAL")),1,0))</f>
        <v/>
      </c>
      <c r="W3100" s="8">
        <f>IF(AND(V3100=1,D3100&lt;&gt;""),IF(D3100&gt;=corte,(B3100="CRÍTICO")*1E9+(100000-D3100)*10000+10000-ROW(),""),"")</f>
        <v/>
      </c>
      <c r="X3100" s="8">
        <f>IF(AND(V3100=1,D3100=pas_data,E3100=pas_turno),10000-ROW(),"")</f>
        <v/>
      </c>
    </row>
    <row r="3101">
      <c r="A3101" s="3">
        <f>IF(D3101="","","TT-"&amp;TEXT(ROW()-1,"00000"))</f>
        <v/>
      </c>
      <c r="B3101" s="3">
        <f>IF(D3101="","",IF(V3101=0,"CONCLUÍDO",IF(D3101&lt;corte,"HISTÓRICO",IF(OR(AND(ISNUMBER(R3101),R3101&lt;TODAY()),AND(OR(N3101="PENDENTE",N3101="PARCIAL"),D3101&lt;TODAY()-1)),"CRÍTICO",IF(OR(AND(P3101&lt;&gt;"",S3101=""),AND(N3101="REALIZADO",M3101="PENDENTE"),AND(ISNUMBER(R3101),R3101=TODAY())),"ATENÇÃO",IF(N(K3101)=0,"PENDENTE","EM ANDAMENTO"))))))</f>
        <v/>
      </c>
      <c r="C3101" s="3">
        <f>IF(D3101="","",IF(V3101=0,"🟢 OK",IF(D3101&lt;corte,"⚪ HISTÓRICO (sem baixa)",IF(AND(ISNUMBER(R3101),R3101&lt;TODAY()),"🔴 PRAZO VENCIDO",IF(AND(OR(N3101="PENDENTE",N3101="PARCIAL"),D3101&lt;TODAY()-1),"🔴 EMBARQUE ATRASADO",IF(AND(N3101="REALIZADO",M3101="PENDENTE"),"🟡 EMBARCADO SEM FATURAR",IF(AND(P3101&lt;&gt;"",S3101="",OR(Q3101="",R3101="")),"🟡 PENDÊNCIA SEM RESPONSÁVEL/PRAZO",IF(AND(ISNUMBER(R3101),R3101=TODAY()),"🟡 VENCE HOJE",IF(AND(P3101&lt;&gt;"",S3101=""),"🟡 PENDÊNCIA ABERTA",IF(AND(N(J3101)&gt;0,N(K3101)&lt;J3101),"🟡 FALTA EXECUTAR",IF(OR(M3101="PENDENTE",M3101="PARCIAL"),"🟡 FATURAMENTO PENDENTE","🟡 EMBARQUE PENDENTE")))))))))))</f>
        <v/>
      </c>
      <c r="D3101" s="4" t="n"/>
      <c r="E3101" s="5" t="n"/>
      <c r="F3101" s="5" t="n"/>
      <c r="G3101" s="5" t="n"/>
      <c r="H3101" s="5" t="n"/>
      <c r="I3101" s="5" t="n"/>
      <c r="J3101" s="6" t="n"/>
      <c r="K3101" s="6" t="n"/>
      <c r="L3101" s="7">
        <f>IF(OR(D3101="",N(J3101)=0),"",MIN(1,N(K3101)/J3101))</f>
        <v/>
      </c>
      <c r="M3101" s="5" t="n"/>
      <c r="N3101" s="5" t="n"/>
      <c r="O3101" s="5" t="n"/>
      <c r="P3101" s="5" t="n"/>
      <c r="Q3101" s="5" t="n"/>
      <c r="R3101" s="4" t="n"/>
      <c r="S3101" s="4" t="n"/>
      <c r="T3101" s="5" t="n"/>
      <c r="U3101" s="8">
        <f>IF(AND(V3101=1,D3101&lt;&gt;""),IF(D3101&gt;=corte,TODAY()-D3101,""),"")</f>
        <v/>
      </c>
      <c r="V3101" s="8">
        <f>IF(D3101="",0,IF(OR(AND(P3101&lt;&gt;"",S3101=""),AND(N(J3101)&gt;0,N(K3101)&lt;J3101),OR(M3101="PENDENTE",M3101="PARCIAL"),OR(N3101="PENDENTE",N3101="PARCIAL")),1,0))</f>
        <v/>
      </c>
      <c r="W3101" s="8">
        <f>IF(AND(V3101=1,D3101&lt;&gt;""),IF(D3101&gt;=corte,(B3101="CRÍTICO")*1E9+(100000-D3101)*10000+10000-ROW(),""),"")</f>
        <v/>
      </c>
      <c r="X3101" s="8">
        <f>IF(AND(V3101=1,D3101=pas_data,E3101=pas_turno),10000-ROW(),"")</f>
        <v/>
      </c>
    </row>
    <row r="3102">
      <c r="A3102" s="3">
        <f>IF(D3102="","","TT-"&amp;TEXT(ROW()-1,"00000"))</f>
        <v/>
      </c>
      <c r="B3102" s="3">
        <f>IF(D3102="","",IF(V3102=0,"CONCLUÍDO",IF(D3102&lt;corte,"HISTÓRICO",IF(OR(AND(ISNUMBER(R3102),R3102&lt;TODAY()),AND(OR(N3102="PENDENTE",N3102="PARCIAL"),D3102&lt;TODAY()-1)),"CRÍTICO",IF(OR(AND(P3102&lt;&gt;"",S3102=""),AND(N3102="REALIZADO",M3102="PENDENTE"),AND(ISNUMBER(R3102),R3102=TODAY())),"ATENÇÃO",IF(N(K3102)=0,"PENDENTE","EM ANDAMENTO"))))))</f>
        <v/>
      </c>
      <c r="C3102" s="3">
        <f>IF(D3102="","",IF(V3102=0,"🟢 OK",IF(D3102&lt;corte,"⚪ HISTÓRICO (sem baixa)",IF(AND(ISNUMBER(R3102),R3102&lt;TODAY()),"🔴 PRAZO VENCIDO",IF(AND(OR(N3102="PENDENTE",N3102="PARCIAL"),D3102&lt;TODAY()-1),"🔴 EMBARQUE ATRASADO",IF(AND(N3102="REALIZADO",M3102="PENDENTE"),"🟡 EMBARCADO SEM FATURAR",IF(AND(P3102&lt;&gt;"",S3102="",OR(Q3102="",R3102="")),"🟡 PENDÊNCIA SEM RESPONSÁVEL/PRAZO",IF(AND(ISNUMBER(R3102),R3102=TODAY()),"🟡 VENCE HOJE",IF(AND(P3102&lt;&gt;"",S3102=""),"🟡 PENDÊNCIA ABERTA",IF(AND(N(J3102)&gt;0,N(K3102)&lt;J3102),"🟡 FALTA EXECUTAR",IF(OR(M3102="PENDENTE",M3102="PARCIAL"),"🟡 FATURAMENTO PENDENTE","🟡 EMBARQUE PENDENTE")))))))))))</f>
        <v/>
      </c>
      <c r="D3102" s="4" t="n"/>
      <c r="E3102" s="5" t="n"/>
      <c r="F3102" s="5" t="n"/>
      <c r="G3102" s="5" t="n"/>
      <c r="H3102" s="5" t="n"/>
      <c r="I3102" s="5" t="n"/>
      <c r="J3102" s="6" t="n"/>
      <c r="K3102" s="6" t="n"/>
      <c r="L3102" s="7">
        <f>IF(OR(D3102="",N(J3102)=0),"",MIN(1,N(K3102)/J3102))</f>
        <v/>
      </c>
      <c r="M3102" s="5" t="n"/>
      <c r="N3102" s="5" t="n"/>
      <c r="O3102" s="5" t="n"/>
      <c r="P3102" s="5" t="n"/>
      <c r="Q3102" s="5" t="n"/>
      <c r="R3102" s="4" t="n"/>
      <c r="S3102" s="4" t="n"/>
      <c r="T3102" s="5" t="n"/>
      <c r="U3102" s="8">
        <f>IF(AND(V3102=1,D3102&lt;&gt;""),IF(D3102&gt;=corte,TODAY()-D3102,""),"")</f>
        <v/>
      </c>
      <c r="V3102" s="8">
        <f>IF(D3102="",0,IF(OR(AND(P3102&lt;&gt;"",S3102=""),AND(N(J3102)&gt;0,N(K3102)&lt;J3102),OR(M3102="PENDENTE",M3102="PARCIAL"),OR(N3102="PENDENTE",N3102="PARCIAL")),1,0))</f>
        <v/>
      </c>
      <c r="W3102" s="8">
        <f>IF(AND(V3102=1,D3102&lt;&gt;""),IF(D3102&gt;=corte,(B3102="CRÍTICO")*1E9+(100000-D3102)*10000+10000-ROW(),""),"")</f>
        <v/>
      </c>
      <c r="X3102" s="8">
        <f>IF(AND(V3102=1,D3102=pas_data,E3102=pas_turno),10000-ROW(),"")</f>
        <v/>
      </c>
    </row>
    <row r="3103">
      <c r="A3103" s="3">
        <f>IF(D3103="","","TT-"&amp;TEXT(ROW()-1,"00000"))</f>
        <v/>
      </c>
      <c r="B3103" s="3">
        <f>IF(D3103="","",IF(V3103=0,"CONCLUÍDO",IF(D3103&lt;corte,"HISTÓRICO",IF(OR(AND(ISNUMBER(R3103),R3103&lt;TODAY()),AND(OR(N3103="PENDENTE",N3103="PARCIAL"),D3103&lt;TODAY()-1)),"CRÍTICO",IF(OR(AND(P3103&lt;&gt;"",S3103=""),AND(N3103="REALIZADO",M3103="PENDENTE"),AND(ISNUMBER(R3103),R3103=TODAY())),"ATENÇÃO",IF(N(K3103)=0,"PENDENTE","EM ANDAMENTO"))))))</f>
        <v/>
      </c>
      <c r="C3103" s="3">
        <f>IF(D3103="","",IF(V3103=0,"🟢 OK",IF(D3103&lt;corte,"⚪ HISTÓRICO (sem baixa)",IF(AND(ISNUMBER(R3103),R3103&lt;TODAY()),"🔴 PRAZO VENCIDO",IF(AND(OR(N3103="PENDENTE",N3103="PARCIAL"),D3103&lt;TODAY()-1),"🔴 EMBARQUE ATRASADO",IF(AND(N3103="REALIZADO",M3103="PENDENTE"),"🟡 EMBARCADO SEM FATURAR",IF(AND(P3103&lt;&gt;"",S3103="",OR(Q3103="",R3103="")),"🟡 PENDÊNCIA SEM RESPONSÁVEL/PRAZO",IF(AND(ISNUMBER(R3103),R3103=TODAY()),"🟡 VENCE HOJE",IF(AND(P3103&lt;&gt;"",S3103=""),"🟡 PENDÊNCIA ABERTA",IF(AND(N(J3103)&gt;0,N(K3103)&lt;J3103),"🟡 FALTA EXECUTAR",IF(OR(M3103="PENDENTE",M3103="PARCIAL"),"🟡 FATURAMENTO PENDENTE","🟡 EMBARQUE PENDENTE")))))))))))</f>
        <v/>
      </c>
      <c r="D3103" s="4" t="n"/>
      <c r="E3103" s="5" t="n"/>
      <c r="F3103" s="5" t="n"/>
      <c r="G3103" s="5" t="n"/>
      <c r="H3103" s="5" t="n"/>
      <c r="I3103" s="5" t="n"/>
      <c r="J3103" s="6" t="n"/>
      <c r="K3103" s="6" t="n"/>
      <c r="L3103" s="7">
        <f>IF(OR(D3103="",N(J3103)=0),"",MIN(1,N(K3103)/J3103))</f>
        <v/>
      </c>
      <c r="M3103" s="5" t="n"/>
      <c r="N3103" s="5" t="n"/>
      <c r="O3103" s="5" t="n"/>
      <c r="P3103" s="5" t="n"/>
      <c r="Q3103" s="5" t="n"/>
      <c r="R3103" s="4" t="n"/>
      <c r="S3103" s="4" t="n"/>
      <c r="T3103" s="5" t="n"/>
      <c r="U3103" s="8">
        <f>IF(AND(V3103=1,D3103&lt;&gt;""),IF(D3103&gt;=corte,TODAY()-D3103,""),"")</f>
        <v/>
      </c>
      <c r="V3103" s="8">
        <f>IF(D3103="",0,IF(OR(AND(P3103&lt;&gt;"",S3103=""),AND(N(J3103)&gt;0,N(K3103)&lt;J3103),OR(M3103="PENDENTE",M3103="PARCIAL"),OR(N3103="PENDENTE",N3103="PARCIAL")),1,0))</f>
        <v/>
      </c>
      <c r="W3103" s="8">
        <f>IF(AND(V3103=1,D3103&lt;&gt;""),IF(D3103&gt;=corte,(B3103="CRÍTICO")*1E9+(100000-D3103)*10000+10000-ROW(),""),"")</f>
        <v/>
      </c>
      <c r="X3103" s="8">
        <f>IF(AND(V3103=1,D3103=pas_data,E3103=pas_turno),10000-ROW(),"")</f>
        <v/>
      </c>
    </row>
    <row r="3104">
      <c r="A3104" s="3">
        <f>IF(D3104="","","TT-"&amp;TEXT(ROW()-1,"00000"))</f>
        <v/>
      </c>
      <c r="B3104" s="3">
        <f>IF(D3104="","",IF(V3104=0,"CONCLUÍDO",IF(D3104&lt;corte,"HISTÓRICO",IF(OR(AND(ISNUMBER(R3104),R3104&lt;TODAY()),AND(OR(N3104="PENDENTE",N3104="PARCIAL"),D3104&lt;TODAY()-1)),"CRÍTICO",IF(OR(AND(P3104&lt;&gt;"",S3104=""),AND(N3104="REALIZADO",M3104="PENDENTE"),AND(ISNUMBER(R3104),R3104=TODAY())),"ATENÇÃO",IF(N(K3104)=0,"PENDENTE","EM ANDAMENTO"))))))</f>
        <v/>
      </c>
      <c r="C3104" s="3">
        <f>IF(D3104="","",IF(V3104=0,"🟢 OK",IF(D3104&lt;corte,"⚪ HISTÓRICO (sem baixa)",IF(AND(ISNUMBER(R3104),R3104&lt;TODAY()),"🔴 PRAZO VENCIDO",IF(AND(OR(N3104="PENDENTE",N3104="PARCIAL"),D3104&lt;TODAY()-1),"🔴 EMBARQUE ATRASADO",IF(AND(N3104="REALIZADO",M3104="PENDENTE"),"🟡 EMBARCADO SEM FATURAR",IF(AND(P3104&lt;&gt;"",S3104="",OR(Q3104="",R3104="")),"🟡 PENDÊNCIA SEM RESPONSÁVEL/PRAZO",IF(AND(ISNUMBER(R3104),R3104=TODAY()),"🟡 VENCE HOJE",IF(AND(P3104&lt;&gt;"",S3104=""),"🟡 PENDÊNCIA ABERTA",IF(AND(N(J3104)&gt;0,N(K3104)&lt;J3104),"🟡 FALTA EXECUTAR",IF(OR(M3104="PENDENTE",M3104="PARCIAL"),"🟡 FATURAMENTO PENDENTE","🟡 EMBARQUE PENDENTE")))))))))))</f>
        <v/>
      </c>
      <c r="D3104" s="4" t="n"/>
      <c r="E3104" s="5" t="n"/>
      <c r="F3104" s="5" t="n"/>
      <c r="G3104" s="5" t="n"/>
      <c r="H3104" s="5" t="n"/>
      <c r="I3104" s="5" t="n"/>
      <c r="J3104" s="6" t="n"/>
      <c r="K3104" s="6" t="n"/>
      <c r="L3104" s="7">
        <f>IF(OR(D3104="",N(J3104)=0),"",MIN(1,N(K3104)/J3104))</f>
        <v/>
      </c>
      <c r="M3104" s="5" t="n"/>
      <c r="N3104" s="5" t="n"/>
      <c r="O3104" s="5" t="n"/>
      <c r="P3104" s="5" t="n"/>
      <c r="Q3104" s="5" t="n"/>
      <c r="R3104" s="4" t="n"/>
      <c r="S3104" s="4" t="n"/>
      <c r="T3104" s="5" t="n"/>
      <c r="U3104" s="8">
        <f>IF(AND(V3104=1,D3104&lt;&gt;""),IF(D3104&gt;=corte,TODAY()-D3104,""),"")</f>
        <v/>
      </c>
      <c r="V3104" s="8">
        <f>IF(D3104="",0,IF(OR(AND(P3104&lt;&gt;"",S3104=""),AND(N(J3104)&gt;0,N(K3104)&lt;J3104),OR(M3104="PENDENTE",M3104="PARCIAL"),OR(N3104="PENDENTE",N3104="PARCIAL")),1,0))</f>
        <v/>
      </c>
      <c r="W3104" s="8">
        <f>IF(AND(V3104=1,D3104&lt;&gt;""),IF(D3104&gt;=corte,(B3104="CRÍTICO")*1E9+(100000-D3104)*10000+10000-ROW(),""),"")</f>
        <v/>
      </c>
      <c r="X3104" s="8">
        <f>IF(AND(V3104=1,D3104=pas_data,E3104=pas_turno),10000-ROW(),"")</f>
        <v/>
      </c>
    </row>
    <row r="3105">
      <c r="A3105" s="3">
        <f>IF(D3105="","","TT-"&amp;TEXT(ROW()-1,"00000"))</f>
        <v/>
      </c>
      <c r="B3105" s="3">
        <f>IF(D3105="","",IF(V3105=0,"CONCLUÍDO",IF(D3105&lt;corte,"HISTÓRICO",IF(OR(AND(ISNUMBER(R3105),R3105&lt;TODAY()),AND(OR(N3105="PENDENTE",N3105="PARCIAL"),D3105&lt;TODAY()-1)),"CRÍTICO",IF(OR(AND(P3105&lt;&gt;"",S3105=""),AND(N3105="REALIZADO",M3105="PENDENTE"),AND(ISNUMBER(R3105),R3105=TODAY())),"ATENÇÃO",IF(N(K3105)=0,"PENDENTE","EM ANDAMENTO"))))))</f>
        <v/>
      </c>
      <c r="C3105" s="3">
        <f>IF(D3105="","",IF(V3105=0,"🟢 OK",IF(D3105&lt;corte,"⚪ HISTÓRICO (sem baixa)",IF(AND(ISNUMBER(R3105),R3105&lt;TODAY()),"🔴 PRAZO VENCIDO",IF(AND(OR(N3105="PENDENTE",N3105="PARCIAL"),D3105&lt;TODAY()-1),"🔴 EMBARQUE ATRASADO",IF(AND(N3105="REALIZADO",M3105="PENDENTE"),"🟡 EMBARCADO SEM FATURAR",IF(AND(P3105&lt;&gt;"",S3105="",OR(Q3105="",R3105="")),"🟡 PENDÊNCIA SEM RESPONSÁVEL/PRAZO",IF(AND(ISNUMBER(R3105),R3105=TODAY()),"🟡 VENCE HOJE",IF(AND(P3105&lt;&gt;"",S3105=""),"🟡 PENDÊNCIA ABERTA",IF(AND(N(J3105)&gt;0,N(K3105)&lt;J3105),"🟡 FALTA EXECUTAR",IF(OR(M3105="PENDENTE",M3105="PARCIAL"),"🟡 FATURAMENTO PENDENTE","🟡 EMBARQUE PENDENTE")))))))))))</f>
        <v/>
      </c>
      <c r="D3105" s="4" t="n"/>
      <c r="E3105" s="5" t="n"/>
      <c r="F3105" s="5" t="n"/>
      <c r="G3105" s="5" t="n"/>
      <c r="H3105" s="5" t="n"/>
      <c r="I3105" s="5" t="n"/>
      <c r="J3105" s="6" t="n"/>
      <c r="K3105" s="6" t="n"/>
      <c r="L3105" s="7">
        <f>IF(OR(D3105="",N(J3105)=0),"",MIN(1,N(K3105)/J3105))</f>
        <v/>
      </c>
      <c r="M3105" s="5" t="n"/>
      <c r="N3105" s="5" t="n"/>
      <c r="O3105" s="5" t="n"/>
      <c r="P3105" s="5" t="n"/>
      <c r="Q3105" s="5" t="n"/>
      <c r="R3105" s="4" t="n"/>
      <c r="S3105" s="4" t="n"/>
      <c r="T3105" s="5" t="n"/>
      <c r="U3105" s="8">
        <f>IF(AND(V3105=1,D3105&lt;&gt;""),IF(D3105&gt;=corte,TODAY()-D3105,""),"")</f>
        <v/>
      </c>
      <c r="V3105" s="8">
        <f>IF(D3105="",0,IF(OR(AND(P3105&lt;&gt;"",S3105=""),AND(N(J3105)&gt;0,N(K3105)&lt;J3105),OR(M3105="PENDENTE",M3105="PARCIAL"),OR(N3105="PENDENTE",N3105="PARCIAL")),1,0))</f>
        <v/>
      </c>
      <c r="W3105" s="8">
        <f>IF(AND(V3105=1,D3105&lt;&gt;""),IF(D3105&gt;=corte,(B3105="CRÍTICO")*1E9+(100000-D3105)*10000+10000-ROW(),""),"")</f>
        <v/>
      </c>
      <c r="X3105" s="8">
        <f>IF(AND(V3105=1,D3105=pas_data,E3105=pas_turno),10000-ROW(),"")</f>
        <v/>
      </c>
    </row>
    <row r="3106">
      <c r="A3106" s="3">
        <f>IF(D3106="","","TT-"&amp;TEXT(ROW()-1,"00000"))</f>
        <v/>
      </c>
      <c r="B3106" s="3">
        <f>IF(D3106="","",IF(V3106=0,"CONCLUÍDO",IF(D3106&lt;corte,"HISTÓRICO",IF(OR(AND(ISNUMBER(R3106),R3106&lt;TODAY()),AND(OR(N3106="PENDENTE",N3106="PARCIAL"),D3106&lt;TODAY()-1)),"CRÍTICO",IF(OR(AND(P3106&lt;&gt;"",S3106=""),AND(N3106="REALIZADO",M3106="PENDENTE"),AND(ISNUMBER(R3106),R3106=TODAY())),"ATENÇÃO",IF(N(K3106)=0,"PENDENTE","EM ANDAMENTO"))))))</f>
        <v/>
      </c>
      <c r="C3106" s="3">
        <f>IF(D3106="","",IF(V3106=0,"🟢 OK",IF(D3106&lt;corte,"⚪ HISTÓRICO (sem baixa)",IF(AND(ISNUMBER(R3106),R3106&lt;TODAY()),"🔴 PRAZO VENCIDO",IF(AND(OR(N3106="PENDENTE",N3106="PARCIAL"),D3106&lt;TODAY()-1),"🔴 EMBARQUE ATRASADO",IF(AND(N3106="REALIZADO",M3106="PENDENTE"),"🟡 EMBARCADO SEM FATURAR",IF(AND(P3106&lt;&gt;"",S3106="",OR(Q3106="",R3106="")),"🟡 PENDÊNCIA SEM RESPONSÁVEL/PRAZO",IF(AND(ISNUMBER(R3106),R3106=TODAY()),"🟡 VENCE HOJE",IF(AND(P3106&lt;&gt;"",S3106=""),"🟡 PENDÊNCIA ABERTA",IF(AND(N(J3106)&gt;0,N(K3106)&lt;J3106),"🟡 FALTA EXECUTAR",IF(OR(M3106="PENDENTE",M3106="PARCIAL"),"🟡 FATURAMENTO PENDENTE","🟡 EMBARQUE PENDENTE")))))))))))</f>
        <v/>
      </c>
      <c r="D3106" s="4" t="n"/>
      <c r="E3106" s="5" t="n"/>
      <c r="F3106" s="5" t="n"/>
      <c r="G3106" s="5" t="n"/>
      <c r="H3106" s="5" t="n"/>
      <c r="I3106" s="5" t="n"/>
      <c r="J3106" s="6" t="n"/>
      <c r="K3106" s="6" t="n"/>
      <c r="L3106" s="7">
        <f>IF(OR(D3106="",N(J3106)=0),"",MIN(1,N(K3106)/J3106))</f>
        <v/>
      </c>
      <c r="M3106" s="5" t="n"/>
      <c r="N3106" s="5" t="n"/>
      <c r="O3106" s="5" t="n"/>
      <c r="P3106" s="5" t="n"/>
      <c r="Q3106" s="5" t="n"/>
      <c r="R3106" s="4" t="n"/>
      <c r="S3106" s="4" t="n"/>
      <c r="T3106" s="5" t="n"/>
      <c r="U3106" s="8">
        <f>IF(AND(V3106=1,D3106&lt;&gt;""),IF(D3106&gt;=corte,TODAY()-D3106,""),"")</f>
        <v/>
      </c>
      <c r="V3106" s="8">
        <f>IF(D3106="",0,IF(OR(AND(P3106&lt;&gt;"",S3106=""),AND(N(J3106)&gt;0,N(K3106)&lt;J3106),OR(M3106="PENDENTE",M3106="PARCIAL"),OR(N3106="PENDENTE",N3106="PARCIAL")),1,0))</f>
        <v/>
      </c>
      <c r="W3106" s="8">
        <f>IF(AND(V3106=1,D3106&lt;&gt;""),IF(D3106&gt;=corte,(B3106="CRÍTICO")*1E9+(100000-D3106)*10000+10000-ROW(),""),"")</f>
        <v/>
      </c>
      <c r="X3106" s="8">
        <f>IF(AND(V3106=1,D3106=pas_data,E3106=pas_turno),10000-ROW(),"")</f>
        <v/>
      </c>
    </row>
    <row r="3107">
      <c r="A3107" s="3">
        <f>IF(D3107="","","TT-"&amp;TEXT(ROW()-1,"00000"))</f>
        <v/>
      </c>
      <c r="B3107" s="3">
        <f>IF(D3107="","",IF(V3107=0,"CONCLUÍDO",IF(D3107&lt;corte,"HISTÓRICO",IF(OR(AND(ISNUMBER(R3107),R3107&lt;TODAY()),AND(OR(N3107="PENDENTE",N3107="PARCIAL"),D3107&lt;TODAY()-1)),"CRÍTICO",IF(OR(AND(P3107&lt;&gt;"",S3107=""),AND(N3107="REALIZADO",M3107="PENDENTE"),AND(ISNUMBER(R3107),R3107=TODAY())),"ATENÇÃO",IF(N(K3107)=0,"PENDENTE","EM ANDAMENTO"))))))</f>
        <v/>
      </c>
      <c r="C3107" s="3">
        <f>IF(D3107="","",IF(V3107=0,"🟢 OK",IF(D3107&lt;corte,"⚪ HISTÓRICO (sem baixa)",IF(AND(ISNUMBER(R3107),R3107&lt;TODAY()),"🔴 PRAZO VENCIDO",IF(AND(OR(N3107="PENDENTE",N3107="PARCIAL"),D3107&lt;TODAY()-1),"🔴 EMBARQUE ATRASADO",IF(AND(N3107="REALIZADO",M3107="PENDENTE"),"🟡 EMBARCADO SEM FATURAR",IF(AND(P3107&lt;&gt;"",S3107="",OR(Q3107="",R3107="")),"🟡 PENDÊNCIA SEM RESPONSÁVEL/PRAZO",IF(AND(ISNUMBER(R3107),R3107=TODAY()),"🟡 VENCE HOJE",IF(AND(P3107&lt;&gt;"",S3107=""),"🟡 PENDÊNCIA ABERTA",IF(AND(N(J3107)&gt;0,N(K3107)&lt;J3107),"🟡 FALTA EXECUTAR",IF(OR(M3107="PENDENTE",M3107="PARCIAL"),"🟡 FATURAMENTO PENDENTE","🟡 EMBARQUE PENDENTE")))))))))))</f>
        <v/>
      </c>
      <c r="D3107" s="4" t="n"/>
      <c r="E3107" s="5" t="n"/>
      <c r="F3107" s="5" t="n"/>
      <c r="G3107" s="5" t="n"/>
      <c r="H3107" s="5" t="n"/>
      <c r="I3107" s="5" t="n"/>
      <c r="J3107" s="6" t="n"/>
      <c r="K3107" s="6" t="n"/>
      <c r="L3107" s="7">
        <f>IF(OR(D3107="",N(J3107)=0),"",MIN(1,N(K3107)/J3107))</f>
        <v/>
      </c>
      <c r="M3107" s="5" t="n"/>
      <c r="N3107" s="5" t="n"/>
      <c r="O3107" s="5" t="n"/>
      <c r="P3107" s="5" t="n"/>
      <c r="Q3107" s="5" t="n"/>
      <c r="R3107" s="4" t="n"/>
      <c r="S3107" s="4" t="n"/>
      <c r="T3107" s="5" t="n"/>
      <c r="U3107" s="8">
        <f>IF(AND(V3107=1,D3107&lt;&gt;""),IF(D3107&gt;=corte,TODAY()-D3107,""),"")</f>
        <v/>
      </c>
      <c r="V3107" s="8">
        <f>IF(D3107="",0,IF(OR(AND(P3107&lt;&gt;"",S3107=""),AND(N(J3107)&gt;0,N(K3107)&lt;J3107),OR(M3107="PENDENTE",M3107="PARCIAL"),OR(N3107="PENDENTE",N3107="PARCIAL")),1,0))</f>
        <v/>
      </c>
      <c r="W3107" s="8">
        <f>IF(AND(V3107=1,D3107&lt;&gt;""),IF(D3107&gt;=corte,(B3107="CRÍTICO")*1E9+(100000-D3107)*10000+10000-ROW(),""),"")</f>
        <v/>
      </c>
      <c r="X3107" s="8">
        <f>IF(AND(V3107=1,D3107=pas_data,E3107=pas_turno),10000-ROW(),"")</f>
        <v/>
      </c>
    </row>
    <row r="3108">
      <c r="A3108" s="3">
        <f>IF(D3108="","","TT-"&amp;TEXT(ROW()-1,"00000"))</f>
        <v/>
      </c>
      <c r="B3108" s="3">
        <f>IF(D3108="","",IF(V3108=0,"CONCLUÍDO",IF(D3108&lt;corte,"HISTÓRICO",IF(OR(AND(ISNUMBER(R3108),R3108&lt;TODAY()),AND(OR(N3108="PENDENTE",N3108="PARCIAL"),D3108&lt;TODAY()-1)),"CRÍTICO",IF(OR(AND(P3108&lt;&gt;"",S3108=""),AND(N3108="REALIZADO",M3108="PENDENTE"),AND(ISNUMBER(R3108),R3108=TODAY())),"ATENÇÃO",IF(N(K3108)=0,"PENDENTE","EM ANDAMENTO"))))))</f>
        <v/>
      </c>
      <c r="C3108" s="3">
        <f>IF(D3108="","",IF(V3108=0,"🟢 OK",IF(D3108&lt;corte,"⚪ HISTÓRICO (sem baixa)",IF(AND(ISNUMBER(R3108),R3108&lt;TODAY()),"🔴 PRAZO VENCIDO",IF(AND(OR(N3108="PENDENTE",N3108="PARCIAL"),D3108&lt;TODAY()-1),"🔴 EMBARQUE ATRASADO",IF(AND(N3108="REALIZADO",M3108="PENDENTE"),"🟡 EMBARCADO SEM FATURAR",IF(AND(P3108&lt;&gt;"",S3108="",OR(Q3108="",R3108="")),"🟡 PENDÊNCIA SEM RESPONSÁVEL/PRAZO",IF(AND(ISNUMBER(R3108),R3108=TODAY()),"🟡 VENCE HOJE",IF(AND(P3108&lt;&gt;"",S3108=""),"🟡 PENDÊNCIA ABERTA",IF(AND(N(J3108)&gt;0,N(K3108)&lt;J3108),"🟡 FALTA EXECUTAR",IF(OR(M3108="PENDENTE",M3108="PARCIAL"),"🟡 FATURAMENTO PENDENTE","🟡 EMBARQUE PENDENTE")))))))))))</f>
        <v/>
      </c>
      <c r="D3108" s="4" t="n"/>
      <c r="E3108" s="5" t="n"/>
      <c r="F3108" s="5" t="n"/>
      <c r="G3108" s="5" t="n"/>
      <c r="H3108" s="5" t="n"/>
      <c r="I3108" s="5" t="n"/>
      <c r="J3108" s="6" t="n"/>
      <c r="K3108" s="6" t="n"/>
      <c r="L3108" s="7">
        <f>IF(OR(D3108="",N(J3108)=0),"",MIN(1,N(K3108)/J3108))</f>
        <v/>
      </c>
      <c r="M3108" s="5" t="n"/>
      <c r="N3108" s="5" t="n"/>
      <c r="O3108" s="5" t="n"/>
      <c r="P3108" s="5" t="n"/>
      <c r="Q3108" s="5" t="n"/>
      <c r="R3108" s="4" t="n"/>
      <c r="S3108" s="4" t="n"/>
      <c r="T3108" s="5" t="n"/>
      <c r="U3108" s="8">
        <f>IF(AND(V3108=1,D3108&lt;&gt;""),IF(D3108&gt;=corte,TODAY()-D3108,""),"")</f>
        <v/>
      </c>
      <c r="V3108" s="8">
        <f>IF(D3108="",0,IF(OR(AND(P3108&lt;&gt;"",S3108=""),AND(N(J3108)&gt;0,N(K3108)&lt;J3108),OR(M3108="PENDENTE",M3108="PARCIAL"),OR(N3108="PENDENTE",N3108="PARCIAL")),1,0))</f>
        <v/>
      </c>
      <c r="W3108" s="8">
        <f>IF(AND(V3108=1,D3108&lt;&gt;""),IF(D3108&gt;=corte,(B3108="CRÍTICO")*1E9+(100000-D3108)*10000+10000-ROW(),""),"")</f>
        <v/>
      </c>
      <c r="X3108" s="8">
        <f>IF(AND(V3108=1,D3108=pas_data,E3108=pas_turno),10000-ROW(),"")</f>
        <v/>
      </c>
    </row>
    <row r="3109">
      <c r="A3109" s="3">
        <f>IF(D3109="","","TT-"&amp;TEXT(ROW()-1,"00000"))</f>
        <v/>
      </c>
      <c r="B3109" s="3">
        <f>IF(D3109="","",IF(V3109=0,"CONCLUÍDO",IF(D3109&lt;corte,"HISTÓRICO",IF(OR(AND(ISNUMBER(R3109),R3109&lt;TODAY()),AND(OR(N3109="PENDENTE",N3109="PARCIAL"),D3109&lt;TODAY()-1)),"CRÍTICO",IF(OR(AND(P3109&lt;&gt;"",S3109=""),AND(N3109="REALIZADO",M3109="PENDENTE"),AND(ISNUMBER(R3109),R3109=TODAY())),"ATENÇÃO",IF(N(K3109)=0,"PENDENTE","EM ANDAMENTO"))))))</f>
        <v/>
      </c>
      <c r="C3109" s="3">
        <f>IF(D3109="","",IF(V3109=0,"🟢 OK",IF(D3109&lt;corte,"⚪ HISTÓRICO (sem baixa)",IF(AND(ISNUMBER(R3109),R3109&lt;TODAY()),"🔴 PRAZO VENCIDO",IF(AND(OR(N3109="PENDENTE",N3109="PARCIAL"),D3109&lt;TODAY()-1),"🔴 EMBARQUE ATRASADO",IF(AND(N3109="REALIZADO",M3109="PENDENTE"),"🟡 EMBARCADO SEM FATURAR",IF(AND(P3109&lt;&gt;"",S3109="",OR(Q3109="",R3109="")),"🟡 PENDÊNCIA SEM RESPONSÁVEL/PRAZO",IF(AND(ISNUMBER(R3109),R3109=TODAY()),"🟡 VENCE HOJE",IF(AND(P3109&lt;&gt;"",S3109=""),"🟡 PENDÊNCIA ABERTA",IF(AND(N(J3109)&gt;0,N(K3109)&lt;J3109),"🟡 FALTA EXECUTAR",IF(OR(M3109="PENDENTE",M3109="PARCIAL"),"🟡 FATURAMENTO PENDENTE","🟡 EMBARQUE PENDENTE")))))))))))</f>
        <v/>
      </c>
      <c r="D3109" s="4" t="n"/>
      <c r="E3109" s="5" t="n"/>
      <c r="F3109" s="5" t="n"/>
      <c r="G3109" s="5" t="n"/>
      <c r="H3109" s="5" t="n"/>
      <c r="I3109" s="5" t="n"/>
      <c r="J3109" s="6" t="n"/>
      <c r="K3109" s="6" t="n"/>
      <c r="L3109" s="7">
        <f>IF(OR(D3109="",N(J3109)=0),"",MIN(1,N(K3109)/J3109))</f>
        <v/>
      </c>
      <c r="M3109" s="5" t="n"/>
      <c r="N3109" s="5" t="n"/>
      <c r="O3109" s="5" t="n"/>
      <c r="P3109" s="5" t="n"/>
      <c r="Q3109" s="5" t="n"/>
      <c r="R3109" s="4" t="n"/>
      <c r="S3109" s="4" t="n"/>
      <c r="T3109" s="5" t="n"/>
      <c r="U3109" s="8">
        <f>IF(AND(V3109=1,D3109&lt;&gt;""),IF(D3109&gt;=corte,TODAY()-D3109,""),"")</f>
        <v/>
      </c>
      <c r="V3109" s="8">
        <f>IF(D3109="",0,IF(OR(AND(P3109&lt;&gt;"",S3109=""),AND(N(J3109)&gt;0,N(K3109)&lt;J3109),OR(M3109="PENDENTE",M3109="PARCIAL"),OR(N3109="PENDENTE",N3109="PARCIAL")),1,0))</f>
        <v/>
      </c>
      <c r="W3109" s="8">
        <f>IF(AND(V3109=1,D3109&lt;&gt;""),IF(D3109&gt;=corte,(B3109="CRÍTICO")*1E9+(100000-D3109)*10000+10000-ROW(),""),"")</f>
        <v/>
      </c>
      <c r="X3109" s="8">
        <f>IF(AND(V3109=1,D3109=pas_data,E3109=pas_turno),10000-ROW(),"")</f>
        <v/>
      </c>
    </row>
    <row r="3110">
      <c r="A3110" s="3">
        <f>IF(D3110="","","TT-"&amp;TEXT(ROW()-1,"00000"))</f>
        <v/>
      </c>
      <c r="B3110" s="3">
        <f>IF(D3110="","",IF(V3110=0,"CONCLUÍDO",IF(D3110&lt;corte,"HISTÓRICO",IF(OR(AND(ISNUMBER(R3110),R3110&lt;TODAY()),AND(OR(N3110="PENDENTE",N3110="PARCIAL"),D3110&lt;TODAY()-1)),"CRÍTICO",IF(OR(AND(P3110&lt;&gt;"",S3110=""),AND(N3110="REALIZADO",M3110="PENDENTE"),AND(ISNUMBER(R3110),R3110=TODAY())),"ATENÇÃO",IF(N(K3110)=0,"PENDENTE","EM ANDAMENTO"))))))</f>
        <v/>
      </c>
      <c r="C3110" s="3">
        <f>IF(D3110="","",IF(V3110=0,"🟢 OK",IF(D3110&lt;corte,"⚪ HISTÓRICO (sem baixa)",IF(AND(ISNUMBER(R3110),R3110&lt;TODAY()),"🔴 PRAZO VENCIDO",IF(AND(OR(N3110="PENDENTE",N3110="PARCIAL"),D3110&lt;TODAY()-1),"🔴 EMBARQUE ATRASADO",IF(AND(N3110="REALIZADO",M3110="PENDENTE"),"🟡 EMBARCADO SEM FATURAR",IF(AND(P3110&lt;&gt;"",S3110="",OR(Q3110="",R3110="")),"🟡 PENDÊNCIA SEM RESPONSÁVEL/PRAZO",IF(AND(ISNUMBER(R3110),R3110=TODAY()),"🟡 VENCE HOJE",IF(AND(P3110&lt;&gt;"",S3110=""),"🟡 PENDÊNCIA ABERTA",IF(AND(N(J3110)&gt;0,N(K3110)&lt;J3110),"🟡 FALTA EXECUTAR",IF(OR(M3110="PENDENTE",M3110="PARCIAL"),"🟡 FATURAMENTO PENDENTE","🟡 EMBARQUE PENDENTE")))))))))))</f>
        <v/>
      </c>
      <c r="D3110" s="4" t="n"/>
      <c r="E3110" s="5" t="n"/>
      <c r="F3110" s="5" t="n"/>
      <c r="G3110" s="5" t="n"/>
      <c r="H3110" s="5" t="n"/>
      <c r="I3110" s="5" t="n"/>
      <c r="J3110" s="6" t="n"/>
      <c r="K3110" s="6" t="n"/>
      <c r="L3110" s="7">
        <f>IF(OR(D3110="",N(J3110)=0),"",MIN(1,N(K3110)/J3110))</f>
        <v/>
      </c>
      <c r="M3110" s="5" t="n"/>
      <c r="N3110" s="5" t="n"/>
      <c r="O3110" s="5" t="n"/>
      <c r="P3110" s="5" t="n"/>
      <c r="Q3110" s="5" t="n"/>
      <c r="R3110" s="4" t="n"/>
      <c r="S3110" s="4" t="n"/>
      <c r="T3110" s="5" t="n"/>
      <c r="U3110" s="8">
        <f>IF(AND(V3110=1,D3110&lt;&gt;""),IF(D3110&gt;=corte,TODAY()-D3110,""),"")</f>
        <v/>
      </c>
      <c r="V3110" s="8">
        <f>IF(D3110="",0,IF(OR(AND(P3110&lt;&gt;"",S3110=""),AND(N(J3110)&gt;0,N(K3110)&lt;J3110),OR(M3110="PENDENTE",M3110="PARCIAL"),OR(N3110="PENDENTE",N3110="PARCIAL")),1,0))</f>
        <v/>
      </c>
      <c r="W3110" s="8">
        <f>IF(AND(V3110=1,D3110&lt;&gt;""),IF(D3110&gt;=corte,(B3110="CRÍTICO")*1E9+(100000-D3110)*10000+10000-ROW(),""),"")</f>
        <v/>
      </c>
      <c r="X3110" s="8">
        <f>IF(AND(V3110=1,D3110=pas_data,E3110=pas_turno),10000-ROW(),"")</f>
        <v/>
      </c>
    </row>
    <row r="3111">
      <c r="A3111" s="3">
        <f>IF(D3111="","","TT-"&amp;TEXT(ROW()-1,"00000"))</f>
        <v/>
      </c>
      <c r="B3111" s="3">
        <f>IF(D3111="","",IF(V3111=0,"CONCLUÍDO",IF(D3111&lt;corte,"HISTÓRICO",IF(OR(AND(ISNUMBER(R3111),R3111&lt;TODAY()),AND(OR(N3111="PENDENTE",N3111="PARCIAL"),D3111&lt;TODAY()-1)),"CRÍTICO",IF(OR(AND(P3111&lt;&gt;"",S3111=""),AND(N3111="REALIZADO",M3111="PENDENTE"),AND(ISNUMBER(R3111),R3111=TODAY())),"ATENÇÃO",IF(N(K3111)=0,"PENDENTE","EM ANDAMENTO"))))))</f>
        <v/>
      </c>
      <c r="C3111" s="3">
        <f>IF(D3111="","",IF(V3111=0,"🟢 OK",IF(D3111&lt;corte,"⚪ HISTÓRICO (sem baixa)",IF(AND(ISNUMBER(R3111),R3111&lt;TODAY()),"🔴 PRAZO VENCIDO",IF(AND(OR(N3111="PENDENTE",N3111="PARCIAL"),D3111&lt;TODAY()-1),"🔴 EMBARQUE ATRASADO",IF(AND(N3111="REALIZADO",M3111="PENDENTE"),"🟡 EMBARCADO SEM FATURAR",IF(AND(P3111&lt;&gt;"",S3111="",OR(Q3111="",R3111="")),"🟡 PENDÊNCIA SEM RESPONSÁVEL/PRAZO",IF(AND(ISNUMBER(R3111),R3111=TODAY()),"🟡 VENCE HOJE",IF(AND(P3111&lt;&gt;"",S3111=""),"🟡 PENDÊNCIA ABERTA",IF(AND(N(J3111)&gt;0,N(K3111)&lt;J3111),"🟡 FALTA EXECUTAR",IF(OR(M3111="PENDENTE",M3111="PARCIAL"),"🟡 FATURAMENTO PENDENTE","🟡 EMBARQUE PENDENTE")))))))))))</f>
        <v/>
      </c>
      <c r="D3111" s="4" t="n"/>
      <c r="E3111" s="5" t="n"/>
      <c r="F3111" s="5" t="n"/>
      <c r="G3111" s="5" t="n"/>
      <c r="H3111" s="5" t="n"/>
      <c r="I3111" s="5" t="n"/>
      <c r="J3111" s="6" t="n"/>
      <c r="K3111" s="6" t="n"/>
      <c r="L3111" s="7">
        <f>IF(OR(D3111="",N(J3111)=0),"",MIN(1,N(K3111)/J3111))</f>
        <v/>
      </c>
      <c r="M3111" s="5" t="n"/>
      <c r="N3111" s="5" t="n"/>
      <c r="O3111" s="5" t="n"/>
      <c r="P3111" s="5" t="n"/>
      <c r="Q3111" s="5" t="n"/>
      <c r="R3111" s="4" t="n"/>
      <c r="S3111" s="4" t="n"/>
      <c r="T3111" s="5" t="n"/>
      <c r="U3111" s="8">
        <f>IF(AND(V3111=1,D3111&lt;&gt;""),IF(D3111&gt;=corte,TODAY()-D3111,""),"")</f>
        <v/>
      </c>
      <c r="V3111" s="8">
        <f>IF(D3111="",0,IF(OR(AND(P3111&lt;&gt;"",S3111=""),AND(N(J3111)&gt;0,N(K3111)&lt;J3111),OR(M3111="PENDENTE",M3111="PARCIAL"),OR(N3111="PENDENTE",N3111="PARCIAL")),1,0))</f>
        <v/>
      </c>
      <c r="W3111" s="8">
        <f>IF(AND(V3111=1,D3111&lt;&gt;""),IF(D3111&gt;=corte,(B3111="CRÍTICO")*1E9+(100000-D3111)*10000+10000-ROW(),""),"")</f>
        <v/>
      </c>
      <c r="X3111" s="8">
        <f>IF(AND(V3111=1,D3111=pas_data,E3111=pas_turno),10000-ROW(),"")</f>
        <v/>
      </c>
    </row>
    <row r="3112">
      <c r="A3112" s="3">
        <f>IF(D3112="","","TT-"&amp;TEXT(ROW()-1,"00000"))</f>
        <v/>
      </c>
      <c r="B3112" s="3">
        <f>IF(D3112="","",IF(V3112=0,"CONCLUÍDO",IF(D3112&lt;corte,"HISTÓRICO",IF(OR(AND(ISNUMBER(R3112),R3112&lt;TODAY()),AND(OR(N3112="PENDENTE",N3112="PARCIAL"),D3112&lt;TODAY()-1)),"CRÍTICO",IF(OR(AND(P3112&lt;&gt;"",S3112=""),AND(N3112="REALIZADO",M3112="PENDENTE"),AND(ISNUMBER(R3112),R3112=TODAY())),"ATENÇÃO",IF(N(K3112)=0,"PENDENTE","EM ANDAMENTO"))))))</f>
        <v/>
      </c>
      <c r="C3112" s="3">
        <f>IF(D3112="","",IF(V3112=0,"🟢 OK",IF(D3112&lt;corte,"⚪ HISTÓRICO (sem baixa)",IF(AND(ISNUMBER(R3112),R3112&lt;TODAY()),"🔴 PRAZO VENCIDO",IF(AND(OR(N3112="PENDENTE",N3112="PARCIAL"),D3112&lt;TODAY()-1),"🔴 EMBARQUE ATRASADO",IF(AND(N3112="REALIZADO",M3112="PENDENTE"),"🟡 EMBARCADO SEM FATURAR",IF(AND(P3112&lt;&gt;"",S3112="",OR(Q3112="",R3112="")),"🟡 PENDÊNCIA SEM RESPONSÁVEL/PRAZO",IF(AND(ISNUMBER(R3112),R3112=TODAY()),"🟡 VENCE HOJE",IF(AND(P3112&lt;&gt;"",S3112=""),"🟡 PENDÊNCIA ABERTA",IF(AND(N(J3112)&gt;0,N(K3112)&lt;J3112),"🟡 FALTA EXECUTAR",IF(OR(M3112="PENDENTE",M3112="PARCIAL"),"🟡 FATURAMENTO PENDENTE","🟡 EMBARQUE PENDENTE")))))))))))</f>
        <v/>
      </c>
      <c r="D3112" s="4" t="n"/>
      <c r="E3112" s="5" t="n"/>
      <c r="F3112" s="5" t="n"/>
      <c r="G3112" s="5" t="n"/>
      <c r="H3112" s="5" t="n"/>
      <c r="I3112" s="5" t="n"/>
      <c r="J3112" s="6" t="n"/>
      <c r="K3112" s="6" t="n"/>
      <c r="L3112" s="7">
        <f>IF(OR(D3112="",N(J3112)=0),"",MIN(1,N(K3112)/J3112))</f>
        <v/>
      </c>
      <c r="M3112" s="5" t="n"/>
      <c r="N3112" s="5" t="n"/>
      <c r="O3112" s="5" t="n"/>
      <c r="P3112" s="5" t="n"/>
      <c r="Q3112" s="5" t="n"/>
      <c r="R3112" s="4" t="n"/>
      <c r="S3112" s="4" t="n"/>
      <c r="T3112" s="5" t="n"/>
      <c r="U3112" s="8">
        <f>IF(AND(V3112=1,D3112&lt;&gt;""),IF(D3112&gt;=corte,TODAY()-D3112,""),"")</f>
        <v/>
      </c>
      <c r="V3112" s="8">
        <f>IF(D3112="",0,IF(OR(AND(P3112&lt;&gt;"",S3112=""),AND(N(J3112)&gt;0,N(K3112)&lt;J3112),OR(M3112="PENDENTE",M3112="PARCIAL"),OR(N3112="PENDENTE",N3112="PARCIAL")),1,0))</f>
        <v/>
      </c>
      <c r="W3112" s="8">
        <f>IF(AND(V3112=1,D3112&lt;&gt;""),IF(D3112&gt;=corte,(B3112="CRÍTICO")*1E9+(100000-D3112)*10000+10000-ROW(),""),"")</f>
        <v/>
      </c>
      <c r="X3112" s="8">
        <f>IF(AND(V3112=1,D3112=pas_data,E3112=pas_turno),10000-ROW(),"")</f>
        <v/>
      </c>
    </row>
    <row r="3113">
      <c r="A3113" s="3">
        <f>IF(D3113="","","TT-"&amp;TEXT(ROW()-1,"00000"))</f>
        <v/>
      </c>
      <c r="B3113" s="3">
        <f>IF(D3113="","",IF(V3113=0,"CONCLUÍDO",IF(D3113&lt;corte,"HISTÓRICO",IF(OR(AND(ISNUMBER(R3113),R3113&lt;TODAY()),AND(OR(N3113="PENDENTE",N3113="PARCIAL"),D3113&lt;TODAY()-1)),"CRÍTICO",IF(OR(AND(P3113&lt;&gt;"",S3113=""),AND(N3113="REALIZADO",M3113="PENDENTE"),AND(ISNUMBER(R3113),R3113=TODAY())),"ATENÇÃO",IF(N(K3113)=0,"PENDENTE","EM ANDAMENTO"))))))</f>
        <v/>
      </c>
      <c r="C3113" s="3">
        <f>IF(D3113="","",IF(V3113=0,"🟢 OK",IF(D3113&lt;corte,"⚪ HISTÓRICO (sem baixa)",IF(AND(ISNUMBER(R3113),R3113&lt;TODAY()),"🔴 PRAZO VENCIDO",IF(AND(OR(N3113="PENDENTE",N3113="PARCIAL"),D3113&lt;TODAY()-1),"🔴 EMBARQUE ATRASADO",IF(AND(N3113="REALIZADO",M3113="PENDENTE"),"🟡 EMBARCADO SEM FATURAR",IF(AND(P3113&lt;&gt;"",S3113="",OR(Q3113="",R3113="")),"🟡 PENDÊNCIA SEM RESPONSÁVEL/PRAZO",IF(AND(ISNUMBER(R3113),R3113=TODAY()),"🟡 VENCE HOJE",IF(AND(P3113&lt;&gt;"",S3113=""),"🟡 PENDÊNCIA ABERTA",IF(AND(N(J3113)&gt;0,N(K3113)&lt;J3113),"🟡 FALTA EXECUTAR",IF(OR(M3113="PENDENTE",M3113="PARCIAL"),"🟡 FATURAMENTO PENDENTE","🟡 EMBARQUE PENDENTE")))))))))))</f>
        <v/>
      </c>
      <c r="D3113" s="4" t="n"/>
      <c r="E3113" s="5" t="n"/>
      <c r="F3113" s="5" t="n"/>
      <c r="G3113" s="5" t="n"/>
      <c r="H3113" s="5" t="n"/>
      <c r="I3113" s="5" t="n"/>
      <c r="J3113" s="6" t="n"/>
      <c r="K3113" s="6" t="n"/>
      <c r="L3113" s="7">
        <f>IF(OR(D3113="",N(J3113)=0),"",MIN(1,N(K3113)/J3113))</f>
        <v/>
      </c>
      <c r="M3113" s="5" t="n"/>
      <c r="N3113" s="5" t="n"/>
      <c r="O3113" s="5" t="n"/>
      <c r="P3113" s="5" t="n"/>
      <c r="Q3113" s="5" t="n"/>
      <c r="R3113" s="4" t="n"/>
      <c r="S3113" s="4" t="n"/>
      <c r="T3113" s="5" t="n"/>
      <c r="U3113" s="8">
        <f>IF(AND(V3113=1,D3113&lt;&gt;""),IF(D3113&gt;=corte,TODAY()-D3113,""),"")</f>
        <v/>
      </c>
      <c r="V3113" s="8">
        <f>IF(D3113="",0,IF(OR(AND(P3113&lt;&gt;"",S3113=""),AND(N(J3113)&gt;0,N(K3113)&lt;J3113),OR(M3113="PENDENTE",M3113="PARCIAL"),OR(N3113="PENDENTE",N3113="PARCIAL")),1,0))</f>
        <v/>
      </c>
      <c r="W3113" s="8">
        <f>IF(AND(V3113=1,D3113&lt;&gt;""),IF(D3113&gt;=corte,(B3113="CRÍTICO")*1E9+(100000-D3113)*10000+10000-ROW(),""),"")</f>
        <v/>
      </c>
      <c r="X3113" s="8">
        <f>IF(AND(V3113=1,D3113=pas_data,E3113=pas_turno),10000-ROW(),"")</f>
        <v/>
      </c>
    </row>
    <row r="3114">
      <c r="A3114" s="3">
        <f>IF(D3114="","","TT-"&amp;TEXT(ROW()-1,"00000"))</f>
        <v/>
      </c>
      <c r="B3114" s="3">
        <f>IF(D3114="","",IF(V3114=0,"CONCLUÍDO",IF(D3114&lt;corte,"HISTÓRICO",IF(OR(AND(ISNUMBER(R3114),R3114&lt;TODAY()),AND(OR(N3114="PENDENTE",N3114="PARCIAL"),D3114&lt;TODAY()-1)),"CRÍTICO",IF(OR(AND(P3114&lt;&gt;"",S3114=""),AND(N3114="REALIZADO",M3114="PENDENTE"),AND(ISNUMBER(R3114),R3114=TODAY())),"ATENÇÃO",IF(N(K3114)=0,"PENDENTE","EM ANDAMENTO"))))))</f>
        <v/>
      </c>
      <c r="C3114" s="3">
        <f>IF(D3114="","",IF(V3114=0,"🟢 OK",IF(D3114&lt;corte,"⚪ HISTÓRICO (sem baixa)",IF(AND(ISNUMBER(R3114),R3114&lt;TODAY()),"🔴 PRAZO VENCIDO",IF(AND(OR(N3114="PENDENTE",N3114="PARCIAL"),D3114&lt;TODAY()-1),"🔴 EMBARQUE ATRASADO",IF(AND(N3114="REALIZADO",M3114="PENDENTE"),"🟡 EMBARCADO SEM FATURAR",IF(AND(P3114&lt;&gt;"",S3114="",OR(Q3114="",R3114="")),"🟡 PENDÊNCIA SEM RESPONSÁVEL/PRAZO",IF(AND(ISNUMBER(R3114),R3114=TODAY()),"🟡 VENCE HOJE",IF(AND(P3114&lt;&gt;"",S3114=""),"🟡 PENDÊNCIA ABERTA",IF(AND(N(J3114)&gt;0,N(K3114)&lt;J3114),"🟡 FALTA EXECUTAR",IF(OR(M3114="PENDENTE",M3114="PARCIAL"),"🟡 FATURAMENTO PENDENTE","🟡 EMBARQUE PENDENTE")))))))))))</f>
        <v/>
      </c>
      <c r="D3114" s="4" t="n"/>
      <c r="E3114" s="5" t="n"/>
      <c r="F3114" s="5" t="n"/>
      <c r="G3114" s="5" t="n"/>
      <c r="H3114" s="5" t="n"/>
      <c r="I3114" s="5" t="n"/>
      <c r="J3114" s="6" t="n"/>
      <c r="K3114" s="6" t="n"/>
      <c r="L3114" s="7">
        <f>IF(OR(D3114="",N(J3114)=0),"",MIN(1,N(K3114)/J3114))</f>
        <v/>
      </c>
      <c r="M3114" s="5" t="n"/>
      <c r="N3114" s="5" t="n"/>
      <c r="O3114" s="5" t="n"/>
      <c r="P3114" s="5" t="n"/>
      <c r="Q3114" s="5" t="n"/>
      <c r="R3114" s="4" t="n"/>
      <c r="S3114" s="4" t="n"/>
      <c r="T3114" s="5" t="n"/>
      <c r="U3114" s="8">
        <f>IF(AND(V3114=1,D3114&lt;&gt;""),IF(D3114&gt;=corte,TODAY()-D3114,""),"")</f>
        <v/>
      </c>
      <c r="V3114" s="8">
        <f>IF(D3114="",0,IF(OR(AND(P3114&lt;&gt;"",S3114=""),AND(N(J3114)&gt;0,N(K3114)&lt;J3114),OR(M3114="PENDENTE",M3114="PARCIAL"),OR(N3114="PENDENTE",N3114="PARCIAL")),1,0))</f>
        <v/>
      </c>
      <c r="W3114" s="8">
        <f>IF(AND(V3114=1,D3114&lt;&gt;""),IF(D3114&gt;=corte,(B3114="CRÍTICO")*1E9+(100000-D3114)*10000+10000-ROW(),""),"")</f>
        <v/>
      </c>
      <c r="X3114" s="8">
        <f>IF(AND(V3114=1,D3114=pas_data,E3114=pas_turno),10000-ROW(),"")</f>
        <v/>
      </c>
    </row>
    <row r="3115">
      <c r="A3115" s="3">
        <f>IF(D3115="","","TT-"&amp;TEXT(ROW()-1,"00000"))</f>
        <v/>
      </c>
      <c r="B3115" s="3">
        <f>IF(D3115="","",IF(V3115=0,"CONCLUÍDO",IF(D3115&lt;corte,"HISTÓRICO",IF(OR(AND(ISNUMBER(R3115),R3115&lt;TODAY()),AND(OR(N3115="PENDENTE",N3115="PARCIAL"),D3115&lt;TODAY()-1)),"CRÍTICO",IF(OR(AND(P3115&lt;&gt;"",S3115=""),AND(N3115="REALIZADO",M3115="PENDENTE"),AND(ISNUMBER(R3115),R3115=TODAY())),"ATENÇÃO",IF(N(K3115)=0,"PENDENTE","EM ANDAMENTO"))))))</f>
        <v/>
      </c>
      <c r="C3115" s="3">
        <f>IF(D3115="","",IF(V3115=0,"🟢 OK",IF(D3115&lt;corte,"⚪ HISTÓRICO (sem baixa)",IF(AND(ISNUMBER(R3115),R3115&lt;TODAY()),"🔴 PRAZO VENCIDO",IF(AND(OR(N3115="PENDENTE",N3115="PARCIAL"),D3115&lt;TODAY()-1),"🔴 EMBARQUE ATRASADO",IF(AND(N3115="REALIZADO",M3115="PENDENTE"),"🟡 EMBARCADO SEM FATURAR",IF(AND(P3115&lt;&gt;"",S3115="",OR(Q3115="",R3115="")),"🟡 PENDÊNCIA SEM RESPONSÁVEL/PRAZO",IF(AND(ISNUMBER(R3115),R3115=TODAY()),"🟡 VENCE HOJE",IF(AND(P3115&lt;&gt;"",S3115=""),"🟡 PENDÊNCIA ABERTA",IF(AND(N(J3115)&gt;0,N(K3115)&lt;J3115),"🟡 FALTA EXECUTAR",IF(OR(M3115="PENDENTE",M3115="PARCIAL"),"🟡 FATURAMENTO PENDENTE","🟡 EMBARQUE PENDENTE")))))))))))</f>
        <v/>
      </c>
      <c r="D3115" s="4" t="n"/>
      <c r="E3115" s="5" t="n"/>
      <c r="F3115" s="5" t="n"/>
      <c r="G3115" s="5" t="n"/>
      <c r="H3115" s="5" t="n"/>
      <c r="I3115" s="5" t="n"/>
      <c r="J3115" s="6" t="n"/>
      <c r="K3115" s="6" t="n"/>
      <c r="L3115" s="7">
        <f>IF(OR(D3115="",N(J3115)=0),"",MIN(1,N(K3115)/J3115))</f>
        <v/>
      </c>
      <c r="M3115" s="5" t="n"/>
      <c r="N3115" s="5" t="n"/>
      <c r="O3115" s="5" t="n"/>
      <c r="P3115" s="5" t="n"/>
      <c r="Q3115" s="5" t="n"/>
      <c r="R3115" s="4" t="n"/>
      <c r="S3115" s="4" t="n"/>
      <c r="T3115" s="5" t="n"/>
      <c r="U3115" s="8">
        <f>IF(AND(V3115=1,D3115&lt;&gt;""),IF(D3115&gt;=corte,TODAY()-D3115,""),"")</f>
        <v/>
      </c>
      <c r="V3115" s="8">
        <f>IF(D3115="",0,IF(OR(AND(P3115&lt;&gt;"",S3115=""),AND(N(J3115)&gt;0,N(K3115)&lt;J3115),OR(M3115="PENDENTE",M3115="PARCIAL"),OR(N3115="PENDENTE",N3115="PARCIAL")),1,0))</f>
        <v/>
      </c>
      <c r="W3115" s="8">
        <f>IF(AND(V3115=1,D3115&lt;&gt;""),IF(D3115&gt;=corte,(B3115="CRÍTICO")*1E9+(100000-D3115)*10000+10000-ROW(),""),"")</f>
        <v/>
      </c>
      <c r="X3115" s="8">
        <f>IF(AND(V3115=1,D3115=pas_data,E3115=pas_turno),10000-ROW(),"")</f>
        <v/>
      </c>
    </row>
    <row r="3116">
      <c r="A3116" s="3">
        <f>IF(D3116="","","TT-"&amp;TEXT(ROW()-1,"00000"))</f>
        <v/>
      </c>
      <c r="B3116" s="3">
        <f>IF(D3116="","",IF(V3116=0,"CONCLUÍDO",IF(D3116&lt;corte,"HISTÓRICO",IF(OR(AND(ISNUMBER(R3116),R3116&lt;TODAY()),AND(OR(N3116="PENDENTE",N3116="PARCIAL"),D3116&lt;TODAY()-1)),"CRÍTICO",IF(OR(AND(P3116&lt;&gt;"",S3116=""),AND(N3116="REALIZADO",M3116="PENDENTE"),AND(ISNUMBER(R3116),R3116=TODAY())),"ATENÇÃO",IF(N(K3116)=0,"PENDENTE","EM ANDAMENTO"))))))</f>
        <v/>
      </c>
      <c r="C3116" s="3">
        <f>IF(D3116="","",IF(V3116=0,"🟢 OK",IF(D3116&lt;corte,"⚪ HISTÓRICO (sem baixa)",IF(AND(ISNUMBER(R3116),R3116&lt;TODAY()),"🔴 PRAZO VENCIDO",IF(AND(OR(N3116="PENDENTE",N3116="PARCIAL"),D3116&lt;TODAY()-1),"🔴 EMBARQUE ATRASADO",IF(AND(N3116="REALIZADO",M3116="PENDENTE"),"🟡 EMBARCADO SEM FATURAR",IF(AND(P3116&lt;&gt;"",S3116="",OR(Q3116="",R3116="")),"🟡 PENDÊNCIA SEM RESPONSÁVEL/PRAZO",IF(AND(ISNUMBER(R3116),R3116=TODAY()),"🟡 VENCE HOJE",IF(AND(P3116&lt;&gt;"",S3116=""),"🟡 PENDÊNCIA ABERTA",IF(AND(N(J3116)&gt;0,N(K3116)&lt;J3116),"🟡 FALTA EXECUTAR",IF(OR(M3116="PENDENTE",M3116="PARCIAL"),"🟡 FATURAMENTO PENDENTE","🟡 EMBARQUE PENDENTE")))))))))))</f>
        <v/>
      </c>
      <c r="D3116" s="4" t="n"/>
      <c r="E3116" s="5" t="n"/>
      <c r="F3116" s="5" t="n"/>
      <c r="G3116" s="5" t="n"/>
      <c r="H3116" s="5" t="n"/>
      <c r="I3116" s="5" t="n"/>
      <c r="J3116" s="6" t="n"/>
      <c r="K3116" s="6" t="n"/>
      <c r="L3116" s="7">
        <f>IF(OR(D3116="",N(J3116)=0),"",MIN(1,N(K3116)/J3116))</f>
        <v/>
      </c>
      <c r="M3116" s="5" t="n"/>
      <c r="N3116" s="5" t="n"/>
      <c r="O3116" s="5" t="n"/>
      <c r="P3116" s="5" t="n"/>
      <c r="Q3116" s="5" t="n"/>
      <c r="R3116" s="4" t="n"/>
      <c r="S3116" s="4" t="n"/>
      <c r="T3116" s="5" t="n"/>
      <c r="U3116" s="8">
        <f>IF(AND(V3116=1,D3116&lt;&gt;""),IF(D3116&gt;=corte,TODAY()-D3116,""),"")</f>
        <v/>
      </c>
      <c r="V3116" s="8">
        <f>IF(D3116="",0,IF(OR(AND(P3116&lt;&gt;"",S3116=""),AND(N(J3116)&gt;0,N(K3116)&lt;J3116),OR(M3116="PENDENTE",M3116="PARCIAL"),OR(N3116="PENDENTE",N3116="PARCIAL")),1,0))</f>
        <v/>
      </c>
      <c r="W3116" s="8">
        <f>IF(AND(V3116=1,D3116&lt;&gt;""),IF(D3116&gt;=corte,(B3116="CRÍTICO")*1E9+(100000-D3116)*10000+10000-ROW(),""),"")</f>
        <v/>
      </c>
      <c r="X3116" s="8">
        <f>IF(AND(V3116=1,D3116=pas_data,E3116=pas_turno),10000-ROW(),"")</f>
        <v/>
      </c>
    </row>
    <row r="3117">
      <c r="A3117" s="3">
        <f>IF(D3117="","","TT-"&amp;TEXT(ROW()-1,"00000"))</f>
        <v/>
      </c>
      <c r="B3117" s="3">
        <f>IF(D3117="","",IF(V3117=0,"CONCLUÍDO",IF(D3117&lt;corte,"HISTÓRICO",IF(OR(AND(ISNUMBER(R3117),R3117&lt;TODAY()),AND(OR(N3117="PENDENTE",N3117="PARCIAL"),D3117&lt;TODAY()-1)),"CRÍTICO",IF(OR(AND(P3117&lt;&gt;"",S3117=""),AND(N3117="REALIZADO",M3117="PENDENTE"),AND(ISNUMBER(R3117),R3117=TODAY())),"ATENÇÃO",IF(N(K3117)=0,"PENDENTE","EM ANDAMENTO"))))))</f>
        <v/>
      </c>
      <c r="C3117" s="3">
        <f>IF(D3117="","",IF(V3117=0,"🟢 OK",IF(D3117&lt;corte,"⚪ HISTÓRICO (sem baixa)",IF(AND(ISNUMBER(R3117),R3117&lt;TODAY()),"🔴 PRAZO VENCIDO",IF(AND(OR(N3117="PENDENTE",N3117="PARCIAL"),D3117&lt;TODAY()-1),"🔴 EMBARQUE ATRASADO",IF(AND(N3117="REALIZADO",M3117="PENDENTE"),"🟡 EMBARCADO SEM FATURAR",IF(AND(P3117&lt;&gt;"",S3117="",OR(Q3117="",R3117="")),"🟡 PENDÊNCIA SEM RESPONSÁVEL/PRAZO",IF(AND(ISNUMBER(R3117),R3117=TODAY()),"🟡 VENCE HOJE",IF(AND(P3117&lt;&gt;"",S3117=""),"🟡 PENDÊNCIA ABERTA",IF(AND(N(J3117)&gt;0,N(K3117)&lt;J3117),"🟡 FALTA EXECUTAR",IF(OR(M3117="PENDENTE",M3117="PARCIAL"),"🟡 FATURAMENTO PENDENTE","🟡 EMBARQUE PENDENTE")))))))))))</f>
        <v/>
      </c>
      <c r="D3117" s="4" t="n"/>
      <c r="E3117" s="5" t="n"/>
      <c r="F3117" s="5" t="n"/>
      <c r="G3117" s="5" t="n"/>
      <c r="H3117" s="5" t="n"/>
      <c r="I3117" s="5" t="n"/>
      <c r="J3117" s="6" t="n"/>
      <c r="K3117" s="6" t="n"/>
      <c r="L3117" s="7">
        <f>IF(OR(D3117="",N(J3117)=0),"",MIN(1,N(K3117)/J3117))</f>
        <v/>
      </c>
      <c r="M3117" s="5" t="n"/>
      <c r="N3117" s="5" t="n"/>
      <c r="O3117" s="5" t="n"/>
      <c r="P3117" s="5" t="n"/>
      <c r="Q3117" s="5" t="n"/>
      <c r="R3117" s="4" t="n"/>
      <c r="S3117" s="4" t="n"/>
      <c r="T3117" s="5" t="n"/>
      <c r="U3117" s="8">
        <f>IF(AND(V3117=1,D3117&lt;&gt;""),IF(D3117&gt;=corte,TODAY()-D3117,""),"")</f>
        <v/>
      </c>
      <c r="V3117" s="8">
        <f>IF(D3117="",0,IF(OR(AND(P3117&lt;&gt;"",S3117=""),AND(N(J3117)&gt;0,N(K3117)&lt;J3117),OR(M3117="PENDENTE",M3117="PARCIAL"),OR(N3117="PENDENTE",N3117="PARCIAL")),1,0))</f>
        <v/>
      </c>
      <c r="W3117" s="8">
        <f>IF(AND(V3117=1,D3117&lt;&gt;""),IF(D3117&gt;=corte,(B3117="CRÍTICO")*1E9+(100000-D3117)*10000+10000-ROW(),""),"")</f>
        <v/>
      </c>
      <c r="X3117" s="8">
        <f>IF(AND(V3117=1,D3117=pas_data,E3117=pas_turno),10000-ROW(),"")</f>
        <v/>
      </c>
    </row>
    <row r="3118">
      <c r="A3118" s="3">
        <f>IF(D3118="","","TT-"&amp;TEXT(ROW()-1,"00000"))</f>
        <v/>
      </c>
      <c r="B3118" s="3">
        <f>IF(D3118="","",IF(V3118=0,"CONCLUÍDO",IF(D3118&lt;corte,"HISTÓRICO",IF(OR(AND(ISNUMBER(R3118),R3118&lt;TODAY()),AND(OR(N3118="PENDENTE",N3118="PARCIAL"),D3118&lt;TODAY()-1)),"CRÍTICO",IF(OR(AND(P3118&lt;&gt;"",S3118=""),AND(N3118="REALIZADO",M3118="PENDENTE"),AND(ISNUMBER(R3118),R3118=TODAY())),"ATENÇÃO",IF(N(K3118)=0,"PENDENTE","EM ANDAMENTO"))))))</f>
        <v/>
      </c>
      <c r="C3118" s="3">
        <f>IF(D3118="","",IF(V3118=0,"🟢 OK",IF(D3118&lt;corte,"⚪ HISTÓRICO (sem baixa)",IF(AND(ISNUMBER(R3118),R3118&lt;TODAY()),"🔴 PRAZO VENCIDO",IF(AND(OR(N3118="PENDENTE",N3118="PARCIAL"),D3118&lt;TODAY()-1),"🔴 EMBARQUE ATRASADO",IF(AND(N3118="REALIZADO",M3118="PENDENTE"),"🟡 EMBARCADO SEM FATURAR",IF(AND(P3118&lt;&gt;"",S3118="",OR(Q3118="",R3118="")),"🟡 PENDÊNCIA SEM RESPONSÁVEL/PRAZO",IF(AND(ISNUMBER(R3118),R3118=TODAY()),"🟡 VENCE HOJE",IF(AND(P3118&lt;&gt;"",S3118=""),"🟡 PENDÊNCIA ABERTA",IF(AND(N(J3118)&gt;0,N(K3118)&lt;J3118),"🟡 FALTA EXECUTAR",IF(OR(M3118="PENDENTE",M3118="PARCIAL"),"🟡 FATURAMENTO PENDENTE","🟡 EMBARQUE PENDENTE")))))))))))</f>
        <v/>
      </c>
      <c r="D3118" s="4" t="n"/>
      <c r="E3118" s="5" t="n"/>
      <c r="F3118" s="5" t="n"/>
      <c r="G3118" s="5" t="n"/>
      <c r="H3118" s="5" t="n"/>
      <c r="I3118" s="5" t="n"/>
      <c r="J3118" s="6" t="n"/>
      <c r="K3118" s="6" t="n"/>
      <c r="L3118" s="7">
        <f>IF(OR(D3118="",N(J3118)=0),"",MIN(1,N(K3118)/J3118))</f>
        <v/>
      </c>
      <c r="M3118" s="5" t="n"/>
      <c r="N3118" s="5" t="n"/>
      <c r="O3118" s="5" t="n"/>
      <c r="P3118" s="5" t="n"/>
      <c r="Q3118" s="5" t="n"/>
      <c r="R3118" s="4" t="n"/>
      <c r="S3118" s="4" t="n"/>
      <c r="T3118" s="5" t="n"/>
      <c r="U3118" s="8">
        <f>IF(AND(V3118=1,D3118&lt;&gt;""),IF(D3118&gt;=corte,TODAY()-D3118,""),"")</f>
        <v/>
      </c>
      <c r="V3118" s="8">
        <f>IF(D3118="",0,IF(OR(AND(P3118&lt;&gt;"",S3118=""),AND(N(J3118)&gt;0,N(K3118)&lt;J3118),OR(M3118="PENDENTE",M3118="PARCIAL"),OR(N3118="PENDENTE",N3118="PARCIAL")),1,0))</f>
        <v/>
      </c>
      <c r="W3118" s="8">
        <f>IF(AND(V3118=1,D3118&lt;&gt;""),IF(D3118&gt;=corte,(B3118="CRÍTICO")*1E9+(100000-D3118)*10000+10000-ROW(),""),"")</f>
        <v/>
      </c>
      <c r="X3118" s="8">
        <f>IF(AND(V3118=1,D3118=pas_data,E3118=pas_turno),10000-ROW(),"")</f>
        <v/>
      </c>
    </row>
    <row r="3119">
      <c r="A3119" s="3">
        <f>IF(D3119="","","TT-"&amp;TEXT(ROW()-1,"00000"))</f>
        <v/>
      </c>
      <c r="B3119" s="3">
        <f>IF(D3119="","",IF(V3119=0,"CONCLUÍDO",IF(D3119&lt;corte,"HISTÓRICO",IF(OR(AND(ISNUMBER(R3119),R3119&lt;TODAY()),AND(OR(N3119="PENDENTE",N3119="PARCIAL"),D3119&lt;TODAY()-1)),"CRÍTICO",IF(OR(AND(P3119&lt;&gt;"",S3119=""),AND(N3119="REALIZADO",M3119="PENDENTE"),AND(ISNUMBER(R3119),R3119=TODAY())),"ATENÇÃO",IF(N(K3119)=0,"PENDENTE","EM ANDAMENTO"))))))</f>
        <v/>
      </c>
      <c r="C3119" s="3">
        <f>IF(D3119="","",IF(V3119=0,"🟢 OK",IF(D3119&lt;corte,"⚪ HISTÓRICO (sem baixa)",IF(AND(ISNUMBER(R3119),R3119&lt;TODAY()),"🔴 PRAZO VENCIDO",IF(AND(OR(N3119="PENDENTE",N3119="PARCIAL"),D3119&lt;TODAY()-1),"🔴 EMBARQUE ATRASADO",IF(AND(N3119="REALIZADO",M3119="PENDENTE"),"🟡 EMBARCADO SEM FATURAR",IF(AND(P3119&lt;&gt;"",S3119="",OR(Q3119="",R3119="")),"🟡 PENDÊNCIA SEM RESPONSÁVEL/PRAZO",IF(AND(ISNUMBER(R3119),R3119=TODAY()),"🟡 VENCE HOJE",IF(AND(P3119&lt;&gt;"",S3119=""),"🟡 PENDÊNCIA ABERTA",IF(AND(N(J3119)&gt;0,N(K3119)&lt;J3119),"🟡 FALTA EXECUTAR",IF(OR(M3119="PENDENTE",M3119="PARCIAL"),"🟡 FATURAMENTO PENDENTE","🟡 EMBARQUE PENDENTE")))))))))))</f>
        <v/>
      </c>
      <c r="D3119" s="4" t="n"/>
      <c r="E3119" s="5" t="n"/>
      <c r="F3119" s="5" t="n"/>
      <c r="G3119" s="5" t="n"/>
      <c r="H3119" s="5" t="n"/>
      <c r="I3119" s="5" t="n"/>
      <c r="J3119" s="6" t="n"/>
      <c r="K3119" s="6" t="n"/>
      <c r="L3119" s="7">
        <f>IF(OR(D3119="",N(J3119)=0),"",MIN(1,N(K3119)/J3119))</f>
        <v/>
      </c>
      <c r="M3119" s="5" t="n"/>
      <c r="N3119" s="5" t="n"/>
      <c r="O3119" s="5" t="n"/>
      <c r="P3119" s="5" t="n"/>
      <c r="Q3119" s="5" t="n"/>
      <c r="R3119" s="4" t="n"/>
      <c r="S3119" s="4" t="n"/>
      <c r="T3119" s="5" t="n"/>
      <c r="U3119" s="8">
        <f>IF(AND(V3119=1,D3119&lt;&gt;""),IF(D3119&gt;=corte,TODAY()-D3119,""),"")</f>
        <v/>
      </c>
      <c r="V3119" s="8">
        <f>IF(D3119="",0,IF(OR(AND(P3119&lt;&gt;"",S3119=""),AND(N(J3119)&gt;0,N(K3119)&lt;J3119),OR(M3119="PENDENTE",M3119="PARCIAL"),OR(N3119="PENDENTE",N3119="PARCIAL")),1,0))</f>
        <v/>
      </c>
      <c r="W3119" s="8">
        <f>IF(AND(V3119=1,D3119&lt;&gt;""),IF(D3119&gt;=corte,(B3119="CRÍTICO")*1E9+(100000-D3119)*10000+10000-ROW(),""),"")</f>
        <v/>
      </c>
      <c r="X3119" s="8">
        <f>IF(AND(V3119=1,D3119=pas_data,E3119=pas_turno),10000-ROW(),"")</f>
        <v/>
      </c>
    </row>
    <row r="3120">
      <c r="A3120" s="3">
        <f>IF(D3120="","","TT-"&amp;TEXT(ROW()-1,"00000"))</f>
        <v/>
      </c>
      <c r="B3120" s="3">
        <f>IF(D3120="","",IF(V3120=0,"CONCLUÍDO",IF(D3120&lt;corte,"HISTÓRICO",IF(OR(AND(ISNUMBER(R3120),R3120&lt;TODAY()),AND(OR(N3120="PENDENTE",N3120="PARCIAL"),D3120&lt;TODAY()-1)),"CRÍTICO",IF(OR(AND(P3120&lt;&gt;"",S3120=""),AND(N3120="REALIZADO",M3120="PENDENTE"),AND(ISNUMBER(R3120),R3120=TODAY())),"ATENÇÃO",IF(N(K3120)=0,"PENDENTE","EM ANDAMENTO"))))))</f>
        <v/>
      </c>
      <c r="C3120" s="3">
        <f>IF(D3120="","",IF(V3120=0,"🟢 OK",IF(D3120&lt;corte,"⚪ HISTÓRICO (sem baixa)",IF(AND(ISNUMBER(R3120),R3120&lt;TODAY()),"🔴 PRAZO VENCIDO",IF(AND(OR(N3120="PENDENTE",N3120="PARCIAL"),D3120&lt;TODAY()-1),"🔴 EMBARQUE ATRASADO",IF(AND(N3120="REALIZADO",M3120="PENDENTE"),"🟡 EMBARCADO SEM FATURAR",IF(AND(P3120&lt;&gt;"",S3120="",OR(Q3120="",R3120="")),"🟡 PENDÊNCIA SEM RESPONSÁVEL/PRAZO",IF(AND(ISNUMBER(R3120),R3120=TODAY()),"🟡 VENCE HOJE",IF(AND(P3120&lt;&gt;"",S3120=""),"🟡 PENDÊNCIA ABERTA",IF(AND(N(J3120)&gt;0,N(K3120)&lt;J3120),"🟡 FALTA EXECUTAR",IF(OR(M3120="PENDENTE",M3120="PARCIAL"),"🟡 FATURAMENTO PENDENTE","🟡 EMBARQUE PENDENTE")))))))))))</f>
        <v/>
      </c>
      <c r="D3120" s="4" t="n"/>
      <c r="E3120" s="5" t="n"/>
      <c r="F3120" s="5" t="n"/>
      <c r="G3120" s="5" t="n"/>
      <c r="H3120" s="5" t="n"/>
      <c r="I3120" s="5" t="n"/>
      <c r="J3120" s="6" t="n"/>
      <c r="K3120" s="6" t="n"/>
      <c r="L3120" s="7">
        <f>IF(OR(D3120="",N(J3120)=0),"",MIN(1,N(K3120)/J3120))</f>
        <v/>
      </c>
      <c r="M3120" s="5" t="n"/>
      <c r="N3120" s="5" t="n"/>
      <c r="O3120" s="5" t="n"/>
      <c r="P3120" s="5" t="n"/>
      <c r="Q3120" s="5" t="n"/>
      <c r="R3120" s="4" t="n"/>
      <c r="S3120" s="4" t="n"/>
      <c r="T3120" s="5" t="n"/>
      <c r="U3120" s="8">
        <f>IF(AND(V3120=1,D3120&lt;&gt;""),IF(D3120&gt;=corte,TODAY()-D3120,""),"")</f>
        <v/>
      </c>
      <c r="V3120" s="8">
        <f>IF(D3120="",0,IF(OR(AND(P3120&lt;&gt;"",S3120=""),AND(N(J3120)&gt;0,N(K3120)&lt;J3120),OR(M3120="PENDENTE",M3120="PARCIAL"),OR(N3120="PENDENTE",N3120="PARCIAL")),1,0))</f>
        <v/>
      </c>
      <c r="W3120" s="8">
        <f>IF(AND(V3120=1,D3120&lt;&gt;""),IF(D3120&gt;=corte,(B3120="CRÍTICO")*1E9+(100000-D3120)*10000+10000-ROW(),""),"")</f>
        <v/>
      </c>
      <c r="X3120" s="8">
        <f>IF(AND(V3120=1,D3120=pas_data,E3120=pas_turno),10000-ROW(),"")</f>
        <v/>
      </c>
    </row>
    <row r="3121">
      <c r="A3121" s="3">
        <f>IF(D3121="","","TT-"&amp;TEXT(ROW()-1,"00000"))</f>
        <v/>
      </c>
      <c r="B3121" s="3">
        <f>IF(D3121="","",IF(V3121=0,"CONCLUÍDO",IF(D3121&lt;corte,"HISTÓRICO",IF(OR(AND(ISNUMBER(R3121),R3121&lt;TODAY()),AND(OR(N3121="PENDENTE",N3121="PARCIAL"),D3121&lt;TODAY()-1)),"CRÍTICO",IF(OR(AND(P3121&lt;&gt;"",S3121=""),AND(N3121="REALIZADO",M3121="PENDENTE"),AND(ISNUMBER(R3121),R3121=TODAY())),"ATENÇÃO",IF(N(K3121)=0,"PENDENTE","EM ANDAMENTO"))))))</f>
        <v/>
      </c>
      <c r="C3121" s="3">
        <f>IF(D3121="","",IF(V3121=0,"🟢 OK",IF(D3121&lt;corte,"⚪ HISTÓRICO (sem baixa)",IF(AND(ISNUMBER(R3121),R3121&lt;TODAY()),"🔴 PRAZO VENCIDO",IF(AND(OR(N3121="PENDENTE",N3121="PARCIAL"),D3121&lt;TODAY()-1),"🔴 EMBARQUE ATRASADO",IF(AND(N3121="REALIZADO",M3121="PENDENTE"),"🟡 EMBARCADO SEM FATURAR",IF(AND(P3121&lt;&gt;"",S3121="",OR(Q3121="",R3121="")),"🟡 PENDÊNCIA SEM RESPONSÁVEL/PRAZO",IF(AND(ISNUMBER(R3121),R3121=TODAY()),"🟡 VENCE HOJE",IF(AND(P3121&lt;&gt;"",S3121=""),"🟡 PENDÊNCIA ABERTA",IF(AND(N(J3121)&gt;0,N(K3121)&lt;J3121),"🟡 FALTA EXECUTAR",IF(OR(M3121="PENDENTE",M3121="PARCIAL"),"🟡 FATURAMENTO PENDENTE","🟡 EMBARQUE PENDENTE")))))))))))</f>
        <v/>
      </c>
      <c r="D3121" s="4" t="n"/>
      <c r="E3121" s="5" t="n"/>
      <c r="F3121" s="5" t="n"/>
      <c r="G3121" s="5" t="n"/>
      <c r="H3121" s="5" t="n"/>
      <c r="I3121" s="5" t="n"/>
      <c r="J3121" s="6" t="n"/>
      <c r="K3121" s="6" t="n"/>
      <c r="L3121" s="7">
        <f>IF(OR(D3121="",N(J3121)=0),"",MIN(1,N(K3121)/J3121))</f>
        <v/>
      </c>
      <c r="M3121" s="5" t="n"/>
      <c r="N3121" s="5" t="n"/>
      <c r="O3121" s="5" t="n"/>
      <c r="P3121" s="5" t="n"/>
      <c r="Q3121" s="5" t="n"/>
      <c r="R3121" s="4" t="n"/>
      <c r="S3121" s="4" t="n"/>
      <c r="T3121" s="5" t="n"/>
      <c r="U3121" s="8">
        <f>IF(AND(V3121=1,D3121&lt;&gt;""),IF(D3121&gt;=corte,TODAY()-D3121,""),"")</f>
        <v/>
      </c>
      <c r="V3121" s="8">
        <f>IF(D3121="",0,IF(OR(AND(P3121&lt;&gt;"",S3121=""),AND(N(J3121)&gt;0,N(K3121)&lt;J3121),OR(M3121="PENDENTE",M3121="PARCIAL"),OR(N3121="PENDENTE",N3121="PARCIAL")),1,0))</f>
        <v/>
      </c>
      <c r="W3121" s="8">
        <f>IF(AND(V3121=1,D3121&lt;&gt;""),IF(D3121&gt;=corte,(B3121="CRÍTICO")*1E9+(100000-D3121)*10000+10000-ROW(),""),"")</f>
        <v/>
      </c>
      <c r="X3121" s="8">
        <f>IF(AND(V3121=1,D3121=pas_data,E3121=pas_turno),10000-ROW(),"")</f>
        <v/>
      </c>
    </row>
    <row r="3122">
      <c r="A3122" s="3">
        <f>IF(D3122="","","TT-"&amp;TEXT(ROW()-1,"00000"))</f>
        <v/>
      </c>
      <c r="B3122" s="3">
        <f>IF(D3122="","",IF(V3122=0,"CONCLUÍDO",IF(D3122&lt;corte,"HISTÓRICO",IF(OR(AND(ISNUMBER(R3122),R3122&lt;TODAY()),AND(OR(N3122="PENDENTE",N3122="PARCIAL"),D3122&lt;TODAY()-1)),"CRÍTICO",IF(OR(AND(P3122&lt;&gt;"",S3122=""),AND(N3122="REALIZADO",M3122="PENDENTE"),AND(ISNUMBER(R3122),R3122=TODAY())),"ATENÇÃO",IF(N(K3122)=0,"PENDENTE","EM ANDAMENTO"))))))</f>
        <v/>
      </c>
      <c r="C3122" s="3">
        <f>IF(D3122="","",IF(V3122=0,"🟢 OK",IF(D3122&lt;corte,"⚪ HISTÓRICO (sem baixa)",IF(AND(ISNUMBER(R3122),R3122&lt;TODAY()),"🔴 PRAZO VENCIDO",IF(AND(OR(N3122="PENDENTE",N3122="PARCIAL"),D3122&lt;TODAY()-1),"🔴 EMBARQUE ATRASADO",IF(AND(N3122="REALIZADO",M3122="PENDENTE"),"🟡 EMBARCADO SEM FATURAR",IF(AND(P3122&lt;&gt;"",S3122="",OR(Q3122="",R3122="")),"🟡 PENDÊNCIA SEM RESPONSÁVEL/PRAZO",IF(AND(ISNUMBER(R3122),R3122=TODAY()),"🟡 VENCE HOJE",IF(AND(P3122&lt;&gt;"",S3122=""),"🟡 PENDÊNCIA ABERTA",IF(AND(N(J3122)&gt;0,N(K3122)&lt;J3122),"🟡 FALTA EXECUTAR",IF(OR(M3122="PENDENTE",M3122="PARCIAL"),"🟡 FATURAMENTO PENDENTE","🟡 EMBARQUE PENDENTE")))))))))))</f>
        <v/>
      </c>
      <c r="D3122" s="4" t="n"/>
      <c r="E3122" s="5" t="n"/>
      <c r="F3122" s="5" t="n"/>
      <c r="G3122" s="5" t="n"/>
      <c r="H3122" s="5" t="n"/>
      <c r="I3122" s="5" t="n"/>
      <c r="J3122" s="6" t="n"/>
      <c r="K3122" s="6" t="n"/>
      <c r="L3122" s="7">
        <f>IF(OR(D3122="",N(J3122)=0),"",MIN(1,N(K3122)/J3122))</f>
        <v/>
      </c>
      <c r="M3122" s="5" t="n"/>
      <c r="N3122" s="5" t="n"/>
      <c r="O3122" s="5" t="n"/>
      <c r="P3122" s="5" t="n"/>
      <c r="Q3122" s="5" t="n"/>
      <c r="R3122" s="4" t="n"/>
      <c r="S3122" s="4" t="n"/>
      <c r="T3122" s="5" t="n"/>
      <c r="U3122" s="8">
        <f>IF(AND(V3122=1,D3122&lt;&gt;""),IF(D3122&gt;=corte,TODAY()-D3122,""),"")</f>
        <v/>
      </c>
      <c r="V3122" s="8">
        <f>IF(D3122="",0,IF(OR(AND(P3122&lt;&gt;"",S3122=""),AND(N(J3122)&gt;0,N(K3122)&lt;J3122),OR(M3122="PENDENTE",M3122="PARCIAL"),OR(N3122="PENDENTE",N3122="PARCIAL")),1,0))</f>
        <v/>
      </c>
      <c r="W3122" s="8">
        <f>IF(AND(V3122=1,D3122&lt;&gt;""),IF(D3122&gt;=corte,(B3122="CRÍTICO")*1E9+(100000-D3122)*10000+10000-ROW(),""),"")</f>
        <v/>
      </c>
      <c r="X3122" s="8">
        <f>IF(AND(V3122=1,D3122=pas_data,E3122=pas_turno),10000-ROW(),"")</f>
        <v/>
      </c>
    </row>
    <row r="3123">
      <c r="A3123" s="3">
        <f>IF(D3123="","","TT-"&amp;TEXT(ROW()-1,"00000"))</f>
        <v/>
      </c>
      <c r="B3123" s="3">
        <f>IF(D3123="","",IF(V3123=0,"CONCLUÍDO",IF(D3123&lt;corte,"HISTÓRICO",IF(OR(AND(ISNUMBER(R3123),R3123&lt;TODAY()),AND(OR(N3123="PENDENTE",N3123="PARCIAL"),D3123&lt;TODAY()-1)),"CRÍTICO",IF(OR(AND(P3123&lt;&gt;"",S3123=""),AND(N3123="REALIZADO",M3123="PENDENTE"),AND(ISNUMBER(R3123),R3123=TODAY())),"ATENÇÃO",IF(N(K3123)=0,"PENDENTE","EM ANDAMENTO"))))))</f>
        <v/>
      </c>
      <c r="C3123" s="3">
        <f>IF(D3123="","",IF(V3123=0,"🟢 OK",IF(D3123&lt;corte,"⚪ HISTÓRICO (sem baixa)",IF(AND(ISNUMBER(R3123),R3123&lt;TODAY()),"🔴 PRAZO VENCIDO",IF(AND(OR(N3123="PENDENTE",N3123="PARCIAL"),D3123&lt;TODAY()-1),"🔴 EMBARQUE ATRASADO",IF(AND(N3123="REALIZADO",M3123="PENDENTE"),"🟡 EMBARCADO SEM FATURAR",IF(AND(P3123&lt;&gt;"",S3123="",OR(Q3123="",R3123="")),"🟡 PENDÊNCIA SEM RESPONSÁVEL/PRAZO",IF(AND(ISNUMBER(R3123),R3123=TODAY()),"🟡 VENCE HOJE",IF(AND(P3123&lt;&gt;"",S3123=""),"🟡 PENDÊNCIA ABERTA",IF(AND(N(J3123)&gt;0,N(K3123)&lt;J3123),"🟡 FALTA EXECUTAR",IF(OR(M3123="PENDENTE",M3123="PARCIAL"),"🟡 FATURAMENTO PENDENTE","🟡 EMBARQUE PENDENTE")))))))))))</f>
        <v/>
      </c>
      <c r="D3123" s="4" t="n"/>
      <c r="E3123" s="5" t="n"/>
      <c r="F3123" s="5" t="n"/>
      <c r="G3123" s="5" t="n"/>
      <c r="H3123" s="5" t="n"/>
      <c r="I3123" s="5" t="n"/>
      <c r="J3123" s="6" t="n"/>
      <c r="K3123" s="6" t="n"/>
      <c r="L3123" s="7">
        <f>IF(OR(D3123="",N(J3123)=0),"",MIN(1,N(K3123)/J3123))</f>
        <v/>
      </c>
      <c r="M3123" s="5" t="n"/>
      <c r="N3123" s="5" t="n"/>
      <c r="O3123" s="5" t="n"/>
      <c r="P3123" s="5" t="n"/>
      <c r="Q3123" s="5" t="n"/>
      <c r="R3123" s="4" t="n"/>
      <c r="S3123" s="4" t="n"/>
      <c r="T3123" s="5" t="n"/>
      <c r="U3123" s="8">
        <f>IF(AND(V3123=1,D3123&lt;&gt;""),IF(D3123&gt;=corte,TODAY()-D3123,""),"")</f>
        <v/>
      </c>
      <c r="V3123" s="8">
        <f>IF(D3123="",0,IF(OR(AND(P3123&lt;&gt;"",S3123=""),AND(N(J3123)&gt;0,N(K3123)&lt;J3123),OR(M3123="PENDENTE",M3123="PARCIAL"),OR(N3123="PENDENTE",N3123="PARCIAL")),1,0))</f>
        <v/>
      </c>
      <c r="W3123" s="8">
        <f>IF(AND(V3123=1,D3123&lt;&gt;""),IF(D3123&gt;=corte,(B3123="CRÍTICO")*1E9+(100000-D3123)*10000+10000-ROW(),""),"")</f>
        <v/>
      </c>
      <c r="X3123" s="8">
        <f>IF(AND(V3123=1,D3123=pas_data,E3123=pas_turno),10000-ROW(),"")</f>
        <v/>
      </c>
    </row>
    <row r="3124">
      <c r="A3124" s="3">
        <f>IF(D3124="","","TT-"&amp;TEXT(ROW()-1,"00000"))</f>
        <v/>
      </c>
      <c r="B3124" s="3">
        <f>IF(D3124="","",IF(V3124=0,"CONCLUÍDO",IF(D3124&lt;corte,"HISTÓRICO",IF(OR(AND(ISNUMBER(R3124),R3124&lt;TODAY()),AND(OR(N3124="PENDENTE",N3124="PARCIAL"),D3124&lt;TODAY()-1)),"CRÍTICO",IF(OR(AND(P3124&lt;&gt;"",S3124=""),AND(N3124="REALIZADO",M3124="PENDENTE"),AND(ISNUMBER(R3124),R3124=TODAY())),"ATENÇÃO",IF(N(K3124)=0,"PENDENTE","EM ANDAMENTO"))))))</f>
        <v/>
      </c>
      <c r="C3124" s="3">
        <f>IF(D3124="","",IF(V3124=0,"🟢 OK",IF(D3124&lt;corte,"⚪ HISTÓRICO (sem baixa)",IF(AND(ISNUMBER(R3124),R3124&lt;TODAY()),"🔴 PRAZO VENCIDO",IF(AND(OR(N3124="PENDENTE",N3124="PARCIAL"),D3124&lt;TODAY()-1),"🔴 EMBARQUE ATRASADO",IF(AND(N3124="REALIZADO",M3124="PENDENTE"),"🟡 EMBARCADO SEM FATURAR",IF(AND(P3124&lt;&gt;"",S3124="",OR(Q3124="",R3124="")),"🟡 PENDÊNCIA SEM RESPONSÁVEL/PRAZO",IF(AND(ISNUMBER(R3124),R3124=TODAY()),"🟡 VENCE HOJE",IF(AND(P3124&lt;&gt;"",S3124=""),"🟡 PENDÊNCIA ABERTA",IF(AND(N(J3124)&gt;0,N(K3124)&lt;J3124),"🟡 FALTA EXECUTAR",IF(OR(M3124="PENDENTE",M3124="PARCIAL"),"🟡 FATURAMENTO PENDENTE","🟡 EMBARQUE PENDENTE")))))))))))</f>
        <v/>
      </c>
      <c r="D3124" s="4" t="n"/>
      <c r="E3124" s="5" t="n"/>
      <c r="F3124" s="5" t="n"/>
      <c r="G3124" s="5" t="n"/>
      <c r="H3124" s="5" t="n"/>
      <c r="I3124" s="5" t="n"/>
      <c r="J3124" s="6" t="n"/>
      <c r="K3124" s="6" t="n"/>
      <c r="L3124" s="7">
        <f>IF(OR(D3124="",N(J3124)=0),"",MIN(1,N(K3124)/J3124))</f>
        <v/>
      </c>
      <c r="M3124" s="5" t="n"/>
      <c r="N3124" s="5" t="n"/>
      <c r="O3124" s="5" t="n"/>
      <c r="P3124" s="5" t="n"/>
      <c r="Q3124" s="5" t="n"/>
      <c r="R3124" s="4" t="n"/>
      <c r="S3124" s="4" t="n"/>
      <c r="T3124" s="5" t="n"/>
      <c r="U3124" s="8">
        <f>IF(AND(V3124=1,D3124&lt;&gt;""),IF(D3124&gt;=corte,TODAY()-D3124,""),"")</f>
        <v/>
      </c>
      <c r="V3124" s="8">
        <f>IF(D3124="",0,IF(OR(AND(P3124&lt;&gt;"",S3124=""),AND(N(J3124)&gt;0,N(K3124)&lt;J3124),OR(M3124="PENDENTE",M3124="PARCIAL"),OR(N3124="PENDENTE",N3124="PARCIAL")),1,0))</f>
        <v/>
      </c>
      <c r="W3124" s="8">
        <f>IF(AND(V3124=1,D3124&lt;&gt;""),IF(D3124&gt;=corte,(B3124="CRÍTICO")*1E9+(100000-D3124)*10000+10000-ROW(),""),"")</f>
        <v/>
      </c>
      <c r="X3124" s="8">
        <f>IF(AND(V3124=1,D3124=pas_data,E3124=pas_turno),10000-ROW(),"")</f>
        <v/>
      </c>
    </row>
    <row r="3125">
      <c r="A3125" s="3">
        <f>IF(D3125="","","TT-"&amp;TEXT(ROW()-1,"00000"))</f>
        <v/>
      </c>
      <c r="B3125" s="3">
        <f>IF(D3125="","",IF(V3125=0,"CONCLUÍDO",IF(D3125&lt;corte,"HISTÓRICO",IF(OR(AND(ISNUMBER(R3125),R3125&lt;TODAY()),AND(OR(N3125="PENDENTE",N3125="PARCIAL"),D3125&lt;TODAY()-1)),"CRÍTICO",IF(OR(AND(P3125&lt;&gt;"",S3125=""),AND(N3125="REALIZADO",M3125="PENDENTE"),AND(ISNUMBER(R3125),R3125=TODAY())),"ATENÇÃO",IF(N(K3125)=0,"PENDENTE","EM ANDAMENTO"))))))</f>
        <v/>
      </c>
      <c r="C3125" s="3">
        <f>IF(D3125="","",IF(V3125=0,"🟢 OK",IF(D3125&lt;corte,"⚪ HISTÓRICO (sem baixa)",IF(AND(ISNUMBER(R3125),R3125&lt;TODAY()),"🔴 PRAZO VENCIDO",IF(AND(OR(N3125="PENDENTE",N3125="PARCIAL"),D3125&lt;TODAY()-1),"🔴 EMBARQUE ATRASADO",IF(AND(N3125="REALIZADO",M3125="PENDENTE"),"🟡 EMBARCADO SEM FATURAR",IF(AND(P3125&lt;&gt;"",S3125="",OR(Q3125="",R3125="")),"🟡 PENDÊNCIA SEM RESPONSÁVEL/PRAZO",IF(AND(ISNUMBER(R3125),R3125=TODAY()),"🟡 VENCE HOJE",IF(AND(P3125&lt;&gt;"",S3125=""),"🟡 PENDÊNCIA ABERTA",IF(AND(N(J3125)&gt;0,N(K3125)&lt;J3125),"🟡 FALTA EXECUTAR",IF(OR(M3125="PENDENTE",M3125="PARCIAL"),"🟡 FATURAMENTO PENDENTE","🟡 EMBARQUE PENDENTE")))))))))))</f>
        <v/>
      </c>
      <c r="D3125" s="4" t="n"/>
      <c r="E3125" s="5" t="n"/>
      <c r="F3125" s="5" t="n"/>
      <c r="G3125" s="5" t="n"/>
      <c r="H3125" s="5" t="n"/>
      <c r="I3125" s="5" t="n"/>
      <c r="J3125" s="6" t="n"/>
      <c r="K3125" s="6" t="n"/>
      <c r="L3125" s="7">
        <f>IF(OR(D3125="",N(J3125)=0),"",MIN(1,N(K3125)/J3125))</f>
        <v/>
      </c>
      <c r="M3125" s="5" t="n"/>
      <c r="N3125" s="5" t="n"/>
      <c r="O3125" s="5" t="n"/>
      <c r="P3125" s="5" t="n"/>
      <c r="Q3125" s="5" t="n"/>
      <c r="R3125" s="4" t="n"/>
      <c r="S3125" s="4" t="n"/>
      <c r="T3125" s="5" t="n"/>
      <c r="U3125" s="8">
        <f>IF(AND(V3125=1,D3125&lt;&gt;""),IF(D3125&gt;=corte,TODAY()-D3125,""),"")</f>
        <v/>
      </c>
      <c r="V3125" s="8">
        <f>IF(D3125="",0,IF(OR(AND(P3125&lt;&gt;"",S3125=""),AND(N(J3125)&gt;0,N(K3125)&lt;J3125),OR(M3125="PENDENTE",M3125="PARCIAL"),OR(N3125="PENDENTE",N3125="PARCIAL")),1,0))</f>
        <v/>
      </c>
      <c r="W3125" s="8">
        <f>IF(AND(V3125=1,D3125&lt;&gt;""),IF(D3125&gt;=corte,(B3125="CRÍTICO")*1E9+(100000-D3125)*10000+10000-ROW(),""),"")</f>
        <v/>
      </c>
      <c r="X3125" s="8">
        <f>IF(AND(V3125=1,D3125=pas_data,E3125=pas_turno),10000-ROW(),"")</f>
        <v/>
      </c>
    </row>
    <row r="3126">
      <c r="A3126" s="3">
        <f>IF(D3126="","","TT-"&amp;TEXT(ROW()-1,"00000"))</f>
        <v/>
      </c>
      <c r="B3126" s="3">
        <f>IF(D3126="","",IF(V3126=0,"CONCLUÍDO",IF(D3126&lt;corte,"HISTÓRICO",IF(OR(AND(ISNUMBER(R3126),R3126&lt;TODAY()),AND(OR(N3126="PENDENTE",N3126="PARCIAL"),D3126&lt;TODAY()-1)),"CRÍTICO",IF(OR(AND(P3126&lt;&gt;"",S3126=""),AND(N3126="REALIZADO",M3126="PENDENTE"),AND(ISNUMBER(R3126),R3126=TODAY())),"ATENÇÃO",IF(N(K3126)=0,"PENDENTE","EM ANDAMENTO"))))))</f>
        <v/>
      </c>
      <c r="C3126" s="3">
        <f>IF(D3126="","",IF(V3126=0,"🟢 OK",IF(D3126&lt;corte,"⚪ HISTÓRICO (sem baixa)",IF(AND(ISNUMBER(R3126),R3126&lt;TODAY()),"🔴 PRAZO VENCIDO",IF(AND(OR(N3126="PENDENTE",N3126="PARCIAL"),D3126&lt;TODAY()-1),"🔴 EMBARQUE ATRASADO",IF(AND(N3126="REALIZADO",M3126="PENDENTE"),"🟡 EMBARCADO SEM FATURAR",IF(AND(P3126&lt;&gt;"",S3126="",OR(Q3126="",R3126="")),"🟡 PENDÊNCIA SEM RESPONSÁVEL/PRAZO",IF(AND(ISNUMBER(R3126),R3126=TODAY()),"🟡 VENCE HOJE",IF(AND(P3126&lt;&gt;"",S3126=""),"🟡 PENDÊNCIA ABERTA",IF(AND(N(J3126)&gt;0,N(K3126)&lt;J3126),"🟡 FALTA EXECUTAR",IF(OR(M3126="PENDENTE",M3126="PARCIAL"),"🟡 FATURAMENTO PENDENTE","🟡 EMBARQUE PENDENTE")))))))))))</f>
        <v/>
      </c>
      <c r="D3126" s="4" t="n"/>
      <c r="E3126" s="5" t="n"/>
      <c r="F3126" s="5" t="n"/>
      <c r="G3126" s="5" t="n"/>
      <c r="H3126" s="5" t="n"/>
      <c r="I3126" s="5" t="n"/>
      <c r="J3126" s="6" t="n"/>
      <c r="K3126" s="6" t="n"/>
      <c r="L3126" s="7">
        <f>IF(OR(D3126="",N(J3126)=0),"",MIN(1,N(K3126)/J3126))</f>
        <v/>
      </c>
      <c r="M3126" s="5" t="n"/>
      <c r="N3126" s="5" t="n"/>
      <c r="O3126" s="5" t="n"/>
      <c r="P3126" s="5" t="n"/>
      <c r="Q3126" s="5" t="n"/>
      <c r="R3126" s="4" t="n"/>
      <c r="S3126" s="4" t="n"/>
      <c r="T3126" s="5" t="n"/>
      <c r="U3126" s="8">
        <f>IF(AND(V3126=1,D3126&lt;&gt;""),IF(D3126&gt;=corte,TODAY()-D3126,""),"")</f>
        <v/>
      </c>
      <c r="V3126" s="8">
        <f>IF(D3126="",0,IF(OR(AND(P3126&lt;&gt;"",S3126=""),AND(N(J3126)&gt;0,N(K3126)&lt;J3126),OR(M3126="PENDENTE",M3126="PARCIAL"),OR(N3126="PENDENTE",N3126="PARCIAL")),1,0))</f>
        <v/>
      </c>
      <c r="W3126" s="8">
        <f>IF(AND(V3126=1,D3126&lt;&gt;""),IF(D3126&gt;=corte,(B3126="CRÍTICO")*1E9+(100000-D3126)*10000+10000-ROW(),""),"")</f>
        <v/>
      </c>
      <c r="X3126" s="8">
        <f>IF(AND(V3126=1,D3126=pas_data,E3126=pas_turno),10000-ROW(),"")</f>
        <v/>
      </c>
    </row>
    <row r="3127">
      <c r="A3127" s="3">
        <f>IF(D3127="","","TT-"&amp;TEXT(ROW()-1,"00000"))</f>
        <v/>
      </c>
      <c r="B3127" s="3">
        <f>IF(D3127="","",IF(V3127=0,"CONCLUÍDO",IF(D3127&lt;corte,"HISTÓRICO",IF(OR(AND(ISNUMBER(R3127),R3127&lt;TODAY()),AND(OR(N3127="PENDENTE",N3127="PARCIAL"),D3127&lt;TODAY()-1)),"CRÍTICO",IF(OR(AND(P3127&lt;&gt;"",S3127=""),AND(N3127="REALIZADO",M3127="PENDENTE"),AND(ISNUMBER(R3127),R3127=TODAY())),"ATENÇÃO",IF(N(K3127)=0,"PENDENTE","EM ANDAMENTO"))))))</f>
        <v/>
      </c>
      <c r="C3127" s="3">
        <f>IF(D3127="","",IF(V3127=0,"🟢 OK",IF(D3127&lt;corte,"⚪ HISTÓRICO (sem baixa)",IF(AND(ISNUMBER(R3127),R3127&lt;TODAY()),"🔴 PRAZO VENCIDO",IF(AND(OR(N3127="PENDENTE",N3127="PARCIAL"),D3127&lt;TODAY()-1),"🔴 EMBARQUE ATRASADO",IF(AND(N3127="REALIZADO",M3127="PENDENTE"),"🟡 EMBARCADO SEM FATURAR",IF(AND(P3127&lt;&gt;"",S3127="",OR(Q3127="",R3127="")),"🟡 PENDÊNCIA SEM RESPONSÁVEL/PRAZO",IF(AND(ISNUMBER(R3127),R3127=TODAY()),"🟡 VENCE HOJE",IF(AND(P3127&lt;&gt;"",S3127=""),"🟡 PENDÊNCIA ABERTA",IF(AND(N(J3127)&gt;0,N(K3127)&lt;J3127),"🟡 FALTA EXECUTAR",IF(OR(M3127="PENDENTE",M3127="PARCIAL"),"🟡 FATURAMENTO PENDENTE","🟡 EMBARQUE PENDENTE")))))))))))</f>
        <v/>
      </c>
      <c r="D3127" s="4" t="n"/>
      <c r="E3127" s="5" t="n"/>
      <c r="F3127" s="5" t="n"/>
      <c r="G3127" s="5" t="n"/>
      <c r="H3127" s="5" t="n"/>
      <c r="I3127" s="5" t="n"/>
      <c r="J3127" s="6" t="n"/>
      <c r="K3127" s="6" t="n"/>
      <c r="L3127" s="7">
        <f>IF(OR(D3127="",N(J3127)=0),"",MIN(1,N(K3127)/J3127))</f>
        <v/>
      </c>
      <c r="M3127" s="5" t="n"/>
      <c r="N3127" s="5" t="n"/>
      <c r="O3127" s="5" t="n"/>
      <c r="P3127" s="5" t="n"/>
      <c r="Q3127" s="5" t="n"/>
      <c r="R3127" s="4" t="n"/>
      <c r="S3127" s="4" t="n"/>
      <c r="T3127" s="5" t="n"/>
      <c r="U3127" s="8">
        <f>IF(AND(V3127=1,D3127&lt;&gt;""),IF(D3127&gt;=corte,TODAY()-D3127,""),"")</f>
        <v/>
      </c>
      <c r="V3127" s="8">
        <f>IF(D3127="",0,IF(OR(AND(P3127&lt;&gt;"",S3127=""),AND(N(J3127)&gt;0,N(K3127)&lt;J3127),OR(M3127="PENDENTE",M3127="PARCIAL"),OR(N3127="PENDENTE",N3127="PARCIAL")),1,0))</f>
        <v/>
      </c>
      <c r="W3127" s="8">
        <f>IF(AND(V3127=1,D3127&lt;&gt;""),IF(D3127&gt;=corte,(B3127="CRÍTICO")*1E9+(100000-D3127)*10000+10000-ROW(),""),"")</f>
        <v/>
      </c>
      <c r="X3127" s="8">
        <f>IF(AND(V3127=1,D3127=pas_data,E3127=pas_turno),10000-ROW(),"")</f>
        <v/>
      </c>
    </row>
    <row r="3128">
      <c r="A3128" s="3">
        <f>IF(D3128="","","TT-"&amp;TEXT(ROW()-1,"00000"))</f>
        <v/>
      </c>
      <c r="B3128" s="3">
        <f>IF(D3128="","",IF(V3128=0,"CONCLUÍDO",IF(D3128&lt;corte,"HISTÓRICO",IF(OR(AND(ISNUMBER(R3128),R3128&lt;TODAY()),AND(OR(N3128="PENDENTE",N3128="PARCIAL"),D3128&lt;TODAY()-1)),"CRÍTICO",IF(OR(AND(P3128&lt;&gt;"",S3128=""),AND(N3128="REALIZADO",M3128="PENDENTE"),AND(ISNUMBER(R3128),R3128=TODAY())),"ATENÇÃO",IF(N(K3128)=0,"PENDENTE","EM ANDAMENTO"))))))</f>
        <v/>
      </c>
      <c r="C3128" s="3">
        <f>IF(D3128="","",IF(V3128=0,"🟢 OK",IF(D3128&lt;corte,"⚪ HISTÓRICO (sem baixa)",IF(AND(ISNUMBER(R3128),R3128&lt;TODAY()),"🔴 PRAZO VENCIDO",IF(AND(OR(N3128="PENDENTE",N3128="PARCIAL"),D3128&lt;TODAY()-1),"🔴 EMBARQUE ATRASADO",IF(AND(N3128="REALIZADO",M3128="PENDENTE"),"🟡 EMBARCADO SEM FATURAR",IF(AND(P3128&lt;&gt;"",S3128="",OR(Q3128="",R3128="")),"🟡 PENDÊNCIA SEM RESPONSÁVEL/PRAZO",IF(AND(ISNUMBER(R3128),R3128=TODAY()),"🟡 VENCE HOJE",IF(AND(P3128&lt;&gt;"",S3128=""),"🟡 PENDÊNCIA ABERTA",IF(AND(N(J3128)&gt;0,N(K3128)&lt;J3128),"🟡 FALTA EXECUTAR",IF(OR(M3128="PENDENTE",M3128="PARCIAL"),"🟡 FATURAMENTO PENDENTE","🟡 EMBARQUE PENDENTE")))))))))))</f>
        <v/>
      </c>
      <c r="D3128" s="4" t="n"/>
      <c r="E3128" s="5" t="n"/>
      <c r="F3128" s="5" t="n"/>
      <c r="G3128" s="5" t="n"/>
      <c r="H3128" s="5" t="n"/>
      <c r="I3128" s="5" t="n"/>
      <c r="J3128" s="6" t="n"/>
      <c r="K3128" s="6" t="n"/>
      <c r="L3128" s="7">
        <f>IF(OR(D3128="",N(J3128)=0),"",MIN(1,N(K3128)/J3128))</f>
        <v/>
      </c>
      <c r="M3128" s="5" t="n"/>
      <c r="N3128" s="5" t="n"/>
      <c r="O3128" s="5" t="n"/>
      <c r="P3128" s="5" t="n"/>
      <c r="Q3128" s="5" t="n"/>
      <c r="R3128" s="4" t="n"/>
      <c r="S3128" s="4" t="n"/>
      <c r="T3128" s="5" t="n"/>
      <c r="U3128" s="8">
        <f>IF(AND(V3128=1,D3128&lt;&gt;""),IF(D3128&gt;=corte,TODAY()-D3128,""),"")</f>
        <v/>
      </c>
      <c r="V3128" s="8">
        <f>IF(D3128="",0,IF(OR(AND(P3128&lt;&gt;"",S3128=""),AND(N(J3128)&gt;0,N(K3128)&lt;J3128),OR(M3128="PENDENTE",M3128="PARCIAL"),OR(N3128="PENDENTE",N3128="PARCIAL")),1,0))</f>
        <v/>
      </c>
      <c r="W3128" s="8">
        <f>IF(AND(V3128=1,D3128&lt;&gt;""),IF(D3128&gt;=corte,(B3128="CRÍTICO")*1E9+(100000-D3128)*10000+10000-ROW(),""),"")</f>
        <v/>
      </c>
      <c r="X3128" s="8">
        <f>IF(AND(V3128=1,D3128=pas_data,E3128=pas_turno),10000-ROW(),"")</f>
        <v/>
      </c>
    </row>
    <row r="3129">
      <c r="A3129" s="3">
        <f>IF(D3129="","","TT-"&amp;TEXT(ROW()-1,"00000"))</f>
        <v/>
      </c>
      <c r="B3129" s="3">
        <f>IF(D3129="","",IF(V3129=0,"CONCLUÍDO",IF(D3129&lt;corte,"HISTÓRICO",IF(OR(AND(ISNUMBER(R3129),R3129&lt;TODAY()),AND(OR(N3129="PENDENTE",N3129="PARCIAL"),D3129&lt;TODAY()-1)),"CRÍTICO",IF(OR(AND(P3129&lt;&gt;"",S3129=""),AND(N3129="REALIZADO",M3129="PENDENTE"),AND(ISNUMBER(R3129),R3129=TODAY())),"ATENÇÃO",IF(N(K3129)=0,"PENDENTE","EM ANDAMENTO"))))))</f>
        <v/>
      </c>
      <c r="C3129" s="3">
        <f>IF(D3129="","",IF(V3129=0,"🟢 OK",IF(D3129&lt;corte,"⚪ HISTÓRICO (sem baixa)",IF(AND(ISNUMBER(R3129),R3129&lt;TODAY()),"🔴 PRAZO VENCIDO",IF(AND(OR(N3129="PENDENTE",N3129="PARCIAL"),D3129&lt;TODAY()-1),"🔴 EMBARQUE ATRASADO",IF(AND(N3129="REALIZADO",M3129="PENDENTE"),"🟡 EMBARCADO SEM FATURAR",IF(AND(P3129&lt;&gt;"",S3129="",OR(Q3129="",R3129="")),"🟡 PENDÊNCIA SEM RESPONSÁVEL/PRAZO",IF(AND(ISNUMBER(R3129),R3129=TODAY()),"🟡 VENCE HOJE",IF(AND(P3129&lt;&gt;"",S3129=""),"🟡 PENDÊNCIA ABERTA",IF(AND(N(J3129)&gt;0,N(K3129)&lt;J3129),"🟡 FALTA EXECUTAR",IF(OR(M3129="PENDENTE",M3129="PARCIAL"),"🟡 FATURAMENTO PENDENTE","🟡 EMBARQUE PENDENTE")))))))))))</f>
        <v/>
      </c>
      <c r="D3129" s="4" t="n"/>
      <c r="E3129" s="5" t="n"/>
      <c r="F3129" s="5" t="n"/>
      <c r="G3129" s="5" t="n"/>
      <c r="H3129" s="5" t="n"/>
      <c r="I3129" s="5" t="n"/>
      <c r="J3129" s="6" t="n"/>
      <c r="K3129" s="6" t="n"/>
      <c r="L3129" s="7">
        <f>IF(OR(D3129="",N(J3129)=0),"",MIN(1,N(K3129)/J3129))</f>
        <v/>
      </c>
      <c r="M3129" s="5" t="n"/>
      <c r="N3129" s="5" t="n"/>
      <c r="O3129" s="5" t="n"/>
      <c r="P3129" s="5" t="n"/>
      <c r="Q3129" s="5" t="n"/>
      <c r="R3129" s="4" t="n"/>
      <c r="S3129" s="4" t="n"/>
      <c r="T3129" s="5" t="n"/>
      <c r="U3129" s="8">
        <f>IF(AND(V3129=1,D3129&lt;&gt;""),IF(D3129&gt;=corte,TODAY()-D3129,""),"")</f>
        <v/>
      </c>
      <c r="V3129" s="8">
        <f>IF(D3129="",0,IF(OR(AND(P3129&lt;&gt;"",S3129=""),AND(N(J3129)&gt;0,N(K3129)&lt;J3129),OR(M3129="PENDENTE",M3129="PARCIAL"),OR(N3129="PENDENTE",N3129="PARCIAL")),1,0))</f>
        <v/>
      </c>
      <c r="W3129" s="8">
        <f>IF(AND(V3129=1,D3129&lt;&gt;""),IF(D3129&gt;=corte,(B3129="CRÍTICO")*1E9+(100000-D3129)*10000+10000-ROW(),""),"")</f>
        <v/>
      </c>
      <c r="X3129" s="8">
        <f>IF(AND(V3129=1,D3129=pas_data,E3129=pas_turno),10000-ROW(),"")</f>
        <v/>
      </c>
    </row>
    <row r="3130">
      <c r="A3130" s="3">
        <f>IF(D3130="","","TT-"&amp;TEXT(ROW()-1,"00000"))</f>
        <v/>
      </c>
      <c r="B3130" s="3">
        <f>IF(D3130="","",IF(V3130=0,"CONCLUÍDO",IF(D3130&lt;corte,"HISTÓRICO",IF(OR(AND(ISNUMBER(R3130),R3130&lt;TODAY()),AND(OR(N3130="PENDENTE",N3130="PARCIAL"),D3130&lt;TODAY()-1)),"CRÍTICO",IF(OR(AND(P3130&lt;&gt;"",S3130=""),AND(N3130="REALIZADO",M3130="PENDENTE"),AND(ISNUMBER(R3130),R3130=TODAY())),"ATENÇÃO",IF(N(K3130)=0,"PENDENTE","EM ANDAMENTO"))))))</f>
        <v/>
      </c>
      <c r="C3130" s="3">
        <f>IF(D3130="","",IF(V3130=0,"🟢 OK",IF(D3130&lt;corte,"⚪ HISTÓRICO (sem baixa)",IF(AND(ISNUMBER(R3130),R3130&lt;TODAY()),"🔴 PRAZO VENCIDO",IF(AND(OR(N3130="PENDENTE",N3130="PARCIAL"),D3130&lt;TODAY()-1),"🔴 EMBARQUE ATRASADO",IF(AND(N3130="REALIZADO",M3130="PENDENTE"),"🟡 EMBARCADO SEM FATURAR",IF(AND(P3130&lt;&gt;"",S3130="",OR(Q3130="",R3130="")),"🟡 PENDÊNCIA SEM RESPONSÁVEL/PRAZO",IF(AND(ISNUMBER(R3130),R3130=TODAY()),"🟡 VENCE HOJE",IF(AND(P3130&lt;&gt;"",S3130=""),"🟡 PENDÊNCIA ABERTA",IF(AND(N(J3130)&gt;0,N(K3130)&lt;J3130),"🟡 FALTA EXECUTAR",IF(OR(M3130="PENDENTE",M3130="PARCIAL"),"🟡 FATURAMENTO PENDENTE","🟡 EMBARQUE PENDENTE")))))))))))</f>
        <v/>
      </c>
      <c r="D3130" s="4" t="n"/>
      <c r="E3130" s="5" t="n"/>
      <c r="F3130" s="5" t="n"/>
      <c r="G3130" s="5" t="n"/>
      <c r="H3130" s="5" t="n"/>
      <c r="I3130" s="5" t="n"/>
      <c r="J3130" s="6" t="n"/>
      <c r="K3130" s="6" t="n"/>
      <c r="L3130" s="7">
        <f>IF(OR(D3130="",N(J3130)=0),"",MIN(1,N(K3130)/J3130))</f>
        <v/>
      </c>
      <c r="M3130" s="5" t="n"/>
      <c r="N3130" s="5" t="n"/>
      <c r="O3130" s="5" t="n"/>
      <c r="P3130" s="5" t="n"/>
      <c r="Q3130" s="5" t="n"/>
      <c r="R3130" s="4" t="n"/>
      <c r="S3130" s="4" t="n"/>
      <c r="T3130" s="5" t="n"/>
      <c r="U3130" s="8">
        <f>IF(AND(V3130=1,D3130&lt;&gt;""),IF(D3130&gt;=corte,TODAY()-D3130,""),"")</f>
        <v/>
      </c>
      <c r="V3130" s="8">
        <f>IF(D3130="",0,IF(OR(AND(P3130&lt;&gt;"",S3130=""),AND(N(J3130)&gt;0,N(K3130)&lt;J3130),OR(M3130="PENDENTE",M3130="PARCIAL"),OR(N3130="PENDENTE",N3130="PARCIAL")),1,0))</f>
        <v/>
      </c>
      <c r="W3130" s="8">
        <f>IF(AND(V3130=1,D3130&lt;&gt;""),IF(D3130&gt;=corte,(B3130="CRÍTICO")*1E9+(100000-D3130)*10000+10000-ROW(),""),"")</f>
        <v/>
      </c>
      <c r="X3130" s="8">
        <f>IF(AND(V3130=1,D3130=pas_data,E3130=pas_turno),10000-ROW(),"")</f>
        <v/>
      </c>
    </row>
    <row r="3131">
      <c r="A3131" s="3">
        <f>IF(D3131="","","TT-"&amp;TEXT(ROW()-1,"00000"))</f>
        <v/>
      </c>
      <c r="B3131" s="3">
        <f>IF(D3131="","",IF(V3131=0,"CONCLUÍDO",IF(D3131&lt;corte,"HISTÓRICO",IF(OR(AND(ISNUMBER(R3131),R3131&lt;TODAY()),AND(OR(N3131="PENDENTE",N3131="PARCIAL"),D3131&lt;TODAY()-1)),"CRÍTICO",IF(OR(AND(P3131&lt;&gt;"",S3131=""),AND(N3131="REALIZADO",M3131="PENDENTE"),AND(ISNUMBER(R3131),R3131=TODAY())),"ATENÇÃO",IF(N(K3131)=0,"PENDENTE","EM ANDAMENTO"))))))</f>
        <v/>
      </c>
      <c r="C3131" s="3">
        <f>IF(D3131="","",IF(V3131=0,"🟢 OK",IF(D3131&lt;corte,"⚪ HISTÓRICO (sem baixa)",IF(AND(ISNUMBER(R3131),R3131&lt;TODAY()),"🔴 PRAZO VENCIDO",IF(AND(OR(N3131="PENDENTE",N3131="PARCIAL"),D3131&lt;TODAY()-1),"🔴 EMBARQUE ATRASADO",IF(AND(N3131="REALIZADO",M3131="PENDENTE"),"🟡 EMBARCADO SEM FATURAR",IF(AND(P3131&lt;&gt;"",S3131="",OR(Q3131="",R3131="")),"🟡 PENDÊNCIA SEM RESPONSÁVEL/PRAZO",IF(AND(ISNUMBER(R3131),R3131=TODAY()),"🟡 VENCE HOJE",IF(AND(P3131&lt;&gt;"",S3131=""),"🟡 PENDÊNCIA ABERTA",IF(AND(N(J3131)&gt;0,N(K3131)&lt;J3131),"🟡 FALTA EXECUTAR",IF(OR(M3131="PENDENTE",M3131="PARCIAL"),"🟡 FATURAMENTO PENDENTE","🟡 EMBARQUE PENDENTE")))))))))))</f>
        <v/>
      </c>
      <c r="D3131" s="4" t="n"/>
      <c r="E3131" s="5" t="n"/>
      <c r="F3131" s="5" t="n"/>
      <c r="G3131" s="5" t="n"/>
      <c r="H3131" s="5" t="n"/>
      <c r="I3131" s="5" t="n"/>
      <c r="J3131" s="6" t="n"/>
      <c r="K3131" s="6" t="n"/>
      <c r="L3131" s="7">
        <f>IF(OR(D3131="",N(J3131)=0),"",MIN(1,N(K3131)/J3131))</f>
        <v/>
      </c>
      <c r="M3131" s="5" t="n"/>
      <c r="N3131" s="5" t="n"/>
      <c r="O3131" s="5" t="n"/>
      <c r="P3131" s="5" t="n"/>
      <c r="Q3131" s="5" t="n"/>
      <c r="R3131" s="4" t="n"/>
      <c r="S3131" s="4" t="n"/>
      <c r="T3131" s="5" t="n"/>
      <c r="U3131" s="8">
        <f>IF(AND(V3131=1,D3131&lt;&gt;""),IF(D3131&gt;=corte,TODAY()-D3131,""),"")</f>
        <v/>
      </c>
      <c r="V3131" s="8">
        <f>IF(D3131="",0,IF(OR(AND(P3131&lt;&gt;"",S3131=""),AND(N(J3131)&gt;0,N(K3131)&lt;J3131),OR(M3131="PENDENTE",M3131="PARCIAL"),OR(N3131="PENDENTE",N3131="PARCIAL")),1,0))</f>
        <v/>
      </c>
      <c r="W3131" s="8">
        <f>IF(AND(V3131=1,D3131&lt;&gt;""),IF(D3131&gt;=corte,(B3131="CRÍTICO")*1E9+(100000-D3131)*10000+10000-ROW(),""),"")</f>
        <v/>
      </c>
      <c r="X3131" s="8">
        <f>IF(AND(V3131=1,D3131=pas_data,E3131=pas_turno),10000-ROW(),"")</f>
        <v/>
      </c>
    </row>
    <row r="3132">
      <c r="A3132" s="3">
        <f>IF(D3132="","","TT-"&amp;TEXT(ROW()-1,"00000"))</f>
        <v/>
      </c>
      <c r="B3132" s="3">
        <f>IF(D3132="","",IF(V3132=0,"CONCLUÍDO",IF(D3132&lt;corte,"HISTÓRICO",IF(OR(AND(ISNUMBER(R3132),R3132&lt;TODAY()),AND(OR(N3132="PENDENTE",N3132="PARCIAL"),D3132&lt;TODAY()-1)),"CRÍTICO",IF(OR(AND(P3132&lt;&gt;"",S3132=""),AND(N3132="REALIZADO",M3132="PENDENTE"),AND(ISNUMBER(R3132),R3132=TODAY())),"ATENÇÃO",IF(N(K3132)=0,"PENDENTE","EM ANDAMENTO"))))))</f>
        <v/>
      </c>
      <c r="C3132" s="3">
        <f>IF(D3132="","",IF(V3132=0,"🟢 OK",IF(D3132&lt;corte,"⚪ HISTÓRICO (sem baixa)",IF(AND(ISNUMBER(R3132),R3132&lt;TODAY()),"🔴 PRAZO VENCIDO",IF(AND(OR(N3132="PENDENTE",N3132="PARCIAL"),D3132&lt;TODAY()-1),"🔴 EMBARQUE ATRASADO",IF(AND(N3132="REALIZADO",M3132="PENDENTE"),"🟡 EMBARCADO SEM FATURAR",IF(AND(P3132&lt;&gt;"",S3132="",OR(Q3132="",R3132="")),"🟡 PENDÊNCIA SEM RESPONSÁVEL/PRAZO",IF(AND(ISNUMBER(R3132),R3132=TODAY()),"🟡 VENCE HOJE",IF(AND(P3132&lt;&gt;"",S3132=""),"🟡 PENDÊNCIA ABERTA",IF(AND(N(J3132)&gt;0,N(K3132)&lt;J3132),"🟡 FALTA EXECUTAR",IF(OR(M3132="PENDENTE",M3132="PARCIAL"),"🟡 FATURAMENTO PENDENTE","🟡 EMBARQUE PENDENTE")))))))))))</f>
        <v/>
      </c>
      <c r="D3132" s="4" t="n"/>
      <c r="E3132" s="5" t="n"/>
      <c r="F3132" s="5" t="n"/>
      <c r="G3132" s="5" t="n"/>
      <c r="H3132" s="5" t="n"/>
      <c r="I3132" s="5" t="n"/>
      <c r="J3132" s="6" t="n"/>
      <c r="K3132" s="6" t="n"/>
      <c r="L3132" s="7">
        <f>IF(OR(D3132="",N(J3132)=0),"",MIN(1,N(K3132)/J3132))</f>
        <v/>
      </c>
      <c r="M3132" s="5" t="n"/>
      <c r="N3132" s="5" t="n"/>
      <c r="O3132" s="5" t="n"/>
      <c r="P3132" s="5" t="n"/>
      <c r="Q3132" s="5" t="n"/>
      <c r="R3132" s="4" t="n"/>
      <c r="S3132" s="4" t="n"/>
      <c r="T3132" s="5" t="n"/>
      <c r="U3132" s="8">
        <f>IF(AND(V3132=1,D3132&lt;&gt;""),IF(D3132&gt;=corte,TODAY()-D3132,""),"")</f>
        <v/>
      </c>
      <c r="V3132" s="8">
        <f>IF(D3132="",0,IF(OR(AND(P3132&lt;&gt;"",S3132=""),AND(N(J3132)&gt;0,N(K3132)&lt;J3132),OR(M3132="PENDENTE",M3132="PARCIAL"),OR(N3132="PENDENTE",N3132="PARCIAL")),1,0))</f>
        <v/>
      </c>
      <c r="W3132" s="8">
        <f>IF(AND(V3132=1,D3132&lt;&gt;""),IF(D3132&gt;=corte,(B3132="CRÍTICO")*1E9+(100000-D3132)*10000+10000-ROW(),""),"")</f>
        <v/>
      </c>
      <c r="X3132" s="8">
        <f>IF(AND(V3132=1,D3132=pas_data,E3132=pas_turno),10000-ROW(),"")</f>
        <v/>
      </c>
    </row>
    <row r="3133">
      <c r="A3133" s="3">
        <f>IF(D3133="","","TT-"&amp;TEXT(ROW()-1,"00000"))</f>
        <v/>
      </c>
      <c r="B3133" s="3">
        <f>IF(D3133="","",IF(V3133=0,"CONCLUÍDO",IF(D3133&lt;corte,"HISTÓRICO",IF(OR(AND(ISNUMBER(R3133),R3133&lt;TODAY()),AND(OR(N3133="PENDENTE",N3133="PARCIAL"),D3133&lt;TODAY()-1)),"CRÍTICO",IF(OR(AND(P3133&lt;&gt;"",S3133=""),AND(N3133="REALIZADO",M3133="PENDENTE"),AND(ISNUMBER(R3133),R3133=TODAY())),"ATENÇÃO",IF(N(K3133)=0,"PENDENTE","EM ANDAMENTO"))))))</f>
        <v/>
      </c>
      <c r="C3133" s="3">
        <f>IF(D3133="","",IF(V3133=0,"🟢 OK",IF(D3133&lt;corte,"⚪ HISTÓRICO (sem baixa)",IF(AND(ISNUMBER(R3133),R3133&lt;TODAY()),"🔴 PRAZO VENCIDO",IF(AND(OR(N3133="PENDENTE",N3133="PARCIAL"),D3133&lt;TODAY()-1),"🔴 EMBARQUE ATRASADO",IF(AND(N3133="REALIZADO",M3133="PENDENTE"),"🟡 EMBARCADO SEM FATURAR",IF(AND(P3133&lt;&gt;"",S3133="",OR(Q3133="",R3133="")),"🟡 PENDÊNCIA SEM RESPONSÁVEL/PRAZO",IF(AND(ISNUMBER(R3133),R3133=TODAY()),"🟡 VENCE HOJE",IF(AND(P3133&lt;&gt;"",S3133=""),"🟡 PENDÊNCIA ABERTA",IF(AND(N(J3133)&gt;0,N(K3133)&lt;J3133),"🟡 FALTA EXECUTAR",IF(OR(M3133="PENDENTE",M3133="PARCIAL"),"🟡 FATURAMENTO PENDENTE","🟡 EMBARQUE PENDENTE")))))))))))</f>
        <v/>
      </c>
      <c r="D3133" s="4" t="n"/>
      <c r="E3133" s="5" t="n"/>
      <c r="F3133" s="5" t="n"/>
      <c r="G3133" s="5" t="n"/>
      <c r="H3133" s="5" t="n"/>
      <c r="I3133" s="5" t="n"/>
      <c r="J3133" s="6" t="n"/>
      <c r="K3133" s="6" t="n"/>
      <c r="L3133" s="7">
        <f>IF(OR(D3133="",N(J3133)=0),"",MIN(1,N(K3133)/J3133))</f>
        <v/>
      </c>
      <c r="M3133" s="5" t="n"/>
      <c r="N3133" s="5" t="n"/>
      <c r="O3133" s="5" t="n"/>
      <c r="P3133" s="5" t="n"/>
      <c r="Q3133" s="5" t="n"/>
      <c r="R3133" s="4" t="n"/>
      <c r="S3133" s="4" t="n"/>
      <c r="T3133" s="5" t="n"/>
      <c r="U3133" s="8">
        <f>IF(AND(V3133=1,D3133&lt;&gt;""),IF(D3133&gt;=corte,TODAY()-D3133,""),"")</f>
        <v/>
      </c>
      <c r="V3133" s="8">
        <f>IF(D3133="",0,IF(OR(AND(P3133&lt;&gt;"",S3133=""),AND(N(J3133)&gt;0,N(K3133)&lt;J3133),OR(M3133="PENDENTE",M3133="PARCIAL"),OR(N3133="PENDENTE",N3133="PARCIAL")),1,0))</f>
        <v/>
      </c>
      <c r="W3133" s="8">
        <f>IF(AND(V3133=1,D3133&lt;&gt;""),IF(D3133&gt;=corte,(B3133="CRÍTICO")*1E9+(100000-D3133)*10000+10000-ROW(),""),"")</f>
        <v/>
      </c>
      <c r="X3133" s="8">
        <f>IF(AND(V3133=1,D3133=pas_data,E3133=pas_turno),10000-ROW(),"")</f>
        <v/>
      </c>
    </row>
    <row r="3134">
      <c r="A3134" s="3">
        <f>IF(D3134="","","TT-"&amp;TEXT(ROW()-1,"00000"))</f>
        <v/>
      </c>
      <c r="B3134" s="3">
        <f>IF(D3134="","",IF(V3134=0,"CONCLUÍDO",IF(D3134&lt;corte,"HISTÓRICO",IF(OR(AND(ISNUMBER(R3134),R3134&lt;TODAY()),AND(OR(N3134="PENDENTE",N3134="PARCIAL"),D3134&lt;TODAY()-1)),"CRÍTICO",IF(OR(AND(P3134&lt;&gt;"",S3134=""),AND(N3134="REALIZADO",M3134="PENDENTE"),AND(ISNUMBER(R3134),R3134=TODAY())),"ATENÇÃO",IF(N(K3134)=0,"PENDENTE","EM ANDAMENTO"))))))</f>
        <v/>
      </c>
      <c r="C3134" s="3">
        <f>IF(D3134="","",IF(V3134=0,"🟢 OK",IF(D3134&lt;corte,"⚪ HISTÓRICO (sem baixa)",IF(AND(ISNUMBER(R3134),R3134&lt;TODAY()),"🔴 PRAZO VENCIDO",IF(AND(OR(N3134="PENDENTE",N3134="PARCIAL"),D3134&lt;TODAY()-1),"🔴 EMBARQUE ATRASADO",IF(AND(N3134="REALIZADO",M3134="PENDENTE"),"🟡 EMBARCADO SEM FATURAR",IF(AND(P3134&lt;&gt;"",S3134="",OR(Q3134="",R3134="")),"🟡 PENDÊNCIA SEM RESPONSÁVEL/PRAZO",IF(AND(ISNUMBER(R3134),R3134=TODAY()),"🟡 VENCE HOJE",IF(AND(P3134&lt;&gt;"",S3134=""),"🟡 PENDÊNCIA ABERTA",IF(AND(N(J3134)&gt;0,N(K3134)&lt;J3134),"🟡 FALTA EXECUTAR",IF(OR(M3134="PENDENTE",M3134="PARCIAL"),"🟡 FATURAMENTO PENDENTE","🟡 EMBARQUE PENDENTE")))))))))))</f>
        <v/>
      </c>
      <c r="D3134" s="4" t="n"/>
      <c r="E3134" s="5" t="n"/>
      <c r="F3134" s="5" t="n"/>
      <c r="G3134" s="5" t="n"/>
      <c r="H3134" s="5" t="n"/>
      <c r="I3134" s="5" t="n"/>
      <c r="J3134" s="6" t="n"/>
      <c r="K3134" s="6" t="n"/>
      <c r="L3134" s="7">
        <f>IF(OR(D3134="",N(J3134)=0),"",MIN(1,N(K3134)/J3134))</f>
        <v/>
      </c>
      <c r="M3134" s="5" t="n"/>
      <c r="N3134" s="5" t="n"/>
      <c r="O3134" s="5" t="n"/>
      <c r="P3134" s="5" t="n"/>
      <c r="Q3134" s="5" t="n"/>
      <c r="R3134" s="4" t="n"/>
      <c r="S3134" s="4" t="n"/>
      <c r="T3134" s="5" t="n"/>
      <c r="U3134" s="8">
        <f>IF(AND(V3134=1,D3134&lt;&gt;""),IF(D3134&gt;=corte,TODAY()-D3134,""),"")</f>
        <v/>
      </c>
      <c r="V3134" s="8">
        <f>IF(D3134="",0,IF(OR(AND(P3134&lt;&gt;"",S3134=""),AND(N(J3134)&gt;0,N(K3134)&lt;J3134),OR(M3134="PENDENTE",M3134="PARCIAL"),OR(N3134="PENDENTE",N3134="PARCIAL")),1,0))</f>
        <v/>
      </c>
      <c r="W3134" s="8">
        <f>IF(AND(V3134=1,D3134&lt;&gt;""),IF(D3134&gt;=corte,(B3134="CRÍTICO")*1E9+(100000-D3134)*10000+10000-ROW(),""),"")</f>
        <v/>
      </c>
      <c r="X3134" s="8">
        <f>IF(AND(V3134=1,D3134=pas_data,E3134=pas_turno),10000-ROW(),"")</f>
        <v/>
      </c>
    </row>
    <row r="3135">
      <c r="A3135" s="3">
        <f>IF(D3135="","","TT-"&amp;TEXT(ROW()-1,"00000"))</f>
        <v/>
      </c>
      <c r="B3135" s="3">
        <f>IF(D3135="","",IF(V3135=0,"CONCLUÍDO",IF(D3135&lt;corte,"HISTÓRICO",IF(OR(AND(ISNUMBER(R3135),R3135&lt;TODAY()),AND(OR(N3135="PENDENTE",N3135="PARCIAL"),D3135&lt;TODAY()-1)),"CRÍTICO",IF(OR(AND(P3135&lt;&gt;"",S3135=""),AND(N3135="REALIZADO",M3135="PENDENTE"),AND(ISNUMBER(R3135),R3135=TODAY())),"ATENÇÃO",IF(N(K3135)=0,"PENDENTE","EM ANDAMENTO"))))))</f>
        <v/>
      </c>
      <c r="C3135" s="3">
        <f>IF(D3135="","",IF(V3135=0,"🟢 OK",IF(D3135&lt;corte,"⚪ HISTÓRICO (sem baixa)",IF(AND(ISNUMBER(R3135),R3135&lt;TODAY()),"🔴 PRAZO VENCIDO",IF(AND(OR(N3135="PENDENTE",N3135="PARCIAL"),D3135&lt;TODAY()-1),"🔴 EMBARQUE ATRASADO",IF(AND(N3135="REALIZADO",M3135="PENDENTE"),"🟡 EMBARCADO SEM FATURAR",IF(AND(P3135&lt;&gt;"",S3135="",OR(Q3135="",R3135="")),"🟡 PENDÊNCIA SEM RESPONSÁVEL/PRAZO",IF(AND(ISNUMBER(R3135),R3135=TODAY()),"🟡 VENCE HOJE",IF(AND(P3135&lt;&gt;"",S3135=""),"🟡 PENDÊNCIA ABERTA",IF(AND(N(J3135)&gt;0,N(K3135)&lt;J3135),"🟡 FALTA EXECUTAR",IF(OR(M3135="PENDENTE",M3135="PARCIAL"),"🟡 FATURAMENTO PENDENTE","🟡 EMBARQUE PENDENTE")))))))))))</f>
        <v/>
      </c>
      <c r="D3135" s="4" t="n"/>
      <c r="E3135" s="5" t="n"/>
      <c r="F3135" s="5" t="n"/>
      <c r="G3135" s="5" t="n"/>
      <c r="H3135" s="5" t="n"/>
      <c r="I3135" s="5" t="n"/>
      <c r="J3135" s="6" t="n"/>
      <c r="K3135" s="6" t="n"/>
      <c r="L3135" s="7">
        <f>IF(OR(D3135="",N(J3135)=0),"",MIN(1,N(K3135)/J3135))</f>
        <v/>
      </c>
      <c r="M3135" s="5" t="n"/>
      <c r="N3135" s="5" t="n"/>
      <c r="O3135" s="5" t="n"/>
      <c r="P3135" s="5" t="n"/>
      <c r="Q3135" s="5" t="n"/>
      <c r="R3135" s="4" t="n"/>
      <c r="S3135" s="4" t="n"/>
      <c r="T3135" s="5" t="n"/>
      <c r="U3135" s="8">
        <f>IF(AND(V3135=1,D3135&lt;&gt;""),IF(D3135&gt;=corte,TODAY()-D3135,""),"")</f>
        <v/>
      </c>
      <c r="V3135" s="8">
        <f>IF(D3135="",0,IF(OR(AND(P3135&lt;&gt;"",S3135=""),AND(N(J3135)&gt;0,N(K3135)&lt;J3135),OR(M3135="PENDENTE",M3135="PARCIAL"),OR(N3135="PENDENTE",N3135="PARCIAL")),1,0))</f>
        <v/>
      </c>
      <c r="W3135" s="8">
        <f>IF(AND(V3135=1,D3135&lt;&gt;""),IF(D3135&gt;=corte,(B3135="CRÍTICO")*1E9+(100000-D3135)*10000+10000-ROW(),""),"")</f>
        <v/>
      </c>
      <c r="X3135" s="8">
        <f>IF(AND(V3135=1,D3135=pas_data,E3135=pas_turno),10000-ROW(),"")</f>
        <v/>
      </c>
    </row>
    <row r="3136">
      <c r="A3136" s="3">
        <f>IF(D3136="","","TT-"&amp;TEXT(ROW()-1,"00000"))</f>
        <v/>
      </c>
      <c r="B3136" s="3">
        <f>IF(D3136="","",IF(V3136=0,"CONCLUÍDO",IF(D3136&lt;corte,"HISTÓRICO",IF(OR(AND(ISNUMBER(R3136),R3136&lt;TODAY()),AND(OR(N3136="PENDENTE",N3136="PARCIAL"),D3136&lt;TODAY()-1)),"CRÍTICO",IF(OR(AND(P3136&lt;&gt;"",S3136=""),AND(N3136="REALIZADO",M3136="PENDENTE"),AND(ISNUMBER(R3136),R3136=TODAY())),"ATENÇÃO",IF(N(K3136)=0,"PENDENTE","EM ANDAMENTO"))))))</f>
        <v/>
      </c>
      <c r="C3136" s="3">
        <f>IF(D3136="","",IF(V3136=0,"🟢 OK",IF(D3136&lt;corte,"⚪ HISTÓRICO (sem baixa)",IF(AND(ISNUMBER(R3136),R3136&lt;TODAY()),"🔴 PRAZO VENCIDO",IF(AND(OR(N3136="PENDENTE",N3136="PARCIAL"),D3136&lt;TODAY()-1),"🔴 EMBARQUE ATRASADO",IF(AND(N3136="REALIZADO",M3136="PENDENTE"),"🟡 EMBARCADO SEM FATURAR",IF(AND(P3136&lt;&gt;"",S3136="",OR(Q3136="",R3136="")),"🟡 PENDÊNCIA SEM RESPONSÁVEL/PRAZO",IF(AND(ISNUMBER(R3136),R3136=TODAY()),"🟡 VENCE HOJE",IF(AND(P3136&lt;&gt;"",S3136=""),"🟡 PENDÊNCIA ABERTA",IF(AND(N(J3136)&gt;0,N(K3136)&lt;J3136),"🟡 FALTA EXECUTAR",IF(OR(M3136="PENDENTE",M3136="PARCIAL"),"🟡 FATURAMENTO PENDENTE","🟡 EMBARQUE PENDENTE")))))))))))</f>
        <v/>
      </c>
      <c r="D3136" s="4" t="n"/>
      <c r="E3136" s="5" t="n"/>
      <c r="F3136" s="5" t="n"/>
      <c r="G3136" s="5" t="n"/>
      <c r="H3136" s="5" t="n"/>
      <c r="I3136" s="5" t="n"/>
      <c r="J3136" s="6" t="n"/>
      <c r="K3136" s="6" t="n"/>
      <c r="L3136" s="7">
        <f>IF(OR(D3136="",N(J3136)=0),"",MIN(1,N(K3136)/J3136))</f>
        <v/>
      </c>
      <c r="M3136" s="5" t="n"/>
      <c r="N3136" s="5" t="n"/>
      <c r="O3136" s="5" t="n"/>
      <c r="P3136" s="5" t="n"/>
      <c r="Q3136" s="5" t="n"/>
      <c r="R3136" s="4" t="n"/>
      <c r="S3136" s="4" t="n"/>
      <c r="T3136" s="5" t="n"/>
      <c r="U3136" s="8">
        <f>IF(AND(V3136=1,D3136&lt;&gt;""),IF(D3136&gt;=corte,TODAY()-D3136,""),"")</f>
        <v/>
      </c>
      <c r="V3136" s="8">
        <f>IF(D3136="",0,IF(OR(AND(P3136&lt;&gt;"",S3136=""),AND(N(J3136)&gt;0,N(K3136)&lt;J3136),OR(M3136="PENDENTE",M3136="PARCIAL"),OR(N3136="PENDENTE",N3136="PARCIAL")),1,0))</f>
        <v/>
      </c>
      <c r="W3136" s="8">
        <f>IF(AND(V3136=1,D3136&lt;&gt;""),IF(D3136&gt;=corte,(B3136="CRÍTICO")*1E9+(100000-D3136)*10000+10000-ROW(),""),"")</f>
        <v/>
      </c>
      <c r="X3136" s="8">
        <f>IF(AND(V3136=1,D3136=pas_data,E3136=pas_turno),10000-ROW(),"")</f>
        <v/>
      </c>
    </row>
    <row r="3137">
      <c r="A3137" s="3">
        <f>IF(D3137="","","TT-"&amp;TEXT(ROW()-1,"00000"))</f>
        <v/>
      </c>
      <c r="B3137" s="3">
        <f>IF(D3137="","",IF(V3137=0,"CONCLUÍDO",IF(D3137&lt;corte,"HISTÓRICO",IF(OR(AND(ISNUMBER(R3137),R3137&lt;TODAY()),AND(OR(N3137="PENDENTE",N3137="PARCIAL"),D3137&lt;TODAY()-1)),"CRÍTICO",IF(OR(AND(P3137&lt;&gt;"",S3137=""),AND(N3137="REALIZADO",M3137="PENDENTE"),AND(ISNUMBER(R3137),R3137=TODAY())),"ATENÇÃO",IF(N(K3137)=0,"PENDENTE","EM ANDAMENTO"))))))</f>
        <v/>
      </c>
      <c r="C3137" s="3">
        <f>IF(D3137="","",IF(V3137=0,"🟢 OK",IF(D3137&lt;corte,"⚪ HISTÓRICO (sem baixa)",IF(AND(ISNUMBER(R3137),R3137&lt;TODAY()),"🔴 PRAZO VENCIDO",IF(AND(OR(N3137="PENDENTE",N3137="PARCIAL"),D3137&lt;TODAY()-1),"🔴 EMBARQUE ATRASADO",IF(AND(N3137="REALIZADO",M3137="PENDENTE"),"🟡 EMBARCADO SEM FATURAR",IF(AND(P3137&lt;&gt;"",S3137="",OR(Q3137="",R3137="")),"🟡 PENDÊNCIA SEM RESPONSÁVEL/PRAZO",IF(AND(ISNUMBER(R3137),R3137=TODAY()),"🟡 VENCE HOJE",IF(AND(P3137&lt;&gt;"",S3137=""),"🟡 PENDÊNCIA ABERTA",IF(AND(N(J3137)&gt;0,N(K3137)&lt;J3137),"🟡 FALTA EXECUTAR",IF(OR(M3137="PENDENTE",M3137="PARCIAL"),"🟡 FATURAMENTO PENDENTE","🟡 EMBARQUE PENDENTE")))))))))))</f>
        <v/>
      </c>
      <c r="D3137" s="4" t="n"/>
      <c r="E3137" s="5" t="n"/>
      <c r="F3137" s="5" t="n"/>
      <c r="G3137" s="5" t="n"/>
      <c r="H3137" s="5" t="n"/>
      <c r="I3137" s="5" t="n"/>
      <c r="J3137" s="6" t="n"/>
      <c r="K3137" s="6" t="n"/>
      <c r="L3137" s="7">
        <f>IF(OR(D3137="",N(J3137)=0),"",MIN(1,N(K3137)/J3137))</f>
        <v/>
      </c>
      <c r="M3137" s="5" t="n"/>
      <c r="N3137" s="5" t="n"/>
      <c r="O3137" s="5" t="n"/>
      <c r="P3137" s="5" t="n"/>
      <c r="Q3137" s="5" t="n"/>
      <c r="R3137" s="4" t="n"/>
      <c r="S3137" s="4" t="n"/>
      <c r="T3137" s="5" t="n"/>
      <c r="U3137" s="8">
        <f>IF(AND(V3137=1,D3137&lt;&gt;""),IF(D3137&gt;=corte,TODAY()-D3137,""),"")</f>
        <v/>
      </c>
      <c r="V3137" s="8">
        <f>IF(D3137="",0,IF(OR(AND(P3137&lt;&gt;"",S3137=""),AND(N(J3137)&gt;0,N(K3137)&lt;J3137),OR(M3137="PENDENTE",M3137="PARCIAL"),OR(N3137="PENDENTE",N3137="PARCIAL")),1,0))</f>
        <v/>
      </c>
      <c r="W3137" s="8">
        <f>IF(AND(V3137=1,D3137&lt;&gt;""),IF(D3137&gt;=corte,(B3137="CRÍTICO")*1E9+(100000-D3137)*10000+10000-ROW(),""),"")</f>
        <v/>
      </c>
      <c r="X3137" s="8">
        <f>IF(AND(V3137=1,D3137=pas_data,E3137=pas_turno),10000-ROW(),"")</f>
        <v/>
      </c>
    </row>
    <row r="3138">
      <c r="A3138" s="3">
        <f>IF(D3138="","","TT-"&amp;TEXT(ROW()-1,"00000"))</f>
        <v/>
      </c>
      <c r="B3138" s="3">
        <f>IF(D3138="","",IF(V3138=0,"CONCLUÍDO",IF(D3138&lt;corte,"HISTÓRICO",IF(OR(AND(ISNUMBER(R3138),R3138&lt;TODAY()),AND(OR(N3138="PENDENTE",N3138="PARCIAL"),D3138&lt;TODAY()-1)),"CRÍTICO",IF(OR(AND(P3138&lt;&gt;"",S3138=""),AND(N3138="REALIZADO",M3138="PENDENTE"),AND(ISNUMBER(R3138),R3138=TODAY())),"ATENÇÃO",IF(N(K3138)=0,"PENDENTE","EM ANDAMENTO"))))))</f>
        <v/>
      </c>
      <c r="C3138" s="3">
        <f>IF(D3138="","",IF(V3138=0,"🟢 OK",IF(D3138&lt;corte,"⚪ HISTÓRICO (sem baixa)",IF(AND(ISNUMBER(R3138),R3138&lt;TODAY()),"🔴 PRAZO VENCIDO",IF(AND(OR(N3138="PENDENTE",N3138="PARCIAL"),D3138&lt;TODAY()-1),"🔴 EMBARQUE ATRASADO",IF(AND(N3138="REALIZADO",M3138="PENDENTE"),"🟡 EMBARCADO SEM FATURAR",IF(AND(P3138&lt;&gt;"",S3138="",OR(Q3138="",R3138="")),"🟡 PENDÊNCIA SEM RESPONSÁVEL/PRAZO",IF(AND(ISNUMBER(R3138),R3138=TODAY()),"🟡 VENCE HOJE",IF(AND(P3138&lt;&gt;"",S3138=""),"🟡 PENDÊNCIA ABERTA",IF(AND(N(J3138)&gt;0,N(K3138)&lt;J3138),"🟡 FALTA EXECUTAR",IF(OR(M3138="PENDENTE",M3138="PARCIAL"),"🟡 FATURAMENTO PENDENTE","🟡 EMBARQUE PENDENTE")))))))))))</f>
        <v/>
      </c>
      <c r="D3138" s="4" t="n"/>
      <c r="E3138" s="5" t="n"/>
      <c r="F3138" s="5" t="n"/>
      <c r="G3138" s="5" t="n"/>
      <c r="H3138" s="5" t="n"/>
      <c r="I3138" s="5" t="n"/>
      <c r="J3138" s="6" t="n"/>
      <c r="K3138" s="6" t="n"/>
      <c r="L3138" s="7">
        <f>IF(OR(D3138="",N(J3138)=0),"",MIN(1,N(K3138)/J3138))</f>
        <v/>
      </c>
      <c r="M3138" s="5" t="n"/>
      <c r="N3138" s="5" t="n"/>
      <c r="O3138" s="5" t="n"/>
      <c r="P3138" s="5" t="n"/>
      <c r="Q3138" s="5" t="n"/>
      <c r="R3138" s="4" t="n"/>
      <c r="S3138" s="4" t="n"/>
      <c r="T3138" s="5" t="n"/>
      <c r="U3138" s="8">
        <f>IF(AND(V3138=1,D3138&lt;&gt;""),IF(D3138&gt;=corte,TODAY()-D3138,""),"")</f>
        <v/>
      </c>
      <c r="V3138" s="8">
        <f>IF(D3138="",0,IF(OR(AND(P3138&lt;&gt;"",S3138=""),AND(N(J3138)&gt;0,N(K3138)&lt;J3138),OR(M3138="PENDENTE",M3138="PARCIAL"),OR(N3138="PENDENTE",N3138="PARCIAL")),1,0))</f>
        <v/>
      </c>
      <c r="W3138" s="8">
        <f>IF(AND(V3138=1,D3138&lt;&gt;""),IF(D3138&gt;=corte,(B3138="CRÍTICO")*1E9+(100000-D3138)*10000+10000-ROW(),""),"")</f>
        <v/>
      </c>
      <c r="X3138" s="8">
        <f>IF(AND(V3138=1,D3138=pas_data,E3138=pas_turno),10000-ROW(),"")</f>
        <v/>
      </c>
    </row>
    <row r="3139">
      <c r="A3139" s="3">
        <f>IF(D3139="","","TT-"&amp;TEXT(ROW()-1,"00000"))</f>
        <v/>
      </c>
      <c r="B3139" s="3">
        <f>IF(D3139="","",IF(V3139=0,"CONCLUÍDO",IF(D3139&lt;corte,"HISTÓRICO",IF(OR(AND(ISNUMBER(R3139),R3139&lt;TODAY()),AND(OR(N3139="PENDENTE",N3139="PARCIAL"),D3139&lt;TODAY()-1)),"CRÍTICO",IF(OR(AND(P3139&lt;&gt;"",S3139=""),AND(N3139="REALIZADO",M3139="PENDENTE"),AND(ISNUMBER(R3139),R3139=TODAY())),"ATENÇÃO",IF(N(K3139)=0,"PENDENTE","EM ANDAMENTO"))))))</f>
        <v/>
      </c>
      <c r="C3139" s="3">
        <f>IF(D3139="","",IF(V3139=0,"🟢 OK",IF(D3139&lt;corte,"⚪ HISTÓRICO (sem baixa)",IF(AND(ISNUMBER(R3139),R3139&lt;TODAY()),"🔴 PRAZO VENCIDO",IF(AND(OR(N3139="PENDENTE",N3139="PARCIAL"),D3139&lt;TODAY()-1),"🔴 EMBARQUE ATRASADO",IF(AND(N3139="REALIZADO",M3139="PENDENTE"),"🟡 EMBARCADO SEM FATURAR",IF(AND(P3139&lt;&gt;"",S3139="",OR(Q3139="",R3139="")),"🟡 PENDÊNCIA SEM RESPONSÁVEL/PRAZO",IF(AND(ISNUMBER(R3139),R3139=TODAY()),"🟡 VENCE HOJE",IF(AND(P3139&lt;&gt;"",S3139=""),"🟡 PENDÊNCIA ABERTA",IF(AND(N(J3139)&gt;0,N(K3139)&lt;J3139),"🟡 FALTA EXECUTAR",IF(OR(M3139="PENDENTE",M3139="PARCIAL"),"🟡 FATURAMENTO PENDENTE","🟡 EMBARQUE PENDENTE")))))))))))</f>
        <v/>
      </c>
      <c r="D3139" s="4" t="n"/>
      <c r="E3139" s="5" t="n"/>
      <c r="F3139" s="5" t="n"/>
      <c r="G3139" s="5" t="n"/>
      <c r="H3139" s="5" t="n"/>
      <c r="I3139" s="5" t="n"/>
      <c r="J3139" s="6" t="n"/>
      <c r="K3139" s="6" t="n"/>
      <c r="L3139" s="7">
        <f>IF(OR(D3139="",N(J3139)=0),"",MIN(1,N(K3139)/J3139))</f>
        <v/>
      </c>
      <c r="M3139" s="5" t="n"/>
      <c r="N3139" s="5" t="n"/>
      <c r="O3139" s="5" t="n"/>
      <c r="P3139" s="5" t="n"/>
      <c r="Q3139" s="5" t="n"/>
      <c r="R3139" s="4" t="n"/>
      <c r="S3139" s="4" t="n"/>
      <c r="T3139" s="5" t="n"/>
      <c r="U3139" s="8">
        <f>IF(AND(V3139=1,D3139&lt;&gt;""),IF(D3139&gt;=corte,TODAY()-D3139,""),"")</f>
        <v/>
      </c>
      <c r="V3139" s="8">
        <f>IF(D3139="",0,IF(OR(AND(P3139&lt;&gt;"",S3139=""),AND(N(J3139)&gt;0,N(K3139)&lt;J3139),OR(M3139="PENDENTE",M3139="PARCIAL"),OR(N3139="PENDENTE",N3139="PARCIAL")),1,0))</f>
        <v/>
      </c>
      <c r="W3139" s="8">
        <f>IF(AND(V3139=1,D3139&lt;&gt;""),IF(D3139&gt;=corte,(B3139="CRÍTICO")*1E9+(100000-D3139)*10000+10000-ROW(),""),"")</f>
        <v/>
      </c>
      <c r="X3139" s="8">
        <f>IF(AND(V3139=1,D3139=pas_data,E3139=pas_turno),10000-ROW(),"")</f>
        <v/>
      </c>
    </row>
    <row r="3140">
      <c r="A3140" s="3">
        <f>IF(D3140="","","TT-"&amp;TEXT(ROW()-1,"00000"))</f>
        <v/>
      </c>
      <c r="B3140" s="3">
        <f>IF(D3140="","",IF(V3140=0,"CONCLUÍDO",IF(D3140&lt;corte,"HISTÓRICO",IF(OR(AND(ISNUMBER(R3140),R3140&lt;TODAY()),AND(OR(N3140="PENDENTE",N3140="PARCIAL"),D3140&lt;TODAY()-1)),"CRÍTICO",IF(OR(AND(P3140&lt;&gt;"",S3140=""),AND(N3140="REALIZADO",M3140="PENDENTE"),AND(ISNUMBER(R3140),R3140=TODAY())),"ATENÇÃO",IF(N(K3140)=0,"PENDENTE","EM ANDAMENTO"))))))</f>
        <v/>
      </c>
      <c r="C3140" s="3">
        <f>IF(D3140="","",IF(V3140=0,"🟢 OK",IF(D3140&lt;corte,"⚪ HISTÓRICO (sem baixa)",IF(AND(ISNUMBER(R3140),R3140&lt;TODAY()),"🔴 PRAZO VENCIDO",IF(AND(OR(N3140="PENDENTE",N3140="PARCIAL"),D3140&lt;TODAY()-1),"🔴 EMBARQUE ATRASADO",IF(AND(N3140="REALIZADO",M3140="PENDENTE"),"🟡 EMBARCADO SEM FATURAR",IF(AND(P3140&lt;&gt;"",S3140="",OR(Q3140="",R3140="")),"🟡 PENDÊNCIA SEM RESPONSÁVEL/PRAZO",IF(AND(ISNUMBER(R3140),R3140=TODAY()),"🟡 VENCE HOJE",IF(AND(P3140&lt;&gt;"",S3140=""),"🟡 PENDÊNCIA ABERTA",IF(AND(N(J3140)&gt;0,N(K3140)&lt;J3140),"🟡 FALTA EXECUTAR",IF(OR(M3140="PENDENTE",M3140="PARCIAL"),"🟡 FATURAMENTO PENDENTE","🟡 EMBARQUE PENDENTE")))))))))))</f>
        <v/>
      </c>
      <c r="D3140" s="4" t="n"/>
      <c r="E3140" s="5" t="n"/>
      <c r="F3140" s="5" t="n"/>
      <c r="G3140" s="5" t="n"/>
      <c r="H3140" s="5" t="n"/>
      <c r="I3140" s="5" t="n"/>
      <c r="J3140" s="6" t="n"/>
      <c r="K3140" s="6" t="n"/>
      <c r="L3140" s="7">
        <f>IF(OR(D3140="",N(J3140)=0),"",MIN(1,N(K3140)/J3140))</f>
        <v/>
      </c>
      <c r="M3140" s="5" t="n"/>
      <c r="N3140" s="5" t="n"/>
      <c r="O3140" s="5" t="n"/>
      <c r="P3140" s="5" t="n"/>
      <c r="Q3140" s="5" t="n"/>
      <c r="R3140" s="4" t="n"/>
      <c r="S3140" s="4" t="n"/>
      <c r="T3140" s="5" t="n"/>
      <c r="U3140" s="8">
        <f>IF(AND(V3140=1,D3140&lt;&gt;""),IF(D3140&gt;=corte,TODAY()-D3140,""),"")</f>
        <v/>
      </c>
      <c r="V3140" s="8">
        <f>IF(D3140="",0,IF(OR(AND(P3140&lt;&gt;"",S3140=""),AND(N(J3140)&gt;0,N(K3140)&lt;J3140),OR(M3140="PENDENTE",M3140="PARCIAL"),OR(N3140="PENDENTE",N3140="PARCIAL")),1,0))</f>
        <v/>
      </c>
      <c r="W3140" s="8">
        <f>IF(AND(V3140=1,D3140&lt;&gt;""),IF(D3140&gt;=corte,(B3140="CRÍTICO")*1E9+(100000-D3140)*10000+10000-ROW(),""),"")</f>
        <v/>
      </c>
      <c r="X3140" s="8">
        <f>IF(AND(V3140=1,D3140=pas_data,E3140=pas_turno),10000-ROW(),"")</f>
        <v/>
      </c>
    </row>
    <row r="3141">
      <c r="A3141" s="3">
        <f>IF(D3141="","","TT-"&amp;TEXT(ROW()-1,"00000"))</f>
        <v/>
      </c>
      <c r="B3141" s="3">
        <f>IF(D3141="","",IF(V3141=0,"CONCLUÍDO",IF(D3141&lt;corte,"HISTÓRICO",IF(OR(AND(ISNUMBER(R3141),R3141&lt;TODAY()),AND(OR(N3141="PENDENTE",N3141="PARCIAL"),D3141&lt;TODAY()-1)),"CRÍTICO",IF(OR(AND(P3141&lt;&gt;"",S3141=""),AND(N3141="REALIZADO",M3141="PENDENTE"),AND(ISNUMBER(R3141),R3141=TODAY())),"ATENÇÃO",IF(N(K3141)=0,"PENDENTE","EM ANDAMENTO"))))))</f>
        <v/>
      </c>
      <c r="C3141" s="3">
        <f>IF(D3141="","",IF(V3141=0,"🟢 OK",IF(D3141&lt;corte,"⚪ HISTÓRICO (sem baixa)",IF(AND(ISNUMBER(R3141),R3141&lt;TODAY()),"🔴 PRAZO VENCIDO",IF(AND(OR(N3141="PENDENTE",N3141="PARCIAL"),D3141&lt;TODAY()-1),"🔴 EMBARQUE ATRASADO",IF(AND(N3141="REALIZADO",M3141="PENDENTE"),"🟡 EMBARCADO SEM FATURAR",IF(AND(P3141&lt;&gt;"",S3141="",OR(Q3141="",R3141="")),"🟡 PENDÊNCIA SEM RESPONSÁVEL/PRAZO",IF(AND(ISNUMBER(R3141),R3141=TODAY()),"🟡 VENCE HOJE",IF(AND(P3141&lt;&gt;"",S3141=""),"🟡 PENDÊNCIA ABERTA",IF(AND(N(J3141)&gt;0,N(K3141)&lt;J3141),"🟡 FALTA EXECUTAR",IF(OR(M3141="PENDENTE",M3141="PARCIAL"),"🟡 FATURAMENTO PENDENTE","🟡 EMBARQUE PENDENTE")))))))))))</f>
        <v/>
      </c>
      <c r="D3141" s="4" t="n"/>
      <c r="E3141" s="5" t="n"/>
      <c r="F3141" s="5" t="n"/>
      <c r="G3141" s="5" t="n"/>
      <c r="H3141" s="5" t="n"/>
      <c r="I3141" s="5" t="n"/>
      <c r="J3141" s="6" t="n"/>
      <c r="K3141" s="6" t="n"/>
      <c r="L3141" s="7">
        <f>IF(OR(D3141="",N(J3141)=0),"",MIN(1,N(K3141)/J3141))</f>
        <v/>
      </c>
      <c r="M3141" s="5" t="n"/>
      <c r="N3141" s="5" t="n"/>
      <c r="O3141" s="5" t="n"/>
      <c r="P3141" s="5" t="n"/>
      <c r="Q3141" s="5" t="n"/>
      <c r="R3141" s="4" t="n"/>
      <c r="S3141" s="4" t="n"/>
      <c r="T3141" s="5" t="n"/>
      <c r="U3141" s="8">
        <f>IF(AND(V3141=1,D3141&lt;&gt;""),IF(D3141&gt;=corte,TODAY()-D3141,""),"")</f>
        <v/>
      </c>
      <c r="V3141" s="8">
        <f>IF(D3141="",0,IF(OR(AND(P3141&lt;&gt;"",S3141=""),AND(N(J3141)&gt;0,N(K3141)&lt;J3141),OR(M3141="PENDENTE",M3141="PARCIAL"),OR(N3141="PENDENTE",N3141="PARCIAL")),1,0))</f>
        <v/>
      </c>
      <c r="W3141" s="8">
        <f>IF(AND(V3141=1,D3141&lt;&gt;""),IF(D3141&gt;=corte,(B3141="CRÍTICO")*1E9+(100000-D3141)*10000+10000-ROW(),""),"")</f>
        <v/>
      </c>
      <c r="X3141" s="8">
        <f>IF(AND(V3141=1,D3141=pas_data,E3141=pas_turno),10000-ROW(),"")</f>
        <v/>
      </c>
    </row>
    <row r="3142">
      <c r="A3142" s="3">
        <f>IF(D3142="","","TT-"&amp;TEXT(ROW()-1,"00000"))</f>
        <v/>
      </c>
      <c r="B3142" s="3">
        <f>IF(D3142="","",IF(V3142=0,"CONCLUÍDO",IF(D3142&lt;corte,"HISTÓRICO",IF(OR(AND(ISNUMBER(R3142),R3142&lt;TODAY()),AND(OR(N3142="PENDENTE",N3142="PARCIAL"),D3142&lt;TODAY()-1)),"CRÍTICO",IF(OR(AND(P3142&lt;&gt;"",S3142=""),AND(N3142="REALIZADO",M3142="PENDENTE"),AND(ISNUMBER(R3142),R3142=TODAY())),"ATENÇÃO",IF(N(K3142)=0,"PENDENTE","EM ANDAMENTO"))))))</f>
        <v/>
      </c>
      <c r="C3142" s="3">
        <f>IF(D3142="","",IF(V3142=0,"🟢 OK",IF(D3142&lt;corte,"⚪ HISTÓRICO (sem baixa)",IF(AND(ISNUMBER(R3142),R3142&lt;TODAY()),"🔴 PRAZO VENCIDO",IF(AND(OR(N3142="PENDENTE",N3142="PARCIAL"),D3142&lt;TODAY()-1),"🔴 EMBARQUE ATRASADO",IF(AND(N3142="REALIZADO",M3142="PENDENTE"),"🟡 EMBARCADO SEM FATURAR",IF(AND(P3142&lt;&gt;"",S3142="",OR(Q3142="",R3142="")),"🟡 PENDÊNCIA SEM RESPONSÁVEL/PRAZO",IF(AND(ISNUMBER(R3142),R3142=TODAY()),"🟡 VENCE HOJE",IF(AND(P3142&lt;&gt;"",S3142=""),"🟡 PENDÊNCIA ABERTA",IF(AND(N(J3142)&gt;0,N(K3142)&lt;J3142),"🟡 FALTA EXECUTAR",IF(OR(M3142="PENDENTE",M3142="PARCIAL"),"🟡 FATURAMENTO PENDENTE","🟡 EMBARQUE PENDENTE")))))))))))</f>
        <v/>
      </c>
      <c r="D3142" s="4" t="n"/>
      <c r="E3142" s="5" t="n"/>
      <c r="F3142" s="5" t="n"/>
      <c r="G3142" s="5" t="n"/>
      <c r="H3142" s="5" t="n"/>
      <c r="I3142" s="5" t="n"/>
      <c r="J3142" s="6" t="n"/>
      <c r="K3142" s="6" t="n"/>
      <c r="L3142" s="7">
        <f>IF(OR(D3142="",N(J3142)=0),"",MIN(1,N(K3142)/J3142))</f>
        <v/>
      </c>
      <c r="M3142" s="5" t="n"/>
      <c r="N3142" s="5" t="n"/>
      <c r="O3142" s="5" t="n"/>
      <c r="P3142" s="5" t="n"/>
      <c r="Q3142" s="5" t="n"/>
      <c r="R3142" s="4" t="n"/>
      <c r="S3142" s="4" t="n"/>
      <c r="T3142" s="5" t="n"/>
      <c r="U3142" s="8">
        <f>IF(AND(V3142=1,D3142&lt;&gt;""),IF(D3142&gt;=corte,TODAY()-D3142,""),"")</f>
        <v/>
      </c>
      <c r="V3142" s="8">
        <f>IF(D3142="",0,IF(OR(AND(P3142&lt;&gt;"",S3142=""),AND(N(J3142)&gt;0,N(K3142)&lt;J3142),OR(M3142="PENDENTE",M3142="PARCIAL"),OR(N3142="PENDENTE",N3142="PARCIAL")),1,0))</f>
        <v/>
      </c>
      <c r="W3142" s="8">
        <f>IF(AND(V3142=1,D3142&lt;&gt;""),IF(D3142&gt;=corte,(B3142="CRÍTICO")*1E9+(100000-D3142)*10000+10000-ROW(),""),"")</f>
        <v/>
      </c>
      <c r="X3142" s="8">
        <f>IF(AND(V3142=1,D3142=pas_data,E3142=pas_turno),10000-ROW(),"")</f>
        <v/>
      </c>
    </row>
    <row r="3143">
      <c r="A3143" s="3">
        <f>IF(D3143="","","TT-"&amp;TEXT(ROW()-1,"00000"))</f>
        <v/>
      </c>
      <c r="B3143" s="3">
        <f>IF(D3143="","",IF(V3143=0,"CONCLUÍDO",IF(D3143&lt;corte,"HISTÓRICO",IF(OR(AND(ISNUMBER(R3143),R3143&lt;TODAY()),AND(OR(N3143="PENDENTE",N3143="PARCIAL"),D3143&lt;TODAY()-1)),"CRÍTICO",IF(OR(AND(P3143&lt;&gt;"",S3143=""),AND(N3143="REALIZADO",M3143="PENDENTE"),AND(ISNUMBER(R3143),R3143=TODAY())),"ATENÇÃO",IF(N(K3143)=0,"PENDENTE","EM ANDAMENTO"))))))</f>
        <v/>
      </c>
      <c r="C3143" s="3">
        <f>IF(D3143="","",IF(V3143=0,"🟢 OK",IF(D3143&lt;corte,"⚪ HISTÓRICO (sem baixa)",IF(AND(ISNUMBER(R3143),R3143&lt;TODAY()),"🔴 PRAZO VENCIDO",IF(AND(OR(N3143="PENDENTE",N3143="PARCIAL"),D3143&lt;TODAY()-1),"🔴 EMBARQUE ATRASADO",IF(AND(N3143="REALIZADO",M3143="PENDENTE"),"🟡 EMBARCADO SEM FATURAR",IF(AND(P3143&lt;&gt;"",S3143="",OR(Q3143="",R3143="")),"🟡 PENDÊNCIA SEM RESPONSÁVEL/PRAZO",IF(AND(ISNUMBER(R3143),R3143=TODAY()),"🟡 VENCE HOJE",IF(AND(P3143&lt;&gt;"",S3143=""),"🟡 PENDÊNCIA ABERTA",IF(AND(N(J3143)&gt;0,N(K3143)&lt;J3143),"🟡 FALTA EXECUTAR",IF(OR(M3143="PENDENTE",M3143="PARCIAL"),"🟡 FATURAMENTO PENDENTE","🟡 EMBARQUE PENDENTE")))))))))))</f>
        <v/>
      </c>
      <c r="D3143" s="4" t="n"/>
      <c r="E3143" s="5" t="n"/>
      <c r="F3143" s="5" t="n"/>
      <c r="G3143" s="5" t="n"/>
      <c r="H3143" s="5" t="n"/>
      <c r="I3143" s="5" t="n"/>
      <c r="J3143" s="6" t="n"/>
      <c r="K3143" s="6" t="n"/>
      <c r="L3143" s="7">
        <f>IF(OR(D3143="",N(J3143)=0),"",MIN(1,N(K3143)/J3143))</f>
        <v/>
      </c>
      <c r="M3143" s="5" t="n"/>
      <c r="N3143" s="5" t="n"/>
      <c r="O3143" s="5" t="n"/>
      <c r="P3143" s="5" t="n"/>
      <c r="Q3143" s="5" t="n"/>
      <c r="R3143" s="4" t="n"/>
      <c r="S3143" s="4" t="n"/>
      <c r="T3143" s="5" t="n"/>
      <c r="U3143" s="8">
        <f>IF(AND(V3143=1,D3143&lt;&gt;""),IF(D3143&gt;=corte,TODAY()-D3143,""),"")</f>
        <v/>
      </c>
      <c r="V3143" s="8">
        <f>IF(D3143="",0,IF(OR(AND(P3143&lt;&gt;"",S3143=""),AND(N(J3143)&gt;0,N(K3143)&lt;J3143),OR(M3143="PENDENTE",M3143="PARCIAL"),OR(N3143="PENDENTE",N3143="PARCIAL")),1,0))</f>
        <v/>
      </c>
      <c r="W3143" s="8">
        <f>IF(AND(V3143=1,D3143&lt;&gt;""),IF(D3143&gt;=corte,(B3143="CRÍTICO")*1E9+(100000-D3143)*10000+10000-ROW(),""),"")</f>
        <v/>
      </c>
      <c r="X3143" s="8">
        <f>IF(AND(V3143=1,D3143=pas_data,E3143=pas_turno),10000-ROW(),"")</f>
        <v/>
      </c>
    </row>
    <row r="3144">
      <c r="A3144" s="3">
        <f>IF(D3144="","","TT-"&amp;TEXT(ROW()-1,"00000"))</f>
        <v/>
      </c>
      <c r="B3144" s="3">
        <f>IF(D3144="","",IF(V3144=0,"CONCLUÍDO",IF(D3144&lt;corte,"HISTÓRICO",IF(OR(AND(ISNUMBER(R3144),R3144&lt;TODAY()),AND(OR(N3144="PENDENTE",N3144="PARCIAL"),D3144&lt;TODAY()-1)),"CRÍTICO",IF(OR(AND(P3144&lt;&gt;"",S3144=""),AND(N3144="REALIZADO",M3144="PENDENTE"),AND(ISNUMBER(R3144),R3144=TODAY())),"ATENÇÃO",IF(N(K3144)=0,"PENDENTE","EM ANDAMENTO"))))))</f>
        <v/>
      </c>
      <c r="C3144" s="3">
        <f>IF(D3144="","",IF(V3144=0,"🟢 OK",IF(D3144&lt;corte,"⚪ HISTÓRICO (sem baixa)",IF(AND(ISNUMBER(R3144),R3144&lt;TODAY()),"🔴 PRAZO VENCIDO",IF(AND(OR(N3144="PENDENTE",N3144="PARCIAL"),D3144&lt;TODAY()-1),"🔴 EMBARQUE ATRASADO",IF(AND(N3144="REALIZADO",M3144="PENDENTE"),"🟡 EMBARCADO SEM FATURAR",IF(AND(P3144&lt;&gt;"",S3144="",OR(Q3144="",R3144="")),"🟡 PENDÊNCIA SEM RESPONSÁVEL/PRAZO",IF(AND(ISNUMBER(R3144),R3144=TODAY()),"🟡 VENCE HOJE",IF(AND(P3144&lt;&gt;"",S3144=""),"🟡 PENDÊNCIA ABERTA",IF(AND(N(J3144)&gt;0,N(K3144)&lt;J3144),"🟡 FALTA EXECUTAR",IF(OR(M3144="PENDENTE",M3144="PARCIAL"),"🟡 FATURAMENTO PENDENTE","🟡 EMBARQUE PENDENTE")))))))))))</f>
        <v/>
      </c>
      <c r="D3144" s="4" t="n"/>
      <c r="E3144" s="5" t="n"/>
      <c r="F3144" s="5" t="n"/>
      <c r="G3144" s="5" t="n"/>
      <c r="H3144" s="5" t="n"/>
      <c r="I3144" s="5" t="n"/>
      <c r="J3144" s="6" t="n"/>
      <c r="K3144" s="6" t="n"/>
      <c r="L3144" s="7">
        <f>IF(OR(D3144="",N(J3144)=0),"",MIN(1,N(K3144)/J3144))</f>
        <v/>
      </c>
      <c r="M3144" s="5" t="n"/>
      <c r="N3144" s="5" t="n"/>
      <c r="O3144" s="5" t="n"/>
      <c r="P3144" s="5" t="n"/>
      <c r="Q3144" s="5" t="n"/>
      <c r="R3144" s="4" t="n"/>
      <c r="S3144" s="4" t="n"/>
      <c r="T3144" s="5" t="n"/>
      <c r="U3144" s="8">
        <f>IF(AND(V3144=1,D3144&lt;&gt;""),IF(D3144&gt;=corte,TODAY()-D3144,""),"")</f>
        <v/>
      </c>
      <c r="V3144" s="8">
        <f>IF(D3144="",0,IF(OR(AND(P3144&lt;&gt;"",S3144=""),AND(N(J3144)&gt;0,N(K3144)&lt;J3144),OR(M3144="PENDENTE",M3144="PARCIAL"),OR(N3144="PENDENTE",N3144="PARCIAL")),1,0))</f>
        <v/>
      </c>
      <c r="W3144" s="8">
        <f>IF(AND(V3144=1,D3144&lt;&gt;""),IF(D3144&gt;=corte,(B3144="CRÍTICO")*1E9+(100000-D3144)*10000+10000-ROW(),""),"")</f>
        <v/>
      </c>
      <c r="X3144" s="8">
        <f>IF(AND(V3144=1,D3144=pas_data,E3144=pas_turno),10000-ROW(),"")</f>
        <v/>
      </c>
    </row>
    <row r="3145">
      <c r="A3145" s="3">
        <f>IF(D3145="","","TT-"&amp;TEXT(ROW()-1,"00000"))</f>
        <v/>
      </c>
      <c r="B3145" s="3">
        <f>IF(D3145="","",IF(V3145=0,"CONCLUÍDO",IF(D3145&lt;corte,"HISTÓRICO",IF(OR(AND(ISNUMBER(R3145),R3145&lt;TODAY()),AND(OR(N3145="PENDENTE",N3145="PARCIAL"),D3145&lt;TODAY()-1)),"CRÍTICO",IF(OR(AND(P3145&lt;&gt;"",S3145=""),AND(N3145="REALIZADO",M3145="PENDENTE"),AND(ISNUMBER(R3145),R3145=TODAY())),"ATENÇÃO",IF(N(K3145)=0,"PENDENTE","EM ANDAMENTO"))))))</f>
        <v/>
      </c>
      <c r="C3145" s="3">
        <f>IF(D3145="","",IF(V3145=0,"🟢 OK",IF(D3145&lt;corte,"⚪ HISTÓRICO (sem baixa)",IF(AND(ISNUMBER(R3145),R3145&lt;TODAY()),"🔴 PRAZO VENCIDO",IF(AND(OR(N3145="PENDENTE",N3145="PARCIAL"),D3145&lt;TODAY()-1),"🔴 EMBARQUE ATRASADO",IF(AND(N3145="REALIZADO",M3145="PENDENTE"),"🟡 EMBARCADO SEM FATURAR",IF(AND(P3145&lt;&gt;"",S3145="",OR(Q3145="",R3145="")),"🟡 PENDÊNCIA SEM RESPONSÁVEL/PRAZO",IF(AND(ISNUMBER(R3145),R3145=TODAY()),"🟡 VENCE HOJE",IF(AND(P3145&lt;&gt;"",S3145=""),"🟡 PENDÊNCIA ABERTA",IF(AND(N(J3145)&gt;0,N(K3145)&lt;J3145),"🟡 FALTA EXECUTAR",IF(OR(M3145="PENDENTE",M3145="PARCIAL"),"🟡 FATURAMENTO PENDENTE","🟡 EMBARQUE PENDENTE")))))))))))</f>
        <v/>
      </c>
      <c r="D3145" s="4" t="n"/>
      <c r="E3145" s="5" t="n"/>
      <c r="F3145" s="5" t="n"/>
      <c r="G3145" s="5" t="n"/>
      <c r="H3145" s="5" t="n"/>
      <c r="I3145" s="5" t="n"/>
      <c r="J3145" s="6" t="n"/>
      <c r="K3145" s="6" t="n"/>
      <c r="L3145" s="7">
        <f>IF(OR(D3145="",N(J3145)=0),"",MIN(1,N(K3145)/J3145))</f>
        <v/>
      </c>
      <c r="M3145" s="5" t="n"/>
      <c r="N3145" s="5" t="n"/>
      <c r="O3145" s="5" t="n"/>
      <c r="P3145" s="5" t="n"/>
      <c r="Q3145" s="5" t="n"/>
      <c r="R3145" s="4" t="n"/>
      <c r="S3145" s="4" t="n"/>
      <c r="T3145" s="5" t="n"/>
      <c r="U3145" s="8">
        <f>IF(AND(V3145=1,D3145&lt;&gt;""),IF(D3145&gt;=corte,TODAY()-D3145,""),"")</f>
        <v/>
      </c>
      <c r="V3145" s="8">
        <f>IF(D3145="",0,IF(OR(AND(P3145&lt;&gt;"",S3145=""),AND(N(J3145)&gt;0,N(K3145)&lt;J3145),OR(M3145="PENDENTE",M3145="PARCIAL"),OR(N3145="PENDENTE",N3145="PARCIAL")),1,0))</f>
        <v/>
      </c>
      <c r="W3145" s="8">
        <f>IF(AND(V3145=1,D3145&lt;&gt;""),IF(D3145&gt;=corte,(B3145="CRÍTICO")*1E9+(100000-D3145)*10000+10000-ROW(),""),"")</f>
        <v/>
      </c>
      <c r="X3145" s="8">
        <f>IF(AND(V3145=1,D3145=pas_data,E3145=pas_turno),10000-ROW(),"")</f>
        <v/>
      </c>
    </row>
    <row r="3146">
      <c r="A3146" s="3">
        <f>IF(D3146="","","TT-"&amp;TEXT(ROW()-1,"00000"))</f>
        <v/>
      </c>
      <c r="B3146" s="3">
        <f>IF(D3146="","",IF(V3146=0,"CONCLUÍDO",IF(D3146&lt;corte,"HISTÓRICO",IF(OR(AND(ISNUMBER(R3146),R3146&lt;TODAY()),AND(OR(N3146="PENDENTE",N3146="PARCIAL"),D3146&lt;TODAY()-1)),"CRÍTICO",IF(OR(AND(P3146&lt;&gt;"",S3146=""),AND(N3146="REALIZADO",M3146="PENDENTE"),AND(ISNUMBER(R3146),R3146=TODAY())),"ATENÇÃO",IF(N(K3146)=0,"PENDENTE","EM ANDAMENTO"))))))</f>
        <v/>
      </c>
      <c r="C3146" s="3">
        <f>IF(D3146="","",IF(V3146=0,"🟢 OK",IF(D3146&lt;corte,"⚪ HISTÓRICO (sem baixa)",IF(AND(ISNUMBER(R3146),R3146&lt;TODAY()),"🔴 PRAZO VENCIDO",IF(AND(OR(N3146="PENDENTE",N3146="PARCIAL"),D3146&lt;TODAY()-1),"🔴 EMBARQUE ATRASADO",IF(AND(N3146="REALIZADO",M3146="PENDENTE"),"🟡 EMBARCADO SEM FATURAR",IF(AND(P3146&lt;&gt;"",S3146="",OR(Q3146="",R3146="")),"🟡 PENDÊNCIA SEM RESPONSÁVEL/PRAZO",IF(AND(ISNUMBER(R3146),R3146=TODAY()),"🟡 VENCE HOJE",IF(AND(P3146&lt;&gt;"",S3146=""),"🟡 PENDÊNCIA ABERTA",IF(AND(N(J3146)&gt;0,N(K3146)&lt;J3146),"🟡 FALTA EXECUTAR",IF(OR(M3146="PENDENTE",M3146="PARCIAL"),"🟡 FATURAMENTO PENDENTE","🟡 EMBARQUE PENDENTE")))))))))))</f>
        <v/>
      </c>
      <c r="D3146" s="4" t="n"/>
      <c r="E3146" s="5" t="n"/>
      <c r="F3146" s="5" t="n"/>
      <c r="G3146" s="5" t="n"/>
      <c r="H3146" s="5" t="n"/>
      <c r="I3146" s="5" t="n"/>
      <c r="J3146" s="6" t="n"/>
      <c r="K3146" s="6" t="n"/>
      <c r="L3146" s="7">
        <f>IF(OR(D3146="",N(J3146)=0),"",MIN(1,N(K3146)/J3146))</f>
        <v/>
      </c>
      <c r="M3146" s="5" t="n"/>
      <c r="N3146" s="5" t="n"/>
      <c r="O3146" s="5" t="n"/>
      <c r="P3146" s="5" t="n"/>
      <c r="Q3146" s="5" t="n"/>
      <c r="R3146" s="4" t="n"/>
      <c r="S3146" s="4" t="n"/>
      <c r="T3146" s="5" t="n"/>
      <c r="U3146" s="8">
        <f>IF(AND(V3146=1,D3146&lt;&gt;""),IF(D3146&gt;=corte,TODAY()-D3146,""),"")</f>
        <v/>
      </c>
      <c r="V3146" s="8">
        <f>IF(D3146="",0,IF(OR(AND(P3146&lt;&gt;"",S3146=""),AND(N(J3146)&gt;0,N(K3146)&lt;J3146),OR(M3146="PENDENTE",M3146="PARCIAL"),OR(N3146="PENDENTE",N3146="PARCIAL")),1,0))</f>
        <v/>
      </c>
      <c r="W3146" s="8">
        <f>IF(AND(V3146=1,D3146&lt;&gt;""),IF(D3146&gt;=corte,(B3146="CRÍTICO")*1E9+(100000-D3146)*10000+10000-ROW(),""),"")</f>
        <v/>
      </c>
      <c r="X3146" s="8">
        <f>IF(AND(V3146=1,D3146=pas_data,E3146=pas_turno),10000-ROW(),"")</f>
        <v/>
      </c>
    </row>
    <row r="3147">
      <c r="A3147" s="3">
        <f>IF(D3147="","","TT-"&amp;TEXT(ROW()-1,"00000"))</f>
        <v/>
      </c>
      <c r="B3147" s="3">
        <f>IF(D3147="","",IF(V3147=0,"CONCLUÍDO",IF(D3147&lt;corte,"HISTÓRICO",IF(OR(AND(ISNUMBER(R3147),R3147&lt;TODAY()),AND(OR(N3147="PENDENTE",N3147="PARCIAL"),D3147&lt;TODAY()-1)),"CRÍTICO",IF(OR(AND(P3147&lt;&gt;"",S3147=""),AND(N3147="REALIZADO",M3147="PENDENTE"),AND(ISNUMBER(R3147),R3147=TODAY())),"ATENÇÃO",IF(N(K3147)=0,"PENDENTE","EM ANDAMENTO"))))))</f>
        <v/>
      </c>
      <c r="C3147" s="3">
        <f>IF(D3147="","",IF(V3147=0,"🟢 OK",IF(D3147&lt;corte,"⚪ HISTÓRICO (sem baixa)",IF(AND(ISNUMBER(R3147),R3147&lt;TODAY()),"🔴 PRAZO VENCIDO",IF(AND(OR(N3147="PENDENTE",N3147="PARCIAL"),D3147&lt;TODAY()-1),"🔴 EMBARQUE ATRASADO",IF(AND(N3147="REALIZADO",M3147="PENDENTE"),"🟡 EMBARCADO SEM FATURAR",IF(AND(P3147&lt;&gt;"",S3147="",OR(Q3147="",R3147="")),"🟡 PENDÊNCIA SEM RESPONSÁVEL/PRAZO",IF(AND(ISNUMBER(R3147),R3147=TODAY()),"🟡 VENCE HOJE",IF(AND(P3147&lt;&gt;"",S3147=""),"🟡 PENDÊNCIA ABERTA",IF(AND(N(J3147)&gt;0,N(K3147)&lt;J3147),"🟡 FALTA EXECUTAR",IF(OR(M3147="PENDENTE",M3147="PARCIAL"),"🟡 FATURAMENTO PENDENTE","🟡 EMBARQUE PENDENTE")))))))))))</f>
        <v/>
      </c>
      <c r="D3147" s="4" t="n"/>
      <c r="E3147" s="5" t="n"/>
      <c r="F3147" s="5" t="n"/>
      <c r="G3147" s="5" t="n"/>
      <c r="H3147" s="5" t="n"/>
      <c r="I3147" s="5" t="n"/>
      <c r="J3147" s="6" t="n"/>
      <c r="K3147" s="6" t="n"/>
      <c r="L3147" s="7">
        <f>IF(OR(D3147="",N(J3147)=0),"",MIN(1,N(K3147)/J3147))</f>
        <v/>
      </c>
      <c r="M3147" s="5" t="n"/>
      <c r="N3147" s="5" t="n"/>
      <c r="O3147" s="5" t="n"/>
      <c r="P3147" s="5" t="n"/>
      <c r="Q3147" s="5" t="n"/>
      <c r="R3147" s="4" t="n"/>
      <c r="S3147" s="4" t="n"/>
      <c r="T3147" s="5" t="n"/>
      <c r="U3147" s="8">
        <f>IF(AND(V3147=1,D3147&lt;&gt;""),IF(D3147&gt;=corte,TODAY()-D3147,""),"")</f>
        <v/>
      </c>
      <c r="V3147" s="8">
        <f>IF(D3147="",0,IF(OR(AND(P3147&lt;&gt;"",S3147=""),AND(N(J3147)&gt;0,N(K3147)&lt;J3147),OR(M3147="PENDENTE",M3147="PARCIAL"),OR(N3147="PENDENTE",N3147="PARCIAL")),1,0))</f>
        <v/>
      </c>
      <c r="W3147" s="8">
        <f>IF(AND(V3147=1,D3147&lt;&gt;""),IF(D3147&gt;=corte,(B3147="CRÍTICO")*1E9+(100000-D3147)*10000+10000-ROW(),""),"")</f>
        <v/>
      </c>
      <c r="X3147" s="8">
        <f>IF(AND(V3147=1,D3147=pas_data,E3147=pas_turno),10000-ROW(),"")</f>
        <v/>
      </c>
    </row>
    <row r="3148">
      <c r="A3148" s="3">
        <f>IF(D3148="","","TT-"&amp;TEXT(ROW()-1,"00000"))</f>
        <v/>
      </c>
      <c r="B3148" s="3">
        <f>IF(D3148="","",IF(V3148=0,"CONCLUÍDO",IF(D3148&lt;corte,"HISTÓRICO",IF(OR(AND(ISNUMBER(R3148),R3148&lt;TODAY()),AND(OR(N3148="PENDENTE",N3148="PARCIAL"),D3148&lt;TODAY()-1)),"CRÍTICO",IF(OR(AND(P3148&lt;&gt;"",S3148=""),AND(N3148="REALIZADO",M3148="PENDENTE"),AND(ISNUMBER(R3148),R3148=TODAY())),"ATENÇÃO",IF(N(K3148)=0,"PENDENTE","EM ANDAMENTO"))))))</f>
        <v/>
      </c>
      <c r="C3148" s="3">
        <f>IF(D3148="","",IF(V3148=0,"🟢 OK",IF(D3148&lt;corte,"⚪ HISTÓRICO (sem baixa)",IF(AND(ISNUMBER(R3148),R3148&lt;TODAY()),"🔴 PRAZO VENCIDO",IF(AND(OR(N3148="PENDENTE",N3148="PARCIAL"),D3148&lt;TODAY()-1),"🔴 EMBARQUE ATRASADO",IF(AND(N3148="REALIZADO",M3148="PENDENTE"),"🟡 EMBARCADO SEM FATURAR",IF(AND(P3148&lt;&gt;"",S3148="",OR(Q3148="",R3148="")),"🟡 PENDÊNCIA SEM RESPONSÁVEL/PRAZO",IF(AND(ISNUMBER(R3148),R3148=TODAY()),"🟡 VENCE HOJE",IF(AND(P3148&lt;&gt;"",S3148=""),"🟡 PENDÊNCIA ABERTA",IF(AND(N(J3148)&gt;0,N(K3148)&lt;J3148),"🟡 FALTA EXECUTAR",IF(OR(M3148="PENDENTE",M3148="PARCIAL"),"🟡 FATURAMENTO PENDENTE","🟡 EMBARQUE PENDENTE")))))))))))</f>
        <v/>
      </c>
      <c r="D3148" s="4" t="n"/>
      <c r="E3148" s="5" t="n"/>
      <c r="F3148" s="5" t="n"/>
      <c r="G3148" s="5" t="n"/>
      <c r="H3148" s="5" t="n"/>
      <c r="I3148" s="5" t="n"/>
      <c r="J3148" s="6" t="n"/>
      <c r="K3148" s="6" t="n"/>
      <c r="L3148" s="7">
        <f>IF(OR(D3148="",N(J3148)=0),"",MIN(1,N(K3148)/J3148))</f>
        <v/>
      </c>
      <c r="M3148" s="5" t="n"/>
      <c r="N3148" s="5" t="n"/>
      <c r="O3148" s="5" t="n"/>
      <c r="P3148" s="5" t="n"/>
      <c r="Q3148" s="5" t="n"/>
      <c r="R3148" s="4" t="n"/>
      <c r="S3148" s="4" t="n"/>
      <c r="T3148" s="5" t="n"/>
      <c r="U3148" s="8">
        <f>IF(AND(V3148=1,D3148&lt;&gt;""),IF(D3148&gt;=corte,TODAY()-D3148,""),"")</f>
        <v/>
      </c>
      <c r="V3148" s="8">
        <f>IF(D3148="",0,IF(OR(AND(P3148&lt;&gt;"",S3148=""),AND(N(J3148)&gt;0,N(K3148)&lt;J3148),OR(M3148="PENDENTE",M3148="PARCIAL"),OR(N3148="PENDENTE",N3148="PARCIAL")),1,0))</f>
        <v/>
      </c>
      <c r="W3148" s="8">
        <f>IF(AND(V3148=1,D3148&lt;&gt;""),IF(D3148&gt;=corte,(B3148="CRÍTICO")*1E9+(100000-D3148)*10000+10000-ROW(),""),"")</f>
        <v/>
      </c>
      <c r="X3148" s="8">
        <f>IF(AND(V3148=1,D3148=pas_data,E3148=pas_turno),10000-ROW(),"")</f>
        <v/>
      </c>
    </row>
    <row r="3149">
      <c r="A3149" s="3">
        <f>IF(D3149="","","TT-"&amp;TEXT(ROW()-1,"00000"))</f>
        <v/>
      </c>
      <c r="B3149" s="3">
        <f>IF(D3149="","",IF(V3149=0,"CONCLUÍDO",IF(D3149&lt;corte,"HISTÓRICO",IF(OR(AND(ISNUMBER(R3149),R3149&lt;TODAY()),AND(OR(N3149="PENDENTE",N3149="PARCIAL"),D3149&lt;TODAY()-1)),"CRÍTICO",IF(OR(AND(P3149&lt;&gt;"",S3149=""),AND(N3149="REALIZADO",M3149="PENDENTE"),AND(ISNUMBER(R3149),R3149=TODAY())),"ATENÇÃO",IF(N(K3149)=0,"PENDENTE","EM ANDAMENTO"))))))</f>
        <v/>
      </c>
      <c r="C3149" s="3">
        <f>IF(D3149="","",IF(V3149=0,"🟢 OK",IF(D3149&lt;corte,"⚪ HISTÓRICO (sem baixa)",IF(AND(ISNUMBER(R3149),R3149&lt;TODAY()),"🔴 PRAZO VENCIDO",IF(AND(OR(N3149="PENDENTE",N3149="PARCIAL"),D3149&lt;TODAY()-1),"🔴 EMBARQUE ATRASADO",IF(AND(N3149="REALIZADO",M3149="PENDENTE"),"🟡 EMBARCADO SEM FATURAR",IF(AND(P3149&lt;&gt;"",S3149="",OR(Q3149="",R3149="")),"🟡 PENDÊNCIA SEM RESPONSÁVEL/PRAZO",IF(AND(ISNUMBER(R3149),R3149=TODAY()),"🟡 VENCE HOJE",IF(AND(P3149&lt;&gt;"",S3149=""),"🟡 PENDÊNCIA ABERTA",IF(AND(N(J3149)&gt;0,N(K3149)&lt;J3149),"🟡 FALTA EXECUTAR",IF(OR(M3149="PENDENTE",M3149="PARCIAL"),"🟡 FATURAMENTO PENDENTE","🟡 EMBARQUE PENDENTE")))))))))))</f>
        <v/>
      </c>
      <c r="D3149" s="4" t="n"/>
      <c r="E3149" s="5" t="n"/>
      <c r="F3149" s="5" t="n"/>
      <c r="G3149" s="5" t="n"/>
      <c r="H3149" s="5" t="n"/>
      <c r="I3149" s="5" t="n"/>
      <c r="J3149" s="6" t="n"/>
      <c r="K3149" s="6" t="n"/>
      <c r="L3149" s="7">
        <f>IF(OR(D3149="",N(J3149)=0),"",MIN(1,N(K3149)/J3149))</f>
        <v/>
      </c>
      <c r="M3149" s="5" t="n"/>
      <c r="N3149" s="5" t="n"/>
      <c r="O3149" s="5" t="n"/>
      <c r="P3149" s="5" t="n"/>
      <c r="Q3149" s="5" t="n"/>
      <c r="R3149" s="4" t="n"/>
      <c r="S3149" s="4" t="n"/>
      <c r="T3149" s="5" t="n"/>
      <c r="U3149" s="8">
        <f>IF(AND(V3149=1,D3149&lt;&gt;""),IF(D3149&gt;=corte,TODAY()-D3149,""),"")</f>
        <v/>
      </c>
      <c r="V3149" s="8">
        <f>IF(D3149="",0,IF(OR(AND(P3149&lt;&gt;"",S3149=""),AND(N(J3149)&gt;0,N(K3149)&lt;J3149),OR(M3149="PENDENTE",M3149="PARCIAL"),OR(N3149="PENDENTE",N3149="PARCIAL")),1,0))</f>
        <v/>
      </c>
      <c r="W3149" s="8">
        <f>IF(AND(V3149=1,D3149&lt;&gt;""),IF(D3149&gt;=corte,(B3149="CRÍTICO")*1E9+(100000-D3149)*10000+10000-ROW(),""),"")</f>
        <v/>
      </c>
      <c r="X3149" s="8">
        <f>IF(AND(V3149=1,D3149=pas_data,E3149=pas_turno),10000-ROW(),"")</f>
        <v/>
      </c>
    </row>
    <row r="3150">
      <c r="A3150" s="3">
        <f>IF(D3150="","","TT-"&amp;TEXT(ROW()-1,"00000"))</f>
        <v/>
      </c>
      <c r="B3150" s="3">
        <f>IF(D3150="","",IF(V3150=0,"CONCLUÍDO",IF(D3150&lt;corte,"HISTÓRICO",IF(OR(AND(ISNUMBER(R3150),R3150&lt;TODAY()),AND(OR(N3150="PENDENTE",N3150="PARCIAL"),D3150&lt;TODAY()-1)),"CRÍTICO",IF(OR(AND(P3150&lt;&gt;"",S3150=""),AND(N3150="REALIZADO",M3150="PENDENTE"),AND(ISNUMBER(R3150),R3150=TODAY())),"ATENÇÃO",IF(N(K3150)=0,"PENDENTE","EM ANDAMENTO"))))))</f>
        <v/>
      </c>
      <c r="C3150" s="3">
        <f>IF(D3150="","",IF(V3150=0,"🟢 OK",IF(D3150&lt;corte,"⚪ HISTÓRICO (sem baixa)",IF(AND(ISNUMBER(R3150),R3150&lt;TODAY()),"🔴 PRAZO VENCIDO",IF(AND(OR(N3150="PENDENTE",N3150="PARCIAL"),D3150&lt;TODAY()-1),"🔴 EMBARQUE ATRASADO",IF(AND(N3150="REALIZADO",M3150="PENDENTE"),"🟡 EMBARCADO SEM FATURAR",IF(AND(P3150&lt;&gt;"",S3150="",OR(Q3150="",R3150="")),"🟡 PENDÊNCIA SEM RESPONSÁVEL/PRAZO",IF(AND(ISNUMBER(R3150),R3150=TODAY()),"🟡 VENCE HOJE",IF(AND(P3150&lt;&gt;"",S3150=""),"🟡 PENDÊNCIA ABERTA",IF(AND(N(J3150)&gt;0,N(K3150)&lt;J3150),"🟡 FALTA EXECUTAR",IF(OR(M3150="PENDENTE",M3150="PARCIAL"),"🟡 FATURAMENTO PENDENTE","🟡 EMBARQUE PENDENTE")))))))))))</f>
        <v/>
      </c>
      <c r="D3150" s="4" t="n"/>
      <c r="E3150" s="5" t="n"/>
      <c r="F3150" s="5" t="n"/>
      <c r="G3150" s="5" t="n"/>
      <c r="H3150" s="5" t="n"/>
      <c r="I3150" s="5" t="n"/>
      <c r="J3150" s="6" t="n"/>
      <c r="K3150" s="6" t="n"/>
      <c r="L3150" s="7">
        <f>IF(OR(D3150="",N(J3150)=0),"",MIN(1,N(K3150)/J3150))</f>
        <v/>
      </c>
      <c r="M3150" s="5" t="n"/>
      <c r="N3150" s="5" t="n"/>
      <c r="O3150" s="5" t="n"/>
      <c r="P3150" s="5" t="n"/>
      <c r="Q3150" s="5" t="n"/>
      <c r="R3150" s="4" t="n"/>
      <c r="S3150" s="4" t="n"/>
      <c r="T3150" s="5" t="n"/>
      <c r="U3150" s="8">
        <f>IF(AND(V3150=1,D3150&lt;&gt;""),IF(D3150&gt;=corte,TODAY()-D3150,""),"")</f>
        <v/>
      </c>
      <c r="V3150" s="8">
        <f>IF(D3150="",0,IF(OR(AND(P3150&lt;&gt;"",S3150=""),AND(N(J3150)&gt;0,N(K3150)&lt;J3150),OR(M3150="PENDENTE",M3150="PARCIAL"),OR(N3150="PENDENTE",N3150="PARCIAL")),1,0))</f>
        <v/>
      </c>
      <c r="W3150" s="8">
        <f>IF(AND(V3150=1,D3150&lt;&gt;""),IF(D3150&gt;=corte,(B3150="CRÍTICO")*1E9+(100000-D3150)*10000+10000-ROW(),""),"")</f>
        <v/>
      </c>
      <c r="X3150" s="8">
        <f>IF(AND(V3150=1,D3150=pas_data,E3150=pas_turno),10000-ROW(),"")</f>
        <v/>
      </c>
    </row>
    <row r="3151">
      <c r="A3151" s="3">
        <f>IF(D3151="","","TT-"&amp;TEXT(ROW()-1,"00000"))</f>
        <v/>
      </c>
      <c r="B3151" s="3">
        <f>IF(D3151="","",IF(V3151=0,"CONCLUÍDO",IF(D3151&lt;corte,"HISTÓRICO",IF(OR(AND(ISNUMBER(R3151),R3151&lt;TODAY()),AND(OR(N3151="PENDENTE",N3151="PARCIAL"),D3151&lt;TODAY()-1)),"CRÍTICO",IF(OR(AND(P3151&lt;&gt;"",S3151=""),AND(N3151="REALIZADO",M3151="PENDENTE"),AND(ISNUMBER(R3151),R3151=TODAY())),"ATENÇÃO",IF(N(K3151)=0,"PENDENTE","EM ANDAMENTO"))))))</f>
        <v/>
      </c>
      <c r="C3151" s="3">
        <f>IF(D3151="","",IF(V3151=0,"🟢 OK",IF(D3151&lt;corte,"⚪ HISTÓRICO (sem baixa)",IF(AND(ISNUMBER(R3151),R3151&lt;TODAY()),"🔴 PRAZO VENCIDO",IF(AND(OR(N3151="PENDENTE",N3151="PARCIAL"),D3151&lt;TODAY()-1),"🔴 EMBARQUE ATRASADO",IF(AND(N3151="REALIZADO",M3151="PENDENTE"),"🟡 EMBARCADO SEM FATURAR",IF(AND(P3151&lt;&gt;"",S3151="",OR(Q3151="",R3151="")),"🟡 PENDÊNCIA SEM RESPONSÁVEL/PRAZO",IF(AND(ISNUMBER(R3151),R3151=TODAY()),"🟡 VENCE HOJE",IF(AND(P3151&lt;&gt;"",S3151=""),"🟡 PENDÊNCIA ABERTA",IF(AND(N(J3151)&gt;0,N(K3151)&lt;J3151),"🟡 FALTA EXECUTAR",IF(OR(M3151="PENDENTE",M3151="PARCIAL"),"🟡 FATURAMENTO PENDENTE","🟡 EMBARQUE PENDENTE")))))))))))</f>
        <v/>
      </c>
      <c r="D3151" s="4" t="n"/>
      <c r="E3151" s="5" t="n"/>
      <c r="F3151" s="5" t="n"/>
      <c r="G3151" s="5" t="n"/>
      <c r="H3151" s="5" t="n"/>
      <c r="I3151" s="5" t="n"/>
      <c r="J3151" s="6" t="n"/>
      <c r="K3151" s="6" t="n"/>
      <c r="L3151" s="7">
        <f>IF(OR(D3151="",N(J3151)=0),"",MIN(1,N(K3151)/J3151))</f>
        <v/>
      </c>
      <c r="M3151" s="5" t="n"/>
      <c r="N3151" s="5" t="n"/>
      <c r="O3151" s="5" t="n"/>
      <c r="P3151" s="5" t="n"/>
      <c r="Q3151" s="5" t="n"/>
      <c r="R3151" s="4" t="n"/>
      <c r="S3151" s="4" t="n"/>
      <c r="T3151" s="5" t="n"/>
      <c r="U3151" s="8">
        <f>IF(AND(V3151=1,D3151&lt;&gt;""),IF(D3151&gt;=corte,TODAY()-D3151,""),"")</f>
        <v/>
      </c>
      <c r="V3151" s="8">
        <f>IF(D3151="",0,IF(OR(AND(P3151&lt;&gt;"",S3151=""),AND(N(J3151)&gt;0,N(K3151)&lt;J3151),OR(M3151="PENDENTE",M3151="PARCIAL"),OR(N3151="PENDENTE",N3151="PARCIAL")),1,0))</f>
        <v/>
      </c>
      <c r="W3151" s="8">
        <f>IF(AND(V3151=1,D3151&lt;&gt;""),IF(D3151&gt;=corte,(B3151="CRÍTICO")*1E9+(100000-D3151)*10000+10000-ROW(),""),"")</f>
        <v/>
      </c>
      <c r="X3151" s="8">
        <f>IF(AND(V3151=1,D3151=pas_data,E3151=pas_turno),10000-ROW(),"")</f>
        <v/>
      </c>
    </row>
    <row r="3152">
      <c r="A3152" s="3">
        <f>IF(D3152="","","TT-"&amp;TEXT(ROW()-1,"00000"))</f>
        <v/>
      </c>
      <c r="B3152" s="3">
        <f>IF(D3152="","",IF(V3152=0,"CONCLUÍDO",IF(D3152&lt;corte,"HISTÓRICO",IF(OR(AND(ISNUMBER(R3152),R3152&lt;TODAY()),AND(OR(N3152="PENDENTE",N3152="PARCIAL"),D3152&lt;TODAY()-1)),"CRÍTICO",IF(OR(AND(P3152&lt;&gt;"",S3152=""),AND(N3152="REALIZADO",M3152="PENDENTE"),AND(ISNUMBER(R3152),R3152=TODAY())),"ATENÇÃO",IF(N(K3152)=0,"PENDENTE","EM ANDAMENTO"))))))</f>
        <v/>
      </c>
      <c r="C3152" s="3">
        <f>IF(D3152="","",IF(V3152=0,"🟢 OK",IF(D3152&lt;corte,"⚪ HISTÓRICO (sem baixa)",IF(AND(ISNUMBER(R3152),R3152&lt;TODAY()),"🔴 PRAZO VENCIDO",IF(AND(OR(N3152="PENDENTE",N3152="PARCIAL"),D3152&lt;TODAY()-1),"🔴 EMBARQUE ATRASADO",IF(AND(N3152="REALIZADO",M3152="PENDENTE"),"🟡 EMBARCADO SEM FATURAR",IF(AND(P3152&lt;&gt;"",S3152="",OR(Q3152="",R3152="")),"🟡 PENDÊNCIA SEM RESPONSÁVEL/PRAZO",IF(AND(ISNUMBER(R3152),R3152=TODAY()),"🟡 VENCE HOJE",IF(AND(P3152&lt;&gt;"",S3152=""),"🟡 PENDÊNCIA ABERTA",IF(AND(N(J3152)&gt;0,N(K3152)&lt;J3152),"🟡 FALTA EXECUTAR",IF(OR(M3152="PENDENTE",M3152="PARCIAL"),"🟡 FATURAMENTO PENDENTE","🟡 EMBARQUE PENDENTE")))))))))))</f>
        <v/>
      </c>
      <c r="D3152" s="4" t="n"/>
      <c r="E3152" s="5" t="n"/>
      <c r="F3152" s="5" t="n"/>
      <c r="G3152" s="5" t="n"/>
      <c r="H3152" s="5" t="n"/>
      <c r="I3152" s="5" t="n"/>
      <c r="J3152" s="6" t="n"/>
      <c r="K3152" s="6" t="n"/>
      <c r="L3152" s="7">
        <f>IF(OR(D3152="",N(J3152)=0),"",MIN(1,N(K3152)/J3152))</f>
        <v/>
      </c>
      <c r="M3152" s="5" t="n"/>
      <c r="N3152" s="5" t="n"/>
      <c r="O3152" s="5" t="n"/>
      <c r="P3152" s="5" t="n"/>
      <c r="Q3152" s="5" t="n"/>
      <c r="R3152" s="4" t="n"/>
      <c r="S3152" s="4" t="n"/>
      <c r="T3152" s="5" t="n"/>
      <c r="U3152" s="8">
        <f>IF(AND(V3152=1,D3152&lt;&gt;""),IF(D3152&gt;=corte,TODAY()-D3152,""),"")</f>
        <v/>
      </c>
      <c r="V3152" s="8">
        <f>IF(D3152="",0,IF(OR(AND(P3152&lt;&gt;"",S3152=""),AND(N(J3152)&gt;0,N(K3152)&lt;J3152),OR(M3152="PENDENTE",M3152="PARCIAL"),OR(N3152="PENDENTE",N3152="PARCIAL")),1,0))</f>
        <v/>
      </c>
      <c r="W3152" s="8">
        <f>IF(AND(V3152=1,D3152&lt;&gt;""),IF(D3152&gt;=corte,(B3152="CRÍTICO")*1E9+(100000-D3152)*10000+10000-ROW(),""),"")</f>
        <v/>
      </c>
      <c r="X3152" s="8">
        <f>IF(AND(V3152=1,D3152=pas_data,E3152=pas_turno),10000-ROW(),"")</f>
        <v/>
      </c>
    </row>
    <row r="3153">
      <c r="A3153" s="3">
        <f>IF(D3153="","","TT-"&amp;TEXT(ROW()-1,"00000"))</f>
        <v/>
      </c>
      <c r="B3153" s="3">
        <f>IF(D3153="","",IF(V3153=0,"CONCLUÍDO",IF(D3153&lt;corte,"HISTÓRICO",IF(OR(AND(ISNUMBER(R3153),R3153&lt;TODAY()),AND(OR(N3153="PENDENTE",N3153="PARCIAL"),D3153&lt;TODAY()-1)),"CRÍTICO",IF(OR(AND(P3153&lt;&gt;"",S3153=""),AND(N3153="REALIZADO",M3153="PENDENTE"),AND(ISNUMBER(R3153),R3153=TODAY())),"ATENÇÃO",IF(N(K3153)=0,"PENDENTE","EM ANDAMENTO"))))))</f>
        <v/>
      </c>
      <c r="C3153" s="3">
        <f>IF(D3153="","",IF(V3153=0,"🟢 OK",IF(D3153&lt;corte,"⚪ HISTÓRICO (sem baixa)",IF(AND(ISNUMBER(R3153),R3153&lt;TODAY()),"🔴 PRAZO VENCIDO",IF(AND(OR(N3153="PENDENTE",N3153="PARCIAL"),D3153&lt;TODAY()-1),"🔴 EMBARQUE ATRASADO",IF(AND(N3153="REALIZADO",M3153="PENDENTE"),"🟡 EMBARCADO SEM FATURAR",IF(AND(P3153&lt;&gt;"",S3153="",OR(Q3153="",R3153="")),"🟡 PENDÊNCIA SEM RESPONSÁVEL/PRAZO",IF(AND(ISNUMBER(R3153),R3153=TODAY()),"🟡 VENCE HOJE",IF(AND(P3153&lt;&gt;"",S3153=""),"🟡 PENDÊNCIA ABERTA",IF(AND(N(J3153)&gt;0,N(K3153)&lt;J3153),"🟡 FALTA EXECUTAR",IF(OR(M3153="PENDENTE",M3153="PARCIAL"),"🟡 FATURAMENTO PENDENTE","🟡 EMBARQUE PENDENTE")))))))))))</f>
        <v/>
      </c>
      <c r="D3153" s="4" t="n"/>
      <c r="E3153" s="5" t="n"/>
      <c r="F3153" s="5" t="n"/>
      <c r="G3153" s="5" t="n"/>
      <c r="H3153" s="5" t="n"/>
      <c r="I3153" s="5" t="n"/>
      <c r="J3153" s="6" t="n"/>
      <c r="K3153" s="6" t="n"/>
      <c r="L3153" s="7">
        <f>IF(OR(D3153="",N(J3153)=0),"",MIN(1,N(K3153)/J3153))</f>
        <v/>
      </c>
      <c r="M3153" s="5" t="n"/>
      <c r="N3153" s="5" t="n"/>
      <c r="O3153" s="5" t="n"/>
      <c r="P3153" s="5" t="n"/>
      <c r="Q3153" s="5" t="n"/>
      <c r="R3153" s="4" t="n"/>
      <c r="S3153" s="4" t="n"/>
      <c r="T3153" s="5" t="n"/>
      <c r="U3153" s="8">
        <f>IF(AND(V3153=1,D3153&lt;&gt;""),IF(D3153&gt;=corte,TODAY()-D3153,""),"")</f>
        <v/>
      </c>
      <c r="V3153" s="8">
        <f>IF(D3153="",0,IF(OR(AND(P3153&lt;&gt;"",S3153=""),AND(N(J3153)&gt;0,N(K3153)&lt;J3153),OR(M3153="PENDENTE",M3153="PARCIAL"),OR(N3153="PENDENTE",N3153="PARCIAL")),1,0))</f>
        <v/>
      </c>
      <c r="W3153" s="8">
        <f>IF(AND(V3153=1,D3153&lt;&gt;""),IF(D3153&gt;=corte,(B3153="CRÍTICO")*1E9+(100000-D3153)*10000+10000-ROW(),""),"")</f>
        <v/>
      </c>
      <c r="X3153" s="8">
        <f>IF(AND(V3153=1,D3153=pas_data,E3153=pas_turno),10000-ROW(),"")</f>
        <v/>
      </c>
    </row>
    <row r="3154">
      <c r="A3154" s="3">
        <f>IF(D3154="","","TT-"&amp;TEXT(ROW()-1,"00000"))</f>
        <v/>
      </c>
      <c r="B3154" s="3">
        <f>IF(D3154="","",IF(V3154=0,"CONCLUÍDO",IF(D3154&lt;corte,"HISTÓRICO",IF(OR(AND(ISNUMBER(R3154),R3154&lt;TODAY()),AND(OR(N3154="PENDENTE",N3154="PARCIAL"),D3154&lt;TODAY()-1)),"CRÍTICO",IF(OR(AND(P3154&lt;&gt;"",S3154=""),AND(N3154="REALIZADO",M3154="PENDENTE"),AND(ISNUMBER(R3154),R3154=TODAY())),"ATENÇÃO",IF(N(K3154)=0,"PENDENTE","EM ANDAMENTO"))))))</f>
        <v/>
      </c>
      <c r="C3154" s="3">
        <f>IF(D3154="","",IF(V3154=0,"🟢 OK",IF(D3154&lt;corte,"⚪ HISTÓRICO (sem baixa)",IF(AND(ISNUMBER(R3154),R3154&lt;TODAY()),"🔴 PRAZO VENCIDO",IF(AND(OR(N3154="PENDENTE",N3154="PARCIAL"),D3154&lt;TODAY()-1),"🔴 EMBARQUE ATRASADO",IF(AND(N3154="REALIZADO",M3154="PENDENTE"),"🟡 EMBARCADO SEM FATURAR",IF(AND(P3154&lt;&gt;"",S3154="",OR(Q3154="",R3154="")),"🟡 PENDÊNCIA SEM RESPONSÁVEL/PRAZO",IF(AND(ISNUMBER(R3154),R3154=TODAY()),"🟡 VENCE HOJE",IF(AND(P3154&lt;&gt;"",S3154=""),"🟡 PENDÊNCIA ABERTA",IF(AND(N(J3154)&gt;0,N(K3154)&lt;J3154),"🟡 FALTA EXECUTAR",IF(OR(M3154="PENDENTE",M3154="PARCIAL"),"🟡 FATURAMENTO PENDENTE","🟡 EMBARQUE PENDENTE")))))))))))</f>
        <v/>
      </c>
      <c r="D3154" s="4" t="n"/>
      <c r="E3154" s="5" t="n"/>
      <c r="F3154" s="5" t="n"/>
      <c r="G3154" s="5" t="n"/>
      <c r="H3154" s="5" t="n"/>
      <c r="I3154" s="5" t="n"/>
      <c r="J3154" s="6" t="n"/>
      <c r="K3154" s="6" t="n"/>
      <c r="L3154" s="7">
        <f>IF(OR(D3154="",N(J3154)=0),"",MIN(1,N(K3154)/J3154))</f>
        <v/>
      </c>
      <c r="M3154" s="5" t="n"/>
      <c r="N3154" s="5" t="n"/>
      <c r="O3154" s="5" t="n"/>
      <c r="P3154" s="5" t="n"/>
      <c r="Q3154" s="5" t="n"/>
      <c r="R3154" s="4" t="n"/>
      <c r="S3154" s="4" t="n"/>
      <c r="T3154" s="5" t="n"/>
      <c r="U3154" s="8">
        <f>IF(AND(V3154=1,D3154&lt;&gt;""),IF(D3154&gt;=corte,TODAY()-D3154,""),"")</f>
        <v/>
      </c>
      <c r="V3154" s="8">
        <f>IF(D3154="",0,IF(OR(AND(P3154&lt;&gt;"",S3154=""),AND(N(J3154)&gt;0,N(K3154)&lt;J3154),OR(M3154="PENDENTE",M3154="PARCIAL"),OR(N3154="PENDENTE",N3154="PARCIAL")),1,0))</f>
        <v/>
      </c>
      <c r="W3154" s="8">
        <f>IF(AND(V3154=1,D3154&lt;&gt;""),IF(D3154&gt;=corte,(B3154="CRÍTICO")*1E9+(100000-D3154)*10000+10000-ROW(),""),"")</f>
        <v/>
      </c>
      <c r="X3154" s="8">
        <f>IF(AND(V3154=1,D3154=pas_data,E3154=pas_turno),10000-ROW(),"")</f>
        <v/>
      </c>
    </row>
    <row r="3155">
      <c r="A3155" s="3">
        <f>IF(D3155="","","TT-"&amp;TEXT(ROW()-1,"00000"))</f>
        <v/>
      </c>
      <c r="B3155" s="3">
        <f>IF(D3155="","",IF(V3155=0,"CONCLUÍDO",IF(D3155&lt;corte,"HISTÓRICO",IF(OR(AND(ISNUMBER(R3155),R3155&lt;TODAY()),AND(OR(N3155="PENDENTE",N3155="PARCIAL"),D3155&lt;TODAY()-1)),"CRÍTICO",IF(OR(AND(P3155&lt;&gt;"",S3155=""),AND(N3155="REALIZADO",M3155="PENDENTE"),AND(ISNUMBER(R3155),R3155=TODAY())),"ATENÇÃO",IF(N(K3155)=0,"PENDENTE","EM ANDAMENTO"))))))</f>
        <v/>
      </c>
      <c r="C3155" s="3">
        <f>IF(D3155="","",IF(V3155=0,"🟢 OK",IF(D3155&lt;corte,"⚪ HISTÓRICO (sem baixa)",IF(AND(ISNUMBER(R3155),R3155&lt;TODAY()),"🔴 PRAZO VENCIDO",IF(AND(OR(N3155="PENDENTE",N3155="PARCIAL"),D3155&lt;TODAY()-1),"🔴 EMBARQUE ATRASADO",IF(AND(N3155="REALIZADO",M3155="PENDENTE"),"🟡 EMBARCADO SEM FATURAR",IF(AND(P3155&lt;&gt;"",S3155="",OR(Q3155="",R3155="")),"🟡 PENDÊNCIA SEM RESPONSÁVEL/PRAZO",IF(AND(ISNUMBER(R3155),R3155=TODAY()),"🟡 VENCE HOJE",IF(AND(P3155&lt;&gt;"",S3155=""),"🟡 PENDÊNCIA ABERTA",IF(AND(N(J3155)&gt;0,N(K3155)&lt;J3155),"🟡 FALTA EXECUTAR",IF(OR(M3155="PENDENTE",M3155="PARCIAL"),"🟡 FATURAMENTO PENDENTE","🟡 EMBARQUE PENDENTE")))))))))))</f>
        <v/>
      </c>
      <c r="D3155" s="4" t="n"/>
      <c r="E3155" s="5" t="n"/>
      <c r="F3155" s="5" t="n"/>
      <c r="G3155" s="5" t="n"/>
      <c r="H3155" s="5" t="n"/>
      <c r="I3155" s="5" t="n"/>
      <c r="J3155" s="6" t="n"/>
      <c r="K3155" s="6" t="n"/>
      <c r="L3155" s="7">
        <f>IF(OR(D3155="",N(J3155)=0),"",MIN(1,N(K3155)/J3155))</f>
        <v/>
      </c>
      <c r="M3155" s="5" t="n"/>
      <c r="N3155" s="5" t="n"/>
      <c r="O3155" s="5" t="n"/>
      <c r="P3155" s="5" t="n"/>
      <c r="Q3155" s="5" t="n"/>
      <c r="R3155" s="4" t="n"/>
      <c r="S3155" s="4" t="n"/>
      <c r="T3155" s="5" t="n"/>
      <c r="U3155" s="8">
        <f>IF(AND(V3155=1,D3155&lt;&gt;""),IF(D3155&gt;=corte,TODAY()-D3155,""),"")</f>
        <v/>
      </c>
      <c r="V3155" s="8">
        <f>IF(D3155="",0,IF(OR(AND(P3155&lt;&gt;"",S3155=""),AND(N(J3155)&gt;0,N(K3155)&lt;J3155),OR(M3155="PENDENTE",M3155="PARCIAL"),OR(N3155="PENDENTE",N3155="PARCIAL")),1,0))</f>
        <v/>
      </c>
      <c r="W3155" s="8">
        <f>IF(AND(V3155=1,D3155&lt;&gt;""),IF(D3155&gt;=corte,(B3155="CRÍTICO")*1E9+(100000-D3155)*10000+10000-ROW(),""),"")</f>
        <v/>
      </c>
      <c r="X3155" s="8">
        <f>IF(AND(V3155=1,D3155=pas_data,E3155=pas_turno),10000-ROW(),"")</f>
        <v/>
      </c>
    </row>
    <row r="3156">
      <c r="A3156" s="3">
        <f>IF(D3156="","","TT-"&amp;TEXT(ROW()-1,"00000"))</f>
        <v/>
      </c>
      <c r="B3156" s="3">
        <f>IF(D3156="","",IF(V3156=0,"CONCLUÍDO",IF(D3156&lt;corte,"HISTÓRICO",IF(OR(AND(ISNUMBER(R3156),R3156&lt;TODAY()),AND(OR(N3156="PENDENTE",N3156="PARCIAL"),D3156&lt;TODAY()-1)),"CRÍTICO",IF(OR(AND(P3156&lt;&gt;"",S3156=""),AND(N3156="REALIZADO",M3156="PENDENTE"),AND(ISNUMBER(R3156),R3156=TODAY())),"ATENÇÃO",IF(N(K3156)=0,"PENDENTE","EM ANDAMENTO"))))))</f>
        <v/>
      </c>
      <c r="C3156" s="3">
        <f>IF(D3156="","",IF(V3156=0,"🟢 OK",IF(D3156&lt;corte,"⚪ HISTÓRICO (sem baixa)",IF(AND(ISNUMBER(R3156),R3156&lt;TODAY()),"🔴 PRAZO VENCIDO",IF(AND(OR(N3156="PENDENTE",N3156="PARCIAL"),D3156&lt;TODAY()-1),"🔴 EMBARQUE ATRASADO",IF(AND(N3156="REALIZADO",M3156="PENDENTE"),"🟡 EMBARCADO SEM FATURAR",IF(AND(P3156&lt;&gt;"",S3156="",OR(Q3156="",R3156="")),"🟡 PENDÊNCIA SEM RESPONSÁVEL/PRAZO",IF(AND(ISNUMBER(R3156),R3156=TODAY()),"🟡 VENCE HOJE",IF(AND(P3156&lt;&gt;"",S3156=""),"🟡 PENDÊNCIA ABERTA",IF(AND(N(J3156)&gt;0,N(K3156)&lt;J3156),"🟡 FALTA EXECUTAR",IF(OR(M3156="PENDENTE",M3156="PARCIAL"),"🟡 FATURAMENTO PENDENTE","🟡 EMBARQUE PENDENTE")))))))))))</f>
        <v/>
      </c>
      <c r="D3156" s="4" t="n"/>
      <c r="E3156" s="5" t="n"/>
      <c r="F3156" s="5" t="n"/>
      <c r="G3156" s="5" t="n"/>
      <c r="H3156" s="5" t="n"/>
      <c r="I3156" s="5" t="n"/>
      <c r="J3156" s="6" t="n"/>
      <c r="K3156" s="6" t="n"/>
      <c r="L3156" s="7">
        <f>IF(OR(D3156="",N(J3156)=0),"",MIN(1,N(K3156)/J3156))</f>
        <v/>
      </c>
      <c r="M3156" s="5" t="n"/>
      <c r="N3156" s="5" t="n"/>
      <c r="O3156" s="5" t="n"/>
      <c r="P3156" s="5" t="n"/>
      <c r="Q3156" s="5" t="n"/>
      <c r="R3156" s="4" t="n"/>
      <c r="S3156" s="4" t="n"/>
      <c r="T3156" s="5" t="n"/>
      <c r="U3156" s="8">
        <f>IF(AND(V3156=1,D3156&lt;&gt;""),IF(D3156&gt;=corte,TODAY()-D3156,""),"")</f>
        <v/>
      </c>
      <c r="V3156" s="8">
        <f>IF(D3156="",0,IF(OR(AND(P3156&lt;&gt;"",S3156=""),AND(N(J3156)&gt;0,N(K3156)&lt;J3156),OR(M3156="PENDENTE",M3156="PARCIAL"),OR(N3156="PENDENTE",N3156="PARCIAL")),1,0))</f>
        <v/>
      </c>
      <c r="W3156" s="8">
        <f>IF(AND(V3156=1,D3156&lt;&gt;""),IF(D3156&gt;=corte,(B3156="CRÍTICO")*1E9+(100000-D3156)*10000+10000-ROW(),""),"")</f>
        <v/>
      </c>
      <c r="X3156" s="8">
        <f>IF(AND(V3156=1,D3156=pas_data,E3156=pas_turno),10000-ROW(),"")</f>
        <v/>
      </c>
    </row>
    <row r="3157">
      <c r="A3157" s="3">
        <f>IF(D3157="","","TT-"&amp;TEXT(ROW()-1,"00000"))</f>
        <v/>
      </c>
      <c r="B3157" s="3">
        <f>IF(D3157="","",IF(V3157=0,"CONCLUÍDO",IF(D3157&lt;corte,"HISTÓRICO",IF(OR(AND(ISNUMBER(R3157),R3157&lt;TODAY()),AND(OR(N3157="PENDENTE",N3157="PARCIAL"),D3157&lt;TODAY()-1)),"CRÍTICO",IF(OR(AND(P3157&lt;&gt;"",S3157=""),AND(N3157="REALIZADO",M3157="PENDENTE"),AND(ISNUMBER(R3157),R3157=TODAY())),"ATENÇÃO",IF(N(K3157)=0,"PENDENTE","EM ANDAMENTO"))))))</f>
        <v/>
      </c>
      <c r="C3157" s="3">
        <f>IF(D3157="","",IF(V3157=0,"🟢 OK",IF(D3157&lt;corte,"⚪ HISTÓRICO (sem baixa)",IF(AND(ISNUMBER(R3157),R3157&lt;TODAY()),"🔴 PRAZO VENCIDO",IF(AND(OR(N3157="PENDENTE",N3157="PARCIAL"),D3157&lt;TODAY()-1),"🔴 EMBARQUE ATRASADO",IF(AND(N3157="REALIZADO",M3157="PENDENTE"),"🟡 EMBARCADO SEM FATURAR",IF(AND(P3157&lt;&gt;"",S3157="",OR(Q3157="",R3157="")),"🟡 PENDÊNCIA SEM RESPONSÁVEL/PRAZO",IF(AND(ISNUMBER(R3157),R3157=TODAY()),"🟡 VENCE HOJE",IF(AND(P3157&lt;&gt;"",S3157=""),"🟡 PENDÊNCIA ABERTA",IF(AND(N(J3157)&gt;0,N(K3157)&lt;J3157),"🟡 FALTA EXECUTAR",IF(OR(M3157="PENDENTE",M3157="PARCIAL"),"🟡 FATURAMENTO PENDENTE","🟡 EMBARQUE PENDENTE")))))))))))</f>
        <v/>
      </c>
      <c r="D3157" s="4" t="n"/>
      <c r="E3157" s="5" t="n"/>
      <c r="F3157" s="5" t="n"/>
      <c r="G3157" s="5" t="n"/>
      <c r="H3157" s="5" t="n"/>
      <c r="I3157" s="5" t="n"/>
      <c r="J3157" s="6" t="n"/>
      <c r="K3157" s="6" t="n"/>
      <c r="L3157" s="7">
        <f>IF(OR(D3157="",N(J3157)=0),"",MIN(1,N(K3157)/J3157))</f>
        <v/>
      </c>
      <c r="M3157" s="5" t="n"/>
      <c r="N3157" s="5" t="n"/>
      <c r="O3157" s="5" t="n"/>
      <c r="P3157" s="5" t="n"/>
      <c r="Q3157" s="5" t="n"/>
      <c r="R3157" s="4" t="n"/>
      <c r="S3157" s="4" t="n"/>
      <c r="T3157" s="5" t="n"/>
      <c r="U3157" s="8">
        <f>IF(AND(V3157=1,D3157&lt;&gt;""),IF(D3157&gt;=corte,TODAY()-D3157,""),"")</f>
        <v/>
      </c>
      <c r="V3157" s="8">
        <f>IF(D3157="",0,IF(OR(AND(P3157&lt;&gt;"",S3157=""),AND(N(J3157)&gt;0,N(K3157)&lt;J3157),OR(M3157="PENDENTE",M3157="PARCIAL"),OR(N3157="PENDENTE",N3157="PARCIAL")),1,0))</f>
        <v/>
      </c>
      <c r="W3157" s="8">
        <f>IF(AND(V3157=1,D3157&lt;&gt;""),IF(D3157&gt;=corte,(B3157="CRÍTICO")*1E9+(100000-D3157)*10000+10000-ROW(),""),"")</f>
        <v/>
      </c>
      <c r="X3157" s="8">
        <f>IF(AND(V3157=1,D3157=pas_data,E3157=pas_turno),10000-ROW(),"")</f>
        <v/>
      </c>
    </row>
    <row r="3158">
      <c r="A3158" s="3">
        <f>IF(D3158="","","TT-"&amp;TEXT(ROW()-1,"00000"))</f>
        <v/>
      </c>
      <c r="B3158" s="3">
        <f>IF(D3158="","",IF(V3158=0,"CONCLUÍDO",IF(D3158&lt;corte,"HISTÓRICO",IF(OR(AND(ISNUMBER(R3158),R3158&lt;TODAY()),AND(OR(N3158="PENDENTE",N3158="PARCIAL"),D3158&lt;TODAY()-1)),"CRÍTICO",IF(OR(AND(P3158&lt;&gt;"",S3158=""),AND(N3158="REALIZADO",M3158="PENDENTE"),AND(ISNUMBER(R3158),R3158=TODAY())),"ATENÇÃO",IF(N(K3158)=0,"PENDENTE","EM ANDAMENTO"))))))</f>
        <v/>
      </c>
      <c r="C3158" s="3">
        <f>IF(D3158="","",IF(V3158=0,"🟢 OK",IF(D3158&lt;corte,"⚪ HISTÓRICO (sem baixa)",IF(AND(ISNUMBER(R3158),R3158&lt;TODAY()),"🔴 PRAZO VENCIDO",IF(AND(OR(N3158="PENDENTE",N3158="PARCIAL"),D3158&lt;TODAY()-1),"🔴 EMBARQUE ATRASADO",IF(AND(N3158="REALIZADO",M3158="PENDENTE"),"🟡 EMBARCADO SEM FATURAR",IF(AND(P3158&lt;&gt;"",S3158="",OR(Q3158="",R3158="")),"🟡 PENDÊNCIA SEM RESPONSÁVEL/PRAZO",IF(AND(ISNUMBER(R3158),R3158=TODAY()),"🟡 VENCE HOJE",IF(AND(P3158&lt;&gt;"",S3158=""),"🟡 PENDÊNCIA ABERTA",IF(AND(N(J3158)&gt;0,N(K3158)&lt;J3158),"🟡 FALTA EXECUTAR",IF(OR(M3158="PENDENTE",M3158="PARCIAL"),"🟡 FATURAMENTO PENDENTE","🟡 EMBARQUE PENDENTE")))))))))))</f>
        <v/>
      </c>
      <c r="D3158" s="4" t="n"/>
      <c r="E3158" s="5" t="n"/>
      <c r="F3158" s="5" t="n"/>
      <c r="G3158" s="5" t="n"/>
      <c r="H3158" s="5" t="n"/>
      <c r="I3158" s="5" t="n"/>
      <c r="J3158" s="6" t="n"/>
      <c r="K3158" s="6" t="n"/>
      <c r="L3158" s="7">
        <f>IF(OR(D3158="",N(J3158)=0),"",MIN(1,N(K3158)/J3158))</f>
        <v/>
      </c>
      <c r="M3158" s="5" t="n"/>
      <c r="N3158" s="5" t="n"/>
      <c r="O3158" s="5" t="n"/>
      <c r="P3158" s="5" t="n"/>
      <c r="Q3158" s="5" t="n"/>
      <c r="R3158" s="4" t="n"/>
      <c r="S3158" s="4" t="n"/>
      <c r="T3158" s="5" t="n"/>
      <c r="U3158" s="8">
        <f>IF(AND(V3158=1,D3158&lt;&gt;""),IF(D3158&gt;=corte,TODAY()-D3158,""),"")</f>
        <v/>
      </c>
      <c r="V3158" s="8">
        <f>IF(D3158="",0,IF(OR(AND(P3158&lt;&gt;"",S3158=""),AND(N(J3158)&gt;0,N(K3158)&lt;J3158),OR(M3158="PENDENTE",M3158="PARCIAL"),OR(N3158="PENDENTE",N3158="PARCIAL")),1,0))</f>
        <v/>
      </c>
      <c r="W3158" s="8">
        <f>IF(AND(V3158=1,D3158&lt;&gt;""),IF(D3158&gt;=corte,(B3158="CRÍTICO")*1E9+(100000-D3158)*10000+10000-ROW(),""),"")</f>
        <v/>
      </c>
      <c r="X3158" s="8">
        <f>IF(AND(V3158=1,D3158=pas_data,E3158=pas_turno),10000-ROW(),"")</f>
        <v/>
      </c>
    </row>
    <row r="3159">
      <c r="A3159" s="3">
        <f>IF(D3159="","","TT-"&amp;TEXT(ROW()-1,"00000"))</f>
        <v/>
      </c>
      <c r="B3159" s="3">
        <f>IF(D3159="","",IF(V3159=0,"CONCLUÍDO",IF(D3159&lt;corte,"HISTÓRICO",IF(OR(AND(ISNUMBER(R3159),R3159&lt;TODAY()),AND(OR(N3159="PENDENTE",N3159="PARCIAL"),D3159&lt;TODAY()-1)),"CRÍTICO",IF(OR(AND(P3159&lt;&gt;"",S3159=""),AND(N3159="REALIZADO",M3159="PENDENTE"),AND(ISNUMBER(R3159),R3159=TODAY())),"ATENÇÃO",IF(N(K3159)=0,"PENDENTE","EM ANDAMENTO"))))))</f>
        <v/>
      </c>
      <c r="C3159" s="3">
        <f>IF(D3159="","",IF(V3159=0,"🟢 OK",IF(D3159&lt;corte,"⚪ HISTÓRICO (sem baixa)",IF(AND(ISNUMBER(R3159),R3159&lt;TODAY()),"🔴 PRAZO VENCIDO",IF(AND(OR(N3159="PENDENTE",N3159="PARCIAL"),D3159&lt;TODAY()-1),"🔴 EMBARQUE ATRASADO",IF(AND(N3159="REALIZADO",M3159="PENDENTE"),"🟡 EMBARCADO SEM FATURAR",IF(AND(P3159&lt;&gt;"",S3159="",OR(Q3159="",R3159="")),"🟡 PENDÊNCIA SEM RESPONSÁVEL/PRAZO",IF(AND(ISNUMBER(R3159),R3159=TODAY()),"🟡 VENCE HOJE",IF(AND(P3159&lt;&gt;"",S3159=""),"🟡 PENDÊNCIA ABERTA",IF(AND(N(J3159)&gt;0,N(K3159)&lt;J3159),"🟡 FALTA EXECUTAR",IF(OR(M3159="PENDENTE",M3159="PARCIAL"),"🟡 FATURAMENTO PENDENTE","🟡 EMBARQUE PENDENTE")))))))))))</f>
        <v/>
      </c>
      <c r="D3159" s="4" t="n"/>
      <c r="E3159" s="5" t="n"/>
      <c r="F3159" s="5" t="n"/>
      <c r="G3159" s="5" t="n"/>
      <c r="H3159" s="5" t="n"/>
      <c r="I3159" s="5" t="n"/>
      <c r="J3159" s="6" t="n"/>
      <c r="K3159" s="6" t="n"/>
      <c r="L3159" s="7">
        <f>IF(OR(D3159="",N(J3159)=0),"",MIN(1,N(K3159)/J3159))</f>
        <v/>
      </c>
      <c r="M3159" s="5" t="n"/>
      <c r="N3159" s="5" t="n"/>
      <c r="O3159" s="5" t="n"/>
      <c r="P3159" s="5" t="n"/>
      <c r="Q3159" s="5" t="n"/>
      <c r="R3159" s="4" t="n"/>
      <c r="S3159" s="4" t="n"/>
      <c r="T3159" s="5" t="n"/>
      <c r="U3159" s="8">
        <f>IF(AND(V3159=1,D3159&lt;&gt;""),IF(D3159&gt;=corte,TODAY()-D3159,""),"")</f>
        <v/>
      </c>
      <c r="V3159" s="8">
        <f>IF(D3159="",0,IF(OR(AND(P3159&lt;&gt;"",S3159=""),AND(N(J3159)&gt;0,N(K3159)&lt;J3159),OR(M3159="PENDENTE",M3159="PARCIAL"),OR(N3159="PENDENTE",N3159="PARCIAL")),1,0))</f>
        <v/>
      </c>
      <c r="W3159" s="8">
        <f>IF(AND(V3159=1,D3159&lt;&gt;""),IF(D3159&gt;=corte,(B3159="CRÍTICO")*1E9+(100000-D3159)*10000+10000-ROW(),""),"")</f>
        <v/>
      </c>
      <c r="X3159" s="8">
        <f>IF(AND(V3159=1,D3159=pas_data,E3159=pas_turno),10000-ROW(),"")</f>
        <v/>
      </c>
    </row>
    <row r="3160">
      <c r="A3160" s="3">
        <f>IF(D3160="","","TT-"&amp;TEXT(ROW()-1,"00000"))</f>
        <v/>
      </c>
      <c r="B3160" s="3">
        <f>IF(D3160="","",IF(V3160=0,"CONCLUÍDO",IF(D3160&lt;corte,"HISTÓRICO",IF(OR(AND(ISNUMBER(R3160),R3160&lt;TODAY()),AND(OR(N3160="PENDENTE",N3160="PARCIAL"),D3160&lt;TODAY()-1)),"CRÍTICO",IF(OR(AND(P3160&lt;&gt;"",S3160=""),AND(N3160="REALIZADO",M3160="PENDENTE"),AND(ISNUMBER(R3160),R3160=TODAY())),"ATENÇÃO",IF(N(K3160)=0,"PENDENTE","EM ANDAMENTO"))))))</f>
        <v/>
      </c>
      <c r="C3160" s="3">
        <f>IF(D3160="","",IF(V3160=0,"🟢 OK",IF(D3160&lt;corte,"⚪ HISTÓRICO (sem baixa)",IF(AND(ISNUMBER(R3160),R3160&lt;TODAY()),"🔴 PRAZO VENCIDO",IF(AND(OR(N3160="PENDENTE",N3160="PARCIAL"),D3160&lt;TODAY()-1),"🔴 EMBARQUE ATRASADO",IF(AND(N3160="REALIZADO",M3160="PENDENTE"),"🟡 EMBARCADO SEM FATURAR",IF(AND(P3160&lt;&gt;"",S3160="",OR(Q3160="",R3160="")),"🟡 PENDÊNCIA SEM RESPONSÁVEL/PRAZO",IF(AND(ISNUMBER(R3160),R3160=TODAY()),"🟡 VENCE HOJE",IF(AND(P3160&lt;&gt;"",S3160=""),"🟡 PENDÊNCIA ABERTA",IF(AND(N(J3160)&gt;0,N(K3160)&lt;J3160),"🟡 FALTA EXECUTAR",IF(OR(M3160="PENDENTE",M3160="PARCIAL"),"🟡 FATURAMENTO PENDENTE","🟡 EMBARQUE PENDENTE")))))))))))</f>
        <v/>
      </c>
      <c r="D3160" s="4" t="n"/>
      <c r="E3160" s="5" t="n"/>
      <c r="F3160" s="5" t="n"/>
      <c r="G3160" s="5" t="n"/>
      <c r="H3160" s="5" t="n"/>
      <c r="I3160" s="5" t="n"/>
      <c r="J3160" s="6" t="n"/>
      <c r="K3160" s="6" t="n"/>
      <c r="L3160" s="7">
        <f>IF(OR(D3160="",N(J3160)=0),"",MIN(1,N(K3160)/J3160))</f>
        <v/>
      </c>
      <c r="M3160" s="5" t="n"/>
      <c r="N3160" s="5" t="n"/>
      <c r="O3160" s="5" t="n"/>
      <c r="P3160" s="5" t="n"/>
      <c r="Q3160" s="5" t="n"/>
      <c r="R3160" s="4" t="n"/>
      <c r="S3160" s="4" t="n"/>
      <c r="T3160" s="5" t="n"/>
      <c r="U3160" s="8">
        <f>IF(AND(V3160=1,D3160&lt;&gt;""),IF(D3160&gt;=corte,TODAY()-D3160,""),"")</f>
        <v/>
      </c>
      <c r="V3160" s="8">
        <f>IF(D3160="",0,IF(OR(AND(P3160&lt;&gt;"",S3160=""),AND(N(J3160)&gt;0,N(K3160)&lt;J3160),OR(M3160="PENDENTE",M3160="PARCIAL"),OR(N3160="PENDENTE",N3160="PARCIAL")),1,0))</f>
        <v/>
      </c>
      <c r="W3160" s="8">
        <f>IF(AND(V3160=1,D3160&lt;&gt;""),IF(D3160&gt;=corte,(B3160="CRÍTICO")*1E9+(100000-D3160)*10000+10000-ROW(),""),"")</f>
        <v/>
      </c>
      <c r="X3160" s="8">
        <f>IF(AND(V3160=1,D3160=pas_data,E3160=pas_turno),10000-ROW(),"")</f>
        <v/>
      </c>
    </row>
    <row r="3161">
      <c r="A3161" s="3">
        <f>IF(D3161="","","TT-"&amp;TEXT(ROW()-1,"00000"))</f>
        <v/>
      </c>
      <c r="B3161" s="3">
        <f>IF(D3161="","",IF(V3161=0,"CONCLUÍDO",IF(D3161&lt;corte,"HISTÓRICO",IF(OR(AND(ISNUMBER(R3161),R3161&lt;TODAY()),AND(OR(N3161="PENDENTE",N3161="PARCIAL"),D3161&lt;TODAY()-1)),"CRÍTICO",IF(OR(AND(P3161&lt;&gt;"",S3161=""),AND(N3161="REALIZADO",M3161="PENDENTE"),AND(ISNUMBER(R3161),R3161=TODAY())),"ATENÇÃO",IF(N(K3161)=0,"PENDENTE","EM ANDAMENTO"))))))</f>
        <v/>
      </c>
      <c r="C3161" s="3">
        <f>IF(D3161="","",IF(V3161=0,"🟢 OK",IF(D3161&lt;corte,"⚪ HISTÓRICO (sem baixa)",IF(AND(ISNUMBER(R3161),R3161&lt;TODAY()),"🔴 PRAZO VENCIDO",IF(AND(OR(N3161="PENDENTE",N3161="PARCIAL"),D3161&lt;TODAY()-1),"🔴 EMBARQUE ATRASADO",IF(AND(N3161="REALIZADO",M3161="PENDENTE"),"🟡 EMBARCADO SEM FATURAR",IF(AND(P3161&lt;&gt;"",S3161="",OR(Q3161="",R3161="")),"🟡 PENDÊNCIA SEM RESPONSÁVEL/PRAZO",IF(AND(ISNUMBER(R3161),R3161=TODAY()),"🟡 VENCE HOJE",IF(AND(P3161&lt;&gt;"",S3161=""),"🟡 PENDÊNCIA ABERTA",IF(AND(N(J3161)&gt;0,N(K3161)&lt;J3161),"🟡 FALTA EXECUTAR",IF(OR(M3161="PENDENTE",M3161="PARCIAL"),"🟡 FATURAMENTO PENDENTE","🟡 EMBARQUE PENDENTE")))))))))))</f>
        <v/>
      </c>
      <c r="D3161" s="4" t="n"/>
      <c r="E3161" s="5" t="n"/>
      <c r="F3161" s="5" t="n"/>
      <c r="G3161" s="5" t="n"/>
      <c r="H3161" s="5" t="n"/>
      <c r="I3161" s="5" t="n"/>
      <c r="J3161" s="6" t="n"/>
      <c r="K3161" s="6" t="n"/>
      <c r="L3161" s="7">
        <f>IF(OR(D3161="",N(J3161)=0),"",MIN(1,N(K3161)/J3161))</f>
        <v/>
      </c>
      <c r="M3161" s="5" t="n"/>
      <c r="N3161" s="5" t="n"/>
      <c r="O3161" s="5" t="n"/>
      <c r="P3161" s="5" t="n"/>
      <c r="Q3161" s="5" t="n"/>
      <c r="R3161" s="4" t="n"/>
      <c r="S3161" s="4" t="n"/>
      <c r="T3161" s="5" t="n"/>
      <c r="U3161" s="8">
        <f>IF(AND(V3161=1,D3161&lt;&gt;""),IF(D3161&gt;=corte,TODAY()-D3161,""),"")</f>
        <v/>
      </c>
      <c r="V3161" s="8">
        <f>IF(D3161="",0,IF(OR(AND(P3161&lt;&gt;"",S3161=""),AND(N(J3161)&gt;0,N(K3161)&lt;J3161),OR(M3161="PENDENTE",M3161="PARCIAL"),OR(N3161="PENDENTE",N3161="PARCIAL")),1,0))</f>
        <v/>
      </c>
      <c r="W3161" s="8">
        <f>IF(AND(V3161=1,D3161&lt;&gt;""),IF(D3161&gt;=corte,(B3161="CRÍTICO")*1E9+(100000-D3161)*10000+10000-ROW(),""),"")</f>
        <v/>
      </c>
      <c r="X3161" s="8">
        <f>IF(AND(V3161=1,D3161=pas_data,E3161=pas_turno),10000-ROW(),"")</f>
        <v/>
      </c>
    </row>
    <row r="3162">
      <c r="A3162" s="3">
        <f>IF(D3162="","","TT-"&amp;TEXT(ROW()-1,"00000"))</f>
        <v/>
      </c>
      <c r="B3162" s="3">
        <f>IF(D3162="","",IF(V3162=0,"CONCLUÍDO",IF(D3162&lt;corte,"HISTÓRICO",IF(OR(AND(ISNUMBER(R3162),R3162&lt;TODAY()),AND(OR(N3162="PENDENTE",N3162="PARCIAL"),D3162&lt;TODAY()-1)),"CRÍTICO",IF(OR(AND(P3162&lt;&gt;"",S3162=""),AND(N3162="REALIZADO",M3162="PENDENTE"),AND(ISNUMBER(R3162),R3162=TODAY())),"ATENÇÃO",IF(N(K3162)=0,"PENDENTE","EM ANDAMENTO"))))))</f>
        <v/>
      </c>
      <c r="C3162" s="3">
        <f>IF(D3162="","",IF(V3162=0,"🟢 OK",IF(D3162&lt;corte,"⚪ HISTÓRICO (sem baixa)",IF(AND(ISNUMBER(R3162),R3162&lt;TODAY()),"🔴 PRAZO VENCIDO",IF(AND(OR(N3162="PENDENTE",N3162="PARCIAL"),D3162&lt;TODAY()-1),"🔴 EMBARQUE ATRASADO",IF(AND(N3162="REALIZADO",M3162="PENDENTE"),"🟡 EMBARCADO SEM FATURAR",IF(AND(P3162&lt;&gt;"",S3162="",OR(Q3162="",R3162="")),"🟡 PENDÊNCIA SEM RESPONSÁVEL/PRAZO",IF(AND(ISNUMBER(R3162),R3162=TODAY()),"🟡 VENCE HOJE",IF(AND(P3162&lt;&gt;"",S3162=""),"🟡 PENDÊNCIA ABERTA",IF(AND(N(J3162)&gt;0,N(K3162)&lt;J3162),"🟡 FALTA EXECUTAR",IF(OR(M3162="PENDENTE",M3162="PARCIAL"),"🟡 FATURAMENTO PENDENTE","🟡 EMBARQUE PENDENTE")))))))))))</f>
        <v/>
      </c>
      <c r="D3162" s="4" t="n"/>
      <c r="E3162" s="5" t="n"/>
      <c r="F3162" s="5" t="n"/>
      <c r="G3162" s="5" t="n"/>
      <c r="H3162" s="5" t="n"/>
      <c r="I3162" s="5" t="n"/>
      <c r="J3162" s="6" t="n"/>
      <c r="K3162" s="6" t="n"/>
      <c r="L3162" s="7">
        <f>IF(OR(D3162="",N(J3162)=0),"",MIN(1,N(K3162)/J3162))</f>
        <v/>
      </c>
      <c r="M3162" s="5" t="n"/>
      <c r="N3162" s="5" t="n"/>
      <c r="O3162" s="5" t="n"/>
      <c r="P3162" s="5" t="n"/>
      <c r="Q3162" s="5" t="n"/>
      <c r="R3162" s="4" t="n"/>
      <c r="S3162" s="4" t="n"/>
      <c r="T3162" s="5" t="n"/>
      <c r="U3162" s="8">
        <f>IF(AND(V3162=1,D3162&lt;&gt;""),IF(D3162&gt;=corte,TODAY()-D3162,""),"")</f>
        <v/>
      </c>
      <c r="V3162" s="8">
        <f>IF(D3162="",0,IF(OR(AND(P3162&lt;&gt;"",S3162=""),AND(N(J3162)&gt;0,N(K3162)&lt;J3162),OR(M3162="PENDENTE",M3162="PARCIAL"),OR(N3162="PENDENTE",N3162="PARCIAL")),1,0))</f>
        <v/>
      </c>
      <c r="W3162" s="8">
        <f>IF(AND(V3162=1,D3162&lt;&gt;""),IF(D3162&gt;=corte,(B3162="CRÍTICO")*1E9+(100000-D3162)*10000+10000-ROW(),""),"")</f>
        <v/>
      </c>
      <c r="X3162" s="8">
        <f>IF(AND(V3162=1,D3162=pas_data,E3162=pas_turno),10000-ROW(),"")</f>
        <v/>
      </c>
    </row>
    <row r="3163">
      <c r="A3163" s="3">
        <f>IF(D3163="","","TT-"&amp;TEXT(ROW()-1,"00000"))</f>
        <v/>
      </c>
      <c r="B3163" s="3">
        <f>IF(D3163="","",IF(V3163=0,"CONCLUÍDO",IF(D3163&lt;corte,"HISTÓRICO",IF(OR(AND(ISNUMBER(R3163),R3163&lt;TODAY()),AND(OR(N3163="PENDENTE",N3163="PARCIAL"),D3163&lt;TODAY()-1)),"CRÍTICO",IF(OR(AND(P3163&lt;&gt;"",S3163=""),AND(N3163="REALIZADO",M3163="PENDENTE"),AND(ISNUMBER(R3163),R3163=TODAY())),"ATENÇÃO",IF(N(K3163)=0,"PENDENTE","EM ANDAMENTO"))))))</f>
        <v/>
      </c>
      <c r="C3163" s="3">
        <f>IF(D3163="","",IF(V3163=0,"🟢 OK",IF(D3163&lt;corte,"⚪ HISTÓRICO (sem baixa)",IF(AND(ISNUMBER(R3163),R3163&lt;TODAY()),"🔴 PRAZO VENCIDO",IF(AND(OR(N3163="PENDENTE",N3163="PARCIAL"),D3163&lt;TODAY()-1),"🔴 EMBARQUE ATRASADO",IF(AND(N3163="REALIZADO",M3163="PENDENTE"),"🟡 EMBARCADO SEM FATURAR",IF(AND(P3163&lt;&gt;"",S3163="",OR(Q3163="",R3163="")),"🟡 PENDÊNCIA SEM RESPONSÁVEL/PRAZO",IF(AND(ISNUMBER(R3163),R3163=TODAY()),"🟡 VENCE HOJE",IF(AND(P3163&lt;&gt;"",S3163=""),"🟡 PENDÊNCIA ABERTA",IF(AND(N(J3163)&gt;0,N(K3163)&lt;J3163),"🟡 FALTA EXECUTAR",IF(OR(M3163="PENDENTE",M3163="PARCIAL"),"🟡 FATURAMENTO PENDENTE","🟡 EMBARQUE PENDENTE")))))))))))</f>
        <v/>
      </c>
      <c r="D3163" s="4" t="n"/>
      <c r="E3163" s="5" t="n"/>
      <c r="F3163" s="5" t="n"/>
      <c r="G3163" s="5" t="n"/>
      <c r="H3163" s="5" t="n"/>
      <c r="I3163" s="5" t="n"/>
      <c r="J3163" s="6" t="n"/>
      <c r="K3163" s="6" t="n"/>
      <c r="L3163" s="7">
        <f>IF(OR(D3163="",N(J3163)=0),"",MIN(1,N(K3163)/J3163))</f>
        <v/>
      </c>
      <c r="M3163" s="5" t="n"/>
      <c r="N3163" s="5" t="n"/>
      <c r="O3163" s="5" t="n"/>
      <c r="P3163" s="5" t="n"/>
      <c r="Q3163" s="5" t="n"/>
      <c r="R3163" s="4" t="n"/>
      <c r="S3163" s="4" t="n"/>
      <c r="T3163" s="5" t="n"/>
      <c r="U3163" s="8">
        <f>IF(AND(V3163=1,D3163&lt;&gt;""),IF(D3163&gt;=corte,TODAY()-D3163,""),"")</f>
        <v/>
      </c>
      <c r="V3163" s="8">
        <f>IF(D3163="",0,IF(OR(AND(P3163&lt;&gt;"",S3163=""),AND(N(J3163)&gt;0,N(K3163)&lt;J3163),OR(M3163="PENDENTE",M3163="PARCIAL"),OR(N3163="PENDENTE",N3163="PARCIAL")),1,0))</f>
        <v/>
      </c>
      <c r="W3163" s="8">
        <f>IF(AND(V3163=1,D3163&lt;&gt;""),IF(D3163&gt;=corte,(B3163="CRÍTICO")*1E9+(100000-D3163)*10000+10000-ROW(),""),"")</f>
        <v/>
      </c>
      <c r="X3163" s="8">
        <f>IF(AND(V3163=1,D3163=pas_data,E3163=pas_turno),10000-ROW(),"")</f>
        <v/>
      </c>
    </row>
    <row r="3164">
      <c r="A3164" s="3">
        <f>IF(D3164="","","TT-"&amp;TEXT(ROW()-1,"00000"))</f>
        <v/>
      </c>
      <c r="B3164" s="3">
        <f>IF(D3164="","",IF(V3164=0,"CONCLUÍDO",IF(D3164&lt;corte,"HISTÓRICO",IF(OR(AND(ISNUMBER(R3164),R3164&lt;TODAY()),AND(OR(N3164="PENDENTE",N3164="PARCIAL"),D3164&lt;TODAY()-1)),"CRÍTICO",IF(OR(AND(P3164&lt;&gt;"",S3164=""),AND(N3164="REALIZADO",M3164="PENDENTE"),AND(ISNUMBER(R3164),R3164=TODAY())),"ATENÇÃO",IF(N(K3164)=0,"PENDENTE","EM ANDAMENTO"))))))</f>
        <v/>
      </c>
      <c r="C3164" s="3">
        <f>IF(D3164="","",IF(V3164=0,"🟢 OK",IF(D3164&lt;corte,"⚪ HISTÓRICO (sem baixa)",IF(AND(ISNUMBER(R3164),R3164&lt;TODAY()),"🔴 PRAZO VENCIDO",IF(AND(OR(N3164="PENDENTE",N3164="PARCIAL"),D3164&lt;TODAY()-1),"🔴 EMBARQUE ATRASADO",IF(AND(N3164="REALIZADO",M3164="PENDENTE"),"🟡 EMBARCADO SEM FATURAR",IF(AND(P3164&lt;&gt;"",S3164="",OR(Q3164="",R3164="")),"🟡 PENDÊNCIA SEM RESPONSÁVEL/PRAZO",IF(AND(ISNUMBER(R3164),R3164=TODAY()),"🟡 VENCE HOJE",IF(AND(P3164&lt;&gt;"",S3164=""),"🟡 PENDÊNCIA ABERTA",IF(AND(N(J3164)&gt;0,N(K3164)&lt;J3164),"🟡 FALTA EXECUTAR",IF(OR(M3164="PENDENTE",M3164="PARCIAL"),"🟡 FATURAMENTO PENDENTE","🟡 EMBARQUE PENDENTE")))))))))))</f>
        <v/>
      </c>
      <c r="D3164" s="4" t="n"/>
      <c r="E3164" s="5" t="n"/>
      <c r="F3164" s="5" t="n"/>
      <c r="G3164" s="5" t="n"/>
      <c r="H3164" s="5" t="n"/>
      <c r="I3164" s="5" t="n"/>
      <c r="J3164" s="6" t="n"/>
      <c r="K3164" s="6" t="n"/>
      <c r="L3164" s="7">
        <f>IF(OR(D3164="",N(J3164)=0),"",MIN(1,N(K3164)/J3164))</f>
        <v/>
      </c>
      <c r="M3164" s="5" t="n"/>
      <c r="N3164" s="5" t="n"/>
      <c r="O3164" s="5" t="n"/>
      <c r="P3164" s="5" t="n"/>
      <c r="Q3164" s="5" t="n"/>
      <c r="R3164" s="4" t="n"/>
      <c r="S3164" s="4" t="n"/>
      <c r="T3164" s="5" t="n"/>
      <c r="U3164" s="8">
        <f>IF(AND(V3164=1,D3164&lt;&gt;""),IF(D3164&gt;=corte,TODAY()-D3164,""),"")</f>
        <v/>
      </c>
      <c r="V3164" s="8">
        <f>IF(D3164="",0,IF(OR(AND(P3164&lt;&gt;"",S3164=""),AND(N(J3164)&gt;0,N(K3164)&lt;J3164),OR(M3164="PENDENTE",M3164="PARCIAL"),OR(N3164="PENDENTE",N3164="PARCIAL")),1,0))</f>
        <v/>
      </c>
      <c r="W3164" s="8">
        <f>IF(AND(V3164=1,D3164&lt;&gt;""),IF(D3164&gt;=corte,(B3164="CRÍTICO")*1E9+(100000-D3164)*10000+10000-ROW(),""),"")</f>
        <v/>
      </c>
      <c r="X3164" s="8">
        <f>IF(AND(V3164=1,D3164=pas_data,E3164=pas_turno),10000-ROW(),"")</f>
        <v/>
      </c>
    </row>
    <row r="3165">
      <c r="A3165" s="3">
        <f>IF(D3165="","","TT-"&amp;TEXT(ROW()-1,"00000"))</f>
        <v/>
      </c>
      <c r="B3165" s="3">
        <f>IF(D3165="","",IF(V3165=0,"CONCLUÍDO",IF(D3165&lt;corte,"HISTÓRICO",IF(OR(AND(ISNUMBER(R3165),R3165&lt;TODAY()),AND(OR(N3165="PENDENTE",N3165="PARCIAL"),D3165&lt;TODAY()-1)),"CRÍTICO",IF(OR(AND(P3165&lt;&gt;"",S3165=""),AND(N3165="REALIZADO",M3165="PENDENTE"),AND(ISNUMBER(R3165),R3165=TODAY())),"ATENÇÃO",IF(N(K3165)=0,"PENDENTE","EM ANDAMENTO"))))))</f>
        <v/>
      </c>
      <c r="C3165" s="3">
        <f>IF(D3165="","",IF(V3165=0,"🟢 OK",IF(D3165&lt;corte,"⚪ HISTÓRICO (sem baixa)",IF(AND(ISNUMBER(R3165),R3165&lt;TODAY()),"🔴 PRAZO VENCIDO",IF(AND(OR(N3165="PENDENTE",N3165="PARCIAL"),D3165&lt;TODAY()-1),"🔴 EMBARQUE ATRASADO",IF(AND(N3165="REALIZADO",M3165="PENDENTE"),"🟡 EMBARCADO SEM FATURAR",IF(AND(P3165&lt;&gt;"",S3165="",OR(Q3165="",R3165="")),"🟡 PENDÊNCIA SEM RESPONSÁVEL/PRAZO",IF(AND(ISNUMBER(R3165),R3165=TODAY()),"🟡 VENCE HOJE",IF(AND(P3165&lt;&gt;"",S3165=""),"🟡 PENDÊNCIA ABERTA",IF(AND(N(J3165)&gt;0,N(K3165)&lt;J3165),"🟡 FALTA EXECUTAR",IF(OR(M3165="PENDENTE",M3165="PARCIAL"),"🟡 FATURAMENTO PENDENTE","🟡 EMBARQUE PENDENTE")))))))))))</f>
        <v/>
      </c>
      <c r="D3165" s="4" t="n"/>
      <c r="E3165" s="5" t="n"/>
      <c r="F3165" s="5" t="n"/>
      <c r="G3165" s="5" t="n"/>
      <c r="H3165" s="5" t="n"/>
      <c r="I3165" s="5" t="n"/>
      <c r="J3165" s="6" t="n"/>
      <c r="K3165" s="6" t="n"/>
      <c r="L3165" s="7">
        <f>IF(OR(D3165="",N(J3165)=0),"",MIN(1,N(K3165)/J3165))</f>
        <v/>
      </c>
      <c r="M3165" s="5" t="n"/>
      <c r="N3165" s="5" t="n"/>
      <c r="O3165" s="5" t="n"/>
      <c r="P3165" s="5" t="n"/>
      <c r="Q3165" s="5" t="n"/>
      <c r="R3165" s="4" t="n"/>
      <c r="S3165" s="4" t="n"/>
      <c r="T3165" s="5" t="n"/>
      <c r="U3165" s="8">
        <f>IF(AND(V3165=1,D3165&lt;&gt;""),IF(D3165&gt;=corte,TODAY()-D3165,""),"")</f>
        <v/>
      </c>
      <c r="V3165" s="8">
        <f>IF(D3165="",0,IF(OR(AND(P3165&lt;&gt;"",S3165=""),AND(N(J3165)&gt;0,N(K3165)&lt;J3165),OR(M3165="PENDENTE",M3165="PARCIAL"),OR(N3165="PENDENTE",N3165="PARCIAL")),1,0))</f>
        <v/>
      </c>
      <c r="W3165" s="8">
        <f>IF(AND(V3165=1,D3165&lt;&gt;""),IF(D3165&gt;=corte,(B3165="CRÍTICO")*1E9+(100000-D3165)*10000+10000-ROW(),""),"")</f>
        <v/>
      </c>
      <c r="X3165" s="8">
        <f>IF(AND(V3165=1,D3165=pas_data,E3165=pas_turno),10000-ROW(),"")</f>
        <v/>
      </c>
    </row>
    <row r="3166">
      <c r="A3166" s="3">
        <f>IF(D3166="","","TT-"&amp;TEXT(ROW()-1,"00000"))</f>
        <v/>
      </c>
      <c r="B3166" s="3">
        <f>IF(D3166="","",IF(V3166=0,"CONCLUÍDO",IF(D3166&lt;corte,"HISTÓRICO",IF(OR(AND(ISNUMBER(R3166),R3166&lt;TODAY()),AND(OR(N3166="PENDENTE",N3166="PARCIAL"),D3166&lt;TODAY()-1)),"CRÍTICO",IF(OR(AND(P3166&lt;&gt;"",S3166=""),AND(N3166="REALIZADO",M3166="PENDENTE"),AND(ISNUMBER(R3166),R3166=TODAY())),"ATENÇÃO",IF(N(K3166)=0,"PENDENTE","EM ANDAMENTO"))))))</f>
        <v/>
      </c>
      <c r="C3166" s="3">
        <f>IF(D3166="","",IF(V3166=0,"🟢 OK",IF(D3166&lt;corte,"⚪ HISTÓRICO (sem baixa)",IF(AND(ISNUMBER(R3166),R3166&lt;TODAY()),"🔴 PRAZO VENCIDO",IF(AND(OR(N3166="PENDENTE",N3166="PARCIAL"),D3166&lt;TODAY()-1),"🔴 EMBARQUE ATRASADO",IF(AND(N3166="REALIZADO",M3166="PENDENTE"),"🟡 EMBARCADO SEM FATURAR",IF(AND(P3166&lt;&gt;"",S3166="",OR(Q3166="",R3166="")),"🟡 PENDÊNCIA SEM RESPONSÁVEL/PRAZO",IF(AND(ISNUMBER(R3166),R3166=TODAY()),"🟡 VENCE HOJE",IF(AND(P3166&lt;&gt;"",S3166=""),"🟡 PENDÊNCIA ABERTA",IF(AND(N(J3166)&gt;0,N(K3166)&lt;J3166),"🟡 FALTA EXECUTAR",IF(OR(M3166="PENDENTE",M3166="PARCIAL"),"🟡 FATURAMENTO PENDENTE","🟡 EMBARQUE PENDENTE")))))))))))</f>
        <v/>
      </c>
      <c r="D3166" s="4" t="n"/>
      <c r="E3166" s="5" t="n"/>
      <c r="F3166" s="5" t="n"/>
      <c r="G3166" s="5" t="n"/>
      <c r="H3166" s="5" t="n"/>
      <c r="I3166" s="5" t="n"/>
      <c r="J3166" s="6" t="n"/>
      <c r="K3166" s="6" t="n"/>
      <c r="L3166" s="7">
        <f>IF(OR(D3166="",N(J3166)=0),"",MIN(1,N(K3166)/J3166))</f>
        <v/>
      </c>
      <c r="M3166" s="5" t="n"/>
      <c r="N3166" s="5" t="n"/>
      <c r="O3166" s="5" t="n"/>
      <c r="P3166" s="5" t="n"/>
      <c r="Q3166" s="5" t="n"/>
      <c r="R3166" s="4" t="n"/>
      <c r="S3166" s="4" t="n"/>
      <c r="T3166" s="5" t="n"/>
      <c r="U3166" s="8">
        <f>IF(AND(V3166=1,D3166&lt;&gt;""),IF(D3166&gt;=corte,TODAY()-D3166,""),"")</f>
        <v/>
      </c>
      <c r="V3166" s="8">
        <f>IF(D3166="",0,IF(OR(AND(P3166&lt;&gt;"",S3166=""),AND(N(J3166)&gt;0,N(K3166)&lt;J3166),OR(M3166="PENDENTE",M3166="PARCIAL"),OR(N3166="PENDENTE",N3166="PARCIAL")),1,0))</f>
        <v/>
      </c>
      <c r="W3166" s="8">
        <f>IF(AND(V3166=1,D3166&lt;&gt;""),IF(D3166&gt;=corte,(B3166="CRÍTICO")*1E9+(100000-D3166)*10000+10000-ROW(),""),"")</f>
        <v/>
      </c>
      <c r="X3166" s="8">
        <f>IF(AND(V3166=1,D3166=pas_data,E3166=pas_turno),10000-ROW(),"")</f>
        <v/>
      </c>
    </row>
    <row r="3167">
      <c r="A3167" s="3">
        <f>IF(D3167="","","TT-"&amp;TEXT(ROW()-1,"00000"))</f>
        <v/>
      </c>
      <c r="B3167" s="3">
        <f>IF(D3167="","",IF(V3167=0,"CONCLUÍDO",IF(D3167&lt;corte,"HISTÓRICO",IF(OR(AND(ISNUMBER(R3167),R3167&lt;TODAY()),AND(OR(N3167="PENDENTE",N3167="PARCIAL"),D3167&lt;TODAY()-1)),"CRÍTICO",IF(OR(AND(P3167&lt;&gt;"",S3167=""),AND(N3167="REALIZADO",M3167="PENDENTE"),AND(ISNUMBER(R3167),R3167=TODAY())),"ATENÇÃO",IF(N(K3167)=0,"PENDENTE","EM ANDAMENTO"))))))</f>
        <v/>
      </c>
      <c r="C3167" s="3">
        <f>IF(D3167="","",IF(V3167=0,"🟢 OK",IF(D3167&lt;corte,"⚪ HISTÓRICO (sem baixa)",IF(AND(ISNUMBER(R3167),R3167&lt;TODAY()),"🔴 PRAZO VENCIDO",IF(AND(OR(N3167="PENDENTE",N3167="PARCIAL"),D3167&lt;TODAY()-1),"🔴 EMBARQUE ATRASADO",IF(AND(N3167="REALIZADO",M3167="PENDENTE"),"🟡 EMBARCADO SEM FATURAR",IF(AND(P3167&lt;&gt;"",S3167="",OR(Q3167="",R3167="")),"🟡 PENDÊNCIA SEM RESPONSÁVEL/PRAZO",IF(AND(ISNUMBER(R3167),R3167=TODAY()),"🟡 VENCE HOJE",IF(AND(P3167&lt;&gt;"",S3167=""),"🟡 PENDÊNCIA ABERTA",IF(AND(N(J3167)&gt;0,N(K3167)&lt;J3167),"🟡 FALTA EXECUTAR",IF(OR(M3167="PENDENTE",M3167="PARCIAL"),"🟡 FATURAMENTO PENDENTE","🟡 EMBARQUE PENDENTE")))))))))))</f>
        <v/>
      </c>
      <c r="D3167" s="4" t="n"/>
      <c r="E3167" s="5" t="n"/>
      <c r="F3167" s="5" t="n"/>
      <c r="G3167" s="5" t="n"/>
      <c r="H3167" s="5" t="n"/>
      <c r="I3167" s="5" t="n"/>
      <c r="J3167" s="6" t="n"/>
      <c r="K3167" s="6" t="n"/>
      <c r="L3167" s="7">
        <f>IF(OR(D3167="",N(J3167)=0),"",MIN(1,N(K3167)/J3167))</f>
        <v/>
      </c>
      <c r="M3167" s="5" t="n"/>
      <c r="N3167" s="5" t="n"/>
      <c r="O3167" s="5" t="n"/>
      <c r="P3167" s="5" t="n"/>
      <c r="Q3167" s="5" t="n"/>
      <c r="R3167" s="4" t="n"/>
      <c r="S3167" s="4" t="n"/>
      <c r="T3167" s="5" t="n"/>
      <c r="U3167" s="8">
        <f>IF(AND(V3167=1,D3167&lt;&gt;""),IF(D3167&gt;=corte,TODAY()-D3167,""),"")</f>
        <v/>
      </c>
      <c r="V3167" s="8">
        <f>IF(D3167="",0,IF(OR(AND(P3167&lt;&gt;"",S3167=""),AND(N(J3167)&gt;0,N(K3167)&lt;J3167),OR(M3167="PENDENTE",M3167="PARCIAL"),OR(N3167="PENDENTE",N3167="PARCIAL")),1,0))</f>
        <v/>
      </c>
      <c r="W3167" s="8">
        <f>IF(AND(V3167=1,D3167&lt;&gt;""),IF(D3167&gt;=corte,(B3167="CRÍTICO")*1E9+(100000-D3167)*10000+10000-ROW(),""),"")</f>
        <v/>
      </c>
      <c r="X3167" s="8">
        <f>IF(AND(V3167=1,D3167=pas_data,E3167=pas_turno),10000-ROW(),"")</f>
        <v/>
      </c>
    </row>
    <row r="3168">
      <c r="A3168" s="3">
        <f>IF(D3168="","","TT-"&amp;TEXT(ROW()-1,"00000"))</f>
        <v/>
      </c>
      <c r="B3168" s="3">
        <f>IF(D3168="","",IF(V3168=0,"CONCLUÍDO",IF(D3168&lt;corte,"HISTÓRICO",IF(OR(AND(ISNUMBER(R3168),R3168&lt;TODAY()),AND(OR(N3168="PENDENTE",N3168="PARCIAL"),D3168&lt;TODAY()-1)),"CRÍTICO",IF(OR(AND(P3168&lt;&gt;"",S3168=""),AND(N3168="REALIZADO",M3168="PENDENTE"),AND(ISNUMBER(R3168),R3168=TODAY())),"ATENÇÃO",IF(N(K3168)=0,"PENDENTE","EM ANDAMENTO"))))))</f>
        <v/>
      </c>
      <c r="C3168" s="3">
        <f>IF(D3168="","",IF(V3168=0,"🟢 OK",IF(D3168&lt;corte,"⚪ HISTÓRICO (sem baixa)",IF(AND(ISNUMBER(R3168),R3168&lt;TODAY()),"🔴 PRAZO VENCIDO",IF(AND(OR(N3168="PENDENTE",N3168="PARCIAL"),D3168&lt;TODAY()-1),"🔴 EMBARQUE ATRASADO",IF(AND(N3168="REALIZADO",M3168="PENDENTE"),"🟡 EMBARCADO SEM FATURAR",IF(AND(P3168&lt;&gt;"",S3168="",OR(Q3168="",R3168="")),"🟡 PENDÊNCIA SEM RESPONSÁVEL/PRAZO",IF(AND(ISNUMBER(R3168),R3168=TODAY()),"🟡 VENCE HOJE",IF(AND(P3168&lt;&gt;"",S3168=""),"🟡 PENDÊNCIA ABERTA",IF(AND(N(J3168)&gt;0,N(K3168)&lt;J3168),"🟡 FALTA EXECUTAR",IF(OR(M3168="PENDENTE",M3168="PARCIAL"),"🟡 FATURAMENTO PENDENTE","🟡 EMBARQUE PENDENTE")))))))))))</f>
        <v/>
      </c>
      <c r="D3168" s="4" t="n"/>
      <c r="E3168" s="5" t="n"/>
      <c r="F3168" s="5" t="n"/>
      <c r="G3168" s="5" t="n"/>
      <c r="H3168" s="5" t="n"/>
      <c r="I3168" s="5" t="n"/>
      <c r="J3168" s="6" t="n"/>
      <c r="K3168" s="6" t="n"/>
      <c r="L3168" s="7">
        <f>IF(OR(D3168="",N(J3168)=0),"",MIN(1,N(K3168)/J3168))</f>
        <v/>
      </c>
      <c r="M3168" s="5" t="n"/>
      <c r="N3168" s="5" t="n"/>
      <c r="O3168" s="5" t="n"/>
      <c r="P3168" s="5" t="n"/>
      <c r="Q3168" s="5" t="n"/>
      <c r="R3168" s="4" t="n"/>
      <c r="S3168" s="4" t="n"/>
      <c r="T3168" s="5" t="n"/>
      <c r="U3168" s="8">
        <f>IF(AND(V3168=1,D3168&lt;&gt;""),IF(D3168&gt;=corte,TODAY()-D3168,""),"")</f>
        <v/>
      </c>
      <c r="V3168" s="8">
        <f>IF(D3168="",0,IF(OR(AND(P3168&lt;&gt;"",S3168=""),AND(N(J3168)&gt;0,N(K3168)&lt;J3168),OR(M3168="PENDENTE",M3168="PARCIAL"),OR(N3168="PENDENTE",N3168="PARCIAL")),1,0))</f>
        <v/>
      </c>
      <c r="W3168" s="8">
        <f>IF(AND(V3168=1,D3168&lt;&gt;""),IF(D3168&gt;=corte,(B3168="CRÍTICO")*1E9+(100000-D3168)*10000+10000-ROW(),""),"")</f>
        <v/>
      </c>
      <c r="X3168" s="8">
        <f>IF(AND(V3168=1,D3168=pas_data,E3168=pas_turno),10000-ROW(),"")</f>
        <v/>
      </c>
    </row>
    <row r="3169">
      <c r="A3169" s="3">
        <f>IF(D3169="","","TT-"&amp;TEXT(ROW()-1,"00000"))</f>
        <v/>
      </c>
      <c r="B3169" s="3">
        <f>IF(D3169="","",IF(V3169=0,"CONCLUÍDO",IF(D3169&lt;corte,"HISTÓRICO",IF(OR(AND(ISNUMBER(R3169),R3169&lt;TODAY()),AND(OR(N3169="PENDENTE",N3169="PARCIAL"),D3169&lt;TODAY()-1)),"CRÍTICO",IF(OR(AND(P3169&lt;&gt;"",S3169=""),AND(N3169="REALIZADO",M3169="PENDENTE"),AND(ISNUMBER(R3169),R3169=TODAY())),"ATENÇÃO",IF(N(K3169)=0,"PENDENTE","EM ANDAMENTO"))))))</f>
        <v/>
      </c>
      <c r="C3169" s="3">
        <f>IF(D3169="","",IF(V3169=0,"🟢 OK",IF(D3169&lt;corte,"⚪ HISTÓRICO (sem baixa)",IF(AND(ISNUMBER(R3169),R3169&lt;TODAY()),"🔴 PRAZO VENCIDO",IF(AND(OR(N3169="PENDENTE",N3169="PARCIAL"),D3169&lt;TODAY()-1),"🔴 EMBARQUE ATRASADO",IF(AND(N3169="REALIZADO",M3169="PENDENTE"),"🟡 EMBARCADO SEM FATURAR",IF(AND(P3169&lt;&gt;"",S3169="",OR(Q3169="",R3169="")),"🟡 PENDÊNCIA SEM RESPONSÁVEL/PRAZO",IF(AND(ISNUMBER(R3169),R3169=TODAY()),"🟡 VENCE HOJE",IF(AND(P3169&lt;&gt;"",S3169=""),"🟡 PENDÊNCIA ABERTA",IF(AND(N(J3169)&gt;0,N(K3169)&lt;J3169),"🟡 FALTA EXECUTAR",IF(OR(M3169="PENDENTE",M3169="PARCIAL"),"🟡 FATURAMENTO PENDENTE","🟡 EMBARQUE PENDENTE")))))))))))</f>
        <v/>
      </c>
      <c r="D3169" s="4" t="n"/>
      <c r="E3169" s="5" t="n"/>
      <c r="F3169" s="5" t="n"/>
      <c r="G3169" s="5" t="n"/>
      <c r="H3169" s="5" t="n"/>
      <c r="I3169" s="5" t="n"/>
      <c r="J3169" s="6" t="n"/>
      <c r="K3169" s="6" t="n"/>
      <c r="L3169" s="7">
        <f>IF(OR(D3169="",N(J3169)=0),"",MIN(1,N(K3169)/J3169))</f>
        <v/>
      </c>
      <c r="M3169" s="5" t="n"/>
      <c r="N3169" s="5" t="n"/>
      <c r="O3169" s="5" t="n"/>
      <c r="P3169" s="5" t="n"/>
      <c r="Q3169" s="5" t="n"/>
      <c r="R3169" s="4" t="n"/>
      <c r="S3169" s="4" t="n"/>
      <c r="T3169" s="5" t="n"/>
      <c r="U3169" s="8">
        <f>IF(AND(V3169=1,D3169&lt;&gt;""),IF(D3169&gt;=corte,TODAY()-D3169,""),"")</f>
        <v/>
      </c>
      <c r="V3169" s="8">
        <f>IF(D3169="",0,IF(OR(AND(P3169&lt;&gt;"",S3169=""),AND(N(J3169)&gt;0,N(K3169)&lt;J3169),OR(M3169="PENDENTE",M3169="PARCIAL"),OR(N3169="PENDENTE",N3169="PARCIAL")),1,0))</f>
        <v/>
      </c>
      <c r="W3169" s="8">
        <f>IF(AND(V3169=1,D3169&lt;&gt;""),IF(D3169&gt;=corte,(B3169="CRÍTICO")*1E9+(100000-D3169)*10000+10000-ROW(),""),"")</f>
        <v/>
      </c>
      <c r="X3169" s="8">
        <f>IF(AND(V3169=1,D3169=pas_data,E3169=pas_turno),10000-ROW(),"")</f>
        <v/>
      </c>
    </row>
    <row r="3170">
      <c r="A3170" s="3">
        <f>IF(D3170="","","TT-"&amp;TEXT(ROW()-1,"00000"))</f>
        <v/>
      </c>
      <c r="B3170" s="3">
        <f>IF(D3170="","",IF(V3170=0,"CONCLUÍDO",IF(D3170&lt;corte,"HISTÓRICO",IF(OR(AND(ISNUMBER(R3170),R3170&lt;TODAY()),AND(OR(N3170="PENDENTE",N3170="PARCIAL"),D3170&lt;TODAY()-1)),"CRÍTICO",IF(OR(AND(P3170&lt;&gt;"",S3170=""),AND(N3170="REALIZADO",M3170="PENDENTE"),AND(ISNUMBER(R3170),R3170=TODAY())),"ATENÇÃO",IF(N(K3170)=0,"PENDENTE","EM ANDAMENTO"))))))</f>
        <v/>
      </c>
      <c r="C3170" s="3">
        <f>IF(D3170="","",IF(V3170=0,"🟢 OK",IF(D3170&lt;corte,"⚪ HISTÓRICO (sem baixa)",IF(AND(ISNUMBER(R3170),R3170&lt;TODAY()),"🔴 PRAZO VENCIDO",IF(AND(OR(N3170="PENDENTE",N3170="PARCIAL"),D3170&lt;TODAY()-1),"🔴 EMBARQUE ATRASADO",IF(AND(N3170="REALIZADO",M3170="PENDENTE"),"🟡 EMBARCADO SEM FATURAR",IF(AND(P3170&lt;&gt;"",S3170="",OR(Q3170="",R3170="")),"🟡 PENDÊNCIA SEM RESPONSÁVEL/PRAZO",IF(AND(ISNUMBER(R3170),R3170=TODAY()),"🟡 VENCE HOJE",IF(AND(P3170&lt;&gt;"",S3170=""),"🟡 PENDÊNCIA ABERTA",IF(AND(N(J3170)&gt;0,N(K3170)&lt;J3170),"🟡 FALTA EXECUTAR",IF(OR(M3170="PENDENTE",M3170="PARCIAL"),"🟡 FATURAMENTO PENDENTE","🟡 EMBARQUE PENDENTE")))))))))))</f>
        <v/>
      </c>
      <c r="D3170" s="4" t="n"/>
      <c r="E3170" s="5" t="n"/>
      <c r="F3170" s="5" t="n"/>
      <c r="G3170" s="5" t="n"/>
      <c r="H3170" s="5" t="n"/>
      <c r="I3170" s="5" t="n"/>
      <c r="J3170" s="6" t="n"/>
      <c r="K3170" s="6" t="n"/>
      <c r="L3170" s="7">
        <f>IF(OR(D3170="",N(J3170)=0),"",MIN(1,N(K3170)/J3170))</f>
        <v/>
      </c>
      <c r="M3170" s="5" t="n"/>
      <c r="N3170" s="5" t="n"/>
      <c r="O3170" s="5" t="n"/>
      <c r="P3170" s="5" t="n"/>
      <c r="Q3170" s="5" t="n"/>
      <c r="R3170" s="4" t="n"/>
      <c r="S3170" s="4" t="n"/>
      <c r="T3170" s="5" t="n"/>
      <c r="U3170" s="8">
        <f>IF(AND(V3170=1,D3170&lt;&gt;""),IF(D3170&gt;=corte,TODAY()-D3170,""),"")</f>
        <v/>
      </c>
      <c r="V3170" s="8">
        <f>IF(D3170="",0,IF(OR(AND(P3170&lt;&gt;"",S3170=""),AND(N(J3170)&gt;0,N(K3170)&lt;J3170),OR(M3170="PENDENTE",M3170="PARCIAL"),OR(N3170="PENDENTE",N3170="PARCIAL")),1,0))</f>
        <v/>
      </c>
      <c r="W3170" s="8">
        <f>IF(AND(V3170=1,D3170&lt;&gt;""),IF(D3170&gt;=corte,(B3170="CRÍTICO")*1E9+(100000-D3170)*10000+10000-ROW(),""),"")</f>
        <v/>
      </c>
      <c r="X3170" s="8">
        <f>IF(AND(V3170=1,D3170=pas_data,E3170=pas_turno),10000-ROW(),"")</f>
        <v/>
      </c>
    </row>
    <row r="3171">
      <c r="A3171" s="3">
        <f>IF(D3171="","","TT-"&amp;TEXT(ROW()-1,"00000"))</f>
        <v/>
      </c>
      <c r="B3171" s="3">
        <f>IF(D3171="","",IF(V3171=0,"CONCLUÍDO",IF(D3171&lt;corte,"HISTÓRICO",IF(OR(AND(ISNUMBER(R3171),R3171&lt;TODAY()),AND(OR(N3171="PENDENTE",N3171="PARCIAL"),D3171&lt;TODAY()-1)),"CRÍTICO",IF(OR(AND(P3171&lt;&gt;"",S3171=""),AND(N3171="REALIZADO",M3171="PENDENTE"),AND(ISNUMBER(R3171),R3171=TODAY())),"ATENÇÃO",IF(N(K3171)=0,"PENDENTE","EM ANDAMENTO"))))))</f>
        <v/>
      </c>
      <c r="C3171" s="3">
        <f>IF(D3171="","",IF(V3171=0,"🟢 OK",IF(D3171&lt;corte,"⚪ HISTÓRICO (sem baixa)",IF(AND(ISNUMBER(R3171),R3171&lt;TODAY()),"🔴 PRAZO VENCIDO",IF(AND(OR(N3171="PENDENTE",N3171="PARCIAL"),D3171&lt;TODAY()-1),"🔴 EMBARQUE ATRASADO",IF(AND(N3171="REALIZADO",M3171="PENDENTE"),"🟡 EMBARCADO SEM FATURAR",IF(AND(P3171&lt;&gt;"",S3171="",OR(Q3171="",R3171="")),"🟡 PENDÊNCIA SEM RESPONSÁVEL/PRAZO",IF(AND(ISNUMBER(R3171),R3171=TODAY()),"🟡 VENCE HOJE",IF(AND(P3171&lt;&gt;"",S3171=""),"🟡 PENDÊNCIA ABERTA",IF(AND(N(J3171)&gt;0,N(K3171)&lt;J3171),"🟡 FALTA EXECUTAR",IF(OR(M3171="PENDENTE",M3171="PARCIAL"),"🟡 FATURAMENTO PENDENTE","🟡 EMBARQUE PENDENTE")))))))))))</f>
        <v/>
      </c>
      <c r="D3171" s="4" t="n"/>
      <c r="E3171" s="5" t="n"/>
      <c r="F3171" s="5" t="n"/>
      <c r="G3171" s="5" t="n"/>
      <c r="H3171" s="5" t="n"/>
      <c r="I3171" s="5" t="n"/>
      <c r="J3171" s="6" t="n"/>
      <c r="K3171" s="6" t="n"/>
      <c r="L3171" s="7">
        <f>IF(OR(D3171="",N(J3171)=0),"",MIN(1,N(K3171)/J3171))</f>
        <v/>
      </c>
      <c r="M3171" s="5" t="n"/>
      <c r="N3171" s="5" t="n"/>
      <c r="O3171" s="5" t="n"/>
      <c r="P3171" s="5" t="n"/>
      <c r="Q3171" s="5" t="n"/>
      <c r="R3171" s="4" t="n"/>
      <c r="S3171" s="4" t="n"/>
      <c r="T3171" s="5" t="n"/>
      <c r="U3171" s="8">
        <f>IF(AND(V3171=1,D3171&lt;&gt;""),IF(D3171&gt;=corte,TODAY()-D3171,""),"")</f>
        <v/>
      </c>
      <c r="V3171" s="8">
        <f>IF(D3171="",0,IF(OR(AND(P3171&lt;&gt;"",S3171=""),AND(N(J3171)&gt;0,N(K3171)&lt;J3171),OR(M3171="PENDENTE",M3171="PARCIAL"),OR(N3171="PENDENTE",N3171="PARCIAL")),1,0))</f>
        <v/>
      </c>
      <c r="W3171" s="8">
        <f>IF(AND(V3171=1,D3171&lt;&gt;""),IF(D3171&gt;=corte,(B3171="CRÍTICO")*1E9+(100000-D3171)*10000+10000-ROW(),""),"")</f>
        <v/>
      </c>
      <c r="X3171" s="8">
        <f>IF(AND(V3171=1,D3171=pas_data,E3171=pas_turno),10000-ROW(),"")</f>
        <v/>
      </c>
    </row>
    <row r="3172">
      <c r="A3172" s="3">
        <f>IF(D3172="","","TT-"&amp;TEXT(ROW()-1,"00000"))</f>
        <v/>
      </c>
      <c r="B3172" s="3">
        <f>IF(D3172="","",IF(V3172=0,"CONCLUÍDO",IF(D3172&lt;corte,"HISTÓRICO",IF(OR(AND(ISNUMBER(R3172),R3172&lt;TODAY()),AND(OR(N3172="PENDENTE",N3172="PARCIAL"),D3172&lt;TODAY()-1)),"CRÍTICO",IF(OR(AND(P3172&lt;&gt;"",S3172=""),AND(N3172="REALIZADO",M3172="PENDENTE"),AND(ISNUMBER(R3172),R3172=TODAY())),"ATENÇÃO",IF(N(K3172)=0,"PENDENTE","EM ANDAMENTO"))))))</f>
        <v/>
      </c>
      <c r="C3172" s="3">
        <f>IF(D3172="","",IF(V3172=0,"🟢 OK",IF(D3172&lt;corte,"⚪ HISTÓRICO (sem baixa)",IF(AND(ISNUMBER(R3172),R3172&lt;TODAY()),"🔴 PRAZO VENCIDO",IF(AND(OR(N3172="PENDENTE",N3172="PARCIAL"),D3172&lt;TODAY()-1),"🔴 EMBARQUE ATRASADO",IF(AND(N3172="REALIZADO",M3172="PENDENTE"),"🟡 EMBARCADO SEM FATURAR",IF(AND(P3172&lt;&gt;"",S3172="",OR(Q3172="",R3172="")),"🟡 PENDÊNCIA SEM RESPONSÁVEL/PRAZO",IF(AND(ISNUMBER(R3172),R3172=TODAY()),"🟡 VENCE HOJE",IF(AND(P3172&lt;&gt;"",S3172=""),"🟡 PENDÊNCIA ABERTA",IF(AND(N(J3172)&gt;0,N(K3172)&lt;J3172),"🟡 FALTA EXECUTAR",IF(OR(M3172="PENDENTE",M3172="PARCIAL"),"🟡 FATURAMENTO PENDENTE","🟡 EMBARQUE PENDENTE")))))))))))</f>
        <v/>
      </c>
      <c r="D3172" s="4" t="n"/>
      <c r="E3172" s="5" t="n"/>
      <c r="F3172" s="5" t="n"/>
      <c r="G3172" s="5" t="n"/>
      <c r="H3172" s="5" t="n"/>
      <c r="I3172" s="5" t="n"/>
      <c r="J3172" s="6" t="n"/>
      <c r="K3172" s="6" t="n"/>
      <c r="L3172" s="7">
        <f>IF(OR(D3172="",N(J3172)=0),"",MIN(1,N(K3172)/J3172))</f>
        <v/>
      </c>
      <c r="M3172" s="5" t="n"/>
      <c r="N3172" s="5" t="n"/>
      <c r="O3172" s="5" t="n"/>
      <c r="P3172" s="5" t="n"/>
      <c r="Q3172" s="5" t="n"/>
      <c r="R3172" s="4" t="n"/>
      <c r="S3172" s="4" t="n"/>
      <c r="T3172" s="5" t="n"/>
      <c r="U3172" s="8">
        <f>IF(AND(V3172=1,D3172&lt;&gt;""),IF(D3172&gt;=corte,TODAY()-D3172,""),"")</f>
        <v/>
      </c>
      <c r="V3172" s="8">
        <f>IF(D3172="",0,IF(OR(AND(P3172&lt;&gt;"",S3172=""),AND(N(J3172)&gt;0,N(K3172)&lt;J3172),OR(M3172="PENDENTE",M3172="PARCIAL"),OR(N3172="PENDENTE",N3172="PARCIAL")),1,0))</f>
        <v/>
      </c>
      <c r="W3172" s="8">
        <f>IF(AND(V3172=1,D3172&lt;&gt;""),IF(D3172&gt;=corte,(B3172="CRÍTICO")*1E9+(100000-D3172)*10000+10000-ROW(),""),"")</f>
        <v/>
      </c>
      <c r="X3172" s="8">
        <f>IF(AND(V3172=1,D3172=pas_data,E3172=pas_turno),10000-ROW(),"")</f>
        <v/>
      </c>
    </row>
    <row r="3173">
      <c r="A3173" s="3">
        <f>IF(D3173="","","TT-"&amp;TEXT(ROW()-1,"00000"))</f>
        <v/>
      </c>
      <c r="B3173" s="3">
        <f>IF(D3173="","",IF(V3173=0,"CONCLUÍDO",IF(D3173&lt;corte,"HISTÓRICO",IF(OR(AND(ISNUMBER(R3173),R3173&lt;TODAY()),AND(OR(N3173="PENDENTE",N3173="PARCIAL"),D3173&lt;TODAY()-1)),"CRÍTICO",IF(OR(AND(P3173&lt;&gt;"",S3173=""),AND(N3173="REALIZADO",M3173="PENDENTE"),AND(ISNUMBER(R3173),R3173=TODAY())),"ATENÇÃO",IF(N(K3173)=0,"PENDENTE","EM ANDAMENTO"))))))</f>
        <v/>
      </c>
      <c r="C3173" s="3">
        <f>IF(D3173="","",IF(V3173=0,"🟢 OK",IF(D3173&lt;corte,"⚪ HISTÓRICO (sem baixa)",IF(AND(ISNUMBER(R3173),R3173&lt;TODAY()),"🔴 PRAZO VENCIDO",IF(AND(OR(N3173="PENDENTE",N3173="PARCIAL"),D3173&lt;TODAY()-1),"🔴 EMBARQUE ATRASADO",IF(AND(N3173="REALIZADO",M3173="PENDENTE"),"🟡 EMBARCADO SEM FATURAR",IF(AND(P3173&lt;&gt;"",S3173="",OR(Q3173="",R3173="")),"🟡 PENDÊNCIA SEM RESPONSÁVEL/PRAZO",IF(AND(ISNUMBER(R3173),R3173=TODAY()),"🟡 VENCE HOJE",IF(AND(P3173&lt;&gt;"",S3173=""),"🟡 PENDÊNCIA ABERTA",IF(AND(N(J3173)&gt;0,N(K3173)&lt;J3173),"🟡 FALTA EXECUTAR",IF(OR(M3173="PENDENTE",M3173="PARCIAL"),"🟡 FATURAMENTO PENDENTE","🟡 EMBARQUE PENDENTE")))))))))))</f>
        <v/>
      </c>
      <c r="D3173" s="4" t="n"/>
      <c r="E3173" s="5" t="n"/>
      <c r="F3173" s="5" t="n"/>
      <c r="G3173" s="5" t="n"/>
      <c r="H3173" s="5" t="n"/>
      <c r="I3173" s="5" t="n"/>
      <c r="J3173" s="6" t="n"/>
      <c r="K3173" s="6" t="n"/>
      <c r="L3173" s="7">
        <f>IF(OR(D3173="",N(J3173)=0),"",MIN(1,N(K3173)/J3173))</f>
        <v/>
      </c>
      <c r="M3173" s="5" t="n"/>
      <c r="N3173" s="5" t="n"/>
      <c r="O3173" s="5" t="n"/>
      <c r="P3173" s="5" t="n"/>
      <c r="Q3173" s="5" t="n"/>
      <c r="R3173" s="4" t="n"/>
      <c r="S3173" s="4" t="n"/>
      <c r="T3173" s="5" t="n"/>
      <c r="U3173" s="8">
        <f>IF(AND(V3173=1,D3173&lt;&gt;""),IF(D3173&gt;=corte,TODAY()-D3173,""),"")</f>
        <v/>
      </c>
      <c r="V3173" s="8">
        <f>IF(D3173="",0,IF(OR(AND(P3173&lt;&gt;"",S3173=""),AND(N(J3173)&gt;0,N(K3173)&lt;J3173),OR(M3173="PENDENTE",M3173="PARCIAL"),OR(N3173="PENDENTE",N3173="PARCIAL")),1,0))</f>
        <v/>
      </c>
      <c r="W3173" s="8">
        <f>IF(AND(V3173=1,D3173&lt;&gt;""),IF(D3173&gt;=corte,(B3173="CRÍTICO")*1E9+(100000-D3173)*10000+10000-ROW(),""),"")</f>
        <v/>
      </c>
      <c r="X3173" s="8">
        <f>IF(AND(V3173=1,D3173=pas_data,E3173=pas_turno),10000-ROW(),"")</f>
        <v/>
      </c>
    </row>
    <row r="3174">
      <c r="A3174" s="3">
        <f>IF(D3174="","","TT-"&amp;TEXT(ROW()-1,"00000"))</f>
        <v/>
      </c>
      <c r="B3174" s="3">
        <f>IF(D3174="","",IF(V3174=0,"CONCLUÍDO",IF(D3174&lt;corte,"HISTÓRICO",IF(OR(AND(ISNUMBER(R3174),R3174&lt;TODAY()),AND(OR(N3174="PENDENTE",N3174="PARCIAL"),D3174&lt;TODAY()-1)),"CRÍTICO",IF(OR(AND(P3174&lt;&gt;"",S3174=""),AND(N3174="REALIZADO",M3174="PENDENTE"),AND(ISNUMBER(R3174),R3174=TODAY())),"ATENÇÃO",IF(N(K3174)=0,"PENDENTE","EM ANDAMENTO"))))))</f>
        <v/>
      </c>
      <c r="C3174" s="3">
        <f>IF(D3174="","",IF(V3174=0,"🟢 OK",IF(D3174&lt;corte,"⚪ HISTÓRICO (sem baixa)",IF(AND(ISNUMBER(R3174),R3174&lt;TODAY()),"🔴 PRAZO VENCIDO",IF(AND(OR(N3174="PENDENTE",N3174="PARCIAL"),D3174&lt;TODAY()-1),"🔴 EMBARQUE ATRASADO",IF(AND(N3174="REALIZADO",M3174="PENDENTE"),"🟡 EMBARCADO SEM FATURAR",IF(AND(P3174&lt;&gt;"",S3174="",OR(Q3174="",R3174="")),"🟡 PENDÊNCIA SEM RESPONSÁVEL/PRAZO",IF(AND(ISNUMBER(R3174),R3174=TODAY()),"🟡 VENCE HOJE",IF(AND(P3174&lt;&gt;"",S3174=""),"🟡 PENDÊNCIA ABERTA",IF(AND(N(J3174)&gt;0,N(K3174)&lt;J3174),"🟡 FALTA EXECUTAR",IF(OR(M3174="PENDENTE",M3174="PARCIAL"),"🟡 FATURAMENTO PENDENTE","🟡 EMBARQUE PENDENTE")))))))))))</f>
        <v/>
      </c>
      <c r="D3174" s="4" t="n"/>
      <c r="E3174" s="5" t="n"/>
      <c r="F3174" s="5" t="n"/>
      <c r="G3174" s="5" t="n"/>
      <c r="H3174" s="5" t="n"/>
      <c r="I3174" s="5" t="n"/>
      <c r="J3174" s="6" t="n"/>
      <c r="K3174" s="6" t="n"/>
      <c r="L3174" s="7">
        <f>IF(OR(D3174="",N(J3174)=0),"",MIN(1,N(K3174)/J3174))</f>
        <v/>
      </c>
      <c r="M3174" s="5" t="n"/>
      <c r="N3174" s="5" t="n"/>
      <c r="O3174" s="5" t="n"/>
      <c r="P3174" s="5" t="n"/>
      <c r="Q3174" s="5" t="n"/>
      <c r="R3174" s="4" t="n"/>
      <c r="S3174" s="4" t="n"/>
      <c r="T3174" s="5" t="n"/>
      <c r="U3174" s="8">
        <f>IF(AND(V3174=1,D3174&lt;&gt;""),IF(D3174&gt;=corte,TODAY()-D3174,""),"")</f>
        <v/>
      </c>
      <c r="V3174" s="8">
        <f>IF(D3174="",0,IF(OR(AND(P3174&lt;&gt;"",S3174=""),AND(N(J3174)&gt;0,N(K3174)&lt;J3174),OR(M3174="PENDENTE",M3174="PARCIAL"),OR(N3174="PENDENTE",N3174="PARCIAL")),1,0))</f>
        <v/>
      </c>
      <c r="W3174" s="8">
        <f>IF(AND(V3174=1,D3174&lt;&gt;""),IF(D3174&gt;=corte,(B3174="CRÍTICO")*1E9+(100000-D3174)*10000+10000-ROW(),""),"")</f>
        <v/>
      </c>
      <c r="X3174" s="8">
        <f>IF(AND(V3174=1,D3174=pas_data,E3174=pas_turno),10000-ROW(),"")</f>
        <v/>
      </c>
    </row>
    <row r="3175">
      <c r="A3175" s="3">
        <f>IF(D3175="","","TT-"&amp;TEXT(ROW()-1,"00000"))</f>
        <v/>
      </c>
      <c r="B3175" s="3">
        <f>IF(D3175="","",IF(V3175=0,"CONCLUÍDO",IF(D3175&lt;corte,"HISTÓRICO",IF(OR(AND(ISNUMBER(R3175),R3175&lt;TODAY()),AND(OR(N3175="PENDENTE",N3175="PARCIAL"),D3175&lt;TODAY()-1)),"CRÍTICO",IF(OR(AND(P3175&lt;&gt;"",S3175=""),AND(N3175="REALIZADO",M3175="PENDENTE"),AND(ISNUMBER(R3175),R3175=TODAY())),"ATENÇÃO",IF(N(K3175)=0,"PENDENTE","EM ANDAMENTO"))))))</f>
        <v/>
      </c>
      <c r="C3175" s="3">
        <f>IF(D3175="","",IF(V3175=0,"🟢 OK",IF(D3175&lt;corte,"⚪ HISTÓRICO (sem baixa)",IF(AND(ISNUMBER(R3175),R3175&lt;TODAY()),"🔴 PRAZO VENCIDO",IF(AND(OR(N3175="PENDENTE",N3175="PARCIAL"),D3175&lt;TODAY()-1),"🔴 EMBARQUE ATRASADO",IF(AND(N3175="REALIZADO",M3175="PENDENTE"),"🟡 EMBARCADO SEM FATURAR",IF(AND(P3175&lt;&gt;"",S3175="",OR(Q3175="",R3175="")),"🟡 PENDÊNCIA SEM RESPONSÁVEL/PRAZO",IF(AND(ISNUMBER(R3175),R3175=TODAY()),"🟡 VENCE HOJE",IF(AND(P3175&lt;&gt;"",S3175=""),"🟡 PENDÊNCIA ABERTA",IF(AND(N(J3175)&gt;0,N(K3175)&lt;J3175),"🟡 FALTA EXECUTAR",IF(OR(M3175="PENDENTE",M3175="PARCIAL"),"🟡 FATURAMENTO PENDENTE","🟡 EMBARQUE PENDENTE")))))))))))</f>
        <v/>
      </c>
      <c r="D3175" s="4" t="n"/>
      <c r="E3175" s="5" t="n"/>
      <c r="F3175" s="5" t="n"/>
      <c r="G3175" s="5" t="n"/>
      <c r="H3175" s="5" t="n"/>
      <c r="I3175" s="5" t="n"/>
      <c r="J3175" s="6" t="n"/>
      <c r="K3175" s="6" t="n"/>
      <c r="L3175" s="7">
        <f>IF(OR(D3175="",N(J3175)=0),"",MIN(1,N(K3175)/J3175))</f>
        <v/>
      </c>
      <c r="M3175" s="5" t="n"/>
      <c r="N3175" s="5" t="n"/>
      <c r="O3175" s="5" t="n"/>
      <c r="P3175" s="5" t="n"/>
      <c r="Q3175" s="5" t="n"/>
      <c r="R3175" s="4" t="n"/>
      <c r="S3175" s="4" t="n"/>
      <c r="T3175" s="5" t="n"/>
      <c r="U3175" s="8">
        <f>IF(AND(V3175=1,D3175&lt;&gt;""),IF(D3175&gt;=corte,TODAY()-D3175,""),"")</f>
        <v/>
      </c>
      <c r="V3175" s="8">
        <f>IF(D3175="",0,IF(OR(AND(P3175&lt;&gt;"",S3175=""),AND(N(J3175)&gt;0,N(K3175)&lt;J3175),OR(M3175="PENDENTE",M3175="PARCIAL"),OR(N3175="PENDENTE",N3175="PARCIAL")),1,0))</f>
        <v/>
      </c>
      <c r="W3175" s="8">
        <f>IF(AND(V3175=1,D3175&lt;&gt;""),IF(D3175&gt;=corte,(B3175="CRÍTICO")*1E9+(100000-D3175)*10000+10000-ROW(),""),"")</f>
        <v/>
      </c>
      <c r="X3175" s="8">
        <f>IF(AND(V3175=1,D3175=pas_data,E3175=pas_turno),10000-ROW(),"")</f>
        <v/>
      </c>
    </row>
    <row r="3176">
      <c r="A3176" s="3">
        <f>IF(D3176="","","TT-"&amp;TEXT(ROW()-1,"00000"))</f>
        <v/>
      </c>
      <c r="B3176" s="3">
        <f>IF(D3176="","",IF(V3176=0,"CONCLUÍDO",IF(D3176&lt;corte,"HISTÓRICO",IF(OR(AND(ISNUMBER(R3176),R3176&lt;TODAY()),AND(OR(N3176="PENDENTE",N3176="PARCIAL"),D3176&lt;TODAY()-1)),"CRÍTICO",IF(OR(AND(P3176&lt;&gt;"",S3176=""),AND(N3176="REALIZADO",M3176="PENDENTE"),AND(ISNUMBER(R3176),R3176=TODAY())),"ATENÇÃO",IF(N(K3176)=0,"PENDENTE","EM ANDAMENTO"))))))</f>
        <v/>
      </c>
      <c r="C3176" s="3">
        <f>IF(D3176="","",IF(V3176=0,"🟢 OK",IF(D3176&lt;corte,"⚪ HISTÓRICO (sem baixa)",IF(AND(ISNUMBER(R3176),R3176&lt;TODAY()),"🔴 PRAZO VENCIDO",IF(AND(OR(N3176="PENDENTE",N3176="PARCIAL"),D3176&lt;TODAY()-1),"🔴 EMBARQUE ATRASADO",IF(AND(N3176="REALIZADO",M3176="PENDENTE"),"🟡 EMBARCADO SEM FATURAR",IF(AND(P3176&lt;&gt;"",S3176="",OR(Q3176="",R3176="")),"🟡 PENDÊNCIA SEM RESPONSÁVEL/PRAZO",IF(AND(ISNUMBER(R3176),R3176=TODAY()),"🟡 VENCE HOJE",IF(AND(P3176&lt;&gt;"",S3176=""),"🟡 PENDÊNCIA ABERTA",IF(AND(N(J3176)&gt;0,N(K3176)&lt;J3176),"🟡 FALTA EXECUTAR",IF(OR(M3176="PENDENTE",M3176="PARCIAL"),"🟡 FATURAMENTO PENDENTE","🟡 EMBARQUE PENDENTE")))))))))))</f>
        <v/>
      </c>
      <c r="D3176" s="4" t="n"/>
      <c r="E3176" s="5" t="n"/>
      <c r="F3176" s="5" t="n"/>
      <c r="G3176" s="5" t="n"/>
      <c r="H3176" s="5" t="n"/>
      <c r="I3176" s="5" t="n"/>
      <c r="J3176" s="6" t="n"/>
      <c r="K3176" s="6" t="n"/>
      <c r="L3176" s="7">
        <f>IF(OR(D3176="",N(J3176)=0),"",MIN(1,N(K3176)/J3176))</f>
        <v/>
      </c>
      <c r="M3176" s="5" t="n"/>
      <c r="N3176" s="5" t="n"/>
      <c r="O3176" s="5" t="n"/>
      <c r="P3176" s="5" t="n"/>
      <c r="Q3176" s="5" t="n"/>
      <c r="R3176" s="4" t="n"/>
      <c r="S3176" s="4" t="n"/>
      <c r="T3176" s="5" t="n"/>
      <c r="U3176" s="8">
        <f>IF(AND(V3176=1,D3176&lt;&gt;""),IF(D3176&gt;=corte,TODAY()-D3176,""),"")</f>
        <v/>
      </c>
      <c r="V3176" s="8">
        <f>IF(D3176="",0,IF(OR(AND(P3176&lt;&gt;"",S3176=""),AND(N(J3176)&gt;0,N(K3176)&lt;J3176),OR(M3176="PENDENTE",M3176="PARCIAL"),OR(N3176="PENDENTE",N3176="PARCIAL")),1,0))</f>
        <v/>
      </c>
      <c r="W3176" s="8">
        <f>IF(AND(V3176=1,D3176&lt;&gt;""),IF(D3176&gt;=corte,(B3176="CRÍTICO")*1E9+(100000-D3176)*10000+10000-ROW(),""),"")</f>
        <v/>
      </c>
      <c r="X3176" s="8">
        <f>IF(AND(V3176=1,D3176=pas_data,E3176=pas_turno),10000-ROW(),"")</f>
        <v/>
      </c>
    </row>
    <row r="3177">
      <c r="A3177" s="3">
        <f>IF(D3177="","","TT-"&amp;TEXT(ROW()-1,"00000"))</f>
        <v/>
      </c>
      <c r="B3177" s="3">
        <f>IF(D3177="","",IF(V3177=0,"CONCLUÍDO",IF(D3177&lt;corte,"HISTÓRICO",IF(OR(AND(ISNUMBER(R3177),R3177&lt;TODAY()),AND(OR(N3177="PENDENTE",N3177="PARCIAL"),D3177&lt;TODAY()-1)),"CRÍTICO",IF(OR(AND(P3177&lt;&gt;"",S3177=""),AND(N3177="REALIZADO",M3177="PENDENTE"),AND(ISNUMBER(R3177),R3177=TODAY())),"ATENÇÃO",IF(N(K3177)=0,"PENDENTE","EM ANDAMENTO"))))))</f>
        <v/>
      </c>
      <c r="C3177" s="3">
        <f>IF(D3177="","",IF(V3177=0,"🟢 OK",IF(D3177&lt;corte,"⚪ HISTÓRICO (sem baixa)",IF(AND(ISNUMBER(R3177),R3177&lt;TODAY()),"🔴 PRAZO VENCIDO",IF(AND(OR(N3177="PENDENTE",N3177="PARCIAL"),D3177&lt;TODAY()-1),"🔴 EMBARQUE ATRASADO",IF(AND(N3177="REALIZADO",M3177="PENDENTE"),"🟡 EMBARCADO SEM FATURAR",IF(AND(P3177&lt;&gt;"",S3177="",OR(Q3177="",R3177="")),"🟡 PENDÊNCIA SEM RESPONSÁVEL/PRAZO",IF(AND(ISNUMBER(R3177),R3177=TODAY()),"🟡 VENCE HOJE",IF(AND(P3177&lt;&gt;"",S3177=""),"🟡 PENDÊNCIA ABERTA",IF(AND(N(J3177)&gt;0,N(K3177)&lt;J3177),"🟡 FALTA EXECUTAR",IF(OR(M3177="PENDENTE",M3177="PARCIAL"),"🟡 FATURAMENTO PENDENTE","🟡 EMBARQUE PENDENTE")))))))))))</f>
        <v/>
      </c>
      <c r="D3177" s="4" t="n"/>
      <c r="E3177" s="5" t="n"/>
      <c r="F3177" s="5" t="n"/>
      <c r="G3177" s="5" t="n"/>
      <c r="H3177" s="5" t="n"/>
      <c r="I3177" s="5" t="n"/>
      <c r="J3177" s="6" t="n"/>
      <c r="K3177" s="6" t="n"/>
      <c r="L3177" s="7">
        <f>IF(OR(D3177="",N(J3177)=0),"",MIN(1,N(K3177)/J3177))</f>
        <v/>
      </c>
      <c r="M3177" s="5" t="n"/>
      <c r="N3177" s="5" t="n"/>
      <c r="O3177" s="5" t="n"/>
      <c r="P3177" s="5" t="n"/>
      <c r="Q3177" s="5" t="n"/>
      <c r="R3177" s="4" t="n"/>
      <c r="S3177" s="4" t="n"/>
      <c r="T3177" s="5" t="n"/>
      <c r="U3177" s="8">
        <f>IF(AND(V3177=1,D3177&lt;&gt;""),IF(D3177&gt;=corte,TODAY()-D3177,""),"")</f>
        <v/>
      </c>
      <c r="V3177" s="8">
        <f>IF(D3177="",0,IF(OR(AND(P3177&lt;&gt;"",S3177=""),AND(N(J3177)&gt;0,N(K3177)&lt;J3177),OR(M3177="PENDENTE",M3177="PARCIAL"),OR(N3177="PENDENTE",N3177="PARCIAL")),1,0))</f>
        <v/>
      </c>
      <c r="W3177" s="8">
        <f>IF(AND(V3177=1,D3177&lt;&gt;""),IF(D3177&gt;=corte,(B3177="CRÍTICO")*1E9+(100000-D3177)*10000+10000-ROW(),""),"")</f>
        <v/>
      </c>
      <c r="X3177" s="8">
        <f>IF(AND(V3177=1,D3177=pas_data,E3177=pas_turno),10000-ROW(),"")</f>
        <v/>
      </c>
    </row>
    <row r="3178">
      <c r="A3178" s="3">
        <f>IF(D3178="","","TT-"&amp;TEXT(ROW()-1,"00000"))</f>
        <v/>
      </c>
      <c r="B3178" s="3">
        <f>IF(D3178="","",IF(V3178=0,"CONCLUÍDO",IF(D3178&lt;corte,"HISTÓRICO",IF(OR(AND(ISNUMBER(R3178),R3178&lt;TODAY()),AND(OR(N3178="PENDENTE",N3178="PARCIAL"),D3178&lt;TODAY()-1)),"CRÍTICO",IF(OR(AND(P3178&lt;&gt;"",S3178=""),AND(N3178="REALIZADO",M3178="PENDENTE"),AND(ISNUMBER(R3178),R3178=TODAY())),"ATENÇÃO",IF(N(K3178)=0,"PENDENTE","EM ANDAMENTO"))))))</f>
        <v/>
      </c>
      <c r="C3178" s="3">
        <f>IF(D3178="","",IF(V3178=0,"🟢 OK",IF(D3178&lt;corte,"⚪ HISTÓRICO (sem baixa)",IF(AND(ISNUMBER(R3178),R3178&lt;TODAY()),"🔴 PRAZO VENCIDO",IF(AND(OR(N3178="PENDENTE",N3178="PARCIAL"),D3178&lt;TODAY()-1),"🔴 EMBARQUE ATRASADO",IF(AND(N3178="REALIZADO",M3178="PENDENTE"),"🟡 EMBARCADO SEM FATURAR",IF(AND(P3178&lt;&gt;"",S3178="",OR(Q3178="",R3178="")),"🟡 PENDÊNCIA SEM RESPONSÁVEL/PRAZO",IF(AND(ISNUMBER(R3178),R3178=TODAY()),"🟡 VENCE HOJE",IF(AND(P3178&lt;&gt;"",S3178=""),"🟡 PENDÊNCIA ABERTA",IF(AND(N(J3178)&gt;0,N(K3178)&lt;J3178),"🟡 FALTA EXECUTAR",IF(OR(M3178="PENDENTE",M3178="PARCIAL"),"🟡 FATURAMENTO PENDENTE","🟡 EMBARQUE PENDENTE")))))))))))</f>
        <v/>
      </c>
      <c r="D3178" s="4" t="n"/>
      <c r="E3178" s="5" t="n"/>
      <c r="F3178" s="5" t="n"/>
      <c r="G3178" s="5" t="n"/>
      <c r="H3178" s="5" t="n"/>
      <c r="I3178" s="5" t="n"/>
      <c r="J3178" s="6" t="n"/>
      <c r="K3178" s="6" t="n"/>
      <c r="L3178" s="7">
        <f>IF(OR(D3178="",N(J3178)=0),"",MIN(1,N(K3178)/J3178))</f>
        <v/>
      </c>
      <c r="M3178" s="5" t="n"/>
      <c r="N3178" s="5" t="n"/>
      <c r="O3178" s="5" t="n"/>
      <c r="P3178" s="5" t="n"/>
      <c r="Q3178" s="5" t="n"/>
      <c r="R3178" s="4" t="n"/>
      <c r="S3178" s="4" t="n"/>
      <c r="T3178" s="5" t="n"/>
      <c r="U3178" s="8">
        <f>IF(AND(V3178=1,D3178&lt;&gt;""),IF(D3178&gt;=corte,TODAY()-D3178,""),"")</f>
        <v/>
      </c>
      <c r="V3178" s="8">
        <f>IF(D3178="",0,IF(OR(AND(P3178&lt;&gt;"",S3178=""),AND(N(J3178)&gt;0,N(K3178)&lt;J3178),OR(M3178="PENDENTE",M3178="PARCIAL"),OR(N3178="PENDENTE",N3178="PARCIAL")),1,0))</f>
        <v/>
      </c>
      <c r="W3178" s="8">
        <f>IF(AND(V3178=1,D3178&lt;&gt;""),IF(D3178&gt;=corte,(B3178="CRÍTICO")*1E9+(100000-D3178)*10000+10000-ROW(),""),"")</f>
        <v/>
      </c>
      <c r="X3178" s="8">
        <f>IF(AND(V3178=1,D3178=pas_data,E3178=pas_turno),10000-ROW(),"")</f>
        <v/>
      </c>
    </row>
    <row r="3179">
      <c r="A3179" s="3">
        <f>IF(D3179="","","TT-"&amp;TEXT(ROW()-1,"00000"))</f>
        <v/>
      </c>
      <c r="B3179" s="3">
        <f>IF(D3179="","",IF(V3179=0,"CONCLUÍDO",IF(D3179&lt;corte,"HISTÓRICO",IF(OR(AND(ISNUMBER(R3179),R3179&lt;TODAY()),AND(OR(N3179="PENDENTE",N3179="PARCIAL"),D3179&lt;TODAY()-1)),"CRÍTICO",IF(OR(AND(P3179&lt;&gt;"",S3179=""),AND(N3179="REALIZADO",M3179="PENDENTE"),AND(ISNUMBER(R3179),R3179=TODAY())),"ATENÇÃO",IF(N(K3179)=0,"PENDENTE","EM ANDAMENTO"))))))</f>
        <v/>
      </c>
      <c r="C3179" s="3">
        <f>IF(D3179="","",IF(V3179=0,"🟢 OK",IF(D3179&lt;corte,"⚪ HISTÓRICO (sem baixa)",IF(AND(ISNUMBER(R3179),R3179&lt;TODAY()),"🔴 PRAZO VENCIDO",IF(AND(OR(N3179="PENDENTE",N3179="PARCIAL"),D3179&lt;TODAY()-1),"🔴 EMBARQUE ATRASADO",IF(AND(N3179="REALIZADO",M3179="PENDENTE"),"🟡 EMBARCADO SEM FATURAR",IF(AND(P3179&lt;&gt;"",S3179="",OR(Q3179="",R3179="")),"🟡 PENDÊNCIA SEM RESPONSÁVEL/PRAZO",IF(AND(ISNUMBER(R3179),R3179=TODAY()),"🟡 VENCE HOJE",IF(AND(P3179&lt;&gt;"",S3179=""),"🟡 PENDÊNCIA ABERTA",IF(AND(N(J3179)&gt;0,N(K3179)&lt;J3179),"🟡 FALTA EXECUTAR",IF(OR(M3179="PENDENTE",M3179="PARCIAL"),"🟡 FATURAMENTO PENDENTE","🟡 EMBARQUE PENDENTE")))))))))))</f>
        <v/>
      </c>
      <c r="D3179" s="4" t="n"/>
      <c r="E3179" s="5" t="n"/>
      <c r="F3179" s="5" t="n"/>
      <c r="G3179" s="5" t="n"/>
      <c r="H3179" s="5" t="n"/>
      <c r="I3179" s="5" t="n"/>
      <c r="J3179" s="6" t="n"/>
      <c r="K3179" s="6" t="n"/>
      <c r="L3179" s="7">
        <f>IF(OR(D3179="",N(J3179)=0),"",MIN(1,N(K3179)/J3179))</f>
        <v/>
      </c>
      <c r="M3179" s="5" t="n"/>
      <c r="N3179" s="5" t="n"/>
      <c r="O3179" s="5" t="n"/>
      <c r="P3179" s="5" t="n"/>
      <c r="Q3179" s="5" t="n"/>
      <c r="R3179" s="4" t="n"/>
      <c r="S3179" s="4" t="n"/>
      <c r="T3179" s="5" t="n"/>
      <c r="U3179" s="8">
        <f>IF(AND(V3179=1,D3179&lt;&gt;""),IF(D3179&gt;=corte,TODAY()-D3179,""),"")</f>
        <v/>
      </c>
      <c r="V3179" s="8">
        <f>IF(D3179="",0,IF(OR(AND(P3179&lt;&gt;"",S3179=""),AND(N(J3179)&gt;0,N(K3179)&lt;J3179),OR(M3179="PENDENTE",M3179="PARCIAL"),OR(N3179="PENDENTE",N3179="PARCIAL")),1,0))</f>
        <v/>
      </c>
      <c r="W3179" s="8">
        <f>IF(AND(V3179=1,D3179&lt;&gt;""),IF(D3179&gt;=corte,(B3179="CRÍTICO")*1E9+(100000-D3179)*10000+10000-ROW(),""),"")</f>
        <v/>
      </c>
      <c r="X3179" s="8">
        <f>IF(AND(V3179=1,D3179=pas_data,E3179=pas_turno),10000-ROW(),"")</f>
        <v/>
      </c>
    </row>
    <row r="3180">
      <c r="A3180" s="3">
        <f>IF(D3180="","","TT-"&amp;TEXT(ROW()-1,"00000"))</f>
        <v/>
      </c>
      <c r="B3180" s="3">
        <f>IF(D3180="","",IF(V3180=0,"CONCLUÍDO",IF(D3180&lt;corte,"HISTÓRICO",IF(OR(AND(ISNUMBER(R3180),R3180&lt;TODAY()),AND(OR(N3180="PENDENTE",N3180="PARCIAL"),D3180&lt;TODAY()-1)),"CRÍTICO",IF(OR(AND(P3180&lt;&gt;"",S3180=""),AND(N3180="REALIZADO",M3180="PENDENTE"),AND(ISNUMBER(R3180),R3180=TODAY())),"ATENÇÃO",IF(N(K3180)=0,"PENDENTE","EM ANDAMENTO"))))))</f>
        <v/>
      </c>
      <c r="C3180" s="3">
        <f>IF(D3180="","",IF(V3180=0,"🟢 OK",IF(D3180&lt;corte,"⚪ HISTÓRICO (sem baixa)",IF(AND(ISNUMBER(R3180),R3180&lt;TODAY()),"🔴 PRAZO VENCIDO",IF(AND(OR(N3180="PENDENTE",N3180="PARCIAL"),D3180&lt;TODAY()-1),"🔴 EMBARQUE ATRASADO",IF(AND(N3180="REALIZADO",M3180="PENDENTE"),"🟡 EMBARCADO SEM FATURAR",IF(AND(P3180&lt;&gt;"",S3180="",OR(Q3180="",R3180="")),"🟡 PENDÊNCIA SEM RESPONSÁVEL/PRAZO",IF(AND(ISNUMBER(R3180),R3180=TODAY()),"🟡 VENCE HOJE",IF(AND(P3180&lt;&gt;"",S3180=""),"🟡 PENDÊNCIA ABERTA",IF(AND(N(J3180)&gt;0,N(K3180)&lt;J3180),"🟡 FALTA EXECUTAR",IF(OR(M3180="PENDENTE",M3180="PARCIAL"),"🟡 FATURAMENTO PENDENTE","🟡 EMBARQUE PENDENTE")))))))))))</f>
        <v/>
      </c>
      <c r="D3180" s="4" t="n"/>
      <c r="E3180" s="5" t="n"/>
      <c r="F3180" s="5" t="n"/>
      <c r="G3180" s="5" t="n"/>
      <c r="H3180" s="5" t="n"/>
      <c r="I3180" s="5" t="n"/>
      <c r="J3180" s="6" t="n"/>
      <c r="K3180" s="6" t="n"/>
      <c r="L3180" s="7">
        <f>IF(OR(D3180="",N(J3180)=0),"",MIN(1,N(K3180)/J3180))</f>
        <v/>
      </c>
      <c r="M3180" s="5" t="n"/>
      <c r="N3180" s="5" t="n"/>
      <c r="O3180" s="5" t="n"/>
      <c r="P3180" s="5" t="n"/>
      <c r="Q3180" s="5" t="n"/>
      <c r="R3180" s="4" t="n"/>
      <c r="S3180" s="4" t="n"/>
      <c r="T3180" s="5" t="n"/>
      <c r="U3180" s="8">
        <f>IF(AND(V3180=1,D3180&lt;&gt;""),IF(D3180&gt;=corte,TODAY()-D3180,""),"")</f>
        <v/>
      </c>
      <c r="V3180" s="8">
        <f>IF(D3180="",0,IF(OR(AND(P3180&lt;&gt;"",S3180=""),AND(N(J3180)&gt;0,N(K3180)&lt;J3180),OR(M3180="PENDENTE",M3180="PARCIAL"),OR(N3180="PENDENTE",N3180="PARCIAL")),1,0))</f>
        <v/>
      </c>
      <c r="W3180" s="8">
        <f>IF(AND(V3180=1,D3180&lt;&gt;""),IF(D3180&gt;=corte,(B3180="CRÍTICO")*1E9+(100000-D3180)*10000+10000-ROW(),""),"")</f>
        <v/>
      </c>
      <c r="X3180" s="8">
        <f>IF(AND(V3180=1,D3180=pas_data,E3180=pas_turno),10000-ROW(),"")</f>
        <v/>
      </c>
    </row>
    <row r="3181">
      <c r="A3181" s="3">
        <f>IF(D3181="","","TT-"&amp;TEXT(ROW()-1,"00000"))</f>
        <v/>
      </c>
      <c r="B3181" s="3">
        <f>IF(D3181="","",IF(V3181=0,"CONCLUÍDO",IF(D3181&lt;corte,"HISTÓRICO",IF(OR(AND(ISNUMBER(R3181),R3181&lt;TODAY()),AND(OR(N3181="PENDENTE",N3181="PARCIAL"),D3181&lt;TODAY()-1)),"CRÍTICO",IF(OR(AND(P3181&lt;&gt;"",S3181=""),AND(N3181="REALIZADO",M3181="PENDENTE"),AND(ISNUMBER(R3181),R3181=TODAY())),"ATENÇÃO",IF(N(K3181)=0,"PENDENTE","EM ANDAMENTO"))))))</f>
        <v/>
      </c>
      <c r="C3181" s="3">
        <f>IF(D3181="","",IF(V3181=0,"🟢 OK",IF(D3181&lt;corte,"⚪ HISTÓRICO (sem baixa)",IF(AND(ISNUMBER(R3181),R3181&lt;TODAY()),"🔴 PRAZO VENCIDO",IF(AND(OR(N3181="PENDENTE",N3181="PARCIAL"),D3181&lt;TODAY()-1),"🔴 EMBARQUE ATRASADO",IF(AND(N3181="REALIZADO",M3181="PENDENTE"),"🟡 EMBARCADO SEM FATURAR",IF(AND(P3181&lt;&gt;"",S3181="",OR(Q3181="",R3181="")),"🟡 PENDÊNCIA SEM RESPONSÁVEL/PRAZO",IF(AND(ISNUMBER(R3181),R3181=TODAY()),"🟡 VENCE HOJE",IF(AND(P3181&lt;&gt;"",S3181=""),"🟡 PENDÊNCIA ABERTA",IF(AND(N(J3181)&gt;0,N(K3181)&lt;J3181),"🟡 FALTA EXECUTAR",IF(OR(M3181="PENDENTE",M3181="PARCIAL"),"🟡 FATURAMENTO PENDENTE","🟡 EMBARQUE PENDENTE")))))))))))</f>
        <v/>
      </c>
      <c r="D3181" s="4" t="n"/>
      <c r="E3181" s="5" t="n"/>
      <c r="F3181" s="5" t="n"/>
      <c r="G3181" s="5" t="n"/>
      <c r="H3181" s="5" t="n"/>
      <c r="I3181" s="5" t="n"/>
      <c r="J3181" s="6" t="n"/>
      <c r="K3181" s="6" t="n"/>
      <c r="L3181" s="7">
        <f>IF(OR(D3181="",N(J3181)=0),"",MIN(1,N(K3181)/J3181))</f>
        <v/>
      </c>
      <c r="M3181" s="5" t="n"/>
      <c r="N3181" s="5" t="n"/>
      <c r="O3181" s="5" t="n"/>
      <c r="P3181" s="5" t="n"/>
      <c r="Q3181" s="5" t="n"/>
      <c r="R3181" s="4" t="n"/>
      <c r="S3181" s="4" t="n"/>
      <c r="T3181" s="5" t="n"/>
      <c r="U3181" s="8">
        <f>IF(AND(V3181=1,D3181&lt;&gt;""),IF(D3181&gt;=corte,TODAY()-D3181,""),"")</f>
        <v/>
      </c>
      <c r="V3181" s="8">
        <f>IF(D3181="",0,IF(OR(AND(P3181&lt;&gt;"",S3181=""),AND(N(J3181)&gt;0,N(K3181)&lt;J3181),OR(M3181="PENDENTE",M3181="PARCIAL"),OR(N3181="PENDENTE",N3181="PARCIAL")),1,0))</f>
        <v/>
      </c>
      <c r="W3181" s="8">
        <f>IF(AND(V3181=1,D3181&lt;&gt;""),IF(D3181&gt;=corte,(B3181="CRÍTICO")*1E9+(100000-D3181)*10000+10000-ROW(),""),"")</f>
        <v/>
      </c>
      <c r="X3181" s="8">
        <f>IF(AND(V3181=1,D3181=pas_data,E3181=pas_turno),10000-ROW(),"")</f>
        <v/>
      </c>
    </row>
    <row r="3182">
      <c r="A3182" s="3">
        <f>IF(D3182="","","TT-"&amp;TEXT(ROW()-1,"00000"))</f>
        <v/>
      </c>
      <c r="B3182" s="3">
        <f>IF(D3182="","",IF(V3182=0,"CONCLUÍDO",IF(D3182&lt;corte,"HISTÓRICO",IF(OR(AND(ISNUMBER(R3182),R3182&lt;TODAY()),AND(OR(N3182="PENDENTE",N3182="PARCIAL"),D3182&lt;TODAY()-1)),"CRÍTICO",IF(OR(AND(P3182&lt;&gt;"",S3182=""),AND(N3182="REALIZADO",M3182="PENDENTE"),AND(ISNUMBER(R3182),R3182=TODAY())),"ATENÇÃO",IF(N(K3182)=0,"PENDENTE","EM ANDAMENTO"))))))</f>
        <v/>
      </c>
      <c r="C3182" s="3">
        <f>IF(D3182="","",IF(V3182=0,"🟢 OK",IF(D3182&lt;corte,"⚪ HISTÓRICO (sem baixa)",IF(AND(ISNUMBER(R3182),R3182&lt;TODAY()),"🔴 PRAZO VENCIDO",IF(AND(OR(N3182="PENDENTE",N3182="PARCIAL"),D3182&lt;TODAY()-1),"🔴 EMBARQUE ATRASADO",IF(AND(N3182="REALIZADO",M3182="PENDENTE"),"🟡 EMBARCADO SEM FATURAR",IF(AND(P3182&lt;&gt;"",S3182="",OR(Q3182="",R3182="")),"🟡 PENDÊNCIA SEM RESPONSÁVEL/PRAZO",IF(AND(ISNUMBER(R3182),R3182=TODAY()),"🟡 VENCE HOJE",IF(AND(P3182&lt;&gt;"",S3182=""),"🟡 PENDÊNCIA ABERTA",IF(AND(N(J3182)&gt;0,N(K3182)&lt;J3182),"🟡 FALTA EXECUTAR",IF(OR(M3182="PENDENTE",M3182="PARCIAL"),"🟡 FATURAMENTO PENDENTE","🟡 EMBARQUE PENDENTE")))))))))))</f>
        <v/>
      </c>
      <c r="D3182" s="4" t="n"/>
      <c r="E3182" s="5" t="n"/>
      <c r="F3182" s="5" t="n"/>
      <c r="G3182" s="5" t="n"/>
      <c r="H3182" s="5" t="n"/>
      <c r="I3182" s="5" t="n"/>
      <c r="J3182" s="6" t="n"/>
      <c r="K3182" s="6" t="n"/>
      <c r="L3182" s="7">
        <f>IF(OR(D3182="",N(J3182)=0),"",MIN(1,N(K3182)/J3182))</f>
        <v/>
      </c>
      <c r="M3182" s="5" t="n"/>
      <c r="N3182" s="5" t="n"/>
      <c r="O3182" s="5" t="n"/>
      <c r="P3182" s="5" t="n"/>
      <c r="Q3182" s="5" t="n"/>
      <c r="R3182" s="4" t="n"/>
      <c r="S3182" s="4" t="n"/>
      <c r="T3182" s="5" t="n"/>
      <c r="U3182" s="8">
        <f>IF(AND(V3182=1,D3182&lt;&gt;""),IF(D3182&gt;=corte,TODAY()-D3182,""),"")</f>
        <v/>
      </c>
      <c r="V3182" s="8">
        <f>IF(D3182="",0,IF(OR(AND(P3182&lt;&gt;"",S3182=""),AND(N(J3182)&gt;0,N(K3182)&lt;J3182),OR(M3182="PENDENTE",M3182="PARCIAL"),OR(N3182="PENDENTE",N3182="PARCIAL")),1,0))</f>
        <v/>
      </c>
      <c r="W3182" s="8">
        <f>IF(AND(V3182=1,D3182&lt;&gt;""),IF(D3182&gt;=corte,(B3182="CRÍTICO")*1E9+(100000-D3182)*10000+10000-ROW(),""),"")</f>
        <v/>
      </c>
      <c r="X3182" s="8">
        <f>IF(AND(V3182=1,D3182=pas_data,E3182=pas_turno),10000-ROW(),"")</f>
        <v/>
      </c>
    </row>
    <row r="3183">
      <c r="A3183" s="3">
        <f>IF(D3183="","","TT-"&amp;TEXT(ROW()-1,"00000"))</f>
        <v/>
      </c>
      <c r="B3183" s="3">
        <f>IF(D3183="","",IF(V3183=0,"CONCLUÍDO",IF(D3183&lt;corte,"HISTÓRICO",IF(OR(AND(ISNUMBER(R3183),R3183&lt;TODAY()),AND(OR(N3183="PENDENTE",N3183="PARCIAL"),D3183&lt;TODAY()-1)),"CRÍTICO",IF(OR(AND(P3183&lt;&gt;"",S3183=""),AND(N3183="REALIZADO",M3183="PENDENTE"),AND(ISNUMBER(R3183),R3183=TODAY())),"ATENÇÃO",IF(N(K3183)=0,"PENDENTE","EM ANDAMENTO"))))))</f>
        <v/>
      </c>
      <c r="C3183" s="3">
        <f>IF(D3183="","",IF(V3183=0,"🟢 OK",IF(D3183&lt;corte,"⚪ HISTÓRICO (sem baixa)",IF(AND(ISNUMBER(R3183),R3183&lt;TODAY()),"🔴 PRAZO VENCIDO",IF(AND(OR(N3183="PENDENTE",N3183="PARCIAL"),D3183&lt;TODAY()-1),"🔴 EMBARQUE ATRASADO",IF(AND(N3183="REALIZADO",M3183="PENDENTE"),"🟡 EMBARCADO SEM FATURAR",IF(AND(P3183&lt;&gt;"",S3183="",OR(Q3183="",R3183="")),"🟡 PENDÊNCIA SEM RESPONSÁVEL/PRAZO",IF(AND(ISNUMBER(R3183),R3183=TODAY()),"🟡 VENCE HOJE",IF(AND(P3183&lt;&gt;"",S3183=""),"🟡 PENDÊNCIA ABERTA",IF(AND(N(J3183)&gt;0,N(K3183)&lt;J3183),"🟡 FALTA EXECUTAR",IF(OR(M3183="PENDENTE",M3183="PARCIAL"),"🟡 FATURAMENTO PENDENTE","🟡 EMBARQUE PENDENTE")))))))))))</f>
        <v/>
      </c>
      <c r="D3183" s="4" t="n"/>
      <c r="E3183" s="5" t="n"/>
      <c r="F3183" s="5" t="n"/>
      <c r="G3183" s="5" t="n"/>
      <c r="H3183" s="5" t="n"/>
      <c r="I3183" s="5" t="n"/>
      <c r="J3183" s="6" t="n"/>
      <c r="K3183" s="6" t="n"/>
      <c r="L3183" s="7">
        <f>IF(OR(D3183="",N(J3183)=0),"",MIN(1,N(K3183)/J3183))</f>
        <v/>
      </c>
      <c r="M3183" s="5" t="n"/>
      <c r="N3183" s="5" t="n"/>
      <c r="O3183" s="5" t="n"/>
      <c r="P3183" s="5" t="n"/>
      <c r="Q3183" s="5" t="n"/>
      <c r="R3183" s="4" t="n"/>
      <c r="S3183" s="4" t="n"/>
      <c r="T3183" s="5" t="n"/>
      <c r="U3183" s="8">
        <f>IF(AND(V3183=1,D3183&lt;&gt;""),IF(D3183&gt;=corte,TODAY()-D3183,""),"")</f>
        <v/>
      </c>
      <c r="V3183" s="8">
        <f>IF(D3183="",0,IF(OR(AND(P3183&lt;&gt;"",S3183=""),AND(N(J3183)&gt;0,N(K3183)&lt;J3183),OR(M3183="PENDENTE",M3183="PARCIAL"),OR(N3183="PENDENTE",N3183="PARCIAL")),1,0))</f>
        <v/>
      </c>
      <c r="W3183" s="8">
        <f>IF(AND(V3183=1,D3183&lt;&gt;""),IF(D3183&gt;=corte,(B3183="CRÍTICO")*1E9+(100000-D3183)*10000+10000-ROW(),""),"")</f>
        <v/>
      </c>
      <c r="X3183" s="8">
        <f>IF(AND(V3183=1,D3183=pas_data,E3183=pas_turno),10000-ROW(),"")</f>
        <v/>
      </c>
    </row>
    <row r="3184">
      <c r="A3184" s="3">
        <f>IF(D3184="","","TT-"&amp;TEXT(ROW()-1,"00000"))</f>
        <v/>
      </c>
      <c r="B3184" s="3">
        <f>IF(D3184="","",IF(V3184=0,"CONCLUÍDO",IF(D3184&lt;corte,"HISTÓRICO",IF(OR(AND(ISNUMBER(R3184),R3184&lt;TODAY()),AND(OR(N3184="PENDENTE",N3184="PARCIAL"),D3184&lt;TODAY()-1)),"CRÍTICO",IF(OR(AND(P3184&lt;&gt;"",S3184=""),AND(N3184="REALIZADO",M3184="PENDENTE"),AND(ISNUMBER(R3184),R3184=TODAY())),"ATENÇÃO",IF(N(K3184)=0,"PENDENTE","EM ANDAMENTO"))))))</f>
        <v/>
      </c>
      <c r="C3184" s="3">
        <f>IF(D3184="","",IF(V3184=0,"🟢 OK",IF(D3184&lt;corte,"⚪ HISTÓRICO (sem baixa)",IF(AND(ISNUMBER(R3184),R3184&lt;TODAY()),"🔴 PRAZO VENCIDO",IF(AND(OR(N3184="PENDENTE",N3184="PARCIAL"),D3184&lt;TODAY()-1),"🔴 EMBARQUE ATRASADO",IF(AND(N3184="REALIZADO",M3184="PENDENTE"),"🟡 EMBARCADO SEM FATURAR",IF(AND(P3184&lt;&gt;"",S3184="",OR(Q3184="",R3184="")),"🟡 PENDÊNCIA SEM RESPONSÁVEL/PRAZO",IF(AND(ISNUMBER(R3184),R3184=TODAY()),"🟡 VENCE HOJE",IF(AND(P3184&lt;&gt;"",S3184=""),"🟡 PENDÊNCIA ABERTA",IF(AND(N(J3184)&gt;0,N(K3184)&lt;J3184),"🟡 FALTA EXECUTAR",IF(OR(M3184="PENDENTE",M3184="PARCIAL"),"🟡 FATURAMENTO PENDENTE","🟡 EMBARQUE PENDENTE")))))))))))</f>
        <v/>
      </c>
      <c r="D3184" s="4" t="n"/>
      <c r="E3184" s="5" t="n"/>
      <c r="F3184" s="5" t="n"/>
      <c r="G3184" s="5" t="n"/>
      <c r="H3184" s="5" t="n"/>
      <c r="I3184" s="5" t="n"/>
      <c r="J3184" s="6" t="n"/>
      <c r="K3184" s="6" t="n"/>
      <c r="L3184" s="7">
        <f>IF(OR(D3184="",N(J3184)=0),"",MIN(1,N(K3184)/J3184))</f>
        <v/>
      </c>
      <c r="M3184" s="5" t="n"/>
      <c r="N3184" s="5" t="n"/>
      <c r="O3184" s="5" t="n"/>
      <c r="P3184" s="5" t="n"/>
      <c r="Q3184" s="5" t="n"/>
      <c r="R3184" s="4" t="n"/>
      <c r="S3184" s="4" t="n"/>
      <c r="T3184" s="5" t="n"/>
      <c r="U3184" s="8">
        <f>IF(AND(V3184=1,D3184&lt;&gt;""),IF(D3184&gt;=corte,TODAY()-D3184,""),"")</f>
        <v/>
      </c>
      <c r="V3184" s="8">
        <f>IF(D3184="",0,IF(OR(AND(P3184&lt;&gt;"",S3184=""),AND(N(J3184)&gt;0,N(K3184)&lt;J3184),OR(M3184="PENDENTE",M3184="PARCIAL"),OR(N3184="PENDENTE",N3184="PARCIAL")),1,0))</f>
        <v/>
      </c>
      <c r="W3184" s="8">
        <f>IF(AND(V3184=1,D3184&lt;&gt;""),IF(D3184&gt;=corte,(B3184="CRÍTICO")*1E9+(100000-D3184)*10000+10000-ROW(),""),"")</f>
        <v/>
      </c>
      <c r="X3184" s="8">
        <f>IF(AND(V3184=1,D3184=pas_data,E3184=pas_turno),10000-ROW(),"")</f>
        <v/>
      </c>
    </row>
    <row r="3185">
      <c r="A3185" s="3">
        <f>IF(D3185="","","TT-"&amp;TEXT(ROW()-1,"00000"))</f>
        <v/>
      </c>
      <c r="B3185" s="3">
        <f>IF(D3185="","",IF(V3185=0,"CONCLUÍDO",IF(D3185&lt;corte,"HISTÓRICO",IF(OR(AND(ISNUMBER(R3185),R3185&lt;TODAY()),AND(OR(N3185="PENDENTE",N3185="PARCIAL"),D3185&lt;TODAY()-1)),"CRÍTICO",IF(OR(AND(P3185&lt;&gt;"",S3185=""),AND(N3185="REALIZADO",M3185="PENDENTE"),AND(ISNUMBER(R3185),R3185=TODAY())),"ATENÇÃO",IF(N(K3185)=0,"PENDENTE","EM ANDAMENTO"))))))</f>
        <v/>
      </c>
      <c r="C3185" s="3">
        <f>IF(D3185="","",IF(V3185=0,"🟢 OK",IF(D3185&lt;corte,"⚪ HISTÓRICO (sem baixa)",IF(AND(ISNUMBER(R3185),R3185&lt;TODAY()),"🔴 PRAZO VENCIDO",IF(AND(OR(N3185="PENDENTE",N3185="PARCIAL"),D3185&lt;TODAY()-1),"🔴 EMBARQUE ATRASADO",IF(AND(N3185="REALIZADO",M3185="PENDENTE"),"🟡 EMBARCADO SEM FATURAR",IF(AND(P3185&lt;&gt;"",S3185="",OR(Q3185="",R3185="")),"🟡 PENDÊNCIA SEM RESPONSÁVEL/PRAZO",IF(AND(ISNUMBER(R3185),R3185=TODAY()),"🟡 VENCE HOJE",IF(AND(P3185&lt;&gt;"",S3185=""),"🟡 PENDÊNCIA ABERTA",IF(AND(N(J3185)&gt;0,N(K3185)&lt;J3185),"🟡 FALTA EXECUTAR",IF(OR(M3185="PENDENTE",M3185="PARCIAL"),"🟡 FATURAMENTO PENDENTE","🟡 EMBARQUE PENDENTE")))))))))))</f>
        <v/>
      </c>
      <c r="D3185" s="4" t="n"/>
      <c r="E3185" s="5" t="n"/>
      <c r="F3185" s="5" t="n"/>
      <c r="G3185" s="5" t="n"/>
      <c r="H3185" s="5" t="n"/>
      <c r="I3185" s="5" t="n"/>
      <c r="J3185" s="6" t="n"/>
      <c r="K3185" s="6" t="n"/>
      <c r="L3185" s="7">
        <f>IF(OR(D3185="",N(J3185)=0),"",MIN(1,N(K3185)/J3185))</f>
        <v/>
      </c>
      <c r="M3185" s="5" t="n"/>
      <c r="N3185" s="5" t="n"/>
      <c r="O3185" s="5" t="n"/>
      <c r="P3185" s="5" t="n"/>
      <c r="Q3185" s="5" t="n"/>
      <c r="R3185" s="4" t="n"/>
      <c r="S3185" s="4" t="n"/>
      <c r="T3185" s="5" t="n"/>
      <c r="U3185" s="8">
        <f>IF(AND(V3185=1,D3185&lt;&gt;""),IF(D3185&gt;=corte,TODAY()-D3185,""),"")</f>
        <v/>
      </c>
      <c r="V3185" s="8">
        <f>IF(D3185="",0,IF(OR(AND(P3185&lt;&gt;"",S3185=""),AND(N(J3185)&gt;0,N(K3185)&lt;J3185),OR(M3185="PENDENTE",M3185="PARCIAL"),OR(N3185="PENDENTE",N3185="PARCIAL")),1,0))</f>
        <v/>
      </c>
      <c r="W3185" s="8">
        <f>IF(AND(V3185=1,D3185&lt;&gt;""),IF(D3185&gt;=corte,(B3185="CRÍTICO")*1E9+(100000-D3185)*10000+10000-ROW(),""),"")</f>
        <v/>
      </c>
      <c r="X3185" s="8">
        <f>IF(AND(V3185=1,D3185=pas_data,E3185=pas_turno),10000-ROW(),"")</f>
        <v/>
      </c>
    </row>
    <row r="3186">
      <c r="A3186" s="3">
        <f>IF(D3186="","","TT-"&amp;TEXT(ROW()-1,"00000"))</f>
        <v/>
      </c>
      <c r="B3186" s="3">
        <f>IF(D3186="","",IF(V3186=0,"CONCLUÍDO",IF(D3186&lt;corte,"HISTÓRICO",IF(OR(AND(ISNUMBER(R3186),R3186&lt;TODAY()),AND(OR(N3186="PENDENTE",N3186="PARCIAL"),D3186&lt;TODAY()-1)),"CRÍTICO",IF(OR(AND(P3186&lt;&gt;"",S3186=""),AND(N3186="REALIZADO",M3186="PENDENTE"),AND(ISNUMBER(R3186),R3186=TODAY())),"ATENÇÃO",IF(N(K3186)=0,"PENDENTE","EM ANDAMENTO"))))))</f>
        <v/>
      </c>
      <c r="C3186" s="3">
        <f>IF(D3186="","",IF(V3186=0,"🟢 OK",IF(D3186&lt;corte,"⚪ HISTÓRICO (sem baixa)",IF(AND(ISNUMBER(R3186),R3186&lt;TODAY()),"🔴 PRAZO VENCIDO",IF(AND(OR(N3186="PENDENTE",N3186="PARCIAL"),D3186&lt;TODAY()-1),"🔴 EMBARQUE ATRASADO",IF(AND(N3186="REALIZADO",M3186="PENDENTE"),"🟡 EMBARCADO SEM FATURAR",IF(AND(P3186&lt;&gt;"",S3186="",OR(Q3186="",R3186="")),"🟡 PENDÊNCIA SEM RESPONSÁVEL/PRAZO",IF(AND(ISNUMBER(R3186),R3186=TODAY()),"🟡 VENCE HOJE",IF(AND(P3186&lt;&gt;"",S3186=""),"🟡 PENDÊNCIA ABERTA",IF(AND(N(J3186)&gt;0,N(K3186)&lt;J3186),"🟡 FALTA EXECUTAR",IF(OR(M3186="PENDENTE",M3186="PARCIAL"),"🟡 FATURAMENTO PENDENTE","🟡 EMBARQUE PENDENTE")))))))))))</f>
        <v/>
      </c>
      <c r="D3186" s="4" t="n"/>
      <c r="E3186" s="5" t="n"/>
      <c r="F3186" s="5" t="n"/>
      <c r="G3186" s="5" t="n"/>
      <c r="H3186" s="5" t="n"/>
      <c r="I3186" s="5" t="n"/>
      <c r="J3186" s="6" t="n"/>
      <c r="K3186" s="6" t="n"/>
      <c r="L3186" s="7">
        <f>IF(OR(D3186="",N(J3186)=0),"",MIN(1,N(K3186)/J3186))</f>
        <v/>
      </c>
      <c r="M3186" s="5" t="n"/>
      <c r="N3186" s="5" t="n"/>
      <c r="O3186" s="5" t="n"/>
      <c r="P3186" s="5" t="n"/>
      <c r="Q3186" s="5" t="n"/>
      <c r="R3186" s="4" t="n"/>
      <c r="S3186" s="4" t="n"/>
      <c r="T3186" s="5" t="n"/>
      <c r="U3186" s="8">
        <f>IF(AND(V3186=1,D3186&lt;&gt;""),IF(D3186&gt;=corte,TODAY()-D3186,""),"")</f>
        <v/>
      </c>
      <c r="V3186" s="8">
        <f>IF(D3186="",0,IF(OR(AND(P3186&lt;&gt;"",S3186=""),AND(N(J3186)&gt;0,N(K3186)&lt;J3186),OR(M3186="PENDENTE",M3186="PARCIAL"),OR(N3186="PENDENTE",N3186="PARCIAL")),1,0))</f>
        <v/>
      </c>
      <c r="W3186" s="8">
        <f>IF(AND(V3186=1,D3186&lt;&gt;""),IF(D3186&gt;=corte,(B3186="CRÍTICO")*1E9+(100000-D3186)*10000+10000-ROW(),""),"")</f>
        <v/>
      </c>
      <c r="X3186" s="8">
        <f>IF(AND(V3186=1,D3186=pas_data,E3186=pas_turno),10000-ROW(),"")</f>
        <v/>
      </c>
    </row>
    <row r="3187">
      <c r="A3187" s="3">
        <f>IF(D3187="","","TT-"&amp;TEXT(ROW()-1,"00000"))</f>
        <v/>
      </c>
      <c r="B3187" s="3">
        <f>IF(D3187="","",IF(V3187=0,"CONCLUÍDO",IF(D3187&lt;corte,"HISTÓRICO",IF(OR(AND(ISNUMBER(R3187),R3187&lt;TODAY()),AND(OR(N3187="PENDENTE",N3187="PARCIAL"),D3187&lt;TODAY()-1)),"CRÍTICO",IF(OR(AND(P3187&lt;&gt;"",S3187=""),AND(N3187="REALIZADO",M3187="PENDENTE"),AND(ISNUMBER(R3187),R3187=TODAY())),"ATENÇÃO",IF(N(K3187)=0,"PENDENTE","EM ANDAMENTO"))))))</f>
        <v/>
      </c>
      <c r="C3187" s="3">
        <f>IF(D3187="","",IF(V3187=0,"🟢 OK",IF(D3187&lt;corte,"⚪ HISTÓRICO (sem baixa)",IF(AND(ISNUMBER(R3187),R3187&lt;TODAY()),"🔴 PRAZO VENCIDO",IF(AND(OR(N3187="PENDENTE",N3187="PARCIAL"),D3187&lt;TODAY()-1),"🔴 EMBARQUE ATRASADO",IF(AND(N3187="REALIZADO",M3187="PENDENTE"),"🟡 EMBARCADO SEM FATURAR",IF(AND(P3187&lt;&gt;"",S3187="",OR(Q3187="",R3187="")),"🟡 PENDÊNCIA SEM RESPONSÁVEL/PRAZO",IF(AND(ISNUMBER(R3187),R3187=TODAY()),"🟡 VENCE HOJE",IF(AND(P3187&lt;&gt;"",S3187=""),"🟡 PENDÊNCIA ABERTA",IF(AND(N(J3187)&gt;0,N(K3187)&lt;J3187),"🟡 FALTA EXECUTAR",IF(OR(M3187="PENDENTE",M3187="PARCIAL"),"🟡 FATURAMENTO PENDENTE","🟡 EMBARQUE PENDENTE")))))))))))</f>
        <v/>
      </c>
      <c r="D3187" s="4" t="n"/>
      <c r="E3187" s="5" t="n"/>
      <c r="F3187" s="5" t="n"/>
      <c r="G3187" s="5" t="n"/>
      <c r="H3187" s="5" t="n"/>
      <c r="I3187" s="5" t="n"/>
      <c r="J3187" s="6" t="n"/>
      <c r="K3187" s="6" t="n"/>
      <c r="L3187" s="7">
        <f>IF(OR(D3187="",N(J3187)=0),"",MIN(1,N(K3187)/J3187))</f>
        <v/>
      </c>
      <c r="M3187" s="5" t="n"/>
      <c r="N3187" s="5" t="n"/>
      <c r="O3187" s="5" t="n"/>
      <c r="P3187" s="5" t="n"/>
      <c r="Q3187" s="5" t="n"/>
      <c r="R3187" s="4" t="n"/>
      <c r="S3187" s="4" t="n"/>
      <c r="T3187" s="5" t="n"/>
      <c r="U3187" s="8">
        <f>IF(AND(V3187=1,D3187&lt;&gt;""),IF(D3187&gt;=corte,TODAY()-D3187,""),"")</f>
        <v/>
      </c>
      <c r="V3187" s="8">
        <f>IF(D3187="",0,IF(OR(AND(P3187&lt;&gt;"",S3187=""),AND(N(J3187)&gt;0,N(K3187)&lt;J3187),OR(M3187="PENDENTE",M3187="PARCIAL"),OR(N3187="PENDENTE",N3187="PARCIAL")),1,0))</f>
        <v/>
      </c>
      <c r="W3187" s="8">
        <f>IF(AND(V3187=1,D3187&lt;&gt;""),IF(D3187&gt;=corte,(B3187="CRÍTICO")*1E9+(100000-D3187)*10000+10000-ROW(),""),"")</f>
        <v/>
      </c>
      <c r="X3187" s="8">
        <f>IF(AND(V3187=1,D3187=pas_data,E3187=pas_turno),10000-ROW(),"")</f>
        <v/>
      </c>
    </row>
    <row r="3188">
      <c r="A3188" s="3">
        <f>IF(D3188="","","TT-"&amp;TEXT(ROW()-1,"00000"))</f>
        <v/>
      </c>
      <c r="B3188" s="3">
        <f>IF(D3188="","",IF(V3188=0,"CONCLUÍDO",IF(D3188&lt;corte,"HISTÓRICO",IF(OR(AND(ISNUMBER(R3188),R3188&lt;TODAY()),AND(OR(N3188="PENDENTE",N3188="PARCIAL"),D3188&lt;TODAY()-1)),"CRÍTICO",IF(OR(AND(P3188&lt;&gt;"",S3188=""),AND(N3188="REALIZADO",M3188="PENDENTE"),AND(ISNUMBER(R3188),R3188=TODAY())),"ATENÇÃO",IF(N(K3188)=0,"PENDENTE","EM ANDAMENTO"))))))</f>
        <v/>
      </c>
      <c r="C3188" s="3">
        <f>IF(D3188="","",IF(V3188=0,"🟢 OK",IF(D3188&lt;corte,"⚪ HISTÓRICO (sem baixa)",IF(AND(ISNUMBER(R3188),R3188&lt;TODAY()),"🔴 PRAZO VENCIDO",IF(AND(OR(N3188="PENDENTE",N3188="PARCIAL"),D3188&lt;TODAY()-1),"🔴 EMBARQUE ATRASADO",IF(AND(N3188="REALIZADO",M3188="PENDENTE"),"🟡 EMBARCADO SEM FATURAR",IF(AND(P3188&lt;&gt;"",S3188="",OR(Q3188="",R3188="")),"🟡 PENDÊNCIA SEM RESPONSÁVEL/PRAZO",IF(AND(ISNUMBER(R3188),R3188=TODAY()),"🟡 VENCE HOJE",IF(AND(P3188&lt;&gt;"",S3188=""),"🟡 PENDÊNCIA ABERTA",IF(AND(N(J3188)&gt;0,N(K3188)&lt;J3188),"🟡 FALTA EXECUTAR",IF(OR(M3188="PENDENTE",M3188="PARCIAL"),"🟡 FATURAMENTO PENDENTE","🟡 EMBARQUE PENDENTE")))))))))))</f>
        <v/>
      </c>
      <c r="D3188" s="4" t="n"/>
      <c r="E3188" s="5" t="n"/>
      <c r="F3188" s="5" t="n"/>
      <c r="G3188" s="5" t="n"/>
      <c r="H3188" s="5" t="n"/>
      <c r="I3188" s="5" t="n"/>
      <c r="J3188" s="6" t="n"/>
      <c r="K3188" s="6" t="n"/>
      <c r="L3188" s="7">
        <f>IF(OR(D3188="",N(J3188)=0),"",MIN(1,N(K3188)/J3188))</f>
        <v/>
      </c>
      <c r="M3188" s="5" t="n"/>
      <c r="N3188" s="5" t="n"/>
      <c r="O3188" s="5" t="n"/>
      <c r="P3188" s="5" t="n"/>
      <c r="Q3188" s="5" t="n"/>
      <c r="R3188" s="4" t="n"/>
      <c r="S3188" s="4" t="n"/>
      <c r="T3188" s="5" t="n"/>
      <c r="U3188" s="8">
        <f>IF(AND(V3188=1,D3188&lt;&gt;""),IF(D3188&gt;=corte,TODAY()-D3188,""),"")</f>
        <v/>
      </c>
      <c r="V3188" s="8">
        <f>IF(D3188="",0,IF(OR(AND(P3188&lt;&gt;"",S3188=""),AND(N(J3188)&gt;0,N(K3188)&lt;J3188),OR(M3188="PENDENTE",M3188="PARCIAL"),OR(N3188="PENDENTE",N3188="PARCIAL")),1,0))</f>
        <v/>
      </c>
      <c r="W3188" s="8">
        <f>IF(AND(V3188=1,D3188&lt;&gt;""),IF(D3188&gt;=corte,(B3188="CRÍTICO")*1E9+(100000-D3188)*10000+10000-ROW(),""),"")</f>
        <v/>
      </c>
      <c r="X3188" s="8">
        <f>IF(AND(V3188=1,D3188=pas_data,E3188=pas_turno),10000-ROW(),"")</f>
        <v/>
      </c>
    </row>
    <row r="3189">
      <c r="A3189" s="3">
        <f>IF(D3189="","","TT-"&amp;TEXT(ROW()-1,"00000"))</f>
        <v/>
      </c>
      <c r="B3189" s="3">
        <f>IF(D3189="","",IF(V3189=0,"CONCLUÍDO",IF(D3189&lt;corte,"HISTÓRICO",IF(OR(AND(ISNUMBER(R3189),R3189&lt;TODAY()),AND(OR(N3189="PENDENTE",N3189="PARCIAL"),D3189&lt;TODAY()-1)),"CRÍTICO",IF(OR(AND(P3189&lt;&gt;"",S3189=""),AND(N3189="REALIZADO",M3189="PENDENTE"),AND(ISNUMBER(R3189),R3189=TODAY())),"ATENÇÃO",IF(N(K3189)=0,"PENDENTE","EM ANDAMENTO"))))))</f>
        <v/>
      </c>
      <c r="C3189" s="3">
        <f>IF(D3189="","",IF(V3189=0,"🟢 OK",IF(D3189&lt;corte,"⚪ HISTÓRICO (sem baixa)",IF(AND(ISNUMBER(R3189),R3189&lt;TODAY()),"🔴 PRAZO VENCIDO",IF(AND(OR(N3189="PENDENTE",N3189="PARCIAL"),D3189&lt;TODAY()-1),"🔴 EMBARQUE ATRASADO",IF(AND(N3189="REALIZADO",M3189="PENDENTE"),"🟡 EMBARCADO SEM FATURAR",IF(AND(P3189&lt;&gt;"",S3189="",OR(Q3189="",R3189="")),"🟡 PENDÊNCIA SEM RESPONSÁVEL/PRAZO",IF(AND(ISNUMBER(R3189),R3189=TODAY()),"🟡 VENCE HOJE",IF(AND(P3189&lt;&gt;"",S3189=""),"🟡 PENDÊNCIA ABERTA",IF(AND(N(J3189)&gt;0,N(K3189)&lt;J3189),"🟡 FALTA EXECUTAR",IF(OR(M3189="PENDENTE",M3189="PARCIAL"),"🟡 FATURAMENTO PENDENTE","🟡 EMBARQUE PENDENTE")))))))))))</f>
        <v/>
      </c>
      <c r="D3189" s="4" t="n"/>
      <c r="E3189" s="5" t="n"/>
      <c r="F3189" s="5" t="n"/>
      <c r="G3189" s="5" t="n"/>
      <c r="H3189" s="5" t="n"/>
      <c r="I3189" s="5" t="n"/>
      <c r="J3189" s="6" t="n"/>
      <c r="K3189" s="6" t="n"/>
      <c r="L3189" s="7">
        <f>IF(OR(D3189="",N(J3189)=0),"",MIN(1,N(K3189)/J3189))</f>
        <v/>
      </c>
      <c r="M3189" s="5" t="n"/>
      <c r="N3189" s="5" t="n"/>
      <c r="O3189" s="5" t="n"/>
      <c r="P3189" s="5" t="n"/>
      <c r="Q3189" s="5" t="n"/>
      <c r="R3189" s="4" t="n"/>
      <c r="S3189" s="4" t="n"/>
      <c r="T3189" s="5" t="n"/>
      <c r="U3189" s="8">
        <f>IF(AND(V3189=1,D3189&lt;&gt;""),IF(D3189&gt;=corte,TODAY()-D3189,""),"")</f>
        <v/>
      </c>
      <c r="V3189" s="8">
        <f>IF(D3189="",0,IF(OR(AND(P3189&lt;&gt;"",S3189=""),AND(N(J3189)&gt;0,N(K3189)&lt;J3189),OR(M3189="PENDENTE",M3189="PARCIAL"),OR(N3189="PENDENTE",N3189="PARCIAL")),1,0))</f>
        <v/>
      </c>
      <c r="W3189" s="8">
        <f>IF(AND(V3189=1,D3189&lt;&gt;""),IF(D3189&gt;=corte,(B3189="CRÍTICO")*1E9+(100000-D3189)*10000+10000-ROW(),""),"")</f>
        <v/>
      </c>
      <c r="X3189" s="8">
        <f>IF(AND(V3189=1,D3189=pas_data,E3189=pas_turno),10000-ROW(),"")</f>
        <v/>
      </c>
    </row>
    <row r="3190">
      <c r="A3190" s="3">
        <f>IF(D3190="","","TT-"&amp;TEXT(ROW()-1,"00000"))</f>
        <v/>
      </c>
      <c r="B3190" s="3">
        <f>IF(D3190="","",IF(V3190=0,"CONCLUÍDO",IF(D3190&lt;corte,"HISTÓRICO",IF(OR(AND(ISNUMBER(R3190),R3190&lt;TODAY()),AND(OR(N3190="PENDENTE",N3190="PARCIAL"),D3190&lt;TODAY()-1)),"CRÍTICO",IF(OR(AND(P3190&lt;&gt;"",S3190=""),AND(N3190="REALIZADO",M3190="PENDENTE"),AND(ISNUMBER(R3190),R3190=TODAY())),"ATENÇÃO",IF(N(K3190)=0,"PENDENTE","EM ANDAMENTO"))))))</f>
        <v/>
      </c>
      <c r="C3190" s="3">
        <f>IF(D3190="","",IF(V3190=0,"🟢 OK",IF(D3190&lt;corte,"⚪ HISTÓRICO (sem baixa)",IF(AND(ISNUMBER(R3190),R3190&lt;TODAY()),"🔴 PRAZO VENCIDO",IF(AND(OR(N3190="PENDENTE",N3190="PARCIAL"),D3190&lt;TODAY()-1),"🔴 EMBARQUE ATRASADO",IF(AND(N3190="REALIZADO",M3190="PENDENTE"),"🟡 EMBARCADO SEM FATURAR",IF(AND(P3190&lt;&gt;"",S3190="",OR(Q3190="",R3190="")),"🟡 PENDÊNCIA SEM RESPONSÁVEL/PRAZO",IF(AND(ISNUMBER(R3190),R3190=TODAY()),"🟡 VENCE HOJE",IF(AND(P3190&lt;&gt;"",S3190=""),"🟡 PENDÊNCIA ABERTA",IF(AND(N(J3190)&gt;0,N(K3190)&lt;J3190),"🟡 FALTA EXECUTAR",IF(OR(M3190="PENDENTE",M3190="PARCIAL"),"🟡 FATURAMENTO PENDENTE","🟡 EMBARQUE PENDENTE")))))))))))</f>
        <v/>
      </c>
      <c r="D3190" s="4" t="n"/>
      <c r="E3190" s="5" t="n"/>
      <c r="F3190" s="5" t="n"/>
      <c r="G3190" s="5" t="n"/>
      <c r="H3190" s="5" t="n"/>
      <c r="I3190" s="5" t="n"/>
      <c r="J3190" s="6" t="n"/>
      <c r="K3190" s="6" t="n"/>
      <c r="L3190" s="7">
        <f>IF(OR(D3190="",N(J3190)=0),"",MIN(1,N(K3190)/J3190))</f>
        <v/>
      </c>
      <c r="M3190" s="5" t="n"/>
      <c r="N3190" s="5" t="n"/>
      <c r="O3190" s="5" t="n"/>
      <c r="P3190" s="5" t="n"/>
      <c r="Q3190" s="5" t="n"/>
      <c r="R3190" s="4" t="n"/>
      <c r="S3190" s="4" t="n"/>
      <c r="T3190" s="5" t="n"/>
      <c r="U3190" s="8">
        <f>IF(AND(V3190=1,D3190&lt;&gt;""),IF(D3190&gt;=corte,TODAY()-D3190,""),"")</f>
        <v/>
      </c>
      <c r="V3190" s="8">
        <f>IF(D3190="",0,IF(OR(AND(P3190&lt;&gt;"",S3190=""),AND(N(J3190)&gt;0,N(K3190)&lt;J3190),OR(M3190="PENDENTE",M3190="PARCIAL"),OR(N3190="PENDENTE",N3190="PARCIAL")),1,0))</f>
        <v/>
      </c>
      <c r="W3190" s="8">
        <f>IF(AND(V3190=1,D3190&lt;&gt;""),IF(D3190&gt;=corte,(B3190="CRÍTICO")*1E9+(100000-D3190)*10000+10000-ROW(),""),"")</f>
        <v/>
      </c>
      <c r="X3190" s="8">
        <f>IF(AND(V3190=1,D3190=pas_data,E3190=pas_turno),10000-ROW(),"")</f>
        <v/>
      </c>
    </row>
    <row r="3191">
      <c r="A3191" s="3">
        <f>IF(D3191="","","TT-"&amp;TEXT(ROW()-1,"00000"))</f>
        <v/>
      </c>
      <c r="B3191" s="3">
        <f>IF(D3191="","",IF(V3191=0,"CONCLUÍDO",IF(D3191&lt;corte,"HISTÓRICO",IF(OR(AND(ISNUMBER(R3191),R3191&lt;TODAY()),AND(OR(N3191="PENDENTE",N3191="PARCIAL"),D3191&lt;TODAY()-1)),"CRÍTICO",IF(OR(AND(P3191&lt;&gt;"",S3191=""),AND(N3191="REALIZADO",M3191="PENDENTE"),AND(ISNUMBER(R3191),R3191=TODAY())),"ATENÇÃO",IF(N(K3191)=0,"PENDENTE","EM ANDAMENTO"))))))</f>
        <v/>
      </c>
      <c r="C3191" s="3">
        <f>IF(D3191="","",IF(V3191=0,"🟢 OK",IF(D3191&lt;corte,"⚪ HISTÓRICO (sem baixa)",IF(AND(ISNUMBER(R3191),R3191&lt;TODAY()),"🔴 PRAZO VENCIDO",IF(AND(OR(N3191="PENDENTE",N3191="PARCIAL"),D3191&lt;TODAY()-1),"🔴 EMBARQUE ATRASADO",IF(AND(N3191="REALIZADO",M3191="PENDENTE"),"🟡 EMBARCADO SEM FATURAR",IF(AND(P3191&lt;&gt;"",S3191="",OR(Q3191="",R3191="")),"🟡 PENDÊNCIA SEM RESPONSÁVEL/PRAZO",IF(AND(ISNUMBER(R3191),R3191=TODAY()),"🟡 VENCE HOJE",IF(AND(P3191&lt;&gt;"",S3191=""),"🟡 PENDÊNCIA ABERTA",IF(AND(N(J3191)&gt;0,N(K3191)&lt;J3191),"🟡 FALTA EXECUTAR",IF(OR(M3191="PENDENTE",M3191="PARCIAL"),"🟡 FATURAMENTO PENDENTE","🟡 EMBARQUE PENDENTE")))))))))))</f>
        <v/>
      </c>
      <c r="D3191" s="4" t="n"/>
      <c r="E3191" s="5" t="n"/>
      <c r="F3191" s="5" t="n"/>
      <c r="G3191" s="5" t="n"/>
      <c r="H3191" s="5" t="n"/>
      <c r="I3191" s="5" t="n"/>
      <c r="J3191" s="6" t="n"/>
      <c r="K3191" s="6" t="n"/>
      <c r="L3191" s="7">
        <f>IF(OR(D3191="",N(J3191)=0),"",MIN(1,N(K3191)/J3191))</f>
        <v/>
      </c>
      <c r="M3191" s="5" t="n"/>
      <c r="N3191" s="5" t="n"/>
      <c r="O3191" s="5" t="n"/>
      <c r="P3191" s="5" t="n"/>
      <c r="Q3191" s="5" t="n"/>
      <c r="R3191" s="4" t="n"/>
      <c r="S3191" s="4" t="n"/>
      <c r="T3191" s="5" t="n"/>
      <c r="U3191" s="8">
        <f>IF(AND(V3191=1,D3191&lt;&gt;""),IF(D3191&gt;=corte,TODAY()-D3191,""),"")</f>
        <v/>
      </c>
      <c r="V3191" s="8">
        <f>IF(D3191="",0,IF(OR(AND(P3191&lt;&gt;"",S3191=""),AND(N(J3191)&gt;0,N(K3191)&lt;J3191),OR(M3191="PENDENTE",M3191="PARCIAL"),OR(N3191="PENDENTE",N3191="PARCIAL")),1,0))</f>
        <v/>
      </c>
      <c r="W3191" s="8">
        <f>IF(AND(V3191=1,D3191&lt;&gt;""),IF(D3191&gt;=corte,(B3191="CRÍTICO")*1E9+(100000-D3191)*10000+10000-ROW(),""),"")</f>
        <v/>
      </c>
      <c r="X3191" s="8">
        <f>IF(AND(V3191=1,D3191=pas_data,E3191=pas_turno),10000-ROW(),"")</f>
        <v/>
      </c>
    </row>
    <row r="3192">
      <c r="A3192" s="3">
        <f>IF(D3192="","","TT-"&amp;TEXT(ROW()-1,"00000"))</f>
        <v/>
      </c>
      <c r="B3192" s="3">
        <f>IF(D3192="","",IF(V3192=0,"CONCLUÍDO",IF(D3192&lt;corte,"HISTÓRICO",IF(OR(AND(ISNUMBER(R3192),R3192&lt;TODAY()),AND(OR(N3192="PENDENTE",N3192="PARCIAL"),D3192&lt;TODAY()-1)),"CRÍTICO",IF(OR(AND(P3192&lt;&gt;"",S3192=""),AND(N3192="REALIZADO",M3192="PENDENTE"),AND(ISNUMBER(R3192),R3192=TODAY())),"ATENÇÃO",IF(N(K3192)=0,"PENDENTE","EM ANDAMENTO"))))))</f>
        <v/>
      </c>
      <c r="C3192" s="3">
        <f>IF(D3192="","",IF(V3192=0,"🟢 OK",IF(D3192&lt;corte,"⚪ HISTÓRICO (sem baixa)",IF(AND(ISNUMBER(R3192),R3192&lt;TODAY()),"🔴 PRAZO VENCIDO",IF(AND(OR(N3192="PENDENTE",N3192="PARCIAL"),D3192&lt;TODAY()-1),"🔴 EMBARQUE ATRASADO",IF(AND(N3192="REALIZADO",M3192="PENDENTE"),"🟡 EMBARCADO SEM FATURAR",IF(AND(P3192&lt;&gt;"",S3192="",OR(Q3192="",R3192="")),"🟡 PENDÊNCIA SEM RESPONSÁVEL/PRAZO",IF(AND(ISNUMBER(R3192),R3192=TODAY()),"🟡 VENCE HOJE",IF(AND(P3192&lt;&gt;"",S3192=""),"🟡 PENDÊNCIA ABERTA",IF(AND(N(J3192)&gt;0,N(K3192)&lt;J3192),"🟡 FALTA EXECUTAR",IF(OR(M3192="PENDENTE",M3192="PARCIAL"),"🟡 FATURAMENTO PENDENTE","🟡 EMBARQUE PENDENTE")))))))))))</f>
        <v/>
      </c>
      <c r="D3192" s="4" t="n"/>
      <c r="E3192" s="5" t="n"/>
      <c r="F3192" s="5" t="n"/>
      <c r="G3192" s="5" t="n"/>
      <c r="H3192" s="5" t="n"/>
      <c r="I3192" s="5" t="n"/>
      <c r="J3192" s="6" t="n"/>
      <c r="K3192" s="6" t="n"/>
      <c r="L3192" s="7">
        <f>IF(OR(D3192="",N(J3192)=0),"",MIN(1,N(K3192)/J3192))</f>
        <v/>
      </c>
      <c r="M3192" s="5" t="n"/>
      <c r="N3192" s="5" t="n"/>
      <c r="O3192" s="5" t="n"/>
      <c r="P3192" s="5" t="n"/>
      <c r="Q3192" s="5" t="n"/>
      <c r="R3192" s="4" t="n"/>
      <c r="S3192" s="4" t="n"/>
      <c r="T3192" s="5" t="n"/>
      <c r="U3192" s="8">
        <f>IF(AND(V3192=1,D3192&lt;&gt;""),IF(D3192&gt;=corte,TODAY()-D3192,""),"")</f>
        <v/>
      </c>
      <c r="V3192" s="8">
        <f>IF(D3192="",0,IF(OR(AND(P3192&lt;&gt;"",S3192=""),AND(N(J3192)&gt;0,N(K3192)&lt;J3192),OR(M3192="PENDENTE",M3192="PARCIAL"),OR(N3192="PENDENTE",N3192="PARCIAL")),1,0))</f>
        <v/>
      </c>
      <c r="W3192" s="8">
        <f>IF(AND(V3192=1,D3192&lt;&gt;""),IF(D3192&gt;=corte,(B3192="CRÍTICO")*1E9+(100000-D3192)*10000+10000-ROW(),""),"")</f>
        <v/>
      </c>
      <c r="X3192" s="8">
        <f>IF(AND(V3192=1,D3192=pas_data,E3192=pas_turno),10000-ROW(),"")</f>
        <v/>
      </c>
    </row>
    <row r="3193">
      <c r="A3193" s="3">
        <f>IF(D3193="","","TT-"&amp;TEXT(ROW()-1,"00000"))</f>
        <v/>
      </c>
      <c r="B3193" s="3">
        <f>IF(D3193="","",IF(V3193=0,"CONCLUÍDO",IF(D3193&lt;corte,"HISTÓRICO",IF(OR(AND(ISNUMBER(R3193),R3193&lt;TODAY()),AND(OR(N3193="PENDENTE",N3193="PARCIAL"),D3193&lt;TODAY()-1)),"CRÍTICO",IF(OR(AND(P3193&lt;&gt;"",S3193=""),AND(N3193="REALIZADO",M3193="PENDENTE"),AND(ISNUMBER(R3193),R3193=TODAY())),"ATENÇÃO",IF(N(K3193)=0,"PENDENTE","EM ANDAMENTO"))))))</f>
        <v/>
      </c>
      <c r="C3193" s="3">
        <f>IF(D3193="","",IF(V3193=0,"🟢 OK",IF(D3193&lt;corte,"⚪ HISTÓRICO (sem baixa)",IF(AND(ISNUMBER(R3193),R3193&lt;TODAY()),"🔴 PRAZO VENCIDO",IF(AND(OR(N3193="PENDENTE",N3193="PARCIAL"),D3193&lt;TODAY()-1),"🔴 EMBARQUE ATRASADO",IF(AND(N3193="REALIZADO",M3193="PENDENTE"),"🟡 EMBARCADO SEM FATURAR",IF(AND(P3193&lt;&gt;"",S3193="",OR(Q3193="",R3193="")),"🟡 PENDÊNCIA SEM RESPONSÁVEL/PRAZO",IF(AND(ISNUMBER(R3193),R3193=TODAY()),"🟡 VENCE HOJE",IF(AND(P3193&lt;&gt;"",S3193=""),"🟡 PENDÊNCIA ABERTA",IF(AND(N(J3193)&gt;0,N(K3193)&lt;J3193),"🟡 FALTA EXECUTAR",IF(OR(M3193="PENDENTE",M3193="PARCIAL"),"🟡 FATURAMENTO PENDENTE","🟡 EMBARQUE PENDENTE")))))))))))</f>
        <v/>
      </c>
      <c r="D3193" s="4" t="n"/>
      <c r="E3193" s="5" t="n"/>
      <c r="F3193" s="5" t="n"/>
      <c r="G3193" s="5" t="n"/>
      <c r="H3193" s="5" t="n"/>
      <c r="I3193" s="5" t="n"/>
      <c r="J3193" s="6" t="n"/>
      <c r="K3193" s="6" t="n"/>
      <c r="L3193" s="7">
        <f>IF(OR(D3193="",N(J3193)=0),"",MIN(1,N(K3193)/J3193))</f>
        <v/>
      </c>
      <c r="M3193" s="5" t="n"/>
      <c r="N3193" s="5" t="n"/>
      <c r="O3193" s="5" t="n"/>
      <c r="P3193" s="5" t="n"/>
      <c r="Q3193" s="5" t="n"/>
      <c r="R3193" s="4" t="n"/>
      <c r="S3193" s="4" t="n"/>
      <c r="T3193" s="5" t="n"/>
      <c r="U3193" s="8">
        <f>IF(AND(V3193=1,D3193&lt;&gt;""),IF(D3193&gt;=corte,TODAY()-D3193,""),"")</f>
        <v/>
      </c>
      <c r="V3193" s="8">
        <f>IF(D3193="",0,IF(OR(AND(P3193&lt;&gt;"",S3193=""),AND(N(J3193)&gt;0,N(K3193)&lt;J3193),OR(M3193="PENDENTE",M3193="PARCIAL"),OR(N3193="PENDENTE",N3193="PARCIAL")),1,0))</f>
        <v/>
      </c>
      <c r="W3193" s="8">
        <f>IF(AND(V3193=1,D3193&lt;&gt;""),IF(D3193&gt;=corte,(B3193="CRÍTICO")*1E9+(100000-D3193)*10000+10000-ROW(),""),"")</f>
        <v/>
      </c>
      <c r="X3193" s="8">
        <f>IF(AND(V3193=1,D3193=pas_data,E3193=pas_turno),10000-ROW(),"")</f>
        <v/>
      </c>
    </row>
    <row r="3194">
      <c r="A3194" s="3">
        <f>IF(D3194="","","TT-"&amp;TEXT(ROW()-1,"00000"))</f>
        <v/>
      </c>
      <c r="B3194" s="3">
        <f>IF(D3194="","",IF(V3194=0,"CONCLUÍDO",IF(D3194&lt;corte,"HISTÓRICO",IF(OR(AND(ISNUMBER(R3194),R3194&lt;TODAY()),AND(OR(N3194="PENDENTE",N3194="PARCIAL"),D3194&lt;TODAY()-1)),"CRÍTICO",IF(OR(AND(P3194&lt;&gt;"",S3194=""),AND(N3194="REALIZADO",M3194="PENDENTE"),AND(ISNUMBER(R3194),R3194=TODAY())),"ATENÇÃO",IF(N(K3194)=0,"PENDENTE","EM ANDAMENTO"))))))</f>
        <v/>
      </c>
      <c r="C3194" s="3">
        <f>IF(D3194="","",IF(V3194=0,"🟢 OK",IF(D3194&lt;corte,"⚪ HISTÓRICO (sem baixa)",IF(AND(ISNUMBER(R3194),R3194&lt;TODAY()),"🔴 PRAZO VENCIDO",IF(AND(OR(N3194="PENDENTE",N3194="PARCIAL"),D3194&lt;TODAY()-1),"🔴 EMBARQUE ATRASADO",IF(AND(N3194="REALIZADO",M3194="PENDENTE"),"🟡 EMBARCADO SEM FATURAR",IF(AND(P3194&lt;&gt;"",S3194="",OR(Q3194="",R3194="")),"🟡 PENDÊNCIA SEM RESPONSÁVEL/PRAZO",IF(AND(ISNUMBER(R3194),R3194=TODAY()),"🟡 VENCE HOJE",IF(AND(P3194&lt;&gt;"",S3194=""),"🟡 PENDÊNCIA ABERTA",IF(AND(N(J3194)&gt;0,N(K3194)&lt;J3194),"🟡 FALTA EXECUTAR",IF(OR(M3194="PENDENTE",M3194="PARCIAL"),"🟡 FATURAMENTO PENDENTE","🟡 EMBARQUE PENDENTE")))))))))))</f>
        <v/>
      </c>
      <c r="D3194" s="4" t="n"/>
      <c r="E3194" s="5" t="n"/>
      <c r="F3194" s="5" t="n"/>
      <c r="G3194" s="5" t="n"/>
      <c r="H3194" s="5" t="n"/>
      <c r="I3194" s="5" t="n"/>
      <c r="J3194" s="6" t="n"/>
      <c r="K3194" s="6" t="n"/>
      <c r="L3194" s="7">
        <f>IF(OR(D3194="",N(J3194)=0),"",MIN(1,N(K3194)/J3194))</f>
        <v/>
      </c>
      <c r="M3194" s="5" t="n"/>
      <c r="N3194" s="5" t="n"/>
      <c r="O3194" s="5" t="n"/>
      <c r="P3194" s="5" t="n"/>
      <c r="Q3194" s="5" t="n"/>
      <c r="R3194" s="4" t="n"/>
      <c r="S3194" s="4" t="n"/>
      <c r="T3194" s="5" t="n"/>
      <c r="U3194" s="8">
        <f>IF(AND(V3194=1,D3194&lt;&gt;""),IF(D3194&gt;=corte,TODAY()-D3194,""),"")</f>
        <v/>
      </c>
      <c r="V3194" s="8">
        <f>IF(D3194="",0,IF(OR(AND(P3194&lt;&gt;"",S3194=""),AND(N(J3194)&gt;0,N(K3194)&lt;J3194),OR(M3194="PENDENTE",M3194="PARCIAL"),OR(N3194="PENDENTE",N3194="PARCIAL")),1,0))</f>
        <v/>
      </c>
      <c r="W3194" s="8">
        <f>IF(AND(V3194=1,D3194&lt;&gt;""),IF(D3194&gt;=corte,(B3194="CRÍTICO")*1E9+(100000-D3194)*10000+10000-ROW(),""),"")</f>
        <v/>
      </c>
      <c r="X3194" s="8">
        <f>IF(AND(V3194=1,D3194=pas_data,E3194=pas_turno),10000-ROW(),"")</f>
        <v/>
      </c>
    </row>
    <row r="3195">
      <c r="A3195" s="3">
        <f>IF(D3195="","","TT-"&amp;TEXT(ROW()-1,"00000"))</f>
        <v/>
      </c>
      <c r="B3195" s="3">
        <f>IF(D3195="","",IF(V3195=0,"CONCLUÍDO",IF(D3195&lt;corte,"HISTÓRICO",IF(OR(AND(ISNUMBER(R3195),R3195&lt;TODAY()),AND(OR(N3195="PENDENTE",N3195="PARCIAL"),D3195&lt;TODAY()-1)),"CRÍTICO",IF(OR(AND(P3195&lt;&gt;"",S3195=""),AND(N3195="REALIZADO",M3195="PENDENTE"),AND(ISNUMBER(R3195),R3195=TODAY())),"ATENÇÃO",IF(N(K3195)=0,"PENDENTE","EM ANDAMENTO"))))))</f>
        <v/>
      </c>
      <c r="C3195" s="3">
        <f>IF(D3195="","",IF(V3195=0,"🟢 OK",IF(D3195&lt;corte,"⚪ HISTÓRICO (sem baixa)",IF(AND(ISNUMBER(R3195),R3195&lt;TODAY()),"🔴 PRAZO VENCIDO",IF(AND(OR(N3195="PENDENTE",N3195="PARCIAL"),D3195&lt;TODAY()-1),"🔴 EMBARQUE ATRASADO",IF(AND(N3195="REALIZADO",M3195="PENDENTE"),"🟡 EMBARCADO SEM FATURAR",IF(AND(P3195&lt;&gt;"",S3195="",OR(Q3195="",R3195="")),"🟡 PENDÊNCIA SEM RESPONSÁVEL/PRAZO",IF(AND(ISNUMBER(R3195),R3195=TODAY()),"🟡 VENCE HOJE",IF(AND(P3195&lt;&gt;"",S3195=""),"🟡 PENDÊNCIA ABERTA",IF(AND(N(J3195)&gt;0,N(K3195)&lt;J3195),"🟡 FALTA EXECUTAR",IF(OR(M3195="PENDENTE",M3195="PARCIAL"),"🟡 FATURAMENTO PENDENTE","🟡 EMBARQUE PENDENTE")))))))))))</f>
        <v/>
      </c>
      <c r="D3195" s="4" t="n"/>
      <c r="E3195" s="5" t="n"/>
      <c r="F3195" s="5" t="n"/>
      <c r="G3195" s="5" t="n"/>
      <c r="H3195" s="5" t="n"/>
      <c r="I3195" s="5" t="n"/>
      <c r="J3195" s="6" t="n"/>
      <c r="K3195" s="6" t="n"/>
      <c r="L3195" s="7">
        <f>IF(OR(D3195="",N(J3195)=0),"",MIN(1,N(K3195)/J3195))</f>
        <v/>
      </c>
      <c r="M3195" s="5" t="n"/>
      <c r="N3195" s="5" t="n"/>
      <c r="O3195" s="5" t="n"/>
      <c r="P3195" s="5" t="n"/>
      <c r="Q3195" s="5" t="n"/>
      <c r="R3195" s="4" t="n"/>
      <c r="S3195" s="4" t="n"/>
      <c r="T3195" s="5" t="n"/>
      <c r="U3195" s="8">
        <f>IF(AND(V3195=1,D3195&lt;&gt;""),IF(D3195&gt;=corte,TODAY()-D3195,""),"")</f>
        <v/>
      </c>
      <c r="V3195" s="8">
        <f>IF(D3195="",0,IF(OR(AND(P3195&lt;&gt;"",S3195=""),AND(N(J3195)&gt;0,N(K3195)&lt;J3195),OR(M3195="PENDENTE",M3195="PARCIAL"),OR(N3195="PENDENTE",N3195="PARCIAL")),1,0))</f>
        <v/>
      </c>
      <c r="W3195" s="8">
        <f>IF(AND(V3195=1,D3195&lt;&gt;""),IF(D3195&gt;=corte,(B3195="CRÍTICO")*1E9+(100000-D3195)*10000+10000-ROW(),""),"")</f>
        <v/>
      </c>
      <c r="X3195" s="8">
        <f>IF(AND(V3195=1,D3195=pas_data,E3195=pas_turno),10000-ROW(),"")</f>
        <v/>
      </c>
    </row>
    <row r="3196">
      <c r="A3196" s="3">
        <f>IF(D3196="","","TT-"&amp;TEXT(ROW()-1,"00000"))</f>
        <v/>
      </c>
      <c r="B3196" s="3">
        <f>IF(D3196="","",IF(V3196=0,"CONCLUÍDO",IF(D3196&lt;corte,"HISTÓRICO",IF(OR(AND(ISNUMBER(R3196),R3196&lt;TODAY()),AND(OR(N3196="PENDENTE",N3196="PARCIAL"),D3196&lt;TODAY()-1)),"CRÍTICO",IF(OR(AND(P3196&lt;&gt;"",S3196=""),AND(N3196="REALIZADO",M3196="PENDENTE"),AND(ISNUMBER(R3196),R3196=TODAY())),"ATENÇÃO",IF(N(K3196)=0,"PENDENTE","EM ANDAMENTO"))))))</f>
        <v/>
      </c>
      <c r="C3196" s="3">
        <f>IF(D3196="","",IF(V3196=0,"🟢 OK",IF(D3196&lt;corte,"⚪ HISTÓRICO (sem baixa)",IF(AND(ISNUMBER(R3196),R3196&lt;TODAY()),"🔴 PRAZO VENCIDO",IF(AND(OR(N3196="PENDENTE",N3196="PARCIAL"),D3196&lt;TODAY()-1),"🔴 EMBARQUE ATRASADO",IF(AND(N3196="REALIZADO",M3196="PENDENTE"),"🟡 EMBARCADO SEM FATURAR",IF(AND(P3196&lt;&gt;"",S3196="",OR(Q3196="",R3196="")),"🟡 PENDÊNCIA SEM RESPONSÁVEL/PRAZO",IF(AND(ISNUMBER(R3196),R3196=TODAY()),"🟡 VENCE HOJE",IF(AND(P3196&lt;&gt;"",S3196=""),"🟡 PENDÊNCIA ABERTA",IF(AND(N(J3196)&gt;0,N(K3196)&lt;J3196),"🟡 FALTA EXECUTAR",IF(OR(M3196="PENDENTE",M3196="PARCIAL"),"🟡 FATURAMENTO PENDENTE","🟡 EMBARQUE PENDENTE")))))))))))</f>
        <v/>
      </c>
      <c r="D3196" s="4" t="n"/>
      <c r="E3196" s="5" t="n"/>
      <c r="F3196" s="5" t="n"/>
      <c r="G3196" s="5" t="n"/>
      <c r="H3196" s="5" t="n"/>
      <c r="I3196" s="5" t="n"/>
      <c r="J3196" s="6" t="n"/>
      <c r="K3196" s="6" t="n"/>
      <c r="L3196" s="7">
        <f>IF(OR(D3196="",N(J3196)=0),"",MIN(1,N(K3196)/J3196))</f>
        <v/>
      </c>
      <c r="M3196" s="5" t="n"/>
      <c r="N3196" s="5" t="n"/>
      <c r="O3196" s="5" t="n"/>
      <c r="P3196" s="5" t="n"/>
      <c r="Q3196" s="5" t="n"/>
      <c r="R3196" s="4" t="n"/>
      <c r="S3196" s="4" t="n"/>
      <c r="T3196" s="5" t="n"/>
      <c r="U3196" s="8">
        <f>IF(AND(V3196=1,D3196&lt;&gt;""),IF(D3196&gt;=corte,TODAY()-D3196,""),"")</f>
        <v/>
      </c>
      <c r="V3196" s="8">
        <f>IF(D3196="",0,IF(OR(AND(P3196&lt;&gt;"",S3196=""),AND(N(J3196)&gt;0,N(K3196)&lt;J3196),OR(M3196="PENDENTE",M3196="PARCIAL"),OR(N3196="PENDENTE",N3196="PARCIAL")),1,0))</f>
        <v/>
      </c>
      <c r="W3196" s="8">
        <f>IF(AND(V3196=1,D3196&lt;&gt;""),IF(D3196&gt;=corte,(B3196="CRÍTICO")*1E9+(100000-D3196)*10000+10000-ROW(),""),"")</f>
        <v/>
      </c>
      <c r="X3196" s="8">
        <f>IF(AND(V3196=1,D3196=pas_data,E3196=pas_turno),10000-ROW(),"")</f>
        <v/>
      </c>
    </row>
    <row r="3197">
      <c r="A3197" s="3">
        <f>IF(D3197="","","TT-"&amp;TEXT(ROW()-1,"00000"))</f>
        <v/>
      </c>
      <c r="B3197" s="3">
        <f>IF(D3197="","",IF(V3197=0,"CONCLUÍDO",IF(D3197&lt;corte,"HISTÓRICO",IF(OR(AND(ISNUMBER(R3197),R3197&lt;TODAY()),AND(OR(N3197="PENDENTE",N3197="PARCIAL"),D3197&lt;TODAY()-1)),"CRÍTICO",IF(OR(AND(P3197&lt;&gt;"",S3197=""),AND(N3197="REALIZADO",M3197="PENDENTE"),AND(ISNUMBER(R3197),R3197=TODAY())),"ATENÇÃO",IF(N(K3197)=0,"PENDENTE","EM ANDAMENTO"))))))</f>
        <v/>
      </c>
      <c r="C3197" s="3">
        <f>IF(D3197="","",IF(V3197=0,"🟢 OK",IF(D3197&lt;corte,"⚪ HISTÓRICO (sem baixa)",IF(AND(ISNUMBER(R3197),R3197&lt;TODAY()),"🔴 PRAZO VENCIDO",IF(AND(OR(N3197="PENDENTE",N3197="PARCIAL"),D3197&lt;TODAY()-1),"🔴 EMBARQUE ATRASADO",IF(AND(N3197="REALIZADO",M3197="PENDENTE"),"🟡 EMBARCADO SEM FATURAR",IF(AND(P3197&lt;&gt;"",S3197="",OR(Q3197="",R3197="")),"🟡 PENDÊNCIA SEM RESPONSÁVEL/PRAZO",IF(AND(ISNUMBER(R3197),R3197=TODAY()),"🟡 VENCE HOJE",IF(AND(P3197&lt;&gt;"",S3197=""),"🟡 PENDÊNCIA ABERTA",IF(AND(N(J3197)&gt;0,N(K3197)&lt;J3197),"🟡 FALTA EXECUTAR",IF(OR(M3197="PENDENTE",M3197="PARCIAL"),"🟡 FATURAMENTO PENDENTE","🟡 EMBARQUE PENDENTE")))))))))))</f>
        <v/>
      </c>
      <c r="D3197" s="4" t="n"/>
      <c r="E3197" s="5" t="n"/>
      <c r="F3197" s="5" t="n"/>
      <c r="G3197" s="5" t="n"/>
      <c r="H3197" s="5" t="n"/>
      <c r="I3197" s="5" t="n"/>
      <c r="J3197" s="6" t="n"/>
      <c r="K3197" s="6" t="n"/>
      <c r="L3197" s="7">
        <f>IF(OR(D3197="",N(J3197)=0),"",MIN(1,N(K3197)/J3197))</f>
        <v/>
      </c>
      <c r="M3197" s="5" t="n"/>
      <c r="N3197" s="5" t="n"/>
      <c r="O3197" s="5" t="n"/>
      <c r="P3197" s="5" t="n"/>
      <c r="Q3197" s="5" t="n"/>
      <c r="R3197" s="4" t="n"/>
      <c r="S3197" s="4" t="n"/>
      <c r="T3197" s="5" t="n"/>
      <c r="U3197" s="8">
        <f>IF(AND(V3197=1,D3197&lt;&gt;""),IF(D3197&gt;=corte,TODAY()-D3197,""),"")</f>
        <v/>
      </c>
      <c r="V3197" s="8">
        <f>IF(D3197="",0,IF(OR(AND(P3197&lt;&gt;"",S3197=""),AND(N(J3197)&gt;0,N(K3197)&lt;J3197),OR(M3197="PENDENTE",M3197="PARCIAL"),OR(N3197="PENDENTE",N3197="PARCIAL")),1,0))</f>
        <v/>
      </c>
      <c r="W3197" s="8">
        <f>IF(AND(V3197=1,D3197&lt;&gt;""),IF(D3197&gt;=corte,(B3197="CRÍTICO")*1E9+(100000-D3197)*10000+10000-ROW(),""),"")</f>
        <v/>
      </c>
      <c r="X3197" s="8">
        <f>IF(AND(V3197=1,D3197=pas_data,E3197=pas_turno),10000-ROW(),"")</f>
        <v/>
      </c>
    </row>
    <row r="3198">
      <c r="A3198" s="3">
        <f>IF(D3198="","","TT-"&amp;TEXT(ROW()-1,"00000"))</f>
        <v/>
      </c>
      <c r="B3198" s="3">
        <f>IF(D3198="","",IF(V3198=0,"CONCLUÍDO",IF(D3198&lt;corte,"HISTÓRICO",IF(OR(AND(ISNUMBER(R3198),R3198&lt;TODAY()),AND(OR(N3198="PENDENTE",N3198="PARCIAL"),D3198&lt;TODAY()-1)),"CRÍTICO",IF(OR(AND(P3198&lt;&gt;"",S3198=""),AND(N3198="REALIZADO",M3198="PENDENTE"),AND(ISNUMBER(R3198),R3198=TODAY())),"ATENÇÃO",IF(N(K3198)=0,"PENDENTE","EM ANDAMENTO"))))))</f>
        <v/>
      </c>
      <c r="C3198" s="3">
        <f>IF(D3198="","",IF(V3198=0,"🟢 OK",IF(D3198&lt;corte,"⚪ HISTÓRICO (sem baixa)",IF(AND(ISNUMBER(R3198),R3198&lt;TODAY()),"🔴 PRAZO VENCIDO",IF(AND(OR(N3198="PENDENTE",N3198="PARCIAL"),D3198&lt;TODAY()-1),"🔴 EMBARQUE ATRASADO",IF(AND(N3198="REALIZADO",M3198="PENDENTE"),"🟡 EMBARCADO SEM FATURAR",IF(AND(P3198&lt;&gt;"",S3198="",OR(Q3198="",R3198="")),"🟡 PENDÊNCIA SEM RESPONSÁVEL/PRAZO",IF(AND(ISNUMBER(R3198),R3198=TODAY()),"🟡 VENCE HOJE",IF(AND(P3198&lt;&gt;"",S3198=""),"🟡 PENDÊNCIA ABERTA",IF(AND(N(J3198)&gt;0,N(K3198)&lt;J3198),"🟡 FALTA EXECUTAR",IF(OR(M3198="PENDENTE",M3198="PARCIAL"),"🟡 FATURAMENTO PENDENTE","🟡 EMBARQUE PENDENTE")))))))))))</f>
        <v/>
      </c>
      <c r="D3198" s="4" t="n"/>
      <c r="E3198" s="5" t="n"/>
      <c r="F3198" s="5" t="n"/>
      <c r="G3198" s="5" t="n"/>
      <c r="H3198" s="5" t="n"/>
      <c r="I3198" s="5" t="n"/>
      <c r="J3198" s="6" t="n"/>
      <c r="K3198" s="6" t="n"/>
      <c r="L3198" s="7">
        <f>IF(OR(D3198="",N(J3198)=0),"",MIN(1,N(K3198)/J3198))</f>
        <v/>
      </c>
      <c r="M3198" s="5" t="n"/>
      <c r="N3198" s="5" t="n"/>
      <c r="O3198" s="5" t="n"/>
      <c r="P3198" s="5" t="n"/>
      <c r="Q3198" s="5" t="n"/>
      <c r="R3198" s="4" t="n"/>
      <c r="S3198" s="4" t="n"/>
      <c r="T3198" s="5" t="n"/>
      <c r="U3198" s="8">
        <f>IF(AND(V3198=1,D3198&lt;&gt;""),IF(D3198&gt;=corte,TODAY()-D3198,""),"")</f>
        <v/>
      </c>
      <c r="V3198" s="8">
        <f>IF(D3198="",0,IF(OR(AND(P3198&lt;&gt;"",S3198=""),AND(N(J3198)&gt;0,N(K3198)&lt;J3198),OR(M3198="PENDENTE",M3198="PARCIAL"),OR(N3198="PENDENTE",N3198="PARCIAL")),1,0))</f>
        <v/>
      </c>
      <c r="W3198" s="8">
        <f>IF(AND(V3198=1,D3198&lt;&gt;""),IF(D3198&gt;=corte,(B3198="CRÍTICO")*1E9+(100000-D3198)*10000+10000-ROW(),""),"")</f>
        <v/>
      </c>
      <c r="X3198" s="8">
        <f>IF(AND(V3198=1,D3198=pas_data,E3198=pas_turno),10000-ROW(),"")</f>
        <v/>
      </c>
    </row>
    <row r="3199">
      <c r="A3199" s="3">
        <f>IF(D3199="","","TT-"&amp;TEXT(ROW()-1,"00000"))</f>
        <v/>
      </c>
      <c r="B3199" s="3">
        <f>IF(D3199="","",IF(V3199=0,"CONCLUÍDO",IF(D3199&lt;corte,"HISTÓRICO",IF(OR(AND(ISNUMBER(R3199),R3199&lt;TODAY()),AND(OR(N3199="PENDENTE",N3199="PARCIAL"),D3199&lt;TODAY()-1)),"CRÍTICO",IF(OR(AND(P3199&lt;&gt;"",S3199=""),AND(N3199="REALIZADO",M3199="PENDENTE"),AND(ISNUMBER(R3199),R3199=TODAY())),"ATENÇÃO",IF(N(K3199)=0,"PENDENTE","EM ANDAMENTO"))))))</f>
        <v/>
      </c>
      <c r="C3199" s="3">
        <f>IF(D3199="","",IF(V3199=0,"🟢 OK",IF(D3199&lt;corte,"⚪ HISTÓRICO (sem baixa)",IF(AND(ISNUMBER(R3199),R3199&lt;TODAY()),"🔴 PRAZO VENCIDO",IF(AND(OR(N3199="PENDENTE",N3199="PARCIAL"),D3199&lt;TODAY()-1),"🔴 EMBARQUE ATRASADO",IF(AND(N3199="REALIZADO",M3199="PENDENTE"),"🟡 EMBARCADO SEM FATURAR",IF(AND(P3199&lt;&gt;"",S3199="",OR(Q3199="",R3199="")),"🟡 PENDÊNCIA SEM RESPONSÁVEL/PRAZO",IF(AND(ISNUMBER(R3199),R3199=TODAY()),"🟡 VENCE HOJE",IF(AND(P3199&lt;&gt;"",S3199=""),"🟡 PENDÊNCIA ABERTA",IF(AND(N(J3199)&gt;0,N(K3199)&lt;J3199),"🟡 FALTA EXECUTAR",IF(OR(M3199="PENDENTE",M3199="PARCIAL"),"🟡 FATURAMENTO PENDENTE","🟡 EMBARQUE PENDENTE")))))))))))</f>
        <v/>
      </c>
      <c r="D3199" s="4" t="n"/>
      <c r="E3199" s="5" t="n"/>
      <c r="F3199" s="5" t="n"/>
      <c r="G3199" s="5" t="n"/>
      <c r="H3199" s="5" t="n"/>
      <c r="I3199" s="5" t="n"/>
      <c r="J3199" s="6" t="n"/>
      <c r="K3199" s="6" t="n"/>
      <c r="L3199" s="7">
        <f>IF(OR(D3199="",N(J3199)=0),"",MIN(1,N(K3199)/J3199))</f>
        <v/>
      </c>
      <c r="M3199" s="5" t="n"/>
      <c r="N3199" s="5" t="n"/>
      <c r="O3199" s="5" t="n"/>
      <c r="P3199" s="5" t="n"/>
      <c r="Q3199" s="5" t="n"/>
      <c r="R3199" s="4" t="n"/>
      <c r="S3199" s="4" t="n"/>
      <c r="T3199" s="5" t="n"/>
      <c r="U3199" s="8">
        <f>IF(AND(V3199=1,D3199&lt;&gt;""),IF(D3199&gt;=corte,TODAY()-D3199,""),"")</f>
        <v/>
      </c>
      <c r="V3199" s="8">
        <f>IF(D3199="",0,IF(OR(AND(P3199&lt;&gt;"",S3199=""),AND(N(J3199)&gt;0,N(K3199)&lt;J3199),OR(M3199="PENDENTE",M3199="PARCIAL"),OR(N3199="PENDENTE",N3199="PARCIAL")),1,0))</f>
        <v/>
      </c>
      <c r="W3199" s="8">
        <f>IF(AND(V3199=1,D3199&lt;&gt;""),IF(D3199&gt;=corte,(B3199="CRÍTICO")*1E9+(100000-D3199)*10000+10000-ROW(),""),"")</f>
        <v/>
      </c>
      <c r="X3199" s="8">
        <f>IF(AND(V3199=1,D3199=pas_data,E3199=pas_turno),10000-ROW(),"")</f>
        <v/>
      </c>
    </row>
    <row r="3200">
      <c r="A3200" s="3">
        <f>IF(D3200="","","TT-"&amp;TEXT(ROW()-1,"00000"))</f>
        <v/>
      </c>
      <c r="B3200" s="3">
        <f>IF(D3200="","",IF(V3200=0,"CONCLUÍDO",IF(D3200&lt;corte,"HISTÓRICO",IF(OR(AND(ISNUMBER(R3200),R3200&lt;TODAY()),AND(OR(N3200="PENDENTE",N3200="PARCIAL"),D3200&lt;TODAY()-1)),"CRÍTICO",IF(OR(AND(P3200&lt;&gt;"",S3200=""),AND(N3200="REALIZADO",M3200="PENDENTE"),AND(ISNUMBER(R3200),R3200=TODAY())),"ATENÇÃO",IF(N(K3200)=0,"PENDENTE","EM ANDAMENTO"))))))</f>
        <v/>
      </c>
      <c r="C3200" s="3">
        <f>IF(D3200="","",IF(V3200=0,"🟢 OK",IF(D3200&lt;corte,"⚪ HISTÓRICO (sem baixa)",IF(AND(ISNUMBER(R3200),R3200&lt;TODAY()),"🔴 PRAZO VENCIDO",IF(AND(OR(N3200="PENDENTE",N3200="PARCIAL"),D3200&lt;TODAY()-1),"🔴 EMBARQUE ATRASADO",IF(AND(N3200="REALIZADO",M3200="PENDENTE"),"🟡 EMBARCADO SEM FATURAR",IF(AND(P3200&lt;&gt;"",S3200="",OR(Q3200="",R3200="")),"🟡 PENDÊNCIA SEM RESPONSÁVEL/PRAZO",IF(AND(ISNUMBER(R3200),R3200=TODAY()),"🟡 VENCE HOJE",IF(AND(P3200&lt;&gt;"",S3200=""),"🟡 PENDÊNCIA ABERTA",IF(AND(N(J3200)&gt;0,N(K3200)&lt;J3200),"🟡 FALTA EXECUTAR",IF(OR(M3200="PENDENTE",M3200="PARCIAL"),"🟡 FATURAMENTO PENDENTE","🟡 EMBARQUE PENDENTE")))))))))))</f>
        <v/>
      </c>
      <c r="D3200" s="4" t="n"/>
      <c r="E3200" s="5" t="n"/>
      <c r="F3200" s="5" t="n"/>
      <c r="G3200" s="5" t="n"/>
      <c r="H3200" s="5" t="n"/>
      <c r="I3200" s="5" t="n"/>
      <c r="J3200" s="6" t="n"/>
      <c r="K3200" s="6" t="n"/>
      <c r="L3200" s="7">
        <f>IF(OR(D3200="",N(J3200)=0),"",MIN(1,N(K3200)/J3200))</f>
        <v/>
      </c>
      <c r="M3200" s="5" t="n"/>
      <c r="N3200" s="5" t="n"/>
      <c r="O3200" s="5" t="n"/>
      <c r="P3200" s="5" t="n"/>
      <c r="Q3200" s="5" t="n"/>
      <c r="R3200" s="4" t="n"/>
      <c r="S3200" s="4" t="n"/>
      <c r="T3200" s="5" t="n"/>
      <c r="U3200" s="8">
        <f>IF(AND(V3200=1,D3200&lt;&gt;""),IF(D3200&gt;=corte,TODAY()-D3200,""),"")</f>
        <v/>
      </c>
      <c r="V3200" s="8">
        <f>IF(D3200="",0,IF(OR(AND(P3200&lt;&gt;"",S3200=""),AND(N(J3200)&gt;0,N(K3200)&lt;J3200),OR(M3200="PENDENTE",M3200="PARCIAL"),OR(N3200="PENDENTE",N3200="PARCIAL")),1,0))</f>
        <v/>
      </c>
      <c r="W3200" s="8">
        <f>IF(AND(V3200=1,D3200&lt;&gt;""),IF(D3200&gt;=corte,(B3200="CRÍTICO")*1E9+(100000-D3200)*10000+10000-ROW(),""),"")</f>
        <v/>
      </c>
      <c r="X3200" s="8">
        <f>IF(AND(V3200=1,D3200=pas_data,E3200=pas_turno),10000-ROW(),"")</f>
        <v/>
      </c>
    </row>
    <row r="3201">
      <c r="A3201" s="3">
        <f>IF(D3201="","","TT-"&amp;TEXT(ROW()-1,"00000"))</f>
        <v/>
      </c>
      <c r="B3201" s="3">
        <f>IF(D3201="","",IF(V3201=0,"CONCLUÍDO",IF(D3201&lt;corte,"HISTÓRICO",IF(OR(AND(ISNUMBER(R3201),R3201&lt;TODAY()),AND(OR(N3201="PENDENTE",N3201="PARCIAL"),D3201&lt;TODAY()-1)),"CRÍTICO",IF(OR(AND(P3201&lt;&gt;"",S3201=""),AND(N3201="REALIZADO",M3201="PENDENTE"),AND(ISNUMBER(R3201),R3201=TODAY())),"ATENÇÃO",IF(N(K3201)=0,"PENDENTE","EM ANDAMENTO"))))))</f>
        <v/>
      </c>
      <c r="C3201" s="3">
        <f>IF(D3201="","",IF(V3201=0,"🟢 OK",IF(D3201&lt;corte,"⚪ HISTÓRICO (sem baixa)",IF(AND(ISNUMBER(R3201),R3201&lt;TODAY()),"🔴 PRAZO VENCIDO",IF(AND(OR(N3201="PENDENTE",N3201="PARCIAL"),D3201&lt;TODAY()-1),"🔴 EMBARQUE ATRASADO",IF(AND(N3201="REALIZADO",M3201="PENDENTE"),"🟡 EMBARCADO SEM FATURAR",IF(AND(P3201&lt;&gt;"",S3201="",OR(Q3201="",R3201="")),"🟡 PENDÊNCIA SEM RESPONSÁVEL/PRAZO",IF(AND(ISNUMBER(R3201),R3201=TODAY()),"🟡 VENCE HOJE",IF(AND(P3201&lt;&gt;"",S3201=""),"🟡 PENDÊNCIA ABERTA",IF(AND(N(J3201)&gt;0,N(K3201)&lt;J3201),"🟡 FALTA EXECUTAR",IF(OR(M3201="PENDENTE",M3201="PARCIAL"),"🟡 FATURAMENTO PENDENTE","🟡 EMBARQUE PENDENTE")))))))))))</f>
        <v/>
      </c>
      <c r="D3201" s="4" t="n"/>
      <c r="E3201" s="5" t="n"/>
      <c r="F3201" s="5" t="n"/>
      <c r="G3201" s="5" t="n"/>
      <c r="H3201" s="5" t="n"/>
      <c r="I3201" s="5" t="n"/>
      <c r="J3201" s="6" t="n"/>
      <c r="K3201" s="6" t="n"/>
      <c r="L3201" s="7">
        <f>IF(OR(D3201="",N(J3201)=0),"",MIN(1,N(K3201)/J3201))</f>
        <v/>
      </c>
      <c r="M3201" s="5" t="n"/>
      <c r="N3201" s="5" t="n"/>
      <c r="O3201" s="5" t="n"/>
      <c r="P3201" s="5" t="n"/>
      <c r="Q3201" s="5" t="n"/>
      <c r="R3201" s="4" t="n"/>
      <c r="S3201" s="4" t="n"/>
      <c r="T3201" s="5" t="n"/>
      <c r="U3201" s="8">
        <f>IF(AND(V3201=1,D3201&lt;&gt;""),IF(D3201&gt;=corte,TODAY()-D3201,""),"")</f>
        <v/>
      </c>
      <c r="V3201" s="8">
        <f>IF(D3201="",0,IF(OR(AND(P3201&lt;&gt;"",S3201=""),AND(N(J3201)&gt;0,N(K3201)&lt;J3201),OR(M3201="PENDENTE",M3201="PARCIAL"),OR(N3201="PENDENTE",N3201="PARCIAL")),1,0))</f>
        <v/>
      </c>
      <c r="W3201" s="8">
        <f>IF(AND(V3201=1,D3201&lt;&gt;""),IF(D3201&gt;=corte,(B3201="CRÍTICO")*1E9+(100000-D3201)*10000+10000-ROW(),""),"")</f>
        <v/>
      </c>
      <c r="X3201" s="8">
        <f>IF(AND(V3201=1,D3201=pas_data,E3201=pas_turno),10000-ROW(),"")</f>
        <v/>
      </c>
    </row>
    <row r="3202">
      <c r="A3202" s="3">
        <f>IF(D3202="","","TT-"&amp;TEXT(ROW()-1,"00000"))</f>
        <v/>
      </c>
      <c r="B3202" s="3">
        <f>IF(D3202="","",IF(V3202=0,"CONCLUÍDO",IF(D3202&lt;corte,"HISTÓRICO",IF(OR(AND(ISNUMBER(R3202),R3202&lt;TODAY()),AND(OR(N3202="PENDENTE",N3202="PARCIAL"),D3202&lt;TODAY()-1)),"CRÍTICO",IF(OR(AND(P3202&lt;&gt;"",S3202=""),AND(N3202="REALIZADO",M3202="PENDENTE"),AND(ISNUMBER(R3202),R3202=TODAY())),"ATENÇÃO",IF(N(K3202)=0,"PENDENTE","EM ANDAMENTO"))))))</f>
        <v/>
      </c>
      <c r="C3202" s="3">
        <f>IF(D3202="","",IF(V3202=0,"🟢 OK",IF(D3202&lt;corte,"⚪ HISTÓRICO (sem baixa)",IF(AND(ISNUMBER(R3202),R3202&lt;TODAY()),"🔴 PRAZO VENCIDO",IF(AND(OR(N3202="PENDENTE",N3202="PARCIAL"),D3202&lt;TODAY()-1),"🔴 EMBARQUE ATRASADO",IF(AND(N3202="REALIZADO",M3202="PENDENTE"),"🟡 EMBARCADO SEM FATURAR",IF(AND(P3202&lt;&gt;"",S3202="",OR(Q3202="",R3202="")),"🟡 PENDÊNCIA SEM RESPONSÁVEL/PRAZO",IF(AND(ISNUMBER(R3202),R3202=TODAY()),"🟡 VENCE HOJE",IF(AND(P3202&lt;&gt;"",S3202=""),"🟡 PENDÊNCIA ABERTA",IF(AND(N(J3202)&gt;0,N(K3202)&lt;J3202),"🟡 FALTA EXECUTAR",IF(OR(M3202="PENDENTE",M3202="PARCIAL"),"🟡 FATURAMENTO PENDENTE","🟡 EMBARQUE PENDENTE")))))))))))</f>
        <v/>
      </c>
      <c r="D3202" s="4" t="n"/>
      <c r="E3202" s="5" t="n"/>
      <c r="F3202" s="5" t="n"/>
      <c r="G3202" s="5" t="n"/>
      <c r="H3202" s="5" t="n"/>
      <c r="I3202" s="5" t="n"/>
      <c r="J3202" s="6" t="n"/>
      <c r="K3202" s="6" t="n"/>
      <c r="L3202" s="7">
        <f>IF(OR(D3202="",N(J3202)=0),"",MIN(1,N(K3202)/J3202))</f>
        <v/>
      </c>
      <c r="M3202" s="5" t="n"/>
      <c r="N3202" s="5" t="n"/>
      <c r="O3202" s="5" t="n"/>
      <c r="P3202" s="5" t="n"/>
      <c r="Q3202" s="5" t="n"/>
      <c r="R3202" s="4" t="n"/>
      <c r="S3202" s="4" t="n"/>
      <c r="T3202" s="5" t="n"/>
      <c r="U3202" s="8">
        <f>IF(AND(V3202=1,D3202&lt;&gt;""),IF(D3202&gt;=corte,TODAY()-D3202,""),"")</f>
        <v/>
      </c>
      <c r="V3202" s="8">
        <f>IF(D3202="",0,IF(OR(AND(P3202&lt;&gt;"",S3202=""),AND(N(J3202)&gt;0,N(K3202)&lt;J3202),OR(M3202="PENDENTE",M3202="PARCIAL"),OR(N3202="PENDENTE",N3202="PARCIAL")),1,0))</f>
        <v/>
      </c>
      <c r="W3202" s="8">
        <f>IF(AND(V3202=1,D3202&lt;&gt;""),IF(D3202&gt;=corte,(B3202="CRÍTICO")*1E9+(100000-D3202)*10000+10000-ROW(),""),"")</f>
        <v/>
      </c>
      <c r="X3202" s="8">
        <f>IF(AND(V3202=1,D3202=pas_data,E3202=pas_turno),10000-ROW(),"")</f>
        <v/>
      </c>
    </row>
    <row r="3203">
      <c r="A3203" s="3">
        <f>IF(D3203="","","TT-"&amp;TEXT(ROW()-1,"00000"))</f>
        <v/>
      </c>
      <c r="B3203" s="3">
        <f>IF(D3203="","",IF(V3203=0,"CONCLUÍDO",IF(D3203&lt;corte,"HISTÓRICO",IF(OR(AND(ISNUMBER(R3203),R3203&lt;TODAY()),AND(OR(N3203="PENDENTE",N3203="PARCIAL"),D3203&lt;TODAY()-1)),"CRÍTICO",IF(OR(AND(P3203&lt;&gt;"",S3203=""),AND(N3203="REALIZADO",M3203="PENDENTE"),AND(ISNUMBER(R3203),R3203=TODAY())),"ATENÇÃO",IF(N(K3203)=0,"PENDENTE","EM ANDAMENTO"))))))</f>
        <v/>
      </c>
      <c r="C3203" s="3">
        <f>IF(D3203="","",IF(V3203=0,"🟢 OK",IF(D3203&lt;corte,"⚪ HISTÓRICO (sem baixa)",IF(AND(ISNUMBER(R3203),R3203&lt;TODAY()),"🔴 PRAZO VENCIDO",IF(AND(OR(N3203="PENDENTE",N3203="PARCIAL"),D3203&lt;TODAY()-1),"🔴 EMBARQUE ATRASADO",IF(AND(N3203="REALIZADO",M3203="PENDENTE"),"🟡 EMBARCADO SEM FATURAR",IF(AND(P3203&lt;&gt;"",S3203="",OR(Q3203="",R3203="")),"🟡 PENDÊNCIA SEM RESPONSÁVEL/PRAZO",IF(AND(ISNUMBER(R3203),R3203=TODAY()),"🟡 VENCE HOJE",IF(AND(P3203&lt;&gt;"",S3203=""),"🟡 PENDÊNCIA ABERTA",IF(AND(N(J3203)&gt;0,N(K3203)&lt;J3203),"🟡 FALTA EXECUTAR",IF(OR(M3203="PENDENTE",M3203="PARCIAL"),"🟡 FATURAMENTO PENDENTE","🟡 EMBARQUE PENDENTE")))))))))))</f>
        <v/>
      </c>
      <c r="D3203" s="4" t="n"/>
      <c r="E3203" s="5" t="n"/>
      <c r="F3203" s="5" t="n"/>
      <c r="G3203" s="5" t="n"/>
      <c r="H3203" s="5" t="n"/>
      <c r="I3203" s="5" t="n"/>
      <c r="J3203" s="6" t="n"/>
      <c r="K3203" s="6" t="n"/>
      <c r="L3203" s="7">
        <f>IF(OR(D3203="",N(J3203)=0),"",MIN(1,N(K3203)/J3203))</f>
        <v/>
      </c>
      <c r="M3203" s="5" t="n"/>
      <c r="N3203" s="5" t="n"/>
      <c r="O3203" s="5" t="n"/>
      <c r="P3203" s="5" t="n"/>
      <c r="Q3203" s="5" t="n"/>
      <c r="R3203" s="4" t="n"/>
      <c r="S3203" s="4" t="n"/>
      <c r="T3203" s="5" t="n"/>
      <c r="U3203" s="8">
        <f>IF(AND(V3203=1,D3203&lt;&gt;""),IF(D3203&gt;=corte,TODAY()-D3203,""),"")</f>
        <v/>
      </c>
      <c r="V3203" s="8">
        <f>IF(D3203="",0,IF(OR(AND(P3203&lt;&gt;"",S3203=""),AND(N(J3203)&gt;0,N(K3203)&lt;J3203),OR(M3203="PENDENTE",M3203="PARCIAL"),OR(N3203="PENDENTE",N3203="PARCIAL")),1,0))</f>
        <v/>
      </c>
      <c r="W3203" s="8">
        <f>IF(AND(V3203=1,D3203&lt;&gt;""),IF(D3203&gt;=corte,(B3203="CRÍTICO")*1E9+(100000-D3203)*10000+10000-ROW(),""),"")</f>
        <v/>
      </c>
      <c r="X3203" s="8">
        <f>IF(AND(V3203=1,D3203=pas_data,E3203=pas_turno),10000-ROW(),"")</f>
        <v/>
      </c>
    </row>
    <row r="3204">
      <c r="A3204" s="3">
        <f>IF(D3204="","","TT-"&amp;TEXT(ROW()-1,"00000"))</f>
        <v/>
      </c>
      <c r="B3204" s="3">
        <f>IF(D3204="","",IF(V3204=0,"CONCLUÍDO",IF(D3204&lt;corte,"HISTÓRICO",IF(OR(AND(ISNUMBER(R3204),R3204&lt;TODAY()),AND(OR(N3204="PENDENTE",N3204="PARCIAL"),D3204&lt;TODAY()-1)),"CRÍTICO",IF(OR(AND(P3204&lt;&gt;"",S3204=""),AND(N3204="REALIZADO",M3204="PENDENTE"),AND(ISNUMBER(R3204),R3204=TODAY())),"ATENÇÃO",IF(N(K3204)=0,"PENDENTE","EM ANDAMENTO"))))))</f>
        <v/>
      </c>
      <c r="C3204" s="3">
        <f>IF(D3204="","",IF(V3204=0,"🟢 OK",IF(D3204&lt;corte,"⚪ HISTÓRICO (sem baixa)",IF(AND(ISNUMBER(R3204),R3204&lt;TODAY()),"🔴 PRAZO VENCIDO",IF(AND(OR(N3204="PENDENTE",N3204="PARCIAL"),D3204&lt;TODAY()-1),"🔴 EMBARQUE ATRASADO",IF(AND(N3204="REALIZADO",M3204="PENDENTE"),"🟡 EMBARCADO SEM FATURAR",IF(AND(P3204&lt;&gt;"",S3204="",OR(Q3204="",R3204="")),"🟡 PENDÊNCIA SEM RESPONSÁVEL/PRAZO",IF(AND(ISNUMBER(R3204),R3204=TODAY()),"🟡 VENCE HOJE",IF(AND(P3204&lt;&gt;"",S3204=""),"🟡 PENDÊNCIA ABERTA",IF(AND(N(J3204)&gt;0,N(K3204)&lt;J3204),"🟡 FALTA EXECUTAR",IF(OR(M3204="PENDENTE",M3204="PARCIAL"),"🟡 FATURAMENTO PENDENTE","🟡 EMBARQUE PENDENTE")))))))))))</f>
        <v/>
      </c>
      <c r="D3204" s="4" t="n"/>
      <c r="E3204" s="5" t="n"/>
      <c r="F3204" s="5" t="n"/>
      <c r="G3204" s="5" t="n"/>
      <c r="H3204" s="5" t="n"/>
      <c r="I3204" s="5" t="n"/>
      <c r="J3204" s="6" t="n"/>
      <c r="K3204" s="6" t="n"/>
      <c r="L3204" s="7">
        <f>IF(OR(D3204="",N(J3204)=0),"",MIN(1,N(K3204)/J3204))</f>
        <v/>
      </c>
      <c r="M3204" s="5" t="n"/>
      <c r="N3204" s="5" t="n"/>
      <c r="O3204" s="5" t="n"/>
      <c r="P3204" s="5" t="n"/>
      <c r="Q3204" s="5" t="n"/>
      <c r="R3204" s="4" t="n"/>
      <c r="S3204" s="4" t="n"/>
      <c r="T3204" s="5" t="n"/>
      <c r="U3204" s="8">
        <f>IF(AND(V3204=1,D3204&lt;&gt;""),IF(D3204&gt;=corte,TODAY()-D3204,""),"")</f>
        <v/>
      </c>
      <c r="V3204" s="8">
        <f>IF(D3204="",0,IF(OR(AND(P3204&lt;&gt;"",S3204=""),AND(N(J3204)&gt;0,N(K3204)&lt;J3204),OR(M3204="PENDENTE",M3204="PARCIAL"),OR(N3204="PENDENTE",N3204="PARCIAL")),1,0))</f>
        <v/>
      </c>
      <c r="W3204" s="8">
        <f>IF(AND(V3204=1,D3204&lt;&gt;""),IF(D3204&gt;=corte,(B3204="CRÍTICO")*1E9+(100000-D3204)*10000+10000-ROW(),""),"")</f>
        <v/>
      </c>
      <c r="X3204" s="8">
        <f>IF(AND(V3204=1,D3204=pas_data,E3204=pas_turno),10000-ROW(),"")</f>
        <v/>
      </c>
    </row>
    <row r="3205">
      <c r="A3205" s="3">
        <f>IF(D3205="","","TT-"&amp;TEXT(ROW()-1,"00000"))</f>
        <v/>
      </c>
      <c r="B3205" s="3">
        <f>IF(D3205="","",IF(V3205=0,"CONCLUÍDO",IF(D3205&lt;corte,"HISTÓRICO",IF(OR(AND(ISNUMBER(R3205),R3205&lt;TODAY()),AND(OR(N3205="PENDENTE",N3205="PARCIAL"),D3205&lt;TODAY()-1)),"CRÍTICO",IF(OR(AND(P3205&lt;&gt;"",S3205=""),AND(N3205="REALIZADO",M3205="PENDENTE"),AND(ISNUMBER(R3205),R3205=TODAY())),"ATENÇÃO",IF(N(K3205)=0,"PENDENTE","EM ANDAMENTO"))))))</f>
        <v/>
      </c>
      <c r="C3205" s="3">
        <f>IF(D3205="","",IF(V3205=0,"🟢 OK",IF(D3205&lt;corte,"⚪ HISTÓRICO (sem baixa)",IF(AND(ISNUMBER(R3205),R3205&lt;TODAY()),"🔴 PRAZO VENCIDO",IF(AND(OR(N3205="PENDENTE",N3205="PARCIAL"),D3205&lt;TODAY()-1),"🔴 EMBARQUE ATRASADO",IF(AND(N3205="REALIZADO",M3205="PENDENTE"),"🟡 EMBARCADO SEM FATURAR",IF(AND(P3205&lt;&gt;"",S3205="",OR(Q3205="",R3205="")),"🟡 PENDÊNCIA SEM RESPONSÁVEL/PRAZO",IF(AND(ISNUMBER(R3205),R3205=TODAY()),"🟡 VENCE HOJE",IF(AND(P3205&lt;&gt;"",S3205=""),"🟡 PENDÊNCIA ABERTA",IF(AND(N(J3205)&gt;0,N(K3205)&lt;J3205),"🟡 FALTA EXECUTAR",IF(OR(M3205="PENDENTE",M3205="PARCIAL"),"🟡 FATURAMENTO PENDENTE","🟡 EMBARQUE PENDENTE")))))))))))</f>
        <v/>
      </c>
      <c r="D3205" s="4" t="n"/>
      <c r="E3205" s="5" t="n"/>
      <c r="F3205" s="5" t="n"/>
      <c r="G3205" s="5" t="n"/>
      <c r="H3205" s="5" t="n"/>
      <c r="I3205" s="5" t="n"/>
      <c r="J3205" s="6" t="n"/>
      <c r="K3205" s="6" t="n"/>
      <c r="L3205" s="7">
        <f>IF(OR(D3205="",N(J3205)=0),"",MIN(1,N(K3205)/J3205))</f>
        <v/>
      </c>
      <c r="M3205" s="5" t="n"/>
      <c r="N3205" s="5" t="n"/>
      <c r="O3205" s="5" t="n"/>
      <c r="P3205" s="5" t="n"/>
      <c r="Q3205" s="5" t="n"/>
      <c r="R3205" s="4" t="n"/>
      <c r="S3205" s="4" t="n"/>
      <c r="T3205" s="5" t="n"/>
      <c r="U3205" s="8">
        <f>IF(AND(V3205=1,D3205&lt;&gt;""),IF(D3205&gt;=corte,TODAY()-D3205,""),"")</f>
        <v/>
      </c>
      <c r="V3205" s="8">
        <f>IF(D3205="",0,IF(OR(AND(P3205&lt;&gt;"",S3205=""),AND(N(J3205)&gt;0,N(K3205)&lt;J3205),OR(M3205="PENDENTE",M3205="PARCIAL"),OR(N3205="PENDENTE",N3205="PARCIAL")),1,0))</f>
        <v/>
      </c>
      <c r="W3205" s="8">
        <f>IF(AND(V3205=1,D3205&lt;&gt;""),IF(D3205&gt;=corte,(B3205="CRÍTICO")*1E9+(100000-D3205)*10000+10000-ROW(),""),"")</f>
        <v/>
      </c>
      <c r="X3205" s="8">
        <f>IF(AND(V3205=1,D3205=pas_data,E3205=pas_turno),10000-ROW(),"")</f>
        <v/>
      </c>
    </row>
    <row r="3206">
      <c r="A3206" s="3">
        <f>IF(D3206="","","TT-"&amp;TEXT(ROW()-1,"00000"))</f>
        <v/>
      </c>
      <c r="B3206" s="3">
        <f>IF(D3206="","",IF(V3206=0,"CONCLUÍDO",IF(D3206&lt;corte,"HISTÓRICO",IF(OR(AND(ISNUMBER(R3206),R3206&lt;TODAY()),AND(OR(N3206="PENDENTE",N3206="PARCIAL"),D3206&lt;TODAY()-1)),"CRÍTICO",IF(OR(AND(P3206&lt;&gt;"",S3206=""),AND(N3206="REALIZADO",M3206="PENDENTE"),AND(ISNUMBER(R3206),R3206=TODAY())),"ATENÇÃO",IF(N(K3206)=0,"PENDENTE","EM ANDAMENTO"))))))</f>
        <v/>
      </c>
      <c r="C3206" s="3">
        <f>IF(D3206="","",IF(V3206=0,"🟢 OK",IF(D3206&lt;corte,"⚪ HISTÓRICO (sem baixa)",IF(AND(ISNUMBER(R3206),R3206&lt;TODAY()),"🔴 PRAZO VENCIDO",IF(AND(OR(N3206="PENDENTE",N3206="PARCIAL"),D3206&lt;TODAY()-1),"🔴 EMBARQUE ATRASADO",IF(AND(N3206="REALIZADO",M3206="PENDENTE"),"🟡 EMBARCADO SEM FATURAR",IF(AND(P3206&lt;&gt;"",S3206="",OR(Q3206="",R3206="")),"🟡 PENDÊNCIA SEM RESPONSÁVEL/PRAZO",IF(AND(ISNUMBER(R3206),R3206=TODAY()),"🟡 VENCE HOJE",IF(AND(P3206&lt;&gt;"",S3206=""),"🟡 PENDÊNCIA ABERTA",IF(AND(N(J3206)&gt;0,N(K3206)&lt;J3206),"🟡 FALTA EXECUTAR",IF(OR(M3206="PENDENTE",M3206="PARCIAL"),"🟡 FATURAMENTO PENDENTE","🟡 EMBARQUE PENDENTE")))))))))))</f>
        <v/>
      </c>
      <c r="D3206" s="4" t="n"/>
      <c r="E3206" s="5" t="n"/>
      <c r="F3206" s="5" t="n"/>
      <c r="G3206" s="5" t="n"/>
      <c r="H3206" s="5" t="n"/>
      <c r="I3206" s="5" t="n"/>
      <c r="J3206" s="6" t="n"/>
      <c r="K3206" s="6" t="n"/>
      <c r="L3206" s="7">
        <f>IF(OR(D3206="",N(J3206)=0),"",MIN(1,N(K3206)/J3206))</f>
        <v/>
      </c>
      <c r="M3206" s="5" t="n"/>
      <c r="N3206" s="5" t="n"/>
      <c r="O3206" s="5" t="n"/>
      <c r="P3206" s="5" t="n"/>
      <c r="Q3206" s="5" t="n"/>
      <c r="R3206" s="4" t="n"/>
      <c r="S3206" s="4" t="n"/>
      <c r="T3206" s="5" t="n"/>
      <c r="U3206" s="8">
        <f>IF(AND(V3206=1,D3206&lt;&gt;""),IF(D3206&gt;=corte,TODAY()-D3206,""),"")</f>
        <v/>
      </c>
      <c r="V3206" s="8">
        <f>IF(D3206="",0,IF(OR(AND(P3206&lt;&gt;"",S3206=""),AND(N(J3206)&gt;0,N(K3206)&lt;J3206),OR(M3206="PENDENTE",M3206="PARCIAL"),OR(N3206="PENDENTE",N3206="PARCIAL")),1,0))</f>
        <v/>
      </c>
      <c r="W3206" s="8">
        <f>IF(AND(V3206=1,D3206&lt;&gt;""),IF(D3206&gt;=corte,(B3206="CRÍTICO")*1E9+(100000-D3206)*10000+10000-ROW(),""),"")</f>
        <v/>
      </c>
      <c r="X3206" s="8">
        <f>IF(AND(V3206=1,D3206=pas_data,E3206=pas_turno),10000-ROW(),"")</f>
        <v/>
      </c>
    </row>
    <row r="3207">
      <c r="A3207" s="3">
        <f>IF(D3207="","","TT-"&amp;TEXT(ROW()-1,"00000"))</f>
        <v/>
      </c>
      <c r="B3207" s="3">
        <f>IF(D3207="","",IF(V3207=0,"CONCLUÍDO",IF(D3207&lt;corte,"HISTÓRICO",IF(OR(AND(ISNUMBER(R3207),R3207&lt;TODAY()),AND(OR(N3207="PENDENTE",N3207="PARCIAL"),D3207&lt;TODAY()-1)),"CRÍTICO",IF(OR(AND(P3207&lt;&gt;"",S3207=""),AND(N3207="REALIZADO",M3207="PENDENTE"),AND(ISNUMBER(R3207),R3207=TODAY())),"ATENÇÃO",IF(N(K3207)=0,"PENDENTE","EM ANDAMENTO"))))))</f>
        <v/>
      </c>
      <c r="C3207" s="3">
        <f>IF(D3207="","",IF(V3207=0,"🟢 OK",IF(D3207&lt;corte,"⚪ HISTÓRICO (sem baixa)",IF(AND(ISNUMBER(R3207),R3207&lt;TODAY()),"🔴 PRAZO VENCIDO",IF(AND(OR(N3207="PENDENTE",N3207="PARCIAL"),D3207&lt;TODAY()-1),"🔴 EMBARQUE ATRASADO",IF(AND(N3207="REALIZADO",M3207="PENDENTE"),"🟡 EMBARCADO SEM FATURAR",IF(AND(P3207&lt;&gt;"",S3207="",OR(Q3207="",R3207="")),"🟡 PENDÊNCIA SEM RESPONSÁVEL/PRAZO",IF(AND(ISNUMBER(R3207),R3207=TODAY()),"🟡 VENCE HOJE",IF(AND(P3207&lt;&gt;"",S3207=""),"🟡 PENDÊNCIA ABERTA",IF(AND(N(J3207)&gt;0,N(K3207)&lt;J3207),"🟡 FALTA EXECUTAR",IF(OR(M3207="PENDENTE",M3207="PARCIAL"),"🟡 FATURAMENTO PENDENTE","🟡 EMBARQUE PENDENTE")))))))))))</f>
        <v/>
      </c>
      <c r="D3207" s="4" t="n"/>
      <c r="E3207" s="5" t="n"/>
      <c r="F3207" s="5" t="n"/>
      <c r="G3207" s="5" t="n"/>
      <c r="H3207" s="5" t="n"/>
      <c r="I3207" s="5" t="n"/>
      <c r="J3207" s="6" t="n"/>
      <c r="K3207" s="6" t="n"/>
      <c r="L3207" s="7">
        <f>IF(OR(D3207="",N(J3207)=0),"",MIN(1,N(K3207)/J3207))</f>
        <v/>
      </c>
      <c r="M3207" s="5" t="n"/>
      <c r="N3207" s="5" t="n"/>
      <c r="O3207" s="5" t="n"/>
      <c r="P3207" s="5" t="n"/>
      <c r="Q3207" s="5" t="n"/>
      <c r="R3207" s="4" t="n"/>
      <c r="S3207" s="4" t="n"/>
      <c r="T3207" s="5" t="n"/>
      <c r="U3207" s="8">
        <f>IF(AND(V3207=1,D3207&lt;&gt;""),IF(D3207&gt;=corte,TODAY()-D3207,""),"")</f>
        <v/>
      </c>
      <c r="V3207" s="8">
        <f>IF(D3207="",0,IF(OR(AND(P3207&lt;&gt;"",S3207=""),AND(N(J3207)&gt;0,N(K3207)&lt;J3207),OR(M3207="PENDENTE",M3207="PARCIAL"),OR(N3207="PENDENTE",N3207="PARCIAL")),1,0))</f>
        <v/>
      </c>
      <c r="W3207" s="8">
        <f>IF(AND(V3207=1,D3207&lt;&gt;""),IF(D3207&gt;=corte,(B3207="CRÍTICO")*1E9+(100000-D3207)*10000+10000-ROW(),""),"")</f>
        <v/>
      </c>
      <c r="X3207" s="8">
        <f>IF(AND(V3207=1,D3207=pas_data,E3207=pas_turno),10000-ROW(),"")</f>
        <v/>
      </c>
    </row>
    <row r="3208">
      <c r="A3208" s="3">
        <f>IF(D3208="","","TT-"&amp;TEXT(ROW()-1,"00000"))</f>
        <v/>
      </c>
      <c r="B3208" s="3">
        <f>IF(D3208="","",IF(V3208=0,"CONCLUÍDO",IF(D3208&lt;corte,"HISTÓRICO",IF(OR(AND(ISNUMBER(R3208),R3208&lt;TODAY()),AND(OR(N3208="PENDENTE",N3208="PARCIAL"),D3208&lt;TODAY()-1)),"CRÍTICO",IF(OR(AND(P3208&lt;&gt;"",S3208=""),AND(N3208="REALIZADO",M3208="PENDENTE"),AND(ISNUMBER(R3208),R3208=TODAY())),"ATENÇÃO",IF(N(K3208)=0,"PENDENTE","EM ANDAMENTO"))))))</f>
        <v/>
      </c>
      <c r="C3208" s="3">
        <f>IF(D3208="","",IF(V3208=0,"🟢 OK",IF(D3208&lt;corte,"⚪ HISTÓRICO (sem baixa)",IF(AND(ISNUMBER(R3208),R3208&lt;TODAY()),"🔴 PRAZO VENCIDO",IF(AND(OR(N3208="PENDENTE",N3208="PARCIAL"),D3208&lt;TODAY()-1),"🔴 EMBARQUE ATRASADO",IF(AND(N3208="REALIZADO",M3208="PENDENTE"),"🟡 EMBARCADO SEM FATURAR",IF(AND(P3208&lt;&gt;"",S3208="",OR(Q3208="",R3208="")),"🟡 PENDÊNCIA SEM RESPONSÁVEL/PRAZO",IF(AND(ISNUMBER(R3208),R3208=TODAY()),"🟡 VENCE HOJE",IF(AND(P3208&lt;&gt;"",S3208=""),"🟡 PENDÊNCIA ABERTA",IF(AND(N(J3208)&gt;0,N(K3208)&lt;J3208),"🟡 FALTA EXECUTAR",IF(OR(M3208="PENDENTE",M3208="PARCIAL"),"🟡 FATURAMENTO PENDENTE","🟡 EMBARQUE PENDENTE")))))))))))</f>
        <v/>
      </c>
      <c r="D3208" s="4" t="n"/>
      <c r="E3208" s="5" t="n"/>
      <c r="F3208" s="5" t="n"/>
      <c r="G3208" s="5" t="n"/>
      <c r="H3208" s="5" t="n"/>
      <c r="I3208" s="5" t="n"/>
      <c r="J3208" s="6" t="n"/>
      <c r="K3208" s="6" t="n"/>
      <c r="L3208" s="7">
        <f>IF(OR(D3208="",N(J3208)=0),"",MIN(1,N(K3208)/J3208))</f>
        <v/>
      </c>
      <c r="M3208" s="5" t="n"/>
      <c r="N3208" s="5" t="n"/>
      <c r="O3208" s="5" t="n"/>
      <c r="P3208" s="5" t="n"/>
      <c r="Q3208" s="5" t="n"/>
      <c r="R3208" s="4" t="n"/>
      <c r="S3208" s="4" t="n"/>
      <c r="T3208" s="5" t="n"/>
      <c r="U3208" s="8">
        <f>IF(AND(V3208=1,D3208&lt;&gt;""),IF(D3208&gt;=corte,TODAY()-D3208,""),"")</f>
        <v/>
      </c>
      <c r="V3208" s="8">
        <f>IF(D3208="",0,IF(OR(AND(P3208&lt;&gt;"",S3208=""),AND(N(J3208)&gt;0,N(K3208)&lt;J3208),OR(M3208="PENDENTE",M3208="PARCIAL"),OR(N3208="PENDENTE",N3208="PARCIAL")),1,0))</f>
        <v/>
      </c>
      <c r="W3208" s="8">
        <f>IF(AND(V3208=1,D3208&lt;&gt;""),IF(D3208&gt;=corte,(B3208="CRÍTICO")*1E9+(100000-D3208)*10000+10000-ROW(),""),"")</f>
        <v/>
      </c>
      <c r="X3208" s="8">
        <f>IF(AND(V3208=1,D3208=pas_data,E3208=pas_turno),10000-ROW(),"")</f>
        <v/>
      </c>
    </row>
    <row r="3209">
      <c r="A3209" s="3">
        <f>IF(D3209="","","TT-"&amp;TEXT(ROW()-1,"00000"))</f>
        <v/>
      </c>
      <c r="B3209" s="3">
        <f>IF(D3209="","",IF(V3209=0,"CONCLUÍDO",IF(D3209&lt;corte,"HISTÓRICO",IF(OR(AND(ISNUMBER(R3209),R3209&lt;TODAY()),AND(OR(N3209="PENDENTE",N3209="PARCIAL"),D3209&lt;TODAY()-1)),"CRÍTICO",IF(OR(AND(P3209&lt;&gt;"",S3209=""),AND(N3209="REALIZADO",M3209="PENDENTE"),AND(ISNUMBER(R3209),R3209=TODAY())),"ATENÇÃO",IF(N(K3209)=0,"PENDENTE","EM ANDAMENTO"))))))</f>
        <v/>
      </c>
      <c r="C3209" s="3">
        <f>IF(D3209="","",IF(V3209=0,"🟢 OK",IF(D3209&lt;corte,"⚪ HISTÓRICO (sem baixa)",IF(AND(ISNUMBER(R3209),R3209&lt;TODAY()),"🔴 PRAZO VENCIDO",IF(AND(OR(N3209="PENDENTE",N3209="PARCIAL"),D3209&lt;TODAY()-1),"🔴 EMBARQUE ATRASADO",IF(AND(N3209="REALIZADO",M3209="PENDENTE"),"🟡 EMBARCADO SEM FATURAR",IF(AND(P3209&lt;&gt;"",S3209="",OR(Q3209="",R3209="")),"🟡 PENDÊNCIA SEM RESPONSÁVEL/PRAZO",IF(AND(ISNUMBER(R3209),R3209=TODAY()),"🟡 VENCE HOJE",IF(AND(P3209&lt;&gt;"",S3209=""),"🟡 PENDÊNCIA ABERTA",IF(AND(N(J3209)&gt;0,N(K3209)&lt;J3209),"🟡 FALTA EXECUTAR",IF(OR(M3209="PENDENTE",M3209="PARCIAL"),"🟡 FATURAMENTO PENDENTE","🟡 EMBARQUE PENDENTE")))))))))))</f>
        <v/>
      </c>
      <c r="D3209" s="4" t="n"/>
      <c r="E3209" s="5" t="n"/>
      <c r="F3209" s="5" t="n"/>
      <c r="G3209" s="5" t="n"/>
      <c r="H3209" s="5" t="n"/>
      <c r="I3209" s="5" t="n"/>
      <c r="J3209" s="6" t="n"/>
      <c r="K3209" s="6" t="n"/>
      <c r="L3209" s="7">
        <f>IF(OR(D3209="",N(J3209)=0),"",MIN(1,N(K3209)/J3209))</f>
        <v/>
      </c>
      <c r="M3209" s="5" t="n"/>
      <c r="N3209" s="5" t="n"/>
      <c r="O3209" s="5" t="n"/>
      <c r="P3209" s="5" t="n"/>
      <c r="Q3209" s="5" t="n"/>
      <c r="R3209" s="4" t="n"/>
      <c r="S3209" s="4" t="n"/>
      <c r="T3209" s="5" t="n"/>
      <c r="U3209" s="8">
        <f>IF(AND(V3209=1,D3209&lt;&gt;""),IF(D3209&gt;=corte,TODAY()-D3209,""),"")</f>
        <v/>
      </c>
      <c r="V3209" s="8">
        <f>IF(D3209="",0,IF(OR(AND(P3209&lt;&gt;"",S3209=""),AND(N(J3209)&gt;0,N(K3209)&lt;J3209),OR(M3209="PENDENTE",M3209="PARCIAL"),OR(N3209="PENDENTE",N3209="PARCIAL")),1,0))</f>
        <v/>
      </c>
      <c r="W3209" s="8">
        <f>IF(AND(V3209=1,D3209&lt;&gt;""),IF(D3209&gt;=corte,(B3209="CRÍTICO")*1E9+(100000-D3209)*10000+10000-ROW(),""),"")</f>
        <v/>
      </c>
      <c r="X3209" s="8">
        <f>IF(AND(V3209=1,D3209=pas_data,E3209=pas_turno),10000-ROW(),"")</f>
        <v/>
      </c>
    </row>
    <row r="3210">
      <c r="A3210" s="3">
        <f>IF(D3210="","","TT-"&amp;TEXT(ROW()-1,"00000"))</f>
        <v/>
      </c>
      <c r="B3210" s="3">
        <f>IF(D3210="","",IF(V3210=0,"CONCLUÍDO",IF(D3210&lt;corte,"HISTÓRICO",IF(OR(AND(ISNUMBER(R3210),R3210&lt;TODAY()),AND(OR(N3210="PENDENTE",N3210="PARCIAL"),D3210&lt;TODAY()-1)),"CRÍTICO",IF(OR(AND(P3210&lt;&gt;"",S3210=""),AND(N3210="REALIZADO",M3210="PENDENTE"),AND(ISNUMBER(R3210),R3210=TODAY())),"ATENÇÃO",IF(N(K3210)=0,"PENDENTE","EM ANDAMENTO"))))))</f>
        <v/>
      </c>
      <c r="C3210" s="3">
        <f>IF(D3210="","",IF(V3210=0,"🟢 OK",IF(D3210&lt;corte,"⚪ HISTÓRICO (sem baixa)",IF(AND(ISNUMBER(R3210),R3210&lt;TODAY()),"🔴 PRAZO VENCIDO",IF(AND(OR(N3210="PENDENTE",N3210="PARCIAL"),D3210&lt;TODAY()-1),"🔴 EMBARQUE ATRASADO",IF(AND(N3210="REALIZADO",M3210="PENDENTE"),"🟡 EMBARCADO SEM FATURAR",IF(AND(P3210&lt;&gt;"",S3210="",OR(Q3210="",R3210="")),"🟡 PENDÊNCIA SEM RESPONSÁVEL/PRAZO",IF(AND(ISNUMBER(R3210),R3210=TODAY()),"🟡 VENCE HOJE",IF(AND(P3210&lt;&gt;"",S3210=""),"🟡 PENDÊNCIA ABERTA",IF(AND(N(J3210)&gt;0,N(K3210)&lt;J3210),"🟡 FALTA EXECUTAR",IF(OR(M3210="PENDENTE",M3210="PARCIAL"),"🟡 FATURAMENTO PENDENTE","🟡 EMBARQUE PENDENTE")))))))))))</f>
        <v/>
      </c>
      <c r="D3210" s="4" t="n"/>
      <c r="E3210" s="5" t="n"/>
      <c r="F3210" s="5" t="n"/>
      <c r="G3210" s="5" t="n"/>
      <c r="H3210" s="5" t="n"/>
      <c r="I3210" s="5" t="n"/>
      <c r="J3210" s="6" t="n"/>
      <c r="K3210" s="6" t="n"/>
      <c r="L3210" s="7">
        <f>IF(OR(D3210="",N(J3210)=0),"",MIN(1,N(K3210)/J3210))</f>
        <v/>
      </c>
      <c r="M3210" s="5" t="n"/>
      <c r="N3210" s="5" t="n"/>
      <c r="O3210" s="5" t="n"/>
      <c r="P3210" s="5" t="n"/>
      <c r="Q3210" s="5" t="n"/>
      <c r="R3210" s="4" t="n"/>
      <c r="S3210" s="4" t="n"/>
      <c r="T3210" s="5" t="n"/>
      <c r="U3210" s="8">
        <f>IF(AND(V3210=1,D3210&lt;&gt;""),IF(D3210&gt;=corte,TODAY()-D3210,""),"")</f>
        <v/>
      </c>
      <c r="V3210" s="8">
        <f>IF(D3210="",0,IF(OR(AND(P3210&lt;&gt;"",S3210=""),AND(N(J3210)&gt;0,N(K3210)&lt;J3210),OR(M3210="PENDENTE",M3210="PARCIAL"),OR(N3210="PENDENTE",N3210="PARCIAL")),1,0))</f>
        <v/>
      </c>
      <c r="W3210" s="8">
        <f>IF(AND(V3210=1,D3210&lt;&gt;""),IF(D3210&gt;=corte,(B3210="CRÍTICO")*1E9+(100000-D3210)*10000+10000-ROW(),""),"")</f>
        <v/>
      </c>
      <c r="X3210" s="8">
        <f>IF(AND(V3210=1,D3210=pas_data,E3210=pas_turno),10000-ROW(),"")</f>
        <v/>
      </c>
    </row>
    <row r="3211">
      <c r="A3211" s="3">
        <f>IF(D3211="","","TT-"&amp;TEXT(ROW()-1,"00000"))</f>
        <v/>
      </c>
      <c r="B3211" s="3">
        <f>IF(D3211="","",IF(V3211=0,"CONCLUÍDO",IF(D3211&lt;corte,"HISTÓRICO",IF(OR(AND(ISNUMBER(R3211),R3211&lt;TODAY()),AND(OR(N3211="PENDENTE",N3211="PARCIAL"),D3211&lt;TODAY()-1)),"CRÍTICO",IF(OR(AND(P3211&lt;&gt;"",S3211=""),AND(N3211="REALIZADO",M3211="PENDENTE"),AND(ISNUMBER(R3211),R3211=TODAY())),"ATENÇÃO",IF(N(K3211)=0,"PENDENTE","EM ANDAMENTO"))))))</f>
        <v/>
      </c>
      <c r="C3211" s="3">
        <f>IF(D3211="","",IF(V3211=0,"🟢 OK",IF(D3211&lt;corte,"⚪ HISTÓRICO (sem baixa)",IF(AND(ISNUMBER(R3211),R3211&lt;TODAY()),"🔴 PRAZO VENCIDO",IF(AND(OR(N3211="PENDENTE",N3211="PARCIAL"),D3211&lt;TODAY()-1),"🔴 EMBARQUE ATRASADO",IF(AND(N3211="REALIZADO",M3211="PENDENTE"),"🟡 EMBARCADO SEM FATURAR",IF(AND(P3211&lt;&gt;"",S3211="",OR(Q3211="",R3211="")),"🟡 PENDÊNCIA SEM RESPONSÁVEL/PRAZO",IF(AND(ISNUMBER(R3211),R3211=TODAY()),"🟡 VENCE HOJE",IF(AND(P3211&lt;&gt;"",S3211=""),"🟡 PENDÊNCIA ABERTA",IF(AND(N(J3211)&gt;0,N(K3211)&lt;J3211),"🟡 FALTA EXECUTAR",IF(OR(M3211="PENDENTE",M3211="PARCIAL"),"🟡 FATURAMENTO PENDENTE","🟡 EMBARQUE PENDENTE")))))))))))</f>
        <v/>
      </c>
      <c r="D3211" s="4" t="n"/>
      <c r="E3211" s="5" t="n"/>
      <c r="F3211" s="5" t="n"/>
      <c r="G3211" s="5" t="n"/>
      <c r="H3211" s="5" t="n"/>
      <c r="I3211" s="5" t="n"/>
      <c r="J3211" s="6" t="n"/>
      <c r="K3211" s="6" t="n"/>
      <c r="L3211" s="7">
        <f>IF(OR(D3211="",N(J3211)=0),"",MIN(1,N(K3211)/J3211))</f>
        <v/>
      </c>
      <c r="M3211" s="5" t="n"/>
      <c r="N3211" s="5" t="n"/>
      <c r="O3211" s="5" t="n"/>
      <c r="P3211" s="5" t="n"/>
      <c r="Q3211" s="5" t="n"/>
      <c r="R3211" s="4" t="n"/>
      <c r="S3211" s="4" t="n"/>
      <c r="T3211" s="5" t="n"/>
      <c r="U3211" s="8">
        <f>IF(AND(V3211=1,D3211&lt;&gt;""),IF(D3211&gt;=corte,TODAY()-D3211,""),"")</f>
        <v/>
      </c>
      <c r="V3211" s="8">
        <f>IF(D3211="",0,IF(OR(AND(P3211&lt;&gt;"",S3211=""),AND(N(J3211)&gt;0,N(K3211)&lt;J3211),OR(M3211="PENDENTE",M3211="PARCIAL"),OR(N3211="PENDENTE",N3211="PARCIAL")),1,0))</f>
        <v/>
      </c>
      <c r="W3211" s="8">
        <f>IF(AND(V3211=1,D3211&lt;&gt;""),IF(D3211&gt;=corte,(B3211="CRÍTICO")*1E9+(100000-D3211)*10000+10000-ROW(),""),"")</f>
        <v/>
      </c>
      <c r="X3211" s="8">
        <f>IF(AND(V3211=1,D3211=pas_data,E3211=pas_turno),10000-ROW(),"")</f>
        <v/>
      </c>
    </row>
    <row r="3212">
      <c r="A3212" s="3">
        <f>IF(D3212="","","TT-"&amp;TEXT(ROW()-1,"00000"))</f>
        <v/>
      </c>
      <c r="B3212" s="3">
        <f>IF(D3212="","",IF(V3212=0,"CONCLUÍDO",IF(D3212&lt;corte,"HISTÓRICO",IF(OR(AND(ISNUMBER(R3212),R3212&lt;TODAY()),AND(OR(N3212="PENDENTE",N3212="PARCIAL"),D3212&lt;TODAY()-1)),"CRÍTICO",IF(OR(AND(P3212&lt;&gt;"",S3212=""),AND(N3212="REALIZADO",M3212="PENDENTE"),AND(ISNUMBER(R3212),R3212=TODAY())),"ATENÇÃO",IF(N(K3212)=0,"PENDENTE","EM ANDAMENTO"))))))</f>
        <v/>
      </c>
      <c r="C3212" s="3">
        <f>IF(D3212="","",IF(V3212=0,"🟢 OK",IF(D3212&lt;corte,"⚪ HISTÓRICO (sem baixa)",IF(AND(ISNUMBER(R3212),R3212&lt;TODAY()),"🔴 PRAZO VENCIDO",IF(AND(OR(N3212="PENDENTE",N3212="PARCIAL"),D3212&lt;TODAY()-1),"🔴 EMBARQUE ATRASADO",IF(AND(N3212="REALIZADO",M3212="PENDENTE"),"🟡 EMBARCADO SEM FATURAR",IF(AND(P3212&lt;&gt;"",S3212="",OR(Q3212="",R3212="")),"🟡 PENDÊNCIA SEM RESPONSÁVEL/PRAZO",IF(AND(ISNUMBER(R3212),R3212=TODAY()),"🟡 VENCE HOJE",IF(AND(P3212&lt;&gt;"",S3212=""),"🟡 PENDÊNCIA ABERTA",IF(AND(N(J3212)&gt;0,N(K3212)&lt;J3212),"🟡 FALTA EXECUTAR",IF(OR(M3212="PENDENTE",M3212="PARCIAL"),"🟡 FATURAMENTO PENDENTE","🟡 EMBARQUE PENDENTE")))))))))))</f>
        <v/>
      </c>
      <c r="D3212" s="4" t="n"/>
      <c r="E3212" s="5" t="n"/>
      <c r="F3212" s="5" t="n"/>
      <c r="G3212" s="5" t="n"/>
      <c r="H3212" s="5" t="n"/>
      <c r="I3212" s="5" t="n"/>
      <c r="J3212" s="6" t="n"/>
      <c r="K3212" s="6" t="n"/>
      <c r="L3212" s="7">
        <f>IF(OR(D3212="",N(J3212)=0),"",MIN(1,N(K3212)/J3212))</f>
        <v/>
      </c>
      <c r="M3212" s="5" t="n"/>
      <c r="N3212" s="5" t="n"/>
      <c r="O3212" s="5" t="n"/>
      <c r="P3212" s="5" t="n"/>
      <c r="Q3212" s="5" t="n"/>
      <c r="R3212" s="4" t="n"/>
      <c r="S3212" s="4" t="n"/>
      <c r="T3212" s="5" t="n"/>
      <c r="U3212" s="8">
        <f>IF(AND(V3212=1,D3212&lt;&gt;""),IF(D3212&gt;=corte,TODAY()-D3212,""),"")</f>
        <v/>
      </c>
      <c r="V3212" s="8">
        <f>IF(D3212="",0,IF(OR(AND(P3212&lt;&gt;"",S3212=""),AND(N(J3212)&gt;0,N(K3212)&lt;J3212),OR(M3212="PENDENTE",M3212="PARCIAL"),OR(N3212="PENDENTE",N3212="PARCIAL")),1,0))</f>
        <v/>
      </c>
      <c r="W3212" s="8">
        <f>IF(AND(V3212=1,D3212&lt;&gt;""),IF(D3212&gt;=corte,(B3212="CRÍTICO")*1E9+(100000-D3212)*10000+10000-ROW(),""),"")</f>
        <v/>
      </c>
      <c r="X3212" s="8">
        <f>IF(AND(V3212=1,D3212=pas_data,E3212=pas_turno),10000-ROW(),"")</f>
        <v/>
      </c>
    </row>
    <row r="3213">
      <c r="A3213" s="3">
        <f>IF(D3213="","","TT-"&amp;TEXT(ROW()-1,"00000"))</f>
        <v/>
      </c>
      <c r="B3213" s="3">
        <f>IF(D3213="","",IF(V3213=0,"CONCLUÍDO",IF(D3213&lt;corte,"HISTÓRICO",IF(OR(AND(ISNUMBER(R3213),R3213&lt;TODAY()),AND(OR(N3213="PENDENTE",N3213="PARCIAL"),D3213&lt;TODAY()-1)),"CRÍTICO",IF(OR(AND(P3213&lt;&gt;"",S3213=""),AND(N3213="REALIZADO",M3213="PENDENTE"),AND(ISNUMBER(R3213),R3213=TODAY())),"ATENÇÃO",IF(N(K3213)=0,"PENDENTE","EM ANDAMENTO"))))))</f>
        <v/>
      </c>
      <c r="C3213" s="3">
        <f>IF(D3213="","",IF(V3213=0,"🟢 OK",IF(D3213&lt;corte,"⚪ HISTÓRICO (sem baixa)",IF(AND(ISNUMBER(R3213),R3213&lt;TODAY()),"🔴 PRAZO VENCIDO",IF(AND(OR(N3213="PENDENTE",N3213="PARCIAL"),D3213&lt;TODAY()-1),"🔴 EMBARQUE ATRASADO",IF(AND(N3213="REALIZADO",M3213="PENDENTE"),"🟡 EMBARCADO SEM FATURAR",IF(AND(P3213&lt;&gt;"",S3213="",OR(Q3213="",R3213="")),"🟡 PENDÊNCIA SEM RESPONSÁVEL/PRAZO",IF(AND(ISNUMBER(R3213),R3213=TODAY()),"🟡 VENCE HOJE",IF(AND(P3213&lt;&gt;"",S3213=""),"🟡 PENDÊNCIA ABERTA",IF(AND(N(J3213)&gt;0,N(K3213)&lt;J3213),"🟡 FALTA EXECUTAR",IF(OR(M3213="PENDENTE",M3213="PARCIAL"),"🟡 FATURAMENTO PENDENTE","🟡 EMBARQUE PENDENTE")))))))))))</f>
        <v/>
      </c>
      <c r="D3213" s="4" t="n"/>
      <c r="E3213" s="5" t="n"/>
      <c r="F3213" s="5" t="n"/>
      <c r="G3213" s="5" t="n"/>
      <c r="H3213" s="5" t="n"/>
      <c r="I3213" s="5" t="n"/>
      <c r="J3213" s="6" t="n"/>
      <c r="K3213" s="6" t="n"/>
      <c r="L3213" s="7">
        <f>IF(OR(D3213="",N(J3213)=0),"",MIN(1,N(K3213)/J3213))</f>
        <v/>
      </c>
      <c r="M3213" s="5" t="n"/>
      <c r="N3213" s="5" t="n"/>
      <c r="O3213" s="5" t="n"/>
      <c r="P3213" s="5" t="n"/>
      <c r="Q3213" s="5" t="n"/>
      <c r="R3213" s="4" t="n"/>
      <c r="S3213" s="4" t="n"/>
      <c r="T3213" s="5" t="n"/>
      <c r="U3213" s="8">
        <f>IF(AND(V3213=1,D3213&lt;&gt;""),IF(D3213&gt;=corte,TODAY()-D3213,""),"")</f>
        <v/>
      </c>
      <c r="V3213" s="8">
        <f>IF(D3213="",0,IF(OR(AND(P3213&lt;&gt;"",S3213=""),AND(N(J3213)&gt;0,N(K3213)&lt;J3213),OR(M3213="PENDENTE",M3213="PARCIAL"),OR(N3213="PENDENTE",N3213="PARCIAL")),1,0))</f>
        <v/>
      </c>
      <c r="W3213" s="8">
        <f>IF(AND(V3213=1,D3213&lt;&gt;""),IF(D3213&gt;=corte,(B3213="CRÍTICO")*1E9+(100000-D3213)*10000+10000-ROW(),""),"")</f>
        <v/>
      </c>
      <c r="X3213" s="8">
        <f>IF(AND(V3213=1,D3213=pas_data,E3213=pas_turno),10000-ROW(),"")</f>
        <v/>
      </c>
    </row>
    <row r="3214">
      <c r="A3214" s="3">
        <f>IF(D3214="","","TT-"&amp;TEXT(ROW()-1,"00000"))</f>
        <v/>
      </c>
      <c r="B3214" s="3">
        <f>IF(D3214="","",IF(V3214=0,"CONCLUÍDO",IF(D3214&lt;corte,"HISTÓRICO",IF(OR(AND(ISNUMBER(R3214),R3214&lt;TODAY()),AND(OR(N3214="PENDENTE",N3214="PARCIAL"),D3214&lt;TODAY()-1)),"CRÍTICO",IF(OR(AND(P3214&lt;&gt;"",S3214=""),AND(N3214="REALIZADO",M3214="PENDENTE"),AND(ISNUMBER(R3214),R3214=TODAY())),"ATENÇÃO",IF(N(K3214)=0,"PENDENTE","EM ANDAMENTO"))))))</f>
        <v/>
      </c>
      <c r="C3214" s="3">
        <f>IF(D3214="","",IF(V3214=0,"🟢 OK",IF(D3214&lt;corte,"⚪ HISTÓRICO (sem baixa)",IF(AND(ISNUMBER(R3214),R3214&lt;TODAY()),"🔴 PRAZO VENCIDO",IF(AND(OR(N3214="PENDENTE",N3214="PARCIAL"),D3214&lt;TODAY()-1),"🔴 EMBARQUE ATRASADO",IF(AND(N3214="REALIZADO",M3214="PENDENTE"),"🟡 EMBARCADO SEM FATURAR",IF(AND(P3214&lt;&gt;"",S3214="",OR(Q3214="",R3214="")),"🟡 PENDÊNCIA SEM RESPONSÁVEL/PRAZO",IF(AND(ISNUMBER(R3214),R3214=TODAY()),"🟡 VENCE HOJE",IF(AND(P3214&lt;&gt;"",S3214=""),"🟡 PENDÊNCIA ABERTA",IF(AND(N(J3214)&gt;0,N(K3214)&lt;J3214),"🟡 FALTA EXECUTAR",IF(OR(M3214="PENDENTE",M3214="PARCIAL"),"🟡 FATURAMENTO PENDENTE","🟡 EMBARQUE PENDENTE")))))))))))</f>
        <v/>
      </c>
      <c r="D3214" s="4" t="n"/>
      <c r="E3214" s="5" t="n"/>
      <c r="F3214" s="5" t="n"/>
      <c r="G3214" s="5" t="n"/>
      <c r="H3214" s="5" t="n"/>
      <c r="I3214" s="5" t="n"/>
      <c r="J3214" s="6" t="n"/>
      <c r="K3214" s="6" t="n"/>
      <c r="L3214" s="7">
        <f>IF(OR(D3214="",N(J3214)=0),"",MIN(1,N(K3214)/J3214))</f>
        <v/>
      </c>
      <c r="M3214" s="5" t="n"/>
      <c r="N3214" s="5" t="n"/>
      <c r="O3214" s="5" t="n"/>
      <c r="P3214" s="5" t="n"/>
      <c r="Q3214" s="5" t="n"/>
      <c r="R3214" s="4" t="n"/>
      <c r="S3214" s="4" t="n"/>
      <c r="T3214" s="5" t="n"/>
      <c r="U3214" s="8">
        <f>IF(AND(V3214=1,D3214&lt;&gt;""),IF(D3214&gt;=corte,TODAY()-D3214,""),"")</f>
        <v/>
      </c>
      <c r="V3214" s="8">
        <f>IF(D3214="",0,IF(OR(AND(P3214&lt;&gt;"",S3214=""),AND(N(J3214)&gt;0,N(K3214)&lt;J3214),OR(M3214="PENDENTE",M3214="PARCIAL"),OR(N3214="PENDENTE",N3214="PARCIAL")),1,0))</f>
        <v/>
      </c>
      <c r="W3214" s="8">
        <f>IF(AND(V3214=1,D3214&lt;&gt;""),IF(D3214&gt;=corte,(B3214="CRÍTICO")*1E9+(100000-D3214)*10000+10000-ROW(),""),"")</f>
        <v/>
      </c>
      <c r="X3214" s="8">
        <f>IF(AND(V3214=1,D3214=pas_data,E3214=pas_turno),10000-ROW(),"")</f>
        <v/>
      </c>
    </row>
    <row r="3215">
      <c r="A3215" s="3">
        <f>IF(D3215="","","TT-"&amp;TEXT(ROW()-1,"00000"))</f>
        <v/>
      </c>
      <c r="B3215" s="3">
        <f>IF(D3215="","",IF(V3215=0,"CONCLUÍDO",IF(D3215&lt;corte,"HISTÓRICO",IF(OR(AND(ISNUMBER(R3215),R3215&lt;TODAY()),AND(OR(N3215="PENDENTE",N3215="PARCIAL"),D3215&lt;TODAY()-1)),"CRÍTICO",IF(OR(AND(P3215&lt;&gt;"",S3215=""),AND(N3215="REALIZADO",M3215="PENDENTE"),AND(ISNUMBER(R3215),R3215=TODAY())),"ATENÇÃO",IF(N(K3215)=0,"PENDENTE","EM ANDAMENTO"))))))</f>
        <v/>
      </c>
      <c r="C3215" s="3">
        <f>IF(D3215="","",IF(V3215=0,"🟢 OK",IF(D3215&lt;corte,"⚪ HISTÓRICO (sem baixa)",IF(AND(ISNUMBER(R3215),R3215&lt;TODAY()),"🔴 PRAZO VENCIDO",IF(AND(OR(N3215="PENDENTE",N3215="PARCIAL"),D3215&lt;TODAY()-1),"🔴 EMBARQUE ATRASADO",IF(AND(N3215="REALIZADO",M3215="PENDENTE"),"🟡 EMBARCADO SEM FATURAR",IF(AND(P3215&lt;&gt;"",S3215="",OR(Q3215="",R3215="")),"🟡 PENDÊNCIA SEM RESPONSÁVEL/PRAZO",IF(AND(ISNUMBER(R3215),R3215=TODAY()),"🟡 VENCE HOJE",IF(AND(P3215&lt;&gt;"",S3215=""),"🟡 PENDÊNCIA ABERTA",IF(AND(N(J3215)&gt;0,N(K3215)&lt;J3215),"🟡 FALTA EXECUTAR",IF(OR(M3215="PENDENTE",M3215="PARCIAL"),"🟡 FATURAMENTO PENDENTE","🟡 EMBARQUE PENDENTE")))))))))))</f>
        <v/>
      </c>
      <c r="D3215" s="4" t="n"/>
      <c r="E3215" s="5" t="n"/>
      <c r="F3215" s="5" t="n"/>
      <c r="G3215" s="5" t="n"/>
      <c r="H3215" s="5" t="n"/>
      <c r="I3215" s="5" t="n"/>
      <c r="J3215" s="6" t="n"/>
      <c r="K3215" s="6" t="n"/>
      <c r="L3215" s="7">
        <f>IF(OR(D3215="",N(J3215)=0),"",MIN(1,N(K3215)/J3215))</f>
        <v/>
      </c>
      <c r="M3215" s="5" t="n"/>
      <c r="N3215" s="5" t="n"/>
      <c r="O3215" s="5" t="n"/>
      <c r="P3215" s="5" t="n"/>
      <c r="Q3215" s="5" t="n"/>
      <c r="R3215" s="4" t="n"/>
      <c r="S3215" s="4" t="n"/>
      <c r="T3215" s="5" t="n"/>
      <c r="U3215" s="8">
        <f>IF(AND(V3215=1,D3215&lt;&gt;""),IF(D3215&gt;=corte,TODAY()-D3215,""),"")</f>
        <v/>
      </c>
      <c r="V3215" s="8">
        <f>IF(D3215="",0,IF(OR(AND(P3215&lt;&gt;"",S3215=""),AND(N(J3215)&gt;0,N(K3215)&lt;J3215),OR(M3215="PENDENTE",M3215="PARCIAL"),OR(N3215="PENDENTE",N3215="PARCIAL")),1,0))</f>
        <v/>
      </c>
      <c r="W3215" s="8">
        <f>IF(AND(V3215=1,D3215&lt;&gt;""),IF(D3215&gt;=corte,(B3215="CRÍTICO")*1E9+(100000-D3215)*10000+10000-ROW(),""),"")</f>
        <v/>
      </c>
      <c r="X3215" s="8">
        <f>IF(AND(V3215=1,D3215=pas_data,E3215=pas_turno),10000-ROW(),"")</f>
        <v/>
      </c>
    </row>
    <row r="3216">
      <c r="A3216" s="3">
        <f>IF(D3216="","","TT-"&amp;TEXT(ROW()-1,"00000"))</f>
        <v/>
      </c>
      <c r="B3216" s="3">
        <f>IF(D3216="","",IF(V3216=0,"CONCLUÍDO",IF(D3216&lt;corte,"HISTÓRICO",IF(OR(AND(ISNUMBER(R3216),R3216&lt;TODAY()),AND(OR(N3216="PENDENTE",N3216="PARCIAL"),D3216&lt;TODAY()-1)),"CRÍTICO",IF(OR(AND(P3216&lt;&gt;"",S3216=""),AND(N3216="REALIZADO",M3216="PENDENTE"),AND(ISNUMBER(R3216),R3216=TODAY())),"ATENÇÃO",IF(N(K3216)=0,"PENDENTE","EM ANDAMENTO"))))))</f>
        <v/>
      </c>
      <c r="C3216" s="3">
        <f>IF(D3216="","",IF(V3216=0,"🟢 OK",IF(D3216&lt;corte,"⚪ HISTÓRICO (sem baixa)",IF(AND(ISNUMBER(R3216),R3216&lt;TODAY()),"🔴 PRAZO VENCIDO",IF(AND(OR(N3216="PENDENTE",N3216="PARCIAL"),D3216&lt;TODAY()-1),"🔴 EMBARQUE ATRASADO",IF(AND(N3216="REALIZADO",M3216="PENDENTE"),"🟡 EMBARCADO SEM FATURAR",IF(AND(P3216&lt;&gt;"",S3216="",OR(Q3216="",R3216="")),"🟡 PENDÊNCIA SEM RESPONSÁVEL/PRAZO",IF(AND(ISNUMBER(R3216),R3216=TODAY()),"🟡 VENCE HOJE",IF(AND(P3216&lt;&gt;"",S3216=""),"🟡 PENDÊNCIA ABERTA",IF(AND(N(J3216)&gt;0,N(K3216)&lt;J3216),"🟡 FALTA EXECUTAR",IF(OR(M3216="PENDENTE",M3216="PARCIAL"),"🟡 FATURAMENTO PENDENTE","🟡 EMBARQUE PENDENTE")))))))))))</f>
        <v/>
      </c>
      <c r="D3216" s="4" t="n"/>
      <c r="E3216" s="5" t="n"/>
      <c r="F3216" s="5" t="n"/>
      <c r="G3216" s="5" t="n"/>
      <c r="H3216" s="5" t="n"/>
      <c r="I3216" s="5" t="n"/>
      <c r="J3216" s="6" t="n"/>
      <c r="K3216" s="6" t="n"/>
      <c r="L3216" s="7">
        <f>IF(OR(D3216="",N(J3216)=0),"",MIN(1,N(K3216)/J3216))</f>
        <v/>
      </c>
      <c r="M3216" s="5" t="n"/>
      <c r="N3216" s="5" t="n"/>
      <c r="O3216" s="5" t="n"/>
      <c r="P3216" s="5" t="n"/>
      <c r="Q3216" s="5" t="n"/>
      <c r="R3216" s="4" t="n"/>
      <c r="S3216" s="4" t="n"/>
      <c r="T3216" s="5" t="n"/>
      <c r="U3216" s="8">
        <f>IF(AND(V3216=1,D3216&lt;&gt;""),IF(D3216&gt;=corte,TODAY()-D3216,""),"")</f>
        <v/>
      </c>
      <c r="V3216" s="8">
        <f>IF(D3216="",0,IF(OR(AND(P3216&lt;&gt;"",S3216=""),AND(N(J3216)&gt;0,N(K3216)&lt;J3216),OR(M3216="PENDENTE",M3216="PARCIAL"),OR(N3216="PENDENTE",N3216="PARCIAL")),1,0))</f>
        <v/>
      </c>
      <c r="W3216" s="8">
        <f>IF(AND(V3216=1,D3216&lt;&gt;""),IF(D3216&gt;=corte,(B3216="CRÍTICO")*1E9+(100000-D3216)*10000+10000-ROW(),""),"")</f>
        <v/>
      </c>
      <c r="X3216" s="8">
        <f>IF(AND(V3216=1,D3216=pas_data,E3216=pas_turno),10000-ROW(),"")</f>
        <v/>
      </c>
    </row>
    <row r="3217">
      <c r="A3217" s="3">
        <f>IF(D3217="","","TT-"&amp;TEXT(ROW()-1,"00000"))</f>
        <v/>
      </c>
      <c r="B3217" s="3">
        <f>IF(D3217="","",IF(V3217=0,"CONCLUÍDO",IF(D3217&lt;corte,"HISTÓRICO",IF(OR(AND(ISNUMBER(R3217),R3217&lt;TODAY()),AND(OR(N3217="PENDENTE",N3217="PARCIAL"),D3217&lt;TODAY()-1)),"CRÍTICO",IF(OR(AND(P3217&lt;&gt;"",S3217=""),AND(N3217="REALIZADO",M3217="PENDENTE"),AND(ISNUMBER(R3217),R3217=TODAY())),"ATENÇÃO",IF(N(K3217)=0,"PENDENTE","EM ANDAMENTO"))))))</f>
        <v/>
      </c>
      <c r="C3217" s="3">
        <f>IF(D3217="","",IF(V3217=0,"🟢 OK",IF(D3217&lt;corte,"⚪ HISTÓRICO (sem baixa)",IF(AND(ISNUMBER(R3217),R3217&lt;TODAY()),"🔴 PRAZO VENCIDO",IF(AND(OR(N3217="PENDENTE",N3217="PARCIAL"),D3217&lt;TODAY()-1),"🔴 EMBARQUE ATRASADO",IF(AND(N3217="REALIZADO",M3217="PENDENTE"),"🟡 EMBARCADO SEM FATURAR",IF(AND(P3217&lt;&gt;"",S3217="",OR(Q3217="",R3217="")),"🟡 PENDÊNCIA SEM RESPONSÁVEL/PRAZO",IF(AND(ISNUMBER(R3217),R3217=TODAY()),"🟡 VENCE HOJE",IF(AND(P3217&lt;&gt;"",S3217=""),"🟡 PENDÊNCIA ABERTA",IF(AND(N(J3217)&gt;0,N(K3217)&lt;J3217),"🟡 FALTA EXECUTAR",IF(OR(M3217="PENDENTE",M3217="PARCIAL"),"🟡 FATURAMENTO PENDENTE","🟡 EMBARQUE PENDENTE")))))))))))</f>
        <v/>
      </c>
      <c r="D3217" s="4" t="n"/>
      <c r="E3217" s="5" t="n"/>
      <c r="F3217" s="5" t="n"/>
      <c r="G3217" s="5" t="n"/>
      <c r="H3217" s="5" t="n"/>
      <c r="I3217" s="5" t="n"/>
      <c r="J3217" s="6" t="n"/>
      <c r="K3217" s="6" t="n"/>
      <c r="L3217" s="7">
        <f>IF(OR(D3217="",N(J3217)=0),"",MIN(1,N(K3217)/J3217))</f>
        <v/>
      </c>
      <c r="M3217" s="5" t="n"/>
      <c r="N3217" s="5" t="n"/>
      <c r="O3217" s="5" t="n"/>
      <c r="P3217" s="5" t="n"/>
      <c r="Q3217" s="5" t="n"/>
      <c r="R3217" s="4" t="n"/>
      <c r="S3217" s="4" t="n"/>
      <c r="T3217" s="5" t="n"/>
      <c r="U3217" s="8">
        <f>IF(AND(V3217=1,D3217&lt;&gt;""),IF(D3217&gt;=corte,TODAY()-D3217,""),"")</f>
        <v/>
      </c>
      <c r="V3217" s="8">
        <f>IF(D3217="",0,IF(OR(AND(P3217&lt;&gt;"",S3217=""),AND(N(J3217)&gt;0,N(K3217)&lt;J3217),OR(M3217="PENDENTE",M3217="PARCIAL"),OR(N3217="PENDENTE",N3217="PARCIAL")),1,0))</f>
        <v/>
      </c>
      <c r="W3217" s="8">
        <f>IF(AND(V3217=1,D3217&lt;&gt;""),IF(D3217&gt;=corte,(B3217="CRÍTICO")*1E9+(100000-D3217)*10000+10000-ROW(),""),"")</f>
        <v/>
      </c>
      <c r="X3217" s="8">
        <f>IF(AND(V3217=1,D3217=pas_data,E3217=pas_turno),10000-ROW(),"")</f>
        <v/>
      </c>
    </row>
    <row r="3218">
      <c r="A3218" s="3">
        <f>IF(D3218="","","TT-"&amp;TEXT(ROW()-1,"00000"))</f>
        <v/>
      </c>
      <c r="B3218" s="3">
        <f>IF(D3218="","",IF(V3218=0,"CONCLUÍDO",IF(D3218&lt;corte,"HISTÓRICO",IF(OR(AND(ISNUMBER(R3218),R3218&lt;TODAY()),AND(OR(N3218="PENDENTE",N3218="PARCIAL"),D3218&lt;TODAY()-1)),"CRÍTICO",IF(OR(AND(P3218&lt;&gt;"",S3218=""),AND(N3218="REALIZADO",M3218="PENDENTE"),AND(ISNUMBER(R3218),R3218=TODAY())),"ATENÇÃO",IF(N(K3218)=0,"PENDENTE","EM ANDAMENTO"))))))</f>
        <v/>
      </c>
      <c r="C3218" s="3">
        <f>IF(D3218="","",IF(V3218=0,"🟢 OK",IF(D3218&lt;corte,"⚪ HISTÓRICO (sem baixa)",IF(AND(ISNUMBER(R3218),R3218&lt;TODAY()),"🔴 PRAZO VENCIDO",IF(AND(OR(N3218="PENDENTE",N3218="PARCIAL"),D3218&lt;TODAY()-1),"🔴 EMBARQUE ATRASADO",IF(AND(N3218="REALIZADO",M3218="PENDENTE"),"🟡 EMBARCADO SEM FATURAR",IF(AND(P3218&lt;&gt;"",S3218="",OR(Q3218="",R3218="")),"🟡 PENDÊNCIA SEM RESPONSÁVEL/PRAZO",IF(AND(ISNUMBER(R3218),R3218=TODAY()),"🟡 VENCE HOJE",IF(AND(P3218&lt;&gt;"",S3218=""),"🟡 PENDÊNCIA ABERTA",IF(AND(N(J3218)&gt;0,N(K3218)&lt;J3218),"🟡 FALTA EXECUTAR",IF(OR(M3218="PENDENTE",M3218="PARCIAL"),"🟡 FATURAMENTO PENDENTE","🟡 EMBARQUE PENDENTE")))))))))))</f>
        <v/>
      </c>
      <c r="D3218" s="4" t="n"/>
      <c r="E3218" s="5" t="n"/>
      <c r="F3218" s="5" t="n"/>
      <c r="G3218" s="5" t="n"/>
      <c r="H3218" s="5" t="n"/>
      <c r="I3218" s="5" t="n"/>
      <c r="J3218" s="6" t="n"/>
      <c r="K3218" s="6" t="n"/>
      <c r="L3218" s="7">
        <f>IF(OR(D3218="",N(J3218)=0),"",MIN(1,N(K3218)/J3218))</f>
        <v/>
      </c>
      <c r="M3218" s="5" t="n"/>
      <c r="N3218" s="5" t="n"/>
      <c r="O3218" s="5" t="n"/>
      <c r="P3218" s="5" t="n"/>
      <c r="Q3218" s="5" t="n"/>
      <c r="R3218" s="4" t="n"/>
      <c r="S3218" s="4" t="n"/>
      <c r="T3218" s="5" t="n"/>
      <c r="U3218" s="8">
        <f>IF(AND(V3218=1,D3218&lt;&gt;""),IF(D3218&gt;=corte,TODAY()-D3218,""),"")</f>
        <v/>
      </c>
      <c r="V3218" s="8">
        <f>IF(D3218="",0,IF(OR(AND(P3218&lt;&gt;"",S3218=""),AND(N(J3218)&gt;0,N(K3218)&lt;J3218),OR(M3218="PENDENTE",M3218="PARCIAL"),OR(N3218="PENDENTE",N3218="PARCIAL")),1,0))</f>
        <v/>
      </c>
      <c r="W3218" s="8">
        <f>IF(AND(V3218=1,D3218&lt;&gt;""),IF(D3218&gt;=corte,(B3218="CRÍTICO")*1E9+(100000-D3218)*10000+10000-ROW(),""),"")</f>
        <v/>
      </c>
      <c r="X3218" s="8">
        <f>IF(AND(V3218=1,D3218=pas_data,E3218=pas_turno),10000-ROW(),"")</f>
        <v/>
      </c>
    </row>
    <row r="3219">
      <c r="A3219" s="3">
        <f>IF(D3219="","","TT-"&amp;TEXT(ROW()-1,"00000"))</f>
        <v/>
      </c>
      <c r="B3219" s="3">
        <f>IF(D3219="","",IF(V3219=0,"CONCLUÍDO",IF(D3219&lt;corte,"HISTÓRICO",IF(OR(AND(ISNUMBER(R3219),R3219&lt;TODAY()),AND(OR(N3219="PENDENTE",N3219="PARCIAL"),D3219&lt;TODAY()-1)),"CRÍTICO",IF(OR(AND(P3219&lt;&gt;"",S3219=""),AND(N3219="REALIZADO",M3219="PENDENTE"),AND(ISNUMBER(R3219),R3219=TODAY())),"ATENÇÃO",IF(N(K3219)=0,"PENDENTE","EM ANDAMENTO"))))))</f>
        <v/>
      </c>
      <c r="C3219" s="3">
        <f>IF(D3219="","",IF(V3219=0,"🟢 OK",IF(D3219&lt;corte,"⚪ HISTÓRICO (sem baixa)",IF(AND(ISNUMBER(R3219),R3219&lt;TODAY()),"🔴 PRAZO VENCIDO",IF(AND(OR(N3219="PENDENTE",N3219="PARCIAL"),D3219&lt;TODAY()-1),"🔴 EMBARQUE ATRASADO",IF(AND(N3219="REALIZADO",M3219="PENDENTE"),"🟡 EMBARCADO SEM FATURAR",IF(AND(P3219&lt;&gt;"",S3219="",OR(Q3219="",R3219="")),"🟡 PENDÊNCIA SEM RESPONSÁVEL/PRAZO",IF(AND(ISNUMBER(R3219),R3219=TODAY()),"🟡 VENCE HOJE",IF(AND(P3219&lt;&gt;"",S3219=""),"🟡 PENDÊNCIA ABERTA",IF(AND(N(J3219)&gt;0,N(K3219)&lt;J3219),"🟡 FALTA EXECUTAR",IF(OR(M3219="PENDENTE",M3219="PARCIAL"),"🟡 FATURAMENTO PENDENTE","🟡 EMBARQUE PENDENTE")))))))))))</f>
        <v/>
      </c>
      <c r="D3219" s="4" t="n"/>
      <c r="E3219" s="5" t="n"/>
      <c r="F3219" s="5" t="n"/>
      <c r="G3219" s="5" t="n"/>
      <c r="H3219" s="5" t="n"/>
      <c r="I3219" s="5" t="n"/>
      <c r="J3219" s="6" t="n"/>
      <c r="K3219" s="6" t="n"/>
      <c r="L3219" s="7">
        <f>IF(OR(D3219="",N(J3219)=0),"",MIN(1,N(K3219)/J3219))</f>
        <v/>
      </c>
      <c r="M3219" s="5" t="n"/>
      <c r="N3219" s="5" t="n"/>
      <c r="O3219" s="5" t="n"/>
      <c r="P3219" s="5" t="n"/>
      <c r="Q3219" s="5" t="n"/>
      <c r="R3219" s="4" t="n"/>
      <c r="S3219" s="4" t="n"/>
      <c r="T3219" s="5" t="n"/>
      <c r="U3219" s="8">
        <f>IF(AND(V3219=1,D3219&lt;&gt;""),IF(D3219&gt;=corte,TODAY()-D3219,""),"")</f>
        <v/>
      </c>
      <c r="V3219" s="8">
        <f>IF(D3219="",0,IF(OR(AND(P3219&lt;&gt;"",S3219=""),AND(N(J3219)&gt;0,N(K3219)&lt;J3219),OR(M3219="PENDENTE",M3219="PARCIAL"),OR(N3219="PENDENTE",N3219="PARCIAL")),1,0))</f>
        <v/>
      </c>
      <c r="W3219" s="8">
        <f>IF(AND(V3219=1,D3219&lt;&gt;""),IF(D3219&gt;=corte,(B3219="CRÍTICO")*1E9+(100000-D3219)*10000+10000-ROW(),""),"")</f>
        <v/>
      </c>
      <c r="X3219" s="8">
        <f>IF(AND(V3219=1,D3219=pas_data,E3219=pas_turno),10000-ROW(),"")</f>
        <v/>
      </c>
    </row>
    <row r="3220">
      <c r="A3220" s="3">
        <f>IF(D3220="","","TT-"&amp;TEXT(ROW()-1,"00000"))</f>
        <v/>
      </c>
      <c r="B3220" s="3">
        <f>IF(D3220="","",IF(V3220=0,"CONCLUÍDO",IF(D3220&lt;corte,"HISTÓRICO",IF(OR(AND(ISNUMBER(R3220),R3220&lt;TODAY()),AND(OR(N3220="PENDENTE",N3220="PARCIAL"),D3220&lt;TODAY()-1)),"CRÍTICO",IF(OR(AND(P3220&lt;&gt;"",S3220=""),AND(N3220="REALIZADO",M3220="PENDENTE"),AND(ISNUMBER(R3220),R3220=TODAY())),"ATENÇÃO",IF(N(K3220)=0,"PENDENTE","EM ANDAMENTO"))))))</f>
        <v/>
      </c>
      <c r="C3220" s="3">
        <f>IF(D3220="","",IF(V3220=0,"🟢 OK",IF(D3220&lt;corte,"⚪ HISTÓRICO (sem baixa)",IF(AND(ISNUMBER(R3220),R3220&lt;TODAY()),"🔴 PRAZO VENCIDO",IF(AND(OR(N3220="PENDENTE",N3220="PARCIAL"),D3220&lt;TODAY()-1),"🔴 EMBARQUE ATRASADO",IF(AND(N3220="REALIZADO",M3220="PENDENTE"),"🟡 EMBARCADO SEM FATURAR",IF(AND(P3220&lt;&gt;"",S3220="",OR(Q3220="",R3220="")),"🟡 PENDÊNCIA SEM RESPONSÁVEL/PRAZO",IF(AND(ISNUMBER(R3220),R3220=TODAY()),"🟡 VENCE HOJE",IF(AND(P3220&lt;&gt;"",S3220=""),"🟡 PENDÊNCIA ABERTA",IF(AND(N(J3220)&gt;0,N(K3220)&lt;J3220),"🟡 FALTA EXECUTAR",IF(OR(M3220="PENDENTE",M3220="PARCIAL"),"🟡 FATURAMENTO PENDENTE","🟡 EMBARQUE PENDENTE")))))))))))</f>
        <v/>
      </c>
      <c r="D3220" s="4" t="n"/>
      <c r="E3220" s="5" t="n"/>
      <c r="F3220" s="5" t="n"/>
      <c r="G3220" s="5" t="n"/>
      <c r="H3220" s="5" t="n"/>
      <c r="I3220" s="5" t="n"/>
      <c r="J3220" s="6" t="n"/>
      <c r="K3220" s="6" t="n"/>
      <c r="L3220" s="7">
        <f>IF(OR(D3220="",N(J3220)=0),"",MIN(1,N(K3220)/J3220))</f>
        <v/>
      </c>
      <c r="M3220" s="5" t="n"/>
      <c r="N3220" s="5" t="n"/>
      <c r="O3220" s="5" t="n"/>
      <c r="P3220" s="5" t="n"/>
      <c r="Q3220" s="5" t="n"/>
      <c r="R3220" s="4" t="n"/>
      <c r="S3220" s="4" t="n"/>
      <c r="T3220" s="5" t="n"/>
      <c r="U3220" s="8">
        <f>IF(AND(V3220=1,D3220&lt;&gt;""),IF(D3220&gt;=corte,TODAY()-D3220,""),"")</f>
        <v/>
      </c>
      <c r="V3220" s="8">
        <f>IF(D3220="",0,IF(OR(AND(P3220&lt;&gt;"",S3220=""),AND(N(J3220)&gt;0,N(K3220)&lt;J3220),OR(M3220="PENDENTE",M3220="PARCIAL"),OR(N3220="PENDENTE",N3220="PARCIAL")),1,0))</f>
        <v/>
      </c>
      <c r="W3220" s="8">
        <f>IF(AND(V3220=1,D3220&lt;&gt;""),IF(D3220&gt;=corte,(B3220="CRÍTICO")*1E9+(100000-D3220)*10000+10000-ROW(),""),"")</f>
        <v/>
      </c>
      <c r="X3220" s="8">
        <f>IF(AND(V3220=1,D3220=pas_data,E3220=pas_turno),10000-ROW(),"")</f>
        <v/>
      </c>
    </row>
    <row r="3221">
      <c r="A3221" s="3">
        <f>IF(D3221="","","TT-"&amp;TEXT(ROW()-1,"00000"))</f>
        <v/>
      </c>
      <c r="B3221" s="3">
        <f>IF(D3221="","",IF(V3221=0,"CONCLUÍDO",IF(D3221&lt;corte,"HISTÓRICO",IF(OR(AND(ISNUMBER(R3221),R3221&lt;TODAY()),AND(OR(N3221="PENDENTE",N3221="PARCIAL"),D3221&lt;TODAY()-1)),"CRÍTICO",IF(OR(AND(P3221&lt;&gt;"",S3221=""),AND(N3221="REALIZADO",M3221="PENDENTE"),AND(ISNUMBER(R3221),R3221=TODAY())),"ATENÇÃO",IF(N(K3221)=0,"PENDENTE","EM ANDAMENTO"))))))</f>
        <v/>
      </c>
      <c r="C3221" s="3">
        <f>IF(D3221="","",IF(V3221=0,"🟢 OK",IF(D3221&lt;corte,"⚪ HISTÓRICO (sem baixa)",IF(AND(ISNUMBER(R3221),R3221&lt;TODAY()),"🔴 PRAZO VENCIDO",IF(AND(OR(N3221="PENDENTE",N3221="PARCIAL"),D3221&lt;TODAY()-1),"🔴 EMBARQUE ATRASADO",IF(AND(N3221="REALIZADO",M3221="PENDENTE"),"🟡 EMBARCADO SEM FATURAR",IF(AND(P3221&lt;&gt;"",S3221="",OR(Q3221="",R3221="")),"🟡 PENDÊNCIA SEM RESPONSÁVEL/PRAZO",IF(AND(ISNUMBER(R3221),R3221=TODAY()),"🟡 VENCE HOJE",IF(AND(P3221&lt;&gt;"",S3221=""),"🟡 PENDÊNCIA ABERTA",IF(AND(N(J3221)&gt;0,N(K3221)&lt;J3221),"🟡 FALTA EXECUTAR",IF(OR(M3221="PENDENTE",M3221="PARCIAL"),"🟡 FATURAMENTO PENDENTE","🟡 EMBARQUE PENDENTE")))))))))))</f>
        <v/>
      </c>
      <c r="D3221" s="4" t="n"/>
      <c r="E3221" s="5" t="n"/>
      <c r="F3221" s="5" t="n"/>
      <c r="G3221" s="5" t="n"/>
      <c r="H3221" s="5" t="n"/>
      <c r="I3221" s="5" t="n"/>
      <c r="J3221" s="6" t="n"/>
      <c r="K3221" s="6" t="n"/>
      <c r="L3221" s="7">
        <f>IF(OR(D3221="",N(J3221)=0),"",MIN(1,N(K3221)/J3221))</f>
        <v/>
      </c>
      <c r="M3221" s="5" t="n"/>
      <c r="N3221" s="5" t="n"/>
      <c r="O3221" s="5" t="n"/>
      <c r="P3221" s="5" t="n"/>
      <c r="Q3221" s="5" t="n"/>
      <c r="R3221" s="4" t="n"/>
      <c r="S3221" s="4" t="n"/>
      <c r="T3221" s="5" t="n"/>
      <c r="U3221" s="8">
        <f>IF(AND(V3221=1,D3221&lt;&gt;""),IF(D3221&gt;=corte,TODAY()-D3221,""),"")</f>
        <v/>
      </c>
      <c r="V3221" s="8">
        <f>IF(D3221="",0,IF(OR(AND(P3221&lt;&gt;"",S3221=""),AND(N(J3221)&gt;0,N(K3221)&lt;J3221),OR(M3221="PENDENTE",M3221="PARCIAL"),OR(N3221="PENDENTE",N3221="PARCIAL")),1,0))</f>
        <v/>
      </c>
      <c r="W3221" s="8">
        <f>IF(AND(V3221=1,D3221&lt;&gt;""),IF(D3221&gt;=corte,(B3221="CRÍTICO")*1E9+(100000-D3221)*10000+10000-ROW(),""),"")</f>
        <v/>
      </c>
      <c r="X3221" s="8">
        <f>IF(AND(V3221=1,D3221=pas_data,E3221=pas_turno),10000-ROW(),"")</f>
        <v/>
      </c>
    </row>
    <row r="3222">
      <c r="A3222" s="3">
        <f>IF(D3222="","","TT-"&amp;TEXT(ROW()-1,"00000"))</f>
        <v/>
      </c>
      <c r="B3222" s="3">
        <f>IF(D3222="","",IF(V3222=0,"CONCLUÍDO",IF(D3222&lt;corte,"HISTÓRICO",IF(OR(AND(ISNUMBER(R3222),R3222&lt;TODAY()),AND(OR(N3222="PENDENTE",N3222="PARCIAL"),D3222&lt;TODAY()-1)),"CRÍTICO",IF(OR(AND(P3222&lt;&gt;"",S3222=""),AND(N3222="REALIZADO",M3222="PENDENTE"),AND(ISNUMBER(R3222),R3222=TODAY())),"ATENÇÃO",IF(N(K3222)=0,"PENDENTE","EM ANDAMENTO"))))))</f>
        <v/>
      </c>
      <c r="C3222" s="3">
        <f>IF(D3222="","",IF(V3222=0,"🟢 OK",IF(D3222&lt;corte,"⚪ HISTÓRICO (sem baixa)",IF(AND(ISNUMBER(R3222),R3222&lt;TODAY()),"🔴 PRAZO VENCIDO",IF(AND(OR(N3222="PENDENTE",N3222="PARCIAL"),D3222&lt;TODAY()-1),"🔴 EMBARQUE ATRASADO",IF(AND(N3222="REALIZADO",M3222="PENDENTE"),"🟡 EMBARCADO SEM FATURAR",IF(AND(P3222&lt;&gt;"",S3222="",OR(Q3222="",R3222="")),"🟡 PENDÊNCIA SEM RESPONSÁVEL/PRAZO",IF(AND(ISNUMBER(R3222),R3222=TODAY()),"🟡 VENCE HOJE",IF(AND(P3222&lt;&gt;"",S3222=""),"🟡 PENDÊNCIA ABERTA",IF(AND(N(J3222)&gt;0,N(K3222)&lt;J3222),"🟡 FALTA EXECUTAR",IF(OR(M3222="PENDENTE",M3222="PARCIAL"),"🟡 FATURAMENTO PENDENTE","🟡 EMBARQUE PENDENTE")))))))))))</f>
        <v/>
      </c>
      <c r="D3222" s="4" t="n"/>
      <c r="E3222" s="5" t="n"/>
      <c r="F3222" s="5" t="n"/>
      <c r="G3222" s="5" t="n"/>
      <c r="H3222" s="5" t="n"/>
      <c r="I3222" s="5" t="n"/>
      <c r="J3222" s="6" t="n"/>
      <c r="K3222" s="6" t="n"/>
      <c r="L3222" s="7">
        <f>IF(OR(D3222="",N(J3222)=0),"",MIN(1,N(K3222)/J3222))</f>
        <v/>
      </c>
      <c r="M3222" s="5" t="n"/>
      <c r="N3222" s="5" t="n"/>
      <c r="O3222" s="5" t="n"/>
      <c r="P3222" s="5" t="n"/>
      <c r="Q3222" s="5" t="n"/>
      <c r="R3222" s="4" t="n"/>
      <c r="S3222" s="4" t="n"/>
      <c r="T3222" s="5" t="n"/>
      <c r="U3222" s="8">
        <f>IF(AND(V3222=1,D3222&lt;&gt;""),IF(D3222&gt;=corte,TODAY()-D3222,""),"")</f>
        <v/>
      </c>
      <c r="V3222" s="8">
        <f>IF(D3222="",0,IF(OR(AND(P3222&lt;&gt;"",S3222=""),AND(N(J3222)&gt;0,N(K3222)&lt;J3222),OR(M3222="PENDENTE",M3222="PARCIAL"),OR(N3222="PENDENTE",N3222="PARCIAL")),1,0))</f>
        <v/>
      </c>
      <c r="W3222" s="8">
        <f>IF(AND(V3222=1,D3222&lt;&gt;""),IF(D3222&gt;=corte,(B3222="CRÍTICO")*1E9+(100000-D3222)*10000+10000-ROW(),""),"")</f>
        <v/>
      </c>
      <c r="X3222" s="8">
        <f>IF(AND(V3222=1,D3222=pas_data,E3222=pas_turno),10000-ROW(),"")</f>
        <v/>
      </c>
    </row>
    <row r="3223">
      <c r="A3223" s="3">
        <f>IF(D3223="","","TT-"&amp;TEXT(ROW()-1,"00000"))</f>
        <v/>
      </c>
      <c r="B3223" s="3">
        <f>IF(D3223="","",IF(V3223=0,"CONCLUÍDO",IF(D3223&lt;corte,"HISTÓRICO",IF(OR(AND(ISNUMBER(R3223),R3223&lt;TODAY()),AND(OR(N3223="PENDENTE",N3223="PARCIAL"),D3223&lt;TODAY()-1)),"CRÍTICO",IF(OR(AND(P3223&lt;&gt;"",S3223=""),AND(N3223="REALIZADO",M3223="PENDENTE"),AND(ISNUMBER(R3223),R3223=TODAY())),"ATENÇÃO",IF(N(K3223)=0,"PENDENTE","EM ANDAMENTO"))))))</f>
        <v/>
      </c>
      <c r="C3223" s="3">
        <f>IF(D3223="","",IF(V3223=0,"🟢 OK",IF(D3223&lt;corte,"⚪ HISTÓRICO (sem baixa)",IF(AND(ISNUMBER(R3223),R3223&lt;TODAY()),"🔴 PRAZO VENCIDO",IF(AND(OR(N3223="PENDENTE",N3223="PARCIAL"),D3223&lt;TODAY()-1),"🔴 EMBARQUE ATRASADO",IF(AND(N3223="REALIZADO",M3223="PENDENTE"),"🟡 EMBARCADO SEM FATURAR",IF(AND(P3223&lt;&gt;"",S3223="",OR(Q3223="",R3223="")),"🟡 PENDÊNCIA SEM RESPONSÁVEL/PRAZO",IF(AND(ISNUMBER(R3223),R3223=TODAY()),"🟡 VENCE HOJE",IF(AND(P3223&lt;&gt;"",S3223=""),"🟡 PENDÊNCIA ABERTA",IF(AND(N(J3223)&gt;0,N(K3223)&lt;J3223),"🟡 FALTA EXECUTAR",IF(OR(M3223="PENDENTE",M3223="PARCIAL"),"🟡 FATURAMENTO PENDENTE","🟡 EMBARQUE PENDENTE")))))))))))</f>
        <v/>
      </c>
      <c r="D3223" s="4" t="n"/>
      <c r="E3223" s="5" t="n"/>
      <c r="F3223" s="5" t="n"/>
      <c r="G3223" s="5" t="n"/>
      <c r="H3223" s="5" t="n"/>
      <c r="I3223" s="5" t="n"/>
      <c r="J3223" s="6" t="n"/>
      <c r="K3223" s="6" t="n"/>
      <c r="L3223" s="7">
        <f>IF(OR(D3223="",N(J3223)=0),"",MIN(1,N(K3223)/J3223))</f>
        <v/>
      </c>
      <c r="M3223" s="5" t="n"/>
      <c r="N3223" s="5" t="n"/>
      <c r="O3223" s="5" t="n"/>
      <c r="P3223" s="5" t="n"/>
      <c r="Q3223" s="5" t="n"/>
      <c r="R3223" s="4" t="n"/>
      <c r="S3223" s="4" t="n"/>
      <c r="T3223" s="5" t="n"/>
      <c r="U3223" s="8">
        <f>IF(AND(V3223=1,D3223&lt;&gt;""),IF(D3223&gt;=corte,TODAY()-D3223,""),"")</f>
        <v/>
      </c>
      <c r="V3223" s="8">
        <f>IF(D3223="",0,IF(OR(AND(P3223&lt;&gt;"",S3223=""),AND(N(J3223)&gt;0,N(K3223)&lt;J3223),OR(M3223="PENDENTE",M3223="PARCIAL"),OR(N3223="PENDENTE",N3223="PARCIAL")),1,0))</f>
        <v/>
      </c>
      <c r="W3223" s="8">
        <f>IF(AND(V3223=1,D3223&lt;&gt;""),IF(D3223&gt;=corte,(B3223="CRÍTICO")*1E9+(100000-D3223)*10000+10000-ROW(),""),"")</f>
        <v/>
      </c>
      <c r="X3223" s="8">
        <f>IF(AND(V3223=1,D3223=pas_data,E3223=pas_turno),10000-ROW(),"")</f>
        <v/>
      </c>
    </row>
    <row r="3224">
      <c r="A3224" s="3">
        <f>IF(D3224="","","TT-"&amp;TEXT(ROW()-1,"00000"))</f>
        <v/>
      </c>
      <c r="B3224" s="3">
        <f>IF(D3224="","",IF(V3224=0,"CONCLUÍDO",IF(D3224&lt;corte,"HISTÓRICO",IF(OR(AND(ISNUMBER(R3224),R3224&lt;TODAY()),AND(OR(N3224="PENDENTE",N3224="PARCIAL"),D3224&lt;TODAY()-1)),"CRÍTICO",IF(OR(AND(P3224&lt;&gt;"",S3224=""),AND(N3224="REALIZADO",M3224="PENDENTE"),AND(ISNUMBER(R3224),R3224=TODAY())),"ATENÇÃO",IF(N(K3224)=0,"PENDENTE","EM ANDAMENTO"))))))</f>
        <v/>
      </c>
      <c r="C3224" s="3">
        <f>IF(D3224="","",IF(V3224=0,"🟢 OK",IF(D3224&lt;corte,"⚪ HISTÓRICO (sem baixa)",IF(AND(ISNUMBER(R3224),R3224&lt;TODAY()),"🔴 PRAZO VENCIDO",IF(AND(OR(N3224="PENDENTE",N3224="PARCIAL"),D3224&lt;TODAY()-1),"🔴 EMBARQUE ATRASADO",IF(AND(N3224="REALIZADO",M3224="PENDENTE"),"🟡 EMBARCADO SEM FATURAR",IF(AND(P3224&lt;&gt;"",S3224="",OR(Q3224="",R3224="")),"🟡 PENDÊNCIA SEM RESPONSÁVEL/PRAZO",IF(AND(ISNUMBER(R3224),R3224=TODAY()),"🟡 VENCE HOJE",IF(AND(P3224&lt;&gt;"",S3224=""),"🟡 PENDÊNCIA ABERTA",IF(AND(N(J3224)&gt;0,N(K3224)&lt;J3224),"🟡 FALTA EXECUTAR",IF(OR(M3224="PENDENTE",M3224="PARCIAL"),"🟡 FATURAMENTO PENDENTE","🟡 EMBARQUE PENDENTE")))))))))))</f>
        <v/>
      </c>
      <c r="D3224" s="4" t="n"/>
      <c r="E3224" s="5" t="n"/>
      <c r="F3224" s="5" t="n"/>
      <c r="G3224" s="5" t="n"/>
      <c r="H3224" s="5" t="n"/>
      <c r="I3224" s="5" t="n"/>
      <c r="J3224" s="6" t="n"/>
      <c r="K3224" s="6" t="n"/>
      <c r="L3224" s="7">
        <f>IF(OR(D3224="",N(J3224)=0),"",MIN(1,N(K3224)/J3224))</f>
        <v/>
      </c>
      <c r="M3224" s="5" t="n"/>
      <c r="N3224" s="5" t="n"/>
      <c r="O3224" s="5" t="n"/>
      <c r="P3224" s="5" t="n"/>
      <c r="Q3224" s="5" t="n"/>
      <c r="R3224" s="4" t="n"/>
      <c r="S3224" s="4" t="n"/>
      <c r="T3224" s="5" t="n"/>
      <c r="U3224" s="8">
        <f>IF(AND(V3224=1,D3224&lt;&gt;""),IF(D3224&gt;=corte,TODAY()-D3224,""),"")</f>
        <v/>
      </c>
      <c r="V3224" s="8">
        <f>IF(D3224="",0,IF(OR(AND(P3224&lt;&gt;"",S3224=""),AND(N(J3224)&gt;0,N(K3224)&lt;J3224),OR(M3224="PENDENTE",M3224="PARCIAL"),OR(N3224="PENDENTE",N3224="PARCIAL")),1,0))</f>
        <v/>
      </c>
      <c r="W3224" s="8">
        <f>IF(AND(V3224=1,D3224&lt;&gt;""),IF(D3224&gt;=corte,(B3224="CRÍTICO")*1E9+(100000-D3224)*10000+10000-ROW(),""),"")</f>
        <v/>
      </c>
      <c r="X3224" s="8">
        <f>IF(AND(V3224=1,D3224=pas_data,E3224=pas_turno),10000-ROW(),"")</f>
        <v/>
      </c>
    </row>
    <row r="3225">
      <c r="A3225" s="3">
        <f>IF(D3225="","","TT-"&amp;TEXT(ROW()-1,"00000"))</f>
        <v/>
      </c>
      <c r="B3225" s="3">
        <f>IF(D3225="","",IF(V3225=0,"CONCLUÍDO",IF(D3225&lt;corte,"HISTÓRICO",IF(OR(AND(ISNUMBER(R3225),R3225&lt;TODAY()),AND(OR(N3225="PENDENTE",N3225="PARCIAL"),D3225&lt;TODAY()-1)),"CRÍTICO",IF(OR(AND(P3225&lt;&gt;"",S3225=""),AND(N3225="REALIZADO",M3225="PENDENTE"),AND(ISNUMBER(R3225),R3225=TODAY())),"ATENÇÃO",IF(N(K3225)=0,"PENDENTE","EM ANDAMENTO"))))))</f>
        <v/>
      </c>
      <c r="C3225" s="3">
        <f>IF(D3225="","",IF(V3225=0,"🟢 OK",IF(D3225&lt;corte,"⚪ HISTÓRICO (sem baixa)",IF(AND(ISNUMBER(R3225),R3225&lt;TODAY()),"🔴 PRAZO VENCIDO",IF(AND(OR(N3225="PENDENTE",N3225="PARCIAL"),D3225&lt;TODAY()-1),"🔴 EMBARQUE ATRASADO",IF(AND(N3225="REALIZADO",M3225="PENDENTE"),"🟡 EMBARCADO SEM FATURAR",IF(AND(P3225&lt;&gt;"",S3225="",OR(Q3225="",R3225="")),"🟡 PENDÊNCIA SEM RESPONSÁVEL/PRAZO",IF(AND(ISNUMBER(R3225),R3225=TODAY()),"🟡 VENCE HOJE",IF(AND(P3225&lt;&gt;"",S3225=""),"🟡 PENDÊNCIA ABERTA",IF(AND(N(J3225)&gt;0,N(K3225)&lt;J3225),"🟡 FALTA EXECUTAR",IF(OR(M3225="PENDENTE",M3225="PARCIAL"),"🟡 FATURAMENTO PENDENTE","🟡 EMBARQUE PENDENTE")))))))))))</f>
        <v/>
      </c>
      <c r="D3225" s="4" t="n"/>
      <c r="E3225" s="5" t="n"/>
      <c r="F3225" s="5" t="n"/>
      <c r="G3225" s="5" t="n"/>
      <c r="H3225" s="5" t="n"/>
      <c r="I3225" s="5" t="n"/>
      <c r="J3225" s="6" t="n"/>
      <c r="K3225" s="6" t="n"/>
      <c r="L3225" s="7">
        <f>IF(OR(D3225="",N(J3225)=0),"",MIN(1,N(K3225)/J3225))</f>
        <v/>
      </c>
      <c r="M3225" s="5" t="n"/>
      <c r="N3225" s="5" t="n"/>
      <c r="O3225" s="5" t="n"/>
      <c r="P3225" s="5" t="n"/>
      <c r="Q3225" s="5" t="n"/>
      <c r="R3225" s="4" t="n"/>
      <c r="S3225" s="4" t="n"/>
      <c r="T3225" s="5" t="n"/>
      <c r="U3225" s="8">
        <f>IF(AND(V3225=1,D3225&lt;&gt;""),IF(D3225&gt;=corte,TODAY()-D3225,""),"")</f>
        <v/>
      </c>
      <c r="V3225" s="8">
        <f>IF(D3225="",0,IF(OR(AND(P3225&lt;&gt;"",S3225=""),AND(N(J3225)&gt;0,N(K3225)&lt;J3225),OR(M3225="PENDENTE",M3225="PARCIAL"),OR(N3225="PENDENTE",N3225="PARCIAL")),1,0))</f>
        <v/>
      </c>
      <c r="W3225" s="8">
        <f>IF(AND(V3225=1,D3225&lt;&gt;""),IF(D3225&gt;=corte,(B3225="CRÍTICO")*1E9+(100000-D3225)*10000+10000-ROW(),""),"")</f>
        <v/>
      </c>
      <c r="X3225" s="8">
        <f>IF(AND(V3225=1,D3225=pas_data,E3225=pas_turno),10000-ROW(),"")</f>
        <v/>
      </c>
    </row>
    <row r="3226">
      <c r="A3226" s="3">
        <f>IF(D3226="","","TT-"&amp;TEXT(ROW()-1,"00000"))</f>
        <v/>
      </c>
      <c r="B3226" s="3">
        <f>IF(D3226="","",IF(V3226=0,"CONCLUÍDO",IF(D3226&lt;corte,"HISTÓRICO",IF(OR(AND(ISNUMBER(R3226),R3226&lt;TODAY()),AND(OR(N3226="PENDENTE",N3226="PARCIAL"),D3226&lt;TODAY()-1)),"CRÍTICO",IF(OR(AND(P3226&lt;&gt;"",S3226=""),AND(N3226="REALIZADO",M3226="PENDENTE"),AND(ISNUMBER(R3226),R3226=TODAY())),"ATENÇÃO",IF(N(K3226)=0,"PENDENTE","EM ANDAMENTO"))))))</f>
        <v/>
      </c>
      <c r="C3226" s="3">
        <f>IF(D3226="","",IF(V3226=0,"🟢 OK",IF(D3226&lt;corte,"⚪ HISTÓRICO (sem baixa)",IF(AND(ISNUMBER(R3226),R3226&lt;TODAY()),"🔴 PRAZO VENCIDO",IF(AND(OR(N3226="PENDENTE",N3226="PARCIAL"),D3226&lt;TODAY()-1),"🔴 EMBARQUE ATRASADO",IF(AND(N3226="REALIZADO",M3226="PENDENTE"),"🟡 EMBARCADO SEM FATURAR",IF(AND(P3226&lt;&gt;"",S3226="",OR(Q3226="",R3226="")),"🟡 PENDÊNCIA SEM RESPONSÁVEL/PRAZO",IF(AND(ISNUMBER(R3226),R3226=TODAY()),"🟡 VENCE HOJE",IF(AND(P3226&lt;&gt;"",S3226=""),"🟡 PENDÊNCIA ABERTA",IF(AND(N(J3226)&gt;0,N(K3226)&lt;J3226),"🟡 FALTA EXECUTAR",IF(OR(M3226="PENDENTE",M3226="PARCIAL"),"🟡 FATURAMENTO PENDENTE","🟡 EMBARQUE PENDENTE")))))))))))</f>
        <v/>
      </c>
      <c r="D3226" s="4" t="n"/>
      <c r="E3226" s="5" t="n"/>
      <c r="F3226" s="5" t="n"/>
      <c r="G3226" s="5" t="n"/>
      <c r="H3226" s="5" t="n"/>
      <c r="I3226" s="5" t="n"/>
      <c r="J3226" s="6" t="n"/>
      <c r="K3226" s="6" t="n"/>
      <c r="L3226" s="7">
        <f>IF(OR(D3226="",N(J3226)=0),"",MIN(1,N(K3226)/J3226))</f>
        <v/>
      </c>
      <c r="M3226" s="5" t="n"/>
      <c r="N3226" s="5" t="n"/>
      <c r="O3226" s="5" t="n"/>
      <c r="P3226" s="5" t="n"/>
      <c r="Q3226" s="5" t="n"/>
      <c r="R3226" s="4" t="n"/>
      <c r="S3226" s="4" t="n"/>
      <c r="T3226" s="5" t="n"/>
      <c r="U3226" s="8">
        <f>IF(AND(V3226=1,D3226&lt;&gt;""),IF(D3226&gt;=corte,TODAY()-D3226,""),"")</f>
        <v/>
      </c>
      <c r="V3226" s="8">
        <f>IF(D3226="",0,IF(OR(AND(P3226&lt;&gt;"",S3226=""),AND(N(J3226)&gt;0,N(K3226)&lt;J3226),OR(M3226="PENDENTE",M3226="PARCIAL"),OR(N3226="PENDENTE",N3226="PARCIAL")),1,0))</f>
        <v/>
      </c>
      <c r="W3226" s="8">
        <f>IF(AND(V3226=1,D3226&lt;&gt;""),IF(D3226&gt;=corte,(B3226="CRÍTICO")*1E9+(100000-D3226)*10000+10000-ROW(),""),"")</f>
        <v/>
      </c>
      <c r="X3226" s="8">
        <f>IF(AND(V3226=1,D3226=pas_data,E3226=pas_turno),10000-ROW(),"")</f>
        <v/>
      </c>
    </row>
    <row r="3227">
      <c r="A3227" s="3">
        <f>IF(D3227="","","TT-"&amp;TEXT(ROW()-1,"00000"))</f>
        <v/>
      </c>
      <c r="B3227" s="3">
        <f>IF(D3227="","",IF(V3227=0,"CONCLUÍDO",IF(D3227&lt;corte,"HISTÓRICO",IF(OR(AND(ISNUMBER(R3227),R3227&lt;TODAY()),AND(OR(N3227="PENDENTE",N3227="PARCIAL"),D3227&lt;TODAY()-1)),"CRÍTICO",IF(OR(AND(P3227&lt;&gt;"",S3227=""),AND(N3227="REALIZADO",M3227="PENDENTE"),AND(ISNUMBER(R3227),R3227=TODAY())),"ATENÇÃO",IF(N(K3227)=0,"PENDENTE","EM ANDAMENTO"))))))</f>
        <v/>
      </c>
      <c r="C3227" s="3">
        <f>IF(D3227="","",IF(V3227=0,"🟢 OK",IF(D3227&lt;corte,"⚪ HISTÓRICO (sem baixa)",IF(AND(ISNUMBER(R3227),R3227&lt;TODAY()),"🔴 PRAZO VENCIDO",IF(AND(OR(N3227="PENDENTE",N3227="PARCIAL"),D3227&lt;TODAY()-1),"🔴 EMBARQUE ATRASADO",IF(AND(N3227="REALIZADO",M3227="PENDENTE"),"🟡 EMBARCADO SEM FATURAR",IF(AND(P3227&lt;&gt;"",S3227="",OR(Q3227="",R3227="")),"🟡 PENDÊNCIA SEM RESPONSÁVEL/PRAZO",IF(AND(ISNUMBER(R3227),R3227=TODAY()),"🟡 VENCE HOJE",IF(AND(P3227&lt;&gt;"",S3227=""),"🟡 PENDÊNCIA ABERTA",IF(AND(N(J3227)&gt;0,N(K3227)&lt;J3227),"🟡 FALTA EXECUTAR",IF(OR(M3227="PENDENTE",M3227="PARCIAL"),"🟡 FATURAMENTO PENDENTE","🟡 EMBARQUE PENDENTE")))))))))))</f>
        <v/>
      </c>
      <c r="D3227" s="4" t="n"/>
      <c r="E3227" s="5" t="n"/>
      <c r="F3227" s="5" t="n"/>
      <c r="G3227" s="5" t="n"/>
      <c r="H3227" s="5" t="n"/>
      <c r="I3227" s="5" t="n"/>
      <c r="J3227" s="6" t="n"/>
      <c r="K3227" s="6" t="n"/>
      <c r="L3227" s="7">
        <f>IF(OR(D3227="",N(J3227)=0),"",MIN(1,N(K3227)/J3227))</f>
        <v/>
      </c>
      <c r="M3227" s="5" t="n"/>
      <c r="N3227" s="5" t="n"/>
      <c r="O3227" s="5" t="n"/>
      <c r="P3227" s="5" t="n"/>
      <c r="Q3227" s="5" t="n"/>
      <c r="R3227" s="4" t="n"/>
      <c r="S3227" s="4" t="n"/>
      <c r="T3227" s="5" t="n"/>
      <c r="U3227" s="8">
        <f>IF(AND(V3227=1,D3227&lt;&gt;""),IF(D3227&gt;=corte,TODAY()-D3227,""),"")</f>
        <v/>
      </c>
      <c r="V3227" s="8">
        <f>IF(D3227="",0,IF(OR(AND(P3227&lt;&gt;"",S3227=""),AND(N(J3227)&gt;0,N(K3227)&lt;J3227),OR(M3227="PENDENTE",M3227="PARCIAL"),OR(N3227="PENDENTE",N3227="PARCIAL")),1,0))</f>
        <v/>
      </c>
      <c r="W3227" s="8">
        <f>IF(AND(V3227=1,D3227&lt;&gt;""),IF(D3227&gt;=corte,(B3227="CRÍTICO")*1E9+(100000-D3227)*10000+10000-ROW(),""),"")</f>
        <v/>
      </c>
      <c r="X3227" s="8">
        <f>IF(AND(V3227=1,D3227=pas_data,E3227=pas_turno),10000-ROW(),"")</f>
        <v/>
      </c>
    </row>
    <row r="3228">
      <c r="A3228" s="3">
        <f>IF(D3228="","","TT-"&amp;TEXT(ROW()-1,"00000"))</f>
        <v/>
      </c>
      <c r="B3228" s="3">
        <f>IF(D3228="","",IF(V3228=0,"CONCLUÍDO",IF(D3228&lt;corte,"HISTÓRICO",IF(OR(AND(ISNUMBER(R3228),R3228&lt;TODAY()),AND(OR(N3228="PENDENTE",N3228="PARCIAL"),D3228&lt;TODAY()-1)),"CRÍTICO",IF(OR(AND(P3228&lt;&gt;"",S3228=""),AND(N3228="REALIZADO",M3228="PENDENTE"),AND(ISNUMBER(R3228),R3228=TODAY())),"ATENÇÃO",IF(N(K3228)=0,"PENDENTE","EM ANDAMENTO"))))))</f>
        <v/>
      </c>
      <c r="C3228" s="3">
        <f>IF(D3228="","",IF(V3228=0,"🟢 OK",IF(D3228&lt;corte,"⚪ HISTÓRICO (sem baixa)",IF(AND(ISNUMBER(R3228),R3228&lt;TODAY()),"🔴 PRAZO VENCIDO",IF(AND(OR(N3228="PENDENTE",N3228="PARCIAL"),D3228&lt;TODAY()-1),"🔴 EMBARQUE ATRASADO",IF(AND(N3228="REALIZADO",M3228="PENDENTE"),"🟡 EMBARCADO SEM FATURAR",IF(AND(P3228&lt;&gt;"",S3228="",OR(Q3228="",R3228="")),"🟡 PENDÊNCIA SEM RESPONSÁVEL/PRAZO",IF(AND(ISNUMBER(R3228),R3228=TODAY()),"🟡 VENCE HOJE",IF(AND(P3228&lt;&gt;"",S3228=""),"🟡 PENDÊNCIA ABERTA",IF(AND(N(J3228)&gt;0,N(K3228)&lt;J3228),"🟡 FALTA EXECUTAR",IF(OR(M3228="PENDENTE",M3228="PARCIAL"),"🟡 FATURAMENTO PENDENTE","🟡 EMBARQUE PENDENTE")))))))))))</f>
        <v/>
      </c>
      <c r="D3228" s="4" t="n"/>
      <c r="E3228" s="5" t="n"/>
      <c r="F3228" s="5" t="n"/>
      <c r="G3228" s="5" t="n"/>
      <c r="H3228" s="5" t="n"/>
      <c r="I3228" s="5" t="n"/>
      <c r="J3228" s="6" t="n"/>
      <c r="K3228" s="6" t="n"/>
      <c r="L3228" s="7">
        <f>IF(OR(D3228="",N(J3228)=0),"",MIN(1,N(K3228)/J3228))</f>
        <v/>
      </c>
      <c r="M3228" s="5" t="n"/>
      <c r="N3228" s="5" t="n"/>
      <c r="O3228" s="5" t="n"/>
      <c r="P3228" s="5" t="n"/>
      <c r="Q3228" s="5" t="n"/>
      <c r="R3228" s="4" t="n"/>
      <c r="S3228" s="4" t="n"/>
      <c r="T3228" s="5" t="n"/>
      <c r="U3228" s="8">
        <f>IF(AND(V3228=1,D3228&lt;&gt;""),IF(D3228&gt;=corte,TODAY()-D3228,""),"")</f>
        <v/>
      </c>
      <c r="V3228" s="8">
        <f>IF(D3228="",0,IF(OR(AND(P3228&lt;&gt;"",S3228=""),AND(N(J3228)&gt;0,N(K3228)&lt;J3228),OR(M3228="PENDENTE",M3228="PARCIAL"),OR(N3228="PENDENTE",N3228="PARCIAL")),1,0))</f>
        <v/>
      </c>
      <c r="W3228" s="8">
        <f>IF(AND(V3228=1,D3228&lt;&gt;""),IF(D3228&gt;=corte,(B3228="CRÍTICO")*1E9+(100000-D3228)*10000+10000-ROW(),""),"")</f>
        <v/>
      </c>
      <c r="X3228" s="8">
        <f>IF(AND(V3228=1,D3228=pas_data,E3228=pas_turno),10000-ROW(),"")</f>
        <v/>
      </c>
    </row>
    <row r="3229">
      <c r="A3229" s="3">
        <f>IF(D3229="","","TT-"&amp;TEXT(ROW()-1,"00000"))</f>
        <v/>
      </c>
      <c r="B3229" s="3">
        <f>IF(D3229="","",IF(V3229=0,"CONCLUÍDO",IF(D3229&lt;corte,"HISTÓRICO",IF(OR(AND(ISNUMBER(R3229),R3229&lt;TODAY()),AND(OR(N3229="PENDENTE",N3229="PARCIAL"),D3229&lt;TODAY()-1)),"CRÍTICO",IF(OR(AND(P3229&lt;&gt;"",S3229=""),AND(N3229="REALIZADO",M3229="PENDENTE"),AND(ISNUMBER(R3229),R3229=TODAY())),"ATENÇÃO",IF(N(K3229)=0,"PENDENTE","EM ANDAMENTO"))))))</f>
        <v/>
      </c>
      <c r="C3229" s="3">
        <f>IF(D3229="","",IF(V3229=0,"🟢 OK",IF(D3229&lt;corte,"⚪ HISTÓRICO (sem baixa)",IF(AND(ISNUMBER(R3229),R3229&lt;TODAY()),"🔴 PRAZO VENCIDO",IF(AND(OR(N3229="PENDENTE",N3229="PARCIAL"),D3229&lt;TODAY()-1),"🔴 EMBARQUE ATRASADO",IF(AND(N3229="REALIZADO",M3229="PENDENTE"),"🟡 EMBARCADO SEM FATURAR",IF(AND(P3229&lt;&gt;"",S3229="",OR(Q3229="",R3229="")),"🟡 PENDÊNCIA SEM RESPONSÁVEL/PRAZO",IF(AND(ISNUMBER(R3229),R3229=TODAY()),"🟡 VENCE HOJE",IF(AND(P3229&lt;&gt;"",S3229=""),"🟡 PENDÊNCIA ABERTA",IF(AND(N(J3229)&gt;0,N(K3229)&lt;J3229),"🟡 FALTA EXECUTAR",IF(OR(M3229="PENDENTE",M3229="PARCIAL"),"🟡 FATURAMENTO PENDENTE","🟡 EMBARQUE PENDENTE")))))))))))</f>
        <v/>
      </c>
      <c r="D3229" s="4" t="n"/>
      <c r="E3229" s="5" t="n"/>
      <c r="F3229" s="5" t="n"/>
      <c r="G3229" s="5" t="n"/>
      <c r="H3229" s="5" t="n"/>
      <c r="I3229" s="5" t="n"/>
      <c r="J3229" s="6" t="n"/>
      <c r="K3229" s="6" t="n"/>
      <c r="L3229" s="7">
        <f>IF(OR(D3229="",N(J3229)=0),"",MIN(1,N(K3229)/J3229))</f>
        <v/>
      </c>
      <c r="M3229" s="5" t="n"/>
      <c r="N3229" s="5" t="n"/>
      <c r="O3229" s="5" t="n"/>
      <c r="P3229" s="5" t="n"/>
      <c r="Q3229" s="5" t="n"/>
      <c r="R3229" s="4" t="n"/>
      <c r="S3229" s="4" t="n"/>
      <c r="T3229" s="5" t="n"/>
      <c r="U3229" s="8">
        <f>IF(AND(V3229=1,D3229&lt;&gt;""),IF(D3229&gt;=corte,TODAY()-D3229,""),"")</f>
        <v/>
      </c>
      <c r="V3229" s="8">
        <f>IF(D3229="",0,IF(OR(AND(P3229&lt;&gt;"",S3229=""),AND(N(J3229)&gt;0,N(K3229)&lt;J3229),OR(M3229="PENDENTE",M3229="PARCIAL"),OR(N3229="PENDENTE",N3229="PARCIAL")),1,0))</f>
        <v/>
      </c>
      <c r="W3229" s="8">
        <f>IF(AND(V3229=1,D3229&lt;&gt;""),IF(D3229&gt;=corte,(B3229="CRÍTICO")*1E9+(100000-D3229)*10000+10000-ROW(),""),"")</f>
        <v/>
      </c>
      <c r="X3229" s="8">
        <f>IF(AND(V3229=1,D3229=pas_data,E3229=pas_turno),10000-ROW(),"")</f>
        <v/>
      </c>
    </row>
    <row r="3230">
      <c r="A3230" s="3">
        <f>IF(D3230="","","TT-"&amp;TEXT(ROW()-1,"00000"))</f>
        <v/>
      </c>
      <c r="B3230" s="3">
        <f>IF(D3230="","",IF(V3230=0,"CONCLUÍDO",IF(D3230&lt;corte,"HISTÓRICO",IF(OR(AND(ISNUMBER(R3230),R3230&lt;TODAY()),AND(OR(N3230="PENDENTE",N3230="PARCIAL"),D3230&lt;TODAY()-1)),"CRÍTICO",IF(OR(AND(P3230&lt;&gt;"",S3230=""),AND(N3230="REALIZADO",M3230="PENDENTE"),AND(ISNUMBER(R3230),R3230=TODAY())),"ATENÇÃO",IF(N(K3230)=0,"PENDENTE","EM ANDAMENTO"))))))</f>
        <v/>
      </c>
      <c r="C3230" s="3">
        <f>IF(D3230="","",IF(V3230=0,"🟢 OK",IF(D3230&lt;corte,"⚪ HISTÓRICO (sem baixa)",IF(AND(ISNUMBER(R3230),R3230&lt;TODAY()),"🔴 PRAZO VENCIDO",IF(AND(OR(N3230="PENDENTE",N3230="PARCIAL"),D3230&lt;TODAY()-1),"🔴 EMBARQUE ATRASADO",IF(AND(N3230="REALIZADO",M3230="PENDENTE"),"🟡 EMBARCADO SEM FATURAR",IF(AND(P3230&lt;&gt;"",S3230="",OR(Q3230="",R3230="")),"🟡 PENDÊNCIA SEM RESPONSÁVEL/PRAZO",IF(AND(ISNUMBER(R3230),R3230=TODAY()),"🟡 VENCE HOJE",IF(AND(P3230&lt;&gt;"",S3230=""),"🟡 PENDÊNCIA ABERTA",IF(AND(N(J3230)&gt;0,N(K3230)&lt;J3230),"🟡 FALTA EXECUTAR",IF(OR(M3230="PENDENTE",M3230="PARCIAL"),"🟡 FATURAMENTO PENDENTE","🟡 EMBARQUE PENDENTE")))))))))))</f>
        <v/>
      </c>
      <c r="D3230" s="4" t="n"/>
      <c r="E3230" s="5" t="n"/>
      <c r="F3230" s="5" t="n"/>
      <c r="G3230" s="5" t="n"/>
      <c r="H3230" s="5" t="n"/>
      <c r="I3230" s="5" t="n"/>
      <c r="J3230" s="6" t="n"/>
      <c r="K3230" s="6" t="n"/>
      <c r="L3230" s="7">
        <f>IF(OR(D3230="",N(J3230)=0),"",MIN(1,N(K3230)/J3230))</f>
        <v/>
      </c>
      <c r="M3230" s="5" t="n"/>
      <c r="N3230" s="5" t="n"/>
      <c r="O3230" s="5" t="n"/>
      <c r="P3230" s="5" t="n"/>
      <c r="Q3230" s="5" t="n"/>
      <c r="R3230" s="4" t="n"/>
      <c r="S3230" s="4" t="n"/>
      <c r="T3230" s="5" t="n"/>
      <c r="U3230" s="8">
        <f>IF(AND(V3230=1,D3230&lt;&gt;""),IF(D3230&gt;=corte,TODAY()-D3230,""),"")</f>
        <v/>
      </c>
      <c r="V3230" s="8">
        <f>IF(D3230="",0,IF(OR(AND(P3230&lt;&gt;"",S3230=""),AND(N(J3230)&gt;0,N(K3230)&lt;J3230),OR(M3230="PENDENTE",M3230="PARCIAL"),OR(N3230="PENDENTE",N3230="PARCIAL")),1,0))</f>
        <v/>
      </c>
      <c r="W3230" s="8">
        <f>IF(AND(V3230=1,D3230&lt;&gt;""),IF(D3230&gt;=corte,(B3230="CRÍTICO")*1E9+(100000-D3230)*10000+10000-ROW(),""),"")</f>
        <v/>
      </c>
      <c r="X3230" s="8">
        <f>IF(AND(V3230=1,D3230=pas_data,E3230=pas_turno),10000-ROW(),"")</f>
        <v/>
      </c>
    </row>
    <row r="3231">
      <c r="A3231" s="3">
        <f>IF(D3231="","","TT-"&amp;TEXT(ROW()-1,"00000"))</f>
        <v/>
      </c>
      <c r="B3231" s="3">
        <f>IF(D3231="","",IF(V3231=0,"CONCLUÍDO",IF(D3231&lt;corte,"HISTÓRICO",IF(OR(AND(ISNUMBER(R3231),R3231&lt;TODAY()),AND(OR(N3231="PENDENTE",N3231="PARCIAL"),D3231&lt;TODAY()-1)),"CRÍTICO",IF(OR(AND(P3231&lt;&gt;"",S3231=""),AND(N3231="REALIZADO",M3231="PENDENTE"),AND(ISNUMBER(R3231),R3231=TODAY())),"ATENÇÃO",IF(N(K3231)=0,"PENDENTE","EM ANDAMENTO"))))))</f>
        <v/>
      </c>
      <c r="C3231" s="3">
        <f>IF(D3231="","",IF(V3231=0,"🟢 OK",IF(D3231&lt;corte,"⚪ HISTÓRICO (sem baixa)",IF(AND(ISNUMBER(R3231),R3231&lt;TODAY()),"🔴 PRAZO VENCIDO",IF(AND(OR(N3231="PENDENTE",N3231="PARCIAL"),D3231&lt;TODAY()-1),"🔴 EMBARQUE ATRASADO",IF(AND(N3231="REALIZADO",M3231="PENDENTE"),"🟡 EMBARCADO SEM FATURAR",IF(AND(P3231&lt;&gt;"",S3231="",OR(Q3231="",R3231="")),"🟡 PENDÊNCIA SEM RESPONSÁVEL/PRAZO",IF(AND(ISNUMBER(R3231),R3231=TODAY()),"🟡 VENCE HOJE",IF(AND(P3231&lt;&gt;"",S3231=""),"🟡 PENDÊNCIA ABERTA",IF(AND(N(J3231)&gt;0,N(K3231)&lt;J3231),"🟡 FALTA EXECUTAR",IF(OR(M3231="PENDENTE",M3231="PARCIAL"),"🟡 FATURAMENTO PENDENTE","🟡 EMBARQUE PENDENTE")))))))))))</f>
        <v/>
      </c>
      <c r="D3231" s="4" t="n"/>
      <c r="E3231" s="5" t="n"/>
      <c r="F3231" s="5" t="n"/>
      <c r="G3231" s="5" t="n"/>
      <c r="H3231" s="5" t="n"/>
      <c r="I3231" s="5" t="n"/>
      <c r="J3231" s="6" t="n"/>
      <c r="K3231" s="6" t="n"/>
      <c r="L3231" s="7">
        <f>IF(OR(D3231="",N(J3231)=0),"",MIN(1,N(K3231)/J3231))</f>
        <v/>
      </c>
      <c r="M3231" s="5" t="n"/>
      <c r="N3231" s="5" t="n"/>
      <c r="O3231" s="5" t="n"/>
      <c r="P3231" s="5" t="n"/>
      <c r="Q3231" s="5" t="n"/>
      <c r="R3231" s="4" t="n"/>
      <c r="S3231" s="4" t="n"/>
      <c r="T3231" s="5" t="n"/>
      <c r="U3231" s="8">
        <f>IF(AND(V3231=1,D3231&lt;&gt;""),IF(D3231&gt;=corte,TODAY()-D3231,""),"")</f>
        <v/>
      </c>
      <c r="V3231" s="8">
        <f>IF(D3231="",0,IF(OR(AND(P3231&lt;&gt;"",S3231=""),AND(N(J3231)&gt;0,N(K3231)&lt;J3231),OR(M3231="PENDENTE",M3231="PARCIAL"),OR(N3231="PENDENTE",N3231="PARCIAL")),1,0))</f>
        <v/>
      </c>
      <c r="W3231" s="8">
        <f>IF(AND(V3231=1,D3231&lt;&gt;""),IF(D3231&gt;=corte,(B3231="CRÍTICO")*1E9+(100000-D3231)*10000+10000-ROW(),""),"")</f>
        <v/>
      </c>
      <c r="X3231" s="8">
        <f>IF(AND(V3231=1,D3231=pas_data,E3231=pas_turno),10000-ROW(),"")</f>
        <v/>
      </c>
    </row>
    <row r="3232">
      <c r="A3232" s="3">
        <f>IF(D3232="","","TT-"&amp;TEXT(ROW()-1,"00000"))</f>
        <v/>
      </c>
      <c r="B3232" s="3">
        <f>IF(D3232="","",IF(V3232=0,"CONCLUÍDO",IF(D3232&lt;corte,"HISTÓRICO",IF(OR(AND(ISNUMBER(R3232),R3232&lt;TODAY()),AND(OR(N3232="PENDENTE",N3232="PARCIAL"),D3232&lt;TODAY()-1)),"CRÍTICO",IF(OR(AND(P3232&lt;&gt;"",S3232=""),AND(N3232="REALIZADO",M3232="PENDENTE"),AND(ISNUMBER(R3232),R3232=TODAY())),"ATENÇÃO",IF(N(K3232)=0,"PENDENTE","EM ANDAMENTO"))))))</f>
        <v/>
      </c>
      <c r="C3232" s="3">
        <f>IF(D3232="","",IF(V3232=0,"🟢 OK",IF(D3232&lt;corte,"⚪ HISTÓRICO (sem baixa)",IF(AND(ISNUMBER(R3232),R3232&lt;TODAY()),"🔴 PRAZO VENCIDO",IF(AND(OR(N3232="PENDENTE",N3232="PARCIAL"),D3232&lt;TODAY()-1),"🔴 EMBARQUE ATRASADO",IF(AND(N3232="REALIZADO",M3232="PENDENTE"),"🟡 EMBARCADO SEM FATURAR",IF(AND(P3232&lt;&gt;"",S3232="",OR(Q3232="",R3232="")),"🟡 PENDÊNCIA SEM RESPONSÁVEL/PRAZO",IF(AND(ISNUMBER(R3232),R3232=TODAY()),"🟡 VENCE HOJE",IF(AND(P3232&lt;&gt;"",S3232=""),"🟡 PENDÊNCIA ABERTA",IF(AND(N(J3232)&gt;0,N(K3232)&lt;J3232),"🟡 FALTA EXECUTAR",IF(OR(M3232="PENDENTE",M3232="PARCIAL"),"🟡 FATURAMENTO PENDENTE","🟡 EMBARQUE PENDENTE")))))))))))</f>
        <v/>
      </c>
      <c r="D3232" s="4" t="n"/>
      <c r="E3232" s="5" t="n"/>
      <c r="F3232" s="5" t="n"/>
      <c r="G3232" s="5" t="n"/>
      <c r="H3232" s="5" t="n"/>
      <c r="I3232" s="5" t="n"/>
      <c r="J3232" s="6" t="n"/>
      <c r="K3232" s="6" t="n"/>
      <c r="L3232" s="7">
        <f>IF(OR(D3232="",N(J3232)=0),"",MIN(1,N(K3232)/J3232))</f>
        <v/>
      </c>
      <c r="M3232" s="5" t="n"/>
      <c r="N3232" s="5" t="n"/>
      <c r="O3232" s="5" t="n"/>
      <c r="P3232" s="5" t="n"/>
      <c r="Q3232" s="5" t="n"/>
      <c r="R3232" s="4" t="n"/>
      <c r="S3232" s="4" t="n"/>
      <c r="T3232" s="5" t="n"/>
      <c r="U3232" s="8">
        <f>IF(AND(V3232=1,D3232&lt;&gt;""),IF(D3232&gt;=corte,TODAY()-D3232,""),"")</f>
        <v/>
      </c>
      <c r="V3232" s="8">
        <f>IF(D3232="",0,IF(OR(AND(P3232&lt;&gt;"",S3232=""),AND(N(J3232)&gt;0,N(K3232)&lt;J3232),OR(M3232="PENDENTE",M3232="PARCIAL"),OR(N3232="PENDENTE",N3232="PARCIAL")),1,0))</f>
        <v/>
      </c>
      <c r="W3232" s="8">
        <f>IF(AND(V3232=1,D3232&lt;&gt;""),IF(D3232&gt;=corte,(B3232="CRÍTICO")*1E9+(100000-D3232)*10000+10000-ROW(),""),"")</f>
        <v/>
      </c>
      <c r="X3232" s="8">
        <f>IF(AND(V3232=1,D3232=pas_data,E3232=pas_turno),10000-ROW(),"")</f>
        <v/>
      </c>
    </row>
    <row r="3233">
      <c r="A3233" s="3">
        <f>IF(D3233="","","TT-"&amp;TEXT(ROW()-1,"00000"))</f>
        <v/>
      </c>
      <c r="B3233" s="3">
        <f>IF(D3233="","",IF(V3233=0,"CONCLUÍDO",IF(D3233&lt;corte,"HISTÓRICO",IF(OR(AND(ISNUMBER(R3233),R3233&lt;TODAY()),AND(OR(N3233="PENDENTE",N3233="PARCIAL"),D3233&lt;TODAY()-1)),"CRÍTICO",IF(OR(AND(P3233&lt;&gt;"",S3233=""),AND(N3233="REALIZADO",M3233="PENDENTE"),AND(ISNUMBER(R3233),R3233=TODAY())),"ATENÇÃO",IF(N(K3233)=0,"PENDENTE","EM ANDAMENTO"))))))</f>
        <v/>
      </c>
      <c r="C3233" s="3">
        <f>IF(D3233="","",IF(V3233=0,"🟢 OK",IF(D3233&lt;corte,"⚪ HISTÓRICO (sem baixa)",IF(AND(ISNUMBER(R3233),R3233&lt;TODAY()),"🔴 PRAZO VENCIDO",IF(AND(OR(N3233="PENDENTE",N3233="PARCIAL"),D3233&lt;TODAY()-1),"🔴 EMBARQUE ATRASADO",IF(AND(N3233="REALIZADO",M3233="PENDENTE"),"🟡 EMBARCADO SEM FATURAR",IF(AND(P3233&lt;&gt;"",S3233="",OR(Q3233="",R3233="")),"🟡 PENDÊNCIA SEM RESPONSÁVEL/PRAZO",IF(AND(ISNUMBER(R3233),R3233=TODAY()),"🟡 VENCE HOJE",IF(AND(P3233&lt;&gt;"",S3233=""),"🟡 PENDÊNCIA ABERTA",IF(AND(N(J3233)&gt;0,N(K3233)&lt;J3233),"🟡 FALTA EXECUTAR",IF(OR(M3233="PENDENTE",M3233="PARCIAL"),"🟡 FATURAMENTO PENDENTE","🟡 EMBARQUE PENDENTE")))))))))))</f>
        <v/>
      </c>
      <c r="D3233" s="4" t="n"/>
      <c r="E3233" s="5" t="n"/>
      <c r="F3233" s="5" t="n"/>
      <c r="G3233" s="5" t="n"/>
      <c r="H3233" s="5" t="n"/>
      <c r="I3233" s="5" t="n"/>
      <c r="J3233" s="6" t="n"/>
      <c r="K3233" s="6" t="n"/>
      <c r="L3233" s="7">
        <f>IF(OR(D3233="",N(J3233)=0),"",MIN(1,N(K3233)/J3233))</f>
        <v/>
      </c>
      <c r="M3233" s="5" t="n"/>
      <c r="N3233" s="5" t="n"/>
      <c r="O3233" s="5" t="n"/>
      <c r="P3233" s="5" t="n"/>
      <c r="Q3233" s="5" t="n"/>
      <c r="R3233" s="4" t="n"/>
      <c r="S3233" s="4" t="n"/>
      <c r="T3233" s="5" t="n"/>
      <c r="U3233" s="8">
        <f>IF(AND(V3233=1,D3233&lt;&gt;""),IF(D3233&gt;=corte,TODAY()-D3233,""),"")</f>
        <v/>
      </c>
      <c r="V3233" s="8">
        <f>IF(D3233="",0,IF(OR(AND(P3233&lt;&gt;"",S3233=""),AND(N(J3233)&gt;0,N(K3233)&lt;J3233),OR(M3233="PENDENTE",M3233="PARCIAL"),OR(N3233="PENDENTE",N3233="PARCIAL")),1,0))</f>
        <v/>
      </c>
      <c r="W3233" s="8">
        <f>IF(AND(V3233=1,D3233&lt;&gt;""),IF(D3233&gt;=corte,(B3233="CRÍTICO")*1E9+(100000-D3233)*10000+10000-ROW(),""),"")</f>
        <v/>
      </c>
      <c r="X3233" s="8">
        <f>IF(AND(V3233=1,D3233=pas_data,E3233=pas_turno),10000-ROW(),"")</f>
        <v/>
      </c>
    </row>
    <row r="3234">
      <c r="A3234" s="3">
        <f>IF(D3234="","","TT-"&amp;TEXT(ROW()-1,"00000"))</f>
        <v/>
      </c>
      <c r="B3234" s="3">
        <f>IF(D3234="","",IF(V3234=0,"CONCLUÍDO",IF(D3234&lt;corte,"HISTÓRICO",IF(OR(AND(ISNUMBER(R3234),R3234&lt;TODAY()),AND(OR(N3234="PENDENTE",N3234="PARCIAL"),D3234&lt;TODAY()-1)),"CRÍTICO",IF(OR(AND(P3234&lt;&gt;"",S3234=""),AND(N3234="REALIZADO",M3234="PENDENTE"),AND(ISNUMBER(R3234),R3234=TODAY())),"ATENÇÃO",IF(N(K3234)=0,"PENDENTE","EM ANDAMENTO"))))))</f>
        <v/>
      </c>
      <c r="C3234" s="3">
        <f>IF(D3234="","",IF(V3234=0,"🟢 OK",IF(D3234&lt;corte,"⚪ HISTÓRICO (sem baixa)",IF(AND(ISNUMBER(R3234),R3234&lt;TODAY()),"🔴 PRAZO VENCIDO",IF(AND(OR(N3234="PENDENTE",N3234="PARCIAL"),D3234&lt;TODAY()-1),"🔴 EMBARQUE ATRASADO",IF(AND(N3234="REALIZADO",M3234="PENDENTE"),"🟡 EMBARCADO SEM FATURAR",IF(AND(P3234&lt;&gt;"",S3234="",OR(Q3234="",R3234="")),"🟡 PENDÊNCIA SEM RESPONSÁVEL/PRAZO",IF(AND(ISNUMBER(R3234),R3234=TODAY()),"🟡 VENCE HOJE",IF(AND(P3234&lt;&gt;"",S3234=""),"🟡 PENDÊNCIA ABERTA",IF(AND(N(J3234)&gt;0,N(K3234)&lt;J3234),"🟡 FALTA EXECUTAR",IF(OR(M3234="PENDENTE",M3234="PARCIAL"),"🟡 FATURAMENTO PENDENTE","🟡 EMBARQUE PENDENTE")))))))))))</f>
        <v/>
      </c>
      <c r="D3234" s="4" t="n"/>
      <c r="E3234" s="5" t="n"/>
      <c r="F3234" s="5" t="n"/>
      <c r="G3234" s="5" t="n"/>
      <c r="H3234" s="5" t="n"/>
      <c r="I3234" s="5" t="n"/>
      <c r="J3234" s="6" t="n"/>
      <c r="K3234" s="6" t="n"/>
      <c r="L3234" s="7">
        <f>IF(OR(D3234="",N(J3234)=0),"",MIN(1,N(K3234)/J3234))</f>
        <v/>
      </c>
      <c r="M3234" s="5" t="n"/>
      <c r="N3234" s="5" t="n"/>
      <c r="O3234" s="5" t="n"/>
      <c r="P3234" s="5" t="n"/>
      <c r="Q3234" s="5" t="n"/>
      <c r="R3234" s="4" t="n"/>
      <c r="S3234" s="4" t="n"/>
      <c r="T3234" s="5" t="n"/>
      <c r="U3234" s="8">
        <f>IF(AND(V3234=1,D3234&lt;&gt;""),IF(D3234&gt;=corte,TODAY()-D3234,""),"")</f>
        <v/>
      </c>
      <c r="V3234" s="8">
        <f>IF(D3234="",0,IF(OR(AND(P3234&lt;&gt;"",S3234=""),AND(N(J3234)&gt;0,N(K3234)&lt;J3234),OR(M3234="PENDENTE",M3234="PARCIAL"),OR(N3234="PENDENTE",N3234="PARCIAL")),1,0))</f>
        <v/>
      </c>
      <c r="W3234" s="8">
        <f>IF(AND(V3234=1,D3234&lt;&gt;""),IF(D3234&gt;=corte,(B3234="CRÍTICO")*1E9+(100000-D3234)*10000+10000-ROW(),""),"")</f>
        <v/>
      </c>
      <c r="X3234" s="8">
        <f>IF(AND(V3234=1,D3234=pas_data,E3234=pas_turno),10000-ROW(),"")</f>
        <v/>
      </c>
    </row>
    <row r="3235">
      <c r="A3235" s="3">
        <f>IF(D3235="","","TT-"&amp;TEXT(ROW()-1,"00000"))</f>
        <v/>
      </c>
      <c r="B3235" s="3">
        <f>IF(D3235="","",IF(V3235=0,"CONCLUÍDO",IF(D3235&lt;corte,"HISTÓRICO",IF(OR(AND(ISNUMBER(R3235),R3235&lt;TODAY()),AND(OR(N3235="PENDENTE",N3235="PARCIAL"),D3235&lt;TODAY()-1)),"CRÍTICO",IF(OR(AND(P3235&lt;&gt;"",S3235=""),AND(N3235="REALIZADO",M3235="PENDENTE"),AND(ISNUMBER(R3235),R3235=TODAY())),"ATENÇÃO",IF(N(K3235)=0,"PENDENTE","EM ANDAMENTO"))))))</f>
        <v/>
      </c>
      <c r="C3235" s="3">
        <f>IF(D3235="","",IF(V3235=0,"🟢 OK",IF(D3235&lt;corte,"⚪ HISTÓRICO (sem baixa)",IF(AND(ISNUMBER(R3235),R3235&lt;TODAY()),"🔴 PRAZO VENCIDO",IF(AND(OR(N3235="PENDENTE",N3235="PARCIAL"),D3235&lt;TODAY()-1),"🔴 EMBARQUE ATRASADO",IF(AND(N3235="REALIZADO",M3235="PENDENTE"),"🟡 EMBARCADO SEM FATURAR",IF(AND(P3235&lt;&gt;"",S3235="",OR(Q3235="",R3235="")),"🟡 PENDÊNCIA SEM RESPONSÁVEL/PRAZO",IF(AND(ISNUMBER(R3235),R3235=TODAY()),"🟡 VENCE HOJE",IF(AND(P3235&lt;&gt;"",S3235=""),"🟡 PENDÊNCIA ABERTA",IF(AND(N(J3235)&gt;0,N(K3235)&lt;J3235),"🟡 FALTA EXECUTAR",IF(OR(M3235="PENDENTE",M3235="PARCIAL"),"🟡 FATURAMENTO PENDENTE","🟡 EMBARQUE PENDENTE")))))))))))</f>
        <v/>
      </c>
      <c r="D3235" s="4" t="n"/>
      <c r="E3235" s="5" t="n"/>
      <c r="F3235" s="5" t="n"/>
      <c r="G3235" s="5" t="n"/>
      <c r="H3235" s="5" t="n"/>
      <c r="I3235" s="5" t="n"/>
      <c r="J3235" s="6" t="n"/>
      <c r="K3235" s="6" t="n"/>
      <c r="L3235" s="7">
        <f>IF(OR(D3235="",N(J3235)=0),"",MIN(1,N(K3235)/J3235))</f>
        <v/>
      </c>
      <c r="M3235" s="5" t="n"/>
      <c r="N3235" s="5" t="n"/>
      <c r="O3235" s="5" t="n"/>
      <c r="P3235" s="5" t="n"/>
      <c r="Q3235" s="5" t="n"/>
      <c r="R3235" s="4" t="n"/>
      <c r="S3235" s="4" t="n"/>
      <c r="T3235" s="5" t="n"/>
      <c r="U3235" s="8">
        <f>IF(AND(V3235=1,D3235&lt;&gt;""),IF(D3235&gt;=corte,TODAY()-D3235,""),"")</f>
        <v/>
      </c>
      <c r="V3235" s="8">
        <f>IF(D3235="",0,IF(OR(AND(P3235&lt;&gt;"",S3235=""),AND(N(J3235)&gt;0,N(K3235)&lt;J3235),OR(M3235="PENDENTE",M3235="PARCIAL"),OR(N3235="PENDENTE",N3235="PARCIAL")),1,0))</f>
        <v/>
      </c>
      <c r="W3235" s="8">
        <f>IF(AND(V3235=1,D3235&lt;&gt;""),IF(D3235&gt;=corte,(B3235="CRÍTICO")*1E9+(100000-D3235)*10000+10000-ROW(),""),"")</f>
        <v/>
      </c>
      <c r="X3235" s="8">
        <f>IF(AND(V3235=1,D3235=pas_data,E3235=pas_turno),10000-ROW(),"")</f>
        <v/>
      </c>
    </row>
    <row r="3236">
      <c r="A3236" s="3">
        <f>IF(D3236="","","TT-"&amp;TEXT(ROW()-1,"00000"))</f>
        <v/>
      </c>
      <c r="B3236" s="3">
        <f>IF(D3236="","",IF(V3236=0,"CONCLUÍDO",IF(D3236&lt;corte,"HISTÓRICO",IF(OR(AND(ISNUMBER(R3236),R3236&lt;TODAY()),AND(OR(N3236="PENDENTE",N3236="PARCIAL"),D3236&lt;TODAY()-1)),"CRÍTICO",IF(OR(AND(P3236&lt;&gt;"",S3236=""),AND(N3236="REALIZADO",M3236="PENDENTE"),AND(ISNUMBER(R3236),R3236=TODAY())),"ATENÇÃO",IF(N(K3236)=0,"PENDENTE","EM ANDAMENTO"))))))</f>
        <v/>
      </c>
      <c r="C3236" s="3">
        <f>IF(D3236="","",IF(V3236=0,"🟢 OK",IF(D3236&lt;corte,"⚪ HISTÓRICO (sem baixa)",IF(AND(ISNUMBER(R3236),R3236&lt;TODAY()),"🔴 PRAZO VENCIDO",IF(AND(OR(N3236="PENDENTE",N3236="PARCIAL"),D3236&lt;TODAY()-1),"🔴 EMBARQUE ATRASADO",IF(AND(N3236="REALIZADO",M3236="PENDENTE"),"🟡 EMBARCADO SEM FATURAR",IF(AND(P3236&lt;&gt;"",S3236="",OR(Q3236="",R3236="")),"🟡 PENDÊNCIA SEM RESPONSÁVEL/PRAZO",IF(AND(ISNUMBER(R3236),R3236=TODAY()),"🟡 VENCE HOJE",IF(AND(P3236&lt;&gt;"",S3236=""),"🟡 PENDÊNCIA ABERTA",IF(AND(N(J3236)&gt;0,N(K3236)&lt;J3236),"🟡 FALTA EXECUTAR",IF(OR(M3236="PENDENTE",M3236="PARCIAL"),"🟡 FATURAMENTO PENDENTE","🟡 EMBARQUE PENDENTE")))))))))))</f>
        <v/>
      </c>
      <c r="D3236" s="4" t="n"/>
      <c r="E3236" s="5" t="n"/>
      <c r="F3236" s="5" t="n"/>
      <c r="G3236" s="5" t="n"/>
      <c r="H3236" s="5" t="n"/>
      <c r="I3236" s="5" t="n"/>
      <c r="J3236" s="6" t="n"/>
      <c r="K3236" s="6" t="n"/>
      <c r="L3236" s="7">
        <f>IF(OR(D3236="",N(J3236)=0),"",MIN(1,N(K3236)/J3236))</f>
        <v/>
      </c>
      <c r="M3236" s="5" t="n"/>
      <c r="N3236" s="5" t="n"/>
      <c r="O3236" s="5" t="n"/>
      <c r="P3236" s="5" t="n"/>
      <c r="Q3236" s="5" t="n"/>
      <c r="R3236" s="4" t="n"/>
      <c r="S3236" s="4" t="n"/>
      <c r="T3236" s="5" t="n"/>
      <c r="U3236" s="8">
        <f>IF(AND(V3236=1,D3236&lt;&gt;""),IF(D3236&gt;=corte,TODAY()-D3236,""),"")</f>
        <v/>
      </c>
      <c r="V3236" s="8">
        <f>IF(D3236="",0,IF(OR(AND(P3236&lt;&gt;"",S3236=""),AND(N(J3236)&gt;0,N(K3236)&lt;J3236),OR(M3236="PENDENTE",M3236="PARCIAL"),OR(N3236="PENDENTE",N3236="PARCIAL")),1,0))</f>
        <v/>
      </c>
      <c r="W3236" s="8">
        <f>IF(AND(V3236=1,D3236&lt;&gt;""),IF(D3236&gt;=corte,(B3236="CRÍTICO")*1E9+(100000-D3236)*10000+10000-ROW(),""),"")</f>
        <v/>
      </c>
      <c r="X3236" s="8">
        <f>IF(AND(V3236=1,D3236=pas_data,E3236=pas_turno),10000-ROW(),"")</f>
        <v/>
      </c>
    </row>
    <row r="3237">
      <c r="A3237" s="3">
        <f>IF(D3237="","","TT-"&amp;TEXT(ROW()-1,"00000"))</f>
        <v/>
      </c>
      <c r="B3237" s="3">
        <f>IF(D3237="","",IF(V3237=0,"CONCLUÍDO",IF(D3237&lt;corte,"HISTÓRICO",IF(OR(AND(ISNUMBER(R3237),R3237&lt;TODAY()),AND(OR(N3237="PENDENTE",N3237="PARCIAL"),D3237&lt;TODAY()-1)),"CRÍTICO",IF(OR(AND(P3237&lt;&gt;"",S3237=""),AND(N3237="REALIZADO",M3237="PENDENTE"),AND(ISNUMBER(R3237),R3237=TODAY())),"ATENÇÃO",IF(N(K3237)=0,"PENDENTE","EM ANDAMENTO"))))))</f>
        <v/>
      </c>
      <c r="C3237" s="3">
        <f>IF(D3237="","",IF(V3237=0,"🟢 OK",IF(D3237&lt;corte,"⚪ HISTÓRICO (sem baixa)",IF(AND(ISNUMBER(R3237),R3237&lt;TODAY()),"🔴 PRAZO VENCIDO",IF(AND(OR(N3237="PENDENTE",N3237="PARCIAL"),D3237&lt;TODAY()-1),"🔴 EMBARQUE ATRASADO",IF(AND(N3237="REALIZADO",M3237="PENDENTE"),"🟡 EMBARCADO SEM FATURAR",IF(AND(P3237&lt;&gt;"",S3237="",OR(Q3237="",R3237="")),"🟡 PENDÊNCIA SEM RESPONSÁVEL/PRAZO",IF(AND(ISNUMBER(R3237),R3237=TODAY()),"🟡 VENCE HOJE",IF(AND(P3237&lt;&gt;"",S3237=""),"🟡 PENDÊNCIA ABERTA",IF(AND(N(J3237)&gt;0,N(K3237)&lt;J3237),"🟡 FALTA EXECUTAR",IF(OR(M3237="PENDENTE",M3237="PARCIAL"),"🟡 FATURAMENTO PENDENTE","🟡 EMBARQUE PENDENTE")))))))))))</f>
        <v/>
      </c>
      <c r="D3237" s="4" t="n"/>
      <c r="E3237" s="5" t="n"/>
      <c r="F3237" s="5" t="n"/>
      <c r="G3237" s="5" t="n"/>
      <c r="H3237" s="5" t="n"/>
      <c r="I3237" s="5" t="n"/>
      <c r="J3237" s="6" t="n"/>
      <c r="K3237" s="6" t="n"/>
      <c r="L3237" s="7">
        <f>IF(OR(D3237="",N(J3237)=0),"",MIN(1,N(K3237)/J3237))</f>
        <v/>
      </c>
      <c r="M3237" s="5" t="n"/>
      <c r="N3237" s="5" t="n"/>
      <c r="O3237" s="5" t="n"/>
      <c r="P3237" s="5" t="n"/>
      <c r="Q3237" s="5" t="n"/>
      <c r="R3237" s="4" t="n"/>
      <c r="S3237" s="4" t="n"/>
      <c r="T3237" s="5" t="n"/>
      <c r="U3237" s="8">
        <f>IF(AND(V3237=1,D3237&lt;&gt;""),IF(D3237&gt;=corte,TODAY()-D3237,""),"")</f>
        <v/>
      </c>
      <c r="V3237" s="8">
        <f>IF(D3237="",0,IF(OR(AND(P3237&lt;&gt;"",S3237=""),AND(N(J3237)&gt;0,N(K3237)&lt;J3237),OR(M3237="PENDENTE",M3237="PARCIAL"),OR(N3237="PENDENTE",N3237="PARCIAL")),1,0))</f>
        <v/>
      </c>
      <c r="W3237" s="8">
        <f>IF(AND(V3237=1,D3237&lt;&gt;""),IF(D3237&gt;=corte,(B3237="CRÍTICO")*1E9+(100000-D3237)*10000+10000-ROW(),""),"")</f>
        <v/>
      </c>
      <c r="X3237" s="8">
        <f>IF(AND(V3237=1,D3237=pas_data,E3237=pas_turno),10000-ROW(),"")</f>
        <v/>
      </c>
    </row>
    <row r="3238">
      <c r="A3238" s="3">
        <f>IF(D3238="","","TT-"&amp;TEXT(ROW()-1,"00000"))</f>
        <v/>
      </c>
      <c r="B3238" s="3">
        <f>IF(D3238="","",IF(V3238=0,"CONCLUÍDO",IF(D3238&lt;corte,"HISTÓRICO",IF(OR(AND(ISNUMBER(R3238),R3238&lt;TODAY()),AND(OR(N3238="PENDENTE",N3238="PARCIAL"),D3238&lt;TODAY()-1)),"CRÍTICO",IF(OR(AND(P3238&lt;&gt;"",S3238=""),AND(N3238="REALIZADO",M3238="PENDENTE"),AND(ISNUMBER(R3238),R3238=TODAY())),"ATENÇÃO",IF(N(K3238)=0,"PENDENTE","EM ANDAMENTO"))))))</f>
        <v/>
      </c>
      <c r="C3238" s="3">
        <f>IF(D3238="","",IF(V3238=0,"🟢 OK",IF(D3238&lt;corte,"⚪ HISTÓRICO (sem baixa)",IF(AND(ISNUMBER(R3238),R3238&lt;TODAY()),"🔴 PRAZO VENCIDO",IF(AND(OR(N3238="PENDENTE",N3238="PARCIAL"),D3238&lt;TODAY()-1),"🔴 EMBARQUE ATRASADO",IF(AND(N3238="REALIZADO",M3238="PENDENTE"),"🟡 EMBARCADO SEM FATURAR",IF(AND(P3238&lt;&gt;"",S3238="",OR(Q3238="",R3238="")),"🟡 PENDÊNCIA SEM RESPONSÁVEL/PRAZO",IF(AND(ISNUMBER(R3238),R3238=TODAY()),"🟡 VENCE HOJE",IF(AND(P3238&lt;&gt;"",S3238=""),"🟡 PENDÊNCIA ABERTA",IF(AND(N(J3238)&gt;0,N(K3238)&lt;J3238),"🟡 FALTA EXECUTAR",IF(OR(M3238="PENDENTE",M3238="PARCIAL"),"🟡 FATURAMENTO PENDENTE","🟡 EMBARQUE PENDENTE")))))))))))</f>
        <v/>
      </c>
      <c r="D3238" s="4" t="n"/>
      <c r="E3238" s="5" t="n"/>
      <c r="F3238" s="5" t="n"/>
      <c r="G3238" s="5" t="n"/>
      <c r="H3238" s="5" t="n"/>
      <c r="I3238" s="5" t="n"/>
      <c r="J3238" s="6" t="n"/>
      <c r="K3238" s="6" t="n"/>
      <c r="L3238" s="7">
        <f>IF(OR(D3238="",N(J3238)=0),"",MIN(1,N(K3238)/J3238))</f>
        <v/>
      </c>
      <c r="M3238" s="5" t="n"/>
      <c r="N3238" s="5" t="n"/>
      <c r="O3238" s="5" t="n"/>
      <c r="P3238" s="5" t="n"/>
      <c r="Q3238" s="5" t="n"/>
      <c r="R3238" s="4" t="n"/>
      <c r="S3238" s="4" t="n"/>
      <c r="T3238" s="5" t="n"/>
      <c r="U3238" s="8">
        <f>IF(AND(V3238=1,D3238&lt;&gt;""),IF(D3238&gt;=corte,TODAY()-D3238,""),"")</f>
        <v/>
      </c>
      <c r="V3238" s="8">
        <f>IF(D3238="",0,IF(OR(AND(P3238&lt;&gt;"",S3238=""),AND(N(J3238)&gt;0,N(K3238)&lt;J3238),OR(M3238="PENDENTE",M3238="PARCIAL"),OR(N3238="PENDENTE",N3238="PARCIAL")),1,0))</f>
        <v/>
      </c>
      <c r="W3238" s="8">
        <f>IF(AND(V3238=1,D3238&lt;&gt;""),IF(D3238&gt;=corte,(B3238="CRÍTICO")*1E9+(100000-D3238)*10000+10000-ROW(),""),"")</f>
        <v/>
      </c>
      <c r="X3238" s="8">
        <f>IF(AND(V3238=1,D3238=pas_data,E3238=pas_turno),10000-ROW(),"")</f>
        <v/>
      </c>
    </row>
    <row r="3239">
      <c r="A3239" s="3">
        <f>IF(D3239="","","TT-"&amp;TEXT(ROW()-1,"00000"))</f>
        <v/>
      </c>
      <c r="B3239" s="3">
        <f>IF(D3239="","",IF(V3239=0,"CONCLUÍDO",IF(D3239&lt;corte,"HISTÓRICO",IF(OR(AND(ISNUMBER(R3239),R3239&lt;TODAY()),AND(OR(N3239="PENDENTE",N3239="PARCIAL"),D3239&lt;TODAY()-1)),"CRÍTICO",IF(OR(AND(P3239&lt;&gt;"",S3239=""),AND(N3239="REALIZADO",M3239="PENDENTE"),AND(ISNUMBER(R3239),R3239=TODAY())),"ATENÇÃO",IF(N(K3239)=0,"PENDENTE","EM ANDAMENTO"))))))</f>
        <v/>
      </c>
      <c r="C3239" s="3">
        <f>IF(D3239="","",IF(V3239=0,"🟢 OK",IF(D3239&lt;corte,"⚪ HISTÓRICO (sem baixa)",IF(AND(ISNUMBER(R3239),R3239&lt;TODAY()),"🔴 PRAZO VENCIDO",IF(AND(OR(N3239="PENDENTE",N3239="PARCIAL"),D3239&lt;TODAY()-1),"🔴 EMBARQUE ATRASADO",IF(AND(N3239="REALIZADO",M3239="PENDENTE"),"🟡 EMBARCADO SEM FATURAR",IF(AND(P3239&lt;&gt;"",S3239="",OR(Q3239="",R3239="")),"🟡 PENDÊNCIA SEM RESPONSÁVEL/PRAZO",IF(AND(ISNUMBER(R3239),R3239=TODAY()),"🟡 VENCE HOJE",IF(AND(P3239&lt;&gt;"",S3239=""),"🟡 PENDÊNCIA ABERTA",IF(AND(N(J3239)&gt;0,N(K3239)&lt;J3239),"🟡 FALTA EXECUTAR",IF(OR(M3239="PENDENTE",M3239="PARCIAL"),"🟡 FATURAMENTO PENDENTE","🟡 EMBARQUE PENDENTE")))))))))))</f>
        <v/>
      </c>
      <c r="D3239" s="4" t="n"/>
      <c r="E3239" s="5" t="n"/>
      <c r="F3239" s="5" t="n"/>
      <c r="G3239" s="5" t="n"/>
      <c r="H3239" s="5" t="n"/>
      <c r="I3239" s="5" t="n"/>
      <c r="J3239" s="6" t="n"/>
      <c r="K3239" s="6" t="n"/>
      <c r="L3239" s="7">
        <f>IF(OR(D3239="",N(J3239)=0),"",MIN(1,N(K3239)/J3239))</f>
        <v/>
      </c>
      <c r="M3239" s="5" t="n"/>
      <c r="N3239" s="5" t="n"/>
      <c r="O3239" s="5" t="n"/>
      <c r="P3239" s="5" t="n"/>
      <c r="Q3239" s="5" t="n"/>
      <c r="R3239" s="4" t="n"/>
      <c r="S3239" s="4" t="n"/>
      <c r="T3239" s="5" t="n"/>
      <c r="U3239" s="8">
        <f>IF(AND(V3239=1,D3239&lt;&gt;""),IF(D3239&gt;=corte,TODAY()-D3239,""),"")</f>
        <v/>
      </c>
      <c r="V3239" s="8">
        <f>IF(D3239="",0,IF(OR(AND(P3239&lt;&gt;"",S3239=""),AND(N(J3239)&gt;0,N(K3239)&lt;J3239),OR(M3239="PENDENTE",M3239="PARCIAL"),OR(N3239="PENDENTE",N3239="PARCIAL")),1,0))</f>
        <v/>
      </c>
      <c r="W3239" s="8">
        <f>IF(AND(V3239=1,D3239&lt;&gt;""),IF(D3239&gt;=corte,(B3239="CRÍTICO")*1E9+(100000-D3239)*10000+10000-ROW(),""),"")</f>
        <v/>
      </c>
      <c r="X3239" s="8">
        <f>IF(AND(V3239=1,D3239=pas_data,E3239=pas_turno),10000-ROW(),"")</f>
        <v/>
      </c>
    </row>
    <row r="3240">
      <c r="A3240" s="3">
        <f>IF(D3240="","","TT-"&amp;TEXT(ROW()-1,"00000"))</f>
        <v/>
      </c>
      <c r="B3240" s="3">
        <f>IF(D3240="","",IF(V3240=0,"CONCLUÍDO",IF(D3240&lt;corte,"HISTÓRICO",IF(OR(AND(ISNUMBER(R3240),R3240&lt;TODAY()),AND(OR(N3240="PENDENTE",N3240="PARCIAL"),D3240&lt;TODAY()-1)),"CRÍTICO",IF(OR(AND(P3240&lt;&gt;"",S3240=""),AND(N3240="REALIZADO",M3240="PENDENTE"),AND(ISNUMBER(R3240),R3240=TODAY())),"ATENÇÃO",IF(N(K3240)=0,"PENDENTE","EM ANDAMENTO"))))))</f>
        <v/>
      </c>
      <c r="C3240" s="3">
        <f>IF(D3240="","",IF(V3240=0,"🟢 OK",IF(D3240&lt;corte,"⚪ HISTÓRICO (sem baixa)",IF(AND(ISNUMBER(R3240),R3240&lt;TODAY()),"🔴 PRAZO VENCIDO",IF(AND(OR(N3240="PENDENTE",N3240="PARCIAL"),D3240&lt;TODAY()-1),"🔴 EMBARQUE ATRASADO",IF(AND(N3240="REALIZADO",M3240="PENDENTE"),"🟡 EMBARCADO SEM FATURAR",IF(AND(P3240&lt;&gt;"",S3240="",OR(Q3240="",R3240="")),"🟡 PENDÊNCIA SEM RESPONSÁVEL/PRAZO",IF(AND(ISNUMBER(R3240),R3240=TODAY()),"🟡 VENCE HOJE",IF(AND(P3240&lt;&gt;"",S3240=""),"🟡 PENDÊNCIA ABERTA",IF(AND(N(J3240)&gt;0,N(K3240)&lt;J3240),"🟡 FALTA EXECUTAR",IF(OR(M3240="PENDENTE",M3240="PARCIAL"),"🟡 FATURAMENTO PENDENTE","🟡 EMBARQUE PENDENTE")))))))))))</f>
        <v/>
      </c>
      <c r="D3240" s="4" t="n"/>
      <c r="E3240" s="5" t="n"/>
      <c r="F3240" s="5" t="n"/>
      <c r="G3240" s="5" t="n"/>
      <c r="H3240" s="5" t="n"/>
      <c r="I3240" s="5" t="n"/>
      <c r="J3240" s="6" t="n"/>
      <c r="K3240" s="6" t="n"/>
      <c r="L3240" s="7">
        <f>IF(OR(D3240="",N(J3240)=0),"",MIN(1,N(K3240)/J3240))</f>
        <v/>
      </c>
      <c r="M3240" s="5" t="n"/>
      <c r="N3240" s="5" t="n"/>
      <c r="O3240" s="5" t="n"/>
      <c r="P3240" s="5" t="n"/>
      <c r="Q3240" s="5" t="n"/>
      <c r="R3240" s="4" t="n"/>
      <c r="S3240" s="4" t="n"/>
      <c r="T3240" s="5" t="n"/>
      <c r="U3240" s="8">
        <f>IF(AND(V3240=1,D3240&lt;&gt;""),IF(D3240&gt;=corte,TODAY()-D3240,""),"")</f>
        <v/>
      </c>
      <c r="V3240" s="8">
        <f>IF(D3240="",0,IF(OR(AND(P3240&lt;&gt;"",S3240=""),AND(N(J3240)&gt;0,N(K3240)&lt;J3240),OR(M3240="PENDENTE",M3240="PARCIAL"),OR(N3240="PENDENTE",N3240="PARCIAL")),1,0))</f>
        <v/>
      </c>
      <c r="W3240" s="8">
        <f>IF(AND(V3240=1,D3240&lt;&gt;""),IF(D3240&gt;=corte,(B3240="CRÍTICO")*1E9+(100000-D3240)*10000+10000-ROW(),""),"")</f>
        <v/>
      </c>
      <c r="X3240" s="8">
        <f>IF(AND(V3240=1,D3240=pas_data,E3240=pas_turno),10000-ROW(),"")</f>
        <v/>
      </c>
    </row>
    <row r="3241">
      <c r="A3241" s="3">
        <f>IF(D3241="","","TT-"&amp;TEXT(ROW()-1,"00000"))</f>
        <v/>
      </c>
      <c r="B3241" s="3">
        <f>IF(D3241="","",IF(V3241=0,"CONCLUÍDO",IF(D3241&lt;corte,"HISTÓRICO",IF(OR(AND(ISNUMBER(R3241),R3241&lt;TODAY()),AND(OR(N3241="PENDENTE",N3241="PARCIAL"),D3241&lt;TODAY()-1)),"CRÍTICO",IF(OR(AND(P3241&lt;&gt;"",S3241=""),AND(N3241="REALIZADO",M3241="PENDENTE"),AND(ISNUMBER(R3241),R3241=TODAY())),"ATENÇÃO",IF(N(K3241)=0,"PENDENTE","EM ANDAMENTO"))))))</f>
        <v/>
      </c>
      <c r="C3241" s="3">
        <f>IF(D3241="","",IF(V3241=0,"🟢 OK",IF(D3241&lt;corte,"⚪ HISTÓRICO (sem baixa)",IF(AND(ISNUMBER(R3241),R3241&lt;TODAY()),"🔴 PRAZO VENCIDO",IF(AND(OR(N3241="PENDENTE",N3241="PARCIAL"),D3241&lt;TODAY()-1),"🔴 EMBARQUE ATRASADO",IF(AND(N3241="REALIZADO",M3241="PENDENTE"),"🟡 EMBARCADO SEM FATURAR",IF(AND(P3241&lt;&gt;"",S3241="",OR(Q3241="",R3241="")),"🟡 PENDÊNCIA SEM RESPONSÁVEL/PRAZO",IF(AND(ISNUMBER(R3241),R3241=TODAY()),"🟡 VENCE HOJE",IF(AND(P3241&lt;&gt;"",S3241=""),"🟡 PENDÊNCIA ABERTA",IF(AND(N(J3241)&gt;0,N(K3241)&lt;J3241),"🟡 FALTA EXECUTAR",IF(OR(M3241="PENDENTE",M3241="PARCIAL"),"🟡 FATURAMENTO PENDENTE","🟡 EMBARQUE PENDENTE")))))))))))</f>
        <v/>
      </c>
      <c r="D3241" s="4" t="n"/>
      <c r="E3241" s="5" t="n"/>
      <c r="F3241" s="5" t="n"/>
      <c r="G3241" s="5" t="n"/>
      <c r="H3241" s="5" t="n"/>
      <c r="I3241" s="5" t="n"/>
      <c r="J3241" s="6" t="n"/>
      <c r="K3241" s="6" t="n"/>
      <c r="L3241" s="7">
        <f>IF(OR(D3241="",N(J3241)=0),"",MIN(1,N(K3241)/J3241))</f>
        <v/>
      </c>
      <c r="M3241" s="5" t="n"/>
      <c r="N3241" s="5" t="n"/>
      <c r="O3241" s="5" t="n"/>
      <c r="P3241" s="5" t="n"/>
      <c r="Q3241" s="5" t="n"/>
      <c r="R3241" s="4" t="n"/>
      <c r="S3241" s="4" t="n"/>
      <c r="T3241" s="5" t="n"/>
      <c r="U3241" s="8">
        <f>IF(AND(V3241=1,D3241&lt;&gt;""),IF(D3241&gt;=corte,TODAY()-D3241,""),"")</f>
        <v/>
      </c>
      <c r="V3241" s="8">
        <f>IF(D3241="",0,IF(OR(AND(P3241&lt;&gt;"",S3241=""),AND(N(J3241)&gt;0,N(K3241)&lt;J3241),OR(M3241="PENDENTE",M3241="PARCIAL"),OR(N3241="PENDENTE",N3241="PARCIAL")),1,0))</f>
        <v/>
      </c>
      <c r="W3241" s="8">
        <f>IF(AND(V3241=1,D3241&lt;&gt;""),IF(D3241&gt;=corte,(B3241="CRÍTICO")*1E9+(100000-D3241)*10000+10000-ROW(),""),"")</f>
        <v/>
      </c>
      <c r="X3241" s="8">
        <f>IF(AND(V3241=1,D3241=pas_data,E3241=pas_turno),10000-ROW(),"")</f>
        <v/>
      </c>
    </row>
    <row r="3242">
      <c r="A3242" s="3">
        <f>IF(D3242="","","TT-"&amp;TEXT(ROW()-1,"00000"))</f>
        <v/>
      </c>
      <c r="B3242" s="3">
        <f>IF(D3242="","",IF(V3242=0,"CONCLUÍDO",IF(D3242&lt;corte,"HISTÓRICO",IF(OR(AND(ISNUMBER(R3242),R3242&lt;TODAY()),AND(OR(N3242="PENDENTE",N3242="PARCIAL"),D3242&lt;TODAY()-1)),"CRÍTICO",IF(OR(AND(P3242&lt;&gt;"",S3242=""),AND(N3242="REALIZADO",M3242="PENDENTE"),AND(ISNUMBER(R3242),R3242=TODAY())),"ATENÇÃO",IF(N(K3242)=0,"PENDENTE","EM ANDAMENTO"))))))</f>
        <v/>
      </c>
      <c r="C3242" s="3">
        <f>IF(D3242="","",IF(V3242=0,"🟢 OK",IF(D3242&lt;corte,"⚪ HISTÓRICO (sem baixa)",IF(AND(ISNUMBER(R3242),R3242&lt;TODAY()),"🔴 PRAZO VENCIDO",IF(AND(OR(N3242="PENDENTE",N3242="PARCIAL"),D3242&lt;TODAY()-1),"🔴 EMBARQUE ATRASADO",IF(AND(N3242="REALIZADO",M3242="PENDENTE"),"🟡 EMBARCADO SEM FATURAR",IF(AND(P3242&lt;&gt;"",S3242="",OR(Q3242="",R3242="")),"🟡 PENDÊNCIA SEM RESPONSÁVEL/PRAZO",IF(AND(ISNUMBER(R3242),R3242=TODAY()),"🟡 VENCE HOJE",IF(AND(P3242&lt;&gt;"",S3242=""),"🟡 PENDÊNCIA ABERTA",IF(AND(N(J3242)&gt;0,N(K3242)&lt;J3242),"🟡 FALTA EXECUTAR",IF(OR(M3242="PENDENTE",M3242="PARCIAL"),"🟡 FATURAMENTO PENDENTE","🟡 EMBARQUE PENDENTE")))))))))))</f>
        <v/>
      </c>
      <c r="D3242" s="4" t="n"/>
      <c r="E3242" s="5" t="n"/>
      <c r="F3242" s="5" t="n"/>
      <c r="G3242" s="5" t="n"/>
      <c r="H3242" s="5" t="n"/>
      <c r="I3242" s="5" t="n"/>
      <c r="J3242" s="6" t="n"/>
      <c r="K3242" s="6" t="n"/>
      <c r="L3242" s="7">
        <f>IF(OR(D3242="",N(J3242)=0),"",MIN(1,N(K3242)/J3242))</f>
        <v/>
      </c>
      <c r="M3242" s="5" t="n"/>
      <c r="N3242" s="5" t="n"/>
      <c r="O3242" s="5" t="n"/>
      <c r="P3242" s="5" t="n"/>
      <c r="Q3242" s="5" t="n"/>
      <c r="R3242" s="4" t="n"/>
      <c r="S3242" s="4" t="n"/>
      <c r="T3242" s="5" t="n"/>
      <c r="U3242" s="8">
        <f>IF(AND(V3242=1,D3242&lt;&gt;""),IF(D3242&gt;=corte,TODAY()-D3242,""),"")</f>
        <v/>
      </c>
      <c r="V3242" s="8">
        <f>IF(D3242="",0,IF(OR(AND(P3242&lt;&gt;"",S3242=""),AND(N(J3242)&gt;0,N(K3242)&lt;J3242),OR(M3242="PENDENTE",M3242="PARCIAL"),OR(N3242="PENDENTE",N3242="PARCIAL")),1,0))</f>
        <v/>
      </c>
      <c r="W3242" s="8">
        <f>IF(AND(V3242=1,D3242&lt;&gt;""),IF(D3242&gt;=corte,(B3242="CRÍTICO")*1E9+(100000-D3242)*10000+10000-ROW(),""),"")</f>
        <v/>
      </c>
      <c r="X3242" s="8">
        <f>IF(AND(V3242=1,D3242=pas_data,E3242=pas_turno),10000-ROW(),"")</f>
        <v/>
      </c>
    </row>
    <row r="3243">
      <c r="A3243" s="3">
        <f>IF(D3243="","","TT-"&amp;TEXT(ROW()-1,"00000"))</f>
        <v/>
      </c>
      <c r="B3243" s="3">
        <f>IF(D3243="","",IF(V3243=0,"CONCLUÍDO",IF(D3243&lt;corte,"HISTÓRICO",IF(OR(AND(ISNUMBER(R3243),R3243&lt;TODAY()),AND(OR(N3243="PENDENTE",N3243="PARCIAL"),D3243&lt;TODAY()-1)),"CRÍTICO",IF(OR(AND(P3243&lt;&gt;"",S3243=""),AND(N3243="REALIZADO",M3243="PENDENTE"),AND(ISNUMBER(R3243),R3243=TODAY())),"ATENÇÃO",IF(N(K3243)=0,"PENDENTE","EM ANDAMENTO"))))))</f>
        <v/>
      </c>
      <c r="C3243" s="3">
        <f>IF(D3243="","",IF(V3243=0,"🟢 OK",IF(D3243&lt;corte,"⚪ HISTÓRICO (sem baixa)",IF(AND(ISNUMBER(R3243),R3243&lt;TODAY()),"🔴 PRAZO VENCIDO",IF(AND(OR(N3243="PENDENTE",N3243="PARCIAL"),D3243&lt;TODAY()-1),"🔴 EMBARQUE ATRASADO",IF(AND(N3243="REALIZADO",M3243="PENDENTE"),"🟡 EMBARCADO SEM FATURAR",IF(AND(P3243&lt;&gt;"",S3243="",OR(Q3243="",R3243="")),"🟡 PENDÊNCIA SEM RESPONSÁVEL/PRAZO",IF(AND(ISNUMBER(R3243),R3243=TODAY()),"🟡 VENCE HOJE",IF(AND(P3243&lt;&gt;"",S3243=""),"🟡 PENDÊNCIA ABERTA",IF(AND(N(J3243)&gt;0,N(K3243)&lt;J3243),"🟡 FALTA EXECUTAR",IF(OR(M3243="PENDENTE",M3243="PARCIAL"),"🟡 FATURAMENTO PENDENTE","🟡 EMBARQUE PENDENTE")))))))))))</f>
        <v/>
      </c>
      <c r="D3243" s="4" t="n"/>
      <c r="E3243" s="5" t="n"/>
      <c r="F3243" s="5" t="n"/>
      <c r="G3243" s="5" t="n"/>
      <c r="H3243" s="5" t="n"/>
      <c r="I3243" s="5" t="n"/>
      <c r="J3243" s="6" t="n"/>
      <c r="K3243" s="6" t="n"/>
      <c r="L3243" s="7">
        <f>IF(OR(D3243="",N(J3243)=0),"",MIN(1,N(K3243)/J3243))</f>
        <v/>
      </c>
      <c r="M3243" s="5" t="n"/>
      <c r="N3243" s="5" t="n"/>
      <c r="O3243" s="5" t="n"/>
      <c r="P3243" s="5" t="n"/>
      <c r="Q3243" s="5" t="n"/>
      <c r="R3243" s="4" t="n"/>
      <c r="S3243" s="4" t="n"/>
      <c r="T3243" s="5" t="n"/>
      <c r="U3243" s="8">
        <f>IF(AND(V3243=1,D3243&lt;&gt;""),IF(D3243&gt;=corte,TODAY()-D3243,""),"")</f>
        <v/>
      </c>
      <c r="V3243" s="8">
        <f>IF(D3243="",0,IF(OR(AND(P3243&lt;&gt;"",S3243=""),AND(N(J3243)&gt;0,N(K3243)&lt;J3243),OR(M3243="PENDENTE",M3243="PARCIAL"),OR(N3243="PENDENTE",N3243="PARCIAL")),1,0))</f>
        <v/>
      </c>
      <c r="W3243" s="8">
        <f>IF(AND(V3243=1,D3243&lt;&gt;""),IF(D3243&gt;=corte,(B3243="CRÍTICO")*1E9+(100000-D3243)*10000+10000-ROW(),""),"")</f>
        <v/>
      </c>
      <c r="X3243" s="8">
        <f>IF(AND(V3243=1,D3243=pas_data,E3243=pas_turno),10000-ROW(),"")</f>
        <v/>
      </c>
    </row>
    <row r="3244">
      <c r="A3244" s="3">
        <f>IF(D3244="","","TT-"&amp;TEXT(ROW()-1,"00000"))</f>
        <v/>
      </c>
      <c r="B3244" s="3">
        <f>IF(D3244="","",IF(V3244=0,"CONCLUÍDO",IF(D3244&lt;corte,"HISTÓRICO",IF(OR(AND(ISNUMBER(R3244),R3244&lt;TODAY()),AND(OR(N3244="PENDENTE",N3244="PARCIAL"),D3244&lt;TODAY()-1)),"CRÍTICO",IF(OR(AND(P3244&lt;&gt;"",S3244=""),AND(N3244="REALIZADO",M3244="PENDENTE"),AND(ISNUMBER(R3244),R3244=TODAY())),"ATENÇÃO",IF(N(K3244)=0,"PENDENTE","EM ANDAMENTO"))))))</f>
        <v/>
      </c>
      <c r="C3244" s="3">
        <f>IF(D3244="","",IF(V3244=0,"🟢 OK",IF(D3244&lt;corte,"⚪ HISTÓRICO (sem baixa)",IF(AND(ISNUMBER(R3244),R3244&lt;TODAY()),"🔴 PRAZO VENCIDO",IF(AND(OR(N3244="PENDENTE",N3244="PARCIAL"),D3244&lt;TODAY()-1),"🔴 EMBARQUE ATRASADO",IF(AND(N3244="REALIZADO",M3244="PENDENTE"),"🟡 EMBARCADO SEM FATURAR",IF(AND(P3244&lt;&gt;"",S3244="",OR(Q3244="",R3244="")),"🟡 PENDÊNCIA SEM RESPONSÁVEL/PRAZO",IF(AND(ISNUMBER(R3244),R3244=TODAY()),"🟡 VENCE HOJE",IF(AND(P3244&lt;&gt;"",S3244=""),"🟡 PENDÊNCIA ABERTA",IF(AND(N(J3244)&gt;0,N(K3244)&lt;J3244),"🟡 FALTA EXECUTAR",IF(OR(M3244="PENDENTE",M3244="PARCIAL"),"🟡 FATURAMENTO PENDENTE","🟡 EMBARQUE PENDENTE")))))))))))</f>
        <v/>
      </c>
      <c r="D3244" s="4" t="n"/>
      <c r="E3244" s="5" t="n"/>
      <c r="F3244" s="5" t="n"/>
      <c r="G3244" s="5" t="n"/>
      <c r="H3244" s="5" t="n"/>
      <c r="I3244" s="5" t="n"/>
      <c r="J3244" s="6" t="n"/>
      <c r="K3244" s="6" t="n"/>
      <c r="L3244" s="7">
        <f>IF(OR(D3244="",N(J3244)=0),"",MIN(1,N(K3244)/J3244))</f>
        <v/>
      </c>
      <c r="M3244" s="5" t="n"/>
      <c r="N3244" s="5" t="n"/>
      <c r="O3244" s="5" t="n"/>
      <c r="P3244" s="5" t="n"/>
      <c r="Q3244" s="5" t="n"/>
      <c r="R3244" s="4" t="n"/>
      <c r="S3244" s="4" t="n"/>
      <c r="T3244" s="5" t="n"/>
      <c r="U3244" s="8">
        <f>IF(AND(V3244=1,D3244&lt;&gt;""),IF(D3244&gt;=corte,TODAY()-D3244,""),"")</f>
        <v/>
      </c>
      <c r="V3244" s="8">
        <f>IF(D3244="",0,IF(OR(AND(P3244&lt;&gt;"",S3244=""),AND(N(J3244)&gt;0,N(K3244)&lt;J3244),OR(M3244="PENDENTE",M3244="PARCIAL"),OR(N3244="PENDENTE",N3244="PARCIAL")),1,0))</f>
        <v/>
      </c>
      <c r="W3244" s="8">
        <f>IF(AND(V3244=1,D3244&lt;&gt;""),IF(D3244&gt;=corte,(B3244="CRÍTICO")*1E9+(100000-D3244)*10000+10000-ROW(),""),"")</f>
        <v/>
      </c>
      <c r="X3244" s="8">
        <f>IF(AND(V3244=1,D3244=pas_data,E3244=pas_turno),10000-ROW(),"")</f>
        <v/>
      </c>
    </row>
    <row r="3245">
      <c r="A3245" s="3">
        <f>IF(D3245="","","TT-"&amp;TEXT(ROW()-1,"00000"))</f>
        <v/>
      </c>
      <c r="B3245" s="3">
        <f>IF(D3245="","",IF(V3245=0,"CONCLUÍDO",IF(D3245&lt;corte,"HISTÓRICO",IF(OR(AND(ISNUMBER(R3245),R3245&lt;TODAY()),AND(OR(N3245="PENDENTE",N3245="PARCIAL"),D3245&lt;TODAY()-1)),"CRÍTICO",IF(OR(AND(P3245&lt;&gt;"",S3245=""),AND(N3245="REALIZADO",M3245="PENDENTE"),AND(ISNUMBER(R3245),R3245=TODAY())),"ATENÇÃO",IF(N(K3245)=0,"PENDENTE","EM ANDAMENTO"))))))</f>
        <v/>
      </c>
      <c r="C3245" s="3">
        <f>IF(D3245="","",IF(V3245=0,"🟢 OK",IF(D3245&lt;corte,"⚪ HISTÓRICO (sem baixa)",IF(AND(ISNUMBER(R3245),R3245&lt;TODAY()),"🔴 PRAZO VENCIDO",IF(AND(OR(N3245="PENDENTE",N3245="PARCIAL"),D3245&lt;TODAY()-1),"🔴 EMBARQUE ATRASADO",IF(AND(N3245="REALIZADO",M3245="PENDENTE"),"🟡 EMBARCADO SEM FATURAR",IF(AND(P3245&lt;&gt;"",S3245="",OR(Q3245="",R3245="")),"🟡 PENDÊNCIA SEM RESPONSÁVEL/PRAZO",IF(AND(ISNUMBER(R3245),R3245=TODAY()),"🟡 VENCE HOJE",IF(AND(P3245&lt;&gt;"",S3245=""),"🟡 PENDÊNCIA ABERTA",IF(AND(N(J3245)&gt;0,N(K3245)&lt;J3245),"🟡 FALTA EXECUTAR",IF(OR(M3245="PENDENTE",M3245="PARCIAL"),"🟡 FATURAMENTO PENDENTE","🟡 EMBARQUE PENDENTE")))))))))))</f>
        <v/>
      </c>
      <c r="D3245" s="4" t="n"/>
      <c r="E3245" s="5" t="n"/>
      <c r="F3245" s="5" t="n"/>
      <c r="G3245" s="5" t="n"/>
      <c r="H3245" s="5" t="n"/>
      <c r="I3245" s="5" t="n"/>
      <c r="J3245" s="6" t="n"/>
      <c r="K3245" s="6" t="n"/>
      <c r="L3245" s="7">
        <f>IF(OR(D3245="",N(J3245)=0),"",MIN(1,N(K3245)/J3245))</f>
        <v/>
      </c>
      <c r="M3245" s="5" t="n"/>
      <c r="N3245" s="5" t="n"/>
      <c r="O3245" s="5" t="n"/>
      <c r="P3245" s="5" t="n"/>
      <c r="Q3245" s="5" t="n"/>
      <c r="R3245" s="4" t="n"/>
      <c r="S3245" s="4" t="n"/>
      <c r="T3245" s="5" t="n"/>
      <c r="U3245" s="8">
        <f>IF(AND(V3245=1,D3245&lt;&gt;""),IF(D3245&gt;=corte,TODAY()-D3245,""),"")</f>
        <v/>
      </c>
      <c r="V3245" s="8">
        <f>IF(D3245="",0,IF(OR(AND(P3245&lt;&gt;"",S3245=""),AND(N(J3245)&gt;0,N(K3245)&lt;J3245),OR(M3245="PENDENTE",M3245="PARCIAL"),OR(N3245="PENDENTE",N3245="PARCIAL")),1,0))</f>
        <v/>
      </c>
      <c r="W3245" s="8">
        <f>IF(AND(V3245=1,D3245&lt;&gt;""),IF(D3245&gt;=corte,(B3245="CRÍTICO")*1E9+(100000-D3245)*10000+10000-ROW(),""),"")</f>
        <v/>
      </c>
      <c r="X3245" s="8">
        <f>IF(AND(V3245=1,D3245=pas_data,E3245=pas_turno),10000-ROW(),"")</f>
        <v/>
      </c>
    </row>
    <row r="3246">
      <c r="A3246" s="3">
        <f>IF(D3246="","","TT-"&amp;TEXT(ROW()-1,"00000"))</f>
        <v/>
      </c>
      <c r="B3246" s="3">
        <f>IF(D3246="","",IF(V3246=0,"CONCLUÍDO",IF(D3246&lt;corte,"HISTÓRICO",IF(OR(AND(ISNUMBER(R3246),R3246&lt;TODAY()),AND(OR(N3246="PENDENTE",N3246="PARCIAL"),D3246&lt;TODAY()-1)),"CRÍTICO",IF(OR(AND(P3246&lt;&gt;"",S3246=""),AND(N3246="REALIZADO",M3246="PENDENTE"),AND(ISNUMBER(R3246),R3246=TODAY())),"ATENÇÃO",IF(N(K3246)=0,"PENDENTE","EM ANDAMENTO"))))))</f>
        <v/>
      </c>
      <c r="C3246" s="3">
        <f>IF(D3246="","",IF(V3246=0,"🟢 OK",IF(D3246&lt;corte,"⚪ HISTÓRICO (sem baixa)",IF(AND(ISNUMBER(R3246),R3246&lt;TODAY()),"🔴 PRAZO VENCIDO",IF(AND(OR(N3246="PENDENTE",N3246="PARCIAL"),D3246&lt;TODAY()-1),"🔴 EMBARQUE ATRASADO",IF(AND(N3246="REALIZADO",M3246="PENDENTE"),"🟡 EMBARCADO SEM FATURAR",IF(AND(P3246&lt;&gt;"",S3246="",OR(Q3246="",R3246="")),"🟡 PENDÊNCIA SEM RESPONSÁVEL/PRAZO",IF(AND(ISNUMBER(R3246),R3246=TODAY()),"🟡 VENCE HOJE",IF(AND(P3246&lt;&gt;"",S3246=""),"🟡 PENDÊNCIA ABERTA",IF(AND(N(J3246)&gt;0,N(K3246)&lt;J3246),"🟡 FALTA EXECUTAR",IF(OR(M3246="PENDENTE",M3246="PARCIAL"),"🟡 FATURAMENTO PENDENTE","🟡 EMBARQUE PENDENTE")))))))))))</f>
        <v/>
      </c>
      <c r="D3246" s="4" t="n"/>
      <c r="E3246" s="5" t="n"/>
      <c r="F3246" s="5" t="n"/>
      <c r="G3246" s="5" t="n"/>
      <c r="H3246" s="5" t="n"/>
      <c r="I3246" s="5" t="n"/>
      <c r="J3246" s="6" t="n"/>
      <c r="K3246" s="6" t="n"/>
      <c r="L3246" s="7">
        <f>IF(OR(D3246="",N(J3246)=0),"",MIN(1,N(K3246)/J3246))</f>
        <v/>
      </c>
      <c r="M3246" s="5" t="n"/>
      <c r="N3246" s="5" t="n"/>
      <c r="O3246" s="5" t="n"/>
      <c r="P3246" s="5" t="n"/>
      <c r="Q3246" s="5" t="n"/>
      <c r="R3246" s="4" t="n"/>
      <c r="S3246" s="4" t="n"/>
      <c r="T3246" s="5" t="n"/>
      <c r="U3246" s="8">
        <f>IF(AND(V3246=1,D3246&lt;&gt;""),IF(D3246&gt;=corte,TODAY()-D3246,""),"")</f>
        <v/>
      </c>
      <c r="V3246" s="8">
        <f>IF(D3246="",0,IF(OR(AND(P3246&lt;&gt;"",S3246=""),AND(N(J3246)&gt;0,N(K3246)&lt;J3246),OR(M3246="PENDENTE",M3246="PARCIAL"),OR(N3246="PENDENTE",N3246="PARCIAL")),1,0))</f>
        <v/>
      </c>
      <c r="W3246" s="8">
        <f>IF(AND(V3246=1,D3246&lt;&gt;""),IF(D3246&gt;=corte,(B3246="CRÍTICO")*1E9+(100000-D3246)*10000+10000-ROW(),""),"")</f>
        <v/>
      </c>
      <c r="X3246" s="8">
        <f>IF(AND(V3246=1,D3246=pas_data,E3246=pas_turno),10000-ROW(),"")</f>
        <v/>
      </c>
    </row>
    <row r="3247">
      <c r="A3247" s="3">
        <f>IF(D3247="","","TT-"&amp;TEXT(ROW()-1,"00000"))</f>
        <v/>
      </c>
      <c r="B3247" s="3">
        <f>IF(D3247="","",IF(V3247=0,"CONCLUÍDO",IF(D3247&lt;corte,"HISTÓRICO",IF(OR(AND(ISNUMBER(R3247),R3247&lt;TODAY()),AND(OR(N3247="PENDENTE",N3247="PARCIAL"),D3247&lt;TODAY()-1)),"CRÍTICO",IF(OR(AND(P3247&lt;&gt;"",S3247=""),AND(N3247="REALIZADO",M3247="PENDENTE"),AND(ISNUMBER(R3247),R3247=TODAY())),"ATENÇÃO",IF(N(K3247)=0,"PENDENTE","EM ANDAMENTO"))))))</f>
        <v/>
      </c>
      <c r="C3247" s="3">
        <f>IF(D3247="","",IF(V3247=0,"🟢 OK",IF(D3247&lt;corte,"⚪ HISTÓRICO (sem baixa)",IF(AND(ISNUMBER(R3247),R3247&lt;TODAY()),"🔴 PRAZO VENCIDO",IF(AND(OR(N3247="PENDENTE",N3247="PARCIAL"),D3247&lt;TODAY()-1),"🔴 EMBARQUE ATRASADO",IF(AND(N3247="REALIZADO",M3247="PENDENTE"),"🟡 EMBARCADO SEM FATURAR",IF(AND(P3247&lt;&gt;"",S3247="",OR(Q3247="",R3247="")),"🟡 PENDÊNCIA SEM RESPONSÁVEL/PRAZO",IF(AND(ISNUMBER(R3247),R3247=TODAY()),"🟡 VENCE HOJE",IF(AND(P3247&lt;&gt;"",S3247=""),"🟡 PENDÊNCIA ABERTA",IF(AND(N(J3247)&gt;0,N(K3247)&lt;J3247),"🟡 FALTA EXECUTAR",IF(OR(M3247="PENDENTE",M3247="PARCIAL"),"🟡 FATURAMENTO PENDENTE","🟡 EMBARQUE PENDENTE")))))))))))</f>
        <v/>
      </c>
      <c r="D3247" s="4" t="n"/>
      <c r="E3247" s="5" t="n"/>
      <c r="F3247" s="5" t="n"/>
      <c r="G3247" s="5" t="n"/>
      <c r="H3247" s="5" t="n"/>
      <c r="I3247" s="5" t="n"/>
      <c r="J3247" s="6" t="n"/>
      <c r="K3247" s="6" t="n"/>
      <c r="L3247" s="7">
        <f>IF(OR(D3247="",N(J3247)=0),"",MIN(1,N(K3247)/J3247))</f>
        <v/>
      </c>
      <c r="M3247" s="5" t="n"/>
      <c r="N3247" s="5" t="n"/>
      <c r="O3247" s="5" t="n"/>
      <c r="P3247" s="5" t="n"/>
      <c r="Q3247" s="5" t="n"/>
      <c r="R3247" s="4" t="n"/>
      <c r="S3247" s="4" t="n"/>
      <c r="T3247" s="5" t="n"/>
      <c r="U3247" s="8">
        <f>IF(AND(V3247=1,D3247&lt;&gt;""),IF(D3247&gt;=corte,TODAY()-D3247,""),"")</f>
        <v/>
      </c>
      <c r="V3247" s="8">
        <f>IF(D3247="",0,IF(OR(AND(P3247&lt;&gt;"",S3247=""),AND(N(J3247)&gt;0,N(K3247)&lt;J3247),OR(M3247="PENDENTE",M3247="PARCIAL"),OR(N3247="PENDENTE",N3247="PARCIAL")),1,0))</f>
        <v/>
      </c>
      <c r="W3247" s="8">
        <f>IF(AND(V3247=1,D3247&lt;&gt;""),IF(D3247&gt;=corte,(B3247="CRÍTICO")*1E9+(100000-D3247)*10000+10000-ROW(),""),"")</f>
        <v/>
      </c>
      <c r="X3247" s="8">
        <f>IF(AND(V3247=1,D3247=pas_data,E3247=pas_turno),10000-ROW(),"")</f>
        <v/>
      </c>
    </row>
    <row r="3248">
      <c r="A3248" s="3">
        <f>IF(D3248="","","TT-"&amp;TEXT(ROW()-1,"00000"))</f>
        <v/>
      </c>
      <c r="B3248" s="3">
        <f>IF(D3248="","",IF(V3248=0,"CONCLUÍDO",IF(D3248&lt;corte,"HISTÓRICO",IF(OR(AND(ISNUMBER(R3248),R3248&lt;TODAY()),AND(OR(N3248="PENDENTE",N3248="PARCIAL"),D3248&lt;TODAY()-1)),"CRÍTICO",IF(OR(AND(P3248&lt;&gt;"",S3248=""),AND(N3248="REALIZADO",M3248="PENDENTE"),AND(ISNUMBER(R3248),R3248=TODAY())),"ATENÇÃO",IF(N(K3248)=0,"PENDENTE","EM ANDAMENTO"))))))</f>
        <v/>
      </c>
      <c r="C3248" s="3">
        <f>IF(D3248="","",IF(V3248=0,"🟢 OK",IF(D3248&lt;corte,"⚪ HISTÓRICO (sem baixa)",IF(AND(ISNUMBER(R3248),R3248&lt;TODAY()),"🔴 PRAZO VENCIDO",IF(AND(OR(N3248="PENDENTE",N3248="PARCIAL"),D3248&lt;TODAY()-1),"🔴 EMBARQUE ATRASADO",IF(AND(N3248="REALIZADO",M3248="PENDENTE"),"🟡 EMBARCADO SEM FATURAR",IF(AND(P3248&lt;&gt;"",S3248="",OR(Q3248="",R3248="")),"🟡 PENDÊNCIA SEM RESPONSÁVEL/PRAZO",IF(AND(ISNUMBER(R3248),R3248=TODAY()),"🟡 VENCE HOJE",IF(AND(P3248&lt;&gt;"",S3248=""),"🟡 PENDÊNCIA ABERTA",IF(AND(N(J3248)&gt;0,N(K3248)&lt;J3248),"🟡 FALTA EXECUTAR",IF(OR(M3248="PENDENTE",M3248="PARCIAL"),"🟡 FATURAMENTO PENDENTE","🟡 EMBARQUE PENDENTE")))))))))))</f>
        <v/>
      </c>
      <c r="D3248" s="4" t="n"/>
      <c r="E3248" s="5" t="n"/>
      <c r="F3248" s="5" t="n"/>
      <c r="G3248" s="5" t="n"/>
      <c r="H3248" s="5" t="n"/>
      <c r="I3248" s="5" t="n"/>
      <c r="J3248" s="6" t="n"/>
      <c r="K3248" s="6" t="n"/>
      <c r="L3248" s="7">
        <f>IF(OR(D3248="",N(J3248)=0),"",MIN(1,N(K3248)/J3248))</f>
        <v/>
      </c>
      <c r="M3248" s="5" t="n"/>
      <c r="N3248" s="5" t="n"/>
      <c r="O3248" s="5" t="n"/>
      <c r="P3248" s="5" t="n"/>
      <c r="Q3248" s="5" t="n"/>
      <c r="R3248" s="4" t="n"/>
      <c r="S3248" s="4" t="n"/>
      <c r="T3248" s="5" t="n"/>
      <c r="U3248" s="8">
        <f>IF(AND(V3248=1,D3248&lt;&gt;""),IF(D3248&gt;=corte,TODAY()-D3248,""),"")</f>
        <v/>
      </c>
      <c r="V3248" s="8">
        <f>IF(D3248="",0,IF(OR(AND(P3248&lt;&gt;"",S3248=""),AND(N(J3248)&gt;0,N(K3248)&lt;J3248),OR(M3248="PENDENTE",M3248="PARCIAL"),OR(N3248="PENDENTE",N3248="PARCIAL")),1,0))</f>
        <v/>
      </c>
      <c r="W3248" s="8">
        <f>IF(AND(V3248=1,D3248&lt;&gt;""),IF(D3248&gt;=corte,(B3248="CRÍTICO")*1E9+(100000-D3248)*10000+10000-ROW(),""),"")</f>
        <v/>
      </c>
      <c r="X3248" s="8">
        <f>IF(AND(V3248=1,D3248=pas_data,E3248=pas_turno),10000-ROW(),"")</f>
        <v/>
      </c>
    </row>
    <row r="3249">
      <c r="A3249" s="3">
        <f>IF(D3249="","","TT-"&amp;TEXT(ROW()-1,"00000"))</f>
        <v/>
      </c>
      <c r="B3249" s="3">
        <f>IF(D3249="","",IF(V3249=0,"CONCLUÍDO",IF(D3249&lt;corte,"HISTÓRICO",IF(OR(AND(ISNUMBER(R3249),R3249&lt;TODAY()),AND(OR(N3249="PENDENTE",N3249="PARCIAL"),D3249&lt;TODAY()-1)),"CRÍTICO",IF(OR(AND(P3249&lt;&gt;"",S3249=""),AND(N3249="REALIZADO",M3249="PENDENTE"),AND(ISNUMBER(R3249),R3249=TODAY())),"ATENÇÃO",IF(N(K3249)=0,"PENDENTE","EM ANDAMENTO"))))))</f>
        <v/>
      </c>
      <c r="C3249" s="3">
        <f>IF(D3249="","",IF(V3249=0,"🟢 OK",IF(D3249&lt;corte,"⚪ HISTÓRICO (sem baixa)",IF(AND(ISNUMBER(R3249),R3249&lt;TODAY()),"🔴 PRAZO VENCIDO",IF(AND(OR(N3249="PENDENTE",N3249="PARCIAL"),D3249&lt;TODAY()-1),"🔴 EMBARQUE ATRASADO",IF(AND(N3249="REALIZADO",M3249="PENDENTE"),"🟡 EMBARCADO SEM FATURAR",IF(AND(P3249&lt;&gt;"",S3249="",OR(Q3249="",R3249="")),"🟡 PENDÊNCIA SEM RESPONSÁVEL/PRAZO",IF(AND(ISNUMBER(R3249),R3249=TODAY()),"🟡 VENCE HOJE",IF(AND(P3249&lt;&gt;"",S3249=""),"🟡 PENDÊNCIA ABERTA",IF(AND(N(J3249)&gt;0,N(K3249)&lt;J3249),"🟡 FALTA EXECUTAR",IF(OR(M3249="PENDENTE",M3249="PARCIAL"),"🟡 FATURAMENTO PENDENTE","🟡 EMBARQUE PENDENTE")))))))))))</f>
        <v/>
      </c>
      <c r="D3249" s="4" t="n"/>
      <c r="E3249" s="5" t="n"/>
      <c r="F3249" s="5" t="n"/>
      <c r="G3249" s="5" t="n"/>
      <c r="H3249" s="5" t="n"/>
      <c r="I3249" s="5" t="n"/>
      <c r="J3249" s="6" t="n"/>
      <c r="K3249" s="6" t="n"/>
      <c r="L3249" s="7">
        <f>IF(OR(D3249="",N(J3249)=0),"",MIN(1,N(K3249)/J3249))</f>
        <v/>
      </c>
      <c r="M3249" s="5" t="n"/>
      <c r="N3249" s="5" t="n"/>
      <c r="O3249" s="5" t="n"/>
      <c r="P3249" s="5" t="n"/>
      <c r="Q3249" s="5" t="n"/>
      <c r="R3249" s="4" t="n"/>
      <c r="S3249" s="4" t="n"/>
      <c r="T3249" s="5" t="n"/>
      <c r="U3249" s="8">
        <f>IF(AND(V3249=1,D3249&lt;&gt;""),IF(D3249&gt;=corte,TODAY()-D3249,""),"")</f>
        <v/>
      </c>
      <c r="V3249" s="8">
        <f>IF(D3249="",0,IF(OR(AND(P3249&lt;&gt;"",S3249=""),AND(N(J3249)&gt;0,N(K3249)&lt;J3249),OR(M3249="PENDENTE",M3249="PARCIAL"),OR(N3249="PENDENTE",N3249="PARCIAL")),1,0))</f>
        <v/>
      </c>
      <c r="W3249" s="8">
        <f>IF(AND(V3249=1,D3249&lt;&gt;""),IF(D3249&gt;=corte,(B3249="CRÍTICO")*1E9+(100000-D3249)*10000+10000-ROW(),""),"")</f>
        <v/>
      </c>
      <c r="X3249" s="8">
        <f>IF(AND(V3249=1,D3249=pas_data,E3249=pas_turno),10000-ROW(),"")</f>
        <v/>
      </c>
    </row>
    <row r="3250">
      <c r="A3250" s="3">
        <f>IF(D3250="","","TT-"&amp;TEXT(ROW()-1,"00000"))</f>
        <v/>
      </c>
      <c r="B3250" s="3">
        <f>IF(D3250="","",IF(V3250=0,"CONCLUÍDO",IF(D3250&lt;corte,"HISTÓRICO",IF(OR(AND(ISNUMBER(R3250),R3250&lt;TODAY()),AND(OR(N3250="PENDENTE",N3250="PARCIAL"),D3250&lt;TODAY()-1)),"CRÍTICO",IF(OR(AND(P3250&lt;&gt;"",S3250=""),AND(N3250="REALIZADO",M3250="PENDENTE"),AND(ISNUMBER(R3250),R3250=TODAY())),"ATENÇÃO",IF(N(K3250)=0,"PENDENTE","EM ANDAMENTO"))))))</f>
        <v/>
      </c>
      <c r="C3250" s="3">
        <f>IF(D3250="","",IF(V3250=0,"🟢 OK",IF(D3250&lt;corte,"⚪ HISTÓRICO (sem baixa)",IF(AND(ISNUMBER(R3250),R3250&lt;TODAY()),"🔴 PRAZO VENCIDO",IF(AND(OR(N3250="PENDENTE",N3250="PARCIAL"),D3250&lt;TODAY()-1),"🔴 EMBARQUE ATRASADO",IF(AND(N3250="REALIZADO",M3250="PENDENTE"),"🟡 EMBARCADO SEM FATURAR",IF(AND(P3250&lt;&gt;"",S3250="",OR(Q3250="",R3250="")),"🟡 PENDÊNCIA SEM RESPONSÁVEL/PRAZO",IF(AND(ISNUMBER(R3250),R3250=TODAY()),"🟡 VENCE HOJE",IF(AND(P3250&lt;&gt;"",S3250=""),"🟡 PENDÊNCIA ABERTA",IF(AND(N(J3250)&gt;0,N(K3250)&lt;J3250),"🟡 FALTA EXECUTAR",IF(OR(M3250="PENDENTE",M3250="PARCIAL"),"🟡 FATURAMENTO PENDENTE","🟡 EMBARQUE PENDENTE")))))))))))</f>
        <v/>
      </c>
      <c r="D3250" s="4" t="n"/>
      <c r="E3250" s="5" t="n"/>
      <c r="F3250" s="5" t="n"/>
      <c r="G3250" s="5" t="n"/>
      <c r="H3250" s="5" t="n"/>
      <c r="I3250" s="5" t="n"/>
      <c r="J3250" s="6" t="n"/>
      <c r="K3250" s="6" t="n"/>
      <c r="L3250" s="7">
        <f>IF(OR(D3250="",N(J3250)=0),"",MIN(1,N(K3250)/J3250))</f>
        <v/>
      </c>
      <c r="M3250" s="5" t="n"/>
      <c r="N3250" s="5" t="n"/>
      <c r="O3250" s="5" t="n"/>
      <c r="P3250" s="5" t="n"/>
      <c r="Q3250" s="5" t="n"/>
      <c r="R3250" s="4" t="n"/>
      <c r="S3250" s="4" t="n"/>
      <c r="T3250" s="5" t="n"/>
      <c r="U3250" s="8">
        <f>IF(AND(V3250=1,D3250&lt;&gt;""),IF(D3250&gt;=corte,TODAY()-D3250,""),"")</f>
        <v/>
      </c>
      <c r="V3250" s="8">
        <f>IF(D3250="",0,IF(OR(AND(P3250&lt;&gt;"",S3250=""),AND(N(J3250)&gt;0,N(K3250)&lt;J3250),OR(M3250="PENDENTE",M3250="PARCIAL"),OR(N3250="PENDENTE",N3250="PARCIAL")),1,0))</f>
        <v/>
      </c>
      <c r="W3250" s="8">
        <f>IF(AND(V3250=1,D3250&lt;&gt;""),IF(D3250&gt;=corte,(B3250="CRÍTICO")*1E9+(100000-D3250)*10000+10000-ROW(),""),"")</f>
        <v/>
      </c>
      <c r="X3250" s="8">
        <f>IF(AND(V3250=1,D3250=pas_data,E3250=pas_turno),10000-ROW(),"")</f>
        <v/>
      </c>
    </row>
    <row r="3251">
      <c r="A3251" s="3">
        <f>IF(D3251="","","TT-"&amp;TEXT(ROW()-1,"00000"))</f>
        <v/>
      </c>
      <c r="B3251" s="3">
        <f>IF(D3251="","",IF(V3251=0,"CONCLUÍDO",IF(D3251&lt;corte,"HISTÓRICO",IF(OR(AND(ISNUMBER(R3251),R3251&lt;TODAY()),AND(OR(N3251="PENDENTE",N3251="PARCIAL"),D3251&lt;TODAY()-1)),"CRÍTICO",IF(OR(AND(P3251&lt;&gt;"",S3251=""),AND(N3251="REALIZADO",M3251="PENDENTE"),AND(ISNUMBER(R3251),R3251=TODAY())),"ATENÇÃO",IF(N(K3251)=0,"PENDENTE","EM ANDAMENTO"))))))</f>
        <v/>
      </c>
      <c r="C3251" s="3">
        <f>IF(D3251="","",IF(V3251=0,"🟢 OK",IF(D3251&lt;corte,"⚪ HISTÓRICO (sem baixa)",IF(AND(ISNUMBER(R3251),R3251&lt;TODAY()),"🔴 PRAZO VENCIDO",IF(AND(OR(N3251="PENDENTE",N3251="PARCIAL"),D3251&lt;TODAY()-1),"🔴 EMBARQUE ATRASADO",IF(AND(N3251="REALIZADO",M3251="PENDENTE"),"🟡 EMBARCADO SEM FATURAR",IF(AND(P3251&lt;&gt;"",S3251="",OR(Q3251="",R3251="")),"🟡 PENDÊNCIA SEM RESPONSÁVEL/PRAZO",IF(AND(ISNUMBER(R3251),R3251=TODAY()),"🟡 VENCE HOJE",IF(AND(P3251&lt;&gt;"",S3251=""),"🟡 PENDÊNCIA ABERTA",IF(AND(N(J3251)&gt;0,N(K3251)&lt;J3251),"🟡 FALTA EXECUTAR",IF(OR(M3251="PENDENTE",M3251="PARCIAL"),"🟡 FATURAMENTO PENDENTE","🟡 EMBARQUE PENDENTE")))))))))))</f>
        <v/>
      </c>
      <c r="D3251" s="4" t="n"/>
      <c r="E3251" s="5" t="n"/>
      <c r="F3251" s="5" t="n"/>
      <c r="G3251" s="5" t="n"/>
      <c r="H3251" s="5" t="n"/>
      <c r="I3251" s="5" t="n"/>
      <c r="J3251" s="6" t="n"/>
      <c r="K3251" s="6" t="n"/>
      <c r="L3251" s="7">
        <f>IF(OR(D3251="",N(J3251)=0),"",MIN(1,N(K3251)/J3251))</f>
        <v/>
      </c>
      <c r="M3251" s="5" t="n"/>
      <c r="N3251" s="5" t="n"/>
      <c r="O3251" s="5" t="n"/>
      <c r="P3251" s="5" t="n"/>
      <c r="Q3251" s="5" t="n"/>
      <c r="R3251" s="4" t="n"/>
      <c r="S3251" s="4" t="n"/>
      <c r="T3251" s="5" t="n"/>
      <c r="U3251" s="8">
        <f>IF(AND(V3251=1,D3251&lt;&gt;""),IF(D3251&gt;=corte,TODAY()-D3251,""),"")</f>
        <v/>
      </c>
      <c r="V3251" s="8">
        <f>IF(D3251="",0,IF(OR(AND(P3251&lt;&gt;"",S3251=""),AND(N(J3251)&gt;0,N(K3251)&lt;J3251),OR(M3251="PENDENTE",M3251="PARCIAL"),OR(N3251="PENDENTE",N3251="PARCIAL")),1,0))</f>
        <v/>
      </c>
      <c r="W3251" s="8">
        <f>IF(AND(V3251=1,D3251&lt;&gt;""),IF(D3251&gt;=corte,(B3251="CRÍTICO")*1E9+(100000-D3251)*10000+10000-ROW(),""),"")</f>
        <v/>
      </c>
      <c r="X3251" s="8">
        <f>IF(AND(V3251=1,D3251=pas_data,E3251=pas_turno),10000-ROW(),"")</f>
        <v/>
      </c>
    </row>
    <row r="3252">
      <c r="A3252" s="3">
        <f>IF(D3252="","","TT-"&amp;TEXT(ROW()-1,"00000"))</f>
        <v/>
      </c>
      <c r="B3252" s="3">
        <f>IF(D3252="","",IF(V3252=0,"CONCLUÍDO",IF(D3252&lt;corte,"HISTÓRICO",IF(OR(AND(ISNUMBER(R3252),R3252&lt;TODAY()),AND(OR(N3252="PENDENTE",N3252="PARCIAL"),D3252&lt;TODAY()-1)),"CRÍTICO",IF(OR(AND(P3252&lt;&gt;"",S3252=""),AND(N3252="REALIZADO",M3252="PENDENTE"),AND(ISNUMBER(R3252),R3252=TODAY())),"ATENÇÃO",IF(N(K3252)=0,"PENDENTE","EM ANDAMENTO"))))))</f>
        <v/>
      </c>
      <c r="C3252" s="3">
        <f>IF(D3252="","",IF(V3252=0,"🟢 OK",IF(D3252&lt;corte,"⚪ HISTÓRICO (sem baixa)",IF(AND(ISNUMBER(R3252),R3252&lt;TODAY()),"🔴 PRAZO VENCIDO",IF(AND(OR(N3252="PENDENTE",N3252="PARCIAL"),D3252&lt;TODAY()-1),"🔴 EMBARQUE ATRASADO",IF(AND(N3252="REALIZADO",M3252="PENDENTE"),"🟡 EMBARCADO SEM FATURAR",IF(AND(P3252&lt;&gt;"",S3252="",OR(Q3252="",R3252="")),"🟡 PENDÊNCIA SEM RESPONSÁVEL/PRAZO",IF(AND(ISNUMBER(R3252),R3252=TODAY()),"🟡 VENCE HOJE",IF(AND(P3252&lt;&gt;"",S3252=""),"🟡 PENDÊNCIA ABERTA",IF(AND(N(J3252)&gt;0,N(K3252)&lt;J3252),"🟡 FALTA EXECUTAR",IF(OR(M3252="PENDENTE",M3252="PARCIAL"),"🟡 FATURAMENTO PENDENTE","🟡 EMBARQUE PENDENTE")))))))))))</f>
        <v/>
      </c>
      <c r="D3252" s="4" t="n"/>
      <c r="E3252" s="5" t="n"/>
      <c r="F3252" s="5" t="n"/>
      <c r="G3252" s="5" t="n"/>
      <c r="H3252" s="5" t="n"/>
      <c r="I3252" s="5" t="n"/>
      <c r="J3252" s="6" t="n"/>
      <c r="K3252" s="6" t="n"/>
      <c r="L3252" s="7">
        <f>IF(OR(D3252="",N(J3252)=0),"",MIN(1,N(K3252)/J3252))</f>
        <v/>
      </c>
      <c r="M3252" s="5" t="n"/>
      <c r="N3252" s="5" t="n"/>
      <c r="O3252" s="5" t="n"/>
      <c r="P3252" s="5" t="n"/>
      <c r="Q3252" s="5" t="n"/>
      <c r="R3252" s="4" t="n"/>
      <c r="S3252" s="4" t="n"/>
      <c r="T3252" s="5" t="n"/>
      <c r="U3252" s="8">
        <f>IF(AND(V3252=1,D3252&lt;&gt;""),IF(D3252&gt;=corte,TODAY()-D3252,""),"")</f>
        <v/>
      </c>
      <c r="V3252" s="8">
        <f>IF(D3252="",0,IF(OR(AND(P3252&lt;&gt;"",S3252=""),AND(N(J3252)&gt;0,N(K3252)&lt;J3252),OR(M3252="PENDENTE",M3252="PARCIAL"),OR(N3252="PENDENTE",N3252="PARCIAL")),1,0))</f>
        <v/>
      </c>
      <c r="W3252" s="8">
        <f>IF(AND(V3252=1,D3252&lt;&gt;""),IF(D3252&gt;=corte,(B3252="CRÍTICO")*1E9+(100000-D3252)*10000+10000-ROW(),""),"")</f>
        <v/>
      </c>
      <c r="X3252" s="8">
        <f>IF(AND(V3252=1,D3252=pas_data,E3252=pas_turno),10000-ROW(),"")</f>
        <v/>
      </c>
    </row>
    <row r="3253">
      <c r="A3253" s="3">
        <f>IF(D3253="","","TT-"&amp;TEXT(ROW()-1,"00000"))</f>
        <v/>
      </c>
      <c r="B3253" s="3">
        <f>IF(D3253="","",IF(V3253=0,"CONCLUÍDO",IF(D3253&lt;corte,"HISTÓRICO",IF(OR(AND(ISNUMBER(R3253),R3253&lt;TODAY()),AND(OR(N3253="PENDENTE",N3253="PARCIAL"),D3253&lt;TODAY()-1)),"CRÍTICO",IF(OR(AND(P3253&lt;&gt;"",S3253=""),AND(N3253="REALIZADO",M3253="PENDENTE"),AND(ISNUMBER(R3253),R3253=TODAY())),"ATENÇÃO",IF(N(K3253)=0,"PENDENTE","EM ANDAMENTO"))))))</f>
        <v/>
      </c>
      <c r="C3253" s="3">
        <f>IF(D3253="","",IF(V3253=0,"🟢 OK",IF(D3253&lt;corte,"⚪ HISTÓRICO (sem baixa)",IF(AND(ISNUMBER(R3253),R3253&lt;TODAY()),"🔴 PRAZO VENCIDO",IF(AND(OR(N3253="PENDENTE",N3253="PARCIAL"),D3253&lt;TODAY()-1),"🔴 EMBARQUE ATRASADO",IF(AND(N3253="REALIZADO",M3253="PENDENTE"),"🟡 EMBARCADO SEM FATURAR",IF(AND(P3253&lt;&gt;"",S3253="",OR(Q3253="",R3253="")),"🟡 PENDÊNCIA SEM RESPONSÁVEL/PRAZO",IF(AND(ISNUMBER(R3253),R3253=TODAY()),"🟡 VENCE HOJE",IF(AND(P3253&lt;&gt;"",S3253=""),"🟡 PENDÊNCIA ABERTA",IF(AND(N(J3253)&gt;0,N(K3253)&lt;J3253),"🟡 FALTA EXECUTAR",IF(OR(M3253="PENDENTE",M3253="PARCIAL"),"🟡 FATURAMENTO PENDENTE","🟡 EMBARQUE PENDENTE")))))))))))</f>
        <v/>
      </c>
      <c r="D3253" s="4" t="n"/>
      <c r="E3253" s="5" t="n"/>
      <c r="F3253" s="5" t="n"/>
      <c r="G3253" s="5" t="n"/>
      <c r="H3253" s="5" t="n"/>
      <c r="I3253" s="5" t="n"/>
      <c r="J3253" s="6" t="n"/>
      <c r="K3253" s="6" t="n"/>
      <c r="L3253" s="7">
        <f>IF(OR(D3253="",N(J3253)=0),"",MIN(1,N(K3253)/J3253))</f>
        <v/>
      </c>
      <c r="M3253" s="5" t="n"/>
      <c r="N3253" s="5" t="n"/>
      <c r="O3253" s="5" t="n"/>
      <c r="P3253" s="5" t="n"/>
      <c r="Q3253" s="5" t="n"/>
      <c r="R3253" s="4" t="n"/>
      <c r="S3253" s="4" t="n"/>
      <c r="T3253" s="5" t="n"/>
      <c r="U3253" s="8">
        <f>IF(AND(V3253=1,D3253&lt;&gt;""),IF(D3253&gt;=corte,TODAY()-D3253,""),"")</f>
        <v/>
      </c>
      <c r="V3253" s="8">
        <f>IF(D3253="",0,IF(OR(AND(P3253&lt;&gt;"",S3253=""),AND(N(J3253)&gt;0,N(K3253)&lt;J3253),OR(M3253="PENDENTE",M3253="PARCIAL"),OR(N3253="PENDENTE",N3253="PARCIAL")),1,0))</f>
        <v/>
      </c>
      <c r="W3253" s="8">
        <f>IF(AND(V3253=1,D3253&lt;&gt;""),IF(D3253&gt;=corte,(B3253="CRÍTICO")*1E9+(100000-D3253)*10000+10000-ROW(),""),"")</f>
        <v/>
      </c>
      <c r="X3253" s="8">
        <f>IF(AND(V3253=1,D3253=pas_data,E3253=pas_turno),10000-ROW(),"")</f>
        <v/>
      </c>
    </row>
    <row r="3254">
      <c r="A3254" s="3">
        <f>IF(D3254="","","TT-"&amp;TEXT(ROW()-1,"00000"))</f>
        <v/>
      </c>
      <c r="B3254" s="3">
        <f>IF(D3254="","",IF(V3254=0,"CONCLUÍDO",IF(D3254&lt;corte,"HISTÓRICO",IF(OR(AND(ISNUMBER(R3254),R3254&lt;TODAY()),AND(OR(N3254="PENDENTE",N3254="PARCIAL"),D3254&lt;TODAY()-1)),"CRÍTICO",IF(OR(AND(P3254&lt;&gt;"",S3254=""),AND(N3254="REALIZADO",M3254="PENDENTE"),AND(ISNUMBER(R3254),R3254=TODAY())),"ATENÇÃO",IF(N(K3254)=0,"PENDENTE","EM ANDAMENTO"))))))</f>
        <v/>
      </c>
      <c r="C3254" s="3">
        <f>IF(D3254="","",IF(V3254=0,"🟢 OK",IF(D3254&lt;corte,"⚪ HISTÓRICO (sem baixa)",IF(AND(ISNUMBER(R3254),R3254&lt;TODAY()),"🔴 PRAZO VENCIDO",IF(AND(OR(N3254="PENDENTE",N3254="PARCIAL"),D3254&lt;TODAY()-1),"🔴 EMBARQUE ATRASADO",IF(AND(N3254="REALIZADO",M3254="PENDENTE"),"🟡 EMBARCADO SEM FATURAR",IF(AND(P3254&lt;&gt;"",S3254="",OR(Q3254="",R3254="")),"🟡 PENDÊNCIA SEM RESPONSÁVEL/PRAZO",IF(AND(ISNUMBER(R3254),R3254=TODAY()),"🟡 VENCE HOJE",IF(AND(P3254&lt;&gt;"",S3254=""),"🟡 PENDÊNCIA ABERTA",IF(AND(N(J3254)&gt;0,N(K3254)&lt;J3254),"🟡 FALTA EXECUTAR",IF(OR(M3254="PENDENTE",M3254="PARCIAL"),"🟡 FATURAMENTO PENDENTE","🟡 EMBARQUE PENDENTE")))))))))))</f>
        <v/>
      </c>
      <c r="D3254" s="4" t="n"/>
      <c r="E3254" s="5" t="n"/>
      <c r="F3254" s="5" t="n"/>
      <c r="G3254" s="5" t="n"/>
      <c r="H3254" s="5" t="n"/>
      <c r="I3254" s="5" t="n"/>
      <c r="J3254" s="6" t="n"/>
      <c r="K3254" s="6" t="n"/>
      <c r="L3254" s="7">
        <f>IF(OR(D3254="",N(J3254)=0),"",MIN(1,N(K3254)/J3254))</f>
        <v/>
      </c>
      <c r="M3254" s="5" t="n"/>
      <c r="N3254" s="5" t="n"/>
      <c r="O3254" s="5" t="n"/>
      <c r="P3254" s="5" t="n"/>
      <c r="Q3254" s="5" t="n"/>
      <c r="R3254" s="4" t="n"/>
      <c r="S3254" s="4" t="n"/>
      <c r="T3254" s="5" t="n"/>
      <c r="U3254" s="8">
        <f>IF(AND(V3254=1,D3254&lt;&gt;""),IF(D3254&gt;=corte,TODAY()-D3254,""),"")</f>
        <v/>
      </c>
      <c r="V3254" s="8">
        <f>IF(D3254="",0,IF(OR(AND(P3254&lt;&gt;"",S3254=""),AND(N(J3254)&gt;0,N(K3254)&lt;J3254),OR(M3254="PENDENTE",M3254="PARCIAL"),OR(N3254="PENDENTE",N3254="PARCIAL")),1,0))</f>
        <v/>
      </c>
      <c r="W3254" s="8">
        <f>IF(AND(V3254=1,D3254&lt;&gt;""),IF(D3254&gt;=corte,(B3254="CRÍTICO")*1E9+(100000-D3254)*10000+10000-ROW(),""),"")</f>
        <v/>
      </c>
      <c r="X3254" s="8">
        <f>IF(AND(V3254=1,D3254=pas_data,E3254=pas_turno),10000-ROW(),"")</f>
        <v/>
      </c>
    </row>
    <row r="3255">
      <c r="A3255" s="3">
        <f>IF(D3255="","","TT-"&amp;TEXT(ROW()-1,"00000"))</f>
        <v/>
      </c>
      <c r="B3255" s="3">
        <f>IF(D3255="","",IF(V3255=0,"CONCLUÍDO",IF(D3255&lt;corte,"HISTÓRICO",IF(OR(AND(ISNUMBER(R3255),R3255&lt;TODAY()),AND(OR(N3255="PENDENTE",N3255="PARCIAL"),D3255&lt;TODAY()-1)),"CRÍTICO",IF(OR(AND(P3255&lt;&gt;"",S3255=""),AND(N3255="REALIZADO",M3255="PENDENTE"),AND(ISNUMBER(R3255),R3255=TODAY())),"ATENÇÃO",IF(N(K3255)=0,"PENDENTE","EM ANDAMENTO"))))))</f>
        <v/>
      </c>
      <c r="C3255" s="3">
        <f>IF(D3255="","",IF(V3255=0,"🟢 OK",IF(D3255&lt;corte,"⚪ HISTÓRICO (sem baixa)",IF(AND(ISNUMBER(R3255),R3255&lt;TODAY()),"🔴 PRAZO VENCIDO",IF(AND(OR(N3255="PENDENTE",N3255="PARCIAL"),D3255&lt;TODAY()-1),"🔴 EMBARQUE ATRASADO",IF(AND(N3255="REALIZADO",M3255="PENDENTE"),"🟡 EMBARCADO SEM FATURAR",IF(AND(P3255&lt;&gt;"",S3255="",OR(Q3255="",R3255="")),"🟡 PENDÊNCIA SEM RESPONSÁVEL/PRAZO",IF(AND(ISNUMBER(R3255),R3255=TODAY()),"🟡 VENCE HOJE",IF(AND(P3255&lt;&gt;"",S3255=""),"🟡 PENDÊNCIA ABERTA",IF(AND(N(J3255)&gt;0,N(K3255)&lt;J3255),"🟡 FALTA EXECUTAR",IF(OR(M3255="PENDENTE",M3255="PARCIAL"),"🟡 FATURAMENTO PENDENTE","🟡 EMBARQUE PENDENTE")))))))))))</f>
        <v/>
      </c>
      <c r="D3255" s="4" t="n"/>
      <c r="E3255" s="5" t="n"/>
      <c r="F3255" s="5" t="n"/>
      <c r="G3255" s="5" t="n"/>
      <c r="H3255" s="5" t="n"/>
      <c r="I3255" s="5" t="n"/>
      <c r="J3255" s="6" t="n"/>
      <c r="K3255" s="6" t="n"/>
      <c r="L3255" s="7">
        <f>IF(OR(D3255="",N(J3255)=0),"",MIN(1,N(K3255)/J3255))</f>
        <v/>
      </c>
      <c r="M3255" s="5" t="n"/>
      <c r="N3255" s="5" t="n"/>
      <c r="O3255" s="5" t="n"/>
      <c r="P3255" s="5" t="n"/>
      <c r="Q3255" s="5" t="n"/>
      <c r="R3255" s="4" t="n"/>
      <c r="S3255" s="4" t="n"/>
      <c r="T3255" s="5" t="n"/>
      <c r="U3255" s="8">
        <f>IF(AND(V3255=1,D3255&lt;&gt;""),IF(D3255&gt;=corte,TODAY()-D3255,""),"")</f>
        <v/>
      </c>
      <c r="V3255" s="8">
        <f>IF(D3255="",0,IF(OR(AND(P3255&lt;&gt;"",S3255=""),AND(N(J3255)&gt;0,N(K3255)&lt;J3255),OR(M3255="PENDENTE",M3255="PARCIAL"),OR(N3255="PENDENTE",N3255="PARCIAL")),1,0))</f>
        <v/>
      </c>
      <c r="W3255" s="8">
        <f>IF(AND(V3255=1,D3255&lt;&gt;""),IF(D3255&gt;=corte,(B3255="CRÍTICO")*1E9+(100000-D3255)*10000+10000-ROW(),""),"")</f>
        <v/>
      </c>
      <c r="X3255" s="8">
        <f>IF(AND(V3255=1,D3255=pas_data,E3255=pas_turno),10000-ROW(),"")</f>
        <v/>
      </c>
    </row>
    <row r="3256">
      <c r="A3256" s="3">
        <f>IF(D3256="","","TT-"&amp;TEXT(ROW()-1,"00000"))</f>
        <v/>
      </c>
      <c r="B3256" s="3">
        <f>IF(D3256="","",IF(V3256=0,"CONCLUÍDO",IF(D3256&lt;corte,"HISTÓRICO",IF(OR(AND(ISNUMBER(R3256),R3256&lt;TODAY()),AND(OR(N3256="PENDENTE",N3256="PARCIAL"),D3256&lt;TODAY()-1)),"CRÍTICO",IF(OR(AND(P3256&lt;&gt;"",S3256=""),AND(N3256="REALIZADO",M3256="PENDENTE"),AND(ISNUMBER(R3256),R3256=TODAY())),"ATENÇÃO",IF(N(K3256)=0,"PENDENTE","EM ANDAMENTO"))))))</f>
        <v/>
      </c>
      <c r="C3256" s="3">
        <f>IF(D3256="","",IF(V3256=0,"🟢 OK",IF(D3256&lt;corte,"⚪ HISTÓRICO (sem baixa)",IF(AND(ISNUMBER(R3256),R3256&lt;TODAY()),"🔴 PRAZO VENCIDO",IF(AND(OR(N3256="PENDENTE",N3256="PARCIAL"),D3256&lt;TODAY()-1),"🔴 EMBARQUE ATRASADO",IF(AND(N3256="REALIZADO",M3256="PENDENTE"),"🟡 EMBARCADO SEM FATURAR",IF(AND(P3256&lt;&gt;"",S3256="",OR(Q3256="",R3256="")),"🟡 PENDÊNCIA SEM RESPONSÁVEL/PRAZO",IF(AND(ISNUMBER(R3256),R3256=TODAY()),"🟡 VENCE HOJE",IF(AND(P3256&lt;&gt;"",S3256=""),"🟡 PENDÊNCIA ABERTA",IF(AND(N(J3256)&gt;0,N(K3256)&lt;J3256),"🟡 FALTA EXECUTAR",IF(OR(M3256="PENDENTE",M3256="PARCIAL"),"🟡 FATURAMENTO PENDENTE","🟡 EMBARQUE PENDENTE")))))))))))</f>
        <v/>
      </c>
      <c r="D3256" s="4" t="n"/>
      <c r="E3256" s="5" t="n"/>
      <c r="F3256" s="5" t="n"/>
      <c r="G3256" s="5" t="n"/>
      <c r="H3256" s="5" t="n"/>
      <c r="I3256" s="5" t="n"/>
      <c r="J3256" s="6" t="n"/>
      <c r="K3256" s="6" t="n"/>
      <c r="L3256" s="7">
        <f>IF(OR(D3256="",N(J3256)=0),"",MIN(1,N(K3256)/J3256))</f>
        <v/>
      </c>
      <c r="M3256" s="5" t="n"/>
      <c r="N3256" s="5" t="n"/>
      <c r="O3256" s="5" t="n"/>
      <c r="P3256" s="5" t="n"/>
      <c r="Q3256" s="5" t="n"/>
      <c r="R3256" s="4" t="n"/>
      <c r="S3256" s="4" t="n"/>
      <c r="T3256" s="5" t="n"/>
      <c r="U3256" s="8">
        <f>IF(AND(V3256=1,D3256&lt;&gt;""),IF(D3256&gt;=corte,TODAY()-D3256,""),"")</f>
        <v/>
      </c>
      <c r="V3256" s="8">
        <f>IF(D3256="",0,IF(OR(AND(P3256&lt;&gt;"",S3256=""),AND(N(J3256)&gt;0,N(K3256)&lt;J3256),OR(M3256="PENDENTE",M3256="PARCIAL"),OR(N3256="PENDENTE",N3256="PARCIAL")),1,0))</f>
        <v/>
      </c>
      <c r="W3256" s="8">
        <f>IF(AND(V3256=1,D3256&lt;&gt;""),IF(D3256&gt;=corte,(B3256="CRÍTICO")*1E9+(100000-D3256)*10000+10000-ROW(),""),"")</f>
        <v/>
      </c>
      <c r="X3256" s="8">
        <f>IF(AND(V3256=1,D3256=pas_data,E3256=pas_turno),10000-ROW(),"")</f>
        <v/>
      </c>
    </row>
    <row r="3257">
      <c r="A3257" s="3">
        <f>IF(D3257="","","TT-"&amp;TEXT(ROW()-1,"00000"))</f>
        <v/>
      </c>
      <c r="B3257" s="3">
        <f>IF(D3257="","",IF(V3257=0,"CONCLUÍDO",IF(D3257&lt;corte,"HISTÓRICO",IF(OR(AND(ISNUMBER(R3257),R3257&lt;TODAY()),AND(OR(N3257="PENDENTE",N3257="PARCIAL"),D3257&lt;TODAY()-1)),"CRÍTICO",IF(OR(AND(P3257&lt;&gt;"",S3257=""),AND(N3257="REALIZADO",M3257="PENDENTE"),AND(ISNUMBER(R3257),R3257=TODAY())),"ATENÇÃO",IF(N(K3257)=0,"PENDENTE","EM ANDAMENTO"))))))</f>
        <v/>
      </c>
      <c r="C3257" s="3">
        <f>IF(D3257="","",IF(V3257=0,"🟢 OK",IF(D3257&lt;corte,"⚪ HISTÓRICO (sem baixa)",IF(AND(ISNUMBER(R3257),R3257&lt;TODAY()),"🔴 PRAZO VENCIDO",IF(AND(OR(N3257="PENDENTE",N3257="PARCIAL"),D3257&lt;TODAY()-1),"🔴 EMBARQUE ATRASADO",IF(AND(N3257="REALIZADO",M3257="PENDENTE"),"🟡 EMBARCADO SEM FATURAR",IF(AND(P3257&lt;&gt;"",S3257="",OR(Q3257="",R3257="")),"🟡 PENDÊNCIA SEM RESPONSÁVEL/PRAZO",IF(AND(ISNUMBER(R3257),R3257=TODAY()),"🟡 VENCE HOJE",IF(AND(P3257&lt;&gt;"",S3257=""),"🟡 PENDÊNCIA ABERTA",IF(AND(N(J3257)&gt;0,N(K3257)&lt;J3257),"🟡 FALTA EXECUTAR",IF(OR(M3257="PENDENTE",M3257="PARCIAL"),"🟡 FATURAMENTO PENDENTE","🟡 EMBARQUE PENDENTE")))))))))))</f>
        <v/>
      </c>
      <c r="D3257" s="4" t="n"/>
      <c r="E3257" s="5" t="n"/>
      <c r="F3257" s="5" t="n"/>
      <c r="G3257" s="5" t="n"/>
      <c r="H3257" s="5" t="n"/>
      <c r="I3257" s="5" t="n"/>
      <c r="J3257" s="6" t="n"/>
      <c r="K3257" s="6" t="n"/>
      <c r="L3257" s="7">
        <f>IF(OR(D3257="",N(J3257)=0),"",MIN(1,N(K3257)/J3257))</f>
        <v/>
      </c>
      <c r="M3257" s="5" t="n"/>
      <c r="N3257" s="5" t="n"/>
      <c r="O3257" s="5" t="n"/>
      <c r="P3257" s="5" t="n"/>
      <c r="Q3257" s="5" t="n"/>
      <c r="R3257" s="4" t="n"/>
      <c r="S3257" s="4" t="n"/>
      <c r="T3257" s="5" t="n"/>
      <c r="U3257" s="8">
        <f>IF(AND(V3257=1,D3257&lt;&gt;""),IF(D3257&gt;=corte,TODAY()-D3257,""),"")</f>
        <v/>
      </c>
      <c r="V3257" s="8">
        <f>IF(D3257="",0,IF(OR(AND(P3257&lt;&gt;"",S3257=""),AND(N(J3257)&gt;0,N(K3257)&lt;J3257),OR(M3257="PENDENTE",M3257="PARCIAL"),OR(N3257="PENDENTE",N3257="PARCIAL")),1,0))</f>
        <v/>
      </c>
      <c r="W3257" s="8">
        <f>IF(AND(V3257=1,D3257&lt;&gt;""),IF(D3257&gt;=corte,(B3257="CRÍTICO")*1E9+(100000-D3257)*10000+10000-ROW(),""),"")</f>
        <v/>
      </c>
      <c r="X3257" s="8">
        <f>IF(AND(V3257=1,D3257=pas_data,E3257=pas_turno),10000-ROW(),"")</f>
        <v/>
      </c>
    </row>
    <row r="3258">
      <c r="A3258" s="3">
        <f>IF(D3258="","","TT-"&amp;TEXT(ROW()-1,"00000"))</f>
        <v/>
      </c>
      <c r="B3258" s="3">
        <f>IF(D3258="","",IF(V3258=0,"CONCLUÍDO",IF(D3258&lt;corte,"HISTÓRICO",IF(OR(AND(ISNUMBER(R3258),R3258&lt;TODAY()),AND(OR(N3258="PENDENTE",N3258="PARCIAL"),D3258&lt;TODAY()-1)),"CRÍTICO",IF(OR(AND(P3258&lt;&gt;"",S3258=""),AND(N3258="REALIZADO",M3258="PENDENTE"),AND(ISNUMBER(R3258),R3258=TODAY())),"ATENÇÃO",IF(N(K3258)=0,"PENDENTE","EM ANDAMENTO"))))))</f>
        <v/>
      </c>
      <c r="C3258" s="3">
        <f>IF(D3258="","",IF(V3258=0,"🟢 OK",IF(D3258&lt;corte,"⚪ HISTÓRICO (sem baixa)",IF(AND(ISNUMBER(R3258),R3258&lt;TODAY()),"🔴 PRAZO VENCIDO",IF(AND(OR(N3258="PENDENTE",N3258="PARCIAL"),D3258&lt;TODAY()-1),"🔴 EMBARQUE ATRASADO",IF(AND(N3258="REALIZADO",M3258="PENDENTE"),"🟡 EMBARCADO SEM FATURAR",IF(AND(P3258&lt;&gt;"",S3258="",OR(Q3258="",R3258="")),"🟡 PENDÊNCIA SEM RESPONSÁVEL/PRAZO",IF(AND(ISNUMBER(R3258),R3258=TODAY()),"🟡 VENCE HOJE",IF(AND(P3258&lt;&gt;"",S3258=""),"🟡 PENDÊNCIA ABERTA",IF(AND(N(J3258)&gt;0,N(K3258)&lt;J3258),"🟡 FALTA EXECUTAR",IF(OR(M3258="PENDENTE",M3258="PARCIAL"),"🟡 FATURAMENTO PENDENTE","🟡 EMBARQUE PENDENTE")))))))))))</f>
        <v/>
      </c>
      <c r="D3258" s="4" t="n"/>
      <c r="E3258" s="5" t="n"/>
      <c r="F3258" s="5" t="n"/>
      <c r="G3258" s="5" t="n"/>
      <c r="H3258" s="5" t="n"/>
      <c r="I3258" s="5" t="n"/>
      <c r="J3258" s="6" t="n"/>
      <c r="K3258" s="6" t="n"/>
      <c r="L3258" s="7">
        <f>IF(OR(D3258="",N(J3258)=0),"",MIN(1,N(K3258)/J3258))</f>
        <v/>
      </c>
      <c r="M3258" s="5" t="n"/>
      <c r="N3258" s="5" t="n"/>
      <c r="O3258" s="5" t="n"/>
      <c r="P3258" s="5" t="n"/>
      <c r="Q3258" s="5" t="n"/>
      <c r="R3258" s="4" t="n"/>
      <c r="S3258" s="4" t="n"/>
      <c r="T3258" s="5" t="n"/>
      <c r="U3258" s="8">
        <f>IF(AND(V3258=1,D3258&lt;&gt;""),IF(D3258&gt;=corte,TODAY()-D3258,""),"")</f>
        <v/>
      </c>
      <c r="V3258" s="8">
        <f>IF(D3258="",0,IF(OR(AND(P3258&lt;&gt;"",S3258=""),AND(N(J3258)&gt;0,N(K3258)&lt;J3258),OR(M3258="PENDENTE",M3258="PARCIAL"),OR(N3258="PENDENTE",N3258="PARCIAL")),1,0))</f>
        <v/>
      </c>
      <c r="W3258" s="8">
        <f>IF(AND(V3258=1,D3258&lt;&gt;""),IF(D3258&gt;=corte,(B3258="CRÍTICO")*1E9+(100000-D3258)*10000+10000-ROW(),""),"")</f>
        <v/>
      </c>
      <c r="X3258" s="8">
        <f>IF(AND(V3258=1,D3258=pas_data,E3258=pas_turno),10000-ROW(),"")</f>
        <v/>
      </c>
    </row>
    <row r="3259">
      <c r="A3259" s="3">
        <f>IF(D3259="","","TT-"&amp;TEXT(ROW()-1,"00000"))</f>
        <v/>
      </c>
      <c r="B3259" s="3">
        <f>IF(D3259="","",IF(V3259=0,"CONCLUÍDO",IF(D3259&lt;corte,"HISTÓRICO",IF(OR(AND(ISNUMBER(R3259),R3259&lt;TODAY()),AND(OR(N3259="PENDENTE",N3259="PARCIAL"),D3259&lt;TODAY()-1)),"CRÍTICO",IF(OR(AND(P3259&lt;&gt;"",S3259=""),AND(N3259="REALIZADO",M3259="PENDENTE"),AND(ISNUMBER(R3259),R3259=TODAY())),"ATENÇÃO",IF(N(K3259)=0,"PENDENTE","EM ANDAMENTO"))))))</f>
        <v/>
      </c>
      <c r="C3259" s="3">
        <f>IF(D3259="","",IF(V3259=0,"🟢 OK",IF(D3259&lt;corte,"⚪ HISTÓRICO (sem baixa)",IF(AND(ISNUMBER(R3259),R3259&lt;TODAY()),"🔴 PRAZO VENCIDO",IF(AND(OR(N3259="PENDENTE",N3259="PARCIAL"),D3259&lt;TODAY()-1),"🔴 EMBARQUE ATRASADO",IF(AND(N3259="REALIZADO",M3259="PENDENTE"),"🟡 EMBARCADO SEM FATURAR",IF(AND(P3259&lt;&gt;"",S3259="",OR(Q3259="",R3259="")),"🟡 PENDÊNCIA SEM RESPONSÁVEL/PRAZO",IF(AND(ISNUMBER(R3259),R3259=TODAY()),"🟡 VENCE HOJE",IF(AND(P3259&lt;&gt;"",S3259=""),"🟡 PENDÊNCIA ABERTA",IF(AND(N(J3259)&gt;0,N(K3259)&lt;J3259),"🟡 FALTA EXECUTAR",IF(OR(M3259="PENDENTE",M3259="PARCIAL"),"🟡 FATURAMENTO PENDENTE","🟡 EMBARQUE PENDENTE")))))))))))</f>
        <v/>
      </c>
      <c r="D3259" s="4" t="n"/>
      <c r="E3259" s="5" t="n"/>
      <c r="F3259" s="5" t="n"/>
      <c r="G3259" s="5" t="n"/>
      <c r="H3259" s="5" t="n"/>
      <c r="I3259" s="5" t="n"/>
      <c r="J3259" s="6" t="n"/>
      <c r="K3259" s="6" t="n"/>
      <c r="L3259" s="7">
        <f>IF(OR(D3259="",N(J3259)=0),"",MIN(1,N(K3259)/J3259))</f>
        <v/>
      </c>
      <c r="M3259" s="5" t="n"/>
      <c r="N3259" s="5" t="n"/>
      <c r="O3259" s="5" t="n"/>
      <c r="P3259" s="5" t="n"/>
      <c r="Q3259" s="5" t="n"/>
      <c r="R3259" s="4" t="n"/>
      <c r="S3259" s="4" t="n"/>
      <c r="T3259" s="5" t="n"/>
      <c r="U3259" s="8">
        <f>IF(AND(V3259=1,D3259&lt;&gt;""),IF(D3259&gt;=corte,TODAY()-D3259,""),"")</f>
        <v/>
      </c>
      <c r="V3259" s="8">
        <f>IF(D3259="",0,IF(OR(AND(P3259&lt;&gt;"",S3259=""),AND(N(J3259)&gt;0,N(K3259)&lt;J3259),OR(M3259="PENDENTE",M3259="PARCIAL"),OR(N3259="PENDENTE",N3259="PARCIAL")),1,0))</f>
        <v/>
      </c>
      <c r="W3259" s="8">
        <f>IF(AND(V3259=1,D3259&lt;&gt;""),IF(D3259&gt;=corte,(B3259="CRÍTICO")*1E9+(100000-D3259)*10000+10000-ROW(),""),"")</f>
        <v/>
      </c>
      <c r="X3259" s="8">
        <f>IF(AND(V3259=1,D3259=pas_data,E3259=pas_turno),10000-ROW(),"")</f>
        <v/>
      </c>
    </row>
    <row r="3260">
      <c r="A3260" s="3">
        <f>IF(D3260="","","TT-"&amp;TEXT(ROW()-1,"00000"))</f>
        <v/>
      </c>
      <c r="B3260" s="3">
        <f>IF(D3260="","",IF(V3260=0,"CONCLUÍDO",IF(D3260&lt;corte,"HISTÓRICO",IF(OR(AND(ISNUMBER(R3260),R3260&lt;TODAY()),AND(OR(N3260="PENDENTE",N3260="PARCIAL"),D3260&lt;TODAY()-1)),"CRÍTICO",IF(OR(AND(P3260&lt;&gt;"",S3260=""),AND(N3260="REALIZADO",M3260="PENDENTE"),AND(ISNUMBER(R3260),R3260=TODAY())),"ATENÇÃO",IF(N(K3260)=0,"PENDENTE","EM ANDAMENTO"))))))</f>
        <v/>
      </c>
      <c r="C3260" s="3">
        <f>IF(D3260="","",IF(V3260=0,"🟢 OK",IF(D3260&lt;corte,"⚪ HISTÓRICO (sem baixa)",IF(AND(ISNUMBER(R3260),R3260&lt;TODAY()),"🔴 PRAZO VENCIDO",IF(AND(OR(N3260="PENDENTE",N3260="PARCIAL"),D3260&lt;TODAY()-1),"🔴 EMBARQUE ATRASADO",IF(AND(N3260="REALIZADO",M3260="PENDENTE"),"🟡 EMBARCADO SEM FATURAR",IF(AND(P3260&lt;&gt;"",S3260="",OR(Q3260="",R3260="")),"🟡 PENDÊNCIA SEM RESPONSÁVEL/PRAZO",IF(AND(ISNUMBER(R3260),R3260=TODAY()),"🟡 VENCE HOJE",IF(AND(P3260&lt;&gt;"",S3260=""),"🟡 PENDÊNCIA ABERTA",IF(AND(N(J3260)&gt;0,N(K3260)&lt;J3260),"🟡 FALTA EXECUTAR",IF(OR(M3260="PENDENTE",M3260="PARCIAL"),"🟡 FATURAMENTO PENDENTE","🟡 EMBARQUE PENDENTE")))))))))))</f>
        <v/>
      </c>
      <c r="D3260" s="4" t="n"/>
      <c r="E3260" s="5" t="n"/>
      <c r="F3260" s="5" t="n"/>
      <c r="G3260" s="5" t="n"/>
      <c r="H3260" s="5" t="n"/>
      <c r="I3260" s="5" t="n"/>
      <c r="J3260" s="6" t="n"/>
      <c r="K3260" s="6" t="n"/>
      <c r="L3260" s="7">
        <f>IF(OR(D3260="",N(J3260)=0),"",MIN(1,N(K3260)/J3260))</f>
        <v/>
      </c>
      <c r="M3260" s="5" t="n"/>
      <c r="N3260" s="5" t="n"/>
      <c r="O3260" s="5" t="n"/>
      <c r="P3260" s="5" t="n"/>
      <c r="Q3260" s="5" t="n"/>
      <c r="R3260" s="4" t="n"/>
      <c r="S3260" s="4" t="n"/>
      <c r="T3260" s="5" t="n"/>
      <c r="U3260" s="8">
        <f>IF(AND(V3260=1,D3260&lt;&gt;""),IF(D3260&gt;=corte,TODAY()-D3260,""),"")</f>
        <v/>
      </c>
      <c r="V3260" s="8">
        <f>IF(D3260="",0,IF(OR(AND(P3260&lt;&gt;"",S3260=""),AND(N(J3260)&gt;0,N(K3260)&lt;J3260),OR(M3260="PENDENTE",M3260="PARCIAL"),OR(N3260="PENDENTE",N3260="PARCIAL")),1,0))</f>
        <v/>
      </c>
      <c r="W3260" s="8">
        <f>IF(AND(V3260=1,D3260&lt;&gt;""),IF(D3260&gt;=corte,(B3260="CRÍTICO")*1E9+(100000-D3260)*10000+10000-ROW(),""),"")</f>
        <v/>
      </c>
      <c r="X3260" s="8">
        <f>IF(AND(V3260=1,D3260=pas_data,E3260=pas_turno),10000-ROW(),"")</f>
        <v/>
      </c>
    </row>
    <row r="3261">
      <c r="A3261" s="3">
        <f>IF(D3261="","","TT-"&amp;TEXT(ROW()-1,"00000"))</f>
        <v/>
      </c>
      <c r="B3261" s="3">
        <f>IF(D3261="","",IF(V3261=0,"CONCLUÍDO",IF(D3261&lt;corte,"HISTÓRICO",IF(OR(AND(ISNUMBER(R3261),R3261&lt;TODAY()),AND(OR(N3261="PENDENTE",N3261="PARCIAL"),D3261&lt;TODAY()-1)),"CRÍTICO",IF(OR(AND(P3261&lt;&gt;"",S3261=""),AND(N3261="REALIZADO",M3261="PENDENTE"),AND(ISNUMBER(R3261),R3261=TODAY())),"ATENÇÃO",IF(N(K3261)=0,"PENDENTE","EM ANDAMENTO"))))))</f>
        <v/>
      </c>
      <c r="C3261" s="3">
        <f>IF(D3261="","",IF(V3261=0,"🟢 OK",IF(D3261&lt;corte,"⚪ HISTÓRICO (sem baixa)",IF(AND(ISNUMBER(R3261),R3261&lt;TODAY()),"🔴 PRAZO VENCIDO",IF(AND(OR(N3261="PENDENTE",N3261="PARCIAL"),D3261&lt;TODAY()-1),"🔴 EMBARQUE ATRASADO",IF(AND(N3261="REALIZADO",M3261="PENDENTE"),"🟡 EMBARCADO SEM FATURAR",IF(AND(P3261&lt;&gt;"",S3261="",OR(Q3261="",R3261="")),"🟡 PENDÊNCIA SEM RESPONSÁVEL/PRAZO",IF(AND(ISNUMBER(R3261),R3261=TODAY()),"🟡 VENCE HOJE",IF(AND(P3261&lt;&gt;"",S3261=""),"🟡 PENDÊNCIA ABERTA",IF(AND(N(J3261)&gt;0,N(K3261)&lt;J3261),"🟡 FALTA EXECUTAR",IF(OR(M3261="PENDENTE",M3261="PARCIAL"),"🟡 FATURAMENTO PENDENTE","🟡 EMBARQUE PENDENTE")))))))))))</f>
        <v/>
      </c>
      <c r="D3261" s="4" t="n"/>
      <c r="E3261" s="5" t="n"/>
      <c r="F3261" s="5" t="n"/>
      <c r="G3261" s="5" t="n"/>
      <c r="H3261" s="5" t="n"/>
      <c r="I3261" s="5" t="n"/>
      <c r="J3261" s="6" t="n"/>
      <c r="K3261" s="6" t="n"/>
      <c r="L3261" s="7">
        <f>IF(OR(D3261="",N(J3261)=0),"",MIN(1,N(K3261)/J3261))</f>
        <v/>
      </c>
      <c r="M3261" s="5" t="n"/>
      <c r="N3261" s="5" t="n"/>
      <c r="O3261" s="5" t="n"/>
      <c r="P3261" s="5" t="n"/>
      <c r="Q3261" s="5" t="n"/>
      <c r="R3261" s="4" t="n"/>
      <c r="S3261" s="4" t="n"/>
      <c r="T3261" s="5" t="n"/>
      <c r="U3261" s="8">
        <f>IF(AND(V3261=1,D3261&lt;&gt;""),IF(D3261&gt;=corte,TODAY()-D3261,""),"")</f>
        <v/>
      </c>
      <c r="V3261" s="8">
        <f>IF(D3261="",0,IF(OR(AND(P3261&lt;&gt;"",S3261=""),AND(N(J3261)&gt;0,N(K3261)&lt;J3261),OR(M3261="PENDENTE",M3261="PARCIAL"),OR(N3261="PENDENTE",N3261="PARCIAL")),1,0))</f>
        <v/>
      </c>
      <c r="W3261" s="8">
        <f>IF(AND(V3261=1,D3261&lt;&gt;""),IF(D3261&gt;=corte,(B3261="CRÍTICO")*1E9+(100000-D3261)*10000+10000-ROW(),""),"")</f>
        <v/>
      </c>
      <c r="X3261" s="8">
        <f>IF(AND(V3261=1,D3261=pas_data,E3261=pas_turno),10000-ROW(),"")</f>
        <v/>
      </c>
    </row>
    <row r="3262">
      <c r="A3262" s="3">
        <f>IF(D3262="","","TT-"&amp;TEXT(ROW()-1,"00000"))</f>
        <v/>
      </c>
      <c r="B3262" s="3">
        <f>IF(D3262="","",IF(V3262=0,"CONCLUÍDO",IF(D3262&lt;corte,"HISTÓRICO",IF(OR(AND(ISNUMBER(R3262),R3262&lt;TODAY()),AND(OR(N3262="PENDENTE",N3262="PARCIAL"),D3262&lt;TODAY()-1)),"CRÍTICO",IF(OR(AND(P3262&lt;&gt;"",S3262=""),AND(N3262="REALIZADO",M3262="PENDENTE"),AND(ISNUMBER(R3262),R3262=TODAY())),"ATENÇÃO",IF(N(K3262)=0,"PENDENTE","EM ANDAMENTO"))))))</f>
        <v/>
      </c>
      <c r="C3262" s="3">
        <f>IF(D3262="","",IF(V3262=0,"🟢 OK",IF(D3262&lt;corte,"⚪ HISTÓRICO (sem baixa)",IF(AND(ISNUMBER(R3262),R3262&lt;TODAY()),"🔴 PRAZO VENCIDO",IF(AND(OR(N3262="PENDENTE",N3262="PARCIAL"),D3262&lt;TODAY()-1),"🔴 EMBARQUE ATRASADO",IF(AND(N3262="REALIZADO",M3262="PENDENTE"),"🟡 EMBARCADO SEM FATURAR",IF(AND(P3262&lt;&gt;"",S3262="",OR(Q3262="",R3262="")),"🟡 PENDÊNCIA SEM RESPONSÁVEL/PRAZO",IF(AND(ISNUMBER(R3262),R3262=TODAY()),"🟡 VENCE HOJE",IF(AND(P3262&lt;&gt;"",S3262=""),"🟡 PENDÊNCIA ABERTA",IF(AND(N(J3262)&gt;0,N(K3262)&lt;J3262),"🟡 FALTA EXECUTAR",IF(OR(M3262="PENDENTE",M3262="PARCIAL"),"🟡 FATURAMENTO PENDENTE","🟡 EMBARQUE PENDENTE")))))))))))</f>
        <v/>
      </c>
      <c r="D3262" s="4" t="n"/>
      <c r="E3262" s="5" t="n"/>
      <c r="F3262" s="5" t="n"/>
      <c r="G3262" s="5" t="n"/>
      <c r="H3262" s="5" t="n"/>
      <c r="I3262" s="5" t="n"/>
      <c r="J3262" s="6" t="n"/>
      <c r="K3262" s="6" t="n"/>
      <c r="L3262" s="7">
        <f>IF(OR(D3262="",N(J3262)=0),"",MIN(1,N(K3262)/J3262))</f>
        <v/>
      </c>
      <c r="M3262" s="5" t="n"/>
      <c r="N3262" s="5" t="n"/>
      <c r="O3262" s="5" t="n"/>
      <c r="P3262" s="5" t="n"/>
      <c r="Q3262" s="5" t="n"/>
      <c r="R3262" s="4" t="n"/>
      <c r="S3262" s="4" t="n"/>
      <c r="T3262" s="5" t="n"/>
      <c r="U3262" s="8">
        <f>IF(AND(V3262=1,D3262&lt;&gt;""),IF(D3262&gt;=corte,TODAY()-D3262,""),"")</f>
        <v/>
      </c>
      <c r="V3262" s="8">
        <f>IF(D3262="",0,IF(OR(AND(P3262&lt;&gt;"",S3262=""),AND(N(J3262)&gt;0,N(K3262)&lt;J3262),OR(M3262="PENDENTE",M3262="PARCIAL"),OR(N3262="PENDENTE",N3262="PARCIAL")),1,0))</f>
        <v/>
      </c>
      <c r="W3262" s="8">
        <f>IF(AND(V3262=1,D3262&lt;&gt;""),IF(D3262&gt;=corte,(B3262="CRÍTICO")*1E9+(100000-D3262)*10000+10000-ROW(),""),"")</f>
        <v/>
      </c>
      <c r="X3262" s="8">
        <f>IF(AND(V3262=1,D3262=pas_data,E3262=pas_turno),10000-ROW(),"")</f>
        <v/>
      </c>
    </row>
    <row r="3263">
      <c r="A3263" s="3">
        <f>IF(D3263="","","TT-"&amp;TEXT(ROW()-1,"00000"))</f>
        <v/>
      </c>
      <c r="B3263" s="3">
        <f>IF(D3263="","",IF(V3263=0,"CONCLUÍDO",IF(D3263&lt;corte,"HISTÓRICO",IF(OR(AND(ISNUMBER(R3263),R3263&lt;TODAY()),AND(OR(N3263="PENDENTE",N3263="PARCIAL"),D3263&lt;TODAY()-1)),"CRÍTICO",IF(OR(AND(P3263&lt;&gt;"",S3263=""),AND(N3263="REALIZADO",M3263="PENDENTE"),AND(ISNUMBER(R3263),R3263=TODAY())),"ATENÇÃO",IF(N(K3263)=0,"PENDENTE","EM ANDAMENTO"))))))</f>
        <v/>
      </c>
      <c r="C3263" s="3">
        <f>IF(D3263="","",IF(V3263=0,"🟢 OK",IF(D3263&lt;corte,"⚪ HISTÓRICO (sem baixa)",IF(AND(ISNUMBER(R3263),R3263&lt;TODAY()),"🔴 PRAZO VENCIDO",IF(AND(OR(N3263="PENDENTE",N3263="PARCIAL"),D3263&lt;TODAY()-1),"🔴 EMBARQUE ATRASADO",IF(AND(N3263="REALIZADO",M3263="PENDENTE"),"🟡 EMBARCADO SEM FATURAR",IF(AND(P3263&lt;&gt;"",S3263="",OR(Q3263="",R3263="")),"🟡 PENDÊNCIA SEM RESPONSÁVEL/PRAZO",IF(AND(ISNUMBER(R3263),R3263=TODAY()),"🟡 VENCE HOJE",IF(AND(P3263&lt;&gt;"",S3263=""),"🟡 PENDÊNCIA ABERTA",IF(AND(N(J3263)&gt;0,N(K3263)&lt;J3263),"🟡 FALTA EXECUTAR",IF(OR(M3263="PENDENTE",M3263="PARCIAL"),"🟡 FATURAMENTO PENDENTE","🟡 EMBARQUE PENDENTE")))))))))))</f>
        <v/>
      </c>
      <c r="D3263" s="4" t="n"/>
      <c r="E3263" s="5" t="n"/>
      <c r="F3263" s="5" t="n"/>
      <c r="G3263" s="5" t="n"/>
      <c r="H3263" s="5" t="n"/>
      <c r="I3263" s="5" t="n"/>
      <c r="J3263" s="6" t="n"/>
      <c r="K3263" s="6" t="n"/>
      <c r="L3263" s="7">
        <f>IF(OR(D3263="",N(J3263)=0),"",MIN(1,N(K3263)/J3263))</f>
        <v/>
      </c>
      <c r="M3263" s="5" t="n"/>
      <c r="N3263" s="5" t="n"/>
      <c r="O3263" s="5" t="n"/>
      <c r="P3263" s="5" t="n"/>
      <c r="Q3263" s="5" t="n"/>
      <c r="R3263" s="4" t="n"/>
      <c r="S3263" s="4" t="n"/>
      <c r="T3263" s="5" t="n"/>
      <c r="U3263" s="8">
        <f>IF(AND(V3263=1,D3263&lt;&gt;""),IF(D3263&gt;=corte,TODAY()-D3263,""),"")</f>
        <v/>
      </c>
      <c r="V3263" s="8">
        <f>IF(D3263="",0,IF(OR(AND(P3263&lt;&gt;"",S3263=""),AND(N(J3263)&gt;0,N(K3263)&lt;J3263),OR(M3263="PENDENTE",M3263="PARCIAL"),OR(N3263="PENDENTE",N3263="PARCIAL")),1,0))</f>
        <v/>
      </c>
      <c r="W3263" s="8">
        <f>IF(AND(V3263=1,D3263&lt;&gt;""),IF(D3263&gt;=corte,(B3263="CRÍTICO")*1E9+(100000-D3263)*10000+10000-ROW(),""),"")</f>
        <v/>
      </c>
      <c r="X3263" s="8">
        <f>IF(AND(V3263=1,D3263=pas_data,E3263=pas_turno),10000-ROW(),"")</f>
        <v/>
      </c>
    </row>
    <row r="3264">
      <c r="A3264" s="3">
        <f>IF(D3264="","","TT-"&amp;TEXT(ROW()-1,"00000"))</f>
        <v/>
      </c>
      <c r="B3264" s="3">
        <f>IF(D3264="","",IF(V3264=0,"CONCLUÍDO",IF(D3264&lt;corte,"HISTÓRICO",IF(OR(AND(ISNUMBER(R3264),R3264&lt;TODAY()),AND(OR(N3264="PENDENTE",N3264="PARCIAL"),D3264&lt;TODAY()-1)),"CRÍTICO",IF(OR(AND(P3264&lt;&gt;"",S3264=""),AND(N3264="REALIZADO",M3264="PENDENTE"),AND(ISNUMBER(R3264),R3264=TODAY())),"ATENÇÃO",IF(N(K3264)=0,"PENDENTE","EM ANDAMENTO"))))))</f>
        <v/>
      </c>
      <c r="C3264" s="3">
        <f>IF(D3264="","",IF(V3264=0,"🟢 OK",IF(D3264&lt;corte,"⚪ HISTÓRICO (sem baixa)",IF(AND(ISNUMBER(R3264),R3264&lt;TODAY()),"🔴 PRAZO VENCIDO",IF(AND(OR(N3264="PENDENTE",N3264="PARCIAL"),D3264&lt;TODAY()-1),"🔴 EMBARQUE ATRASADO",IF(AND(N3264="REALIZADO",M3264="PENDENTE"),"🟡 EMBARCADO SEM FATURAR",IF(AND(P3264&lt;&gt;"",S3264="",OR(Q3264="",R3264="")),"🟡 PENDÊNCIA SEM RESPONSÁVEL/PRAZO",IF(AND(ISNUMBER(R3264),R3264=TODAY()),"🟡 VENCE HOJE",IF(AND(P3264&lt;&gt;"",S3264=""),"🟡 PENDÊNCIA ABERTA",IF(AND(N(J3264)&gt;0,N(K3264)&lt;J3264),"🟡 FALTA EXECUTAR",IF(OR(M3264="PENDENTE",M3264="PARCIAL"),"🟡 FATURAMENTO PENDENTE","🟡 EMBARQUE PENDENTE")))))))))))</f>
        <v/>
      </c>
      <c r="D3264" s="4" t="n"/>
      <c r="E3264" s="5" t="n"/>
      <c r="F3264" s="5" t="n"/>
      <c r="G3264" s="5" t="n"/>
      <c r="H3264" s="5" t="n"/>
      <c r="I3264" s="5" t="n"/>
      <c r="J3264" s="6" t="n"/>
      <c r="K3264" s="6" t="n"/>
      <c r="L3264" s="7">
        <f>IF(OR(D3264="",N(J3264)=0),"",MIN(1,N(K3264)/J3264))</f>
        <v/>
      </c>
      <c r="M3264" s="5" t="n"/>
      <c r="N3264" s="5" t="n"/>
      <c r="O3264" s="5" t="n"/>
      <c r="P3264" s="5" t="n"/>
      <c r="Q3264" s="5" t="n"/>
      <c r="R3264" s="4" t="n"/>
      <c r="S3264" s="4" t="n"/>
      <c r="T3264" s="5" t="n"/>
      <c r="U3264" s="8">
        <f>IF(AND(V3264=1,D3264&lt;&gt;""),IF(D3264&gt;=corte,TODAY()-D3264,""),"")</f>
        <v/>
      </c>
      <c r="V3264" s="8">
        <f>IF(D3264="",0,IF(OR(AND(P3264&lt;&gt;"",S3264=""),AND(N(J3264)&gt;0,N(K3264)&lt;J3264),OR(M3264="PENDENTE",M3264="PARCIAL"),OR(N3264="PENDENTE",N3264="PARCIAL")),1,0))</f>
        <v/>
      </c>
      <c r="W3264" s="8">
        <f>IF(AND(V3264=1,D3264&lt;&gt;""),IF(D3264&gt;=corte,(B3264="CRÍTICO")*1E9+(100000-D3264)*10000+10000-ROW(),""),"")</f>
        <v/>
      </c>
      <c r="X3264" s="8">
        <f>IF(AND(V3264=1,D3264=pas_data,E3264=pas_turno),10000-ROW(),"")</f>
        <v/>
      </c>
    </row>
    <row r="3265">
      <c r="A3265" s="3">
        <f>IF(D3265="","","TT-"&amp;TEXT(ROW()-1,"00000"))</f>
        <v/>
      </c>
      <c r="B3265" s="3">
        <f>IF(D3265="","",IF(V3265=0,"CONCLUÍDO",IF(D3265&lt;corte,"HISTÓRICO",IF(OR(AND(ISNUMBER(R3265),R3265&lt;TODAY()),AND(OR(N3265="PENDENTE",N3265="PARCIAL"),D3265&lt;TODAY()-1)),"CRÍTICO",IF(OR(AND(P3265&lt;&gt;"",S3265=""),AND(N3265="REALIZADO",M3265="PENDENTE"),AND(ISNUMBER(R3265),R3265=TODAY())),"ATENÇÃO",IF(N(K3265)=0,"PENDENTE","EM ANDAMENTO"))))))</f>
        <v/>
      </c>
      <c r="C3265" s="3">
        <f>IF(D3265="","",IF(V3265=0,"🟢 OK",IF(D3265&lt;corte,"⚪ HISTÓRICO (sem baixa)",IF(AND(ISNUMBER(R3265),R3265&lt;TODAY()),"🔴 PRAZO VENCIDO",IF(AND(OR(N3265="PENDENTE",N3265="PARCIAL"),D3265&lt;TODAY()-1),"🔴 EMBARQUE ATRASADO",IF(AND(N3265="REALIZADO",M3265="PENDENTE"),"🟡 EMBARCADO SEM FATURAR",IF(AND(P3265&lt;&gt;"",S3265="",OR(Q3265="",R3265="")),"🟡 PENDÊNCIA SEM RESPONSÁVEL/PRAZO",IF(AND(ISNUMBER(R3265),R3265=TODAY()),"🟡 VENCE HOJE",IF(AND(P3265&lt;&gt;"",S3265=""),"🟡 PENDÊNCIA ABERTA",IF(AND(N(J3265)&gt;0,N(K3265)&lt;J3265),"🟡 FALTA EXECUTAR",IF(OR(M3265="PENDENTE",M3265="PARCIAL"),"🟡 FATURAMENTO PENDENTE","🟡 EMBARQUE PENDENTE")))))))))))</f>
        <v/>
      </c>
      <c r="D3265" s="4" t="n"/>
      <c r="E3265" s="5" t="n"/>
      <c r="F3265" s="5" t="n"/>
      <c r="G3265" s="5" t="n"/>
      <c r="H3265" s="5" t="n"/>
      <c r="I3265" s="5" t="n"/>
      <c r="J3265" s="6" t="n"/>
      <c r="K3265" s="6" t="n"/>
      <c r="L3265" s="7">
        <f>IF(OR(D3265="",N(J3265)=0),"",MIN(1,N(K3265)/J3265))</f>
        <v/>
      </c>
      <c r="M3265" s="5" t="n"/>
      <c r="N3265" s="5" t="n"/>
      <c r="O3265" s="5" t="n"/>
      <c r="P3265" s="5" t="n"/>
      <c r="Q3265" s="5" t="n"/>
      <c r="R3265" s="4" t="n"/>
      <c r="S3265" s="4" t="n"/>
      <c r="T3265" s="5" t="n"/>
      <c r="U3265" s="8">
        <f>IF(AND(V3265=1,D3265&lt;&gt;""),IF(D3265&gt;=corte,TODAY()-D3265,""),"")</f>
        <v/>
      </c>
      <c r="V3265" s="8">
        <f>IF(D3265="",0,IF(OR(AND(P3265&lt;&gt;"",S3265=""),AND(N(J3265)&gt;0,N(K3265)&lt;J3265),OR(M3265="PENDENTE",M3265="PARCIAL"),OR(N3265="PENDENTE",N3265="PARCIAL")),1,0))</f>
        <v/>
      </c>
      <c r="W3265" s="8">
        <f>IF(AND(V3265=1,D3265&lt;&gt;""),IF(D3265&gt;=corte,(B3265="CRÍTICO")*1E9+(100000-D3265)*10000+10000-ROW(),""),"")</f>
        <v/>
      </c>
      <c r="X3265" s="8">
        <f>IF(AND(V3265=1,D3265=pas_data,E3265=pas_turno),10000-ROW(),"")</f>
        <v/>
      </c>
    </row>
    <row r="3266">
      <c r="A3266" s="3">
        <f>IF(D3266="","","TT-"&amp;TEXT(ROW()-1,"00000"))</f>
        <v/>
      </c>
      <c r="B3266" s="3">
        <f>IF(D3266="","",IF(V3266=0,"CONCLUÍDO",IF(D3266&lt;corte,"HISTÓRICO",IF(OR(AND(ISNUMBER(R3266),R3266&lt;TODAY()),AND(OR(N3266="PENDENTE",N3266="PARCIAL"),D3266&lt;TODAY()-1)),"CRÍTICO",IF(OR(AND(P3266&lt;&gt;"",S3266=""),AND(N3266="REALIZADO",M3266="PENDENTE"),AND(ISNUMBER(R3266),R3266=TODAY())),"ATENÇÃO",IF(N(K3266)=0,"PENDENTE","EM ANDAMENTO"))))))</f>
        <v/>
      </c>
      <c r="C3266" s="3">
        <f>IF(D3266="","",IF(V3266=0,"🟢 OK",IF(D3266&lt;corte,"⚪ HISTÓRICO (sem baixa)",IF(AND(ISNUMBER(R3266),R3266&lt;TODAY()),"🔴 PRAZO VENCIDO",IF(AND(OR(N3266="PENDENTE",N3266="PARCIAL"),D3266&lt;TODAY()-1),"🔴 EMBARQUE ATRASADO",IF(AND(N3266="REALIZADO",M3266="PENDENTE"),"🟡 EMBARCADO SEM FATURAR",IF(AND(P3266&lt;&gt;"",S3266="",OR(Q3266="",R3266="")),"🟡 PENDÊNCIA SEM RESPONSÁVEL/PRAZO",IF(AND(ISNUMBER(R3266),R3266=TODAY()),"🟡 VENCE HOJE",IF(AND(P3266&lt;&gt;"",S3266=""),"🟡 PENDÊNCIA ABERTA",IF(AND(N(J3266)&gt;0,N(K3266)&lt;J3266),"🟡 FALTA EXECUTAR",IF(OR(M3266="PENDENTE",M3266="PARCIAL"),"🟡 FATURAMENTO PENDENTE","🟡 EMBARQUE PENDENTE")))))))))))</f>
        <v/>
      </c>
      <c r="D3266" s="4" t="n"/>
      <c r="E3266" s="5" t="n"/>
      <c r="F3266" s="5" t="n"/>
      <c r="G3266" s="5" t="n"/>
      <c r="H3266" s="5" t="n"/>
      <c r="I3266" s="5" t="n"/>
      <c r="J3266" s="6" t="n"/>
      <c r="K3266" s="6" t="n"/>
      <c r="L3266" s="7">
        <f>IF(OR(D3266="",N(J3266)=0),"",MIN(1,N(K3266)/J3266))</f>
        <v/>
      </c>
      <c r="M3266" s="5" t="n"/>
      <c r="N3266" s="5" t="n"/>
      <c r="O3266" s="5" t="n"/>
      <c r="P3266" s="5" t="n"/>
      <c r="Q3266" s="5" t="n"/>
      <c r="R3266" s="4" t="n"/>
      <c r="S3266" s="4" t="n"/>
      <c r="T3266" s="5" t="n"/>
      <c r="U3266" s="8">
        <f>IF(AND(V3266=1,D3266&lt;&gt;""),IF(D3266&gt;=corte,TODAY()-D3266,""),"")</f>
        <v/>
      </c>
      <c r="V3266" s="8">
        <f>IF(D3266="",0,IF(OR(AND(P3266&lt;&gt;"",S3266=""),AND(N(J3266)&gt;0,N(K3266)&lt;J3266),OR(M3266="PENDENTE",M3266="PARCIAL"),OR(N3266="PENDENTE",N3266="PARCIAL")),1,0))</f>
        <v/>
      </c>
      <c r="W3266" s="8">
        <f>IF(AND(V3266=1,D3266&lt;&gt;""),IF(D3266&gt;=corte,(B3266="CRÍTICO")*1E9+(100000-D3266)*10000+10000-ROW(),""),"")</f>
        <v/>
      </c>
      <c r="X3266" s="8">
        <f>IF(AND(V3266=1,D3266=pas_data,E3266=pas_turno),10000-ROW(),"")</f>
        <v/>
      </c>
    </row>
    <row r="3267">
      <c r="A3267" s="3">
        <f>IF(D3267="","","TT-"&amp;TEXT(ROW()-1,"00000"))</f>
        <v/>
      </c>
      <c r="B3267" s="3">
        <f>IF(D3267="","",IF(V3267=0,"CONCLUÍDO",IF(D3267&lt;corte,"HISTÓRICO",IF(OR(AND(ISNUMBER(R3267),R3267&lt;TODAY()),AND(OR(N3267="PENDENTE",N3267="PARCIAL"),D3267&lt;TODAY()-1)),"CRÍTICO",IF(OR(AND(P3267&lt;&gt;"",S3267=""),AND(N3267="REALIZADO",M3267="PENDENTE"),AND(ISNUMBER(R3267),R3267=TODAY())),"ATENÇÃO",IF(N(K3267)=0,"PENDENTE","EM ANDAMENTO"))))))</f>
        <v/>
      </c>
      <c r="C3267" s="3">
        <f>IF(D3267="","",IF(V3267=0,"🟢 OK",IF(D3267&lt;corte,"⚪ HISTÓRICO (sem baixa)",IF(AND(ISNUMBER(R3267),R3267&lt;TODAY()),"🔴 PRAZO VENCIDO",IF(AND(OR(N3267="PENDENTE",N3267="PARCIAL"),D3267&lt;TODAY()-1),"🔴 EMBARQUE ATRASADO",IF(AND(N3267="REALIZADO",M3267="PENDENTE"),"🟡 EMBARCADO SEM FATURAR",IF(AND(P3267&lt;&gt;"",S3267="",OR(Q3267="",R3267="")),"🟡 PENDÊNCIA SEM RESPONSÁVEL/PRAZO",IF(AND(ISNUMBER(R3267),R3267=TODAY()),"🟡 VENCE HOJE",IF(AND(P3267&lt;&gt;"",S3267=""),"🟡 PENDÊNCIA ABERTA",IF(AND(N(J3267)&gt;0,N(K3267)&lt;J3267),"🟡 FALTA EXECUTAR",IF(OR(M3267="PENDENTE",M3267="PARCIAL"),"🟡 FATURAMENTO PENDENTE","🟡 EMBARQUE PENDENTE")))))))))))</f>
        <v/>
      </c>
      <c r="D3267" s="4" t="n"/>
      <c r="E3267" s="5" t="n"/>
      <c r="F3267" s="5" t="n"/>
      <c r="G3267" s="5" t="n"/>
      <c r="H3267" s="5" t="n"/>
      <c r="I3267" s="5" t="n"/>
      <c r="J3267" s="6" t="n"/>
      <c r="K3267" s="6" t="n"/>
      <c r="L3267" s="7">
        <f>IF(OR(D3267="",N(J3267)=0),"",MIN(1,N(K3267)/J3267))</f>
        <v/>
      </c>
      <c r="M3267" s="5" t="n"/>
      <c r="N3267" s="5" t="n"/>
      <c r="O3267" s="5" t="n"/>
      <c r="P3267" s="5" t="n"/>
      <c r="Q3267" s="5" t="n"/>
      <c r="R3267" s="4" t="n"/>
      <c r="S3267" s="4" t="n"/>
      <c r="T3267" s="5" t="n"/>
      <c r="U3267" s="8">
        <f>IF(AND(V3267=1,D3267&lt;&gt;""),IF(D3267&gt;=corte,TODAY()-D3267,""),"")</f>
        <v/>
      </c>
      <c r="V3267" s="8">
        <f>IF(D3267="",0,IF(OR(AND(P3267&lt;&gt;"",S3267=""),AND(N(J3267)&gt;0,N(K3267)&lt;J3267),OR(M3267="PENDENTE",M3267="PARCIAL"),OR(N3267="PENDENTE",N3267="PARCIAL")),1,0))</f>
        <v/>
      </c>
      <c r="W3267" s="8">
        <f>IF(AND(V3267=1,D3267&lt;&gt;""),IF(D3267&gt;=corte,(B3267="CRÍTICO")*1E9+(100000-D3267)*10000+10000-ROW(),""),"")</f>
        <v/>
      </c>
      <c r="X3267" s="8">
        <f>IF(AND(V3267=1,D3267=pas_data,E3267=pas_turno),10000-ROW(),"")</f>
        <v/>
      </c>
    </row>
    <row r="3268">
      <c r="A3268" s="3">
        <f>IF(D3268="","","TT-"&amp;TEXT(ROW()-1,"00000"))</f>
        <v/>
      </c>
      <c r="B3268" s="3">
        <f>IF(D3268="","",IF(V3268=0,"CONCLUÍDO",IF(D3268&lt;corte,"HISTÓRICO",IF(OR(AND(ISNUMBER(R3268),R3268&lt;TODAY()),AND(OR(N3268="PENDENTE",N3268="PARCIAL"),D3268&lt;TODAY()-1)),"CRÍTICO",IF(OR(AND(P3268&lt;&gt;"",S3268=""),AND(N3268="REALIZADO",M3268="PENDENTE"),AND(ISNUMBER(R3268),R3268=TODAY())),"ATENÇÃO",IF(N(K3268)=0,"PENDENTE","EM ANDAMENTO"))))))</f>
        <v/>
      </c>
      <c r="C3268" s="3">
        <f>IF(D3268="","",IF(V3268=0,"🟢 OK",IF(D3268&lt;corte,"⚪ HISTÓRICO (sem baixa)",IF(AND(ISNUMBER(R3268),R3268&lt;TODAY()),"🔴 PRAZO VENCIDO",IF(AND(OR(N3268="PENDENTE",N3268="PARCIAL"),D3268&lt;TODAY()-1),"🔴 EMBARQUE ATRASADO",IF(AND(N3268="REALIZADO",M3268="PENDENTE"),"🟡 EMBARCADO SEM FATURAR",IF(AND(P3268&lt;&gt;"",S3268="",OR(Q3268="",R3268="")),"🟡 PENDÊNCIA SEM RESPONSÁVEL/PRAZO",IF(AND(ISNUMBER(R3268),R3268=TODAY()),"🟡 VENCE HOJE",IF(AND(P3268&lt;&gt;"",S3268=""),"🟡 PENDÊNCIA ABERTA",IF(AND(N(J3268)&gt;0,N(K3268)&lt;J3268),"🟡 FALTA EXECUTAR",IF(OR(M3268="PENDENTE",M3268="PARCIAL"),"🟡 FATURAMENTO PENDENTE","🟡 EMBARQUE PENDENTE")))))))))))</f>
        <v/>
      </c>
      <c r="D3268" s="4" t="n"/>
      <c r="E3268" s="5" t="n"/>
      <c r="F3268" s="5" t="n"/>
      <c r="G3268" s="5" t="n"/>
      <c r="H3268" s="5" t="n"/>
      <c r="I3268" s="5" t="n"/>
      <c r="J3268" s="6" t="n"/>
      <c r="K3268" s="6" t="n"/>
      <c r="L3268" s="7">
        <f>IF(OR(D3268="",N(J3268)=0),"",MIN(1,N(K3268)/J3268))</f>
        <v/>
      </c>
      <c r="M3268" s="5" t="n"/>
      <c r="N3268" s="5" t="n"/>
      <c r="O3268" s="5" t="n"/>
      <c r="P3268" s="5" t="n"/>
      <c r="Q3268" s="5" t="n"/>
      <c r="R3268" s="4" t="n"/>
      <c r="S3268" s="4" t="n"/>
      <c r="T3268" s="5" t="n"/>
      <c r="U3268" s="8">
        <f>IF(AND(V3268=1,D3268&lt;&gt;""),IF(D3268&gt;=corte,TODAY()-D3268,""),"")</f>
        <v/>
      </c>
      <c r="V3268" s="8">
        <f>IF(D3268="",0,IF(OR(AND(P3268&lt;&gt;"",S3268=""),AND(N(J3268)&gt;0,N(K3268)&lt;J3268),OR(M3268="PENDENTE",M3268="PARCIAL"),OR(N3268="PENDENTE",N3268="PARCIAL")),1,0))</f>
        <v/>
      </c>
      <c r="W3268" s="8">
        <f>IF(AND(V3268=1,D3268&lt;&gt;""),IF(D3268&gt;=corte,(B3268="CRÍTICO")*1E9+(100000-D3268)*10000+10000-ROW(),""),"")</f>
        <v/>
      </c>
      <c r="X3268" s="8">
        <f>IF(AND(V3268=1,D3268=pas_data,E3268=pas_turno),10000-ROW(),"")</f>
        <v/>
      </c>
    </row>
    <row r="3269">
      <c r="A3269" s="3">
        <f>IF(D3269="","","TT-"&amp;TEXT(ROW()-1,"00000"))</f>
        <v/>
      </c>
      <c r="B3269" s="3">
        <f>IF(D3269="","",IF(V3269=0,"CONCLUÍDO",IF(D3269&lt;corte,"HISTÓRICO",IF(OR(AND(ISNUMBER(R3269),R3269&lt;TODAY()),AND(OR(N3269="PENDENTE",N3269="PARCIAL"),D3269&lt;TODAY()-1)),"CRÍTICO",IF(OR(AND(P3269&lt;&gt;"",S3269=""),AND(N3269="REALIZADO",M3269="PENDENTE"),AND(ISNUMBER(R3269),R3269=TODAY())),"ATENÇÃO",IF(N(K3269)=0,"PENDENTE","EM ANDAMENTO"))))))</f>
        <v/>
      </c>
      <c r="C3269" s="3">
        <f>IF(D3269="","",IF(V3269=0,"🟢 OK",IF(D3269&lt;corte,"⚪ HISTÓRICO (sem baixa)",IF(AND(ISNUMBER(R3269),R3269&lt;TODAY()),"🔴 PRAZO VENCIDO",IF(AND(OR(N3269="PENDENTE",N3269="PARCIAL"),D3269&lt;TODAY()-1),"🔴 EMBARQUE ATRASADO",IF(AND(N3269="REALIZADO",M3269="PENDENTE"),"🟡 EMBARCADO SEM FATURAR",IF(AND(P3269&lt;&gt;"",S3269="",OR(Q3269="",R3269="")),"🟡 PENDÊNCIA SEM RESPONSÁVEL/PRAZO",IF(AND(ISNUMBER(R3269),R3269=TODAY()),"🟡 VENCE HOJE",IF(AND(P3269&lt;&gt;"",S3269=""),"🟡 PENDÊNCIA ABERTA",IF(AND(N(J3269)&gt;0,N(K3269)&lt;J3269),"🟡 FALTA EXECUTAR",IF(OR(M3269="PENDENTE",M3269="PARCIAL"),"🟡 FATURAMENTO PENDENTE","🟡 EMBARQUE PENDENTE")))))))))))</f>
        <v/>
      </c>
      <c r="D3269" s="4" t="n"/>
      <c r="E3269" s="5" t="n"/>
      <c r="F3269" s="5" t="n"/>
      <c r="G3269" s="5" t="n"/>
      <c r="H3269" s="5" t="n"/>
      <c r="I3269" s="5" t="n"/>
      <c r="J3269" s="6" t="n"/>
      <c r="K3269" s="6" t="n"/>
      <c r="L3269" s="7">
        <f>IF(OR(D3269="",N(J3269)=0),"",MIN(1,N(K3269)/J3269))</f>
        <v/>
      </c>
      <c r="M3269" s="5" t="n"/>
      <c r="N3269" s="5" t="n"/>
      <c r="O3269" s="5" t="n"/>
      <c r="P3269" s="5" t="n"/>
      <c r="Q3269" s="5" t="n"/>
      <c r="R3269" s="4" t="n"/>
      <c r="S3269" s="4" t="n"/>
      <c r="T3269" s="5" t="n"/>
      <c r="U3269" s="8">
        <f>IF(AND(V3269=1,D3269&lt;&gt;""),IF(D3269&gt;=corte,TODAY()-D3269,""),"")</f>
        <v/>
      </c>
      <c r="V3269" s="8">
        <f>IF(D3269="",0,IF(OR(AND(P3269&lt;&gt;"",S3269=""),AND(N(J3269)&gt;0,N(K3269)&lt;J3269),OR(M3269="PENDENTE",M3269="PARCIAL"),OR(N3269="PENDENTE",N3269="PARCIAL")),1,0))</f>
        <v/>
      </c>
      <c r="W3269" s="8">
        <f>IF(AND(V3269=1,D3269&lt;&gt;""),IF(D3269&gt;=corte,(B3269="CRÍTICO")*1E9+(100000-D3269)*10000+10000-ROW(),""),"")</f>
        <v/>
      </c>
      <c r="X3269" s="8">
        <f>IF(AND(V3269=1,D3269=pas_data,E3269=pas_turno),10000-ROW(),"")</f>
        <v/>
      </c>
    </row>
    <row r="3270">
      <c r="A3270" s="3">
        <f>IF(D3270="","","TT-"&amp;TEXT(ROW()-1,"00000"))</f>
        <v/>
      </c>
      <c r="B3270" s="3">
        <f>IF(D3270="","",IF(V3270=0,"CONCLUÍDO",IF(D3270&lt;corte,"HISTÓRICO",IF(OR(AND(ISNUMBER(R3270),R3270&lt;TODAY()),AND(OR(N3270="PENDENTE",N3270="PARCIAL"),D3270&lt;TODAY()-1)),"CRÍTICO",IF(OR(AND(P3270&lt;&gt;"",S3270=""),AND(N3270="REALIZADO",M3270="PENDENTE"),AND(ISNUMBER(R3270),R3270=TODAY())),"ATENÇÃO",IF(N(K3270)=0,"PENDENTE","EM ANDAMENTO"))))))</f>
        <v/>
      </c>
      <c r="C3270" s="3">
        <f>IF(D3270="","",IF(V3270=0,"🟢 OK",IF(D3270&lt;corte,"⚪ HISTÓRICO (sem baixa)",IF(AND(ISNUMBER(R3270),R3270&lt;TODAY()),"🔴 PRAZO VENCIDO",IF(AND(OR(N3270="PENDENTE",N3270="PARCIAL"),D3270&lt;TODAY()-1),"🔴 EMBARQUE ATRASADO",IF(AND(N3270="REALIZADO",M3270="PENDENTE"),"🟡 EMBARCADO SEM FATURAR",IF(AND(P3270&lt;&gt;"",S3270="",OR(Q3270="",R3270="")),"🟡 PENDÊNCIA SEM RESPONSÁVEL/PRAZO",IF(AND(ISNUMBER(R3270),R3270=TODAY()),"🟡 VENCE HOJE",IF(AND(P3270&lt;&gt;"",S3270=""),"🟡 PENDÊNCIA ABERTA",IF(AND(N(J3270)&gt;0,N(K3270)&lt;J3270),"🟡 FALTA EXECUTAR",IF(OR(M3270="PENDENTE",M3270="PARCIAL"),"🟡 FATURAMENTO PENDENTE","🟡 EMBARQUE PENDENTE")))))))))))</f>
        <v/>
      </c>
      <c r="D3270" s="4" t="n"/>
      <c r="E3270" s="5" t="n"/>
      <c r="F3270" s="5" t="n"/>
      <c r="G3270" s="5" t="n"/>
      <c r="H3270" s="5" t="n"/>
      <c r="I3270" s="5" t="n"/>
      <c r="J3270" s="6" t="n"/>
      <c r="K3270" s="6" t="n"/>
      <c r="L3270" s="7">
        <f>IF(OR(D3270="",N(J3270)=0),"",MIN(1,N(K3270)/J3270))</f>
        <v/>
      </c>
      <c r="M3270" s="5" t="n"/>
      <c r="N3270" s="5" t="n"/>
      <c r="O3270" s="5" t="n"/>
      <c r="P3270" s="5" t="n"/>
      <c r="Q3270" s="5" t="n"/>
      <c r="R3270" s="4" t="n"/>
      <c r="S3270" s="4" t="n"/>
      <c r="T3270" s="5" t="n"/>
      <c r="U3270" s="8">
        <f>IF(AND(V3270=1,D3270&lt;&gt;""),IF(D3270&gt;=corte,TODAY()-D3270,""),"")</f>
        <v/>
      </c>
      <c r="V3270" s="8">
        <f>IF(D3270="",0,IF(OR(AND(P3270&lt;&gt;"",S3270=""),AND(N(J3270)&gt;0,N(K3270)&lt;J3270),OR(M3270="PENDENTE",M3270="PARCIAL"),OR(N3270="PENDENTE",N3270="PARCIAL")),1,0))</f>
        <v/>
      </c>
      <c r="W3270" s="8">
        <f>IF(AND(V3270=1,D3270&lt;&gt;""),IF(D3270&gt;=corte,(B3270="CRÍTICO")*1E9+(100000-D3270)*10000+10000-ROW(),""),"")</f>
        <v/>
      </c>
      <c r="X3270" s="8">
        <f>IF(AND(V3270=1,D3270=pas_data,E3270=pas_turno),10000-ROW(),"")</f>
        <v/>
      </c>
    </row>
    <row r="3271">
      <c r="A3271" s="3">
        <f>IF(D3271="","","TT-"&amp;TEXT(ROW()-1,"00000"))</f>
        <v/>
      </c>
      <c r="B3271" s="3">
        <f>IF(D3271="","",IF(V3271=0,"CONCLUÍDO",IF(D3271&lt;corte,"HISTÓRICO",IF(OR(AND(ISNUMBER(R3271),R3271&lt;TODAY()),AND(OR(N3271="PENDENTE",N3271="PARCIAL"),D3271&lt;TODAY()-1)),"CRÍTICO",IF(OR(AND(P3271&lt;&gt;"",S3271=""),AND(N3271="REALIZADO",M3271="PENDENTE"),AND(ISNUMBER(R3271),R3271=TODAY())),"ATENÇÃO",IF(N(K3271)=0,"PENDENTE","EM ANDAMENTO"))))))</f>
        <v/>
      </c>
      <c r="C3271" s="3">
        <f>IF(D3271="","",IF(V3271=0,"🟢 OK",IF(D3271&lt;corte,"⚪ HISTÓRICO (sem baixa)",IF(AND(ISNUMBER(R3271),R3271&lt;TODAY()),"🔴 PRAZO VENCIDO",IF(AND(OR(N3271="PENDENTE",N3271="PARCIAL"),D3271&lt;TODAY()-1),"🔴 EMBARQUE ATRASADO",IF(AND(N3271="REALIZADO",M3271="PENDENTE"),"🟡 EMBARCADO SEM FATURAR",IF(AND(P3271&lt;&gt;"",S3271="",OR(Q3271="",R3271="")),"🟡 PENDÊNCIA SEM RESPONSÁVEL/PRAZO",IF(AND(ISNUMBER(R3271),R3271=TODAY()),"🟡 VENCE HOJE",IF(AND(P3271&lt;&gt;"",S3271=""),"🟡 PENDÊNCIA ABERTA",IF(AND(N(J3271)&gt;0,N(K3271)&lt;J3271),"🟡 FALTA EXECUTAR",IF(OR(M3271="PENDENTE",M3271="PARCIAL"),"🟡 FATURAMENTO PENDENTE","🟡 EMBARQUE PENDENTE")))))))))))</f>
        <v/>
      </c>
      <c r="D3271" s="4" t="n"/>
      <c r="E3271" s="5" t="n"/>
      <c r="F3271" s="5" t="n"/>
      <c r="G3271" s="5" t="n"/>
      <c r="H3271" s="5" t="n"/>
      <c r="I3271" s="5" t="n"/>
      <c r="J3271" s="6" t="n"/>
      <c r="K3271" s="6" t="n"/>
      <c r="L3271" s="7">
        <f>IF(OR(D3271="",N(J3271)=0),"",MIN(1,N(K3271)/J3271))</f>
        <v/>
      </c>
      <c r="M3271" s="5" t="n"/>
      <c r="N3271" s="5" t="n"/>
      <c r="O3271" s="5" t="n"/>
      <c r="P3271" s="5" t="n"/>
      <c r="Q3271" s="5" t="n"/>
      <c r="R3271" s="4" t="n"/>
      <c r="S3271" s="4" t="n"/>
      <c r="T3271" s="5" t="n"/>
      <c r="U3271" s="8">
        <f>IF(AND(V3271=1,D3271&lt;&gt;""),IF(D3271&gt;=corte,TODAY()-D3271,""),"")</f>
        <v/>
      </c>
      <c r="V3271" s="8">
        <f>IF(D3271="",0,IF(OR(AND(P3271&lt;&gt;"",S3271=""),AND(N(J3271)&gt;0,N(K3271)&lt;J3271),OR(M3271="PENDENTE",M3271="PARCIAL"),OR(N3271="PENDENTE",N3271="PARCIAL")),1,0))</f>
        <v/>
      </c>
      <c r="W3271" s="8">
        <f>IF(AND(V3271=1,D3271&lt;&gt;""),IF(D3271&gt;=corte,(B3271="CRÍTICO")*1E9+(100000-D3271)*10000+10000-ROW(),""),"")</f>
        <v/>
      </c>
      <c r="X3271" s="8">
        <f>IF(AND(V3271=1,D3271=pas_data,E3271=pas_turno),10000-ROW(),"")</f>
        <v/>
      </c>
    </row>
    <row r="3272">
      <c r="A3272" s="3">
        <f>IF(D3272="","","TT-"&amp;TEXT(ROW()-1,"00000"))</f>
        <v/>
      </c>
      <c r="B3272" s="3">
        <f>IF(D3272="","",IF(V3272=0,"CONCLUÍDO",IF(D3272&lt;corte,"HISTÓRICO",IF(OR(AND(ISNUMBER(R3272),R3272&lt;TODAY()),AND(OR(N3272="PENDENTE",N3272="PARCIAL"),D3272&lt;TODAY()-1)),"CRÍTICO",IF(OR(AND(P3272&lt;&gt;"",S3272=""),AND(N3272="REALIZADO",M3272="PENDENTE"),AND(ISNUMBER(R3272),R3272=TODAY())),"ATENÇÃO",IF(N(K3272)=0,"PENDENTE","EM ANDAMENTO"))))))</f>
        <v/>
      </c>
      <c r="C3272" s="3">
        <f>IF(D3272="","",IF(V3272=0,"🟢 OK",IF(D3272&lt;corte,"⚪ HISTÓRICO (sem baixa)",IF(AND(ISNUMBER(R3272),R3272&lt;TODAY()),"🔴 PRAZO VENCIDO",IF(AND(OR(N3272="PENDENTE",N3272="PARCIAL"),D3272&lt;TODAY()-1),"🔴 EMBARQUE ATRASADO",IF(AND(N3272="REALIZADO",M3272="PENDENTE"),"🟡 EMBARCADO SEM FATURAR",IF(AND(P3272&lt;&gt;"",S3272="",OR(Q3272="",R3272="")),"🟡 PENDÊNCIA SEM RESPONSÁVEL/PRAZO",IF(AND(ISNUMBER(R3272),R3272=TODAY()),"🟡 VENCE HOJE",IF(AND(P3272&lt;&gt;"",S3272=""),"🟡 PENDÊNCIA ABERTA",IF(AND(N(J3272)&gt;0,N(K3272)&lt;J3272),"🟡 FALTA EXECUTAR",IF(OR(M3272="PENDENTE",M3272="PARCIAL"),"🟡 FATURAMENTO PENDENTE","🟡 EMBARQUE PENDENTE")))))))))))</f>
        <v/>
      </c>
      <c r="D3272" s="4" t="n"/>
      <c r="E3272" s="5" t="n"/>
      <c r="F3272" s="5" t="n"/>
      <c r="G3272" s="5" t="n"/>
      <c r="H3272" s="5" t="n"/>
      <c r="I3272" s="5" t="n"/>
      <c r="J3272" s="6" t="n"/>
      <c r="K3272" s="6" t="n"/>
      <c r="L3272" s="7">
        <f>IF(OR(D3272="",N(J3272)=0),"",MIN(1,N(K3272)/J3272))</f>
        <v/>
      </c>
      <c r="M3272" s="5" t="n"/>
      <c r="N3272" s="5" t="n"/>
      <c r="O3272" s="5" t="n"/>
      <c r="P3272" s="5" t="n"/>
      <c r="Q3272" s="5" t="n"/>
      <c r="R3272" s="4" t="n"/>
      <c r="S3272" s="4" t="n"/>
      <c r="T3272" s="5" t="n"/>
      <c r="U3272" s="8">
        <f>IF(AND(V3272=1,D3272&lt;&gt;""),IF(D3272&gt;=corte,TODAY()-D3272,""),"")</f>
        <v/>
      </c>
      <c r="V3272" s="8">
        <f>IF(D3272="",0,IF(OR(AND(P3272&lt;&gt;"",S3272=""),AND(N(J3272)&gt;0,N(K3272)&lt;J3272),OR(M3272="PENDENTE",M3272="PARCIAL"),OR(N3272="PENDENTE",N3272="PARCIAL")),1,0))</f>
        <v/>
      </c>
      <c r="W3272" s="8">
        <f>IF(AND(V3272=1,D3272&lt;&gt;""),IF(D3272&gt;=corte,(B3272="CRÍTICO")*1E9+(100000-D3272)*10000+10000-ROW(),""),"")</f>
        <v/>
      </c>
      <c r="X3272" s="8">
        <f>IF(AND(V3272=1,D3272=pas_data,E3272=pas_turno),10000-ROW(),"")</f>
        <v/>
      </c>
    </row>
    <row r="3273">
      <c r="A3273" s="3">
        <f>IF(D3273="","","TT-"&amp;TEXT(ROW()-1,"00000"))</f>
        <v/>
      </c>
      <c r="B3273" s="3">
        <f>IF(D3273="","",IF(V3273=0,"CONCLUÍDO",IF(D3273&lt;corte,"HISTÓRICO",IF(OR(AND(ISNUMBER(R3273),R3273&lt;TODAY()),AND(OR(N3273="PENDENTE",N3273="PARCIAL"),D3273&lt;TODAY()-1)),"CRÍTICO",IF(OR(AND(P3273&lt;&gt;"",S3273=""),AND(N3273="REALIZADO",M3273="PENDENTE"),AND(ISNUMBER(R3273),R3273=TODAY())),"ATENÇÃO",IF(N(K3273)=0,"PENDENTE","EM ANDAMENTO"))))))</f>
        <v/>
      </c>
      <c r="C3273" s="3">
        <f>IF(D3273="","",IF(V3273=0,"🟢 OK",IF(D3273&lt;corte,"⚪ HISTÓRICO (sem baixa)",IF(AND(ISNUMBER(R3273),R3273&lt;TODAY()),"🔴 PRAZO VENCIDO",IF(AND(OR(N3273="PENDENTE",N3273="PARCIAL"),D3273&lt;TODAY()-1),"🔴 EMBARQUE ATRASADO",IF(AND(N3273="REALIZADO",M3273="PENDENTE"),"🟡 EMBARCADO SEM FATURAR",IF(AND(P3273&lt;&gt;"",S3273="",OR(Q3273="",R3273="")),"🟡 PENDÊNCIA SEM RESPONSÁVEL/PRAZO",IF(AND(ISNUMBER(R3273),R3273=TODAY()),"🟡 VENCE HOJE",IF(AND(P3273&lt;&gt;"",S3273=""),"🟡 PENDÊNCIA ABERTA",IF(AND(N(J3273)&gt;0,N(K3273)&lt;J3273),"🟡 FALTA EXECUTAR",IF(OR(M3273="PENDENTE",M3273="PARCIAL"),"🟡 FATURAMENTO PENDENTE","🟡 EMBARQUE PENDENTE")))))))))))</f>
        <v/>
      </c>
      <c r="D3273" s="4" t="n"/>
      <c r="E3273" s="5" t="n"/>
      <c r="F3273" s="5" t="n"/>
      <c r="G3273" s="5" t="n"/>
      <c r="H3273" s="5" t="n"/>
      <c r="I3273" s="5" t="n"/>
      <c r="J3273" s="6" t="n"/>
      <c r="K3273" s="6" t="n"/>
      <c r="L3273" s="7">
        <f>IF(OR(D3273="",N(J3273)=0),"",MIN(1,N(K3273)/J3273))</f>
        <v/>
      </c>
      <c r="M3273" s="5" t="n"/>
      <c r="N3273" s="5" t="n"/>
      <c r="O3273" s="5" t="n"/>
      <c r="P3273" s="5" t="n"/>
      <c r="Q3273" s="5" t="n"/>
      <c r="R3273" s="4" t="n"/>
      <c r="S3273" s="4" t="n"/>
      <c r="T3273" s="5" t="n"/>
      <c r="U3273" s="8">
        <f>IF(AND(V3273=1,D3273&lt;&gt;""),IF(D3273&gt;=corte,TODAY()-D3273,""),"")</f>
        <v/>
      </c>
      <c r="V3273" s="8">
        <f>IF(D3273="",0,IF(OR(AND(P3273&lt;&gt;"",S3273=""),AND(N(J3273)&gt;0,N(K3273)&lt;J3273),OR(M3273="PENDENTE",M3273="PARCIAL"),OR(N3273="PENDENTE",N3273="PARCIAL")),1,0))</f>
        <v/>
      </c>
      <c r="W3273" s="8">
        <f>IF(AND(V3273=1,D3273&lt;&gt;""),IF(D3273&gt;=corte,(B3273="CRÍTICO")*1E9+(100000-D3273)*10000+10000-ROW(),""),"")</f>
        <v/>
      </c>
      <c r="X3273" s="8">
        <f>IF(AND(V3273=1,D3273=pas_data,E3273=pas_turno),10000-ROW(),"")</f>
        <v/>
      </c>
    </row>
    <row r="3274">
      <c r="A3274" s="3">
        <f>IF(D3274="","","TT-"&amp;TEXT(ROW()-1,"00000"))</f>
        <v/>
      </c>
      <c r="B3274" s="3">
        <f>IF(D3274="","",IF(V3274=0,"CONCLUÍDO",IF(D3274&lt;corte,"HISTÓRICO",IF(OR(AND(ISNUMBER(R3274),R3274&lt;TODAY()),AND(OR(N3274="PENDENTE",N3274="PARCIAL"),D3274&lt;TODAY()-1)),"CRÍTICO",IF(OR(AND(P3274&lt;&gt;"",S3274=""),AND(N3274="REALIZADO",M3274="PENDENTE"),AND(ISNUMBER(R3274),R3274=TODAY())),"ATENÇÃO",IF(N(K3274)=0,"PENDENTE","EM ANDAMENTO"))))))</f>
        <v/>
      </c>
      <c r="C3274" s="3">
        <f>IF(D3274="","",IF(V3274=0,"🟢 OK",IF(D3274&lt;corte,"⚪ HISTÓRICO (sem baixa)",IF(AND(ISNUMBER(R3274),R3274&lt;TODAY()),"🔴 PRAZO VENCIDO",IF(AND(OR(N3274="PENDENTE",N3274="PARCIAL"),D3274&lt;TODAY()-1),"🔴 EMBARQUE ATRASADO",IF(AND(N3274="REALIZADO",M3274="PENDENTE"),"🟡 EMBARCADO SEM FATURAR",IF(AND(P3274&lt;&gt;"",S3274="",OR(Q3274="",R3274="")),"🟡 PENDÊNCIA SEM RESPONSÁVEL/PRAZO",IF(AND(ISNUMBER(R3274),R3274=TODAY()),"🟡 VENCE HOJE",IF(AND(P3274&lt;&gt;"",S3274=""),"🟡 PENDÊNCIA ABERTA",IF(AND(N(J3274)&gt;0,N(K3274)&lt;J3274),"🟡 FALTA EXECUTAR",IF(OR(M3274="PENDENTE",M3274="PARCIAL"),"🟡 FATURAMENTO PENDENTE","🟡 EMBARQUE PENDENTE")))))))))))</f>
        <v/>
      </c>
      <c r="D3274" s="4" t="n"/>
      <c r="E3274" s="5" t="n"/>
      <c r="F3274" s="5" t="n"/>
      <c r="G3274" s="5" t="n"/>
      <c r="H3274" s="5" t="n"/>
      <c r="I3274" s="5" t="n"/>
      <c r="J3274" s="6" t="n"/>
      <c r="K3274" s="6" t="n"/>
      <c r="L3274" s="7">
        <f>IF(OR(D3274="",N(J3274)=0),"",MIN(1,N(K3274)/J3274))</f>
        <v/>
      </c>
      <c r="M3274" s="5" t="n"/>
      <c r="N3274" s="5" t="n"/>
      <c r="O3274" s="5" t="n"/>
      <c r="P3274" s="5" t="n"/>
      <c r="Q3274" s="5" t="n"/>
      <c r="R3274" s="4" t="n"/>
      <c r="S3274" s="4" t="n"/>
      <c r="T3274" s="5" t="n"/>
      <c r="U3274" s="8">
        <f>IF(AND(V3274=1,D3274&lt;&gt;""),IF(D3274&gt;=corte,TODAY()-D3274,""),"")</f>
        <v/>
      </c>
      <c r="V3274" s="8">
        <f>IF(D3274="",0,IF(OR(AND(P3274&lt;&gt;"",S3274=""),AND(N(J3274)&gt;0,N(K3274)&lt;J3274),OR(M3274="PENDENTE",M3274="PARCIAL"),OR(N3274="PENDENTE",N3274="PARCIAL")),1,0))</f>
        <v/>
      </c>
      <c r="W3274" s="8">
        <f>IF(AND(V3274=1,D3274&lt;&gt;""),IF(D3274&gt;=corte,(B3274="CRÍTICO")*1E9+(100000-D3274)*10000+10000-ROW(),""),"")</f>
        <v/>
      </c>
      <c r="X3274" s="8">
        <f>IF(AND(V3274=1,D3274=pas_data,E3274=pas_turno),10000-ROW(),"")</f>
        <v/>
      </c>
    </row>
    <row r="3275">
      <c r="A3275" s="3">
        <f>IF(D3275="","","TT-"&amp;TEXT(ROW()-1,"00000"))</f>
        <v/>
      </c>
      <c r="B3275" s="3">
        <f>IF(D3275="","",IF(V3275=0,"CONCLUÍDO",IF(D3275&lt;corte,"HISTÓRICO",IF(OR(AND(ISNUMBER(R3275),R3275&lt;TODAY()),AND(OR(N3275="PENDENTE",N3275="PARCIAL"),D3275&lt;TODAY()-1)),"CRÍTICO",IF(OR(AND(P3275&lt;&gt;"",S3275=""),AND(N3275="REALIZADO",M3275="PENDENTE"),AND(ISNUMBER(R3275),R3275=TODAY())),"ATENÇÃO",IF(N(K3275)=0,"PENDENTE","EM ANDAMENTO"))))))</f>
        <v/>
      </c>
      <c r="C3275" s="3">
        <f>IF(D3275="","",IF(V3275=0,"🟢 OK",IF(D3275&lt;corte,"⚪ HISTÓRICO (sem baixa)",IF(AND(ISNUMBER(R3275),R3275&lt;TODAY()),"🔴 PRAZO VENCIDO",IF(AND(OR(N3275="PENDENTE",N3275="PARCIAL"),D3275&lt;TODAY()-1),"🔴 EMBARQUE ATRASADO",IF(AND(N3275="REALIZADO",M3275="PENDENTE"),"🟡 EMBARCADO SEM FATURAR",IF(AND(P3275&lt;&gt;"",S3275="",OR(Q3275="",R3275="")),"🟡 PENDÊNCIA SEM RESPONSÁVEL/PRAZO",IF(AND(ISNUMBER(R3275),R3275=TODAY()),"🟡 VENCE HOJE",IF(AND(P3275&lt;&gt;"",S3275=""),"🟡 PENDÊNCIA ABERTA",IF(AND(N(J3275)&gt;0,N(K3275)&lt;J3275),"🟡 FALTA EXECUTAR",IF(OR(M3275="PENDENTE",M3275="PARCIAL"),"🟡 FATURAMENTO PENDENTE","🟡 EMBARQUE PENDENTE")))))))))))</f>
        <v/>
      </c>
      <c r="D3275" s="4" t="n"/>
      <c r="E3275" s="5" t="n"/>
      <c r="F3275" s="5" t="n"/>
      <c r="G3275" s="5" t="n"/>
      <c r="H3275" s="5" t="n"/>
      <c r="I3275" s="5" t="n"/>
      <c r="J3275" s="6" t="n"/>
      <c r="K3275" s="6" t="n"/>
      <c r="L3275" s="7">
        <f>IF(OR(D3275="",N(J3275)=0),"",MIN(1,N(K3275)/J3275))</f>
        <v/>
      </c>
      <c r="M3275" s="5" t="n"/>
      <c r="N3275" s="5" t="n"/>
      <c r="O3275" s="5" t="n"/>
      <c r="P3275" s="5" t="n"/>
      <c r="Q3275" s="5" t="n"/>
      <c r="R3275" s="4" t="n"/>
      <c r="S3275" s="4" t="n"/>
      <c r="T3275" s="5" t="n"/>
      <c r="U3275" s="8">
        <f>IF(AND(V3275=1,D3275&lt;&gt;""),IF(D3275&gt;=corte,TODAY()-D3275,""),"")</f>
        <v/>
      </c>
      <c r="V3275" s="8">
        <f>IF(D3275="",0,IF(OR(AND(P3275&lt;&gt;"",S3275=""),AND(N(J3275)&gt;0,N(K3275)&lt;J3275),OR(M3275="PENDENTE",M3275="PARCIAL"),OR(N3275="PENDENTE",N3275="PARCIAL")),1,0))</f>
        <v/>
      </c>
      <c r="W3275" s="8">
        <f>IF(AND(V3275=1,D3275&lt;&gt;""),IF(D3275&gt;=corte,(B3275="CRÍTICO")*1E9+(100000-D3275)*10000+10000-ROW(),""),"")</f>
        <v/>
      </c>
      <c r="X3275" s="8">
        <f>IF(AND(V3275=1,D3275=pas_data,E3275=pas_turno),10000-ROW(),"")</f>
        <v/>
      </c>
    </row>
    <row r="3276">
      <c r="A3276" s="3">
        <f>IF(D3276="","","TT-"&amp;TEXT(ROW()-1,"00000"))</f>
        <v/>
      </c>
      <c r="B3276" s="3">
        <f>IF(D3276="","",IF(V3276=0,"CONCLUÍDO",IF(D3276&lt;corte,"HISTÓRICO",IF(OR(AND(ISNUMBER(R3276),R3276&lt;TODAY()),AND(OR(N3276="PENDENTE",N3276="PARCIAL"),D3276&lt;TODAY()-1)),"CRÍTICO",IF(OR(AND(P3276&lt;&gt;"",S3276=""),AND(N3276="REALIZADO",M3276="PENDENTE"),AND(ISNUMBER(R3276),R3276=TODAY())),"ATENÇÃO",IF(N(K3276)=0,"PENDENTE","EM ANDAMENTO"))))))</f>
        <v/>
      </c>
      <c r="C3276" s="3">
        <f>IF(D3276="","",IF(V3276=0,"🟢 OK",IF(D3276&lt;corte,"⚪ HISTÓRICO (sem baixa)",IF(AND(ISNUMBER(R3276),R3276&lt;TODAY()),"🔴 PRAZO VENCIDO",IF(AND(OR(N3276="PENDENTE",N3276="PARCIAL"),D3276&lt;TODAY()-1),"🔴 EMBARQUE ATRASADO",IF(AND(N3276="REALIZADO",M3276="PENDENTE"),"🟡 EMBARCADO SEM FATURAR",IF(AND(P3276&lt;&gt;"",S3276="",OR(Q3276="",R3276="")),"🟡 PENDÊNCIA SEM RESPONSÁVEL/PRAZO",IF(AND(ISNUMBER(R3276),R3276=TODAY()),"🟡 VENCE HOJE",IF(AND(P3276&lt;&gt;"",S3276=""),"🟡 PENDÊNCIA ABERTA",IF(AND(N(J3276)&gt;0,N(K3276)&lt;J3276),"🟡 FALTA EXECUTAR",IF(OR(M3276="PENDENTE",M3276="PARCIAL"),"🟡 FATURAMENTO PENDENTE","🟡 EMBARQUE PENDENTE")))))))))))</f>
        <v/>
      </c>
      <c r="D3276" s="4" t="n"/>
      <c r="E3276" s="5" t="n"/>
      <c r="F3276" s="5" t="n"/>
      <c r="G3276" s="5" t="n"/>
      <c r="H3276" s="5" t="n"/>
      <c r="I3276" s="5" t="n"/>
      <c r="J3276" s="6" t="n"/>
      <c r="K3276" s="6" t="n"/>
      <c r="L3276" s="7">
        <f>IF(OR(D3276="",N(J3276)=0),"",MIN(1,N(K3276)/J3276))</f>
        <v/>
      </c>
      <c r="M3276" s="5" t="n"/>
      <c r="N3276" s="5" t="n"/>
      <c r="O3276" s="5" t="n"/>
      <c r="P3276" s="5" t="n"/>
      <c r="Q3276" s="5" t="n"/>
      <c r="R3276" s="4" t="n"/>
      <c r="S3276" s="4" t="n"/>
      <c r="T3276" s="5" t="n"/>
      <c r="U3276" s="8">
        <f>IF(AND(V3276=1,D3276&lt;&gt;""),IF(D3276&gt;=corte,TODAY()-D3276,""),"")</f>
        <v/>
      </c>
      <c r="V3276" s="8">
        <f>IF(D3276="",0,IF(OR(AND(P3276&lt;&gt;"",S3276=""),AND(N(J3276)&gt;0,N(K3276)&lt;J3276),OR(M3276="PENDENTE",M3276="PARCIAL"),OR(N3276="PENDENTE",N3276="PARCIAL")),1,0))</f>
        <v/>
      </c>
      <c r="W3276" s="8">
        <f>IF(AND(V3276=1,D3276&lt;&gt;""),IF(D3276&gt;=corte,(B3276="CRÍTICO")*1E9+(100000-D3276)*10000+10000-ROW(),""),"")</f>
        <v/>
      </c>
      <c r="X3276" s="8">
        <f>IF(AND(V3276=1,D3276=pas_data,E3276=pas_turno),10000-ROW(),"")</f>
        <v/>
      </c>
    </row>
    <row r="3277">
      <c r="A3277" s="3">
        <f>IF(D3277="","","TT-"&amp;TEXT(ROW()-1,"00000"))</f>
        <v/>
      </c>
      <c r="B3277" s="3">
        <f>IF(D3277="","",IF(V3277=0,"CONCLUÍDO",IF(D3277&lt;corte,"HISTÓRICO",IF(OR(AND(ISNUMBER(R3277),R3277&lt;TODAY()),AND(OR(N3277="PENDENTE",N3277="PARCIAL"),D3277&lt;TODAY()-1)),"CRÍTICO",IF(OR(AND(P3277&lt;&gt;"",S3277=""),AND(N3277="REALIZADO",M3277="PENDENTE"),AND(ISNUMBER(R3277),R3277=TODAY())),"ATENÇÃO",IF(N(K3277)=0,"PENDENTE","EM ANDAMENTO"))))))</f>
        <v/>
      </c>
      <c r="C3277" s="3">
        <f>IF(D3277="","",IF(V3277=0,"🟢 OK",IF(D3277&lt;corte,"⚪ HISTÓRICO (sem baixa)",IF(AND(ISNUMBER(R3277),R3277&lt;TODAY()),"🔴 PRAZO VENCIDO",IF(AND(OR(N3277="PENDENTE",N3277="PARCIAL"),D3277&lt;TODAY()-1),"🔴 EMBARQUE ATRASADO",IF(AND(N3277="REALIZADO",M3277="PENDENTE"),"🟡 EMBARCADO SEM FATURAR",IF(AND(P3277&lt;&gt;"",S3277="",OR(Q3277="",R3277="")),"🟡 PENDÊNCIA SEM RESPONSÁVEL/PRAZO",IF(AND(ISNUMBER(R3277),R3277=TODAY()),"🟡 VENCE HOJE",IF(AND(P3277&lt;&gt;"",S3277=""),"🟡 PENDÊNCIA ABERTA",IF(AND(N(J3277)&gt;0,N(K3277)&lt;J3277),"🟡 FALTA EXECUTAR",IF(OR(M3277="PENDENTE",M3277="PARCIAL"),"🟡 FATURAMENTO PENDENTE","🟡 EMBARQUE PENDENTE")))))))))))</f>
        <v/>
      </c>
      <c r="D3277" s="4" t="n"/>
      <c r="E3277" s="5" t="n"/>
      <c r="F3277" s="5" t="n"/>
      <c r="G3277" s="5" t="n"/>
      <c r="H3277" s="5" t="n"/>
      <c r="I3277" s="5" t="n"/>
      <c r="J3277" s="6" t="n"/>
      <c r="K3277" s="6" t="n"/>
      <c r="L3277" s="7">
        <f>IF(OR(D3277="",N(J3277)=0),"",MIN(1,N(K3277)/J3277))</f>
        <v/>
      </c>
      <c r="M3277" s="5" t="n"/>
      <c r="N3277" s="5" t="n"/>
      <c r="O3277" s="5" t="n"/>
      <c r="P3277" s="5" t="n"/>
      <c r="Q3277" s="5" t="n"/>
      <c r="R3277" s="4" t="n"/>
      <c r="S3277" s="4" t="n"/>
      <c r="T3277" s="5" t="n"/>
      <c r="U3277" s="8">
        <f>IF(AND(V3277=1,D3277&lt;&gt;""),IF(D3277&gt;=corte,TODAY()-D3277,""),"")</f>
        <v/>
      </c>
      <c r="V3277" s="8">
        <f>IF(D3277="",0,IF(OR(AND(P3277&lt;&gt;"",S3277=""),AND(N(J3277)&gt;0,N(K3277)&lt;J3277),OR(M3277="PENDENTE",M3277="PARCIAL"),OR(N3277="PENDENTE",N3277="PARCIAL")),1,0))</f>
        <v/>
      </c>
      <c r="W3277" s="8">
        <f>IF(AND(V3277=1,D3277&lt;&gt;""),IF(D3277&gt;=corte,(B3277="CRÍTICO")*1E9+(100000-D3277)*10000+10000-ROW(),""),"")</f>
        <v/>
      </c>
      <c r="X3277" s="8">
        <f>IF(AND(V3277=1,D3277=pas_data,E3277=pas_turno),10000-ROW(),"")</f>
        <v/>
      </c>
    </row>
    <row r="3278">
      <c r="A3278" s="3">
        <f>IF(D3278="","","TT-"&amp;TEXT(ROW()-1,"00000"))</f>
        <v/>
      </c>
      <c r="B3278" s="3">
        <f>IF(D3278="","",IF(V3278=0,"CONCLUÍDO",IF(D3278&lt;corte,"HISTÓRICO",IF(OR(AND(ISNUMBER(R3278),R3278&lt;TODAY()),AND(OR(N3278="PENDENTE",N3278="PARCIAL"),D3278&lt;TODAY()-1)),"CRÍTICO",IF(OR(AND(P3278&lt;&gt;"",S3278=""),AND(N3278="REALIZADO",M3278="PENDENTE"),AND(ISNUMBER(R3278),R3278=TODAY())),"ATENÇÃO",IF(N(K3278)=0,"PENDENTE","EM ANDAMENTO"))))))</f>
        <v/>
      </c>
      <c r="C3278" s="3">
        <f>IF(D3278="","",IF(V3278=0,"🟢 OK",IF(D3278&lt;corte,"⚪ HISTÓRICO (sem baixa)",IF(AND(ISNUMBER(R3278),R3278&lt;TODAY()),"🔴 PRAZO VENCIDO",IF(AND(OR(N3278="PENDENTE",N3278="PARCIAL"),D3278&lt;TODAY()-1),"🔴 EMBARQUE ATRASADO",IF(AND(N3278="REALIZADO",M3278="PENDENTE"),"🟡 EMBARCADO SEM FATURAR",IF(AND(P3278&lt;&gt;"",S3278="",OR(Q3278="",R3278="")),"🟡 PENDÊNCIA SEM RESPONSÁVEL/PRAZO",IF(AND(ISNUMBER(R3278),R3278=TODAY()),"🟡 VENCE HOJE",IF(AND(P3278&lt;&gt;"",S3278=""),"🟡 PENDÊNCIA ABERTA",IF(AND(N(J3278)&gt;0,N(K3278)&lt;J3278),"🟡 FALTA EXECUTAR",IF(OR(M3278="PENDENTE",M3278="PARCIAL"),"🟡 FATURAMENTO PENDENTE","🟡 EMBARQUE PENDENTE")))))))))))</f>
        <v/>
      </c>
      <c r="D3278" s="4" t="n"/>
      <c r="E3278" s="5" t="n"/>
      <c r="F3278" s="5" t="n"/>
      <c r="G3278" s="5" t="n"/>
      <c r="H3278" s="5" t="n"/>
      <c r="I3278" s="5" t="n"/>
      <c r="J3278" s="6" t="n"/>
      <c r="K3278" s="6" t="n"/>
      <c r="L3278" s="7">
        <f>IF(OR(D3278="",N(J3278)=0),"",MIN(1,N(K3278)/J3278))</f>
        <v/>
      </c>
      <c r="M3278" s="5" t="n"/>
      <c r="N3278" s="5" t="n"/>
      <c r="O3278" s="5" t="n"/>
      <c r="P3278" s="5" t="n"/>
      <c r="Q3278" s="5" t="n"/>
      <c r="R3278" s="4" t="n"/>
      <c r="S3278" s="4" t="n"/>
      <c r="T3278" s="5" t="n"/>
      <c r="U3278" s="8">
        <f>IF(AND(V3278=1,D3278&lt;&gt;""),IF(D3278&gt;=corte,TODAY()-D3278,""),"")</f>
        <v/>
      </c>
      <c r="V3278" s="8">
        <f>IF(D3278="",0,IF(OR(AND(P3278&lt;&gt;"",S3278=""),AND(N(J3278)&gt;0,N(K3278)&lt;J3278),OR(M3278="PENDENTE",M3278="PARCIAL"),OR(N3278="PENDENTE",N3278="PARCIAL")),1,0))</f>
        <v/>
      </c>
      <c r="W3278" s="8">
        <f>IF(AND(V3278=1,D3278&lt;&gt;""),IF(D3278&gt;=corte,(B3278="CRÍTICO")*1E9+(100000-D3278)*10000+10000-ROW(),""),"")</f>
        <v/>
      </c>
      <c r="X3278" s="8">
        <f>IF(AND(V3278=1,D3278=pas_data,E3278=pas_turno),10000-ROW(),"")</f>
        <v/>
      </c>
    </row>
    <row r="3279">
      <c r="A3279" s="3">
        <f>IF(D3279="","","TT-"&amp;TEXT(ROW()-1,"00000"))</f>
        <v/>
      </c>
      <c r="B3279" s="3">
        <f>IF(D3279="","",IF(V3279=0,"CONCLUÍDO",IF(D3279&lt;corte,"HISTÓRICO",IF(OR(AND(ISNUMBER(R3279),R3279&lt;TODAY()),AND(OR(N3279="PENDENTE",N3279="PARCIAL"),D3279&lt;TODAY()-1)),"CRÍTICO",IF(OR(AND(P3279&lt;&gt;"",S3279=""),AND(N3279="REALIZADO",M3279="PENDENTE"),AND(ISNUMBER(R3279),R3279=TODAY())),"ATENÇÃO",IF(N(K3279)=0,"PENDENTE","EM ANDAMENTO"))))))</f>
        <v/>
      </c>
      <c r="C3279" s="3">
        <f>IF(D3279="","",IF(V3279=0,"🟢 OK",IF(D3279&lt;corte,"⚪ HISTÓRICO (sem baixa)",IF(AND(ISNUMBER(R3279),R3279&lt;TODAY()),"🔴 PRAZO VENCIDO",IF(AND(OR(N3279="PENDENTE",N3279="PARCIAL"),D3279&lt;TODAY()-1),"🔴 EMBARQUE ATRASADO",IF(AND(N3279="REALIZADO",M3279="PENDENTE"),"🟡 EMBARCADO SEM FATURAR",IF(AND(P3279&lt;&gt;"",S3279="",OR(Q3279="",R3279="")),"🟡 PENDÊNCIA SEM RESPONSÁVEL/PRAZO",IF(AND(ISNUMBER(R3279),R3279=TODAY()),"🟡 VENCE HOJE",IF(AND(P3279&lt;&gt;"",S3279=""),"🟡 PENDÊNCIA ABERTA",IF(AND(N(J3279)&gt;0,N(K3279)&lt;J3279),"🟡 FALTA EXECUTAR",IF(OR(M3279="PENDENTE",M3279="PARCIAL"),"🟡 FATURAMENTO PENDENTE","🟡 EMBARQUE PENDENTE")))))))))))</f>
        <v/>
      </c>
      <c r="D3279" s="4" t="n"/>
      <c r="E3279" s="5" t="n"/>
      <c r="F3279" s="5" t="n"/>
      <c r="G3279" s="5" t="n"/>
      <c r="H3279" s="5" t="n"/>
      <c r="I3279" s="5" t="n"/>
      <c r="J3279" s="6" t="n"/>
      <c r="K3279" s="6" t="n"/>
      <c r="L3279" s="7">
        <f>IF(OR(D3279="",N(J3279)=0),"",MIN(1,N(K3279)/J3279))</f>
        <v/>
      </c>
      <c r="M3279" s="5" t="n"/>
      <c r="N3279" s="5" t="n"/>
      <c r="O3279" s="5" t="n"/>
      <c r="P3279" s="5" t="n"/>
      <c r="Q3279" s="5" t="n"/>
      <c r="R3279" s="4" t="n"/>
      <c r="S3279" s="4" t="n"/>
      <c r="T3279" s="5" t="n"/>
      <c r="U3279" s="8">
        <f>IF(AND(V3279=1,D3279&lt;&gt;""),IF(D3279&gt;=corte,TODAY()-D3279,""),"")</f>
        <v/>
      </c>
      <c r="V3279" s="8">
        <f>IF(D3279="",0,IF(OR(AND(P3279&lt;&gt;"",S3279=""),AND(N(J3279)&gt;0,N(K3279)&lt;J3279),OR(M3279="PENDENTE",M3279="PARCIAL"),OR(N3279="PENDENTE",N3279="PARCIAL")),1,0))</f>
        <v/>
      </c>
      <c r="W3279" s="8">
        <f>IF(AND(V3279=1,D3279&lt;&gt;""),IF(D3279&gt;=corte,(B3279="CRÍTICO")*1E9+(100000-D3279)*10000+10000-ROW(),""),"")</f>
        <v/>
      </c>
      <c r="X3279" s="8">
        <f>IF(AND(V3279=1,D3279=pas_data,E3279=pas_turno),10000-ROW(),"")</f>
        <v/>
      </c>
    </row>
    <row r="3280">
      <c r="A3280" s="3">
        <f>IF(D3280="","","TT-"&amp;TEXT(ROW()-1,"00000"))</f>
        <v/>
      </c>
      <c r="B3280" s="3">
        <f>IF(D3280="","",IF(V3280=0,"CONCLUÍDO",IF(D3280&lt;corte,"HISTÓRICO",IF(OR(AND(ISNUMBER(R3280),R3280&lt;TODAY()),AND(OR(N3280="PENDENTE",N3280="PARCIAL"),D3280&lt;TODAY()-1)),"CRÍTICO",IF(OR(AND(P3280&lt;&gt;"",S3280=""),AND(N3280="REALIZADO",M3280="PENDENTE"),AND(ISNUMBER(R3280),R3280=TODAY())),"ATENÇÃO",IF(N(K3280)=0,"PENDENTE","EM ANDAMENTO"))))))</f>
        <v/>
      </c>
      <c r="C3280" s="3">
        <f>IF(D3280="","",IF(V3280=0,"🟢 OK",IF(D3280&lt;corte,"⚪ HISTÓRICO (sem baixa)",IF(AND(ISNUMBER(R3280),R3280&lt;TODAY()),"🔴 PRAZO VENCIDO",IF(AND(OR(N3280="PENDENTE",N3280="PARCIAL"),D3280&lt;TODAY()-1),"🔴 EMBARQUE ATRASADO",IF(AND(N3280="REALIZADO",M3280="PENDENTE"),"🟡 EMBARCADO SEM FATURAR",IF(AND(P3280&lt;&gt;"",S3280="",OR(Q3280="",R3280="")),"🟡 PENDÊNCIA SEM RESPONSÁVEL/PRAZO",IF(AND(ISNUMBER(R3280),R3280=TODAY()),"🟡 VENCE HOJE",IF(AND(P3280&lt;&gt;"",S3280=""),"🟡 PENDÊNCIA ABERTA",IF(AND(N(J3280)&gt;0,N(K3280)&lt;J3280),"🟡 FALTA EXECUTAR",IF(OR(M3280="PENDENTE",M3280="PARCIAL"),"🟡 FATURAMENTO PENDENTE","🟡 EMBARQUE PENDENTE")))))))))))</f>
        <v/>
      </c>
      <c r="D3280" s="4" t="n"/>
      <c r="E3280" s="5" t="n"/>
      <c r="F3280" s="5" t="n"/>
      <c r="G3280" s="5" t="n"/>
      <c r="H3280" s="5" t="n"/>
      <c r="I3280" s="5" t="n"/>
      <c r="J3280" s="6" t="n"/>
      <c r="K3280" s="6" t="n"/>
      <c r="L3280" s="7">
        <f>IF(OR(D3280="",N(J3280)=0),"",MIN(1,N(K3280)/J3280))</f>
        <v/>
      </c>
      <c r="M3280" s="5" t="n"/>
      <c r="N3280" s="5" t="n"/>
      <c r="O3280" s="5" t="n"/>
      <c r="P3280" s="5" t="n"/>
      <c r="Q3280" s="5" t="n"/>
      <c r="R3280" s="4" t="n"/>
      <c r="S3280" s="4" t="n"/>
      <c r="T3280" s="5" t="n"/>
      <c r="U3280" s="8">
        <f>IF(AND(V3280=1,D3280&lt;&gt;""),IF(D3280&gt;=corte,TODAY()-D3280,""),"")</f>
        <v/>
      </c>
      <c r="V3280" s="8">
        <f>IF(D3280="",0,IF(OR(AND(P3280&lt;&gt;"",S3280=""),AND(N(J3280)&gt;0,N(K3280)&lt;J3280),OR(M3280="PENDENTE",M3280="PARCIAL"),OR(N3280="PENDENTE",N3280="PARCIAL")),1,0))</f>
        <v/>
      </c>
      <c r="W3280" s="8">
        <f>IF(AND(V3280=1,D3280&lt;&gt;""),IF(D3280&gt;=corte,(B3280="CRÍTICO")*1E9+(100000-D3280)*10000+10000-ROW(),""),"")</f>
        <v/>
      </c>
      <c r="X3280" s="8">
        <f>IF(AND(V3280=1,D3280=pas_data,E3280=pas_turno),10000-ROW(),"")</f>
        <v/>
      </c>
    </row>
    <row r="3281">
      <c r="A3281" s="3">
        <f>IF(D3281="","","TT-"&amp;TEXT(ROW()-1,"00000"))</f>
        <v/>
      </c>
      <c r="B3281" s="3">
        <f>IF(D3281="","",IF(V3281=0,"CONCLUÍDO",IF(D3281&lt;corte,"HISTÓRICO",IF(OR(AND(ISNUMBER(R3281),R3281&lt;TODAY()),AND(OR(N3281="PENDENTE",N3281="PARCIAL"),D3281&lt;TODAY()-1)),"CRÍTICO",IF(OR(AND(P3281&lt;&gt;"",S3281=""),AND(N3281="REALIZADO",M3281="PENDENTE"),AND(ISNUMBER(R3281),R3281=TODAY())),"ATENÇÃO",IF(N(K3281)=0,"PENDENTE","EM ANDAMENTO"))))))</f>
        <v/>
      </c>
      <c r="C3281" s="3">
        <f>IF(D3281="","",IF(V3281=0,"🟢 OK",IF(D3281&lt;corte,"⚪ HISTÓRICO (sem baixa)",IF(AND(ISNUMBER(R3281),R3281&lt;TODAY()),"🔴 PRAZO VENCIDO",IF(AND(OR(N3281="PENDENTE",N3281="PARCIAL"),D3281&lt;TODAY()-1),"🔴 EMBARQUE ATRASADO",IF(AND(N3281="REALIZADO",M3281="PENDENTE"),"🟡 EMBARCADO SEM FATURAR",IF(AND(P3281&lt;&gt;"",S3281="",OR(Q3281="",R3281="")),"🟡 PENDÊNCIA SEM RESPONSÁVEL/PRAZO",IF(AND(ISNUMBER(R3281),R3281=TODAY()),"🟡 VENCE HOJE",IF(AND(P3281&lt;&gt;"",S3281=""),"🟡 PENDÊNCIA ABERTA",IF(AND(N(J3281)&gt;0,N(K3281)&lt;J3281),"🟡 FALTA EXECUTAR",IF(OR(M3281="PENDENTE",M3281="PARCIAL"),"🟡 FATURAMENTO PENDENTE","🟡 EMBARQUE PENDENTE")))))))))))</f>
        <v/>
      </c>
      <c r="D3281" s="4" t="n"/>
      <c r="E3281" s="5" t="n"/>
      <c r="F3281" s="5" t="n"/>
      <c r="G3281" s="5" t="n"/>
      <c r="H3281" s="5" t="n"/>
      <c r="I3281" s="5" t="n"/>
      <c r="J3281" s="6" t="n"/>
      <c r="K3281" s="6" t="n"/>
      <c r="L3281" s="7">
        <f>IF(OR(D3281="",N(J3281)=0),"",MIN(1,N(K3281)/J3281))</f>
        <v/>
      </c>
      <c r="M3281" s="5" t="n"/>
      <c r="N3281" s="5" t="n"/>
      <c r="O3281" s="5" t="n"/>
      <c r="P3281" s="5" t="n"/>
      <c r="Q3281" s="5" t="n"/>
      <c r="R3281" s="4" t="n"/>
      <c r="S3281" s="4" t="n"/>
      <c r="T3281" s="5" t="n"/>
      <c r="U3281" s="8">
        <f>IF(AND(V3281=1,D3281&lt;&gt;""),IF(D3281&gt;=corte,TODAY()-D3281,""),"")</f>
        <v/>
      </c>
      <c r="V3281" s="8">
        <f>IF(D3281="",0,IF(OR(AND(P3281&lt;&gt;"",S3281=""),AND(N(J3281)&gt;0,N(K3281)&lt;J3281),OR(M3281="PENDENTE",M3281="PARCIAL"),OR(N3281="PENDENTE",N3281="PARCIAL")),1,0))</f>
        <v/>
      </c>
      <c r="W3281" s="8">
        <f>IF(AND(V3281=1,D3281&lt;&gt;""),IF(D3281&gt;=corte,(B3281="CRÍTICO")*1E9+(100000-D3281)*10000+10000-ROW(),""),"")</f>
        <v/>
      </c>
      <c r="X3281" s="8">
        <f>IF(AND(V3281=1,D3281=pas_data,E3281=pas_turno),10000-ROW(),"")</f>
        <v/>
      </c>
    </row>
    <row r="3282">
      <c r="A3282" s="3">
        <f>IF(D3282="","","TT-"&amp;TEXT(ROW()-1,"00000"))</f>
        <v/>
      </c>
      <c r="B3282" s="3">
        <f>IF(D3282="","",IF(V3282=0,"CONCLUÍDO",IF(D3282&lt;corte,"HISTÓRICO",IF(OR(AND(ISNUMBER(R3282),R3282&lt;TODAY()),AND(OR(N3282="PENDENTE",N3282="PARCIAL"),D3282&lt;TODAY()-1)),"CRÍTICO",IF(OR(AND(P3282&lt;&gt;"",S3282=""),AND(N3282="REALIZADO",M3282="PENDENTE"),AND(ISNUMBER(R3282),R3282=TODAY())),"ATENÇÃO",IF(N(K3282)=0,"PENDENTE","EM ANDAMENTO"))))))</f>
        <v/>
      </c>
      <c r="C3282" s="3">
        <f>IF(D3282="","",IF(V3282=0,"🟢 OK",IF(D3282&lt;corte,"⚪ HISTÓRICO (sem baixa)",IF(AND(ISNUMBER(R3282),R3282&lt;TODAY()),"🔴 PRAZO VENCIDO",IF(AND(OR(N3282="PENDENTE",N3282="PARCIAL"),D3282&lt;TODAY()-1),"🔴 EMBARQUE ATRASADO",IF(AND(N3282="REALIZADO",M3282="PENDENTE"),"🟡 EMBARCADO SEM FATURAR",IF(AND(P3282&lt;&gt;"",S3282="",OR(Q3282="",R3282="")),"🟡 PENDÊNCIA SEM RESPONSÁVEL/PRAZO",IF(AND(ISNUMBER(R3282),R3282=TODAY()),"🟡 VENCE HOJE",IF(AND(P3282&lt;&gt;"",S3282=""),"🟡 PENDÊNCIA ABERTA",IF(AND(N(J3282)&gt;0,N(K3282)&lt;J3282),"🟡 FALTA EXECUTAR",IF(OR(M3282="PENDENTE",M3282="PARCIAL"),"🟡 FATURAMENTO PENDENTE","🟡 EMBARQUE PENDENTE")))))))))))</f>
        <v/>
      </c>
      <c r="D3282" s="4" t="n"/>
      <c r="E3282" s="5" t="n"/>
      <c r="F3282" s="5" t="n"/>
      <c r="G3282" s="5" t="n"/>
      <c r="H3282" s="5" t="n"/>
      <c r="I3282" s="5" t="n"/>
      <c r="J3282" s="6" t="n"/>
      <c r="K3282" s="6" t="n"/>
      <c r="L3282" s="7">
        <f>IF(OR(D3282="",N(J3282)=0),"",MIN(1,N(K3282)/J3282))</f>
        <v/>
      </c>
      <c r="M3282" s="5" t="n"/>
      <c r="N3282" s="5" t="n"/>
      <c r="O3282" s="5" t="n"/>
      <c r="P3282" s="5" t="n"/>
      <c r="Q3282" s="5" t="n"/>
      <c r="R3282" s="4" t="n"/>
      <c r="S3282" s="4" t="n"/>
      <c r="T3282" s="5" t="n"/>
      <c r="U3282" s="8">
        <f>IF(AND(V3282=1,D3282&lt;&gt;""),IF(D3282&gt;=corte,TODAY()-D3282,""),"")</f>
        <v/>
      </c>
      <c r="V3282" s="8">
        <f>IF(D3282="",0,IF(OR(AND(P3282&lt;&gt;"",S3282=""),AND(N(J3282)&gt;0,N(K3282)&lt;J3282),OR(M3282="PENDENTE",M3282="PARCIAL"),OR(N3282="PENDENTE",N3282="PARCIAL")),1,0))</f>
        <v/>
      </c>
      <c r="W3282" s="8">
        <f>IF(AND(V3282=1,D3282&lt;&gt;""),IF(D3282&gt;=corte,(B3282="CRÍTICO")*1E9+(100000-D3282)*10000+10000-ROW(),""),"")</f>
        <v/>
      </c>
      <c r="X3282" s="8">
        <f>IF(AND(V3282=1,D3282=pas_data,E3282=pas_turno),10000-ROW(),"")</f>
        <v/>
      </c>
    </row>
    <row r="3283">
      <c r="A3283" s="3">
        <f>IF(D3283="","","TT-"&amp;TEXT(ROW()-1,"00000"))</f>
        <v/>
      </c>
      <c r="B3283" s="3">
        <f>IF(D3283="","",IF(V3283=0,"CONCLUÍDO",IF(D3283&lt;corte,"HISTÓRICO",IF(OR(AND(ISNUMBER(R3283),R3283&lt;TODAY()),AND(OR(N3283="PENDENTE",N3283="PARCIAL"),D3283&lt;TODAY()-1)),"CRÍTICO",IF(OR(AND(P3283&lt;&gt;"",S3283=""),AND(N3283="REALIZADO",M3283="PENDENTE"),AND(ISNUMBER(R3283),R3283=TODAY())),"ATENÇÃO",IF(N(K3283)=0,"PENDENTE","EM ANDAMENTO"))))))</f>
        <v/>
      </c>
      <c r="C3283" s="3">
        <f>IF(D3283="","",IF(V3283=0,"🟢 OK",IF(D3283&lt;corte,"⚪ HISTÓRICO (sem baixa)",IF(AND(ISNUMBER(R3283),R3283&lt;TODAY()),"🔴 PRAZO VENCIDO",IF(AND(OR(N3283="PENDENTE",N3283="PARCIAL"),D3283&lt;TODAY()-1),"🔴 EMBARQUE ATRASADO",IF(AND(N3283="REALIZADO",M3283="PENDENTE"),"🟡 EMBARCADO SEM FATURAR",IF(AND(P3283&lt;&gt;"",S3283="",OR(Q3283="",R3283="")),"🟡 PENDÊNCIA SEM RESPONSÁVEL/PRAZO",IF(AND(ISNUMBER(R3283),R3283=TODAY()),"🟡 VENCE HOJE",IF(AND(P3283&lt;&gt;"",S3283=""),"🟡 PENDÊNCIA ABERTA",IF(AND(N(J3283)&gt;0,N(K3283)&lt;J3283),"🟡 FALTA EXECUTAR",IF(OR(M3283="PENDENTE",M3283="PARCIAL"),"🟡 FATURAMENTO PENDENTE","🟡 EMBARQUE PENDENTE")))))))))))</f>
        <v/>
      </c>
      <c r="D3283" s="4" t="n"/>
      <c r="E3283" s="5" t="n"/>
      <c r="F3283" s="5" t="n"/>
      <c r="G3283" s="5" t="n"/>
      <c r="H3283" s="5" t="n"/>
      <c r="I3283" s="5" t="n"/>
      <c r="J3283" s="6" t="n"/>
      <c r="K3283" s="6" t="n"/>
      <c r="L3283" s="7">
        <f>IF(OR(D3283="",N(J3283)=0),"",MIN(1,N(K3283)/J3283))</f>
        <v/>
      </c>
      <c r="M3283" s="5" t="n"/>
      <c r="N3283" s="5" t="n"/>
      <c r="O3283" s="5" t="n"/>
      <c r="P3283" s="5" t="n"/>
      <c r="Q3283" s="5" t="n"/>
      <c r="R3283" s="4" t="n"/>
      <c r="S3283" s="4" t="n"/>
      <c r="T3283" s="5" t="n"/>
      <c r="U3283" s="8">
        <f>IF(AND(V3283=1,D3283&lt;&gt;""),IF(D3283&gt;=corte,TODAY()-D3283,""),"")</f>
        <v/>
      </c>
      <c r="V3283" s="8">
        <f>IF(D3283="",0,IF(OR(AND(P3283&lt;&gt;"",S3283=""),AND(N(J3283)&gt;0,N(K3283)&lt;J3283),OR(M3283="PENDENTE",M3283="PARCIAL"),OR(N3283="PENDENTE",N3283="PARCIAL")),1,0))</f>
        <v/>
      </c>
      <c r="W3283" s="8">
        <f>IF(AND(V3283=1,D3283&lt;&gt;""),IF(D3283&gt;=corte,(B3283="CRÍTICO")*1E9+(100000-D3283)*10000+10000-ROW(),""),"")</f>
        <v/>
      </c>
      <c r="X3283" s="8">
        <f>IF(AND(V3283=1,D3283=pas_data,E3283=pas_turno),10000-ROW(),"")</f>
        <v/>
      </c>
    </row>
    <row r="3284">
      <c r="A3284" s="3">
        <f>IF(D3284="","","TT-"&amp;TEXT(ROW()-1,"00000"))</f>
        <v/>
      </c>
      <c r="B3284" s="3">
        <f>IF(D3284="","",IF(V3284=0,"CONCLUÍDO",IF(D3284&lt;corte,"HISTÓRICO",IF(OR(AND(ISNUMBER(R3284),R3284&lt;TODAY()),AND(OR(N3284="PENDENTE",N3284="PARCIAL"),D3284&lt;TODAY()-1)),"CRÍTICO",IF(OR(AND(P3284&lt;&gt;"",S3284=""),AND(N3284="REALIZADO",M3284="PENDENTE"),AND(ISNUMBER(R3284),R3284=TODAY())),"ATENÇÃO",IF(N(K3284)=0,"PENDENTE","EM ANDAMENTO"))))))</f>
        <v/>
      </c>
      <c r="C3284" s="3">
        <f>IF(D3284="","",IF(V3284=0,"🟢 OK",IF(D3284&lt;corte,"⚪ HISTÓRICO (sem baixa)",IF(AND(ISNUMBER(R3284),R3284&lt;TODAY()),"🔴 PRAZO VENCIDO",IF(AND(OR(N3284="PENDENTE",N3284="PARCIAL"),D3284&lt;TODAY()-1),"🔴 EMBARQUE ATRASADO",IF(AND(N3284="REALIZADO",M3284="PENDENTE"),"🟡 EMBARCADO SEM FATURAR",IF(AND(P3284&lt;&gt;"",S3284="",OR(Q3284="",R3284="")),"🟡 PENDÊNCIA SEM RESPONSÁVEL/PRAZO",IF(AND(ISNUMBER(R3284),R3284=TODAY()),"🟡 VENCE HOJE",IF(AND(P3284&lt;&gt;"",S3284=""),"🟡 PENDÊNCIA ABERTA",IF(AND(N(J3284)&gt;0,N(K3284)&lt;J3284),"🟡 FALTA EXECUTAR",IF(OR(M3284="PENDENTE",M3284="PARCIAL"),"🟡 FATURAMENTO PENDENTE","🟡 EMBARQUE PENDENTE")))))))))))</f>
        <v/>
      </c>
      <c r="D3284" s="4" t="n"/>
      <c r="E3284" s="5" t="n"/>
      <c r="F3284" s="5" t="n"/>
      <c r="G3284" s="5" t="n"/>
      <c r="H3284" s="5" t="n"/>
      <c r="I3284" s="5" t="n"/>
      <c r="J3284" s="6" t="n"/>
      <c r="K3284" s="6" t="n"/>
      <c r="L3284" s="7">
        <f>IF(OR(D3284="",N(J3284)=0),"",MIN(1,N(K3284)/J3284))</f>
        <v/>
      </c>
      <c r="M3284" s="5" t="n"/>
      <c r="N3284" s="5" t="n"/>
      <c r="O3284" s="5" t="n"/>
      <c r="P3284" s="5" t="n"/>
      <c r="Q3284" s="5" t="n"/>
      <c r="R3284" s="4" t="n"/>
      <c r="S3284" s="4" t="n"/>
      <c r="T3284" s="5" t="n"/>
      <c r="U3284" s="8">
        <f>IF(AND(V3284=1,D3284&lt;&gt;""),IF(D3284&gt;=corte,TODAY()-D3284,""),"")</f>
        <v/>
      </c>
      <c r="V3284" s="8">
        <f>IF(D3284="",0,IF(OR(AND(P3284&lt;&gt;"",S3284=""),AND(N(J3284)&gt;0,N(K3284)&lt;J3284),OR(M3284="PENDENTE",M3284="PARCIAL"),OR(N3284="PENDENTE",N3284="PARCIAL")),1,0))</f>
        <v/>
      </c>
      <c r="W3284" s="8">
        <f>IF(AND(V3284=1,D3284&lt;&gt;""),IF(D3284&gt;=corte,(B3284="CRÍTICO")*1E9+(100000-D3284)*10000+10000-ROW(),""),"")</f>
        <v/>
      </c>
      <c r="X3284" s="8">
        <f>IF(AND(V3284=1,D3284=pas_data,E3284=pas_turno),10000-ROW(),"")</f>
        <v/>
      </c>
    </row>
    <row r="3285">
      <c r="A3285" s="3">
        <f>IF(D3285="","","TT-"&amp;TEXT(ROW()-1,"00000"))</f>
        <v/>
      </c>
      <c r="B3285" s="3">
        <f>IF(D3285="","",IF(V3285=0,"CONCLUÍDO",IF(D3285&lt;corte,"HISTÓRICO",IF(OR(AND(ISNUMBER(R3285),R3285&lt;TODAY()),AND(OR(N3285="PENDENTE",N3285="PARCIAL"),D3285&lt;TODAY()-1)),"CRÍTICO",IF(OR(AND(P3285&lt;&gt;"",S3285=""),AND(N3285="REALIZADO",M3285="PENDENTE"),AND(ISNUMBER(R3285),R3285=TODAY())),"ATENÇÃO",IF(N(K3285)=0,"PENDENTE","EM ANDAMENTO"))))))</f>
        <v/>
      </c>
      <c r="C3285" s="3">
        <f>IF(D3285="","",IF(V3285=0,"🟢 OK",IF(D3285&lt;corte,"⚪ HISTÓRICO (sem baixa)",IF(AND(ISNUMBER(R3285),R3285&lt;TODAY()),"🔴 PRAZO VENCIDO",IF(AND(OR(N3285="PENDENTE",N3285="PARCIAL"),D3285&lt;TODAY()-1),"🔴 EMBARQUE ATRASADO",IF(AND(N3285="REALIZADO",M3285="PENDENTE"),"🟡 EMBARCADO SEM FATURAR",IF(AND(P3285&lt;&gt;"",S3285="",OR(Q3285="",R3285="")),"🟡 PENDÊNCIA SEM RESPONSÁVEL/PRAZO",IF(AND(ISNUMBER(R3285),R3285=TODAY()),"🟡 VENCE HOJE",IF(AND(P3285&lt;&gt;"",S3285=""),"🟡 PENDÊNCIA ABERTA",IF(AND(N(J3285)&gt;0,N(K3285)&lt;J3285),"🟡 FALTA EXECUTAR",IF(OR(M3285="PENDENTE",M3285="PARCIAL"),"🟡 FATURAMENTO PENDENTE","🟡 EMBARQUE PENDENTE")))))))))))</f>
        <v/>
      </c>
      <c r="D3285" s="4" t="n"/>
      <c r="E3285" s="5" t="n"/>
      <c r="F3285" s="5" t="n"/>
      <c r="G3285" s="5" t="n"/>
      <c r="H3285" s="5" t="n"/>
      <c r="I3285" s="5" t="n"/>
      <c r="J3285" s="6" t="n"/>
      <c r="K3285" s="6" t="n"/>
      <c r="L3285" s="7">
        <f>IF(OR(D3285="",N(J3285)=0),"",MIN(1,N(K3285)/J3285))</f>
        <v/>
      </c>
      <c r="M3285" s="5" t="n"/>
      <c r="N3285" s="5" t="n"/>
      <c r="O3285" s="5" t="n"/>
      <c r="P3285" s="5" t="n"/>
      <c r="Q3285" s="5" t="n"/>
      <c r="R3285" s="4" t="n"/>
      <c r="S3285" s="4" t="n"/>
      <c r="T3285" s="5" t="n"/>
      <c r="U3285" s="8">
        <f>IF(AND(V3285=1,D3285&lt;&gt;""),IF(D3285&gt;=corte,TODAY()-D3285,""),"")</f>
        <v/>
      </c>
      <c r="V3285" s="8">
        <f>IF(D3285="",0,IF(OR(AND(P3285&lt;&gt;"",S3285=""),AND(N(J3285)&gt;0,N(K3285)&lt;J3285),OR(M3285="PENDENTE",M3285="PARCIAL"),OR(N3285="PENDENTE",N3285="PARCIAL")),1,0))</f>
        <v/>
      </c>
      <c r="W3285" s="8">
        <f>IF(AND(V3285=1,D3285&lt;&gt;""),IF(D3285&gt;=corte,(B3285="CRÍTICO")*1E9+(100000-D3285)*10000+10000-ROW(),""),"")</f>
        <v/>
      </c>
      <c r="X3285" s="8">
        <f>IF(AND(V3285=1,D3285=pas_data,E3285=pas_turno),10000-ROW(),"")</f>
        <v/>
      </c>
    </row>
    <row r="3286">
      <c r="A3286" s="3">
        <f>IF(D3286="","","TT-"&amp;TEXT(ROW()-1,"00000"))</f>
        <v/>
      </c>
      <c r="B3286" s="3">
        <f>IF(D3286="","",IF(V3286=0,"CONCLUÍDO",IF(D3286&lt;corte,"HISTÓRICO",IF(OR(AND(ISNUMBER(R3286),R3286&lt;TODAY()),AND(OR(N3286="PENDENTE",N3286="PARCIAL"),D3286&lt;TODAY()-1)),"CRÍTICO",IF(OR(AND(P3286&lt;&gt;"",S3286=""),AND(N3286="REALIZADO",M3286="PENDENTE"),AND(ISNUMBER(R3286),R3286=TODAY())),"ATENÇÃO",IF(N(K3286)=0,"PENDENTE","EM ANDAMENTO"))))))</f>
        <v/>
      </c>
      <c r="C3286" s="3">
        <f>IF(D3286="","",IF(V3286=0,"🟢 OK",IF(D3286&lt;corte,"⚪ HISTÓRICO (sem baixa)",IF(AND(ISNUMBER(R3286),R3286&lt;TODAY()),"🔴 PRAZO VENCIDO",IF(AND(OR(N3286="PENDENTE",N3286="PARCIAL"),D3286&lt;TODAY()-1),"🔴 EMBARQUE ATRASADO",IF(AND(N3286="REALIZADO",M3286="PENDENTE"),"🟡 EMBARCADO SEM FATURAR",IF(AND(P3286&lt;&gt;"",S3286="",OR(Q3286="",R3286="")),"🟡 PENDÊNCIA SEM RESPONSÁVEL/PRAZO",IF(AND(ISNUMBER(R3286),R3286=TODAY()),"🟡 VENCE HOJE",IF(AND(P3286&lt;&gt;"",S3286=""),"🟡 PENDÊNCIA ABERTA",IF(AND(N(J3286)&gt;0,N(K3286)&lt;J3286),"🟡 FALTA EXECUTAR",IF(OR(M3286="PENDENTE",M3286="PARCIAL"),"🟡 FATURAMENTO PENDENTE","🟡 EMBARQUE PENDENTE")))))))))))</f>
        <v/>
      </c>
      <c r="D3286" s="4" t="n"/>
      <c r="E3286" s="5" t="n"/>
      <c r="F3286" s="5" t="n"/>
      <c r="G3286" s="5" t="n"/>
      <c r="H3286" s="5" t="n"/>
      <c r="I3286" s="5" t="n"/>
      <c r="J3286" s="6" t="n"/>
      <c r="K3286" s="6" t="n"/>
      <c r="L3286" s="7">
        <f>IF(OR(D3286="",N(J3286)=0),"",MIN(1,N(K3286)/J3286))</f>
        <v/>
      </c>
      <c r="M3286" s="5" t="n"/>
      <c r="N3286" s="5" t="n"/>
      <c r="O3286" s="5" t="n"/>
      <c r="P3286" s="5" t="n"/>
      <c r="Q3286" s="5" t="n"/>
      <c r="R3286" s="4" t="n"/>
      <c r="S3286" s="4" t="n"/>
      <c r="T3286" s="5" t="n"/>
      <c r="U3286" s="8">
        <f>IF(AND(V3286=1,D3286&lt;&gt;""),IF(D3286&gt;=corte,TODAY()-D3286,""),"")</f>
        <v/>
      </c>
      <c r="V3286" s="8">
        <f>IF(D3286="",0,IF(OR(AND(P3286&lt;&gt;"",S3286=""),AND(N(J3286)&gt;0,N(K3286)&lt;J3286),OR(M3286="PENDENTE",M3286="PARCIAL"),OR(N3286="PENDENTE",N3286="PARCIAL")),1,0))</f>
        <v/>
      </c>
      <c r="W3286" s="8">
        <f>IF(AND(V3286=1,D3286&lt;&gt;""),IF(D3286&gt;=corte,(B3286="CRÍTICO")*1E9+(100000-D3286)*10000+10000-ROW(),""),"")</f>
        <v/>
      </c>
      <c r="X3286" s="8">
        <f>IF(AND(V3286=1,D3286=pas_data,E3286=pas_turno),10000-ROW(),"")</f>
        <v/>
      </c>
    </row>
    <row r="3287">
      <c r="A3287" s="3">
        <f>IF(D3287="","","TT-"&amp;TEXT(ROW()-1,"00000"))</f>
        <v/>
      </c>
      <c r="B3287" s="3">
        <f>IF(D3287="","",IF(V3287=0,"CONCLUÍDO",IF(D3287&lt;corte,"HISTÓRICO",IF(OR(AND(ISNUMBER(R3287),R3287&lt;TODAY()),AND(OR(N3287="PENDENTE",N3287="PARCIAL"),D3287&lt;TODAY()-1)),"CRÍTICO",IF(OR(AND(P3287&lt;&gt;"",S3287=""),AND(N3287="REALIZADO",M3287="PENDENTE"),AND(ISNUMBER(R3287),R3287=TODAY())),"ATENÇÃO",IF(N(K3287)=0,"PENDENTE","EM ANDAMENTO"))))))</f>
        <v/>
      </c>
      <c r="C3287" s="3">
        <f>IF(D3287="","",IF(V3287=0,"🟢 OK",IF(D3287&lt;corte,"⚪ HISTÓRICO (sem baixa)",IF(AND(ISNUMBER(R3287),R3287&lt;TODAY()),"🔴 PRAZO VENCIDO",IF(AND(OR(N3287="PENDENTE",N3287="PARCIAL"),D3287&lt;TODAY()-1),"🔴 EMBARQUE ATRASADO",IF(AND(N3287="REALIZADO",M3287="PENDENTE"),"🟡 EMBARCADO SEM FATURAR",IF(AND(P3287&lt;&gt;"",S3287="",OR(Q3287="",R3287="")),"🟡 PENDÊNCIA SEM RESPONSÁVEL/PRAZO",IF(AND(ISNUMBER(R3287),R3287=TODAY()),"🟡 VENCE HOJE",IF(AND(P3287&lt;&gt;"",S3287=""),"🟡 PENDÊNCIA ABERTA",IF(AND(N(J3287)&gt;0,N(K3287)&lt;J3287),"🟡 FALTA EXECUTAR",IF(OR(M3287="PENDENTE",M3287="PARCIAL"),"🟡 FATURAMENTO PENDENTE","🟡 EMBARQUE PENDENTE")))))))))))</f>
        <v/>
      </c>
      <c r="D3287" s="4" t="n"/>
      <c r="E3287" s="5" t="n"/>
      <c r="F3287" s="5" t="n"/>
      <c r="G3287" s="5" t="n"/>
      <c r="H3287" s="5" t="n"/>
      <c r="I3287" s="5" t="n"/>
      <c r="J3287" s="6" t="n"/>
      <c r="K3287" s="6" t="n"/>
      <c r="L3287" s="7">
        <f>IF(OR(D3287="",N(J3287)=0),"",MIN(1,N(K3287)/J3287))</f>
        <v/>
      </c>
      <c r="M3287" s="5" t="n"/>
      <c r="N3287" s="5" t="n"/>
      <c r="O3287" s="5" t="n"/>
      <c r="P3287" s="5" t="n"/>
      <c r="Q3287" s="5" t="n"/>
      <c r="R3287" s="4" t="n"/>
      <c r="S3287" s="4" t="n"/>
      <c r="T3287" s="5" t="n"/>
      <c r="U3287" s="8">
        <f>IF(AND(V3287=1,D3287&lt;&gt;""),IF(D3287&gt;=corte,TODAY()-D3287,""),"")</f>
        <v/>
      </c>
      <c r="V3287" s="8">
        <f>IF(D3287="",0,IF(OR(AND(P3287&lt;&gt;"",S3287=""),AND(N(J3287)&gt;0,N(K3287)&lt;J3287),OR(M3287="PENDENTE",M3287="PARCIAL"),OR(N3287="PENDENTE",N3287="PARCIAL")),1,0))</f>
        <v/>
      </c>
      <c r="W3287" s="8">
        <f>IF(AND(V3287=1,D3287&lt;&gt;""),IF(D3287&gt;=corte,(B3287="CRÍTICO")*1E9+(100000-D3287)*10000+10000-ROW(),""),"")</f>
        <v/>
      </c>
      <c r="X3287" s="8">
        <f>IF(AND(V3287=1,D3287=pas_data,E3287=pas_turno),10000-ROW(),"")</f>
        <v/>
      </c>
    </row>
    <row r="3288">
      <c r="A3288" s="3">
        <f>IF(D3288="","","TT-"&amp;TEXT(ROW()-1,"00000"))</f>
        <v/>
      </c>
      <c r="B3288" s="3">
        <f>IF(D3288="","",IF(V3288=0,"CONCLUÍDO",IF(D3288&lt;corte,"HISTÓRICO",IF(OR(AND(ISNUMBER(R3288),R3288&lt;TODAY()),AND(OR(N3288="PENDENTE",N3288="PARCIAL"),D3288&lt;TODAY()-1)),"CRÍTICO",IF(OR(AND(P3288&lt;&gt;"",S3288=""),AND(N3288="REALIZADO",M3288="PENDENTE"),AND(ISNUMBER(R3288),R3288=TODAY())),"ATENÇÃO",IF(N(K3288)=0,"PENDENTE","EM ANDAMENTO"))))))</f>
        <v/>
      </c>
      <c r="C3288" s="3">
        <f>IF(D3288="","",IF(V3288=0,"🟢 OK",IF(D3288&lt;corte,"⚪ HISTÓRICO (sem baixa)",IF(AND(ISNUMBER(R3288),R3288&lt;TODAY()),"🔴 PRAZO VENCIDO",IF(AND(OR(N3288="PENDENTE",N3288="PARCIAL"),D3288&lt;TODAY()-1),"🔴 EMBARQUE ATRASADO",IF(AND(N3288="REALIZADO",M3288="PENDENTE"),"🟡 EMBARCADO SEM FATURAR",IF(AND(P3288&lt;&gt;"",S3288="",OR(Q3288="",R3288="")),"🟡 PENDÊNCIA SEM RESPONSÁVEL/PRAZO",IF(AND(ISNUMBER(R3288),R3288=TODAY()),"🟡 VENCE HOJE",IF(AND(P3288&lt;&gt;"",S3288=""),"🟡 PENDÊNCIA ABERTA",IF(AND(N(J3288)&gt;0,N(K3288)&lt;J3288),"🟡 FALTA EXECUTAR",IF(OR(M3288="PENDENTE",M3288="PARCIAL"),"🟡 FATURAMENTO PENDENTE","🟡 EMBARQUE PENDENTE")))))))))))</f>
        <v/>
      </c>
      <c r="D3288" s="4" t="n"/>
      <c r="E3288" s="5" t="n"/>
      <c r="F3288" s="5" t="n"/>
      <c r="G3288" s="5" t="n"/>
      <c r="H3288" s="5" t="n"/>
      <c r="I3288" s="5" t="n"/>
      <c r="J3288" s="6" t="n"/>
      <c r="K3288" s="6" t="n"/>
      <c r="L3288" s="7">
        <f>IF(OR(D3288="",N(J3288)=0),"",MIN(1,N(K3288)/J3288))</f>
        <v/>
      </c>
      <c r="M3288" s="5" t="n"/>
      <c r="N3288" s="5" t="n"/>
      <c r="O3288" s="5" t="n"/>
      <c r="P3288" s="5" t="n"/>
      <c r="Q3288" s="5" t="n"/>
      <c r="R3288" s="4" t="n"/>
      <c r="S3288" s="4" t="n"/>
      <c r="T3288" s="5" t="n"/>
      <c r="U3288" s="8">
        <f>IF(AND(V3288=1,D3288&lt;&gt;""),IF(D3288&gt;=corte,TODAY()-D3288,""),"")</f>
        <v/>
      </c>
      <c r="V3288" s="8">
        <f>IF(D3288="",0,IF(OR(AND(P3288&lt;&gt;"",S3288=""),AND(N(J3288)&gt;0,N(K3288)&lt;J3288),OR(M3288="PENDENTE",M3288="PARCIAL"),OR(N3288="PENDENTE",N3288="PARCIAL")),1,0))</f>
        <v/>
      </c>
      <c r="W3288" s="8">
        <f>IF(AND(V3288=1,D3288&lt;&gt;""),IF(D3288&gt;=corte,(B3288="CRÍTICO")*1E9+(100000-D3288)*10000+10000-ROW(),""),"")</f>
        <v/>
      </c>
      <c r="X3288" s="8">
        <f>IF(AND(V3288=1,D3288=pas_data,E3288=pas_turno),10000-ROW(),"")</f>
        <v/>
      </c>
    </row>
    <row r="3289">
      <c r="A3289" s="3">
        <f>IF(D3289="","","TT-"&amp;TEXT(ROW()-1,"00000"))</f>
        <v/>
      </c>
      <c r="B3289" s="3">
        <f>IF(D3289="","",IF(V3289=0,"CONCLUÍDO",IF(D3289&lt;corte,"HISTÓRICO",IF(OR(AND(ISNUMBER(R3289),R3289&lt;TODAY()),AND(OR(N3289="PENDENTE",N3289="PARCIAL"),D3289&lt;TODAY()-1)),"CRÍTICO",IF(OR(AND(P3289&lt;&gt;"",S3289=""),AND(N3289="REALIZADO",M3289="PENDENTE"),AND(ISNUMBER(R3289),R3289=TODAY())),"ATENÇÃO",IF(N(K3289)=0,"PENDENTE","EM ANDAMENTO"))))))</f>
        <v/>
      </c>
      <c r="C3289" s="3">
        <f>IF(D3289="","",IF(V3289=0,"🟢 OK",IF(D3289&lt;corte,"⚪ HISTÓRICO (sem baixa)",IF(AND(ISNUMBER(R3289),R3289&lt;TODAY()),"🔴 PRAZO VENCIDO",IF(AND(OR(N3289="PENDENTE",N3289="PARCIAL"),D3289&lt;TODAY()-1),"🔴 EMBARQUE ATRASADO",IF(AND(N3289="REALIZADO",M3289="PENDENTE"),"🟡 EMBARCADO SEM FATURAR",IF(AND(P3289&lt;&gt;"",S3289="",OR(Q3289="",R3289="")),"🟡 PENDÊNCIA SEM RESPONSÁVEL/PRAZO",IF(AND(ISNUMBER(R3289),R3289=TODAY()),"🟡 VENCE HOJE",IF(AND(P3289&lt;&gt;"",S3289=""),"🟡 PENDÊNCIA ABERTA",IF(AND(N(J3289)&gt;0,N(K3289)&lt;J3289),"🟡 FALTA EXECUTAR",IF(OR(M3289="PENDENTE",M3289="PARCIAL"),"🟡 FATURAMENTO PENDENTE","🟡 EMBARQUE PENDENTE")))))))))))</f>
        <v/>
      </c>
      <c r="D3289" s="4" t="n"/>
      <c r="E3289" s="5" t="n"/>
      <c r="F3289" s="5" t="n"/>
      <c r="G3289" s="5" t="n"/>
      <c r="H3289" s="5" t="n"/>
      <c r="I3289" s="5" t="n"/>
      <c r="J3289" s="6" t="n"/>
      <c r="K3289" s="6" t="n"/>
      <c r="L3289" s="7">
        <f>IF(OR(D3289="",N(J3289)=0),"",MIN(1,N(K3289)/J3289))</f>
        <v/>
      </c>
      <c r="M3289" s="5" t="n"/>
      <c r="N3289" s="5" t="n"/>
      <c r="O3289" s="5" t="n"/>
      <c r="P3289" s="5" t="n"/>
      <c r="Q3289" s="5" t="n"/>
      <c r="R3289" s="4" t="n"/>
      <c r="S3289" s="4" t="n"/>
      <c r="T3289" s="5" t="n"/>
      <c r="U3289" s="8">
        <f>IF(AND(V3289=1,D3289&lt;&gt;""),IF(D3289&gt;=corte,TODAY()-D3289,""),"")</f>
        <v/>
      </c>
      <c r="V3289" s="8">
        <f>IF(D3289="",0,IF(OR(AND(P3289&lt;&gt;"",S3289=""),AND(N(J3289)&gt;0,N(K3289)&lt;J3289),OR(M3289="PENDENTE",M3289="PARCIAL"),OR(N3289="PENDENTE",N3289="PARCIAL")),1,0))</f>
        <v/>
      </c>
      <c r="W3289" s="8">
        <f>IF(AND(V3289=1,D3289&lt;&gt;""),IF(D3289&gt;=corte,(B3289="CRÍTICO")*1E9+(100000-D3289)*10000+10000-ROW(),""),"")</f>
        <v/>
      </c>
      <c r="X3289" s="8">
        <f>IF(AND(V3289=1,D3289=pas_data,E3289=pas_turno),10000-ROW(),"")</f>
        <v/>
      </c>
    </row>
    <row r="3290">
      <c r="A3290" s="3">
        <f>IF(D3290="","","TT-"&amp;TEXT(ROW()-1,"00000"))</f>
        <v/>
      </c>
      <c r="B3290" s="3">
        <f>IF(D3290="","",IF(V3290=0,"CONCLUÍDO",IF(D3290&lt;corte,"HISTÓRICO",IF(OR(AND(ISNUMBER(R3290),R3290&lt;TODAY()),AND(OR(N3290="PENDENTE",N3290="PARCIAL"),D3290&lt;TODAY()-1)),"CRÍTICO",IF(OR(AND(P3290&lt;&gt;"",S3290=""),AND(N3290="REALIZADO",M3290="PENDENTE"),AND(ISNUMBER(R3290),R3290=TODAY())),"ATENÇÃO",IF(N(K3290)=0,"PENDENTE","EM ANDAMENTO"))))))</f>
        <v/>
      </c>
      <c r="C3290" s="3">
        <f>IF(D3290="","",IF(V3290=0,"🟢 OK",IF(D3290&lt;corte,"⚪ HISTÓRICO (sem baixa)",IF(AND(ISNUMBER(R3290),R3290&lt;TODAY()),"🔴 PRAZO VENCIDO",IF(AND(OR(N3290="PENDENTE",N3290="PARCIAL"),D3290&lt;TODAY()-1),"🔴 EMBARQUE ATRASADO",IF(AND(N3290="REALIZADO",M3290="PENDENTE"),"🟡 EMBARCADO SEM FATURAR",IF(AND(P3290&lt;&gt;"",S3290="",OR(Q3290="",R3290="")),"🟡 PENDÊNCIA SEM RESPONSÁVEL/PRAZO",IF(AND(ISNUMBER(R3290),R3290=TODAY()),"🟡 VENCE HOJE",IF(AND(P3290&lt;&gt;"",S3290=""),"🟡 PENDÊNCIA ABERTA",IF(AND(N(J3290)&gt;0,N(K3290)&lt;J3290),"🟡 FALTA EXECUTAR",IF(OR(M3290="PENDENTE",M3290="PARCIAL"),"🟡 FATURAMENTO PENDENTE","🟡 EMBARQUE PENDENTE")))))))))))</f>
        <v/>
      </c>
      <c r="D3290" s="4" t="n"/>
      <c r="E3290" s="5" t="n"/>
      <c r="F3290" s="5" t="n"/>
      <c r="G3290" s="5" t="n"/>
      <c r="H3290" s="5" t="n"/>
      <c r="I3290" s="5" t="n"/>
      <c r="J3290" s="6" t="n"/>
      <c r="K3290" s="6" t="n"/>
      <c r="L3290" s="7">
        <f>IF(OR(D3290="",N(J3290)=0),"",MIN(1,N(K3290)/J3290))</f>
        <v/>
      </c>
      <c r="M3290" s="5" t="n"/>
      <c r="N3290" s="5" t="n"/>
      <c r="O3290" s="5" t="n"/>
      <c r="P3290" s="5" t="n"/>
      <c r="Q3290" s="5" t="n"/>
      <c r="R3290" s="4" t="n"/>
      <c r="S3290" s="4" t="n"/>
      <c r="T3290" s="5" t="n"/>
      <c r="U3290" s="8">
        <f>IF(AND(V3290=1,D3290&lt;&gt;""),IF(D3290&gt;=corte,TODAY()-D3290,""),"")</f>
        <v/>
      </c>
      <c r="V3290" s="8">
        <f>IF(D3290="",0,IF(OR(AND(P3290&lt;&gt;"",S3290=""),AND(N(J3290)&gt;0,N(K3290)&lt;J3290),OR(M3290="PENDENTE",M3290="PARCIAL"),OR(N3290="PENDENTE",N3290="PARCIAL")),1,0))</f>
        <v/>
      </c>
      <c r="W3290" s="8">
        <f>IF(AND(V3290=1,D3290&lt;&gt;""),IF(D3290&gt;=corte,(B3290="CRÍTICO")*1E9+(100000-D3290)*10000+10000-ROW(),""),"")</f>
        <v/>
      </c>
      <c r="X3290" s="8">
        <f>IF(AND(V3290=1,D3290=pas_data,E3290=pas_turno),10000-ROW(),"")</f>
        <v/>
      </c>
    </row>
    <row r="3291">
      <c r="A3291" s="3">
        <f>IF(D3291="","","TT-"&amp;TEXT(ROW()-1,"00000"))</f>
        <v/>
      </c>
      <c r="B3291" s="3">
        <f>IF(D3291="","",IF(V3291=0,"CONCLUÍDO",IF(D3291&lt;corte,"HISTÓRICO",IF(OR(AND(ISNUMBER(R3291),R3291&lt;TODAY()),AND(OR(N3291="PENDENTE",N3291="PARCIAL"),D3291&lt;TODAY()-1)),"CRÍTICO",IF(OR(AND(P3291&lt;&gt;"",S3291=""),AND(N3291="REALIZADO",M3291="PENDENTE"),AND(ISNUMBER(R3291),R3291=TODAY())),"ATENÇÃO",IF(N(K3291)=0,"PENDENTE","EM ANDAMENTO"))))))</f>
        <v/>
      </c>
      <c r="C3291" s="3">
        <f>IF(D3291="","",IF(V3291=0,"🟢 OK",IF(D3291&lt;corte,"⚪ HISTÓRICO (sem baixa)",IF(AND(ISNUMBER(R3291),R3291&lt;TODAY()),"🔴 PRAZO VENCIDO",IF(AND(OR(N3291="PENDENTE",N3291="PARCIAL"),D3291&lt;TODAY()-1),"🔴 EMBARQUE ATRASADO",IF(AND(N3291="REALIZADO",M3291="PENDENTE"),"🟡 EMBARCADO SEM FATURAR",IF(AND(P3291&lt;&gt;"",S3291="",OR(Q3291="",R3291="")),"🟡 PENDÊNCIA SEM RESPONSÁVEL/PRAZO",IF(AND(ISNUMBER(R3291),R3291=TODAY()),"🟡 VENCE HOJE",IF(AND(P3291&lt;&gt;"",S3291=""),"🟡 PENDÊNCIA ABERTA",IF(AND(N(J3291)&gt;0,N(K3291)&lt;J3291),"🟡 FALTA EXECUTAR",IF(OR(M3291="PENDENTE",M3291="PARCIAL"),"🟡 FATURAMENTO PENDENTE","🟡 EMBARQUE PENDENTE")))))))))))</f>
        <v/>
      </c>
      <c r="D3291" s="4" t="n"/>
      <c r="E3291" s="5" t="n"/>
      <c r="F3291" s="5" t="n"/>
      <c r="G3291" s="5" t="n"/>
      <c r="H3291" s="5" t="n"/>
      <c r="I3291" s="5" t="n"/>
      <c r="J3291" s="6" t="n"/>
      <c r="K3291" s="6" t="n"/>
      <c r="L3291" s="7">
        <f>IF(OR(D3291="",N(J3291)=0),"",MIN(1,N(K3291)/J3291))</f>
        <v/>
      </c>
      <c r="M3291" s="5" t="n"/>
      <c r="N3291" s="5" t="n"/>
      <c r="O3291" s="5" t="n"/>
      <c r="P3291" s="5" t="n"/>
      <c r="Q3291" s="5" t="n"/>
      <c r="R3291" s="4" t="n"/>
      <c r="S3291" s="4" t="n"/>
      <c r="T3291" s="5" t="n"/>
      <c r="U3291" s="8">
        <f>IF(AND(V3291=1,D3291&lt;&gt;""),IF(D3291&gt;=corte,TODAY()-D3291,""),"")</f>
        <v/>
      </c>
      <c r="V3291" s="8">
        <f>IF(D3291="",0,IF(OR(AND(P3291&lt;&gt;"",S3291=""),AND(N(J3291)&gt;0,N(K3291)&lt;J3291),OR(M3291="PENDENTE",M3291="PARCIAL"),OR(N3291="PENDENTE",N3291="PARCIAL")),1,0))</f>
        <v/>
      </c>
      <c r="W3291" s="8">
        <f>IF(AND(V3291=1,D3291&lt;&gt;""),IF(D3291&gt;=corte,(B3291="CRÍTICO")*1E9+(100000-D3291)*10000+10000-ROW(),""),"")</f>
        <v/>
      </c>
      <c r="X3291" s="8">
        <f>IF(AND(V3291=1,D3291=pas_data,E3291=pas_turno),10000-ROW(),"")</f>
        <v/>
      </c>
    </row>
    <row r="3292">
      <c r="A3292" s="3">
        <f>IF(D3292="","","TT-"&amp;TEXT(ROW()-1,"00000"))</f>
        <v/>
      </c>
      <c r="B3292" s="3">
        <f>IF(D3292="","",IF(V3292=0,"CONCLUÍDO",IF(D3292&lt;corte,"HISTÓRICO",IF(OR(AND(ISNUMBER(R3292),R3292&lt;TODAY()),AND(OR(N3292="PENDENTE",N3292="PARCIAL"),D3292&lt;TODAY()-1)),"CRÍTICO",IF(OR(AND(P3292&lt;&gt;"",S3292=""),AND(N3292="REALIZADO",M3292="PENDENTE"),AND(ISNUMBER(R3292),R3292=TODAY())),"ATENÇÃO",IF(N(K3292)=0,"PENDENTE","EM ANDAMENTO"))))))</f>
        <v/>
      </c>
      <c r="C3292" s="3">
        <f>IF(D3292="","",IF(V3292=0,"🟢 OK",IF(D3292&lt;corte,"⚪ HISTÓRICO (sem baixa)",IF(AND(ISNUMBER(R3292),R3292&lt;TODAY()),"🔴 PRAZO VENCIDO",IF(AND(OR(N3292="PENDENTE",N3292="PARCIAL"),D3292&lt;TODAY()-1),"🔴 EMBARQUE ATRASADO",IF(AND(N3292="REALIZADO",M3292="PENDENTE"),"🟡 EMBARCADO SEM FATURAR",IF(AND(P3292&lt;&gt;"",S3292="",OR(Q3292="",R3292="")),"🟡 PENDÊNCIA SEM RESPONSÁVEL/PRAZO",IF(AND(ISNUMBER(R3292),R3292=TODAY()),"🟡 VENCE HOJE",IF(AND(P3292&lt;&gt;"",S3292=""),"🟡 PENDÊNCIA ABERTA",IF(AND(N(J3292)&gt;0,N(K3292)&lt;J3292),"🟡 FALTA EXECUTAR",IF(OR(M3292="PENDENTE",M3292="PARCIAL"),"🟡 FATURAMENTO PENDENTE","🟡 EMBARQUE PENDENTE")))))))))))</f>
        <v/>
      </c>
      <c r="D3292" s="4" t="n"/>
      <c r="E3292" s="5" t="n"/>
      <c r="F3292" s="5" t="n"/>
      <c r="G3292" s="5" t="n"/>
      <c r="H3292" s="5" t="n"/>
      <c r="I3292" s="5" t="n"/>
      <c r="J3292" s="6" t="n"/>
      <c r="K3292" s="6" t="n"/>
      <c r="L3292" s="7">
        <f>IF(OR(D3292="",N(J3292)=0),"",MIN(1,N(K3292)/J3292))</f>
        <v/>
      </c>
      <c r="M3292" s="5" t="n"/>
      <c r="N3292" s="5" t="n"/>
      <c r="O3292" s="5" t="n"/>
      <c r="P3292" s="5" t="n"/>
      <c r="Q3292" s="5" t="n"/>
      <c r="R3292" s="4" t="n"/>
      <c r="S3292" s="4" t="n"/>
      <c r="T3292" s="5" t="n"/>
      <c r="U3292" s="8">
        <f>IF(AND(V3292=1,D3292&lt;&gt;""),IF(D3292&gt;=corte,TODAY()-D3292,""),"")</f>
        <v/>
      </c>
      <c r="V3292" s="8">
        <f>IF(D3292="",0,IF(OR(AND(P3292&lt;&gt;"",S3292=""),AND(N(J3292)&gt;0,N(K3292)&lt;J3292),OR(M3292="PENDENTE",M3292="PARCIAL"),OR(N3292="PENDENTE",N3292="PARCIAL")),1,0))</f>
        <v/>
      </c>
      <c r="W3292" s="8">
        <f>IF(AND(V3292=1,D3292&lt;&gt;""),IF(D3292&gt;=corte,(B3292="CRÍTICO")*1E9+(100000-D3292)*10000+10000-ROW(),""),"")</f>
        <v/>
      </c>
      <c r="X3292" s="8">
        <f>IF(AND(V3292=1,D3292=pas_data,E3292=pas_turno),10000-ROW(),"")</f>
        <v/>
      </c>
    </row>
    <row r="3293">
      <c r="A3293" s="3">
        <f>IF(D3293="","","TT-"&amp;TEXT(ROW()-1,"00000"))</f>
        <v/>
      </c>
      <c r="B3293" s="3">
        <f>IF(D3293="","",IF(V3293=0,"CONCLUÍDO",IF(D3293&lt;corte,"HISTÓRICO",IF(OR(AND(ISNUMBER(R3293),R3293&lt;TODAY()),AND(OR(N3293="PENDENTE",N3293="PARCIAL"),D3293&lt;TODAY()-1)),"CRÍTICO",IF(OR(AND(P3293&lt;&gt;"",S3293=""),AND(N3293="REALIZADO",M3293="PENDENTE"),AND(ISNUMBER(R3293),R3293=TODAY())),"ATENÇÃO",IF(N(K3293)=0,"PENDENTE","EM ANDAMENTO"))))))</f>
        <v/>
      </c>
      <c r="C3293" s="3">
        <f>IF(D3293="","",IF(V3293=0,"🟢 OK",IF(D3293&lt;corte,"⚪ HISTÓRICO (sem baixa)",IF(AND(ISNUMBER(R3293),R3293&lt;TODAY()),"🔴 PRAZO VENCIDO",IF(AND(OR(N3293="PENDENTE",N3293="PARCIAL"),D3293&lt;TODAY()-1),"🔴 EMBARQUE ATRASADO",IF(AND(N3293="REALIZADO",M3293="PENDENTE"),"🟡 EMBARCADO SEM FATURAR",IF(AND(P3293&lt;&gt;"",S3293="",OR(Q3293="",R3293="")),"🟡 PENDÊNCIA SEM RESPONSÁVEL/PRAZO",IF(AND(ISNUMBER(R3293),R3293=TODAY()),"🟡 VENCE HOJE",IF(AND(P3293&lt;&gt;"",S3293=""),"🟡 PENDÊNCIA ABERTA",IF(AND(N(J3293)&gt;0,N(K3293)&lt;J3293),"🟡 FALTA EXECUTAR",IF(OR(M3293="PENDENTE",M3293="PARCIAL"),"🟡 FATURAMENTO PENDENTE","🟡 EMBARQUE PENDENTE")))))))))))</f>
        <v/>
      </c>
      <c r="D3293" s="4" t="n"/>
      <c r="E3293" s="5" t="n"/>
      <c r="F3293" s="5" t="n"/>
      <c r="G3293" s="5" t="n"/>
      <c r="H3293" s="5" t="n"/>
      <c r="I3293" s="5" t="n"/>
      <c r="J3293" s="6" t="n"/>
      <c r="K3293" s="6" t="n"/>
      <c r="L3293" s="7">
        <f>IF(OR(D3293="",N(J3293)=0),"",MIN(1,N(K3293)/J3293))</f>
        <v/>
      </c>
      <c r="M3293" s="5" t="n"/>
      <c r="N3293" s="5" t="n"/>
      <c r="O3293" s="5" t="n"/>
      <c r="P3293" s="5" t="n"/>
      <c r="Q3293" s="5" t="n"/>
      <c r="R3293" s="4" t="n"/>
      <c r="S3293" s="4" t="n"/>
      <c r="T3293" s="5" t="n"/>
      <c r="U3293" s="8">
        <f>IF(AND(V3293=1,D3293&lt;&gt;""),IF(D3293&gt;=corte,TODAY()-D3293,""),"")</f>
        <v/>
      </c>
      <c r="V3293" s="8">
        <f>IF(D3293="",0,IF(OR(AND(P3293&lt;&gt;"",S3293=""),AND(N(J3293)&gt;0,N(K3293)&lt;J3293),OR(M3293="PENDENTE",M3293="PARCIAL"),OR(N3293="PENDENTE",N3293="PARCIAL")),1,0))</f>
        <v/>
      </c>
      <c r="W3293" s="8">
        <f>IF(AND(V3293=1,D3293&lt;&gt;""),IF(D3293&gt;=corte,(B3293="CRÍTICO")*1E9+(100000-D3293)*10000+10000-ROW(),""),"")</f>
        <v/>
      </c>
      <c r="X3293" s="8">
        <f>IF(AND(V3293=1,D3293=pas_data,E3293=pas_turno),10000-ROW(),"")</f>
        <v/>
      </c>
    </row>
    <row r="3294">
      <c r="A3294" s="3">
        <f>IF(D3294="","","TT-"&amp;TEXT(ROW()-1,"00000"))</f>
        <v/>
      </c>
      <c r="B3294" s="3">
        <f>IF(D3294="","",IF(V3294=0,"CONCLUÍDO",IF(D3294&lt;corte,"HISTÓRICO",IF(OR(AND(ISNUMBER(R3294),R3294&lt;TODAY()),AND(OR(N3294="PENDENTE",N3294="PARCIAL"),D3294&lt;TODAY()-1)),"CRÍTICO",IF(OR(AND(P3294&lt;&gt;"",S3294=""),AND(N3294="REALIZADO",M3294="PENDENTE"),AND(ISNUMBER(R3294),R3294=TODAY())),"ATENÇÃO",IF(N(K3294)=0,"PENDENTE","EM ANDAMENTO"))))))</f>
        <v/>
      </c>
      <c r="C3294" s="3">
        <f>IF(D3294="","",IF(V3294=0,"🟢 OK",IF(D3294&lt;corte,"⚪ HISTÓRICO (sem baixa)",IF(AND(ISNUMBER(R3294),R3294&lt;TODAY()),"🔴 PRAZO VENCIDO",IF(AND(OR(N3294="PENDENTE",N3294="PARCIAL"),D3294&lt;TODAY()-1),"🔴 EMBARQUE ATRASADO",IF(AND(N3294="REALIZADO",M3294="PENDENTE"),"🟡 EMBARCADO SEM FATURAR",IF(AND(P3294&lt;&gt;"",S3294="",OR(Q3294="",R3294="")),"🟡 PENDÊNCIA SEM RESPONSÁVEL/PRAZO",IF(AND(ISNUMBER(R3294),R3294=TODAY()),"🟡 VENCE HOJE",IF(AND(P3294&lt;&gt;"",S3294=""),"🟡 PENDÊNCIA ABERTA",IF(AND(N(J3294)&gt;0,N(K3294)&lt;J3294),"🟡 FALTA EXECUTAR",IF(OR(M3294="PENDENTE",M3294="PARCIAL"),"🟡 FATURAMENTO PENDENTE","🟡 EMBARQUE PENDENTE")))))))))))</f>
        <v/>
      </c>
      <c r="D3294" s="4" t="n"/>
      <c r="E3294" s="5" t="n"/>
      <c r="F3294" s="5" t="n"/>
      <c r="G3294" s="5" t="n"/>
      <c r="H3294" s="5" t="n"/>
      <c r="I3294" s="5" t="n"/>
      <c r="J3294" s="6" t="n"/>
      <c r="K3294" s="6" t="n"/>
      <c r="L3294" s="7">
        <f>IF(OR(D3294="",N(J3294)=0),"",MIN(1,N(K3294)/J3294))</f>
        <v/>
      </c>
      <c r="M3294" s="5" t="n"/>
      <c r="N3294" s="5" t="n"/>
      <c r="O3294" s="5" t="n"/>
      <c r="P3294" s="5" t="n"/>
      <c r="Q3294" s="5" t="n"/>
      <c r="R3294" s="4" t="n"/>
      <c r="S3294" s="4" t="n"/>
      <c r="T3294" s="5" t="n"/>
      <c r="U3294" s="8">
        <f>IF(AND(V3294=1,D3294&lt;&gt;""),IF(D3294&gt;=corte,TODAY()-D3294,""),"")</f>
        <v/>
      </c>
      <c r="V3294" s="8">
        <f>IF(D3294="",0,IF(OR(AND(P3294&lt;&gt;"",S3294=""),AND(N(J3294)&gt;0,N(K3294)&lt;J3294),OR(M3294="PENDENTE",M3294="PARCIAL"),OR(N3294="PENDENTE",N3294="PARCIAL")),1,0))</f>
        <v/>
      </c>
      <c r="W3294" s="8">
        <f>IF(AND(V3294=1,D3294&lt;&gt;""),IF(D3294&gt;=corte,(B3294="CRÍTICO")*1E9+(100000-D3294)*10000+10000-ROW(),""),"")</f>
        <v/>
      </c>
      <c r="X3294" s="8">
        <f>IF(AND(V3294=1,D3294=pas_data,E3294=pas_turno),10000-ROW(),"")</f>
        <v/>
      </c>
    </row>
    <row r="3295">
      <c r="A3295" s="3">
        <f>IF(D3295="","","TT-"&amp;TEXT(ROW()-1,"00000"))</f>
        <v/>
      </c>
      <c r="B3295" s="3">
        <f>IF(D3295="","",IF(V3295=0,"CONCLUÍDO",IF(D3295&lt;corte,"HISTÓRICO",IF(OR(AND(ISNUMBER(R3295),R3295&lt;TODAY()),AND(OR(N3295="PENDENTE",N3295="PARCIAL"),D3295&lt;TODAY()-1)),"CRÍTICO",IF(OR(AND(P3295&lt;&gt;"",S3295=""),AND(N3295="REALIZADO",M3295="PENDENTE"),AND(ISNUMBER(R3295),R3295=TODAY())),"ATENÇÃO",IF(N(K3295)=0,"PENDENTE","EM ANDAMENTO"))))))</f>
        <v/>
      </c>
      <c r="C3295" s="3">
        <f>IF(D3295="","",IF(V3295=0,"🟢 OK",IF(D3295&lt;corte,"⚪ HISTÓRICO (sem baixa)",IF(AND(ISNUMBER(R3295),R3295&lt;TODAY()),"🔴 PRAZO VENCIDO",IF(AND(OR(N3295="PENDENTE",N3295="PARCIAL"),D3295&lt;TODAY()-1),"🔴 EMBARQUE ATRASADO",IF(AND(N3295="REALIZADO",M3295="PENDENTE"),"🟡 EMBARCADO SEM FATURAR",IF(AND(P3295&lt;&gt;"",S3295="",OR(Q3295="",R3295="")),"🟡 PENDÊNCIA SEM RESPONSÁVEL/PRAZO",IF(AND(ISNUMBER(R3295),R3295=TODAY()),"🟡 VENCE HOJE",IF(AND(P3295&lt;&gt;"",S3295=""),"🟡 PENDÊNCIA ABERTA",IF(AND(N(J3295)&gt;0,N(K3295)&lt;J3295),"🟡 FALTA EXECUTAR",IF(OR(M3295="PENDENTE",M3295="PARCIAL"),"🟡 FATURAMENTO PENDENTE","🟡 EMBARQUE PENDENTE")))))))))))</f>
        <v/>
      </c>
      <c r="D3295" s="4" t="n"/>
      <c r="E3295" s="5" t="n"/>
      <c r="F3295" s="5" t="n"/>
      <c r="G3295" s="5" t="n"/>
      <c r="H3295" s="5" t="n"/>
      <c r="I3295" s="5" t="n"/>
      <c r="J3295" s="6" t="n"/>
      <c r="K3295" s="6" t="n"/>
      <c r="L3295" s="7">
        <f>IF(OR(D3295="",N(J3295)=0),"",MIN(1,N(K3295)/J3295))</f>
        <v/>
      </c>
      <c r="M3295" s="5" t="n"/>
      <c r="N3295" s="5" t="n"/>
      <c r="O3295" s="5" t="n"/>
      <c r="P3295" s="5" t="n"/>
      <c r="Q3295" s="5" t="n"/>
      <c r="R3295" s="4" t="n"/>
      <c r="S3295" s="4" t="n"/>
      <c r="T3295" s="5" t="n"/>
      <c r="U3295" s="8">
        <f>IF(AND(V3295=1,D3295&lt;&gt;""),IF(D3295&gt;=corte,TODAY()-D3295,""),"")</f>
        <v/>
      </c>
      <c r="V3295" s="8">
        <f>IF(D3295="",0,IF(OR(AND(P3295&lt;&gt;"",S3295=""),AND(N(J3295)&gt;0,N(K3295)&lt;J3295),OR(M3295="PENDENTE",M3295="PARCIAL"),OR(N3295="PENDENTE",N3295="PARCIAL")),1,0))</f>
        <v/>
      </c>
      <c r="W3295" s="8">
        <f>IF(AND(V3295=1,D3295&lt;&gt;""),IF(D3295&gt;=corte,(B3295="CRÍTICO")*1E9+(100000-D3295)*10000+10000-ROW(),""),"")</f>
        <v/>
      </c>
      <c r="X3295" s="8">
        <f>IF(AND(V3295=1,D3295=pas_data,E3295=pas_turno),10000-ROW(),"")</f>
        <v/>
      </c>
    </row>
    <row r="3296">
      <c r="A3296" s="3">
        <f>IF(D3296="","","TT-"&amp;TEXT(ROW()-1,"00000"))</f>
        <v/>
      </c>
      <c r="B3296" s="3">
        <f>IF(D3296="","",IF(V3296=0,"CONCLUÍDO",IF(D3296&lt;corte,"HISTÓRICO",IF(OR(AND(ISNUMBER(R3296),R3296&lt;TODAY()),AND(OR(N3296="PENDENTE",N3296="PARCIAL"),D3296&lt;TODAY()-1)),"CRÍTICO",IF(OR(AND(P3296&lt;&gt;"",S3296=""),AND(N3296="REALIZADO",M3296="PENDENTE"),AND(ISNUMBER(R3296),R3296=TODAY())),"ATENÇÃO",IF(N(K3296)=0,"PENDENTE","EM ANDAMENTO"))))))</f>
        <v/>
      </c>
      <c r="C3296" s="3">
        <f>IF(D3296="","",IF(V3296=0,"🟢 OK",IF(D3296&lt;corte,"⚪ HISTÓRICO (sem baixa)",IF(AND(ISNUMBER(R3296),R3296&lt;TODAY()),"🔴 PRAZO VENCIDO",IF(AND(OR(N3296="PENDENTE",N3296="PARCIAL"),D3296&lt;TODAY()-1),"🔴 EMBARQUE ATRASADO",IF(AND(N3296="REALIZADO",M3296="PENDENTE"),"🟡 EMBARCADO SEM FATURAR",IF(AND(P3296&lt;&gt;"",S3296="",OR(Q3296="",R3296="")),"🟡 PENDÊNCIA SEM RESPONSÁVEL/PRAZO",IF(AND(ISNUMBER(R3296),R3296=TODAY()),"🟡 VENCE HOJE",IF(AND(P3296&lt;&gt;"",S3296=""),"🟡 PENDÊNCIA ABERTA",IF(AND(N(J3296)&gt;0,N(K3296)&lt;J3296),"🟡 FALTA EXECUTAR",IF(OR(M3296="PENDENTE",M3296="PARCIAL"),"🟡 FATURAMENTO PENDENTE","🟡 EMBARQUE PENDENTE")))))))))))</f>
        <v/>
      </c>
      <c r="D3296" s="4" t="n"/>
      <c r="E3296" s="5" t="n"/>
      <c r="F3296" s="5" t="n"/>
      <c r="G3296" s="5" t="n"/>
      <c r="H3296" s="5" t="n"/>
      <c r="I3296" s="5" t="n"/>
      <c r="J3296" s="6" t="n"/>
      <c r="K3296" s="6" t="n"/>
      <c r="L3296" s="7">
        <f>IF(OR(D3296="",N(J3296)=0),"",MIN(1,N(K3296)/J3296))</f>
        <v/>
      </c>
      <c r="M3296" s="5" t="n"/>
      <c r="N3296" s="5" t="n"/>
      <c r="O3296" s="5" t="n"/>
      <c r="P3296" s="5" t="n"/>
      <c r="Q3296" s="5" t="n"/>
      <c r="R3296" s="4" t="n"/>
      <c r="S3296" s="4" t="n"/>
      <c r="T3296" s="5" t="n"/>
      <c r="U3296" s="8">
        <f>IF(AND(V3296=1,D3296&lt;&gt;""),IF(D3296&gt;=corte,TODAY()-D3296,""),"")</f>
        <v/>
      </c>
      <c r="V3296" s="8">
        <f>IF(D3296="",0,IF(OR(AND(P3296&lt;&gt;"",S3296=""),AND(N(J3296)&gt;0,N(K3296)&lt;J3296),OR(M3296="PENDENTE",M3296="PARCIAL"),OR(N3296="PENDENTE",N3296="PARCIAL")),1,0))</f>
        <v/>
      </c>
      <c r="W3296" s="8">
        <f>IF(AND(V3296=1,D3296&lt;&gt;""),IF(D3296&gt;=corte,(B3296="CRÍTICO")*1E9+(100000-D3296)*10000+10000-ROW(),""),"")</f>
        <v/>
      </c>
      <c r="X3296" s="8">
        <f>IF(AND(V3296=1,D3296=pas_data,E3296=pas_turno),10000-ROW(),"")</f>
        <v/>
      </c>
    </row>
    <row r="3297">
      <c r="A3297" s="3">
        <f>IF(D3297="","","TT-"&amp;TEXT(ROW()-1,"00000"))</f>
        <v/>
      </c>
      <c r="B3297" s="3">
        <f>IF(D3297="","",IF(V3297=0,"CONCLUÍDO",IF(D3297&lt;corte,"HISTÓRICO",IF(OR(AND(ISNUMBER(R3297),R3297&lt;TODAY()),AND(OR(N3297="PENDENTE",N3297="PARCIAL"),D3297&lt;TODAY()-1)),"CRÍTICO",IF(OR(AND(P3297&lt;&gt;"",S3297=""),AND(N3297="REALIZADO",M3297="PENDENTE"),AND(ISNUMBER(R3297),R3297=TODAY())),"ATENÇÃO",IF(N(K3297)=0,"PENDENTE","EM ANDAMENTO"))))))</f>
        <v/>
      </c>
      <c r="C3297" s="3">
        <f>IF(D3297="","",IF(V3297=0,"🟢 OK",IF(D3297&lt;corte,"⚪ HISTÓRICO (sem baixa)",IF(AND(ISNUMBER(R3297),R3297&lt;TODAY()),"🔴 PRAZO VENCIDO",IF(AND(OR(N3297="PENDENTE",N3297="PARCIAL"),D3297&lt;TODAY()-1),"🔴 EMBARQUE ATRASADO",IF(AND(N3297="REALIZADO",M3297="PENDENTE"),"🟡 EMBARCADO SEM FATURAR",IF(AND(P3297&lt;&gt;"",S3297="",OR(Q3297="",R3297="")),"🟡 PENDÊNCIA SEM RESPONSÁVEL/PRAZO",IF(AND(ISNUMBER(R3297),R3297=TODAY()),"🟡 VENCE HOJE",IF(AND(P3297&lt;&gt;"",S3297=""),"🟡 PENDÊNCIA ABERTA",IF(AND(N(J3297)&gt;0,N(K3297)&lt;J3297),"🟡 FALTA EXECUTAR",IF(OR(M3297="PENDENTE",M3297="PARCIAL"),"🟡 FATURAMENTO PENDENTE","🟡 EMBARQUE PENDENTE")))))))))))</f>
        <v/>
      </c>
      <c r="D3297" s="4" t="n"/>
      <c r="E3297" s="5" t="n"/>
      <c r="F3297" s="5" t="n"/>
      <c r="G3297" s="5" t="n"/>
      <c r="H3297" s="5" t="n"/>
      <c r="I3297" s="5" t="n"/>
      <c r="J3297" s="6" t="n"/>
      <c r="K3297" s="6" t="n"/>
      <c r="L3297" s="7">
        <f>IF(OR(D3297="",N(J3297)=0),"",MIN(1,N(K3297)/J3297))</f>
        <v/>
      </c>
      <c r="M3297" s="5" t="n"/>
      <c r="N3297" s="5" t="n"/>
      <c r="O3297" s="5" t="n"/>
      <c r="P3297" s="5" t="n"/>
      <c r="Q3297" s="5" t="n"/>
      <c r="R3297" s="4" t="n"/>
      <c r="S3297" s="4" t="n"/>
      <c r="T3297" s="5" t="n"/>
      <c r="U3297" s="8">
        <f>IF(AND(V3297=1,D3297&lt;&gt;""),IF(D3297&gt;=corte,TODAY()-D3297,""),"")</f>
        <v/>
      </c>
      <c r="V3297" s="8">
        <f>IF(D3297="",0,IF(OR(AND(P3297&lt;&gt;"",S3297=""),AND(N(J3297)&gt;0,N(K3297)&lt;J3297),OR(M3297="PENDENTE",M3297="PARCIAL"),OR(N3297="PENDENTE",N3297="PARCIAL")),1,0))</f>
        <v/>
      </c>
      <c r="W3297" s="8">
        <f>IF(AND(V3297=1,D3297&lt;&gt;""),IF(D3297&gt;=corte,(B3297="CRÍTICO")*1E9+(100000-D3297)*10000+10000-ROW(),""),"")</f>
        <v/>
      </c>
      <c r="X3297" s="8">
        <f>IF(AND(V3297=1,D3297=pas_data,E3297=pas_turno),10000-ROW(),"")</f>
        <v/>
      </c>
    </row>
    <row r="3298">
      <c r="A3298" s="3">
        <f>IF(D3298="","","TT-"&amp;TEXT(ROW()-1,"00000"))</f>
        <v/>
      </c>
      <c r="B3298" s="3">
        <f>IF(D3298="","",IF(V3298=0,"CONCLUÍDO",IF(D3298&lt;corte,"HISTÓRICO",IF(OR(AND(ISNUMBER(R3298),R3298&lt;TODAY()),AND(OR(N3298="PENDENTE",N3298="PARCIAL"),D3298&lt;TODAY()-1)),"CRÍTICO",IF(OR(AND(P3298&lt;&gt;"",S3298=""),AND(N3298="REALIZADO",M3298="PENDENTE"),AND(ISNUMBER(R3298),R3298=TODAY())),"ATENÇÃO",IF(N(K3298)=0,"PENDENTE","EM ANDAMENTO"))))))</f>
        <v/>
      </c>
      <c r="C3298" s="3">
        <f>IF(D3298="","",IF(V3298=0,"🟢 OK",IF(D3298&lt;corte,"⚪ HISTÓRICO (sem baixa)",IF(AND(ISNUMBER(R3298),R3298&lt;TODAY()),"🔴 PRAZO VENCIDO",IF(AND(OR(N3298="PENDENTE",N3298="PARCIAL"),D3298&lt;TODAY()-1),"🔴 EMBARQUE ATRASADO",IF(AND(N3298="REALIZADO",M3298="PENDENTE"),"🟡 EMBARCADO SEM FATURAR",IF(AND(P3298&lt;&gt;"",S3298="",OR(Q3298="",R3298="")),"🟡 PENDÊNCIA SEM RESPONSÁVEL/PRAZO",IF(AND(ISNUMBER(R3298),R3298=TODAY()),"🟡 VENCE HOJE",IF(AND(P3298&lt;&gt;"",S3298=""),"🟡 PENDÊNCIA ABERTA",IF(AND(N(J3298)&gt;0,N(K3298)&lt;J3298),"🟡 FALTA EXECUTAR",IF(OR(M3298="PENDENTE",M3298="PARCIAL"),"🟡 FATURAMENTO PENDENTE","🟡 EMBARQUE PENDENTE")))))))))))</f>
        <v/>
      </c>
      <c r="D3298" s="4" t="n"/>
      <c r="E3298" s="5" t="n"/>
      <c r="F3298" s="5" t="n"/>
      <c r="G3298" s="5" t="n"/>
      <c r="H3298" s="5" t="n"/>
      <c r="I3298" s="5" t="n"/>
      <c r="J3298" s="6" t="n"/>
      <c r="K3298" s="6" t="n"/>
      <c r="L3298" s="7">
        <f>IF(OR(D3298="",N(J3298)=0),"",MIN(1,N(K3298)/J3298))</f>
        <v/>
      </c>
      <c r="M3298" s="5" t="n"/>
      <c r="N3298" s="5" t="n"/>
      <c r="O3298" s="5" t="n"/>
      <c r="P3298" s="5" t="n"/>
      <c r="Q3298" s="5" t="n"/>
      <c r="R3298" s="4" t="n"/>
      <c r="S3298" s="4" t="n"/>
      <c r="T3298" s="5" t="n"/>
      <c r="U3298" s="8">
        <f>IF(AND(V3298=1,D3298&lt;&gt;""),IF(D3298&gt;=corte,TODAY()-D3298,""),"")</f>
        <v/>
      </c>
      <c r="V3298" s="8">
        <f>IF(D3298="",0,IF(OR(AND(P3298&lt;&gt;"",S3298=""),AND(N(J3298)&gt;0,N(K3298)&lt;J3298),OR(M3298="PENDENTE",M3298="PARCIAL"),OR(N3298="PENDENTE",N3298="PARCIAL")),1,0))</f>
        <v/>
      </c>
      <c r="W3298" s="8">
        <f>IF(AND(V3298=1,D3298&lt;&gt;""),IF(D3298&gt;=corte,(B3298="CRÍTICO")*1E9+(100000-D3298)*10000+10000-ROW(),""),"")</f>
        <v/>
      </c>
      <c r="X3298" s="8">
        <f>IF(AND(V3298=1,D3298=pas_data,E3298=pas_turno),10000-ROW(),"")</f>
        <v/>
      </c>
    </row>
    <row r="3299">
      <c r="A3299" s="3">
        <f>IF(D3299="","","TT-"&amp;TEXT(ROW()-1,"00000"))</f>
        <v/>
      </c>
      <c r="B3299" s="3">
        <f>IF(D3299="","",IF(V3299=0,"CONCLUÍDO",IF(D3299&lt;corte,"HISTÓRICO",IF(OR(AND(ISNUMBER(R3299),R3299&lt;TODAY()),AND(OR(N3299="PENDENTE",N3299="PARCIAL"),D3299&lt;TODAY()-1)),"CRÍTICO",IF(OR(AND(P3299&lt;&gt;"",S3299=""),AND(N3299="REALIZADO",M3299="PENDENTE"),AND(ISNUMBER(R3299),R3299=TODAY())),"ATENÇÃO",IF(N(K3299)=0,"PENDENTE","EM ANDAMENTO"))))))</f>
        <v/>
      </c>
      <c r="C3299" s="3">
        <f>IF(D3299="","",IF(V3299=0,"🟢 OK",IF(D3299&lt;corte,"⚪ HISTÓRICO (sem baixa)",IF(AND(ISNUMBER(R3299),R3299&lt;TODAY()),"🔴 PRAZO VENCIDO",IF(AND(OR(N3299="PENDENTE",N3299="PARCIAL"),D3299&lt;TODAY()-1),"🔴 EMBARQUE ATRASADO",IF(AND(N3299="REALIZADO",M3299="PENDENTE"),"🟡 EMBARCADO SEM FATURAR",IF(AND(P3299&lt;&gt;"",S3299="",OR(Q3299="",R3299="")),"🟡 PENDÊNCIA SEM RESPONSÁVEL/PRAZO",IF(AND(ISNUMBER(R3299),R3299=TODAY()),"🟡 VENCE HOJE",IF(AND(P3299&lt;&gt;"",S3299=""),"🟡 PENDÊNCIA ABERTA",IF(AND(N(J3299)&gt;0,N(K3299)&lt;J3299),"🟡 FALTA EXECUTAR",IF(OR(M3299="PENDENTE",M3299="PARCIAL"),"🟡 FATURAMENTO PENDENTE","🟡 EMBARQUE PENDENTE")))))))))))</f>
        <v/>
      </c>
      <c r="D3299" s="4" t="n"/>
      <c r="E3299" s="5" t="n"/>
      <c r="F3299" s="5" t="n"/>
      <c r="G3299" s="5" t="n"/>
      <c r="H3299" s="5" t="n"/>
      <c r="I3299" s="5" t="n"/>
      <c r="J3299" s="6" t="n"/>
      <c r="K3299" s="6" t="n"/>
      <c r="L3299" s="7">
        <f>IF(OR(D3299="",N(J3299)=0),"",MIN(1,N(K3299)/J3299))</f>
        <v/>
      </c>
      <c r="M3299" s="5" t="n"/>
      <c r="N3299" s="5" t="n"/>
      <c r="O3299" s="5" t="n"/>
      <c r="P3299" s="5" t="n"/>
      <c r="Q3299" s="5" t="n"/>
      <c r="R3299" s="4" t="n"/>
      <c r="S3299" s="4" t="n"/>
      <c r="T3299" s="5" t="n"/>
      <c r="U3299" s="8">
        <f>IF(AND(V3299=1,D3299&lt;&gt;""),IF(D3299&gt;=corte,TODAY()-D3299,""),"")</f>
        <v/>
      </c>
      <c r="V3299" s="8">
        <f>IF(D3299="",0,IF(OR(AND(P3299&lt;&gt;"",S3299=""),AND(N(J3299)&gt;0,N(K3299)&lt;J3299),OR(M3299="PENDENTE",M3299="PARCIAL"),OR(N3299="PENDENTE",N3299="PARCIAL")),1,0))</f>
        <v/>
      </c>
      <c r="W3299" s="8">
        <f>IF(AND(V3299=1,D3299&lt;&gt;""),IF(D3299&gt;=corte,(B3299="CRÍTICO")*1E9+(100000-D3299)*10000+10000-ROW(),""),"")</f>
        <v/>
      </c>
      <c r="X3299" s="8">
        <f>IF(AND(V3299=1,D3299=pas_data,E3299=pas_turno),10000-ROW(),"")</f>
        <v/>
      </c>
    </row>
    <row r="3300">
      <c r="A3300" s="3">
        <f>IF(D3300="","","TT-"&amp;TEXT(ROW()-1,"00000"))</f>
        <v/>
      </c>
      <c r="B3300" s="3">
        <f>IF(D3300="","",IF(V3300=0,"CONCLUÍDO",IF(D3300&lt;corte,"HISTÓRICO",IF(OR(AND(ISNUMBER(R3300),R3300&lt;TODAY()),AND(OR(N3300="PENDENTE",N3300="PARCIAL"),D3300&lt;TODAY()-1)),"CRÍTICO",IF(OR(AND(P3300&lt;&gt;"",S3300=""),AND(N3300="REALIZADO",M3300="PENDENTE"),AND(ISNUMBER(R3300),R3300=TODAY())),"ATENÇÃO",IF(N(K3300)=0,"PENDENTE","EM ANDAMENTO"))))))</f>
        <v/>
      </c>
      <c r="C3300" s="3">
        <f>IF(D3300="","",IF(V3300=0,"🟢 OK",IF(D3300&lt;corte,"⚪ HISTÓRICO (sem baixa)",IF(AND(ISNUMBER(R3300),R3300&lt;TODAY()),"🔴 PRAZO VENCIDO",IF(AND(OR(N3300="PENDENTE",N3300="PARCIAL"),D3300&lt;TODAY()-1),"🔴 EMBARQUE ATRASADO",IF(AND(N3300="REALIZADO",M3300="PENDENTE"),"🟡 EMBARCADO SEM FATURAR",IF(AND(P3300&lt;&gt;"",S3300="",OR(Q3300="",R3300="")),"🟡 PENDÊNCIA SEM RESPONSÁVEL/PRAZO",IF(AND(ISNUMBER(R3300),R3300=TODAY()),"🟡 VENCE HOJE",IF(AND(P3300&lt;&gt;"",S3300=""),"🟡 PENDÊNCIA ABERTA",IF(AND(N(J3300)&gt;0,N(K3300)&lt;J3300),"🟡 FALTA EXECUTAR",IF(OR(M3300="PENDENTE",M3300="PARCIAL"),"🟡 FATURAMENTO PENDENTE","🟡 EMBARQUE PENDENTE")))))))))))</f>
        <v/>
      </c>
      <c r="D3300" s="4" t="n"/>
      <c r="E3300" s="5" t="n"/>
      <c r="F3300" s="5" t="n"/>
      <c r="G3300" s="5" t="n"/>
      <c r="H3300" s="5" t="n"/>
      <c r="I3300" s="5" t="n"/>
      <c r="J3300" s="6" t="n"/>
      <c r="K3300" s="6" t="n"/>
      <c r="L3300" s="7">
        <f>IF(OR(D3300="",N(J3300)=0),"",MIN(1,N(K3300)/J3300))</f>
        <v/>
      </c>
      <c r="M3300" s="5" t="n"/>
      <c r="N3300" s="5" t="n"/>
      <c r="O3300" s="5" t="n"/>
      <c r="P3300" s="5" t="n"/>
      <c r="Q3300" s="5" t="n"/>
      <c r="R3300" s="4" t="n"/>
      <c r="S3300" s="4" t="n"/>
      <c r="T3300" s="5" t="n"/>
      <c r="U3300" s="8">
        <f>IF(AND(V3300=1,D3300&lt;&gt;""),IF(D3300&gt;=corte,TODAY()-D3300,""),"")</f>
        <v/>
      </c>
      <c r="V3300" s="8">
        <f>IF(D3300="",0,IF(OR(AND(P3300&lt;&gt;"",S3300=""),AND(N(J3300)&gt;0,N(K3300)&lt;J3300),OR(M3300="PENDENTE",M3300="PARCIAL"),OR(N3300="PENDENTE",N3300="PARCIAL")),1,0))</f>
        <v/>
      </c>
      <c r="W3300" s="8">
        <f>IF(AND(V3300=1,D3300&lt;&gt;""),IF(D3300&gt;=corte,(B3300="CRÍTICO")*1E9+(100000-D3300)*10000+10000-ROW(),""),"")</f>
        <v/>
      </c>
      <c r="X3300" s="8">
        <f>IF(AND(V3300=1,D3300=pas_data,E3300=pas_turno),10000-ROW(),"")</f>
        <v/>
      </c>
    </row>
    <row r="3301">
      <c r="A3301" s="3">
        <f>IF(D3301="","","TT-"&amp;TEXT(ROW()-1,"00000"))</f>
        <v/>
      </c>
      <c r="B3301" s="3">
        <f>IF(D3301="","",IF(V3301=0,"CONCLUÍDO",IF(D3301&lt;corte,"HISTÓRICO",IF(OR(AND(ISNUMBER(R3301),R3301&lt;TODAY()),AND(OR(N3301="PENDENTE",N3301="PARCIAL"),D3301&lt;TODAY()-1)),"CRÍTICO",IF(OR(AND(P3301&lt;&gt;"",S3301=""),AND(N3301="REALIZADO",M3301="PENDENTE"),AND(ISNUMBER(R3301),R3301=TODAY())),"ATENÇÃO",IF(N(K3301)=0,"PENDENTE","EM ANDAMENTO"))))))</f>
        <v/>
      </c>
      <c r="C3301" s="3">
        <f>IF(D3301="","",IF(V3301=0,"🟢 OK",IF(D3301&lt;corte,"⚪ HISTÓRICO (sem baixa)",IF(AND(ISNUMBER(R3301),R3301&lt;TODAY()),"🔴 PRAZO VENCIDO",IF(AND(OR(N3301="PENDENTE",N3301="PARCIAL"),D3301&lt;TODAY()-1),"🔴 EMBARQUE ATRASADO",IF(AND(N3301="REALIZADO",M3301="PENDENTE"),"🟡 EMBARCADO SEM FATURAR",IF(AND(P3301&lt;&gt;"",S3301="",OR(Q3301="",R3301="")),"🟡 PENDÊNCIA SEM RESPONSÁVEL/PRAZO",IF(AND(ISNUMBER(R3301),R3301=TODAY()),"🟡 VENCE HOJE",IF(AND(P3301&lt;&gt;"",S3301=""),"🟡 PENDÊNCIA ABERTA",IF(AND(N(J3301)&gt;0,N(K3301)&lt;J3301),"🟡 FALTA EXECUTAR",IF(OR(M3301="PENDENTE",M3301="PARCIAL"),"🟡 FATURAMENTO PENDENTE","🟡 EMBARQUE PENDENTE")))))))))))</f>
        <v/>
      </c>
      <c r="D3301" s="4" t="n"/>
      <c r="E3301" s="5" t="n"/>
      <c r="F3301" s="5" t="n"/>
      <c r="G3301" s="5" t="n"/>
      <c r="H3301" s="5" t="n"/>
      <c r="I3301" s="5" t="n"/>
      <c r="J3301" s="6" t="n"/>
      <c r="K3301" s="6" t="n"/>
      <c r="L3301" s="7">
        <f>IF(OR(D3301="",N(J3301)=0),"",MIN(1,N(K3301)/J3301))</f>
        <v/>
      </c>
      <c r="M3301" s="5" t="n"/>
      <c r="N3301" s="5" t="n"/>
      <c r="O3301" s="5" t="n"/>
      <c r="P3301" s="5" t="n"/>
      <c r="Q3301" s="5" t="n"/>
      <c r="R3301" s="4" t="n"/>
      <c r="S3301" s="4" t="n"/>
      <c r="T3301" s="5" t="n"/>
      <c r="U3301" s="8">
        <f>IF(AND(V3301=1,D3301&lt;&gt;""),IF(D3301&gt;=corte,TODAY()-D3301,""),"")</f>
        <v/>
      </c>
      <c r="V3301" s="8">
        <f>IF(D3301="",0,IF(OR(AND(P3301&lt;&gt;"",S3301=""),AND(N(J3301)&gt;0,N(K3301)&lt;J3301),OR(M3301="PENDENTE",M3301="PARCIAL"),OR(N3301="PENDENTE",N3301="PARCIAL")),1,0))</f>
        <v/>
      </c>
      <c r="W3301" s="8">
        <f>IF(AND(V3301=1,D3301&lt;&gt;""),IF(D3301&gt;=corte,(B3301="CRÍTICO")*1E9+(100000-D3301)*10000+10000-ROW(),""),"")</f>
        <v/>
      </c>
      <c r="X3301" s="8">
        <f>IF(AND(V3301=1,D3301=pas_data,E3301=pas_turno),10000-ROW(),"")</f>
        <v/>
      </c>
    </row>
    <row r="3302">
      <c r="A3302" s="3">
        <f>IF(D3302="","","TT-"&amp;TEXT(ROW()-1,"00000"))</f>
        <v/>
      </c>
      <c r="B3302" s="3">
        <f>IF(D3302="","",IF(V3302=0,"CONCLUÍDO",IF(D3302&lt;corte,"HISTÓRICO",IF(OR(AND(ISNUMBER(R3302),R3302&lt;TODAY()),AND(OR(N3302="PENDENTE",N3302="PARCIAL"),D3302&lt;TODAY()-1)),"CRÍTICO",IF(OR(AND(P3302&lt;&gt;"",S3302=""),AND(N3302="REALIZADO",M3302="PENDENTE"),AND(ISNUMBER(R3302),R3302=TODAY())),"ATENÇÃO",IF(N(K3302)=0,"PENDENTE","EM ANDAMENTO"))))))</f>
        <v/>
      </c>
      <c r="C3302" s="3">
        <f>IF(D3302="","",IF(V3302=0,"🟢 OK",IF(D3302&lt;corte,"⚪ HISTÓRICO (sem baixa)",IF(AND(ISNUMBER(R3302),R3302&lt;TODAY()),"🔴 PRAZO VENCIDO",IF(AND(OR(N3302="PENDENTE",N3302="PARCIAL"),D3302&lt;TODAY()-1),"🔴 EMBARQUE ATRASADO",IF(AND(N3302="REALIZADO",M3302="PENDENTE"),"🟡 EMBARCADO SEM FATURAR",IF(AND(P3302&lt;&gt;"",S3302="",OR(Q3302="",R3302="")),"🟡 PENDÊNCIA SEM RESPONSÁVEL/PRAZO",IF(AND(ISNUMBER(R3302),R3302=TODAY()),"🟡 VENCE HOJE",IF(AND(P3302&lt;&gt;"",S3302=""),"🟡 PENDÊNCIA ABERTA",IF(AND(N(J3302)&gt;0,N(K3302)&lt;J3302),"🟡 FALTA EXECUTAR",IF(OR(M3302="PENDENTE",M3302="PARCIAL"),"🟡 FATURAMENTO PENDENTE","🟡 EMBARQUE PENDENTE")))))))))))</f>
        <v/>
      </c>
      <c r="D3302" s="4" t="n"/>
      <c r="E3302" s="5" t="n"/>
      <c r="F3302" s="5" t="n"/>
      <c r="G3302" s="5" t="n"/>
      <c r="H3302" s="5" t="n"/>
      <c r="I3302" s="5" t="n"/>
      <c r="J3302" s="6" t="n"/>
      <c r="K3302" s="6" t="n"/>
      <c r="L3302" s="7">
        <f>IF(OR(D3302="",N(J3302)=0),"",MIN(1,N(K3302)/J3302))</f>
        <v/>
      </c>
      <c r="M3302" s="5" t="n"/>
      <c r="N3302" s="5" t="n"/>
      <c r="O3302" s="5" t="n"/>
      <c r="P3302" s="5" t="n"/>
      <c r="Q3302" s="5" t="n"/>
      <c r="R3302" s="4" t="n"/>
      <c r="S3302" s="4" t="n"/>
      <c r="T3302" s="5" t="n"/>
      <c r="U3302" s="8">
        <f>IF(AND(V3302=1,D3302&lt;&gt;""),IF(D3302&gt;=corte,TODAY()-D3302,""),"")</f>
        <v/>
      </c>
      <c r="V3302" s="8">
        <f>IF(D3302="",0,IF(OR(AND(P3302&lt;&gt;"",S3302=""),AND(N(J3302)&gt;0,N(K3302)&lt;J3302),OR(M3302="PENDENTE",M3302="PARCIAL"),OR(N3302="PENDENTE",N3302="PARCIAL")),1,0))</f>
        <v/>
      </c>
      <c r="W3302" s="8">
        <f>IF(AND(V3302=1,D3302&lt;&gt;""),IF(D3302&gt;=corte,(B3302="CRÍTICO")*1E9+(100000-D3302)*10000+10000-ROW(),""),"")</f>
        <v/>
      </c>
      <c r="X3302" s="8">
        <f>IF(AND(V3302=1,D3302=pas_data,E3302=pas_turno),10000-ROW(),"")</f>
        <v/>
      </c>
    </row>
    <row r="3303">
      <c r="A3303" s="3">
        <f>IF(D3303="","","TT-"&amp;TEXT(ROW()-1,"00000"))</f>
        <v/>
      </c>
      <c r="B3303" s="3">
        <f>IF(D3303="","",IF(V3303=0,"CONCLUÍDO",IF(D3303&lt;corte,"HISTÓRICO",IF(OR(AND(ISNUMBER(R3303),R3303&lt;TODAY()),AND(OR(N3303="PENDENTE",N3303="PARCIAL"),D3303&lt;TODAY()-1)),"CRÍTICO",IF(OR(AND(P3303&lt;&gt;"",S3303=""),AND(N3303="REALIZADO",M3303="PENDENTE"),AND(ISNUMBER(R3303),R3303=TODAY())),"ATENÇÃO",IF(N(K3303)=0,"PENDENTE","EM ANDAMENTO"))))))</f>
        <v/>
      </c>
      <c r="C3303" s="3">
        <f>IF(D3303="","",IF(V3303=0,"🟢 OK",IF(D3303&lt;corte,"⚪ HISTÓRICO (sem baixa)",IF(AND(ISNUMBER(R3303),R3303&lt;TODAY()),"🔴 PRAZO VENCIDO",IF(AND(OR(N3303="PENDENTE",N3303="PARCIAL"),D3303&lt;TODAY()-1),"🔴 EMBARQUE ATRASADO",IF(AND(N3303="REALIZADO",M3303="PENDENTE"),"🟡 EMBARCADO SEM FATURAR",IF(AND(P3303&lt;&gt;"",S3303="",OR(Q3303="",R3303="")),"🟡 PENDÊNCIA SEM RESPONSÁVEL/PRAZO",IF(AND(ISNUMBER(R3303),R3303=TODAY()),"🟡 VENCE HOJE",IF(AND(P3303&lt;&gt;"",S3303=""),"🟡 PENDÊNCIA ABERTA",IF(AND(N(J3303)&gt;0,N(K3303)&lt;J3303),"🟡 FALTA EXECUTAR",IF(OR(M3303="PENDENTE",M3303="PARCIAL"),"🟡 FATURAMENTO PENDENTE","🟡 EMBARQUE PENDENTE")))))))))))</f>
        <v/>
      </c>
      <c r="D3303" s="4" t="n"/>
      <c r="E3303" s="5" t="n"/>
      <c r="F3303" s="5" t="n"/>
      <c r="G3303" s="5" t="n"/>
      <c r="H3303" s="5" t="n"/>
      <c r="I3303" s="5" t="n"/>
      <c r="J3303" s="6" t="n"/>
      <c r="K3303" s="6" t="n"/>
      <c r="L3303" s="7">
        <f>IF(OR(D3303="",N(J3303)=0),"",MIN(1,N(K3303)/J3303))</f>
        <v/>
      </c>
      <c r="M3303" s="5" t="n"/>
      <c r="N3303" s="5" t="n"/>
      <c r="O3303" s="5" t="n"/>
      <c r="P3303" s="5" t="n"/>
      <c r="Q3303" s="5" t="n"/>
      <c r="R3303" s="4" t="n"/>
      <c r="S3303" s="4" t="n"/>
      <c r="T3303" s="5" t="n"/>
      <c r="U3303" s="8">
        <f>IF(AND(V3303=1,D3303&lt;&gt;""),IF(D3303&gt;=corte,TODAY()-D3303,""),"")</f>
        <v/>
      </c>
      <c r="V3303" s="8">
        <f>IF(D3303="",0,IF(OR(AND(P3303&lt;&gt;"",S3303=""),AND(N(J3303)&gt;0,N(K3303)&lt;J3303),OR(M3303="PENDENTE",M3303="PARCIAL"),OR(N3303="PENDENTE",N3303="PARCIAL")),1,0))</f>
        <v/>
      </c>
      <c r="W3303" s="8">
        <f>IF(AND(V3303=1,D3303&lt;&gt;""),IF(D3303&gt;=corte,(B3303="CRÍTICO")*1E9+(100000-D3303)*10000+10000-ROW(),""),"")</f>
        <v/>
      </c>
      <c r="X3303" s="8">
        <f>IF(AND(V3303=1,D3303=pas_data,E3303=pas_turno),10000-ROW(),"")</f>
        <v/>
      </c>
    </row>
    <row r="3304">
      <c r="A3304" s="3">
        <f>IF(D3304="","","TT-"&amp;TEXT(ROW()-1,"00000"))</f>
        <v/>
      </c>
      <c r="B3304" s="3">
        <f>IF(D3304="","",IF(V3304=0,"CONCLUÍDO",IF(D3304&lt;corte,"HISTÓRICO",IF(OR(AND(ISNUMBER(R3304),R3304&lt;TODAY()),AND(OR(N3304="PENDENTE",N3304="PARCIAL"),D3304&lt;TODAY()-1)),"CRÍTICO",IF(OR(AND(P3304&lt;&gt;"",S3304=""),AND(N3304="REALIZADO",M3304="PENDENTE"),AND(ISNUMBER(R3304),R3304=TODAY())),"ATENÇÃO",IF(N(K3304)=0,"PENDENTE","EM ANDAMENTO"))))))</f>
        <v/>
      </c>
      <c r="C3304" s="3">
        <f>IF(D3304="","",IF(V3304=0,"🟢 OK",IF(D3304&lt;corte,"⚪ HISTÓRICO (sem baixa)",IF(AND(ISNUMBER(R3304),R3304&lt;TODAY()),"🔴 PRAZO VENCIDO",IF(AND(OR(N3304="PENDENTE",N3304="PARCIAL"),D3304&lt;TODAY()-1),"🔴 EMBARQUE ATRASADO",IF(AND(N3304="REALIZADO",M3304="PENDENTE"),"🟡 EMBARCADO SEM FATURAR",IF(AND(P3304&lt;&gt;"",S3304="",OR(Q3304="",R3304="")),"🟡 PENDÊNCIA SEM RESPONSÁVEL/PRAZO",IF(AND(ISNUMBER(R3304),R3304=TODAY()),"🟡 VENCE HOJE",IF(AND(P3304&lt;&gt;"",S3304=""),"🟡 PENDÊNCIA ABERTA",IF(AND(N(J3304)&gt;0,N(K3304)&lt;J3304),"🟡 FALTA EXECUTAR",IF(OR(M3304="PENDENTE",M3304="PARCIAL"),"🟡 FATURAMENTO PENDENTE","🟡 EMBARQUE PENDENTE")))))))))))</f>
        <v/>
      </c>
      <c r="D3304" s="4" t="n"/>
      <c r="E3304" s="5" t="n"/>
      <c r="F3304" s="5" t="n"/>
      <c r="G3304" s="5" t="n"/>
      <c r="H3304" s="5" t="n"/>
      <c r="I3304" s="5" t="n"/>
      <c r="J3304" s="6" t="n"/>
      <c r="K3304" s="6" t="n"/>
      <c r="L3304" s="7">
        <f>IF(OR(D3304="",N(J3304)=0),"",MIN(1,N(K3304)/J3304))</f>
        <v/>
      </c>
      <c r="M3304" s="5" t="n"/>
      <c r="N3304" s="5" t="n"/>
      <c r="O3304" s="5" t="n"/>
      <c r="P3304" s="5" t="n"/>
      <c r="Q3304" s="5" t="n"/>
      <c r="R3304" s="4" t="n"/>
      <c r="S3304" s="4" t="n"/>
      <c r="T3304" s="5" t="n"/>
      <c r="U3304" s="8">
        <f>IF(AND(V3304=1,D3304&lt;&gt;""),IF(D3304&gt;=corte,TODAY()-D3304,""),"")</f>
        <v/>
      </c>
      <c r="V3304" s="8">
        <f>IF(D3304="",0,IF(OR(AND(P3304&lt;&gt;"",S3304=""),AND(N(J3304)&gt;0,N(K3304)&lt;J3304),OR(M3304="PENDENTE",M3304="PARCIAL"),OR(N3304="PENDENTE",N3304="PARCIAL")),1,0))</f>
        <v/>
      </c>
      <c r="W3304" s="8">
        <f>IF(AND(V3304=1,D3304&lt;&gt;""),IF(D3304&gt;=corte,(B3304="CRÍTICO")*1E9+(100000-D3304)*10000+10000-ROW(),""),"")</f>
        <v/>
      </c>
      <c r="X3304" s="8">
        <f>IF(AND(V3304=1,D3304=pas_data,E3304=pas_turno),10000-ROW(),"")</f>
        <v/>
      </c>
    </row>
    <row r="3305">
      <c r="A3305" s="3">
        <f>IF(D3305="","","TT-"&amp;TEXT(ROW()-1,"00000"))</f>
        <v/>
      </c>
      <c r="B3305" s="3">
        <f>IF(D3305="","",IF(V3305=0,"CONCLUÍDO",IF(D3305&lt;corte,"HISTÓRICO",IF(OR(AND(ISNUMBER(R3305),R3305&lt;TODAY()),AND(OR(N3305="PENDENTE",N3305="PARCIAL"),D3305&lt;TODAY()-1)),"CRÍTICO",IF(OR(AND(P3305&lt;&gt;"",S3305=""),AND(N3305="REALIZADO",M3305="PENDENTE"),AND(ISNUMBER(R3305),R3305=TODAY())),"ATENÇÃO",IF(N(K3305)=0,"PENDENTE","EM ANDAMENTO"))))))</f>
        <v/>
      </c>
      <c r="C3305" s="3">
        <f>IF(D3305="","",IF(V3305=0,"🟢 OK",IF(D3305&lt;corte,"⚪ HISTÓRICO (sem baixa)",IF(AND(ISNUMBER(R3305),R3305&lt;TODAY()),"🔴 PRAZO VENCIDO",IF(AND(OR(N3305="PENDENTE",N3305="PARCIAL"),D3305&lt;TODAY()-1),"🔴 EMBARQUE ATRASADO",IF(AND(N3305="REALIZADO",M3305="PENDENTE"),"🟡 EMBARCADO SEM FATURAR",IF(AND(P3305&lt;&gt;"",S3305="",OR(Q3305="",R3305="")),"🟡 PENDÊNCIA SEM RESPONSÁVEL/PRAZO",IF(AND(ISNUMBER(R3305),R3305=TODAY()),"🟡 VENCE HOJE",IF(AND(P3305&lt;&gt;"",S3305=""),"🟡 PENDÊNCIA ABERTA",IF(AND(N(J3305)&gt;0,N(K3305)&lt;J3305),"🟡 FALTA EXECUTAR",IF(OR(M3305="PENDENTE",M3305="PARCIAL"),"🟡 FATURAMENTO PENDENTE","🟡 EMBARQUE PENDENTE")))))))))))</f>
        <v/>
      </c>
      <c r="D3305" s="4" t="n"/>
      <c r="E3305" s="5" t="n"/>
      <c r="F3305" s="5" t="n"/>
      <c r="G3305" s="5" t="n"/>
      <c r="H3305" s="5" t="n"/>
      <c r="I3305" s="5" t="n"/>
      <c r="J3305" s="6" t="n"/>
      <c r="K3305" s="6" t="n"/>
      <c r="L3305" s="7">
        <f>IF(OR(D3305="",N(J3305)=0),"",MIN(1,N(K3305)/J3305))</f>
        <v/>
      </c>
      <c r="M3305" s="5" t="n"/>
      <c r="N3305" s="5" t="n"/>
      <c r="O3305" s="5" t="n"/>
      <c r="P3305" s="5" t="n"/>
      <c r="Q3305" s="5" t="n"/>
      <c r="R3305" s="4" t="n"/>
      <c r="S3305" s="4" t="n"/>
      <c r="T3305" s="5" t="n"/>
      <c r="U3305" s="8">
        <f>IF(AND(V3305=1,D3305&lt;&gt;""),IF(D3305&gt;=corte,TODAY()-D3305,""),"")</f>
        <v/>
      </c>
      <c r="V3305" s="8">
        <f>IF(D3305="",0,IF(OR(AND(P3305&lt;&gt;"",S3305=""),AND(N(J3305)&gt;0,N(K3305)&lt;J3305),OR(M3305="PENDENTE",M3305="PARCIAL"),OR(N3305="PENDENTE",N3305="PARCIAL")),1,0))</f>
        <v/>
      </c>
      <c r="W3305" s="8">
        <f>IF(AND(V3305=1,D3305&lt;&gt;""),IF(D3305&gt;=corte,(B3305="CRÍTICO")*1E9+(100000-D3305)*10000+10000-ROW(),""),"")</f>
        <v/>
      </c>
      <c r="X3305" s="8">
        <f>IF(AND(V3305=1,D3305=pas_data,E3305=pas_turno),10000-ROW(),"")</f>
        <v/>
      </c>
    </row>
    <row r="3306">
      <c r="A3306" s="3">
        <f>IF(D3306="","","TT-"&amp;TEXT(ROW()-1,"00000"))</f>
        <v/>
      </c>
      <c r="B3306" s="3">
        <f>IF(D3306="","",IF(V3306=0,"CONCLUÍDO",IF(D3306&lt;corte,"HISTÓRICO",IF(OR(AND(ISNUMBER(R3306),R3306&lt;TODAY()),AND(OR(N3306="PENDENTE",N3306="PARCIAL"),D3306&lt;TODAY()-1)),"CRÍTICO",IF(OR(AND(P3306&lt;&gt;"",S3306=""),AND(N3306="REALIZADO",M3306="PENDENTE"),AND(ISNUMBER(R3306),R3306=TODAY())),"ATENÇÃO",IF(N(K3306)=0,"PENDENTE","EM ANDAMENTO"))))))</f>
        <v/>
      </c>
      <c r="C3306" s="3">
        <f>IF(D3306="","",IF(V3306=0,"🟢 OK",IF(D3306&lt;corte,"⚪ HISTÓRICO (sem baixa)",IF(AND(ISNUMBER(R3306),R3306&lt;TODAY()),"🔴 PRAZO VENCIDO",IF(AND(OR(N3306="PENDENTE",N3306="PARCIAL"),D3306&lt;TODAY()-1),"🔴 EMBARQUE ATRASADO",IF(AND(N3306="REALIZADO",M3306="PENDENTE"),"🟡 EMBARCADO SEM FATURAR",IF(AND(P3306&lt;&gt;"",S3306="",OR(Q3306="",R3306="")),"🟡 PENDÊNCIA SEM RESPONSÁVEL/PRAZO",IF(AND(ISNUMBER(R3306),R3306=TODAY()),"🟡 VENCE HOJE",IF(AND(P3306&lt;&gt;"",S3306=""),"🟡 PENDÊNCIA ABERTA",IF(AND(N(J3306)&gt;0,N(K3306)&lt;J3306),"🟡 FALTA EXECUTAR",IF(OR(M3306="PENDENTE",M3306="PARCIAL"),"🟡 FATURAMENTO PENDENTE","🟡 EMBARQUE PENDENTE")))))))))))</f>
        <v/>
      </c>
      <c r="D3306" s="4" t="n"/>
      <c r="E3306" s="5" t="n"/>
      <c r="F3306" s="5" t="n"/>
      <c r="G3306" s="5" t="n"/>
      <c r="H3306" s="5" t="n"/>
      <c r="I3306" s="5" t="n"/>
      <c r="J3306" s="6" t="n"/>
      <c r="K3306" s="6" t="n"/>
      <c r="L3306" s="7">
        <f>IF(OR(D3306="",N(J3306)=0),"",MIN(1,N(K3306)/J3306))</f>
        <v/>
      </c>
      <c r="M3306" s="5" t="n"/>
      <c r="N3306" s="5" t="n"/>
      <c r="O3306" s="5" t="n"/>
      <c r="P3306" s="5" t="n"/>
      <c r="Q3306" s="5" t="n"/>
      <c r="R3306" s="4" t="n"/>
      <c r="S3306" s="4" t="n"/>
      <c r="T3306" s="5" t="n"/>
      <c r="U3306" s="8">
        <f>IF(AND(V3306=1,D3306&lt;&gt;""),IF(D3306&gt;=corte,TODAY()-D3306,""),"")</f>
        <v/>
      </c>
      <c r="V3306" s="8">
        <f>IF(D3306="",0,IF(OR(AND(P3306&lt;&gt;"",S3306=""),AND(N(J3306)&gt;0,N(K3306)&lt;J3306),OR(M3306="PENDENTE",M3306="PARCIAL"),OR(N3306="PENDENTE",N3306="PARCIAL")),1,0))</f>
        <v/>
      </c>
      <c r="W3306" s="8">
        <f>IF(AND(V3306=1,D3306&lt;&gt;""),IF(D3306&gt;=corte,(B3306="CRÍTICO")*1E9+(100000-D3306)*10000+10000-ROW(),""),"")</f>
        <v/>
      </c>
      <c r="X3306" s="8">
        <f>IF(AND(V3306=1,D3306=pas_data,E3306=pas_turno),10000-ROW(),"")</f>
        <v/>
      </c>
    </row>
    <row r="3307">
      <c r="A3307" s="3">
        <f>IF(D3307="","","TT-"&amp;TEXT(ROW()-1,"00000"))</f>
        <v/>
      </c>
      <c r="B3307" s="3">
        <f>IF(D3307="","",IF(V3307=0,"CONCLUÍDO",IF(D3307&lt;corte,"HISTÓRICO",IF(OR(AND(ISNUMBER(R3307),R3307&lt;TODAY()),AND(OR(N3307="PENDENTE",N3307="PARCIAL"),D3307&lt;TODAY()-1)),"CRÍTICO",IF(OR(AND(P3307&lt;&gt;"",S3307=""),AND(N3307="REALIZADO",M3307="PENDENTE"),AND(ISNUMBER(R3307),R3307=TODAY())),"ATENÇÃO",IF(N(K3307)=0,"PENDENTE","EM ANDAMENTO"))))))</f>
        <v/>
      </c>
      <c r="C3307" s="3">
        <f>IF(D3307="","",IF(V3307=0,"🟢 OK",IF(D3307&lt;corte,"⚪ HISTÓRICO (sem baixa)",IF(AND(ISNUMBER(R3307),R3307&lt;TODAY()),"🔴 PRAZO VENCIDO",IF(AND(OR(N3307="PENDENTE",N3307="PARCIAL"),D3307&lt;TODAY()-1),"🔴 EMBARQUE ATRASADO",IF(AND(N3307="REALIZADO",M3307="PENDENTE"),"🟡 EMBARCADO SEM FATURAR",IF(AND(P3307&lt;&gt;"",S3307="",OR(Q3307="",R3307="")),"🟡 PENDÊNCIA SEM RESPONSÁVEL/PRAZO",IF(AND(ISNUMBER(R3307),R3307=TODAY()),"🟡 VENCE HOJE",IF(AND(P3307&lt;&gt;"",S3307=""),"🟡 PENDÊNCIA ABERTA",IF(AND(N(J3307)&gt;0,N(K3307)&lt;J3307),"🟡 FALTA EXECUTAR",IF(OR(M3307="PENDENTE",M3307="PARCIAL"),"🟡 FATURAMENTO PENDENTE","🟡 EMBARQUE PENDENTE")))))))))))</f>
        <v/>
      </c>
      <c r="D3307" s="4" t="n"/>
      <c r="E3307" s="5" t="n"/>
      <c r="F3307" s="5" t="n"/>
      <c r="G3307" s="5" t="n"/>
      <c r="H3307" s="5" t="n"/>
      <c r="I3307" s="5" t="n"/>
      <c r="J3307" s="6" t="n"/>
      <c r="K3307" s="6" t="n"/>
      <c r="L3307" s="7">
        <f>IF(OR(D3307="",N(J3307)=0),"",MIN(1,N(K3307)/J3307))</f>
        <v/>
      </c>
      <c r="M3307" s="5" t="n"/>
      <c r="N3307" s="5" t="n"/>
      <c r="O3307" s="5" t="n"/>
      <c r="P3307" s="5" t="n"/>
      <c r="Q3307" s="5" t="n"/>
      <c r="R3307" s="4" t="n"/>
      <c r="S3307" s="4" t="n"/>
      <c r="T3307" s="5" t="n"/>
      <c r="U3307" s="8">
        <f>IF(AND(V3307=1,D3307&lt;&gt;""),IF(D3307&gt;=corte,TODAY()-D3307,""),"")</f>
        <v/>
      </c>
      <c r="V3307" s="8">
        <f>IF(D3307="",0,IF(OR(AND(P3307&lt;&gt;"",S3307=""),AND(N(J3307)&gt;0,N(K3307)&lt;J3307),OR(M3307="PENDENTE",M3307="PARCIAL"),OR(N3307="PENDENTE",N3307="PARCIAL")),1,0))</f>
        <v/>
      </c>
      <c r="W3307" s="8">
        <f>IF(AND(V3307=1,D3307&lt;&gt;""),IF(D3307&gt;=corte,(B3307="CRÍTICO")*1E9+(100000-D3307)*10000+10000-ROW(),""),"")</f>
        <v/>
      </c>
      <c r="X3307" s="8">
        <f>IF(AND(V3307=1,D3307=pas_data,E3307=pas_turno),10000-ROW(),"")</f>
        <v/>
      </c>
    </row>
    <row r="3308">
      <c r="A3308" s="3">
        <f>IF(D3308="","","TT-"&amp;TEXT(ROW()-1,"00000"))</f>
        <v/>
      </c>
      <c r="B3308" s="3">
        <f>IF(D3308="","",IF(V3308=0,"CONCLUÍDO",IF(D3308&lt;corte,"HISTÓRICO",IF(OR(AND(ISNUMBER(R3308),R3308&lt;TODAY()),AND(OR(N3308="PENDENTE",N3308="PARCIAL"),D3308&lt;TODAY()-1)),"CRÍTICO",IF(OR(AND(P3308&lt;&gt;"",S3308=""),AND(N3308="REALIZADO",M3308="PENDENTE"),AND(ISNUMBER(R3308),R3308=TODAY())),"ATENÇÃO",IF(N(K3308)=0,"PENDENTE","EM ANDAMENTO"))))))</f>
        <v/>
      </c>
      <c r="C3308" s="3">
        <f>IF(D3308="","",IF(V3308=0,"🟢 OK",IF(D3308&lt;corte,"⚪ HISTÓRICO (sem baixa)",IF(AND(ISNUMBER(R3308),R3308&lt;TODAY()),"🔴 PRAZO VENCIDO",IF(AND(OR(N3308="PENDENTE",N3308="PARCIAL"),D3308&lt;TODAY()-1),"🔴 EMBARQUE ATRASADO",IF(AND(N3308="REALIZADO",M3308="PENDENTE"),"🟡 EMBARCADO SEM FATURAR",IF(AND(P3308&lt;&gt;"",S3308="",OR(Q3308="",R3308="")),"🟡 PENDÊNCIA SEM RESPONSÁVEL/PRAZO",IF(AND(ISNUMBER(R3308),R3308=TODAY()),"🟡 VENCE HOJE",IF(AND(P3308&lt;&gt;"",S3308=""),"🟡 PENDÊNCIA ABERTA",IF(AND(N(J3308)&gt;0,N(K3308)&lt;J3308),"🟡 FALTA EXECUTAR",IF(OR(M3308="PENDENTE",M3308="PARCIAL"),"🟡 FATURAMENTO PENDENTE","🟡 EMBARQUE PENDENTE")))))))))))</f>
        <v/>
      </c>
      <c r="D3308" s="4" t="n"/>
      <c r="E3308" s="5" t="n"/>
      <c r="F3308" s="5" t="n"/>
      <c r="G3308" s="5" t="n"/>
      <c r="H3308" s="5" t="n"/>
      <c r="I3308" s="5" t="n"/>
      <c r="J3308" s="6" t="n"/>
      <c r="K3308" s="6" t="n"/>
      <c r="L3308" s="7">
        <f>IF(OR(D3308="",N(J3308)=0),"",MIN(1,N(K3308)/J3308))</f>
        <v/>
      </c>
      <c r="M3308" s="5" t="n"/>
      <c r="N3308" s="5" t="n"/>
      <c r="O3308" s="5" t="n"/>
      <c r="P3308" s="5" t="n"/>
      <c r="Q3308" s="5" t="n"/>
      <c r="R3308" s="4" t="n"/>
      <c r="S3308" s="4" t="n"/>
      <c r="T3308" s="5" t="n"/>
      <c r="U3308" s="8">
        <f>IF(AND(V3308=1,D3308&lt;&gt;""),IF(D3308&gt;=corte,TODAY()-D3308,""),"")</f>
        <v/>
      </c>
      <c r="V3308" s="8">
        <f>IF(D3308="",0,IF(OR(AND(P3308&lt;&gt;"",S3308=""),AND(N(J3308)&gt;0,N(K3308)&lt;J3308),OR(M3308="PENDENTE",M3308="PARCIAL"),OR(N3308="PENDENTE",N3308="PARCIAL")),1,0))</f>
        <v/>
      </c>
      <c r="W3308" s="8">
        <f>IF(AND(V3308=1,D3308&lt;&gt;""),IF(D3308&gt;=corte,(B3308="CRÍTICO")*1E9+(100000-D3308)*10000+10000-ROW(),""),"")</f>
        <v/>
      </c>
      <c r="X3308" s="8">
        <f>IF(AND(V3308=1,D3308=pas_data,E3308=pas_turno),10000-ROW(),"")</f>
        <v/>
      </c>
    </row>
    <row r="3309">
      <c r="A3309" s="3">
        <f>IF(D3309="","","TT-"&amp;TEXT(ROW()-1,"00000"))</f>
        <v/>
      </c>
      <c r="B3309" s="3">
        <f>IF(D3309="","",IF(V3309=0,"CONCLUÍDO",IF(D3309&lt;corte,"HISTÓRICO",IF(OR(AND(ISNUMBER(R3309),R3309&lt;TODAY()),AND(OR(N3309="PENDENTE",N3309="PARCIAL"),D3309&lt;TODAY()-1)),"CRÍTICO",IF(OR(AND(P3309&lt;&gt;"",S3309=""),AND(N3309="REALIZADO",M3309="PENDENTE"),AND(ISNUMBER(R3309),R3309=TODAY())),"ATENÇÃO",IF(N(K3309)=0,"PENDENTE","EM ANDAMENTO"))))))</f>
        <v/>
      </c>
      <c r="C3309" s="3">
        <f>IF(D3309="","",IF(V3309=0,"🟢 OK",IF(D3309&lt;corte,"⚪ HISTÓRICO (sem baixa)",IF(AND(ISNUMBER(R3309),R3309&lt;TODAY()),"🔴 PRAZO VENCIDO",IF(AND(OR(N3309="PENDENTE",N3309="PARCIAL"),D3309&lt;TODAY()-1),"🔴 EMBARQUE ATRASADO",IF(AND(N3309="REALIZADO",M3309="PENDENTE"),"🟡 EMBARCADO SEM FATURAR",IF(AND(P3309&lt;&gt;"",S3309="",OR(Q3309="",R3309="")),"🟡 PENDÊNCIA SEM RESPONSÁVEL/PRAZO",IF(AND(ISNUMBER(R3309),R3309=TODAY()),"🟡 VENCE HOJE",IF(AND(P3309&lt;&gt;"",S3309=""),"🟡 PENDÊNCIA ABERTA",IF(AND(N(J3309)&gt;0,N(K3309)&lt;J3309),"🟡 FALTA EXECUTAR",IF(OR(M3309="PENDENTE",M3309="PARCIAL"),"🟡 FATURAMENTO PENDENTE","🟡 EMBARQUE PENDENTE")))))))))))</f>
        <v/>
      </c>
      <c r="D3309" s="4" t="n"/>
      <c r="E3309" s="5" t="n"/>
      <c r="F3309" s="5" t="n"/>
      <c r="G3309" s="5" t="n"/>
      <c r="H3309" s="5" t="n"/>
      <c r="I3309" s="5" t="n"/>
      <c r="J3309" s="6" t="n"/>
      <c r="K3309" s="6" t="n"/>
      <c r="L3309" s="7">
        <f>IF(OR(D3309="",N(J3309)=0),"",MIN(1,N(K3309)/J3309))</f>
        <v/>
      </c>
      <c r="M3309" s="5" t="n"/>
      <c r="N3309" s="5" t="n"/>
      <c r="O3309" s="5" t="n"/>
      <c r="P3309" s="5" t="n"/>
      <c r="Q3309" s="5" t="n"/>
      <c r="R3309" s="4" t="n"/>
      <c r="S3309" s="4" t="n"/>
      <c r="T3309" s="5" t="n"/>
      <c r="U3309" s="8">
        <f>IF(AND(V3309=1,D3309&lt;&gt;""),IF(D3309&gt;=corte,TODAY()-D3309,""),"")</f>
        <v/>
      </c>
      <c r="V3309" s="8">
        <f>IF(D3309="",0,IF(OR(AND(P3309&lt;&gt;"",S3309=""),AND(N(J3309)&gt;0,N(K3309)&lt;J3309),OR(M3309="PENDENTE",M3309="PARCIAL"),OR(N3309="PENDENTE",N3309="PARCIAL")),1,0))</f>
        <v/>
      </c>
      <c r="W3309" s="8">
        <f>IF(AND(V3309=1,D3309&lt;&gt;""),IF(D3309&gt;=corte,(B3309="CRÍTICO")*1E9+(100000-D3309)*10000+10000-ROW(),""),"")</f>
        <v/>
      </c>
      <c r="X3309" s="8">
        <f>IF(AND(V3309=1,D3309=pas_data,E3309=pas_turno),10000-ROW(),"")</f>
        <v/>
      </c>
    </row>
    <row r="3310">
      <c r="A3310" s="3">
        <f>IF(D3310="","","TT-"&amp;TEXT(ROW()-1,"00000"))</f>
        <v/>
      </c>
      <c r="B3310" s="3">
        <f>IF(D3310="","",IF(V3310=0,"CONCLUÍDO",IF(D3310&lt;corte,"HISTÓRICO",IF(OR(AND(ISNUMBER(R3310),R3310&lt;TODAY()),AND(OR(N3310="PENDENTE",N3310="PARCIAL"),D3310&lt;TODAY()-1)),"CRÍTICO",IF(OR(AND(P3310&lt;&gt;"",S3310=""),AND(N3310="REALIZADO",M3310="PENDENTE"),AND(ISNUMBER(R3310),R3310=TODAY())),"ATENÇÃO",IF(N(K3310)=0,"PENDENTE","EM ANDAMENTO"))))))</f>
        <v/>
      </c>
      <c r="C3310" s="3">
        <f>IF(D3310="","",IF(V3310=0,"🟢 OK",IF(D3310&lt;corte,"⚪ HISTÓRICO (sem baixa)",IF(AND(ISNUMBER(R3310),R3310&lt;TODAY()),"🔴 PRAZO VENCIDO",IF(AND(OR(N3310="PENDENTE",N3310="PARCIAL"),D3310&lt;TODAY()-1),"🔴 EMBARQUE ATRASADO",IF(AND(N3310="REALIZADO",M3310="PENDENTE"),"🟡 EMBARCADO SEM FATURAR",IF(AND(P3310&lt;&gt;"",S3310="",OR(Q3310="",R3310="")),"🟡 PENDÊNCIA SEM RESPONSÁVEL/PRAZO",IF(AND(ISNUMBER(R3310),R3310=TODAY()),"🟡 VENCE HOJE",IF(AND(P3310&lt;&gt;"",S3310=""),"🟡 PENDÊNCIA ABERTA",IF(AND(N(J3310)&gt;0,N(K3310)&lt;J3310),"🟡 FALTA EXECUTAR",IF(OR(M3310="PENDENTE",M3310="PARCIAL"),"🟡 FATURAMENTO PENDENTE","🟡 EMBARQUE PENDENTE")))))))))))</f>
        <v/>
      </c>
      <c r="D3310" s="4" t="n"/>
      <c r="E3310" s="5" t="n"/>
      <c r="F3310" s="5" t="n"/>
      <c r="G3310" s="5" t="n"/>
      <c r="H3310" s="5" t="n"/>
      <c r="I3310" s="5" t="n"/>
      <c r="J3310" s="6" t="n"/>
      <c r="K3310" s="6" t="n"/>
      <c r="L3310" s="7">
        <f>IF(OR(D3310="",N(J3310)=0),"",MIN(1,N(K3310)/J3310))</f>
        <v/>
      </c>
      <c r="M3310" s="5" t="n"/>
      <c r="N3310" s="5" t="n"/>
      <c r="O3310" s="5" t="n"/>
      <c r="P3310" s="5" t="n"/>
      <c r="Q3310" s="5" t="n"/>
      <c r="R3310" s="4" t="n"/>
      <c r="S3310" s="4" t="n"/>
      <c r="T3310" s="5" t="n"/>
      <c r="U3310" s="8">
        <f>IF(AND(V3310=1,D3310&lt;&gt;""),IF(D3310&gt;=corte,TODAY()-D3310,""),"")</f>
        <v/>
      </c>
      <c r="V3310" s="8">
        <f>IF(D3310="",0,IF(OR(AND(P3310&lt;&gt;"",S3310=""),AND(N(J3310)&gt;0,N(K3310)&lt;J3310),OR(M3310="PENDENTE",M3310="PARCIAL"),OR(N3310="PENDENTE",N3310="PARCIAL")),1,0))</f>
        <v/>
      </c>
      <c r="W3310" s="8">
        <f>IF(AND(V3310=1,D3310&lt;&gt;""),IF(D3310&gt;=corte,(B3310="CRÍTICO")*1E9+(100000-D3310)*10000+10000-ROW(),""),"")</f>
        <v/>
      </c>
      <c r="X3310" s="8">
        <f>IF(AND(V3310=1,D3310=pas_data,E3310=pas_turno),10000-ROW(),"")</f>
        <v/>
      </c>
    </row>
    <row r="3311">
      <c r="A3311" s="3">
        <f>IF(D3311="","","TT-"&amp;TEXT(ROW()-1,"00000"))</f>
        <v/>
      </c>
      <c r="B3311" s="3">
        <f>IF(D3311="","",IF(V3311=0,"CONCLUÍDO",IF(D3311&lt;corte,"HISTÓRICO",IF(OR(AND(ISNUMBER(R3311),R3311&lt;TODAY()),AND(OR(N3311="PENDENTE",N3311="PARCIAL"),D3311&lt;TODAY()-1)),"CRÍTICO",IF(OR(AND(P3311&lt;&gt;"",S3311=""),AND(N3311="REALIZADO",M3311="PENDENTE"),AND(ISNUMBER(R3311),R3311=TODAY())),"ATENÇÃO",IF(N(K3311)=0,"PENDENTE","EM ANDAMENTO"))))))</f>
        <v/>
      </c>
      <c r="C3311" s="3">
        <f>IF(D3311="","",IF(V3311=0,"🟢 OK",IF(D3311&lt;corte,"⚪ HISTÓRICO (sem baixa)",IF(AND(ISNUMBER(R3311),R3311&lt;TODAY()),"🔴 PRAZO VENCIDO",IF(AND(OR(N3311="PENDENTE",N3311="PARCIAL"),D3311&lt;TODAY()-1),"🔴 EMBARQUE ATRASADO",IF(AND(N3311="REALIZADO",M3311="PENDENTE"),"🟡 EMBARCADO SEM FATURAR",IF(AND(P3311&lt;&gt;"",S3311="",OR(Q3311="",R3311="")),"🟡 PENDÊNCIA SEM RESPONSÁVEL/PRAZO",IF(AND(ISNUMBER(R3311),R3311=TODAY()),"🟡 VENCE HOJE",IF(AND(P3311&lt;&gt;"",S3311=""),"🟡 PENDÊNCIA ABERTA",IF(AND(N(J3311)&gt;0,N(K3311)&lt;J3311),"🟡 FALTA EXECUTAR",IF(OR(M3311="PENDENTE",M3311="PARCIAL"),"🟡 FATURAMENTO PENDENTE","🟡 EMBARQUE PENDENTE")))))))))))</f>
        <v/>
      </c>
      <c r="D3311" s="4" t="n"/>
      <c r="E3311" s="5" t="n"/>
      <c r="F3311" s="5" t="n"/>
      <c r="G3311" s="5" t="n"/>
      <c r="H3311" s="5" t="n"/>
      <c r="I3311" s="5" t="n"/>
      <c r="J3311" s="6" t="n"/>
      <c r="K3311" s="6" t="n"/>
      <c r="L3311" s="7">
        <f>IF(OR(D3311="",N(J3311)=0),"",MIN(1,N(K3311)/J3311))</f>
        <v/>
      </c>
      <c r="M3311" s="5" t="n"/>
      <c r="N3311" s="5" t="n"/>
      <c r="O3311" s="5" t="n"/>
      <c r="P3311" s="5" t="n"/>
      <c r="Q3311" s="5" t="n"/>
      <c r="R3311" s="4" t="n"/>
      <c r="S3311" s="4" t="n"/>
      <c r="T3311" s="5" t="n"/>
      <c r="U3311" s="8">
        <f>IF(AND(V3311=1,D3311&lt;&gt;""),IF(D3311&gt;=corte,TODAY()-D3311,""),"")</f>
        <v/>
      </c>
      <c r="V3311" s="8">
        <f>IF(D3311="",0,IF(OR(AND(P3311&lt;&gt;"",S3311=""),AND(N(J3311)&gt;0,N(K3311)&lt;J3311),OR(M3311="PENDENTE",M3311="PARCIAL"),OR(N3311="PENDENTE",N3311="PARCIAL")),1,0))</f>
        <v/>
      </c>
      <c r="W3311" s="8">
        <f>IF(AND(V3311=1,D3311&lt;&gt;""),IF(D3311&gt;=corte,(B3311="CRÍTICO")*1E9+(100000-D3311)*10000+10000-ROW(),""),"")</f>
        <v/>
      </c>
      <c r="X3311" s="8">
        <f>IF(AND(V3311=1,D3311=pas_data,E3311=pas_turno),10000-ROW(),"")</f>
        <v/>
      </c>
    </row>
    <row r="3312">
      <c r="A3312" s="3">
        <f>IF(D3312="","","TT-"&amp;TEXT(ROW()-1,"00000"))</f>
        <v/>
      </c>
      <c r="B3312" s="3">
        <f>IF(D3312="","",IF(V3312=0,"CONCLUÍDO",IF(D3312&lt;corte,"HISTÓRICO",IF(OR(AND(ISNUMBER(R3312),R3312&lt;TODAY()),AND(OR(N3312="PENDENTE",N3312="PARCIAL"),D3312&lt;TODAY()-1)),"CRÍTICO",IF(OR(AND(P3312&lt;&gt;"",S3312=""),AND(N3312="REALIZADO",M3312="PENDENTE"),AND(ISNUMBER(R3312),R3312=TODAY())),"ATENÇÃO",IF(N(K3312)=0,"PENDENTE","EM ANDAMENTO"))))))</f>
        <v/>
      </c>
      <c r="C3312" s="3">
        <f>IF(D3312="","",IF(V3312=0,"🟢 OK",IF(D3312&lt;corte,"⚪ HISTÓRICO (sem baixa)",IF(AND(ISNUMBER(R3312),R3312&lt;TODAY()),"🔴 PRAZO VENCIDO",IF(AND(OR(N3312="PENDENTE",N3312="PARCIAL"),D3312&lt;TODAY()-1),"🔴 EMBARQUE ATRASADO",IF(AND(N3312="REALIZADO",M3312="PENDENTE"),"🟡 EMBARCADO SEM FATURAR",IF(AND(P3312&lt;&gt;"",S3312="",OR(Q3312="",R3312="")),"🟡 PENDÊNCIA SEM RESPONSÁVEL/PRAZO",IF(AND(ISNUMBER(R3312),R3312=TODAY()),"🟡 VENCE HOJE",IF(AND(P3312&lt;&gt;"",S3312=""),"🟡 PENDÊNCIA ABERTA",IF(AND(N(J3312)&gt;0,N(K3312)&lt;J3312),"🟡 FALTA EXECUTAR",IF(OR(M3312="PENDENTE",M3312="PARCIAL"),"🟡 FATURAMENTO PENDENTE","🟡 EMBARQUE PENDENTE")))))))))))</f>
        <v/>
      </c>
      <c r="D3312" s="4" t="n"/>
      <c r="E3312" s="5" t="n"/>
      <c r="F3312" s="5" t="n"/>
      <c r="G3312" s="5" t="n"/>
      <c r="H3312" s="5" t="n"/>
      <c r="I3312" s="5" t="n"/>
      <c r="J3312" s="6" t="n"/>
      <c r="K3312" s="6" t="n"/>
      <c r="L3312" s="7">
        <f>IF(OR(D3312="",N(J3312)=0),"",MIN(1,N(K3312)/J3312))</f>
        <v/>
      </c>
      <c r="M3312" s="5" t="n"/>
      <c r="N3312" s="5" t="n"/>
      <c r="O3312" s="5" t="n"/>
      <c r="P3312" s="5" t="n"/>
      <c r="Q3312" s="5" t="n"/>
      <c r="R3312" s="4" t="n"/>
      <c r="S3312" s="4" t="n"/>
      <c r="T3312" s="5" t="n"/>
      <c r="U3312" s="8">
        <f>IF(AND(V3312=1,D3312&lt;&gt;""),IF(D3312&gt;=corte,TODAY()-D3312,""),"")</f>
        <v/>
      </c>
      <c r="V3312" s="8">
        <f>IF(D3312="",0,IF(OR(AND(P3312&lt;&gt;"",S3312=""),AND(N(J3312)&gt;0,N(K3312)&lt;J3312),OR(M3312="PENDENTE",M3312="PARCIAL"),OR(N3312="PENDENTE",N3312="PARCIAL")),1,0))</f>
        <v/>
      </c>
      <c r="W3312" s="8">
        <f>IF(AND(V3312=1,D3312&lt;&gt;""),IF(D3312&gt;=corte,(B3312="CRÍTICO")*1E9+(100000-D3312)*10000+10000-ROW(),""),"")</f>
        <v/>
      </c>
      <c r="X3312" s="8">
        <f>IF(AND(V3312=1,D3312=pas_data,E3312=pas_turno),10000-ROW(),"")</f>
        <v/>
      </c>
    </row>
    <row r="3313">
      <c r="A3313" s="3">
        <f>IF(D3313="","","TT-"&amp;TEXT(ROW()-1,"00000"))</f>
        <v/>
      </c>
      <c r="B3313" s="3">
        <f>IF(D3313="","",IF(V3313=0,"CONCLUÍDO",IF(D3313&lt;corte,"HISTÓRICO",IF(OR(AND(ISNUMBER(R3313),R3313&lt;TODAY()),AND(OR(N3313="PENDENTE",N3313="PARCIAL"),D3313&lt;TODAY()-1)),"CRÍTICO",IF(OR(AND(P3313&lt;&gt;"",S3313=""),AND(N3313="REALIZADO",M3313="PENDENTE"),AND(ISNUMBER(R3313),R3313=TODAY())),"ATENÇÃO",IF(N(K3313)=0,"PENDENTE","EM ANDAMENTO"))))))</f>
        <v/>
      </c>
      <c r="C3313" s="3">
        <f>IF(D3313="","",IF(V3313=0,"🟢 OK",IF(D3313&lt;corte,"⚪ HISTÓRICO (sem baixa)",IF(AND(ISNUMBER(R3313),R3313&lt;TODAY()),"🔴 PRAZO VENCIDO",IF(AND(OR(N3313="PENDENTE",N3313="PARCIAL"),D3313&lt;TODAY()-1),"🔴 EMBARQUE ATRASADO",IF(AND(N3313="REALIZADO",M3313="PENDENTE"),"🟡 EMBARCADO SEM FATURAR",IF(AND(P3313&lt;&gt;"",S3313="",OR(Q3313="",R3313="")),"🟡 PENDÊNCIA SEM RESPONSÁVEL/PRAZO",IF(AND(ISNUMBER(R3313),R3313=TODAY()),"🟡 VENCE HOJE",IF(AND(P3313&lt;&gt;"",S3313=""),"🟡 PENDÊNCIA ABERTA",IF(AND(N(J3313)&gt;0,N(K3313)&lt;J3313),"🟡 FALTA EXECUTAR",IF(OR(M3313="PENDENTE",M3313="PARCIAL"),"🟡 FATURAMENTO PENDENTE","🟡 EMBARQUE PENDENTE")))))))))))</f>
        <v/>
      </c>
      <c r="D3313" s="4" t="n"/>
      <c r="E3313" s="5" t="n"/>
      <c r="F3313" s="5" t="n"/>
      <c r="G3313" s="5" t="n"/>
      <c r="H3313" s="5" t="n"/>
      <c r="I3313" s="5" t="n"/>
      <c r="J3313" s="6" t="n"/>
      <c r="K3313" s="6" t="n"/>
      <c r="L3313" s="7">
        <f>IF(OR(D3313="",N(J3313)=0),"",MIN(1,N(K3313)/J3313))</f>
        <v/>
      </c>
      <c r="M3313" s="5" t="n"/>
      <c r="N3313" s="5" t="n"/>
      <c r="O3313" s="5" t="n"/>
      <c r="P3313" s="5" t="n"/>
      <c r="Q3313" s="5" t="n"/>
      <c r="R3313" s="4" t="n"/>
      <c r="S3313" s="4" t="n"/>
      <c r="T3313" s="5" t="n"/>
      <c r="U3313" s="8">
        <f>IF(AND(V3313=1,D3313&lt;&gt;""),IF(D3313&gt;=corte,TODAY()-D3313,""),"")</f>
        <v/>
      </c>
      <c r="V3313" s="8">
        <f>IF(D3313="",0,IF(OR(AND(P3313&lt;&gt;"",S3313=""),AND(N(J3313)&gt;0,N(K3313)&lt;J3313),OR(M3313="PENDENTE",M3313="PARCIAL"),OR(N3313="PENDENTE",N3313="PARCIAL")),1,0))</f>
        <v/>
      </c>
      <c r="W3313" s="8">
        <f>IF(AND(V3313=1,D3313&lt;&gt;""),IF(D3313&gt;=corte,(B3313="CRÍTICO")*1E9+(100000-D3313)*10000+10000-ROW(),""),"")</f>
        <v/>
      </c>
      <c r="X3313" s="8">
        <f>IF(AND(V3313=1,D3313=pas_data,E3313=pas_turno),10000-ROW(),"")</f>
        <v/>
      </c>
    </row>
    <row r="3314">
      <c r="A3314" s="3">
        <f>IF(D3314="","","TT-"&amp;TEXT(ROW()-1,"00000"))</f>
        <v/>
      </c>
      <c r="B3314" s="3">
        <f>IF(D3314="","",IF(V3314=0,"CONCLUÍDO",IF(D3314&lt;corte,"HISTÓRICO",IF(OR(AND(ISNUMBER(R3314),R3314&lt;TODAY()),AND(OR(N3314="PENDENTE",N3314="PARCIAL"),D3314&lt;TODAY()-1)),"CRÍTICO",IF(OR(AND(P3314&lt;&gt;"",S3314=""),AND(N3314="REALIZADO",M3314="PENDENTE"),AND(ISNUMBER(R3314),R3314=TODAY())),"ATENÇÃO",IF(N(K3314)=0,"PENDENTE","EM ANDAMENTO"))))))</f>
        <v/>
      </c>
      <c r="C3314" s="3">
        <f>IF(D3314="","",IF(V3314=0,"🟢 OK",IF(D3314&lt;corte,"⚪ HISTÓRICO (sem baixa)",IF(AND(ISNUMBER(R3314),R3314&lt;TODAY()),"🔴 PRAZO VENCIDO",IF(AND(OR(N3314="PENDENTE",N3314="PARCIAL"),D3314&lt;TODAY()-1),"🔴 EMBARQUE ATRASADO",IF(AND(N3314="REALIZADO",M3314="PENDENTE"),"🟡 EMBARCADO SEM FATURAR",IF(AND(P3314&lt;&gt;"",S3314="",OR(Q3314="",R3314="")),"🟡 PENDÊNCIA SEM RESPONSÁVEL/PRAZO",IF(AND(ISNUMBER(R3314),R3314=TODAY()),"🟡 VENCE HOJE",IF(AND(P3314&lt;&gt;"",S3314=""),"🟡 PENDÊNCIA ABERTA",IF(AND(N(J3314)&gt;0,N(K3314)&lt;J3314),"🟡 FALTA EXECUTAR",IF(OR(M3314="PENDENTE",M3314="PARCIAL"),"🟡 FATURAMENTO PENDENTE","🟡 EMBARQUE PENDENTE")))))))))))</f>
        <v/>
      </c>
      <c r="D3314" s="4" t="n"/>
      <c r="E3314" s="5" t="n"/>
      <c r="F3314" s="5" t="n"/>
      <c r="G3314" s="5" t="n"/>
      <c r="H3314" s="5" t="n"/>
      <c r="I3314" s="5" t="n"/>
      <c r="J3314" s="6" t="n"/>
      <c r="K3314" s="6" t="n"/>
      <c r="L3314" s="7">
        <f>IF(OR(D3314="",N(J3314)=0),"",MIN(1,N(K3314)/J3314))</f>
        <v/>
      </c>
      <c r="M3314" s="5" t="n"/>
      <c r="N3314" s="5" t="n"/>
      <c r="O3314" s="5" t="n"/>
      <c r="P3314" s="5" t="n"/>
      <c r="Q3314" s="5" t="n"/>
      <c r="R3314" s="4" t="n"/>
      <c r="S3314" s="4" t="n"/>
      <c r="T3314" s="5" t="n"/>
      <c r="U3314" s="8">
        <f>IF(AND(V3314=1,D3314&lt;&gt;""),IF(D3314&gt;=corte,TODAY()-D3314,""),"")</f>
        <v/>
      </c>
      <c r="V3314" s="8">
        <f>IF(D3314="",0,IF(OR(AND(P3314&lt;&gt;"",S3314=""),AND(N(J3314)&gt;0,N(K3314)&lt;J3314),OR(M3314="PENDENTE",M3314="PARCIAL"),OR(N3314="PENDENTE",N3314="PARCIAL")),1,0))</f>
        <v/>
      </c>
      <c r="W3314" s="8">
        <f>IF(AND(V3314=1,D3314&lt;&gt;""),IF(D3314&gt;=corte,(B3314="CRÍTICO")*1E9+(100000-D3314)*10000+10000-ROW(),""),"")</f>
        <v/>
      </c>
      <c r="X3314" s="8">
        <f>IF(AND(V3314=1,D3314=pas_data,E3314=pas_turno),10000-ROW(),"")</f>
        <v/>
      </c>
    </row>
    <row r="3315">
      <c r="A3315" s="3">
        <f>IF(D3315="","","TT-"&amp;TEXT(ROW()-1,"00000"))</f>
        <v/>
      </c>
      <c r="B3315" s="3">
        <f>IF(D3315="","",IF(V3315=0,"CONCLUÍDO",IF(D3315&lt;corte,"HISTÓRICO",IF(OR(AND(ISNUMBER(R3315),R3315&lt;TODAY()),AND(OR(N3315="PENDENTE",N3315="PARCIAL"),D3315&lt;TODAY()-1)),"CRÍTICO",IF(OR(AND(P3315&lt;&gt;"",S3315=""),AND(N3315="REALIZADO",M3315="PENDENTE"),AND(ISNUMBER(R3315),R3315=TODAY())),"ATENÇÃO",IF(N(K3315)=0,"PENDENTE","EM ANDAMENTO"))))))</f>
        <v/>
      </c>
      <c r="C3315" s="3">
        <f>IF(D3315="","",IF(V3315=0,"🟢 OK",IF(D3315&lt;corte,"⚪ HISTÓRICO (sem baixa)",IF(AND(ISNUMBER(R3315),R3315&lt;TODAY()),"🔴 PRAZO VENCIDO",IF(AND(OR(N3315="PENDENTE",N3315="PARCIAL"),D3315&lt;TODAY()-1),"🔴 EMBARQUE ATRASADO",IF(AND(N3315="REALIZADO",M3315="PENDENTE"),"🟡 EMBARCADO SEM FATURAR",IF(AND(P3315&lt;&gt;"",S3315="",OR(Q3315="",R3315="")),"🟡 PENDÊNCIA SEM RESPONSÁVEL/PRAZO",IF(AND(ISNUMBER(R3315),R3315=TODAY()),"🟡 VENCE HOJE",IF(AND(P3315&lt;&gt;"",S3315=""),"🟡 PENDÊNCIA ABERTA",IF(AND(N(J3315)&gt;0,N(K3315)&lt;J3315),"🟡 FALTA EXECUTAR",IF(OR(M3315="PENDENTE",M3315="PARCIAL"),"🟡 FATURAMENTO PENDENTE","🟡 EMBARQUE PENDENTE")))))))))))</f>
        <v/>
      </c>
      <c r="D3315" s="4" t="n"/>
      <c r="E3315" s="5" t="n"/>
      <c r="F3315" s="5" t="n"/>
      <c r="G3315" s="5" t="n"/>
      <c r="H3315" s="5" t="n"/>
      <c r="I3315" s="5" t="n"/>
      <c r="J3315" s="6" t="n"/>
      <c r="K3315" s="6" t="n"/>
      <c r="L3315" s="7">
        <f>IF(OR(D3315="",N(J3315)=0),"",MIN(1,N(K3315)/J3315))</f>
        <v/>
      </c>
      <c r="M3315" s="5" t="n"/>
      <c r="N3315" s="5" t="n"/>
      <c r="O3315" s="5" t="n"/>
      <c r="P3315" s="5" t="n"/>
      <c r="Q3315" s="5" t="n"/>
      <c r="R3315" s="4" t="n"/>
      <c r="S3315" s="4" t="n"/>
      <c r="T3315" s="5" t="n"/>
      <c r="U3315" s="8">
        <f>IF(AND(V3315=1,D3315&lt;&gt;""),IF(D3315&gt;=corte,TODAY()-D3315,""),"")</f>
        <v/>
      </c>
      <c r="V3315" s="8">
        <f>IF(D3315="",0,IF(OR(AND(P3315&lt;&gt;"",S3315=""),AND(N(J3315)&gt;0,N(K3315)&lt;J3315),OR(M3315="PENDENTE",M3315="PARCIAL"),OR(N3315="PENDENTE",N3315="PARCIAL")),1,0))</f>
        <v/>
      </c>
      <c r="W3315" s="8">
        <f>IF(AND(V3315=1,D3315&lt;&gt;""),IF(D3315&gt;=corte,(B3315="CRÍTICO")*1E9+(100000-D3315)*10000+10000-ROW(),""),"")</f>
        <v/>
      </c>
      <c r="X3315" s="8">
        <f>IF(AND(V3315=1,D3315=pas_data,E3315=pas_turno),10000-ROW(),"")</f>
        <v/>
      </c>
    </row>
    <row r="3316">
      <c r="A3316" s="3">
        <f>IF(D3316="","","TT-"&amp;TEXT(ROW()-1,"00000"))</f>
        <v/>
      </c>
      <c r="B3316" s="3">
        <f>IF(D3316="","",IF(V3316=0,"CONCLUÍDO",IF(D3316&lt;corte,"HISTÓRICO",IF(OR(AND(ISNUMBER(R3316),R3316&lt;TODAY()),AND(OR(N3316="PENDENTE",N3316="PARCIAL"),D3316&lt;TODAY()-1)),"CRÍTICO",IF(OR(AND(P3316&lt;&gt;"",S3316=""),AND(N3316="REALIZADO",M3316="PENDENTE"),AND(ISNUMBER(R3316),R3316=TODAY())),"ATENÇÃO",IF(N(K3316)=0,"PENDENTE","EM ANDAMENTO"))))))</f>
        <v/>
      </c>
      <c r="C3316" s="3">
        <f>IF(D3316="","",IF(V3316=0,"🟢 OK",IF(D3316&lt;corte,"⚪ HISTÓRICO (sem baixa)",IF(AND(ISNUMBER(R3316),R3316&lt;TODAY()),"🔴 PRAZO VENCIDO",IF(AND(OR(N3316="PENDENTE",N3316="PARCIAL"),D3316&lt;TODAY()-1),"🔴 EMBARQUE ATRASADO",IF(AND(N3316="REALIZADO",M3316="PENDENTE"),"🟡 EMBARCADO SEM FATURAR",IF(AND(P3316&lt;&gt;"",S3316="",OR(Q3316="",R3316="")),"🟡 PENDÊNCIA SEM RESPONSÁVEL/PRAZO",IF(AND(ISNUMBER(R3316),R3316=TODAY()),"🟡 VENCE HOJE",IF(AND(P3316&lt;&gt;"",S3316=""),"🟡 PENDÊNCIA ABERTA",IF(AND(N(J3316)&gt;0,N(K3316)&lt;J3316),"🟡 FALTA EXECUTAR",IF(OR(M3316="PENDENTE",M3316="PARCIAL"),"🟡 FATURAMENTO PENDENTE","🟡 EMBARQUE PENDENTE")))))))))))</f>
        <v/>
      </c>
      <c r="D3316" s="4" t="n"/>
      <c r="E3316" s="5" t="n"/>
      <c r="F3316" s="5" t="n"/>
      <c r="G3316" s="5" t="n"/>
      <c r="H3316" s="5" t="n"/>
      <c r="I3316" s="5" t="n"/>
      <c r="J3316" s="6" t="n"/>
      <c r="K3316" s="6" t="n"/>
      <c r="L3316" s="7">
        <f>IF(OR(D3316="",N(J3316)=0),"",MIN(1,N(K3316)/J3316))</f>
        <v/>
      </c>
      <c r="M3316" s="5" t="n"/>
      <c r="N3316" s="5" t="n"/>
      <c r="O3316" s="5" t="n"/>
      <c r="P3316" s="5" t="n"/>
      <c r="Q3316" s="5" t="n"/>
      <c r="R3316" s="4" t="n"/>
      <c r="S3316" s="4" t="n"/>
      <c r="T3316" s="5" t="n"/>
      <c r="U3316" s="8">
        <f>IF(AND(V3316=1,D3316&lt;&gt;""),IF(D3316&gt;=corte,TODAY()-D3316,""),"")</f>
        <v/>
      </c>
      <c r="V3316" s="8">
        <f>IF(D3316="",0,IF(OR(AND(P3316&lt;&gt;"",S3316=""),AND(N(J3316)&gt;0,N(K3316)&lt;J3316),OR(M3316="PENDENTE",M3316="PARCIAL"),OR(N3316="PENDENTE",N3316="PARCIAL")),1,0))</f>
        <v/>
      </c>
      <c r="W3316" s="8">
        <f>IF(AND(V3316=1,D3316&lt;&gt;""),IF(D3316&gt;=corte,(B3316="CRÍTICO")*1E9+(100000-D3316)*10000+10000-ROW(),""),"")</f>
        <v/>
      </c>
      <c r="X3316" s="8">
        <f>IF(AND(V3316=1,D3316=pas_data,E3316=pas_turno),10000-ROW(),"")</f>
        <v/>
      </c>
    </row>
    <row r="3317">
      <c r="A3317" s="3">
        <f>IF(D3317="","","TT-"&amp;TEXT(ROW()-1,"00000"))</f>
        <v/>
      </c>
      <c r="B3317" s="3">
        <f>IF(D3317="","",IF(V3317=0,"CONCLUÍDO",IF(D3317&lt;corte,"HISTÓRICO",IF(OR(AND(ISNUMBER(R3317),R3317&lt;TODAY()),AND(OR(N3317="PENDENTE",N3317="PARCIAL"),D3317&lt;TODAY()-1)),"CRÍTICO",IF(OR(AND(P3317&lt;&gt;"",S3317=""),AND(N3317="REALIZADO",M3317="PENDENTE"),AND(ISNUMBER(R3317),R3317=TODAY())),"ATENÇÃO",IF(N(K3317)=0,"PENDENTE","EM ANDAMENTO"))))))</f>
        <v/>
      </c>
      <c r="C3317" s="3">
        <f>IF(D3317="","",IF(V3317=0,"🟢 OK",IF(D3317&lt;corte,"⚪ HISTÓRICO (sem baixa)",IF(AND(ISNUMBER(R3317),R3317&lt;TODAY()),"🔴 PRAZO VENCIDO",IF(AND(OR(N3317="PENDENTE",N3317="PARCIAL"),D3317&lt;TODAY()-1),"🔴 EMBARQUE ATRASADO",IF(AND(N3317="REALIZADO",M3317="PENDENTE"),"🟡 EMBARCADO SEM FATURAR",IF(AND(P3317&lt;&gt;"",S3317="",OR(Q3317="",R3317="")),"🟡 PENDÊNCIA SEM RESPONSÁVEL/PRAZO",IF(AND(ISNUMBER(R3317),R3317=TODAY()),"🟡 VENCE HOJE",IF(AND(P3317&lt;&gt;"",S3317=""),"🟡 PENDÊNCIA ABERTA",IF(AND(N(J3317)&gt;0,N(K3317)&lt;J3317),"🟡 FALTA EXECUTAR",IF(OR(M3317="PENDENTE",M3317="PARCIAL"),"🟡 FATURAMENTO PENDENTE","🟡 EMBARQUE PENDENTE")))))))))))</f>
        <v/>
      </c>
      <c r="D3317" s="4" t="n"/>
      <c r="E3317" s="5" t="n"/>
      <c r="F3317" s="5" t="n"/>
      <c r="G3317" s="5" t="n"/>
      <c r="H3317" s="5" t="n"/>
      <c r="I3317" s="5" t="n"/>
      <c r="J3317" s="6" t="n"/>
      <c r="K3317" s="6" t="n"/>
      <c r="L3317" s="7">
        <f>IF(OR(D3317="",N(J3317)=0),"",MIN(1,N(K3317)/J3317))</f>
        <v/>
      </c>
      <c r="M3317" s="5" t="n"/>
      <c r="N3317" s="5" t="n"/>
      <c r="O3317" s="5" t="n"/>
      <c r="P3317" s="5" t="n"/>
      <c r="Q3317" s="5" t="n"/>
      <c r="R3317" s="4" t="n"/>
      <c r="S3317" s="4" t="n"/>
      <c r="T3317" s="5" t="n"/>
      <c r="U3317" s="8">
        <f>IF(AND(V3317=1,D3317&lt;&gt;""),IF(D3317&gt;=corte,TODAY()-D3317,""),"")</f>
        <v/>
      </c>
      <c r="V3317" s="8">
        <f>IF(D3317="",0,IF(OR(AND(P3317&lt;&gt;"",S3317=""),AND(N(J3317)&gt;0,N(K3317)&lt;J3317),OR(M3317="PENDENTE",M3317="PARCIAL"),OR(N3317="PENDENTE",N3317="PARCIAL")),1,0))</f>
        <v/>
      </c>
      <c r="W3317" s="8">
        <f>IF(AND(V3317=1,D3317&lt;&gt;""),IF(D3317&gt;=corte,(B3317="CRÍTICO")*1E9+(100000-D3317)*10000+10000-ROW(),""),"")</f>
        <v/>
      </c>
      <c r="X3317" s="8">
        <f>IF(AND(V3317=1,D3317=pas_data,E3317=pas_turno),10000-ROW(),"")</f>
        <v/>
      </c>
    </row>
    <row r="3318">
      <c r="A3318" s="3">
        <f>IF(D3318="","","TT-"&amp;TEXT(ROW()-1,"00000"))</f>
        <v/>
      </c>
      <c r="B3318" s="3">
        <f>IF(D3318="","",IF(V3318=0,"CONCLUÍDO",IF(D3318&lt;corte,"HISTÓRICO",IF(OR(AND(ISNUMBER(R3318),R3318&lt;TODAY()),AND(OR(N3318="PENDENTE",N3318="PARCIAL"),D3318&lt;TODAY()-1)),"CRÍTICO",IF(OR(AND(P3318&lt;&gt;"",S3318=""),AND(N3318="REALIZADO",M3318="PENDENTE"),AND(ISNUMBER(R3318),R3318=TODAY())),"ATENÇÃO",IF(N(K3318)=0,"PENDENTE","EM ANDAMENTO"))))))</f>
        <v/>
      </c>
      <c r="C3318" s="3">
        <f>IF(D3318="","",IF(V3318=0,"🟢 OK",IF(D3318&lt;corte,"⚪ HISTÓRICO (sem baixa)",IF(AND(ISNUMBER(R3318),R3318&lt;TODAY()),"🔴 PRAZO VENCIDO",IF(AND(OR(N3318="PENDENTE",N3318="PARCIAL"),D3318&lt;TODAY()-1),"🔴 EMBARQUE ATRASADO",IF(AND(N3318="REALIZADO",M3318="PENDENTE"),"🟡 EMBARCADO SEM FATURAR",IF(AND(P3318&lt;&gt;"",S3318="",OR(Q3318="",R3318="")),"🟡 PENDÊNCIA SEM RESPONSÁVEL/PRAZO",IF(AND(ISNUMBER(R3318),R3318=TODAY()),"🟡 VENCE HOJE",IF(AND(P3318&lt;&gt;"",S3318=""),"🟡 PENDÊNCIA ABERTA",IF(AND(N(J3318)&gt;0,N(K3318)&lt;J3318),"🟡 FALTA EXECUTAR",IF(OR(M3318="PENDENTE",M3318="PARCIAL"),"🟡 FATURAMENTO PENDENTE","🟡 EMBARQUE PENDENTE")))))))))))</f>
        <v/>
      </c>
      <c r="D3318" s="4" t="n"/>
      <c r="E3318" s="5" t="n"/>
      <c r="F3318" s="5" t="n"/>
      <c r="G3318" s="5" t="n"/>
      <c r="H3318" s="5" t="n"/>
      <c r="I3318" s="5" t="n"/>
      <c r="J3318" s="6" t="n"/>
      <c r="K3318" s="6" t="n"/>
      <c r="L3318" s="7">
        <f>IF(OR(D3318="",N(J3318)=0),"",MIN(1,N(K3318)/J3318))</f>
        <v/>
      </c>
      <c r="M3318" s="5" t="n"/>
      <c r="N3318" s="5" t="n"/>
      <c r="O3318" s="5" t="n"/>
      <c r="P3318" s="5" t="n"/>
      <c r="Q3318" s="5" t="n"/>
      <c r="R3318" s="4" t="n"/>
      <c r="S3318" s="4" t="n"/>
      <c r="T3318" s="5" t="n"/>
      <c r="U3318" s="8">
        <f>IF(AND(V3318=1,D3318&lt;&gt;""),IF(D3318&gt;=corte,TODAY()-D3318,""),"")</f>
        <v/>
      </c>
      <c r="V3318" s="8">
        <f>IF(D3318="",0,IF(OR(AND(P3318&lt;&gt;"",S3318=""),AND(N(J3318)&gt;0,N(K3318)&lt;J3318),OR(M3318="PENDENTE",M3318="PARCIAL"),OR(N3318="PENDENTE",N3318="PARCIAL")),1,0))</f>
        <v/>
      </c>
      <c r="W3318" s="8">
        <f>IF(AND(V3318=1,D3318&lt;&gt;""),IF(D3318&gt;=corte,(B3318="CRÍTICO")*1E9+(100000-D3318)*10000+10000-ROW(),""),"")</f>
        <v/>
      </c>
      <c r="X3318" s="8">
        <f>IF(AND(V3318=1,D3318=pas_data,E3318=pas_turno),10000-ROW(),"")</f>
        <v/>
      </c>
    </row>
    <row r="3319">
      <c r="A3319" s="3">
        <f>IF(D3319="","","TT-"&amp;TEXT(ROW()-1,"00000"))</f>
        <v/>
      </c>
      <c r="B3319" s="3">
        <f>IF(D3319="","",IF(V3319=0,"CONCLUÍDO",IF(D3319&lt;corte,"HISTÓRICO",IF(OR(AND(ISNUMBER(R3319),R3319&lt;TODAY()),AND(OR(N3319="PENDENTE",N3319="PARCIAL"),D3319&lt;TODAY()-1)),"CRÍTICO",IF(OR(AND(P3319&lt;&gt;"",S3319=""),AND(N3319="REALIZADO",M3319="PENDENTE"),AND(ISNUMBER(R3319),R3319=TODAY())),"ATENÇÃO",IF(N(K3319)=0,"PENDENTE","EM ANDAMENTO"))))))</f>
        <v/>
      </c>
      <c r="C3319" s="3">
        <f>IF(D3319="","",IF(V3319=0,"🟢 OK",IF(D3319&lt;corte,"⚪ HISTÓRICO (sem baixa)",IF(AND(ISNUMBER(R3319),R3319&lt;TODAY()),"🔴 PRAZO VENCIDO",IF(AND(OR(N3319="PENDENTE",N3319="PARCIAL"),D3319&lt;TODAY()-1),"🔴 EMBARQUE ATRASADO",IF(AND(N3319="REALIZADO",M3319="PENDENTE"),"🟡 EMBARCADO SEM FATURAR",IF(AND(P3319&lt;&gt;"",S3319="",OR(Q3319="",R3319="")),"🟡 PENDÊNCIA SEM RESPONSÁVEL/PRAZO",IF(AND(ISNUMBER(R3319),R3319=TODAY()),"🟡 VENCE HOJE",IF(AND(P3319&lt;&gt;"",S3319=""),"🟡 PENDÊNCIA ABERTA",IF(AND(N(J3319)&gt;0,N(K3319)&lt;J3319),"🟡 FALTA EXECUTAR",IF(OR(M3319="PENDENTE",M3319="PARCIAL"),"🟡 FATURAMENTO PENDENTE","🟡 EMBARQUE PENDENTE")))))))))))</f>
        <v/>
      </c>
      <c r="D3319" s="4" t="n"/>
      <c r="E3319" s="5" t="n"/>
      <c r="F3319" s="5" t="n"/>
      <c r="G3319" s="5" t="n"/>
      <c r="H3319" s="5" t="n"/>
      <c r="I3319" s="5" t="n"/>
      <c r="J3319" s="6" t="n"/>
      <c r="K3319" s="6" t="n"/>
      <c r="L3319" s="7">
        <f>IF(OR(D3319="",N(J3319)=0),"",MIN(1,N(K3319)/J3319))</f>
        <v/>
      </c>
      <c r="M3319" s="5" t="n"/>
      <c r="N3319" s="5" t="n"/>
      <c r="O3319" s="5" t="n"/>
      <c r="P3319" s="5" t="n"/>
      <c r="Q3319" s="5" t="n"/>
      <c r="R3319" s="4" t="n"/>
      <c r="S3319" s="4" t="n"/>
      <c r="T3319" s="5" t="n"/>
      <c r="U3319" s="8">
        <f>IF(AND(V3319=1,D3319&lt;&gt;""),IF(D3319&gt;=corte,TODAY()-D3319,""),"")</f>
        <v/>
      </c>
      <c r="V3319" s="8">
        <f>IF(D3319="",0,IF(OR(AND(P3319&lt;&gt;"",S3319=""),AND(N(J3319)&gt;0,N(K3319)&lt;J3319),OR(M3319="PENDENTE",M3319="PARCIAL"),OR(N3319="PENDENTE",N3319="PARCIAL")),1,0))</f>
        <v/>
      </c>
      <c r="W3319" s="8">
        <f>IF(AND(V3319=1,D3319&lt;&gt;""),IF(D3319&gt;=corte,(B3319="CRÍTICO")*1E9+(100000-D3319)*10000+10000-ROW(),""),"")</f>
        <v/>
      </c>
      <c r="X3319" s="8">
        <f>IF(AND(V3319=1,D3319=pas_data,E3319=pas_turno),10000-ROW(),"")</f>
        <v/>
      </c>
    </row>
    <row r="3320">
      <c r="A3320" s="3">
        <f>IF(D3320="","","TT-"&amp;TEXT(ROW()-1,"00000"))</f>
        <v/>
      </c>
      <c r="B3320" s="3">
        <f>IF(D3320="","",IF(V3320=0,"CONCLUÍDO",IF(D3320&lt;corte,"HISTÓRICO",IF(OR(AND(ISNUMBER(R3320),R3320&lt;TODAY()),AND(OR(N3320="PENDENTE",N3320="PARCIAL"),D3320&lt;TODAY()-1)),"CRÍTICO",IF(OR(AND(P3320&lt;&gt;"",S3320=""),AND(N3320="REALIZADO",M3320="PENDENTE"),AND(ISNUMBER(R3320),R3320=TODAY())),"ATENÇÃO",IF(N(K3320)=0,"PENDENTE","EM ANDAMENTO"))))))</f>
        <v/>
      </c>
      <c r="C3320" s="3">
        <f>IF(D3320="","",IF(V3320=0,"🟢 OK",IF(D3320&lt;corte,"⚪ HISTÓRICO (sem baixa)",IF(AND(ISNUMBER(R3320),R3320&lt;TODAY()),"🔴 PRAZO VENCIDO",IF(AND(OR(N3320="PENDENTE",N3320="PARCIAL"),D3320&lt;TODAY()-1),"🔴 EMBARQUE ATRASADO",IF(AND(N3320="REALIZADO",M3320="PENDENTE"),"🟡 EMBARCADO SEM FATURAR",IF(AND(P3320&lt;&gt;"",S3320="",OR(Q3320="",R3320="")),"🟡 PENDÊNCIA SEM RESPONSÁVEL/PRAZO",IF(AND(ISNUMBER(R3320),R3320=TODAY()),"🟡 VENCE HOJE",IF(AND(P3320&lt;&gt;"",S3320=""),"🟡 PENDÊNCIA ABERTA",IF(AND(N(J3320)&gt;0,N(K3320)&lt;J3320),"🟡 FALTA EXECUTAR",IF(OR(M3320="PENDENTE",M3320="PARCIAL"),"🟡 FATURAMENTO PENDENTE","🟡 EMBARQUE PENDENTE")))))))))))</f>
        <v/>
      </c>
      <c r="D3320" s="4" t="n"/>
      <c r="E3320" s="5" t="n"/>
      <c r="F3320" s="5" t="n"/>
      <c r="G3320" s="5" t="n"/>
      <c r="H3320" s="5" t="n"/>
      <c r="I3320" s="5" t="n"/>
      <c r="J3320" s="6" t="n"/>
      <c r="K3320" s="6" t="n"/>
      <c r="L3320" s="7">
        <f>IF(OR(D3320="",N(J3320)=0),"",MIN(1,N(K3320)/J3320))</f>
        <v/>
      </c>
      <c r="M3320" s="5" t="n"/>
      <c r="N3320" s="5" t="n"/>
      <c r="O3320" s="5" t="n"/>
      <c r="P3320" s="5" t="n"/>
      <c r="Q3320" s="5" t="n"/>
      <c r="R3320" s="4" t="n"/>
      <c r="S3320" s="4" t="n"/>
      <c r="T3320" s="5" t="n"/>
      <c r="U3320" s="8">
        <f>IF(AND(V3320=1,D3320&lt;&gt;""),IF(D3320&gt;=corte,TODAY()-D3320,""),"")</f>
        <v/>
      </c>
      <c r="V3320" s="8">
        <f>IF(D3320="",0,IF(OR(AND(P3320&lt;&gt;"",S3320=""),AND(N(J3320)&gt;0,N(K3320)&lt;J3320),OR(M3320="PENDENTE",M3320="PARCIAL"),OR(N3320="PENDENTE",N3320="PARCIAL")),1,0))</f>
        <v/>
      </c>
      <c r="W3320" s="8">
        <f>IF(AND(V3320=1,D3320&lt;&gt;""),IF(D3320&gt;=corte,(B3320="CRÍTICO")*1E9+(100000-D3320)*10000+10000-ROW(),""),"")</f>
        <v/>
      </c>
      <c r="X3320" s="8">
        <f>IF(AND(V3320=1,D3320=pas_data,E3320=pas_turno),10000-ROW(),"")</f>
        <v/>
      </c>
    </row>
    <row r="3321">
      <c r="A3321" s="3">
        <f>IF(D3321="","","TT-"&amp;TEXT(ROW()-1,"00000"))</f>
        <v/>
      </c>
      <c r="B3321" s="3">
        <f>IF(D3321="","",IF(V3321=0,"CONCLUÍDO",IF(D3321&lt;corte,"HISTÓRICO",IF(OR(AND(ISNUMBER(R3321),R3321&lt;TODAY()),AND(OR(N3321="PENDENTE",N3321="PARCIAL"),D3321&lt;TODAY()-1)),"CRÍTICO",IF(OR(AND(P3321&lt;&gt;"",S3321=""),AND(N3321="REALIZADO",M3321="PENDENTE"),AND(ISNUMBER(R3321),R3321=TODAY())),"ATENÇÃO",IF(N(K3321)=0,"PENDENTE","EM ANDAMENTO"))))))</f>
        <v/>
      </c>
      <c r="C3321" s="3">
        <f>IF(D3321="","",IF(V3321=0,"🟢 OK",IF(D3321&lt;corte,"⚪ HISTÓRICO (sem baixa)",IF(AND(ISNUMBER(R3321),R3321&lt;TODAY()),"🔴 PRAZO VENCIDO",IF(AND(OR(N3321="PENDENTE",N3321="PARCIAL"),D3321&lt;TODAY()-1),"🔴 EMBARQUE ATRASADO",IF(AND(N3321="REALIZADO",M3321="PENDENTE"),"🟡 EMBARCADO SEM FATURAR",IF(AND(P3321&lt;&gt;"",S3321="",OR(Q3321="",R3321="")),"🟡 PENDÊNCIA SEM RESPONSÁVEL/PRAZO",IF(AND(ISNUMBER(R3321),R3321=TODAY()),"🟡 VENCE HOJE",IF(AND(P3321&lt;&gt;"",S3321=""),"🟡 PENDÊNCIA ABERTA",IF(AND(N(J3321)&gt;0,N(K3321)&lt;J3321),"🟡 FALTA EXECUTAR",IF(OR(M3321="PENDENTE",M3321="PARCIAL"),"🟡 FATURAMENTO PENDENTE","🟡 EMBARQUE PENDENTE")))))))))))</f>
        <v/>
      </c>
      <c r="D3321" s="4" t="n"/>
      <c r="E3321" s="5" t="n"/>
      <c r="F3321" s="5" t="n"/>
      <c r="G3321" s="5" t="n"/>
      <c r="H3321" s="5" t="n"/>
      <c r="I3321" s="5" t="n"/>
      <c r="J3321" s="6" t="n"/>
      <c r="K3321" s="6" t="n"/>
      <c r="L3321" s="7">
        <f>IF(OR(D3321="",N(J3321)=0),"",MIN(1,N(K3321)/J3321))</f>
        <v/>
      </c>
      <c r="M3321" s="5" t="n"/>
      <c r="N3321" s="5" t="n"/>
      <c r="O3321" s="5" t="n"/>
      <c r="P3321" s="5" t="n"/>
      <c r="Q3321" s="5" t="n"/>
      <c r="R3321" s="4" t="n"/>
      <c r="S3321" s="4" t="n"/>
      <c r="T3321" s="5" t="n"/>
      <c r="U3321" s="8">
        <f>IF(AND(V3321=1,D3321&lt;&gt;""),IF(D3321&gt;=corte,TODAY()-D3321,""),"")</f>
        <v/>
      </c>
      <c r="V3321" s="8">
        <f>IF(D3321="",0,IF(OR(AND(P3321&lt;&gt;"",S3321=""),AND(N(J3321)&gt;0,N(K3321)&lt;J3321),OR(M3321="PENDENTE",M3321="PARCIAL"),OR(N3321="PENDENTE",N3321="PARCIAL")),1,0))</f>
        <v/>
      </c>
      <c r="W3321" s="8">
        <f>IF(AND(V3321=1,D3321&lt;&gt;""),IF(D3321&gt;=corte,(B3321="CRÍTICO")*1E9+(100000-D3321)*10000+10000-ROW(),""),"")</f>
        <v/>
      </c>
      <c r="X3321" s="8">
        <f>IF(AND(V3321=1,D3321=pas_data,E3321=pas_turno),10000-ROW(),"")</f>
        <v/>
      </c>
    </row>
    <row r="3322">
      <c r="A3322" s="3">
        <f>IF(D3322="","","TT-"&amp;TEXT(ROW()-1,"00000"))</f>
        <v/>
      </c>
      <c r="B3322" s="3">
        <f>IF(D3322="","",IF(V3322=0,"CONCLUÍDO",IF(D3322&lt;corte,"HISTÓRICO",IF(OR(AND(ISNUMBER(R3322),R3322&lt;TODAY()),AND(OR(N3322="PENDENTE",N3322="PARCIAL"),D3322&lt;TODAY()-1)),"CRÍTICO",IF(OR(AND(P3322&lt;&gt;"",S3322=""),AND(N3322="REALIZADO",M3322="PENDENTE"),AND(ISNUMBER(R3322),R3322=TODAY())),"ATENÇÃO",IF(N(K3322)=0,"PENDENTE","EM ANDAMENTO"))))))</f>
        <v/>
      </c>
      <c r="C3322" s="3">
        <f>IF(D3322="","",IF(V3322=0,"🟢 OK",IF(D3322&lt;corte,"⚪ HISTÓRICO (sem baixa)",IF(AND(ISNUMBER(R3322),R3322&lt;TODAY()),"🔴 PRAZO VENCIDO",IF(AND(OR(N3322="PENDENTE",N3322="PARCIAL"),D3322&lt;TODAY()-1),"🔴 EMBARQUE ATRASADO",IF(AND(N3322="REALIZADO",M3322="PENDENTE"),"🟡 EMBARCADO SEM FATURAR",IF(AND(P3322&lt;&gt;"",S3322="",OR(Q3322="",R3322="")),"🟡 PENDÊNCIA SEM RESPONSÁVEL/PRAZO",IF(AND(ISNUMBER(R3322),R3322=TODAY()),"🟡 VENCE HOJE",IF(AND(P3322&lt;&gt;"",S3322=""),"🟡 PENDÊNCIA ABERTA",IF(AND(N(J3322)&gt;0,N(K3322)&lt;J3322),"🟡 FALTA EXECUTAR",IF(OR(M3322="PENDENTE",M3322="PARCIAL"),"🟡 FATURAMENTO PENDENTE","🟡 EMBARQUE PENDENTE")))))))))))</f>
        <v/>
      </c>
      <c r="D3322" s="4" t="n"/>
      <c r="E3322" s="5" t="n"/>
      <c r="F3322" s="5" t="n"/>
      <c r="G3322" s="5" t="n"/>
      <c r="H3322" s="5" t="n"/>
      <c r="I3322" s="5" t="n"/>
      <c r="J3322" s="6" t="n"/>
      <c r="K3322" s="6" t="n"/>
      <c r="L3322" s="7">
        <f>IF(OR(D3322="",N(J3322)=0),"",MIN(1,N(K3322)/J3322))</f>
        <v/>
      </c>
      <c r="M3322" s="5" t="n"/>
      <c r="N3322" s="5" t="n"/>
      <c r="O3322" s="5" t="n"/>
      <c r="P3322" s="5" t="n"/>
      <c r="Q3322" s="5" t="n"/>
      <c r="R3322" s="4" t="n"/>
      <c r="S3322" s="4" t="n"/>
      <c r="T3322" s="5" t="n"/>
      <c r="U3322" s="8">
        <f>IF(AND(V3322=1,D3322&lt;&gt;""),IF(D3322&gt;=corte,TODAY()-D3322,""),"")</f>
        <v/>
      </c>
      <c r="V3322" s="8">
        <f>IF(D3322="",0,IF(OR(AND(P3322&lt;&gt;"",S3322=""),AND(N(J3322)&gt;0,N(K3322)&lt;J3322),OR(M3322="PENDENTE",M3322="PARCIAL"),OR(N3322="PENDENTE",N3322="PARCIAL")),1,0))</f>
        <v/>
      </c>
      <c r="W3322" s="8">
        <f>IF(AND(V3322=1,D3322&lt;&gt;""),IF(D3322&gt;=corte,(B3322="CRÍTICO")*1E9+(100000-D3322)*10000+10000-ROW(),""),"")</f>
        <v/>
      </c>
      <c r="X3322" s="8">
        <f>IF(AND(V3322=1,D3322=pas_data,E3322=pas_turno),10000-ROW(),"")</f>
        <v/>
      </c>
    </row>
    <row r="3323">
      <c r="A3323" s="3">
        <f>IF(D3323="","","TT-"&amp;TEXT(ROW()-1,"00000"))</f>
        <v/>
      </c>
      <c r="B3323" s="3">
        <f>IF(D3323="","",IF(V3323=0,"CONCLUÍDO",IF(D3323&lt;corte,"HISTÓRICO",IF(OR(AND(ISNUMBER(R3323),R3323&lt;TODAY()),AND(OR(N3323="PENDENTE",N3323="PARCIAL"),D3323&lt;TODAY()-1)),"CRÍTICO",IF(OR(AND(P3323&lt;&gt;"",S3323=""),AND(N3323="REALIZADO",M3323="PENDENTE"),AND(ISNUMBER(R3323),R3323=TODAY())),"ATENÇÃO",IF(N(K3323)=0,"PENDENTE","EM ANDAMENTO"))))))</f>
        <v/>
      </c>
      <c r="C3323" s="3">
        <f>IF(D3323="","",IF(V3323=0,"🟢 OK",IF(D3323&lt;corte,"⚪ HISTÓRICO (sem baixa)",IF(AND(ISNUMBER(R3323),R3323&lt;TODAY()),"🔴 PRAZO VENCIDO",IF(AND(OR(N3323="PENDENTE",N3323="PARCIAL"),D3323&lt;TODAY()-1),"🔴 EMBARQUE ATRASADO",IF(AND(N3323="REALIZADO",M3323="PENDENTE"),"🟡 EMBARCADO SEM FATURAR",IF(AND(P3323&lt;&gt;"",S3323="",OR(Q3323="",R3323="")),"🟡 PENDÊNCIA SEM RESPONSÁVEL/PRAZO",IF(AND(ISNUMBER(R3323),R3323=TODAY()),"🟡 VENCE HOJE",IF(AND(P3323&lt;&gt;"",S3323=""),"🟡 PENDÊNCIA ABERTA",IF(AND(N(J3323)&gt;0,N(K3323)&lt;J3323),"🟡 FALTA EXECUTAR",IF(OR(M3323="PENDENTE",M3323="PARCIAL"),"🟡 FATURAMENTO PENDENTE","🟡 EMBARQUE PENDENTE")))))))))))</f>
        <v/>
      </c>
      <c r="D3323" s="4" t="n"/>
      <c r="E3323" s="5" t="n"/>
      <c r="F3323" s="5" t="n"/>
      <c r="G3323" s="5" t="n"/>
      <c r="H3323" s="5" t="n"/>
      <c r="I3323" s="5" t="n"/>
      <c r="J3323" s="6" t="n"/>
      <c r="K3323" s="6" t="n"/>
      <c r="L3323" s="7">
        <f>IF(OR(D3323="",N(J3323)=0),"",MIN(1,N(K3323)/J3323))</f>
        <v/>
      </c>
      <c r="M3323" s="5" t="n"/>
      <c r="N3323" s="5" t="n"/>
      <c r="O3323" s="5" t="n"/>
      <c r="P3323" s="5" t="n"/>
      <c r="Q3323" s="5" t="n"/>
      <c r="R3323" s="4" t="n"/>
      <c r="S3323" s="4" t="n"/>
      <c r="T3323" s="5" t="n"/>
      <c r="U3323" s="8">
        <f>IF(AND(V3323=1,D3323&lt;&gt;""),IF(D3323&gt;=corte,TODAY()-D3323,""),"")</f>
        <v/>
      </c>
      <c r="V3323" s="8">
        <f>IF(D3323="",0,IF(OR(AND(P3323&lt;&gt;"",S3323=""),AND(N(J3323)&gt;0,N(K3323)&lt;J3323),OR(M3323="PENDENTE",M3323="PARCIAL"),OR(N3323="PENDENTE",N3323="PARCIAL")),1,0))</f>
        <v/>
      </c>
      <c r="W3323" s="8">
        <f>IF(AND(V3323=1,D3323&lt;&gt;""),IF(D3323&gt;=corte,(B3323="CRÍTICO")*1E9+(100000-D3323)*10000+10000-ROW(),""),"")</f>
        <v/>
      </c>
      <c r="X3323" s="8">
        <f>IF(AND(V3323=1,D3323=pas_data,E3323=pas_turno),10000-ROW(),"")</f>
        <v/>
      </c>
    </row>
    <row r="3324">
      <c r="A3324" s="3">
        <f>IF(D3324="","","TT-"&amp;TEXT(ROW()-1,"00000"))</f>
        <v/>
      </c>
      <c r="B3324" s="3">
        <f>IF(D3324="","",IF(V3324=0,"CONCLUÍDO",IF(D3324&lt;corte,"HISTÓRICO",IF(OR(AND(ISNUMBER(R3324),R3324&lt;TODAY()),AND(OR(N3324="PENDENTE",N3324="PARCIAL"),D3324&lt;TODAY()-1)),"CRÍTICO",IF(OR(AND(P3324&lt;&gt;"",S3324=""),AND(N3324="REALIZADO",M3324="PENDENTE"),AND(ISNUMBER(R3324),R3324=TODAY())),"ATENÇÃO",IF(N(K3324)=0,"PENDENTE","EM ANDAMENTO"))))))</f>
        <v/>
      </c>
      <c r="C3324" s="3">
        <f>IF(D3324="","",IF(V3324=0,"🟢 OK",IF(D3324&lt;corte,"⚪ HISTÓRICO (sem baixa)",IF(AND(ISNUMBER(R3324),R3324&lt;TODAY()),"🔴 PRAZO VENCIDO",IF(AND(OR(N3324="PENDENTE",N3324="PARCIAL"),D3324&lt;TODAY()-1),"🔴 EMBARQUE ATRASADO",IF(AND(N3324="REALIZADO",M3324="PENDENTE"),"🟡 EMBARCADO SEM FATURAR",IF(AND(P3324&lt;&gt;"",S3324="",OR(Q3324="",R3324="")),"🟡 PENDÊNCIA SEM RESPONSÁVEL/PRAZO",IF(AND(ISNUMBER(R3324),R3324=TODAY()),"🟡 VENCE HOJE",IF(AND(P3324&lt;&gt;"",S3324=""),"🟡 PENDÊNCIA ABERTA",IF(AND(N(J3324)&gt;0,N(K3324)&lt;J3324),"🟡 FALTA EXECUTAR",IF(OR(M3324="PENDENTE",M3324="PARCIAL"),"🟡 FATURAMENTO PENDENTE","🟡 EMBARQUE PENDENTE")))))))))))</f>
        <v/>
      </c>
      <c r="D3324" s="4" t="n"/>
      <c r="E3324" s="5" t="n"/>
      <c r="F3324" s="5" t="n"/>
      <c r="G3324" s="5" t="n"/>
      <c r="H3324" s="5" t="n"/>
      <c r="I3324" s="5" t="n"/>
      <c r="J3324" s="6" t="n"/>
      <c r="K3324" s="6" t="n"/>
      <c r="L3324" s="7">
        <f>IF(OR(D3324="",N(J3324)=0),"",MIN(1,N(K3324)/J3324))</f>
        <v/>
      </c>
      <c r="M3324" s="5" t="n"/>
      <c r="N3324" s="5" t="n"/>
      <c r="O3324" s="5" t="n"/>
      <c r="P3324" s="5" t="n"/>
      <c r="Q3324" s="5" t="n"/>
      <c r="R3324" s="4" t="n"/>
      <c r="S3324" s="4" t="n"/>
      <c r="T3324" s="5" t="n"/>
      <c r="U3324" s="8">
        <f>IF(AND(V3324=1,D3324&lt;&gt;""),IF(D3324&gt;=corte,TODAY()-D3324,""),"")</f>
        <v/>
      </c>
      <c r="V3324" s="8">
        <f>IF(D3324="",0,IF(OR(AND(P3324&lt;&gt;"",S3324=""),AND(N(J3324)&gt;0,N(K3324)&lt;J3324),OR(M3324="PENDENTE",M3324="PARCIAL"),OR(N3324="PENDENTE",N3324="PARCIAL")),1,0))</f>
        <v/>
      </c>
      <c r="W3324" s="8">
        <f>IF(AND(V3324=1,D3324&lt;&gt;""),IF(D3324&gt;=corte,(B3324="CRÍTICO")*1E9+(100000-D3324)*10000+10000-ROW(),""),"")</f>
        <v/>
      </c>
      <c r="X3324" s="8">
        <f>IF(AND(V3324=1,D3324=pas_data,E3324=pas_turno),10000-ROW(),"")</f>
        <v/>
      </c>
    </row>
    <row r="3325">
      <c r="A3325" s="3">
        <f>IF(D3325="","","TT-"&amp;TEXT(ROW()-1,"00000"))</f>
        <v/>
      </c>
      <c r="B3325" s="3">
        <f>IF(D3325="","",IF(V3325=0,"CONCLUÍDO",IF(D3325&lt;corte,"HISTÓRICO",IF(OR(AND(ISNUMBER(R3325),R3325&lt;TODAY()),AND(OR(N3325="PENDENTE",N3325="PARCIAL"),D3325&lt;TODAY()-1)),"CRÍTICO",IF(OR(AND(P3325&lt;&gt;"",S3325=""),AND(N3325="REALIZADO",M3325="PENDENTE"),AND(ISNUMBER(R3325),R3325=TODAY())),"ATENÇÃO",IF(N(K3325)=0,"PENDENTE","EM ANDAMENTO"))))))</f>
        <v/>
      </c>
      <c r="C3325" s="3">
        <f>IF(D3325="","",IF(V3325=0,"🟢 OK",IF(D3325&lt;corte,"⚪ HISTÓRICO (sem baixa)",IF(AND(ISNUMBER(R3325),R3325&lt;TODAY()),"🔴 PRAZO VENCIDO",IF(AND(OR(N3325="PENDENTE",N3325="PARCIAL"),D3325&lt;TODAY()-1),"🔴 EMBARQUE ATRASADO",IF(AND(N3325="REALIZADO",M3325="PENDENTE"),"🟡 EMBARCADO SEM FATURAR",IF(AND(P3325&lt;&gt;"",S3325="",OR(Q3325="",R3325="")),"🟡 PENDÊNCIA SEM RESPONSÁVEL/PRAZO",IF(AND(ISNUMBER(R3325),R3325=TODAY()),"🟡 VENCE HOJE",IF(AND(P3325&lt;&gt;"",S3325=""),"🟡 PENDÊNCIA ABERTA",IF(AND(N(J3325)&gt;0,N(K3325)&lt;J3325),"🟡 FALTA EXECUTAR",IF(OR(M3325="PENDENTE",M3325="PARCIAL"),"🟡 FATURAMENTO PENDENTE","🟡 EMBARQUE PENDENTE")))))))))))</f>
        <v/>
      </c>
      <c r="D3325" s="4" t="n"/>
      <c r="E3325" s="5" t="n"/>
      <c r="F3325" s="5" t="n"/>
      <c r="G3325" s="5" t="n"/>
      <c r="H3325" s="5" t="n"/>
      <c r="I3325" s="5" t="n"/>
      <c r="J3325" s="6" t="n"/>
      <c r="K3325" s="6" t="n"/>
      <c r="L3325" s="7">
        <f>IF(OR(D3325="",N(J3325)=0),"",MIN(1,N(K3325)/J3325))</f>
        <v/>
      </c>
      <c r="M3325" s="5" t="n"/>
      <c r="N3325" s="5" t="n"/>
      <c r="O3325" s="5" t="n"/>
      <c r="P3325" s="5" t="n"/>
      <c r="Q3325" s="5" t="n"/>
      <c r="R3325" s="4" t="n"/>
      <c r="S3325" s="4" t="n"/>
      <c r="T3325" s="5" t="n"/>
      <c r="U3325" s="8">
        <f>IF(AND(V3325=1,D3325&lt;&gt;""),IF(D3325&gt;=corte,TODAY()-D3325,""),"")</f>
        <v/>
      </c>
      <c r="V3325" s="8">
        <f>IF(D3325="",0,IF(OR(AND(P3325&lt;&gt;"",S3325=""),AND(N(J3325)&gt;0,N(K3325)&lt;J3325),OR(M3325="PENDENTE",M3325="PARCIAL"),OR(N3325="PENDENTE",N3325="PARCIAL")),1,0))</f>
        <v/>
      </c>
      <c r="W3325" s="8">
        <f>IF(AND(V3325=1,D3325&lt;&gt;""),IF(D3325&gt;=corte,(B3325="CRÍTICO")*1E9+(100000-D3325)*10000+10000-ROW(),""),"")</f>
        <v/>
      </c>
      <c r="X3325" s="8">
        <f>IF(AND(V3325=1,D3325=pas_data,E3325=pas_turno),10000-ROW(),"")</f>
        <v/>
      </c>
    </row>
    <row r="3326">
      <c r="A3326" s="3">
        <f>IF(D3326="","","TT-"&amp;TEXT(ROW()-1,"00000"))</f>
        <v/>
      </c>
      <c r="B3326" s="3">
        <f>IF(D3326="","",IF(V3326=0,"CONCLUÍDO",IF(D3326&lt;corte,"HISTÓRICO",IF(OR(AND(ISNUMBER(R3326),R3326&lt;TODAY()),AND(OR(N3326="PENDENTE",N3326="PARCIAL"),D3326&lt;TODAY()-1)),"CRÍTICO",IF(OR(AND(P3326&lt;&gt;"",S3326=""),AND(N3326="REALIZADO",M3326="PENDENTE"),AND(ISNUMBER(R3326),R3326=TODAY())),"ATENÇÃO",IF(N(K3326)=0,"PENDENTE","EM ANDAMENTO"))))))</f>
        <v/>
      </c>
      <c r="C3326" s="3">
        <f>IF(D3326="","",IF(V3326=0,"🟢 OK",IF(D3326&lt;corte,"⚪ HISTÓRICO (sem baixa)",IF(AND(ISNUMBER(R3326),R3326&lt;TODAY()),"🔴 PRAZO VENCIDO",IF(AND(OR(N3326="PENDENTE",N3326="PARCIAL"),D3326&lt;TODAY()-1),"🔴 EMBARQUE ATRASADO",IF(AND(N3326="REALIZADO",M3326="PENDENTE"),"🟡 EMBARCADO SEM FATURAR",IF(AND(P3326&lt;&gt;"",S3326="",OR(Q3326="",R3326="")),"🟡 PENDÊNCIA SEM RESPONSÁVEL/PRAZO",IF(AND(ISNUMBER(R3326),R3326=TODAY()),"🟡 VENCE HOJE",IF(AND(P3326&lt;&gt;"",S3326=""),"🟡 PENDÊNCIA ABERTA",IF(AND(N(J3326)&gt;0,N(K3326)&lt;J3326),"🟡 FALTA EXECUTAR",IF(OR(M3326="PENDENTE",M3326="PARCIAL"),"🟡 FATURAMENTO PENDENTE","🟡 EMBARQUE PENDENTE")))))))))))</f>
        <v/>
      </c>
      <c r="D3326" s="4" t="n"/>
      <c r="E3326" s="5" t="n"/>
      <c r="F3326" s="5" t="n"/>
      <c r="G3326" s="5" t="n"/>
      <c r="H3326" s="5" t="n"/>
      <c r="I3326" s="5" t="n"/>
      <c r="J3326" s="6" t="n"/>
      <c r="K3326" s="6" t="n"/>
      <c r="L3326" s="7">
        <f>IF(OR(D3326="",N(J3326)=0),"",MIN(1,N(K3326)/J3326))</f>
        <v/>
      </c>
      <c r="M3326" s="5" t="n"/>
      <c r="N3326" s="5" t="n"/>
      <c r="O3326" s="5" t="n"/>
      <c r="P3326" s="5" t="n"/>
      <c r="Q3326" s="5" t="n"/>
      <c r="R3326" s="4" t="n"/>
      <c r="S3326" s="4" t="n"/>
      <c r="T3326" s="5" t="n"/>
      <c r="U3326" s="8">
        <f>IF(AND(V3326=1,D3326&lt;&gt;""),IF(D3326&gt;=corte,TODAY()-D3326,""),"")</f>
        <v/>
      </c>
      <c r="V3326" s="8">
        <f>IF(D3326="",0,IF(OR(AND(P3326&lt;&gt;"",S3326=""),AND(N(J3326)&gt;0,N(K3326)&lt;J3326),OR(M3326="PENDENTE",M3326="PARCIAL"),OR(N3326="PENDENTE",N3326="PARCIAL")),1,0))</f>
        <v/>
      </c>
      <c r="W3326" s="8">
        <f>IF(AND(V3326=1,D3326&lt;&gt;""),IF(D3326&gt;=corte,(B3326="CRÍTICO")*1E9+(100000-D3326)*10000+10000-ROW(),""),"")</f>
        <v/>
      </c>
      <c r="X3326" s="8">
        <f>IF(AND(V3326=1,D3326=pas_data,E3326=pas_turno),10000-ROW(),"")</f>
        <v/>
      </c>
    </row>
    <row r="3327">
      <c r="A3327" s="3">
        <f>IF(D3327="","","TT-"&amp;TEXT(ROW()-1,"00000"))</f>
        <v/>
      </c>
      <c r="B3327" s="3">
        <f>IF(D3327="","",IF(V3327=0,"CONCLUÍDO",IF(D3327&lt;corte,"HISTÓRICO",IF(OR(AND(ISNUMBER(R3327),R3327&lt;TODAY()),AND(OR(N3327="PENDENTE",N3327="PARCIAL"),D3327&lt;TODAY()-1)),"CRÍTICO",IF(OR(AND(P3327&lt;&gt;"",S3327=""),AND(N3327="REALIZADO",M3327="PENDENTE"),AND(ISNUMBER(R3327),R3327=TODAY())),"ATENÇÃO",IF(N(K3327)=0,"PENDENTE","EM ANDAMENTO"))))))</f>
        <v/>
      </c>
      <c r="C3327" s="3">
        <f>IF(D3327="","",IF(V3327=0,"🟢 OK",IF(D3327&lt;corte,"⚪ HISTÓRICO (sem baixa)",IF(AND(ISNUMBER(R3327),R3327&lt;TODAY()),"🔴 PRAZO VENCIDO",IF(AND(OR(N3327="PENDENTE",N3327="PARCIAL"),D3327&lt;TODAY()-1),"🔴 EMBARQUE ATRASADO",IF(AND(N3327="REALIZADO",M3327="PENDENTE"),"🟡 EMBARCADO SEM FATURAR",IF(AND(P3327&lt;&gt;"",S3327="",OR(Q3327="",R3327="")),"🟡 PENDÊNCIA SEM RESPONSÁVEL/PRAZO",IF(AND(ISNUMBER(R3327),R3327=TODAY()),"🟡 VENCE HOJE",IF(AND(P3327&lt;&gt;"",S3327=""),"🟡 PENDÊNCIA ABERTA",IF(AND(N(J3327)&gt;0,N(K3327)&lt;J3327),"🟡 FALTA EXECUTAR",IF(OR(M3327="PENDENTE",M3327="PARCIAL"),"🟡 FATURAMENTO PENDENTE","🟡 EMBARQUE PENDENTE")))))))))))</f>
        <v/>
      </c>
      <c r="D3327" s="4" t="n"/>
      <c r="E3327" s="5" t="n"/>
      <c r="F3327" s="5" t="n"/>
      <c r="G3327" s="5" t="n"/>
      <c r="H3327" s="5" t="n"/>
      <c r="I3327" s="5" t="n"/>
      <c r="J3327" s="6" t="n"/>
      <c r="K3327" s="6" t="n"/>
      <c r="L3327" s="7">
        <f>IF(OR(D3327="",N(J3327)=0),"",MIN(1,N(K3327)/J3327))</f>
        <v/>
      </c>
      <c r="M3327" s="5" t="n"/>
      <c r="N3327" s="5" t="n"/>
      <c r="O3327" s="5" t="n"/>
      <c r="P3327" s="5" t="n"/>
      <c r="Q3327" s="5" t="n"/>
      <c r="R3327" s="4" t="n"/>
      <c r="S3327" s="4" t="n"/>
      <c r="T3327" s="5" t="n"/>
      <c r="U3327" s="8">
        <f>IF(AND(V3327=1,D3327&lt;&gt;""),IF(D3327&gt;=corte,TODAY()-D3327,""),"")</f>
        <v/>
      </c>
      <c r="V3327" s="8">
        <f>IF(D3327="",0,IF(OR(AND(P3327&lt;&gt;"",S3327=""),AND(N(J3327)&gt;0,N(K3327)&lt;J3327),OR(M3327="PENDENTE",M3327="PARCIAL"),OR(N3327="PENDENTE",N3327="PARCIAL")),1,0))</f>
        <v/>
      </c>
      <c r="W3327" s="8">
        <f>IF(AND(V3327=1,D3327&lt;&gt;""),IF(D3327&gt;=corte,(B3327="CRÍTICO")*1E9+(100000-D3327)*10000+10000-ROW(),""),"")</f>
        <v/>
      </c>
      <c r="X3327" s="8">
        <f>IF(AND(V3327=1,D3327=pas_data,E3327=pas_turno),10000-ROW(),"")</f>
        <v/>
      </c>
    </row>
    <row r="3328">
      <c r="A3328" s="3">
        <f>IF(D3328="","","TT-"&amp;TEXT(ROW()-1,"00000"))</f>
        <v/>
      </c>
      <c r="B3328" s="3">
        <f>IF(D3328="","",IF(V3328=0,"CONCLUÍDO",IF(D3328&lt;corte,"HISTÓRICO",IF(OR(AND(ISNUMBER(R3328),R3328&lt;TODAY()),AND(OR(N3328="PENDENTE",N3328="PARCIAL"),D3328&lt;TODAY()-1)),"CRÍTICO",IF(OR(AND(P3328&lt;&gt;"",S3328=""),AND(N3328="REALIZADO",M3328="PENDENTE"),AND(ISNUMBER(R3328),R3328=TODAY())),"ATENÇÃO",IF(N(K3328)=0,"PENDENTE","EM ANDAMENTO"))))))</f>
        <v/>
      </c>
      <c r="C3328" s="3">
        <f>IF(D3328="","",IF(V3328=0,"🟢 OK",IF(D3328&lt;corte,"⚪ HISTÓRICO (sem baixa)",IF(AND(ISNUMBER(R3328),R3328&lt;TODAY()),"🔴 PRAZO VENCIDO",IF(AND(OR(N3328="PENDENTE",N3328="PARCIAL"),D3328&lt;TODAY()-1),"🔴 EMBARQUE ATRASADO",IF(AND(N3328="REALIZADO",M3328="PENDENTE"),"🟡 EMBARCADO SEM FATURAR",IF(AND(P3328&lt;&gt;"",S3328="",OR(Q3328="",R3328="")),"🟡 PENDÊNCIA SEM RESPONSÁVEL/PRAZO",IF(AND(ISNUMBER(R3328),R3328=TODAY()),"🟡 VENCE HOJE",IF(AND(P3328&lt;&gt;"",S3328=""),"🟡 PENDÊNCIA ABERTA",IF(AND(N(J3328)&gt;0,N(K3328)&lt;J3328),"🟡 FALTA EXECUTAR",IF(OR(M3328="PENDENTE",M3328="PARCIAL"),"🟡 FATURAMENTO PENDENTE","🟡 EMBARQUE PENDENTE")))))))))))</f>
        <v/>
      </c>
      <c r="D3328" s="4" t="n"/>
      <c r="E3328" s="5" t="n"/>
      <c r="F3328" s="5" t="n"/>
      <c r="G3328" s="5" t="n"/>
      <c r="H3328" s="5" t="n"/>
      <c r="I3328" s="5" t="n"/>
      <c r="J3328" s="6" t="n"/>
      <c r="K3328" s="6" t="n"/>
      <c r="L3328" s="7">
        <f>IF(OR(D3328="",N(J3328)=0),"",MIN(1,N(K3328)/J3328))</f>
        <v/>
      </c>
      <c r="M3328" s="5" t="n"/>
      <c r="N3328" s="5" t="n"/>
      <c r="O3328" s="5" t="n"/>
      <c r="P3328" s="5" t="n"/>
      <c r="Q3328" s="5" t="n"/>
      <c r="R3328" s="4" t="n"/>
      <c r="S3328" s="4" t="n"/>
      <c r="T3328" s="5" t="n"/>
      <c r="U3328" s="8">
        <f>IF(AND(V3328=1,D3328&lt;&gt;""),IF(D3328&gt;=corte,TODAY()-D3328,""),"")</f>
        <v/>
      </c>
      <c r="V3328" s="8">
        <f>IF(D3328="",0,IF(OR(AND(P3328&lt;&gt;"",S3328=""),AND(N(J3328)&gt;0,N(K3328)&lt;J3328),OR(M3328="PENDENTE",M3328="PARCIAL"),OR(N3328="PENDENTE",N3328="PARCIAL")),1,0))</f>
        <v/>
      </c>
      <c r="W3328" s="8">
        <f>IF(AND(V3328=1,D3328&lt;&gt;""),IF(D3328&gt;=corte,(B3328="CRÍTICO")*1E9+(100000-D3328)*10000+10000-ROW(),""),"")</f>
        <v/>
      </c>
      <c r="X3328" s="8">
        <f>IF(AND(V3328=1,D3328=pas_data,E3328=pas_turno),10000-ROW(),"")</f>
        <v/>
      </c>
    </row>
    <row r="3329">
      <c r="A3329" s="3">
        <f>IF(D3329="","","TT-"&amp;TEXT(ROW()-1,"00000"))</f>
        <v/>
      </c>
      <c r="B3329" s="3">
        <f>IF(D3329="","",IF(V3329=0,"CONCLUÍDO",IF(D3329&lt;corte,"HISTÓRICO",IF(OR(AND(ISNUMBER(R3329),R3329&lt;TODAY()),AND(OR(N3329="PENDENTE",N3329="PARCIAL"),D3329&lt;TODAY()-1)),"CRÍTICO",IF(OR(AND(P3329&lt;&gt;"",S3329=""),AND(N3329="REALIZADO",M3329="PENDENTE"),AND(ISNUMBER(R3329),R3329=TODAY())),"ATENÇÃO",IF(N(K3329)=0,"PENDENTE","EM ANDAMENTO"))))))</f>
        <v/>
      </c>
      <c r="C3329" s="3">
        <f>IF(D3329="","",IF(V3329=0,"🟢 OK",IF(D3329&lt;corte,"⚪ HISTÓRICO (sem baixa)",IF(AND(ISNUMBER(R3329),R3329&lt;TODAY()),"🔴 PRAZO VENCIDO",IF(AND(OR(N3329="PENDENTE",N3329="PARCIAL"),D3329&lt;TODAY()-1),"🔴 EMBARQUE ATRASADO",IF(AND(N3329="REALIZADO",M3329="PENDENTE"),"🟡 EMBARCADO SEM FATURAR",IF(AND(P3329&lt;&gt;"",S3329="",OR(Q3329="",R3329="")),"🟡 PENDÊNCIA SEM RESPONSÁVEL/PRAZO",IF(AND(ISNUMBER(R3329),R3329=TODAY()),"🟡 VENCE HOJE",IF(AND(P3329&lt;&gt;"",S3329=""),"🟡 PENDÊNCIA ABERTA",IF(AND(N(J3329)&gt;0,N(K3329)&lt;J3329),"🟡 FALTA EXECUTAR",IF(OR(M3329="PENDENTE",M3329="PARCIAL"),"🟡 FATURAMENTO PENDENTE","🟡 EMBARQUE PENDENTE")))))))))))</f>
        <v/>
      </c>
      <c r="D3329" s="4" t="n"/>
      <c r="E3329" s="5" t="n"/>
      <c r="F3329" s="5" t="n"/>
      <c r="G3329" s="5" t="n"/>
      <c r="H3329" s="5" t="n"/>
      <c r="I3329" s="5" t="n"/>
      <c r="J3329" s="6" t="n"/>
      <c r="K3329" s="6" t="n"/>
      <c r="L3329" s="7">
        <f>IF(OR(D3329="",N(J3329)=0),"",MIN(1,N(K3329)/J3329))</f>
        <v/>
      </c>
      <c r="M3329" s="5" t="n"/>
      <c r="N3329" s="5" t="n"/>
      <c r="O3329" s="5" t="n"/>
      <c r="P3329" s="5" t="n"/>
      <c r="Q3329" s="5" t="n"/>
      <c r="R3329" s="4" t="n"/>
      <c r="S3329" s="4" t="n"/>
      <c r="T3329" s="5" t="n"/>
      <c r="U3329" s="8">
        <f>IF(AND(V3329=1,D3329&lt;&gt;""),IF(D3329&gt;=corte,TODAY()-D3329,""),"")</f>
        <v/>
      </c>
      <c r="V3329" s="8">
        <f>IF(D3329="",0,IF(OR(AND(P3329&lt;&gt;"",S3329=""),AND(N(J3329)&gt;0,N(K3329)&lt;J3329),OR(M3329="PENDENTE",M3329="PARCIAL"),OR(N3329="PENDENTE",N3329="PARCIAL")),1,0))</f>
        <v/>
      </c>
      <c r="W3329" s="8">
        <f>IF(AND(V3329=1,D3329&lt;&gt;""),IF(D3329&gt;=corte,(B3329="CRÍTICO")*1E9+(100000-D3329)*10000+10000-ROW(),""),"")</f>
        <v/>
      </c>
      <c r="X3329" s="8">
        <f>IF(AND(V3329=1,D3329=pas_data,E3329=pas_turno),10000-ROW(),"")</f>
        <v/>
      </c>
    </row>
    <row r="3330">
      <c r="A3330" s="3">
        <f>IF(D3330="","","TT-"&amp;TEXT(ROW()-1,"00000"))</f>
        <v/>
      </c>
      <c r="B3330" s="3">
        <f>IF(D3330="","",IF(V3330=0,"CONCLUÍDO",IF(D3330&lt;corte,"HISTÓRICO",IF(OR(AND(ISNUMBER(R3330),R3330&lt;TODAY()),AND(OR(N3330="PENDENTE",N3330="PARCIAL"),D3330&lt;TODAY()-1)),"CRÍTICO",IF(OR(AND(P3330&lt;&gt;"",S3330=""),AND(N3330="REALIZADO",M3330="PENDENTE"),AND(ISNUMBER(R3330),R3330=TODAY())),"ATENÇÃO",IF(N(K3330)=0,"PENDENTE","EM ANDAMENTO"))))))</f>
        <v/>
      </c>
      <c r="C3330" s="3">
        <f>IF(D3330="","",IF(V3330=0,"🟢 OK",IF(D3330&lt;corte,"⚪ HISTÓRICO (sem baixa)",IF(AND(ISNUMBER(R3330),R3330&lt;TODAY()),"🔴 PRAZO VENCIDO",IF(AND(OR(N3330="PENDENTE",N3330="PARCIAL"),D3330&lt;TODAY()-1),"🔴 EMBARQUE ATRASADO",IF(AND(N3330="REALIZADO",M3330="PENDENTE"),"🟡 EMBARCADO SEM FATURAR",IF(AND(P3330&lt;&gt;"",S3330="",OR(Q3330="",R3330="")),"🟡 PENDÊNCIA SEM RESPONSÁVEL/PRAZO",IF(AND(ISNUMBER(R3330),R3330=TODAY()),"🟡 VENCE HOJE",IF(AND(P3330&lt;&gt;"",S3330=""),"🟡 PENDÊNCIA ABERTA",IF(AND(N(J3330)&gt;0,N(K3330)&lt;J3330),"🟡 FALTA EXECUTAR",IF(OR(M3330="PENDENTE",M3330="PARCIAL"),"🟡 FATURAMENTO PENDENTE","🟡 EMBARQUE PENDENTE")))))))))))</f>
        <v/>
      </c>
      <c r="D3330" s="4" t="n"/>
      <c r="E3330" s="5" t="n"/>
      <c r="F3330" s="5" t="n"/>
      <c r="G3330" s="5" t="n"/>
      <c r="H3330" s="5" t="n"/>
      <c r="I3330" s="5" t="n"/>
      <c r="J3330" s="6" t="n"/>
      <c r="K3330" s="6" t="n"/>
      <c r="L3330" s="7">
        <f>IF(OR(D3330="",N(J3330)=0),"",MIN(1,N(K3330)/J3330))</f>
        <v/>
      </c>
      <c r="M3330" s="5" t="n"/>
      <c r="N3330" s="5" t="n"/>
      <c r="O3330" s="5" t="n"/>
      <c r="P3330" s="5" t="n"/>
      <c r="Q3330" s="5" t="n"/>
      <c r="R3330" s="4" t="n"/>
      <c r="S3330" s="4" t="n"/>
      <c r="T3330" s="5" t="n"/>
      <c r="U3330" s="8">
        <f>IF(AND(V3330=1,D3330&lt;&gt;""),IF(D3330&gt;=corte,TODAY()-D3330,""),"")</f>
        <v/>
      </c>
      <c r="V3330" s="8">
        <f>IF(D3330="",0,IF(OR(AND(P3330&lt;&gt;"",S3330=""),AND(N(J3330)&gt;0,N(K3330)&lt;J3330),OR(M3330="PENDENTE",M3330="PARCIAL"),OR(N3330="PENDENTE",N3330="PARCIAL")),1,0))</f>
        <v/>
      </c>
      <c r="W3330" s="8">
        <f>IF(AND(V3330=1,D3330&lt;&gt;""),IF(D3330&gt;=corte,(B3330="CRÍTICO")*1E9+(100000-D3330)*10000+10000-ROW(),""),"")</f>
        <v/>
      </c>
      <c r="X3330" s="8">
        <f>IF(AND(V3330=1,D3330=pas_data,E3330=pas_turno),10000-ROW(),"")</f>
        <v/>
      </c>
    </row>
    <row r="3331">
      <c r="A3331" s="3">
        <f>IF(D3331="","","TT-"&amp;TEXT(ROW()-1,"00000"))</f>
        <v/>
      </c>
      <c r="B3331" s="3">
        <f>IF(D3331="","",IF(V3331=0,"CONCLUÍDO",IF(D3331&lt;corte,"HISTÓRICO",IF(OR(AND(ISNUMBER(R3331),R3331&lt;TODAY()),AND(OR(N3331="PENDENTE",N3331="PARCIAL"),D3331&lt;TODAY()-1)),"CRÍTICO",IF(OR(AND(P3331&lt;&gt;"",S3331=""),AND(N3331="REALIZADO",M3331="PENDENTE"),AND(ISNUMBER(R3331),R3331=TODAY())),"ATENÇÃO",IF(N(K3331)=0,"PENDENTE","EM ANDAMENTO"))))))</f>
        <v/>
      </c>
      <c r="C3331" s="3">
        <f>IF(D3331="","",IF(V3331=0,"🟢 OK",IF(D3331&lt;corte,"⚪ HISTÓRICO (sem baixa)",IF(AND(ISNUMBER(R3331),R3331&lt;TODAY()),"🔴 PRAZO VENCIDO",IF(AND(OR(N3331="PENDENTE",N3331="PARCIAL"),D3331&lt;TODAY()-1),"🔴 EMBARQUE ATRASADO",IF(AND(N3331="REALIZADO",M3331="PENDENTE"),"🟡 EMBARCADO SEM FATURAR",IF(AND(P3331&lt;&gt;"",S3331="",OR(Q3331="",R3331="")),"🟡 PENDÊNCIA SEM RESPONSÁVEL/PRAZO",IF(AND(ISNUMBER(R3331),R3331=TODAY()),"🟡 VENCE HOJE",IF(AND(P3331&lt;&gt;"",S3331=""),"🟡 PENDÊNCIA ABERTA",IF(AND(N(J3331)&gt;0,N(K3331)&lt;J3331),"🟡 FALTA EXECUTAR",IF(OR(M3331="PENDENTE",M3331="PARCIAL"),"🟡 FATURAMENTO PENDENTE","🟡 EMBARQUE PENDENTE")))))))))))</f>
        <v/>
      </c>
      <c r="D3331" s="4" t="n"/>
      <c r="E3331" s="5" t="n"/>
      <c r="F3331" s="5" t="n"/>
      <c r="G3331" s="5" t="n"/>
      <c r="H3331" s="5" t="n"/>
      <c r="I3331" s="5" t="n"/>
      <c r="J3331" s="6" t="n"/>
      <c r="K3331" s="6" t="n"/>
      <c r="L3331" s="7">
        <f>IF(OR(D3331="",N(J3331)=0),"",MIN(1,N(K3331)/J3331))</f>
        <v/>
      </c>
      <c r="M3331" s="5" t="n"/>
      <c r="N3331" s="5" t="n"/>
      <c r="O3331" s="5" t="n"/>
      <c r="P3331" s="5" t="n"/>
      <c r="Q3331" s="5" t="n"/>
      <c r="R3331" s="4" t="n"/>
      <c r="S3331" s="4" t="n"/>
      <c r="T3331" s="5" t="n"/>
      <c r="U3331" s="8">
        <f>IF(AND(V3331=1,D3331&lt;&gt;""),IF(D3331&gt;=corte,TODAY()-D3331,""),"")</f>
        <v/>
      </c>
      <c r="V3331" s="8">
        <f>IF(D3331="",0,IF(OR(AND(P3331&lt;&gt;"",S3331=""),AND(N(J3331)&gt;0,N(K3331)&lt;J3331),OR(M3331="PENDENTE",M3331="PARCIAL"),OR(N3331="PENDENTE",N3331="PARCIAL")),1,0))</f>
        <v/>
      </c>
      <c r="W3331" s="8">
        <f>IF(AND(V3331=1,D3331&lt;&gt;""),IF(D3331&gt;=corte,(B3331="CRÍTICO")*1E9+(100000-D3331)*10000+10000-ROW(),""),"")</f>
        <v/>
      </c>
      <c r="X3331" s="8">
        <f>IF(AND(V3331=1,D3331=pas_data,E3331=pas_turno),10000-ROW(),"")</f>
        <v/>
      </c>
    </row>
    <row r="3332">
      <c r="A3332" s="3">
        <f>IF(D3332="","","TT-"&amp;TEXT(ROW()-1,"00000"))</f>
        <v/>
      </c>
      <c r="B3332" s="3">
        <f>IF(D3332="","",IF(V3332=0,"CONCLUÍDO",IF(D3332&lt;corte,"HISTÓRICO",IF(OR(AND(ISNUMBER(R3332),R3332&lt;TODAY()),AND(OR(N3332="PENDENTE",N3332="PARCIAL"),D3332&lt;TODAY()-1)),"CRÍTICO",IF(OR(AND(P3332&lt;&gt;"",S3332=""),AND(N3332="REALIZADO",M3332="PENDENTE"),AND(ISNUMBER(R3332),R3332=TODAY())),"ATENÇÃO",IF(N(K3332)=0,"PENDENTE","EM ANDAMENTO"))))))</f>
        <v/>
      </c>
      <c r="C3332" s="3">
        <f>IF(D3332="","",IF(V3332=0,"🟢 OK",IF(D3332&lt;corte,"⚪ HISTÓRICO (sem baixa)",IF(AND(ISNUMBER(R3332),R3332&lt;TODAY()),"🔴 PRAZO VENCIDO",IF(AND(OR(N3332="PENDENTE",N3332="PARCIAL"),D3332&lt;TODAY()-1),"🔴 EMBARQUE ATRASADO",IF(AND(N3332="REALIZADO",M3332="PENDENTE"),"🟡 EMBARCADO SEM FATURAR",IF(AND(P3332&lt;&gt;"",S3332="",OR(Q3332="",R3332="")),"🟡 PENDÊNCIA SEM RESPONSÁVEL/PRAZO",IF(AND(ISNUMBER(R3332),R3332=TODAY()),"🟡 VENCE HOJE",IF(AND(P3332&lt;&gt;"",S3332=""),"🟡 PENDÊNCIA ABERTA",IF(AND(N(J3332)&gt;0,N(K3332)&lt;J3332),"🟡 FALTA EXECUTAR",IF(OR(M3332="PENDENTE",M3332="PARCIAL"),"🟡 FATURAMENTO PENDENTE","🟡 EMBARQUE PENDENTE")))))))))))</f>
        <v/>
      </c>
      <c r="D3332" s="4" t="n"/>
      <c r="E3332" s="5" t="n"/>
      <c r="F3332" s="5" t="n"/>
      <c r="G3332" s="5" t="n"/>
      <c r="H3332" s="5" t="n"/>
      <c r="I3332" s="5" t="n"/>
      <c r="J3332" s="6" t="n"/>
      <c r="K3332" s="6" t="n"/>
      <c r="L3332" s="7">
        <f>IF(OR(D3332="",N(J3332)=0),"",MIN(1,N(K3332)/J3332))</f>
        <v/>
      </c>
      <c r="M3332" s="5" t="n"/>
      <c r="N3332" s="5" t="n"/>
      <c r="O3332" s="5" t="n"/>
      <c r="P3332" s="5" t="n"/>
      <c r="Q3332" s="5" t="n"/>
      <c r="R3332" s="4" t="n"/>
      <c r="S3332" s="4" t="n"/>
      <c r="T3332" s="5" t="n"/>
      <c r="U3332" s="8">
        <f>IF(AND(V3332=1,D3332&lt;&gt;""),IF(D3332&gt;=corte,TODAY()-D3332,""),"")</f>
        <v/>
      </c>
      <c r="V3332" s="8">
        <f>IF(D3332="",0,IF(OR(AND(P3332&lt;&gt;"",S3332=""),AND(N(J3332)&gt;0,N(K3332)&lt;J3332),OR(M3332="PENDENTE",M3332="PARCIAL"),OR(N3332="PENDENTE",N3332="PARCIAL")),1,0))</f>
        <v/>
      </c>
      <c r="W3332" s="8">
        <f>IF(AND(V3332=1,D3332&lt;&gt;""),IF(D3332&gt;=corte,(B3332="CRÍTICO")*1E9+(100000-D3332)*10000+10000-ROW(),""),"")</f>
        <v/>
      </c>
      <c r="X3332" s="8">
        <f>IF(AND(V3332=1,D3332=pas_data,E3332=pas_turno),10000-ROW(),"")</f>
        <v/>
      </c>
    </row>
    <row r="3333">
      <c r="A3333" s="3">
        <f>IF(D3333="","","TT-"&amp;TEXT(ROW()-1,"00000"))</f>
        <v/>
      </c>
      <c r="B3333" s="3">
        <f>IF(D3333="","",IF(V3333=0,"CONCLUÍDO",IF(D3333&lt;corte,"HISTÓRICO",IF(OR(AND(ISNUMBER(R3333),R3333&lt;TODAY()),AND(OR(N3333="PENDENTE",N3333="PARCIAL"),D3333&lt;TODAY()-1)),"CRÍTICO",IF(OR(AND(P3333&lt;&gt;"",S3333=""),AND(N3333="REALIZADO",M3333="PENDENTE"),AND(ISNUMBER(R3333),R3333=TODAY())),"ATENÇÃO",IF(N(K3333)=0,"PENDENTE","EM ANDAMENTO"))))))</f>
        <v/>
      </c>
      <c r="C3333" s="3">
        <f>IF(D3333="","",IF(V3333=0,"🟢 OK",IF(D3333&lt;corte,"⚪ HISTÓRICO (sem baixa)",IF(AND(ISNUMBER(R3333),R3333&lt;TODAY()),"🔴 PRAZO VENCIDO",IF(AND(OR(N3333="PENDENTE",N3333="PARCIAL"),D3333&lt;TODAY()-1),"🔴 EMBARQUE ATRASADO",IF(AND(N3333="REALIZADO",M3333="PENDENTE"),"🟡 EMBARCADO SEM FATURAR",IF(AND(P3333&lt;&gt;"",S3333="",OR(Q3333="",R3333="")),"🟡 PENDÊNCIA SEM RESPONSÁVEL/PRAZO",IF(AND(ISNUMBER(R3333),R3333=TODAY()),"🟡 VENCE HOJE",IF(AND(P3333&lt;&gt;"",S3333=""),"🟡 PENDÊNCIA ABERTA",IF(AND(N(J3333)&gt;0,N(K3333)&lt;J3333),"🟡 FALTA EXECUTAR",IF(OR(M3333="PENDENTE",M3333="PARCIAL"),"🟡 FATURAMENTO PENDENTE","🟡 EMBARQUE PENDENTE")))))))))))</f>
        <v/>
      </c>
      <c r="D3333" s="4" t="n"/>
      <c r="E3333" s="5" t="n"/>
      <c r="F3333" s="5" t="n"/>
      <c r="G3333" s="5" t="n"/>
      <c r="H3333" s="5" t="n"/>
      <c r="I3333" s="5" t="n"/>
      <c r="J3333" s="6" t="n"/>
      <c r="K3333" s="6" t="n"/>
      <c r="L3333" s="7">
        <f>IF(OR(D3333="",N(J3333)=0),"",MIN(1,N(K3333)/J3333))</f>
        <v/>
      </c>
      <c r="M3333" s="5" t="n"/>
      <c r="N3333" s="5" t="n"/>
      <c r="O3333" s="5" t="n"/>
      <c r="P3333" s="5" t="n"/>
      <c r="Q3333" s="5" t="n"/>
      <c r="R3333" s="4" t="n"/>
      <c r="S3333" s="4" t="n"/>
      <c r="T3333" s="5" t="n"/>
      <c r="U3333" s="8">
        <f>IF(AND(V3333=1,D3333&lt;&gt;""),IF(D3333&gt;=corte,TODAY()-D3333,""),"")</f>
        <v/>
      </c>
      <c r="V3333" s="8">
        <f>IF(D3333="",0,IF(OR(AND(P3333&lt;&gt;"",S3333=""),AND(N(J3333)&gt;0,N(K3333)&lt;J3333),OR(M3333="PENDENTE",M3333="PARCIAL"),OR(N3333="PENDENTE",N3333="PARCIAL")),1,0))</f>
        <v/>
      </c>
      <c r="W3333" s="8">
        <f>IF(AND(V3333=1,D3333&lt;&gt;""),IF(D3333&gt;=corte,(B3333="CRÍTICO")*1E9+(100000-D3333)*10000+10000-ROW(),""),"")</f>
        <v/>
      </c>
      <c r="X3333" s="8">
        <f>IF(AND(V3333=1,D3333=pas_data,E3333=pas_turno),10000-ROW(),"")</f>
        <v/>
      </c>
    </row>
    <row r="3334">
      <c r="A3334" s="3">
        <f>IF(D3334="","","TT-"&amp;TEXT(ROW()-1,"00000"))</f>
        <v/>
      </c>
      <c r="B3334" s="3">
        <f>IF(D3334="","",IF(V3334=0,"CONCLUÍDO",IF(D3334&lt;corte,"HISTÓRICO",IF(OR(AND(ISNUMBER(R3334),R3334&lt;TODAY()),AND(OR(N3334="PENDENTE",N3334="PARCIAL"),D3334&lt;TODAY()-1)),"CRÍTICO",IF(OR(AND(P3334&lt;&gt;"",S3334=""),AND(N3334="REALIZADO",M3334="PENDENTE"),AND(ISNUMBER(R3334),R3334=TODAY())),"ATENÇÃO",IF(N(K3334)=0,"PENDENTE","EM ANDAMENTO"))))))</f>
        <v/>
      </c>
      <c r="C3334" s="3">
        <f>IF(D3334="","",IF(V3334=0,"🟢 OK",IF(D3334&lt;corte,"⚪ HISTÓRICO (sem baixa)",IF(AND(ISNUMBER(R3334),R3334&lt;TODAY()),"🔴 PRAZO VENCIDO",IF(AND(OR(N3334="PENDENTE",N3334="PARCIAL"),D3334&lt;TODAY()-1),"🔴 EMBARQUE ATRASADO",IF(AND(N3334="REALIZADO",M3334="PENDENTE"),"🟡 EMBARCADO SEM FATURAR",IF(AND(P3334&lt;&gt;"",S3334="",OR(Q3334="",R3334="")),"🟡 PENDÊNCIA SEM RESPONSÁVEL/PRAZO",IF(AND(ISNUMBER(R3334),R3334=TODAY()),"🟡 VENCE HOJE",IF(AND(P3334&lt;&gt;"",S3334=""),"🟡 PENDÊNCIA ABERTA",IF(AND(N(J3334)&gt;0,N(K3334)&lt;J3334),"🟡 FALTA EXECUTAR",IF(OR(M3334="PENDENTE",M3334="PARCIAL"),"🟡 FATURAMENTO PENDENTE","🟡 EMBARQUE PENDENTE")))))))))))</f>
        <v/>
      </c>
      <c r="D3334" s="4" t="n"/>
      <c r="E3334" s="5" t="n"/>
      <c r="F3334" s="5" t="n"/>
      <c r="G3334" s="5" t="n"/>
      <c r="H3334" s="5" t="n"/>
      <c r="I3334" s="5" t="n"/>
      <c r="J3334" s="6" t="n"/>
      <c r="K3334" s="6" t="n"/>
      <c r="L3334" s="7">
        <f>IF(OR(D3334="",N(J3334)=0),"",MIN(1,N(K3334)/J3334))</f>
        <v/>
      </c>
      <c r="M3334" s="5" t="n"/>
      <c r="N3334" s="5" t="n"/>
      <c r="O3334" s="5" t="n"/>
      <c r="P3334" s="5" t="n"/>
      <c r="Q3334" s="5" t="n"/>
      <c r="R3334" s="4" t="n"/>
      <c r="S3334" s="4" t="n"/>
      <c r="T3334" s="5" t="n"/>
      <c r="U3334" s="8">
        <f>IF(AND(V3334=1,D3334&lt;&gt;""),IF(D3334&gt;=corte,TODAY()-D3334,""),"")</f>
        <v/>
      </c>
      <c r="V3334" s="8">
        <f>IF(D3334="",0,IF(OR(AND(P3334&lt;&gt;"",S3334=""),AND(N(J3334)&gt;0,N(K3334)&lt;J3334),OR(M3334="PENDENTE",M3334="PARCIAL"),OR(N3334="PENDENTE",N3334="PARCIAL")),1,0))</f>
        <v/>
      </c>
      <c r="W3334" s="8">
        <f>IF(AND(V3334=1,D3334&lt;&gt;""),IF(D3334&gt;=corte,(B3334="CRÍTICO")*1E9+(100000-D3334)*10000+10000-ROW(),""),"")</f>
        <v/>
      </c>
      <c r="X3334" s="8">
        <f>IF(AND(V3334=1,D3334=pas_data,E3334=pas_turno),10000-ROW(),"")</f>
        <v/>
      </c>
    </row>
    <row r="3335">
      <c r="A3335" s="3">
        <f>IF(D3335="","","TT-"&amp;TEXT(ROW()-1,"00000"))</f>
        <v/>
      </c>
      <c r="B3335" s="3">
        <f>IF(D3335="","",IF(V3335=0,"CONCLUÍDO",IF(D3335&lt;corte,"HISTÓRICO",IF(OR(AND(ISNUMBER(R3335),R3335&lt;TODAY()),AND(OR(N3335="PENDENTE",N3335="PARCIAL"),D3335&lt;TODAY()-1)),"CRÍTICO",IF(OR(AND(P3335&lt;&gt;"",S3335=""),AND(N3335="REALIZADO",M3335="PENDENTE"),AND(ISNUMBER(R3335),R3335=TODAY())),"ATENÇÃO",IF(N(K3335)=0,"PENDENTE","EM ANDAMENTO"))))))</f>
        <v/>
      </c>
      <c r="C3335" s="3">
        <f>IF(D3335="","",IF(V3335=0,"🟢 OK",IF(D3335&lt;corte,"⚪ HISTÓRICO (sem baixa)",IF(AND(ISNUMBER(R3335),R3335&lt;TODAY()),"🔴 PRAZO VENCIDO",IF(AND(OR(N3335="PENDENTE",N3335="PARCIAL"),D3335&lt;TODAY()-1),"🔴 EMBARQUE ATRASADO",IF(AND(N3335="REALIZADO",M3335="PENDENTE"),"🟡 EMBARCADO SEM FATURAR",IF(AND(P3335&lt;&gt;"",S3335="",OR(Q3335="",R3335="")),"🟡 PENDÊNCIA SEM RESPONSÁVEL/PRAZO",IF(AND(ISNUMBER(R3335),R3335=TODAY()),"🟡 VENCE HOJE",IF(AND(P3335&lt;&gt;"",S3335=""),"🟡 PENDÊNCIA ABERTA",IF(AND(N(J3335)&gt;0,N(K3335)&lt;J3335),"🟡 FALTA EXECUTAR",IF(OR(M3335="PENDENTE",M3335="PARCIAL"),"🟡 FATURAMENTO PENDENTE","🟡 EMBARQUE PENDENTE")))))))))))</f>
        <v/>
      </c>
      <c r="D3335" s="4" t="n"/>
      <c r="E3335" s="5" t="n"/>
      <c r="F3335" s="5" t="n"/>
      <c r="G3335" s="5" t="n"/>
      <c r="H3335" s="5" t="n"/>
      <c r="I3335" s="5" t="n"/>
      <c r="J3335" s="6" t="n"/>
      <c r="K3335" s="6" t="n"/>
      <c r="L3335" s="7">
        <f>IF(OR(D3335="",N(J3335)=0),"",MIN(1,N(K3335)/J3335))</f>
        <v/>
      </c>
      <c r="M3335" s="5" t="n"/>
      <c r="N3335" s="5" t="n"/>
      <c r="O3335" s="5" t="n"/>
      <c r="P3335" s="5" t="n"/>
      <c r="Q3335" s="5" t="n"/>
      <c r="R3335" s="4" t="n"/>
      <c r="S3335" s="4" t="n"/>
      <c r="T3335" s="5" t="n"/>
      <c r="U3335" s="8">
        <f>IF(AND(V3335=1,D3335&lt;&gt;""),IF(D3335&gt;=corte,TODAY()-D3335,""),"")</f>
        <v/>
      </c>
      <c r="V3335" s="8">
        <f>IF(D3335="",0,IF(OR(AND(P3335&lt;&gt;"",S3335=""),AND(N(J3335)&gt;0,N(K3335)&lt;J3335),OR(M3335="PENDENTE",M3335="PARCIAL"),OR(N3335="PENDENTE",N3335="PARCIAL")),1,0))</f>
        <v/>
      </c>
      <c r="W3335" s="8">
        <f>IF(AND(V3335=1,D3335&lt;&gt;""),IF(D3335&gt;=corte,(B3335="CRÍTICO")*1E9+(100000-D3335)*10000+10000-ROW(),""),"")</f>
        <v/>
      </c>
      <c r="X3335" s="8">
        <f>IF(AND(V3335=1,D3335=pas_data,E3335=pas_turno),10000-ROW(),"")</f>
        <v/>
      </c>
    </row>
    <row r="3336">
      <c r="A3336" s="3">
        <f>IF(D3336="","","TT-"&amp;TEXT(ROW()-1,"00000"))</f>
        <v/>
      </c>
      <c r="B3336" s="3">
        <f>IF(D3336="","",IF(V3336=0,"CONCLUÍDO",IF(D3336&lt;corte,"HISTÓRICO",IF(OR(AND(ISNUMBER(R3336),R3336&lt;TODAY()),AND(OR(N3336="PENDENTE",N3336="PARCIAL"),D3336&lt;TODAY()-1)),"CRÍTICO",IF(OR(AND(P3336&lt;&gt;"",S3336=""),AND(N3336="REALIZADO",M3336="PENDENTE"),AND(ISNUMBER(R3336),R3336=TODAY())),"ATENÇÃO",IF(N(K3336)=0,"PENDENTE","EM ANDAMENTO"))))))</f>
        <v/>
      </c>
      <c r="C3336" s="3">
        <f>IF(D3336="","",IF(V3336=0,"🟢 OK",IF(D3336&lt;corte,"⚪ HISTÓRICO (sem baixa)",IF(AND(ISNUMBER(R3336),R3336&lt;TODAY()),"🔴 PRAZO VENCIDO",IF(AND(OR(N3336="PENDENTE",N3336="PARCIAL"),D3336&lt;TODAY()-1),"🔴 EMBARQUE ATRASADO",IF(AND(N3336="REALIZADO",M3336="PENDENTE"),"🟡 EMBARCADO SEM FATURAR",IF(AND(P3336&lt;&gt;"",S3336="",OR(Q3336="",R3336="")),"🟡 PENDÊNCIA SEM RESPONSÁVEL/PRAZO",IF(AND(ISNUMBER(R3336),R3336=TODAY()),"🟡 VENCE HOJE",IF(AND(P3336&lt;&gt;"",S3336=""),"🟡 PENDÊNCIA ABERTA",IF(AND(N(J3336)&gt;0,N(K3336)&lt;J3336),"🟡 FALTA EXECUTAR",IF(OR(M3336="PENDENTE",M3336="PARCIAL"),"🟡 FATURAMENTO PENDENTE","🟡 EMBARQUE PENDENTE")))))))))))</f>
        <v/>
      </c>
      <c r="D3336" s="4" t="n"/>
      <c r="E3336" s="5" t="n"/>
      <c r="F3336" s="5" t="n"/>
      <c r="G3336" s="5" t="n"/>
      <c r="H3336" s="5" t="n"/>
      <c r="I3336" s="5" t="n"/>
      <c r="J3336" s="6" t="n"/>
      <c r="K3336" s="6" t="n"/>
      <c r="L3336" s="7">
        <f>IF(OR(D3336="",N(J3336)=0),"",MIN(1,N(K3336)/J3336))</f>
        <v/>
      </c>
      <c r="M3336" s="5" t="n"/>
      <c r="N3336" s="5" t="n"/>
      <c r="O3336" s="5" t="n"/>
      <c r="P3336" s="5" t="n"/>
      <c r="Q3336" s="5" t="n"/>
      <c r="R3336" s="4" t="n"/>
      <c r="S3336" s="4" t="n"/>
      <c r="T3336" s="5" t="n"/>
      <c r="U3336" s="8">
        <f>IF(AND(V3336=1,D3336&lt;&gt;""),IF(D3336&gt;=corte,TODAY()-D3336,""),"")</f>
        <v/>
      </c>
      <c r="V3336" s="8">
        <f>IF(D3336="",0,IF(OR(AND(P3336&lt;&gt;"",S3336=""),AND(N(J3336)&gt;0,N(K3336)&lt;J3336),OR(M3336="PENDENTE",M3336="PARCIAL"),OR(N3336="PENDENTE",N3336="PARCIAL")),1,0))</f>
        <v/>
      </c>
      <c r="W3336" s="8">
        <f>IF(AND(V3336=1,D3336&lt;&gt;""),IF(D3336&gt;=corte,(B3336="CRÍTICO")*1E9+(100000-D3336)*10000+10000-ROW(),""),"")</f>
        <v/>
      </c>
      <c r="X3336" s="8">
        <f>IF(AND(V3336=1,D3336=pas_data,E3336=pas_turno),10000-ROW(),"")</f>
        <v/>
      </c>
    </row>
    <row r="3337">
      <c r="A3337" s="3">
        <f>IF(D3337="","","TT-"&amp;TEXT(ROW()-1,"00000"))</f>
        <v/>
      </c>
      <c r="B3337" s="3">
        <f>IF(D3337="","",IF(V3337=0,"CONCLUÍDO",IF(D3337&lt;corte,"HISTÓRICO",IF(OR(AND(ISNUMBER(R3337),R3337&lt;TODAY()),AND(OR(N3337="PENDENTE",N3337="PARCIAL"),D3337&lt;TODAY()-1)),"CRÍTICO",IF(OR(AND(P3337&lt;&gt;"",S3337=""),AND(N3337="REALIZADO",M3337="PENDENTE"),AND(ISNUMBER(R3337),R3337=TODAY())),"ATENÇÃO",IF(N(K3337)=0,"PENDENTE","EM ANDAMENTO"))))))</f>
        <v/>
      </c>
      <c r="C3337" s="3">
        <f>IF(D3337="","",IF(V3337=0,"🟢 OK",IF(D3337&lt;corte,"⚪ HISTÓRICO (sem baixa)",IF(AND(ISNUMBER(R3337),R3337&lt;TODAY()),"🔴 PRAZO VENCIDO",IF(AND(OR(N3337="PENDENTE",N3337="PARCIAL"),D3337&lt;TODAY()-1),"🔴 EMBARQUE ATRASADO",IF(AND(N3337="REALIZADO",M3337="PENDENTE"),"🟡 EMBARCADO SEM FATURAR",IF(AND(P3337&lt;&gt;"",S3337="",OR(Q3337="",R3337="")),"🟡 PENDÊNCIA SEM RESPONSÁVEL/PRAZO",IF(AND(ISNUMBER(R3337),R3337=TODAY()),"🟡 VENCE HOJE",IF(AND(P3337&lt;&gt;"",S3337=""),"🟡 PENDÊNCIA ABERTA",IF(AND(N(J3337)&gt;0,N(K3337)&lt;J3337),"🟡 FALTA EXECUTAR",IF(OR(M3337="PENDENTE",M3337="PARCIAL"),"🟡 FATURAMENTO PENDENTE","🟡 EMBARQUE PENDENTE")))))))))))</f>
        <v/>
      </c>
      <c r="D3337" s="4" t="n"/>
      <c r="E3337" s="5" t="n"/>
      <c r="F3337" s="5" t="n"/>
      <c r="G3337" s="5" t="n"/>
      <c r="H3337" s="5" t="n"/>
      <c r="I3337" s="5" t="n"/>
      <c r="J3337" s="6" t="n"/>
      <c r="K3337" s="6" t="n"/>
      <c r="L3337" s="7">
        <f>IF(OR(D3337="",N(J3337)=0),"",MIN(1,N(K3337)/J3337))</f>
        <v/>
      </c>
      <c r="M3337" s="5" t="n"/>
      <c r="N3337" s="5" t="n"/>
      <c r="O3337" s="5" t="n"/>
      <c r="P3337" s="5" t="n"/>
      <c r="Q3337" s="5" t="n"/>
      <c r="R3337" s="4" t="n"/>
      <c r="S3337" s="4" t="n"/>
      <c r="T3337" s="5" t="n"/>
      <c r="U3337" s="8">
        <f>IF(AND(V3337=1,D3337&lt;&gt;""),IF(D3337&gt;=corte,TODAY()-D3337,""),"")</f>
        <v/>
      </c>
      <c r="V3337" s="8">
        <f>IF(D3337="",0,IF(OR(AND(P3337&lt;&gt;"",S3337=""),AND(N(J3337)&gt;0,N(K3337)&lt;J3337),OR(M3337="PENDENTE",M3337="PARCIAL"),OR(N3337="PENDENTE",N3337="PARCIAL")),1,0))</f>
        <v/>
      </c>
      <c r="W3337" s="8">
        <f>IF(AND(V3337=1,D3337&lt;&gt;""),IF(D3337&gt;=corte,(B3337="CRÍTICO")*1E9+(100000-D3337)*10000+10000-ROW(),""),"")</f>
        <v/>
      </c>
      <c r="X3337" s="8">
        <f>IF(AND(V3337=1,D3337=pas_data,E3337=pas_turno),10000-ROW(),"")</f>
        <v/>
      </c>
    </row>
    <row r="3338">
      <c r="A3338" s="3">
        <f>IF(D3338="","","TT-"&amp;TEXT(ROW()-1,"00000"))</f>
        <v/>
      </c>
      <c r="B3338" s="3">
        <f>IF(D3338="","",IF(V3338=0,"CONCLUÍDO",IF(D3338&lt;corte,"HISTÓRICO",IF(OR(AND(ISNUMBER(R3338),R3338&lt;TODAY()),AND(OR(N3338="PENDENTE",N3338="PARCIAL"),D3338&lt;TODAY()-1)),"CRÍTICO",IF(OR(AND(P3338&lt;&gt;"",S3338=""),AND(N3338="REALIZADO",M3338="PENDENTE"),AND(ISNUMBER(R3338),R3338=TODAY())),"ATENÇÃO",IF(N(K3338)=0,"PENDENTE","EM ANDAMENTO"))))))</f>
        <v/>
      </c>
      <c r="C3338" s="3">
        <f>IF(D3338="","",IF(V3338=0,"🟢 OK",IF(D3338&lt;corte,"⚪ HISTÓRICO (sem baixa)",IF(AND(ISNUMBER(R3338),R3338&lt;TODAY()),"🔴 PRAZO VENCIDO",IF(AND(OR(N3338="PENDENTE",N3338="PARCIAL"),D3338&lt;TODAY()-1),"🔴 EMBARQUE ATRASADO",IF(AND(N3338="REALIZADO",M3338="PENDENTE"),"🟡 EMBARCADO SEM FATURAR",IF(AND(P3338&lt;&gt;"",S3338="",OR(Q3338="",R3338="")),"🟡 PENDÊNCIA SEM RESPONSÁVEL/PRAZO",IF(AND(ISNUMBER(R3338),R3338=TODAY()),"🟡 VENCE HOJE",IF(AND(P3338&lt;&gt;"",S3338=""),"🟡 PENDÊNCIA ABERTA",IF(AND(N(J3338)&gt;0,N(K3338)&lt;J3338),"🟡 FALTA EXECUTAR",IF(OR(M3338="PENDENTE",M3338="PARCIAL"),"🟡 FATURAMENTO PENDENTE","🟡 EMBARQUE PENDENTE")))))))))))</f>
        <v/>
      </c>
      <c r="D3338" s="4" t="n"/>
      <c r="E3338" s="5" t="n"/>
      <c r="F3338" s="5" t="n"/>
      <c r="G3338" s="5" t="n"/>
      <c r="H3338" s="5" t="n"/>
      <c r="I3338" s="5" t="n"/>
      <c r="J3338" s="6" t="n"/>
      <c r="K3338" s="6" t="n"/>
      <c r="L3338" s="7">
        <f>IF(OR(D3338="",N(J3338)=0),"",MIN(1,N(K3338)/J3338))</f>
        <v/>
      </c>
      <c r="M3338" s="5" t="n"/>
      <c r="N3338" s="5" t="n"/>
      <c r="O3338" s="5" t="n"/>
      <c r="P3338" s="5" t="n"/>
      <c r="Q3338" s="5" t="n"/>
      <c r="R3338" s="4" t="n"/>
      <c r="S3338" s="4" t="n"/>
      <c r="T3338" s="5" t="n"/>
      <c r="U3338" s="8">
        <f>IF(AND(V3338=1,D3338&lt;&gt;""),IF(D3338&gt;=corte,TODAY()-D3338,""),"")</f>
        <v/>
      </c>
      <c r="V3338" s="8">
        <f>IF(D3338="",0,IF(OR(AND(P3338&lt;&gt;"",S3338=""),AND(N(J3338)&gt;0,N(K3338)&lt;J3338),OR(M3338="PENDENTE",M3338="PARCIAL"),OR(N3338="PENDENTE",N3338="PARCIAL")),1,0))</f>
        <v/>
      </c>
      <c r="W3338" s="8">
        <f>IF(AND(V3338=1,D3338&lt;&gt;""),IF(D3338&gt;=corte,(B3338="CRÍTICO")*1E9+(100000-D3338)*10000+10000-ROW(),""),"")</f>
        <v/>
      </c>
      <c r="X3338" s="8">
        <f>IF(AND(V3338=1,D3338=pas_data,E3338=pas_turno),10000-ROW(),"")</f>
        <v/>
      </c>
    </row>
    <row r="3339">
      <c r="A3339" s="3">
        <f>IF(D3339="","","TT-"&amp;TEXT(ROW()-1,"00000"))</f>
        <v/>
      </c>
      <c r="B3339" s="3">
        <f>IF(D3339="","",IF(V3339=0,"CONCLUÍDO",IF(D3339&lt;corte,"HISTÓRICO",IF(OR(AND(ISNUMBER(R3339),R3339&lt;TODAY()),AND(OR(N3339="PENDENTE",N3339="PARCIAL"),D3339&lt;TODAY()-1)),"CRÍTICO",IF(OR(AND(P3339&lt;&gt;"",S3339=""),AND(N3339="REALIZADO",M3339="PENDENTE"),AND(ISNUMBER(R3339),R3339=TODAY())),"ATENÇÃO",IF(N(K3339)=0,"PENDENTE","EM ANDAMENTO"))))))</f>
        <v/>
      </c>
      <c r="C3339" s="3">
        <f>IF(D3339="","",IF(V3339=0,"🟢 OK",IF(D3339&lt;corte,"⚪ HISTÓRICO (sem baixa)",IF(AND(ISNUMBER(R3339),R3339&lt;TODAY()),"🔴 PRAZO VENCIDO",IF(AND(OR(N3339="PENDENTE",N3339="PARCIAL"),D3339&lt;TODAY()-1),"🔴 EMBARQUE ATRASADO",IF(AND(N3339="REALIZADO",M3339="PENDENTE"),"🟡 EMBARCADO SEM FATURAR",IF(AND(P3339&lt;&gt;"",S3339="",OR(Q3339="",R3339="")),"🟡 PENDÊNCIA SEM RESPONSÁVEL/PRAZO",IF(AND(ISNUMBER(R3339),R3339=TODAY()),"🟡 VENCE HOJE",IF(AND(P3339&lt;&gt;"",S3339=""),"🟡 PENDÊNCIA ABERTA",IF(AND(N(J3339)&gt;0,N(K3339)&lt;J3339),"🟡 FALTA EXECUTAR",IF(OR(M3339="PENDENTE",M3339="PARCIAL"),"🟡 FATURAMENTO PENDENTE","🟡 EMBARQUE PENDENTE")))))))))))</f>
        <v/>
      </c>
      <c r="D3339" s="4" t="n"/>
      <c r="E3339" s="5" t="n"/>
      <c r="F3339" s="5" t="n"/>
      <c r="G3339" s="5" t="n"/>
      <c r="H3339" s="5" t="n"/>
      <c r="I3339" s="5" t="n"/>
      <c r="J3339" s="6" t="n"/>
      <c r="K3339" s="6" t="n"/>
      <c r="L3339" s="7">
        <f>IF(OR(D3339="",N(J3339)=0),"",MIN(1,N(K3339)/J3339))</f>
        <v/>
      </c>
      <c r="M3339" s="5" t="n"/>
      <c r="N3339" s="5" t="n"/>
      <c r="O3339" s="5" t="n"/>
      <c r="P3339" s="5" t="n"/>
      <c r="Q3339" s="5" t="n"/>
      <c r="R3339" s="4" t="n"/>
      <c r="S3339" s="4" t="n"/>
      <c r="T3339" s="5" t="n"/>
      <c r="U3339" s="8">
        <f>IF(AND(V3339=1,D3339&lt;&gt;""),IF(D3339&gt;=corte,TODAY()-D3339,""),"")</f>
        <v/>
      </c>
      <c r="V3339" s="8">
        <f>IF(D3339="",0,IF(OR(AND(P3339&lt;&gt;"",S3339=""),AND(N(J3339)&gt;0,N(K3339)&lt;J3339),OR(M3339="PENDENTE",M3339="PARCIAL"),OR(N3339="PENDENTE",N3339="PARCIAL")),1,0))</f>
        <v/>
      </c>
      <c r="W3339" s="8">
        <f>IF(AND(V3339=1,D3339&lt;&gt;""),IF(D3339&gt;=corte,(B3339="CRÍTICO")*1E9+(100000-D3339)*10000+10000-ROW(),""),"")</f>
        <v/>
      </c>
      <c r="X3339" s="8">
        <f>IF(AND(V3339=1,D3339=pas_data,E3339=pas_turno),10000-ROW(),"")</f>
        <v/>
      </c>
    </row>
    <row r="3340">
      <c r="A3340" s="3">
        <f>IF(D3340="","","TT-"&amp;TEXT(ROW()-1,"00000"))</f>
        <v/>
      </c>
      <c r="B3340" s="3">
        <f>IF(D3340="","",IF(V3340=0,"CONCLUÍDO",IF(D3340&lt;corte,"HISTÓRICO",IF(OR(AND(ISNUMBER(R3340),R3340&lt;TODAY()),AND(OR(N3340="PENDENTE",N3340="PARCIAL"),D3340&lt;TODAY()-1)),"CRÍTICO",IF(OR(AND(P3340&lt;&gt;"",S3340=""),AND(N3340="REALIZADO",M3340="PENDENTE"),AND(ISNUMBER(R3340),R3340=TODAY())),"ATENÇÃO",IF(N(K3340)=0,"PENDENTE","EM ANDAMENTO"))))))</f>
        <v/>
      </c>
      <c r="C3340" s="3">
        <f>IF(D3340="","",IF(V3340=0,"🟢 OK",IF(D3340&lt;corte,"⚪ HISTÓRICO (sem baixa)",IF(AND(ISNUMBER(R3340),R3340&lt;TODAY()),"🔴 PRAZO VENCIDO",IF(AND(OR(N3340="PENDENTE",N3340="PARCIAL"),D3340&lt;TODAY()-1),"🔴 EMBARQUE ATRASADO",IF(AND(N3340="REALIZADO",M3340="PENDENTE"),"🟡 EMBARCADO SEM FATURAR",IF(AND(P3340&lt;&gt;"",S3340="",OR(Q3340="",R3340="")),"🟡 PENDÊNCIA SEM RESPONSÁVEL/PRAZO",IF(AND(ISNUMBER(R3340),R3340=TODAY()),"🟡 VENCE HOJE",IF(AND(P3340&lt;&gt;"",S3340=""),"🟡 PENDÊNCIA ABERTA",IF(AND(N(J3340)&gt;0,N(K3340)&lt;J3340),"🟡 FALTA EXECUTAR",IF(OR(M3340="PENDENTE",M3340="PARCIAL"),"🟡 FATURAMENTO PENDENTE","🟡 EMBARQUE PENDENTE")))))))))))</f>
        <v/>
      </c>
      <c r="D3340" s="4" t="n"/>
      <c r="E3340" s="5" t="n"/>
      <c r="F3340" s="5" t="n"/>
      <c r="G3340" s="5" t="n"/>
      <c r="H3340" s="5" t="n"/>
      <c r="I3340" s="5" t="n"/>
      <c r="J3340" s="6" t="n"/>
      <c r="K3340" s="6" t="n"/>
      <c r="L3340" s="7">
        <f>IF(OR(D3340="",N(J3340)=0),"",MIN(1,N(K3340)/J3340))</f>
        <v/>
      </c>
      <c r="M3340" s="5" t="n"/>
      <c r="N3340" s="5" t="n"/>
      <c r="O3340" s="5" t="n"/>
      <c r="P3340" s="5" t="n"/>
      <c r="Q3340" s="5" t="n"/>
      <c r="R3340" s="4" t="n"/>
      <c r="S3340" s="4" t="n"/>
      <c r="T3340" s="5" t="n"/>
      <c r="U3340" s="8">
        <f>IF(AND(V3340=1,D3340&lt;&gt;""),IF(D3340&gt;=corte,TODAY()-D3340,""),"")</f>
        <v/>
      </c>
      <c r="V3340" s="8">
        <f>IF(D3340="",0,IF(OR(AND(P3340&lt;&gt;"",S3340=""),AND(N(J3340)&gt;0,N(K3340)&lt;J3340),OR(M3340="PENDENTE",M3340="PARCIAL"),OR(N3340="PENDENTE",N3340="PARCIAL")),1,0))</f>
        <v/>
      </c>
      <c r="W3340" s="8">
        <f>IF(AND(V3340=1,D3340&lt;&gt;""),IF(D3340&gt;=corte,(B3340="CRÍTICO")*1E9+(100000-D3340)*10000+10000-ROW(),""),"")</f>
        <v/>
      </c>
      <c r="X3340" s="8">
        <f>IF(AND(V3340=1,D3340=pas_data,E3340=pas_turno),10000-ROW(),"")</f>
        <v/>
      </c>
    </row>
    <row r="3341">
      <c r="A3341" s="3">
        <f>IF(D3341="","","TT-"&amp;TEXT(ROW()-1,"00000"))</f>
        <v/>
      </c>
      <c r="B3341" s="3">
        <f>IF(D3341="","",IF(V3341=0,"CONCLUÍDO",IF(D3341&lt;corte,"HISTÓRICO",IF(OR(AND(ISNUMBER(R3341),R3341&lt;TODAY()),AND(OR(N3341="PENDENTE",N3341="PARCIAL"),D3341&lt;TODAY()-1)),"CRÍTICO",IF(OR(AND(P3341&lt;&gt;"",S3341=""),AND(N3341="REALIZADO",M3341="PENDENTE"),AND(ISNUMBER(R3341),R3341=TODAY())),"ATENÇÃO",IF(N(K3341)=0,"PENDENTE","EM ANDAMENTO"))))))</f>
        <v/>
      </c>
      <c r="C3341" s="3">
        <f>IF(D3341="","",IF(V3341=0,"🟢 OK",IF(D3341&lt;corte,"⚪ HISTÓRICO (sem baixa)",IF(AND(ISNUMBER(R3341),R3341&lt;TODAY()),"🔴 PRAZO VENCIDO",IF(AND(OR(N3341="PENDENTE",N3341="PARCIAL"),D3341&lt;TODAY()-1),"🔴 EMBARQUE ATRASADO",IF(AND(N3341="REALIZADO",M3341="PENDENTE"),"🟡 EMBARCADO SEM FATURAR",IF(AND(P3341&lt;&gt;"",S3341="",OR(Q3341="",R3341="")),"🟡 PENDÊNCIA SEM RESPONSÁVEL/PRAZO",IF(AND(ISNUMBER(R3341),R3341=TODAY()),"🟡 VENCE HOJE",IF(AND(P3341&lt;&gt;"",S3341=""),"🟡 PENDÊNCIA ABERTA",IF(AND(N(J3341)&gt;0,N(K3341)&lt;J3341),"🟡 FALTA EXECUTAR",IF(OR(M3341="PENDENTE",M3341="PARCIAL"),"🟡 FATURAMENTO PENDENTE","🟡 EMBARQUE PENDENTE")))))))))))</f>
        <v/>
      </c>
      <c r="D3341" s="4" t="n"/>
      <c r="E3341" s="5" t="n"/>
      <c r="F3341" s="5" t="n"/>
      <c r="G3341" s="5" t="n"/>
      <c r="H3341" s="5" t="n"/>
      <c r="I3341" s="5" t="n"/>
      <c r="J3341" s="6" t="n"/>
      <c r="K3341" s="6" t="n"/>
      <c r="L3341" s="7">
        <f>IF(OR(D3341="",N(J3341)=0),"",MIN(1,N(K3341)/J3341))</f>
        <v/>
      </c>
      <c r="M3341" s="5" t="n"/>
      <c r="N3341" s="5" t="n"/>
      <c r="O3341" s="5" t="n"/>
      <c r="P3341" s="5" t="n"/>
      <c r="Q3341" s="5" t="n"/>
      <c r="R3341" s="4" t="n"/>
      <c r="S3341" s="4" t="n"/>
      <c r="T3341" s="5" t="n"/>
      <c r="U3341" s="8">
        <f>IF(AND(V3341=1,D3341&lt;&gt;""),IF(D3341&gt;=corte,TODAY()-D3341,""),"")</f>
        <v/>
      </c>
      <c r="V3341" s="8">
        <f>IF(D3341="",0,IF(OR(AND(P3341&lt;&gt;"",S3341=""),AND(N(J3341)&gt;0,N(K3341)&lt;J3341),OR(M3341="PENDENTE",M3341="PARCIAL"),OR(N3341="PENDENTE",N3341="PARCIAL")),1,0))</f>
        <v/>
      </c>
      <c r="W3341" s="8">
        <f>IF(AND(V3341=1,D3341&lt;&gt;""),IF(D3341&gt;=corte,(B3341="CRÍTICO")*1E9+(100000-D3341)*10000+10000-ROW(),""),"")</f>
        <v/>
      </c>
      <c r="X3341" s="8">
        <f>IF(AND(V3341=1,D3341=pas_data,E3341=pas_turno),10000-ROW(),"")</f>
        <v/>
      </c>
    </row>
    <row r="3342">
      <c r="A3342" s="3">
        <f>IF(D3342="","","TT-"&amp;TEXT(ROW()-1,"00000"))</f>
        <v/>
      </c>
      <c r="B3342" s="3">
        <f>IF(D3342="","",IF(V3342=0,"CONCLUÍDO",IF(D3342&lt;corte,"HISTÓRICO",IF(OR(AND(ISNUMBER(R3342),R3342&lt;TODAY()),AND(OR(N3342="PENDENTE",N3342="PARCIAL"),D3342&lt;TODAY()-1)),"CRÍTICO",IF(OR(AND(P3342&lt;&gt;"",S3342=""),AND(N3342="REALIZADO",M3342="PENDENTE"),AND(ISNUMBER(R3342),R3342=TODAY())),"ATENÇÃO",IF(N(K3342)=0,"PENDENTE","EM ANDAMENTO"))))))</f>
        <v/>
      </c>
      <c r="C3342" s="3">
        <f>IF(D3342="","",IF(V3342=0,"🟢 OK",IF(D3342&lt;corte,"⚪ HISTÓRICO (sem baixa)",IF(AND(ISNUMBER(R3342),R3342&lt;TODAY()),"🔴 PRAZO VENCIDO",IF(AND(OR(N3342="PENDENTE",N3342="PARCIAL"),D3342&lt;TODAY()-1),"🔴 EMBARQUE ATRASADO",IF(AND(N3342="REALIZADO",M3342="PENDENTE"),"🟡 EMBARCADO SEM FATURAR",IF(AND(P3342&lt;&gt;"",S3342="",OR(Q3342="",R3342="")),"🟡 PENDÊNCIA SEM RESPONSÁVEL/PRAZO",IF(AND(ISNUMBER(R3342),R3342=TODAY()),"🟡 VENCE HOJE",IF(AND(P3342&lt;&gt;"",S3342=""),"🟡 PENDÊNCIA ABERTA",IF(AND(N(J3342)&gt;0,N(K3342)&lt;J3342),"🟡 FALTA EXECUTAR",IF(OR(M3342="PENDENTE",M3342="PARCIAL"),"🟡 FATURAMENTO PENDENTE","🟡 EMBARQUE PENDENTE")))))))))))</f>
        <v/>
      </c>
      <c r="D3342" s="4" t="n"/>
      <c r="E3342" s="5" t="n"/>
      <c r="F3342" s="5" t="n"/>
      <c r="G3342" s="5" t="n"/>
      <c r="H3342" s="5" t="n"/>
      <c r="I3342" s="5" t="n"/>
      <c r="J3342" s="6" t="n"/>
      <c r="K3342" s="6" t="n"/>
      <c r="L3342" s="7">
        <f>IF(OR(D3342="",N(J3342)=0),"",MIN(1,N(K3342)/J3342))</f>
        <v/>
      </c>
      <c r="M3342" s="5" t="n"/>
      <c r="N3342" s="5" t="n"/>
      <c r="O3342" s="5" t="n"/>
      <c r="P3342" s="5" t="n"/>
      <c r="Q3342" s="5" t="n"/>
      <c r="R3342" s="4" t="n"/>
      <c r="S3342" s="4" t="n"/>
      <c r="T3342" s="5" t="n"/>
      <c r="U3342" s="8">
        <f>IF(AND(V3342=1,D3342&lt;&gt;""),IF(D3342&gt;=corte,TODAY()-D3342,""),"")</f>
        <v/>
      </c>
      <c r="V3342" s="8">
        <f>IF(D3342="",0,IF(OR(AND(P3342&lt;&gt;"",S3342=""),AND(N(J3342)&gt;0,N(K3342)&lt;J3342),OR(M3342="PENDENTE",M3342="PARCIAL"),OR(N3342="PENDENTE",N3342="PARCIAL")),1,0))</f>
        <v/>
      </c>
      <c r="W3342" s="8">
        <f>IF(AND(V3342=1,D3342&lt;&gt;""),IF(D3342&gt;=corte,(B3342="CRÍTICO")*1E9+(100000-D3342)*10000+10000-ROW(),""),"")</f>
        <v/>
      </c>
      <c r="X3342" s="8">
        <f>IF(AND(V3342=1,D3342=pas_data,E3342=pas_turno),10000-ROW(),"")</f>
        <v/>
      </c>
    </row>
    <row r="3343">
      <c r="A3343" s="3">
        <f>IF(D3343="","","TT-"&amp;TEXT(ROW()-1,"00000"))</f>
        <v/>
      </c>
      <c r="B3343" s="3">
        <f>IF(D3343="","",IF(V3343=0,"CONCLUÍDO",IF(D3343&lt;corte,"HISTÓRICO",IF(OR(AND(ISNUMBER(R3343),R3343&lt;TODAY()),AND(OR(N3343="PENDENTE",N3343="PARCIAL"),D3343&lt;TODAY()-1)),"CRÍTICO",IF(OR(AND(P3343&lt;&gt;"",S3343=""),AND(N3343="REALIZADO",M3343="PENDENTE"),AND(ISNUMBER(R3343),R3343=TODAY())),"ATENÇÃO",IF(N(K3343)=0,"PENDENTE","EM ANDAMENTO"))))))</f>
        <v/>
      </c>
      <c r="C3343" s="3">
        <f>IF(D3343="","",IF(V3343=0,"🟢 OK",IF(D3343&lt;corte,"⚪ HISTÓRICO (sem baixa)",IF(AND(ISNUMBER(R3343),R3343&lt;TODAY()),"🔴 PRAZO VENCIDO",IF(AND(OR(N3343="PENDENTE",N3343="PARCIAL"),D3343&lt;TODAY()-1),"🔴 EMBARQUE ATRASADO",IF(AND(N3343="REALIZADO",M3343="PENDENTE"),"🟡 EMBARCADO SEM FATURAR",IF(AND(P3343&lt;&gt;"",S3343="",OR(Q3343="",R3343="")),"🟡 PENDÊNCIA SEM RESPONSÁVEL/PRAZO",IF(AND(ISNUMBER(R3343),R3343=TODAY()),"🟡 VENCE HOJE",IF(AND(P3343&lt;&gt;"",S3343=""),"🟡 PENDÊNCIA ABERTA",IF(AND(N(J3343)&gt;0,N(K3343)&lt;J3343),"🟡 FALTA EXECUTAR",IF(OR(M3343="PENDENTE",M3343="PARCIAL"),"🟡 FATURAMENTO PENDENTE","🟡 EMBARQUE PENDENTE")))))))))))</f>
        <v/>
      </c>
      <c r="D3343" s="4" t="n"/>
      <c r="E3343" s="5" t="n"/>
      <c r="F3343" s="5" t="n"/>
      <c r="G3343" s="5" t="n"/>
      <c r="H3343" s="5" t="n"/>
      <c r="I3343" s="5" t="n"/>
      <c r="J3343" s="6" t="n"/>
      <c r="K3343" s="6" t="n"/>
      <c r="L3343" s="7">
        <f>IF(OR(D3343="",N(J3343)=0),"",MIN(1,N(K3343)/J3343))</f>
        <v/>
      </c>
      <c r="M3343" s="5" t="n"/>
      <c r="N3343" s="5" t="n"/>
      <c r="O3343" s="5" t="n"/>
      <c r="P3343" s="5" t="n"/>
      <c r="Q3343" s="5" t="n"/>
      <c r="R3343" s="4" t="n"/>
      <c r="S3343" s="4" t="n"/>
      <c r="T3343" s="5" t="n"/>
      <c r="U3343" s="8">
        <f>IF(AND(V3343=1,D3343&lt;&gt;""),IF(D3343&gt;=corte,TODAY()-D3343,""),"")</f>
        <v/>
      </c>
      <c r="V3343" s="8">
        <f>IF(D3343="",0,IF(OR(AND(P3343&lt;&gt;"",S3343=""),AND(N(J3343)&gt;0,N(K3343)&lt;J3343),OR(M3343="PENDENTE",M3343="PARCIAL"),OR(N3343="PENDENTE",N3343="PARCIAL")),1,0))</f>
        <v/>
      </c>
      <c r="W3343" s="8">
        <f>IF(AND(V3343=1,D3343&lt;&gt;""),IF(D3343&gt;=corte,(B3343="CRÍTICO")*1E9+(100000-D3343)*10000+10000-ROW(),""),"")</f>
        <v/>
      </c>
      <c r="X3343" s="8">
        <f>IF(AND(V3343=1,D3343=pas_data,E3343=pas_turno),10000-ROW(),"")</f>
        <v/>
      </c>
    </row>
    <row r="3344">
      <c r="A3344" s="3">
        <f>IF(D3344="","","TT-"&amp;TEXT(ROW()-1,"00000"))</f>
        <v/>
      </c>
      <c r="B3344" s="3">
        <f>IF(D3344="","",IF(V3344=0,"CONCLUÍDO",IF(D3344&lt;corte,"HISTÓRICO",IF(OR(AND(ISNUMBER(R3344),R3344&lt;TODAY()),AND(OR(N3344="PENDENTE",N3344="PARCIAL"),D3344&lt;TODAY()-1)),"CRÍTICO",IF(OR(AND(P3344&lt;&gt;"",S3344=""),AND(N3344="REALIZADO",M3344="PENDENTE"),AND(ISNUMBER(R3344),R3344=TODAY())),"ATENÇÃO",IF(N(K3344)=0,"PENDENTE","EM ANDAMENTO"))))))</f>
        <v/>
      </c>
      <c r="C3344" s="3">
        <f>IF(D3344="","",IF(V3344=0,"🟢 OK",IF(D3344&lt;corte,"⚪ HISTÓRICO (sem baixa)",IF(AND(ISNUMBER(R3344),R3344&lt;TODAY()),"🔴 PRAZO VENCIDO",IF(AND(OR(N3344="PENDENTE",N3344="PARCIAL"),D3344&lt;TODAY()-1),"🔴 EMBARQUE ATRASADO",IF(AND(N3344="REALIZADO",M3344="PENDENTE"),"🟡 EMBARCADO SEM FATURAR",IF(AND(P3344&lt;&gt;"",S3344="",OR(Q3344="",R3344="")),"🟡 PENDÊNCIA SEM RESPONSÁVEL/PRAZO",IF(AND(ISNUMBER(R3344),R3344=TODAY()),"🟡 VENCE HOJE",IF(AND(P3344&lt;&gt;"",S3344=""),"🟡 PENDÊNCIA ABERTA",IF(AND(N(J3344)&gt;0,N(K3344)&lt;J3344),"🟡 FALTA EXECUTAR",IF(OR(M3344="PENDENTE",M3344="PARCIAL"),"🟡 FATURAMENTO PENDENTE","🟡 EMBARQUE PENDENTE")))))))))))</f>
        <v/>
      </c>
      <c r="D3344" s="4" t="n"/>
      <c r="E3344" s="5" t="n"/>
      <c r="F3344" s="5" t="n"/>
      <c r="G3344" s="5" t="n"/>
      <c r="H3344" s="5" t="n"/>
      <c r="I3344" s="5" t="n"/>
      <c r="J3344" s="6" t="n"/>
      <c r="K3344" s="6" t="n"/>
      <c r="L3344" s="7">
        <f>IF(OR(D3344="",N(J3344)=0),"",MIN(1,N(K3344)/J3344))</f>
        <v/>
      </c>
      <c r="M3344" s="5" t="n"/>
      <c r="N3344" s="5" t="n"/>
      <c r="O3344" s="5" t="n"/>
      <c r="P3344" s="5" t="n"/>
      <c r="Q3344" s="5" t="n"/>
      <c r="R3344" s="4" t="n"/>
      <c r="S3344" s="4" t="n"/>
      <c r="T3344" s="5" t="n"/>
      <c r="U3344" s="8">
        <f>IF(AND(V3344=1,D3344&lt;&gt;""),IF(D3344&gt;=corte,TODAY()-D3344,""),"")</f>
        <v/>
      </c>
      <c r="V3344" s="8">
        <f>IF(D3344="",0,IF(OR(AND(P3344&lt;&gt;"",S3344=""),AND(N(J3344)&gt;0,N(K3344)&lt;J3344),OR(M3344="PENDENTE",M3344="PARCIAL"),OR(N3344="PENDENTE",N3344="PARCIAL")),1,0))</f>
        <v/>
      </c>
      <c r="W3344" s="8">
        <f>IF(AND(V3344=1,D3344&lt;&gt;""),IF(D3344&gt;=corte,(B3344="CRÍTICO")*1E9+(100000-D3344)*10000+10000-ROW(),""),"")</f>
        <v/>
      </c>
      <c r="X3344" s="8">
        <f>IF(AND(V3344=1,D3344=pas_data,E3344=pas_turno),10000-ROW(),"")</f>
        <v/>
      </c>
    </row>
    <row r="3345">
      <c r="A3345" s="3">
        <f>IF(D3345="","","TT-"&amp;TEXT(ROW()-1,"00000"))</f>
        <v/>
      </c>
      <c r="B3345" s="3">
        <f>IF(D3345="","",IF(V3345=0,"CONCLUÍDO",IF(D3345&lt;corte,"HISTÓRICO",IF(OR(AND(ISNUMBER(R3345),R3345&lt;TODAY()),AND(OR(N3345="PENDENTE",N3345="PARCIAL"),D3345&lt;TODAY()-1)),"CRÍTICO",IF(OR(AND(P3345&lt;&gt;"",S3345=""),AND(N3345="REALIZADO",M3345="PENDENTE"),AND(ISNUMBER(R3345),R3345=TODAY())),"ATENÇÃO",IF(N(K3345)=0,"PENDENTE","EM ANDAMENTO"))))))</f>
        <v/>
      </c>
      <c r="C3345" s="3">
        <f>IF(D3345="","",IF(V3345=0,"🟢 OK",IF(D3345&lt;corte,"⚪ HISTÓRICO (sem baixa)",IF(AND(ISNUMBER(R3345),R3345&lt;TODAY()),"🔴 PRAZO VENCIDO",IF(AND(OR(N3345="PENDENTE",N3345="PARCIAL"),D3345&lt;TODAY()-1),"🔴 EMBARQUE ATRASADO",IF(AND(N3345="REALIZADO",M3345="PENDENTE"),"🟡 EMBARCADO SEM FATURAR",IF(AND(P3345&lt;&gt;"",S3345="",OR(Q3345="",R3345="")),"🟡 PENDÊNCIA SEM RESPONSÁVEL/PRAZO",IF(AND(ISNUMBER(R3345),R3345=TODAY()),"🟡 VENCE HOJE",IF(AND(P3345&lt;&gt;"",S3345=""),"🟡 PENDÊNCIA ABERTA",IF(AND(N(J3345)&gt;0,N(K3345)&lt;J3345),"🟡 FALTA EXECUTAR",IF(OR(M3345="PENDENTE",M3345="PARCIAL"),"🟡 FATURAMENTO PENDENTE","🟡 EMBARQUE PENDENTE")))))))))))</f>
        <v/>
      </c>
      <c r="D3345" s="4" t="n"/>
      <c r="E3345" s="5" t="n"/>
      <c r="F3345" s="5" t="n"/>
      <c r="G3345" s="5" t="n"/>
      <c r="H3345" s="5" t="n"/>
      <c r="I3345" s="5" t="n"/>
      <c r="J3345" s="6" t="n"/>
      <c r="K3345" s="6" t="n"/>
      <c r="L3345" s="7">
        <f>IF(OR(D3345="",N(J3345)=0),"",MIN(1,N(K3345)/J3345))</f>
        <v/>
      </c>
      <c r="M3345" s="5" t="n"/>
      <c r="N3345" s="5" t="n"/>
      <c r="O3345" s="5" t="n"/>
      <c r="P3345" s="5" t="n"/>
      <c r="Q3345" s="5" t="n"/>
      <c r="R3345" s="4" t="n"/>
      <c r="S3345" s="4" t="n"/>
      <c r="T3345" s="5" t="n"/>
      <c r="U3345" s="8">
        <f>IF(AND(V3345=1,D3345&lt;&gt;""),IF(D3345&gt;=corte,TODAY()-D3345,""),"")</f>
        <v/>
      </c>
      <c r="V3345" s="8">
        <f>IF(D3345="",0,IF(OR(AND(P3345&lt;&gt;"",S3345=""),AND(N(J3345)&gt;0,N(K3345)&lt;J3345),OR(M3345="PENDENTE",M3345="PARCIAL"),OR(N3345="PENDENTE",N3345="PARCIAL")),1,0))</f>
        <v/>
      </c>
      <c r="W3345" s="8">
        <f>IF(AND(V3345=1,D3345&lt;&gt;""),IF(D3345&gt;=corte,(B3345="CRÍTICO")*1E9+(100000-D3345)*10000+10000-ROW(),""),"")</f>
        <v/>
      </c>
      <c r="X3345" s="8">
        <f>IF(AND(V3345=1,D3345=pas_data,E3345=pas_turno),10000-ROW(),"")</f>
        <v/>
      </c>
    </row>
    <row r="3346">
      <c r="A3346" s="3">
        <f>IF(D3346="","","TT-"&amp;TEXT(ROW()-1,"00000"))</f>
        <v/>
      </c>
      <c r="B3346" s="3">
        <f>IF(D3346="","",IF(V3346=0,"CONCLUÍDO",IF(D3346&lt;corte,"HISTÓRICO",IF(OR(AND(ISNUMBER(R3346),R3346&lt;TODAY()),AND(OR(N3346="PENDENTE",N3346="PARCIAL"),D3346&lt;TODAY()-1)),"CRÍTICO",IF(OR(AND(P3346&lt;&gt;"",S3346=""),AND(N3346="REALIZADO",M3346="PENDENTE"),AND(ISNUMBER(R3346),R3346=TODAY())),"ATENÇÃO",IF(N(K3346)=0,"PENDENTE","EM ANDAMENTO"))))))</f>
        <v/>
      </c>
      <c r="C3346" s="3">
        <f>IF(D3346="","",IF(V3346=0,"🟢 OK",IF(D3346&lt;corte,"⚪ HISTÓRICO (sem baixa)",IF(AND(ISNUMBER(R3346),R3346&lt;TODAY()),"🔴 PRAZO VENCIDO",IF(AND(OR(N3346="PENDENTE",N3346="PARCIAL"),D3346&lt;TODAY()-1),"🔴 EMBARQUE ATRASADO",IF(AND(N3346="REALIZADO",M3346="PENDENTE"),"🟡 EMBARCADO SEM FATURAR",IF(AND(P3346&lt;&gt;"",S3346="",OR(Q3346="",R3346="")),"🟡 PENDÊNCIA SEM RESPONSÁVEL/PRAZO",IF(AND(ISNUMBER(R3346),R3346=TODAY()),"🟡 VENCE HOJE",IF(AND(P3346&lt;&gt;"",S3346=""),"🟡 PENDÊNCIA ABERTA",IF(AND(N(J3346)&gt;0,N(K3346)&lt;J3346),"🟡 FALTA EXECUTAR",IF(OR(M3346="PENDENTE",M3346="PARCIAL"),"🟡 FATURAMENTO PENDENTE","🟡 EMBARQUE PENDENTE")))))))))))</f>
        <v/>
      </c>
      <c r="D3346" s="4" t="n"/>
      <c r="E3346" s="5" t="n"/>
      <c r="F3346" s="5" t="n"/>
      <c r="G3346" s="5" t="n"/>
      <c r="H3346" s="5" t="n"/>
      <c r="I3346" s="5" t="n"/>
      <c r="J3346" s="6" t="n"/>
      <c r="K3346" s="6" t="n"/>
      <c r="L3346" s="7">
        <f>IF(OR(D3346="",N(J3346)=0),"",MIN(1,N(K3346)/J3346))</f>
        <v/>
      </c>
      <c r="M3346" s="5" t="n"/>
      <c r="N3346" s="5" t="n"/>
      <c r="O3346" s="5" t="n"/>
      <c r="P3346" s="5" t="n"/>
      <c r="Q3346" s="5" t="n"/>
      <c r="R3346" s="4" t="n"/>
      <c r="S3346" s="4" t="n"/>
      <c r="T3346" s="5" t="n"/>
      <c r="U3346" s="8">
        <f>IF(AND(V3346=1,D3346&lt;&gt;""),IF(D3346&gt;=corte,TODAY()-D3346,""),"")</f>
        <v/>
      </c>
      <c r="V3346" s="8">
        <f>IF(D3346="",0,IF(OR(AND(P3346&lt;&gt;"",S3346=""),AND(N(J3346)&gt;0,N(K3346)&lt;J3346),OR(M3346="PENDENTE",M3346="PARCIAL"),OR(N3346="PENDENTE",N3346="PARCIAL")),1,0))</f>
        <v/>
      </c>
      <c r="W3346" s="8">
        <f>IF(AND(V3346=1,D3346&lt;&gt;""),IF(D3346&gt;=corte,(B3346="CRÍTICO")*1E9+(100000-D3346)*10000+10000-ROW(),""),"")</f>
        <v/>
      </c>
      <c r="X3346" s="8">
        <f>IF(AND(V3346=1,D3346=pas_data,E3346=pas_turno),10000-ROW(),"")</f>
        <v/>
      </c>
    </row>
    <row r="3347">
      <c r="A3347" s="3">
        <f>IF(D3347="","","TT-"&amp;TEXT(ROW()-1,"00000"))</f>
        <v/>
      </c>
      <c r="B3347" s="3">
        <f>IF(D3347="","",IF(V3347=0,"CONCLUÍDO",IF(D3347&lt;corte,"HISTÓRICO",IF(OR(AND(ISNUMBER(R3347),R3347&lt;TODAY()),AND(OR(N3347="PENDENTE",N3347="PARCIAL"),D3347&lt;TODAY()-1)),"CRÍTICO",IF(OR(AND(P3347&lt;&gt;"",S3347=""),AND(N3347="REALIZADO",M3347="PENDENTE"),AND(ISNUMBER(R3347),R3347=TODAY())),"ATENÇÃO",IF(N(K3347)=0,"PENDENTE","EM ANDAMENTO"))))))</f>
        <v/>
      </c>
      <c r="C3347" s="3">
        <f>IF(D3347="","",IF(V3347=0,"🟢 OK",IF(D3347&lt;corte,"⚪ HISTÓRICO (sem baixa)",IF(AND(ISNUMBER(R3347),R3347&lt;TODAY()),"🔴 PRAZO VENCIDO",IF(AND(OR(N3347="PENDENTE",N3347="PARCIAL"),D3347&lt;TODAY()-1),"🔴 EMBARQUE ATRASADO",IF(AND(N3347="REALIZADO",M3347="PENDENTE"),"🟡 EMBARCADO SEM FATURAR",IF(AND(P3347&lt;&gt;"",S3347="",OR(Q3347="",R3347="")),"🟡 PENDÊNCIA SEM RESPONSÁVEL/PRAZO",IF(AND(ISNUMBER(R3347),R3347=TODAY()),"🟡 VENCE HOJE",IF(AND(P3347&lt;&gt;"",S3347=""),"🟡 PENDÊNCIA ABERTA",IF(AND(N(J3347)&gt;0,N(K3347)&lt;J3347),"🟡 FALTA EXECUTAR",IF(OR(M3347="PENDENTE",M3347="PARCIAL"),"🟡 FATURAMENTO PENDENTE","🟡 EMBARQUE PENDENTE")))))))))))</f>
        <v/>
      </c>
      <c r="D3347" s="4" t="n"/>
      <c r="E3347" s="5" t="n"/>
      <c r="F3347" s="5" t="n"/>
      <c r="G3347" s="5" t="n"/>
      <c r="H3347" s="5" t="n"/>
      <c r="I3347" s="5" t="n"/>
      <c r="J3347" s="6" t="n"/>
      <c r="K3347" s="6" t="n"/>
      <c r="L3347" s="7">
        <f>IF(OR(D3347="",N(J3347)=0),"",MIN(1,N(K3347)/J3347))</f>
        <v/>
      </c>
      <c r="M3347" s="5" t="n"/>
      <c r="N3347" s="5" t="n"/>
      <c r="O3347" s="5" t="n"/>
      <c r="P3347" s="5" t="n"/>
      <c r="Q3347" s="5" t="n"/>
      <c r="R3347" s="4" t="n"/>
      <c r="S3347" s="4" t="n"/>
      <c r="T3347" s="5" t="n"/>
      <c r="U3347" s="8">
        <f>IF(AND(V3347=1,D3347&lt;&gt;""),IF(D3347&gt;=corte,TODAY()-D3347,""),"")</f>
        <v/>
      </c>
      <c r="V3347" s="8">
        <f>IF(D3347="",0,IF(OR(AND(P3347&lt;&gt;"",S3347=""),AND(N(J3347)&gt;0,N(K3347)&lt;J3347),OR(M3347="PENDENTE",M3347="PARCIAL"),OR(N3347="PENDENTE",N3347="PARCIAL")),1,0))</f>
        <v/>
      </c>
      <c r="W3347" s="8">
        <f>IF(AND(V3347=1,D3347&lt;&gt;""),IF(D3347&gt;=corte,(B3347="CRÍTICO")*1E9+(100000-D3347)*10000+10000-ROW(),""),"")</f>
        <v/>
      </c>
      <c r="X3347" s="8">
        <f>IF(AND(V3347=1,D3347=pas_data,E3347=pas_turno),10000-ROW(),"")</f>
        <v/>
      </c>
    </row>
    <row r="3348">
      <c r="A3348" s="3">
        <f>IF(D3348="","","TT-"&amp;TEXT(ROW()-1,"00000"))</f>
        <v/>
      </c>
      <c r="B3348" s="3">
        <f>IF(D3348="","",IF(V3348=0,"CONCLUÍDO",IF(D3348&lt;corte,"HISTÓRICO",IF(OR(AND(ISNUMBER(R3348),R3348&lt;TODAY()),AND(OR(N3348="PENDENTE",N3348="PARCIAL"),D3348&lt;TODAY()-1)),"CRÍTICO",IF(OR(AND(P3348&lt;&gt;"",S3348=""),AND(N3348="REALIZADO",M3348="PENDENTE"),AND(ISNUMBER(R3348),R3348=TODAY())),"ATENÇÃO",IF(N(K3348)=0,"PENDENTE","EM ANDAMENTO"))))))</f>
        <v/>
      </c>
      <c r="C3348" s="3">
        <f>IF(D3348="","",IF(V3348=0,"🟢 OK",IF(D3348&lt;corte,"⚪ HISTÓRICO (sem baixa)",IF(AND(ISNUMBER(R3348),R3348&lt;TODAY()),"🔴 PRAZO VENCIDO",IF(AND(OR(N3348="PENDENTE",N3348="PARCIAL"),D3348&lt;TODAY()-1),"🔴 EMBARQUE ATRASADO",IF(AND(N3348="REALIZADO",M3348="PENDENTE"),"🟡 EMBARCADO SEM FATURAR",IF(AND(P3348&lt;&gt;"",S3348="",OR(Q3348="",R3348="")),"🟡 PENDÊNCIA SEM RESPONSÁVEL/PRAZO",IF(AND(ISNUMBER(R3348),R3348=TODAY()),"🟡 VENCE HOJE",IF(AND(P3348&lt;&gt;"",S3348=""),"🟡 PENDÊNCIA ABERTA",IF(AND(N(J3348)&gt;0,N(K3348)&lt;J3348),"🟡 FALTA EXECUTAR",IF(OR(M3348="PENDENTE",M3348="PARCIAL"),"🟡 FATURAMENTO PENDENTE","🟡 EMBARQUE PENDENTE")))))))))))</f>
        <v/>
      </c>
      <c r="D3348" s="4" t="n"/>
      <c r="E3348" s="5" t="n"/>
      <c r="F3348" s="5" t="n"/>
      <c r="G3348" s="5" t="n"/>
      <c r="H3348" s="5" t="n"/>
      <c r="I3348" s="5" t="n"/>
      <c r="J3348" s="6" t="n"/>
      <c r="K3348" s="6" t="n"/>
      <c r="L3348" s="7">
        <f>IF(OR(D3348="",N(J3348)=0),"",MIN(1,N(K3348)/J3348))</f>
        <v/>
      </c>
      <c r="M3348" s="5" t="n"/>
      <c r="N3348" s="5" t="n"/>
      <c r="O3348" s="5" t="n"/>
      <c r="P3348" s="5" t="n"/>
      <c r="Q3348" s="5" t="n"/>
      <c r="R3348" s="4" t="n"/>
      <c r="S3348" s="4" t="n"/>
      <c r="T3348" s="5" t="n"/>
      <c r="U3348" s="8">
        <f>IF(AND(V3348=1,D3348&lt;&gt;""),IF(D3348&gt;=corte,TODAY()-D3348,""),"")</f>
        <v/>
      </c>
      <c r="V3348" s="8">
        <f>IF(D3348="",0,IF(OR(AND(P3348&lt;&gt;"",S3348=""),AND(N(J3348)&gt;0,N(K3348)&lt;J3348),OR(M3348="PENDENTE",M3348="PARCIAL"),OR(N3348="PENDENTE",N3348="PARCIAL")),1,0))</f>
        <v/>
      </c>
      <c r="W3348" s="8">
        <f>IF(AND(V3348=1,D3348&lt;&gt;""),IF(D3348&gt;=corte,(B3348="CRÍTICO")*1E9+(100000-D3348)*10000+10000-ROW(),""),"")</f>
        <v/>
      </c>
      <c r="X3348" s="8">
        <f>IF(AND(V3348=1,D3348=pas_data,E3348=pas_turno),10000-ROW(),"")</f>
        <v/>
      </c>
    </row>
    <row r="3349">
      <c r="A3349" s="3">
        <f>IF(D3349="","","TT-"&amp;TEXT(ROW()-1,"00000"))</f>
        <v/>
      </c>
      <c r="B3349" s="3">
        <f>IF(D3349="","",IF(V3349=0,"CONCLUÍDO",IF(D3349&lt;corte,"HISTÓRICO",IF(OR(AND(ISNUMBER(R3349),R3349&lt;TODAY()),AND(OR(N3349="PENDENTE",N3349="PARCIAL"),D3349&lt;TODAY()-1)),"CRÍTICO",IF(OR(AND(P3349&lt;&gt;"",S3349=""),AND(N3349="REALIZADO",M3349="PENDENTE"),AND(ISNUMBER(R3349),R3349=TODAY())),"ATENÇÃO",IF(N(K3349)=0,"PENDENTE","EM ANDAMENTO"))))))</f>
        <v/>
      </c>
      <c r="C3349" s="3">
        <f>IF(D3349="","",IF(V3349=0,"🟢 OK",IF(D3349&lt;corte,"⚪ HISTÓRICO (sem baixa)",IF(AND(ISNUMBER(R3349),R3349&lt;TODAY()),"🔴 PRAZO VENCIDO",IF(AND(OR(N3349="PENDENTE",N3349="PARCIAL"),D3349&lt;TODAY()-1),"🔴 EMBARQUE ATRASADO",IF(AND(N3349="REALIZADO",M3349="PENDENTE"),"🟡 EMBARCADO SEM FATURAR",IF(AND(P3349&lt;&gt;"",S3349="",OR(Q3349="",R3349="")),"🟡 PENDÊNCIA SEM RESPONSÁVEL/PRAZO",IF(AND(ISNUMBER(R3349),R3349=TODAY()),"🟡 VENCE HOJE",IF(AND(P3349&lt;&gt;"",S3349=""),"🟡 PENDÊNCIA ABERTA",IF(AND(N(J3349)&gt;0,N(K3349)&lt;J3349),"🟡 FALTA EXECUTAR",IF(OR(M3349="PENDENTE",M3349="PARCIAL"),"🟡 FATURAMENTO PENDENTE","🟡 EMBARQUE PENDENTE")))))))))))</f>
        <v/>
      </c>
      <c r="D3349" s="4" t="n"/>
      <c r="E3349" s="5" t="n"/>
      <c r="F3349" s="5" t="n"/>
      <c r="G3349" s="5" t="n"/>
      <c r="H3349" s="5" t="n"/>
      <c r="I3349" s="5" t="n"/>
      <c r="J3349" s="6" t="n"/>
      <c r="K3349" s="6" t="n"/>
      <c r="L3349" s="7">
        <f>IF(OR(D3349="",N(J3349)=0),"",MIN(1,N(K3349)/J3349))</f>
        <v/>
      </c>
      <c r="M3349" s="5" t="n"/>
      <c r="N3349" s="5" t="n"/>
      <c r="O3349" s="5" t="n"/>
      <c r="P3349" s="5" t="n"/>
      <c r="Q3349" s="5" t="n"/>
      <c r="R3349" s="4" t="n"/>
      <c r="S3349" s="4" t="n"/>
      <c r="T3349" s="5" t="n"/>
      <c r="U3349" s="8">
        <f>IF(AND(V3349=1,D3349&lt;&gt;""),IF(D3349&gt;=corte,TODAY()-D3349,""),"")</f>
        <v/>
      </c>
      <c r="V3349" s="8">
        <f>IF(D3349="",0,IF(OR(AND(P3349&lt;&gt;"",S3349=""),AND(N(J3349)&gt;0,N(K3349)&lt;J3349),OR(M3349="PENDENTE",M3349="PARCIAL"),OR(N3349="PENDENTE",N3349="PARCIAL")),1,0))</f>
        <v/>
      </c>
      <c r="W3349" s="8">
        <f>IF(AND(V3349=1,D3349&lt;&gt;""),IF(D3349&gt;=corte,(B3349="CRÍTICO")*1E9+(100000-D3349)*10000+10000-ROW(),""),"")</f>
        <v/>
      </c>
      <c r="X3349" s="8">
        <f>IF(AND(V3349=1,D3349=pas_data,E3349=pas_turno),10000-ROW(),"")</f>
        <v/>
      </c>
    </row>
    <row r="3350">
      <c r="A3350" s="3">
        <f>IF(D3350="","","TT-"&amp;TEXT(ROW()-1,"00000"))</f>
        <v/>
      </c>
      <c r="B3350" s="3">
        <f>IF(D3350="","",IF(V3350=0,"CONCLUÍDO",IF(D3350&lt;corte,"HISTÓRICO",IF(OR(AND(ISNUMBER(R3350),R3350&lt;TODAY()),AND(OR(N3350="PENDENTE",N3350="PARCIAL"),D3350&lt;TODAY()-1)),"CRÍTICO",IF(OR(AND(P3350&lt;&gt;"",S3350=""),AND(N3350="REALIZADO",M3350="PENDENTE"),AND(ISNUMBER(R3350),R3350=TODAY())),"ATENÇÃO",IF(N(K3350)=0,"PENDENTE","EM ANDAMENTO"))))))</f>
        <v/>
      </c>
      <c r="C3350" s="3">
        <f>IF(D3350="","",IF(V3350=0,"🟢 OK",IF(D3350&lt;corte,"⚪ HISTÓRICO (sem baixa)",IF(AND(ISNUMBER(R3350),R3350&lt;TODAY()),"🔴 PRAZO VENCIDO",IF(AND(OR(N3350="PENDENTE",N3350="PARCIAL"),D3350&lt;TODAY()-1),"🔴 EMBARQUE ATRASADO",IF(AND(N3350="REALIZADO",M3350="PENDENTE"),"🟡 EMBARCADO SEM FATURAR",IF(AND(P3350&lt;&gt;"",S3350="",OR(Q3350="",R3350="")),"🟡 PENDÊNCIA SEM RESPONSÁVEL/PRAZO",IF(AND(ISNUMBER(R3350),R3350=TODAY()),"🟡 VENCE HOJE",IF(AND(P3350&lt;&gt;"",S3350=""),"🟡 PENDÊNCIA ABERTA",IF(AND(N(J3350)&gt;0,N(K3350)&lt;J3350),"🟡 FALTA EXECUTAR",IF(OR(M3350="PENDENTE",M3350="PARCIAL"),"🟡 FATURAMENTO PENDENTE","🟡 EMBARQUE PENDENTE")))))))))))</f>
        <v/>
      </c>
      <c r="D3350" s="4" t="n"/>
      <c r="E3350" s="5" t="n"/>
      <c r="F3350" s="5" t="n"/>
      <c r="G3350" s="5" t="n"/>
      <c r="H3350" s="5" t="n"/>
      <c r="I3350" s="5" t="n"/>
      <c r="J3350" s="6" t="n"/>
      <c r="K3350" s="6" t="n"/>
      <c r="L3350" s="7">
        <f>IF(OR(D3350="",N(J3350)=0),"",MIN(1,N(K3350)/J3350))</f>
        <v/>
      </c>
      <c r="M3350" s="5" t="n"/>
      <c r="N3350" s="5" t="n"/>
      <c r="O3350" s="5" t="n"/>
      <c r="P3350" s="5" t="n"/>
      <c r="Q3350" s="5" t="n"/>
      <c r="R3350" s="4" t="n"/>
      <c r="S3350" s="4" t="n"/>
      <c r="T3350" s="5" t="n"/>
      <c r="U3350" s="8">
        <f>IF(AND(V3350=1,D3350&lt;&gt;""),IF(D3350&gt;=corte,TODAY()-D3350,""),"")</f>
        <v/>
      </c>
      <c r="V3350" s="8">
        <f>IF(D3350="",0,IF(OR(AND(P3350&lt;&gt;"",S3350=""),AND(N(J3350)&gt;0,N(K3350)&lt;J3350),OR(M3350="PENDENTE",M3350="PARCIAL"),OR(N3350="PENDENTE",N3350="PARCIAL")),1,0))</f>
        <v/>
      </c>
      <c r="W3350" s="8">
        <f>IF(AND(V3350=1,D3350&lt;&gt;""),IF(D3350&gt;=corte,(B3350="CRÍTICO")*1E9+(100000-D3350)*10000+10000-ROW(),""),"")</f>
        <v/>
      </c>
      <c r="X3350" s="8">
        <f>IF(AND(V3350=1,D3350=pas_data,E3350=pas_turno),10000-ROW(),"")</f>
        <v/>
      </c>
    </row>
    <row r="3351">
      <c r="A3351" s="3">
        <f>IF(D3351="","","TT-"&amp;TEXT(ROW()-1,"00000"))</f>
        <v/>
      </c>
      <c r="B3351" s="3">
        <f>IF(D3351="","",IF(V3351=0,"CONCLUÍDO",IF(D3351&lt;corte,"HISTÓRICO",IF(OR(AND(ISNUMBER(R3351),R3351&lt;TODAY()),AND(OR(N3351="PENDENTE",N3351="PARCIAL"),D3351&lt;TODAY()-1)),"CRÍTICO",IF(OR(AND(P3351&lt;&gt;"",S3351=""),AND(N3351="REALIZADO",M3351="PENDENTE"),AND(ISNUMBER(R3351),R3351=TODAY())),"ATENÇÃO",IF(N(K3351)=0,"PENDENTE","EM ANDAMENTO"))))))</f>
        <v/>
      </c>
      <c r="C3351" s="3">
        <f>IF(D3351="","",IF(V3351=0,"🟢 OK",IF(D3351&lt;corte,"⚪ HISTÓRICO (sem baixa)",IF(AND(ISNUMBER(R3351),R3351&lt;TODAY()),"🔴 PRAZO VENCIDO",IF(AND(OR(N3351="PENDENTE",N3351="PARCIAL"),D3351&lt;TODAY()-1),"🔴 EMBARQUE ATRASADO",IF(AND(N3351="REALIZADO",M3351="PENDENTE"),"🟡 EMBARCADO SEM FATURAR",IF(AND(P3351&lt;&gt;"",S3351="",OR(Q3351="",R3351="")),"🟡 PENDÊNCIA SEM RESPONSÁVEL/PRAZO",IF(AND(ISNUMBER(R3351),R3351=TODAY()),"🟡 VENCE HOJE",IF(AND(P3351&lt;&gt;"",S3351=""),"🟡 PENDÊNCIA ABERTA",IF(AND(N(J3351)&gt;0,N(K3351)&lt;J3351),"🟡 FALTA EXECUTAR",IF(OR(M3351="PENDENTE",M3351="PARCIAL"),"🟡 FATURAMENTO PENDENTE","🟡 EMBARQUE PENDENTE")))))))))))</f>
        <v/>
      </c>
      <c r="D3351" s="4" t="n"/>
      <c r="E3351" s="5" t="n"/>
      <c r="F3351" s="5" t="n"/>
      <c r="G3351" s="5" t="n"/>
      <c r="H3351" s="5" t="n"/>
      <c r="I3351" s="5" t="n"/>
      <c r="J3351" s="6" t="n"/>
      <c r="K3351" s="6" t="n"/>
      <c r="L3351" s="7">
        <f>IF(OR(D3351="",N(J3351)=0),"",MIN(1,N(K3351)/J3351))</f>
        <v/>
      </c>
      <c r="M3351" s="5" t="n"/>
      <c r="N3351" s="5" t="n"/>
      <c r="O3351" s="5" t="n"/>
      <c r="P3351" s="5" t="n"/>
      <c r="Q3351" s="5" t="n"/>
      <c r="R3351" s="4" t="n"/>
      <c r="S3351" s="4" t="n"/>
      <c r="T3351" s="5" t="n"/>
      <c r="U3351" s="8">
        <f>IF(AND(V3351=1,D3351&lt;&gt;""),IF(D3351&gt;=corte,TODAY()-D3351,""),"")</f>
        <v/>
      </c>
      <c r="V3351" s="8">
        <f>IF(D3351="",0,IF(OR(AND(P3351&lt;&gt;"",S3351=""),AND(N(J3351)&gt;0,N(K3351)&lt;J3351),OR(M3351="PENDENTE",M3351="PARCIAL"),OR(N3351="PENDENTE",N3351="PARCIAL")),1,0))</f>
        <v/>
      </c>
      <c r="W3351" s="8">
        <f>IF(AND(V3351=1,D3351&lt;&gt;""),IF(D3351&gt;=corte,(B3351="CRÍTICO")*1E9+(100000-D3351)*10000+10000-ROW(),""),"")</f>
        <v/>
      </c>
      <c r="X3351" s="8">
        <f>IF(AND(V3351=1,D3351=pas_data,E3351=pas_turno),10000-ROW(),"")</f>
        <v/>
      </c>
    </row>
    <row r="3352">
      <c r="A3352" s="3">
        <f>IF(D3352="","","TT-"&amp;TEXT(ROW()-1,"00000"))</f>
        <v/>
      </c>
      <c r="B3352" s="3">
        <f>IF(D3352="","",IF(V3352=0,"CONCLUÍDO",IF(D3352&lt;corte,"HISTÓRICO",IF(OR(AND(ISNUMBER(R3352),R3352&lt;TODAY()),AND(OR(N3352="PENDENTE",N3352="PARCIAL"),D3352&lt;TODAY()-1)),"CRÍTICO",IF(OR(AND(P3352&lt;&gt;"",S3352=""),AND(N3352="REALIZADO",M3352="PENDENTE"),AND(ISNUMBER(R3352),R3352=TODAY())),"ATENÇÃO",IF(N(K3352)=0,"PENDENTE","EM ANDAMENTO"))))))</f>
        <v/>
      </c>
      <c r="C3352" s="3">
        <f>IF(D3352="","",IF(V3352=0,"🟢 OK",IF(D3352&lt;corte,"⚪ HISTÓRICO (sem baixa)",IF(AND(ISNUMBER(R3352),R3352&lt;TODAY()),"🔴 PRAZO VENCIDO",IF(AND(OR(N3352="PENDENTE",N3352="PARCIAL"),D3352&lt;TODAY()-1),"🔴 EMBARQUE ATRASADO",IF(AND(N3352="REALIZADO",M3352="PENDENTE"),"🟡 EMBARCADO SEM FATURAR",IF(AND(P3352&lt;&gt;"",S3352="",OR(Q3352="",R3352="")),"🟡 PENDÊNCIA SEM RESPONSÁVEL/PRAZO",IF(AND(ISNUMBER(R3352),R3352=TODAY()),"🟡 VENCE HOJE",IF(AND(P3352&lt;&gt;"",S3352=""),"🟡 PENDÊNCIA ABERTA",IF(AND(N(J3352)&gt;0,N(K3352)&lt;J3352),"🟡 FALTA EXECUTAR",IF(OR(M3352="PENDENTE",M3352="PARCIAL"),"🟡 FATURAMENTO PENDENTE","🟡 EMBARQUE PENDENTE")))))))))))</f>
        <v/>
      </c>
      <c r="D3352" s="4" t="n"/>
      <c r="E3352" s="5" t="n"/>
      <c r="F3352" s="5" t="n"/>
      <c r="G3352" s="5" t="n"/>
      <c r="H3352" s="5" t="n"/>
      <c r="I3352" s="5" t="n"/>
      <c r="J3352" s="6" t="n"/>
      <c r="K3352" s="6" t="n"/>
      <c r="L3352" s="7">
        <f>IF(OR(D3352="",N(J3352)=0),"",MIN(1,N(K3352)/J3352))</f>
        <v/>
      </c>
      <c r="M3352" s="5" t="n"/>
      <c r="N3352" s="5" t="n"/>
      <c r="O3352" s="5" t="n"/>
      <c r="P3352" s="5" t="n"/>
      <c r="Q3352" s="5" t="n"/>
      <c r="R3352" s="4" t="n"/>
      <c r="S3352" s="4" t="n"/>
      <c r="T3352" s="5" t="n"/>
      <c r="U3352" s="8">
        <f>IF(AND(V3352=1,D3352&lt;&gt;""),IF(D3352&gt;=corte,TODAY()-D3352,""),"")</f>
        <v/>
      </c>
      <c r="V3352" s="8">
        <f>IF(D3352="",0,IF(OR(AND(P3352&lt;&gt;"",S3352=""),AND(N(J3352)&gt;0,N(K3352)&lt;J3352),OR(M3352="PENDENTE",M3352="PARCIAL"),OR(N3352="PENDENTE",N3352="PARCIAL")),1,0))</f>
        <v/>
      </c>
      <c r="W3352" s="8">
        <f>IF(AND(V3352=1,D3352&lt;&gt;""),IF(D3352&gt;=corte,(B3352="CRÍTICO")*1E9+(100000-D3352)*10000+10000-ROW(),""),"")</f>
        <v/>
      </c>
      <c r="X3352" s="8">
        <f>IF(AND(V3352=1,D3352=pas_data,E3352=pas_turno),10000-ROW(),"")</f>
        <v/>
      </c>
    </row>
    <row r="3353">
      <c r="A3353" s="3">
        <f>IF(D3353="","","TT-"&amp;TEXT(ROW()-1,"00000"))</f>
        <v/>
      </c>
      <c r="B3353" s="3">
        <f>IF(D3353="","",IF(V3353=0,"CONCLUÍDO",IF(D3353&lt;corte,"HISTÓRICO",IF(OR(AND(ISNUMBER(R3353),R3353&lt;TODAY()),AND(OR(N3353="PENDENTE",N3353="PARCIAL"),D3353&lt;TODAY()-1)),"CRÍTICO",IF(OR(AND(P3353&lt;&gt;"",S3353=""),AND(N3353="REALIZADO",M3353="PENDENTE"),AND(ISNUMBER(R3353),R3353=TODAY())),"ATENÇÃO",IF(N(K3353)=0,"PENDENTE","EM ANDAMENTO"))))))</f>
        <v/>
      </c>
      <c r="C3353" s="3">
        <f>IF(D3353="","",IF(V3353=0,"🟢 OK",IF(D3353&lt;corte,"⚪ HISTÓRICO (sem baixa)",IF(AND(ISNUMBER(R3353),R3353&lt;TODAY()),"🔴 PRAZO VENCIDO",IF(AND(OR(N3353="PENDENTE",N3353="PARCIAL"),D3353&lt;TODAY()-1),"🔴 EMBARQUE ATRASADO",IF(AND(N3353="REALIZADO",M3353="PENDENTE"),"🟡 EMBARCADO SEM FATURAR",IF(AND(P3353&lt;&gt;"",S3353="",OR(Q3353="",R3353="")),"🟡 PENDÊNCIA SEM RESPONSÁVEL/PRAZO",IF(AND(ISNUMBER(R3353),R3353=TODAY()),"🟡 VENCE HOJE",IF(AND(P3353&lt;&gt;"",S3353=""),"🟡 PENDÊNCIA ABERTA",IF(AND(N(J3353)&gt;0,N(K3353)&lt;J3353),"🟡 FALTA EXECUTAR",IF(OR(M3353="PENDENTE",M3353="PARCIAL"),"🟡 FATURAMENTO PENDENTE","🟡 EMBARQUE PENDENTE")))))))))))</f>
        <v/>
      </c>
      <c r="D3353" s="4" t="n"/>
      <c r="E3353" s="5" t="n"/>
      <c r="F3353" s="5" t="n"/>
      <c r="G3353" s="5" t="n"/>
      <c r="H3353" s="5" t="n"/>
      <c r="I3353" s="5" t="n"/>
      <c r="J3353" s="6" t="n"/>
      <c r="K3353" s="6" t="n"/>
      <c r="L3353" s="7">
        <f>IF(OR(D3353="",N(J3353)=0),"",MIN(1,N(K3353)/J3353))</f>
        <v/>
      </c>
      <c r="M3353" s="5" t="n"/>
      <c r="N3353" s="5" t="n"/>
      <c r="O3353" s="5" t="n"/>
      <c r="P3353" s="5" t="n"/>
      <c r="Q3353" s="5" t="n"/>
      <c r="R3353" s="4" t="n"/>
      <c r="S3353" s="4" t="n"/>
      <c r="T3353" s="5" t="n"/>
      <c r="U3353" s="8">
        <f>IF(AND(V3353=1,D3353&lt;&gt;""),IF(D3353&gt;=corte,TODAY()-D3353,""),"")</f>
        <v/>
      </c>
      <c r="V3353" s="8">
        <f>IF(D3353="",0,IF(OR(AND(P3353&lt;&gt;"",S3353=""),AND(N(J3353)&gt;0,N(K3353)&lt;J3353),OR(M3353="PENDENTE",M3353="PARCIAL"),OR(N3353="PENDENTE",N3353="PARCIAL")),1,0))</f>
        <v/>
      </c>
      <c r="W3353" s="8">
        <f>IF(AND(V3353=1,D3353&lt;&gt;""),IF(D3353&gt;=corte,(B3353="CRÍTICO")*1E9+(100000-D3353)*10000+10000-ROW(),""),"")</f>
        <v/>
      </c>
      <c r="X3353" s="8">
        <f>IF(AND(V3353=1,D3353=pas_data,E3353=pas_turno),10000-ROW(),"")</f>
        <v/>
      </c>
    </row>
    <row r="3354">
      <c r="A3354" s="3">
        <f>IF(D3354="","","TT-"&amp;TEXT(ROW()-1,"00000"))</f>
        <v/>
      </c>
      <c r="B3354" s="3">
        <f>IF(D3354="","",IF(V3354=0,"CONCLUÍDO",IF(D3354&lt;corte,"HISTÓRICO",IF(OR(AND(ISNUMBER(R3354),R3354&lt;TODAY()),AND(OR(N3354="PENDENTE",N3354="PARCIAL"),D3354&lt;TODAY()-1)),"CRÍTICO",IF(OR(AND(P3354&lt;&gt;"",S3354=""),AND(N3354="REALIZADO",M3354="PENDENTE"),AND(ISNUMBER(R3354),R3354=TODAY())),"ATENÇÃO",IF(N(K3354)=0,"PENDENTE","EM ANDAMENTO"))))))</f>
        <v/>
      </c>
      <c r="C3354" s="3">
        <f>IF(D3354="","",IF(V3354=0,"🟢 OK",IF(D3354&lt;corte,"⚪ HISTÓRICO (sem baixa)",IF(AND(ISNUMBER(R3354),R3354&lt;TODAY()),"🔴 PRAZO VENCIDO",IF(AND(OR(N3354="PENDENTE",N3354="PARCIAL"),D3354&lt;TODAY()-1),"🔴 EMBARQUE ATRASADO",IF(AND(N3354="REALIZADO",M3354="PENDENTE"),"🟡 EMBARCADO SEM FATURAR",IF(AND(P3354&lt;&gt;"",S3354="",OR(Q3354="",R3354="")),"🟡 PENDÊNCIA SEM RESPONSÁVEL/PRAZO",IF(AND(ISNUMBER(R3354),R3354=TODAY()),"🟡 VENCE HOJE",IF(AND(P3354&lt;&gt;"",S3354=""),"🟡 PENDÊNCIA ABERTA",IF(AND(N(J3354)&gt;0,N(K3354)&lt;J3354),"🟡 FALTA EXECUTAR",IF(OR(M3354="PENDENTE",M3354="PARCIAL"),"🟡 FATURAMENTO PENDENTE","🟡 EMBARQUE PENDENTE")))))))))))</f>
        <v/>
      </c>
      <c r="D3354" s="4" t="n"/>
      <c r="E3354" s="5" t="n"/>
      <c r="F3354" s="5" t="n"/>
      <c r="G3354" s="5" t="n"/>
      <c r="H3354" s="5" t="n"/>
      <c r="I3354" s="5" t="n"/>
      <c r="J3354" s="6" t="n"/>
      <c r="K3354" s="6" t="n"/>
      <c r="L3354" s="7">
        <f>IF(OR(D3354="",N(J3354)=0),"",MIN(1,N(K3354)/J3354))</f>
        <v/>
      </c>
      <c r="M3354" s="5" t="n"/>
      <c r="N3354" s="5" t="n"/>
      <c r="O3354" s="5" t="n"/>
      <c r="P3354" s="5" t="n"/>
      <c r="Q3354" s="5" t="n"/>
      <c r="R3354" s="4" t="n"/>
      <c r="S3354" s="4" t="n"/>
      <c r="T3354" s="5" t="n"/>
      <c r="U3354" s="8">
        <f>IF(AND(V3354=1,D3354&lt;&gt;""),IF(D3354&gt;=corte,TODAY()-D3354,""),"")</f>
        <v/>
      </c>
      <c r="V3354" s="8">
        <f>IF(D3354="",0,IF(OR(AND(P3354&lt;&gt;"",S3354=""),AND(N(J3354)&gt;0,N(K3354)&lt;J3354),OR(M3354="PENDENTE",M3354="PARCIAL"),OR(N3354="PENDENTE",N3354="PARCIAL")),1,0))</f>
        <v/>
      </c>
      <c r="W3354" s="8">
        <f>IF(AND(V3354=1,D3354&lt;&gt;""),IF(D3354&gt;=corte,(B3354="CRÍTICO")*1E9+(100000-D3354)*10000+10000-ROW(),""),"")</f>
        <v/>
      </c>
      <c r="X3354" s="8">
        <f>IF(AND(V3354=1,D3354=pas_data,E3354=pas_turno),10000-ROW(),"")</f>
        <v/>
      </c>
    </row>
    <row r="3355">
      <c r="A3355" s="3">
        <f>IF(D3355="","","TT-"&amp;TEXT(ROW()-1,"00000"))</f>
        <v/>
      </c>
      <c r="B3355" s="3">
        <f>IF(D3355="","",IF(V3355=0,"CONCLUÍDO",IF(D3355&lt;corte,"HISTÓRICO",IF(OR(AND(ISNUMBER(R3355),R3355&lt;TODAY()),AND(OR(N3355="PENDENTE",N3355="PARCIAL"),D3355&lt;TODAY()-1)),"CRÍTICO",IF(OR(AND(P3355&lt;&gt;"",S3355=""),AND(N3355="REALIZADO",M3355="PENDENTE"),AND(ISNUMBER(R3355),R3355=TODAY())),"ATENÇÃO",IF(N(K3355)=0,"PENDENTE","EM ANDAMENTO"))))))</f>
        <v/>
      </c>
      <c r="C3355" s="3">
        <f>IF(D3355="","",IF(V3355=0,"🟢 OK",IF(D3355&lt;corte,"⚪ HISTÓRICO (sem baixa)",IF(AND(ISNUMBER(R3355),R3355&lt;TODAY()),"🔴 PRAZO VENCIDO",IF(AND(OR(N3355="PENDENTE",N3355="PARCIAL"),D3355&lt;TODAY()-1),"🔴 EMBARQUE ATRASADO",IF(AND(N3355="REALIZADO",M3355="PENDENTE"),"🟡 EMBARCADO SEM FATURAR",IF(AND(P3355&lt;&gt;"",S3355="",OR(Q3355="",R3355="")),"🟡 PENDÊNCIA SEM RESPONSÁVEL/PRAZO",IF(AND(ISNUMBER(R3355),R3355=TODAY()),"🟡 VENCE HOJE",IF(AND(P3355&lt;&gt;"",S3355=""),"🟡 PENDÊNCIA ABERTA",IF(AND(N(J3355)&gt;0,N(K3355)&lt;J3355),"🟡 FALTA EXECUTAR",IF(OR(M3355="PENDENTE",M3355="PARCIAL"),"🟡 FATURAMENTO PENDENTE","🟡 EMBARQUE PENDENTE")))))))))))</f>
        <v/>
      </c>
      <c r="D3355" s="4" t="n"/>
      <c r="E3355" s="5" t="n"/>
      <c r="F3355" s="5" t="n"/>
      <c r="G3355" s="5" t="n"/>
      <c r="H3355" s="5" t="n"/>
      <c r="I3355" s="5" t="n"/>
      <c r="J3355" s="6" t="n"/>
      <c r="K3355" s="6" t="n"/>
      <c r="L3355" s="7">
        <f>IF(OR(D3355="",N(J3355)=0),"",MIN(1,N(K3355)/J3355))</f>
        <v/>
      </c>
      <c r="M3355" s="5" t="n"/>
      <c r="N3355" s="5" t="n"/>
      <c r="O3355" s="5" t="n"/>
      <c r="P3355" s="5" t="n"/>
      <c r="Q3355" s="5" t="n"/>
      <c r="R3355" s="4" t="n"/>
      <c r="S3355" s="4" t="n"/>
      <c r="T3355" s="5" t="n"/>
      <c r="U3355" s="8">
        <f>IF(AND(V3355=1,D3355&lt;&gt;""),IF(D3355&gt;=corte,TODAY()-D3355,""),"")</f>
        <v/>
      </c>
      <c r="V3355" s="8">
        <f>IF(D3355="",0,IF(OR(AND(P3355&lt;&gt;"",S3355=""),AND(N(J3355)&gt;0,N(K3355)&lt;J3355),OR(M3355="PENDENTE",M3355="PARCIAL"),OR(N3355="PENDENTE",N3355="PARCIAL")),1,0))</f>
        <v/>
      </c>
      <c r="W3355" s="8">
        <f>IF(AND(V3355=1,D3355&lt;&gt;""),IF(D3355&gt;=corte,(B3355="CRÍTICO")*1E9+(100000-D3355)*10000+10000-ROW(),""),"")</f>
        <v/>
      </c>
      <c r="X3355" s="8">
        <f>IF(AND(V3355=1,D3355=pas_data,E3355=pas_turno),10000-ROW(),"")</f>
        <v/>
      </c>
    </row>
    <row r="3356">
      <c r="A3356" s="3">
        <f>IF(D3356="","","TT-"&amp;TEXT(ROW()-1,"00000"))</f>
        <v/>
      </c>
      <c r="B3356" s="3">
        <f>IF(D3356="","",IF(V3356=0,"CONCLUÍDO",IF(D3356&lt;corte,"HISTÓRICO",IF(OR(AND(ISNUMBER(R3356),R3356&lt;TODAY()),AND(OR(N3356="PENDENTE",N3356="PARCIAL"),D3356&lt;TODAY()-1)),"CRÍTICO",IF(OR(AND(P3356&lt;&gt;"",S3356=""),AND(N3356="REALIZADO",M3356="PENDENTE"),AND(ISNUMBER(R3356),R3356=TODAY())),"ATENÇÃO",IF(N(K3356)=0,"PENDENTE","EM ANDAMENTO"))))))</f>
        <v/>
      </c>
      <c r="C3356" s="3">
        <f>IF(D3356="","",IF(V3356=0,"🟢 OK",IF(D3356&lt;corte,"⚪ HISTÓRICO (sem baixa)",IF(AND(ISNUMBER(R3356),R3356&lt;TODAY()),"🔴 PRAZO VENCIDO",IF(AND(OR(N3356="PENDENTE",N3356="PARCIAL"),D3356&lt;TODAY()-1),"🔴 EMBARQUE ATRASADO",IF(AND(N3356="REALIZADO",M3356="PENDENTE"),"🟡 EMBARCADO SEM FATURAR",IF(AND(P3356&lt;&gt;"",S3356="",OR(Q3356="",R3356="")),"🟡 PENDÊNCIA SEM RESPONSÁVEL/PRAZO",IF(AND(ISNUMBER(R3356),R3356=TODAY()),"🟡 VENCE HOJE",IF(AND(P3356&lt;&gt;"",S3356=""),"🟡 PENDÊNCIA ABERTA",IF(AND(N(J3356)&gt;0,N(K3356)&lt;J3356),"🟡 FALTA EXECUTAR",IF(OR(M3356="PENDENTE",M3356="PARCIAL"),"🟡 FATURAMENTO PENDENTE","🟡 EMBARQUE PENDENTE")))))))))))</f>
        <v/>
      </c>
      <c r="D3356" s="4" t="n"/>
      <c r="E3356" s="5" t="n"/>
      <c r="F3356" s="5" t="n"/>
      <c r="G3356" s="5" t="n"/>
      <c r="H3356" s="5" t="n"/>
      <c r="I3356" s="5" t="n"/>
      <c r="J3356" s="6" t="n"/>
      <c r="K3356" s="6" t="n"/>
      <c r="L3356" s="7">
        <f>IF(OR(D3356="",N(J3356)=0),"",MIN(1,N(K3356)/J3356))</f>
        <v/>
      </c>
      <c r="M3356" s="5" t="n"/>
      <c r="N3356" s="5" t="n"/>
      <c r="O3356" s="5" t="n"/>
      <c r="P3356" s="5" t="n"/>
      <c r="Q3356" s="5" t="n"/>
      <c r="R3356" s="4" t="n"/>
      <c r="S3356" s="4" t="n"/>
      <c r="T3356" s="5" t="n"/>
      <c r="U3356" s="8">
        <f>IF(AND(V3356=1,D3356&lt;&gt;""),IF(D3356&gt;=corte,TODAY()-D3356,""),"")</f>
        <v/>
      </c>
      <c r="V3356" s="8">
        <f>IF(D3356="",0,IF(OR(AND(P3356&lt;&gt;"",S3356=""),AND(N(J3356)&gt;0,N(K3356)&lt;J3356),OR(M3356="PENDENTE",M3356="PARCIAL"),OR(N3356="PENDENTE",N3356="PARCIAL")),1,0))</f>
        <v/>
      </c>
      <c r="W3356" s="8">
        <f>IF(AND(V3356=1,D3356&lt;&gt;""),IF(D3356&gt;=corte,(B3356="CRÍTICO")*1E9+(100000-D3356)*10000+10000-ROW(),""),"")</f>
        <v/>
      </c>
      <c r="X3356" s="8">
        <f>IF(AND(V3356=1,D3356=pas_data,E3356=pas_turno),10000-ROW(),"")</f>
        <v/>
      </c>
    </row>
    <row r="3357">
      <c r="A3357" s="3">
        <f>IF(D3357="","","TT-"&amp;TEXT(ROW()-1,"00000"))</f>
        <v/>
      </c>
      <c r="B3357" s="3">
        <f>IF(D3357="","",IF(V3357=0,"CONCLUÍDO",IF(D3357&lt;corte,"HISTÓRICO",IF(OR(AND(ISNUMBER(R3357),R3357&lt;TODAY()),AND(OR(N3357="PENDENTE",N3357="PARCIAL"),D3357&lt;TODAY()-1)),"CRÍTICO",IF(OR(AND(P3357&lt;&gt;"",S3357=""),AND(N3357="REALIZADO",M3357="PENDENTE"),AND(ISNUMBER(R3357),R3357=TODAY())),"ATENÇÃO",IF(N(K3357)=0,"PENDENTE","EM ANDAMENTO"))))))</f>
        <v/>
      </c>
      <c r="C3357" s="3">
        <f>IF(D3357="","",IF(V3357=0,"🟢 OK",IF(D3357&lt;corte,"⚪ HISTÓRICO (sem baixa)",IF(AND(ISNUMBER(R3357),R3357&lt;TODAY()),"🔴 PRAZO VENCIDO",IF(AND(OR(N3357="PENDENTE",N3357="PARCIAL"),D3357&lt;TODAY()-1),"🔴 EMBARQUE ATRASADO",IF(AND(N3357="REALIZADO",M3357="PENDENTE"),"🟡 EMBARCADO SEM FATURAR",IF(AND(P3357&lt;&gt;"",S3357="",OR(Q3357="",R3357="")),"🟡 PENDÊNCIA SEM RESPONSÁVEL/PRAZO",IF(AND(ISNUMBER(R3357),R3357=TODAY()),"🟡 VENCE HOJE",IF(AND(P3357&lt;&gt;"",S3357=""),"🟡 PENDÊNCIA ABERTA",IF(AND(N(J3357)&gt;0,N(K3357)&lt;J3357),"🟡 FALTA EXECUTAR",IF(OR(M3357="PENDENTE",M3357="PARCIAL"),"🟡 FATURAMENTO PENDENTE","🟡 EMBARQUE PENDENTE")))))))))))</f>
        <v/>
      </c>
      <c r="D3357" s="4" t="n"/>
      <c r="E3357" s="5" t="n"/>
      <c r="F3357" s="5" t="n"/>
      <c r="G3357" s="5" t="n"/>
      <c r="H3357" s="5" t="n"/>
      <c r="I3357" s="5" t="n"/>
      <c r="J3357" s="6" t="n"/>
      <c r="K3357" s="6" t="n"/>
      <c r="L3357" s="7">
        <f>IF(OR(D3357="",N(J3357)=0),"",MIN(1,N(K3357)/J3357))</f>
        <v/>
      </c>
      <c r="M3357" s="5" t="n"/>
      <c r="N3357" s="5" t="n"/>
      <c r="O3357" s="5" t="n"/>
      <c r="P3357" s="5" t="n"/>
      <c r="Q3357" s="5" t="n"/>
      <c r="R3357" s="4" t="n"/>
      <c r="S3357" s="4" t="n"/>
      <c r="T3357" s="5" t="n"/>
      <c r="U3357" s="8">
        <f>IF(AND(V3357=1,D3357&lt;&gt;""),IF(D3357&gt;=corte,TODAY()-D3357,""),"")</f>
        <v/>
      </c>
      <c r="V3357" s="8">
        <f>IF(D3357="",0,IF(OR(AND(P3357&lt;&gt;"",S3357=""),AND(N(J3357)&gt;0,N(K3357)&lt;J3357),OR(M3357="PENDENTE",M3357="PARCIAL"),OR(N3357="PENDENTE",N3357="PARCIAL")),1,0))</f>
        <v/>
      </c>
      <c r="W3357" s="8">
        <f>IF(AND(V3357=1,D3357&lt;&gt;""),IF(D3357&gt;=corte,(B3357="CRÍTICO")*1E9+(100000-D3357)*10000+10000-ROW(),""),"")</f>
        <v/>
      </c>
      <c r="X3357" s="8">
        <f>IF(AND(V3357=1,D3357=pas_data,E3357=pas_turno),10000-ROW(),"")</f>
        <v/>
      </c>
    </row>
    <row r="3358">
      <c r="A3358" s="3">
        <f>IF(D3358="","","TT-"&amp;TEXT(ROW()-1,"00000"))</f>
        <v/>
      </c>
      <c r="B3358" s="3">
        <f>IF(D3358="","",IF(V3358=0,"CONCLUÍDO",IF(D3358&lt;corte,"HISTÓRICO",IF(OR(AND(ISNUMBER(R3358),R3358&lt;TODAY()),AND(OR(N3358="PENDENTE",N3358="PARCIAL"),D3358&lt;TODAY()-1)),"CRÍTICO",IF(OR(AND(P3358&lt;&gt;"",S3358=""),AND(N3358="REALIZADO",M3358="PENDENTE"),AND(ISNUMBER(R3358),R3358=TODAY())),"ATENÇÃO",IF(N(K3358)=0,"PENDENTE","EM ANDAMENTO"))))))</f>
        <v/>
      </c>
      <c r="C3358" s="3">
        <f>IF(D3358="","",IF(V3358=0,"🟢 OK",IF(D3358&lt;corte,"⚪ HISTÓRICO (sem baixa)",IF(AND(ISNUMBER(R3358),R3358&lt;TODAY()),"🔴 PRAZO VENCIDO",IF(AND(OR(N3358="PENDENTE",N3358="PARCIAL"),D3358&lt;TODAY()-1),"🔴 EMBARQUE ATRASADO",IF(AND(N3358="REALIZADO",M3358="PENDENTE"),"🟡 EMBARCADO SEM FATURAR",IF(AND(P3358&lt;&gt;"",S3358="",OR(Q3358="",R3358="")),"🟡 PENDÊNCIA SEM RESPONSÁVEL/PRAZO",IF(AND(ISNUMBER(R3358),R3358=TODAY()),"🟡 VENCE HOJE",IF(AND(P3358&lt;&gt;"",S3358=""),"🟡 PENDÊNCIA ABERTA",IF(AND(N(J3358)&gt;0,N(K3358)&lt;J3358),"🟡 FALTA EXECUTAR",IF(OR(M3358="PENDENTE",M3358="PARCIAL"),"🟡 FATURAMENTO PENDENTE","🟡 EMBARQUE PENDENTE")))))))))))</f>
        <v/>
      </c>
      <c r="D3358" s="4" t="n"/>
      <c r="E3358" s="5" t="n"/>
      <c r="F3358" s="5" t="n"/>
      <c r="G3358" s="5" t="n"/>
      <c r="H3358" s="5" t="n"/>
      <c r="I3358" s="5" t="n"/>
      <c r="J3358" s="6" t="n"/>
      <c r="K3358" s="6" t="n"/>
      <c r="L3358" s="7">
        <f>IF(OR(D3358="",N(J3358)=0),"",MIN(1,N(K3358)/J3358))</f>
        <v/>
      </c>
      <c r="M3358" s="5" t="n"/>
      <c r="N3358" s="5" t="n"/>
      <c r="O3358" s="5" t="n"/>
      <c r="P3358" s="5" t="n"/>
      <c r="Q3358" s="5" t="n"/>
      <c r="R3358" s="4" t="n"/>
      <c r="S3358" s="4" t="n"/>
      <c r="T3358" s="5" t="n"/>
      <c r="U3358" s="8">
        <f>IF(AND(V3358=1,D3358&lt;&gt;""),IF(D3358&gt;=corte,TODAY()-D3358,""),"")</f>
        <v/>
      </c>
      <c r="V3358" s="8">
        <f>IF(D3358="",0,IF(OR(AND(P3358&lt;&gt;"",S3358=""),AND(N(J3358)&gt;0,N(K3358)&lt;J3358),OR(M3358="PENDENTE",M3358="PARCIAL"),OR(N3358="PENDENTE",N3358="PARCIAL")),1,0))</f>
        <v/>
      </c>
      <c r="W3358" s="8">
        <f>IF(AND(V3358=1,D3358&lt;&gt;""),IF(D3358&gt;=corte,(B3358="CRÍTICO")*1E9+(100000-D3358)*10000+10000-ROW(),""),"")</f>
        <v/>
      </c>
      <c r="X3358" s="8">
        <f>IF(AND(V3358=1,D3358=pas_data,E3358=pas_turno),10000-ROW(),"")</f>
        <v/>
      </c>
    </row>
    <row r="3359">
      <c r="A3359" s="3">
        <f>IF(D3359="","","TT-"&amp;TEXT(ROW()-1,"00000"))</f>
        <v/>
      </c>
      <c r="B3359" s="3">
        <f>IF(D3359="","",IF(V3359=0,"CONCLUÍDO",IF(D3359&lt;corte,"HISTÓRICO",IF(OR(AND(ISNUMBER(R3359),R3359&lt;TODAY()),AND(OR(N3359="PENDENTE",N3359="PARCIAL"),D3359&lt;TODAY()-1)),"CRÍTICO",IF(OR(AND(P3359&lt;&gt;"",S3359=""),AND(N3359="REALIZADO",M3359="PENDENTE"),AND(ISNUMBER(R3359),R3359=TODAY())),"ATENÇÃO",IF(N(K3359)=0,"PENDENTE","EM ANDAMENTO"))))))</f>
        <v/>
      </c>
      <c r="C3359" s="3">
        <f>IF(D3359="","",IF(V3359=0,"🟢 OK",IF(D3359&lt;corte,"⚪ HISTÓRICO (sem baixa)",IF(AND(ISNUMBER(R3359),R3359&lt;TODAY()),"🔴 PRAZO VENCIDO",IF(AND(OR(N3359="PENDENTE",N3359="PARCIAL"),D3359&lt;TODAY()-1),"🔴 EMBARQUE ATRASADO",IF(AND(N3359="REALIZADO",M3359="PENDENTE"),"🟡 EMBARCADO SEM FATURAR",IF(AND(P3359&lt;&gt;"",S3359="",OR(Q3359="",R3359="")),"🟡 PENDÊNCIA SEM RESPONSÁVEL/PRAZO",IF(AND(ISNUMBER(R3359),R3359=TODAY()),"🟡 VENCE HOJE",IF(AND(P3359&lt;&gt;"",S3359=""),"🟡 PENDÊNCIA ABERTA",IF(AND(N(J3359)&gt;0,N(K3359)&lt;J3359),"🟡 FALTA EXECUTAR",IF(OR(M3359="PENDENTE",M3359="PARCIAL"),"🟡 FATURAMENTO PENDENTE","🟡 EMBARQUE PENDENTE")))))))))))</f>
        <v/>
      </c>
      <c r="D3359" s="4" t="n"/>
      <c r="E3359" s="5" t="n"/>
      <c r="F3359" s="5" t="n"/>
      <c r="G3359" s="5" t="n"/>
      <c r="H3359" s="5" t="n"/>
      <c r="I3359" s="5" t="n"/>
      <c r="J3359" s="6" t="n"/>
      <c r="K3359" s="6" t="n"/>
      <c r="L3359" s="7">
        <f>IF(OR(D3359="",N(J3359)=0),"",MIN(1,N(K3359)/J3359))</f>
        <v/>
      </c>
      <c r="M3359" s="5" t="n"/>
      <c r="N3359" s="5" t="n"/>
      <c r="O3359" s="5" t="n"/>
      <c r="P3359" s="5" t="n"/>
      <c r="Q3359" s="5" t="n"/>
      <c r="R3359" s="4" t="n"/>
      <c r="S3359" s="4" t="n"/>
      <c r="T3359" s="5" t="n"/>
      <c r="U3359" s="8">
        <f>IF(AND(V3359=1,D3359&lt;&gt;""),IF(D3359&gt;=corte,TODAY()-D3359,""),"")</f>
        <v/>
      </c>
      <c r="V3359" s="8">
        <f>IF(D3359="",0,IF(OR(AND(P3359&lt;&gt;"",S3359=""),AND(N(J3359)&gt;0,N(K3359)&lt;J3359),OR(M3359="PENDENTE",M3359="PARCIAL"),OR(N3359="PENDENTE",N3359="PARCIAL")),1,0))</f>
        <v/>
      </c>
      <c r="W3359" s="8">
        <f>IF(AND(V3359=1,D3359&lt;&gt;""),IF(D3359&gt;=corte,(B3359="CRÍTICO")*1E9+(100000-D3359)*10000+10000-ROW(),""),"")</f>
        <v/>
      </c>
      <c r="X3359" s="8">
        <f>IF(AND(V3359=1,D3359=pas_data,E3359=pas_turno),10000-ROW(),"")</f>
        <v/>
      </c>
    </row>
    <row r="3360">
      <c r="A3360" s="3">
        <f>IF(D3360="","","TT-"&amp;TEXT(ROW()-1,"00000"))</f>
        <v/>
      </c>
      <c r="B3360" s="3">
        <f>IF(D3360="","",IF(V3360=0,"CONCLUÍDO",IF(D3360&lt;corte,"HISTÓRICO",IF(OR(AND(ISNUMBER(R3360),R3360&lt;TODAY()),AND(OR(N3360="PENDENTE",N3360="PARCIAL"),D3360&lt;TODAY()-1)),"CRÍTICO",IF(OR(AND(P3360&lt;&gt;"",S3360=""),AND(N3360="REALIZADO",M3360="PENDENTE"),AND(ISNUMBER(R3360),R3360=TODAY())),"ATENÇÃO",IF(N(K3360)=0,"PENDENTE","EM ANDAMENTO"))))))</f>
        <v/>
      </c>
      <c r="C3360" s="3">
        <f>IF(D3360="","",IF(V3360=0,"🟢 OK",IF(D3360&lt;corte,"⚪ HISTÓRICO (sem baixa)",IF(AND(ISNUMBER(R3360),R3360&lt;TODAY()),"🔴 PRAZO VENCIDO",IF(AND(OR(N3360="PENDENTE",N3360="PARCIAL"),D3360&lt;TODAY()-1),"🔴 EMBARQUE ATRASADO",IF(AND(N3360="REALIZADO",M3360="PENDENTE"),"🟡 EMBARCADO SEM FATURAR",IF(AND(P3360&lt;&gt;"",S3360="",OR(Q3360="",R3360="")),"🟡 PENDÊNCIA SEM RESPONSÁVEL/PRAZO",IF(AND(ISNUMBER(R3360),R3360=TODAY()),"🟡 VENCE HOJE",IF(AND(P3360&lt;&gt;"",S3360=""),"🟡 PENDÊNCIA ABERTA",IF(AND(N(J3360)&gt;0,N(K3360)&lt;J3360),"🟡 FALTA EXECUTAR",IF(OR(M3360="PENDENTE",M3360="PARCIAL"),"🟡 FATURAMENTO PENDENTE","🟡 EMBARQUE PENDENTE")))))))))))</f>
        <v/>
      </c>
      <c r="D3360" s="4" t="n"/>
      <c r="E3360" s="5" t="n"/>
      <c r="F3360" s="5" t="n"/>
      <c r="G3360" s="5" t="n"/>
      <c r="H3360" s="5" t="n"/>
      <c r="I3360" s="5" t="n"/>
      <c r="J3360" s="6" t="n"/>
      <c r="K3360" s="6" t="n"/>
      <c r="L3360" s="7">
        <f>IF(OR(D3360="",N(J3360)=0),"",MIN(1,N(K3360)/J3360))</f>
        <v/>
      </c>
      <c r="M3360" s="5" t="n"/>
      <c r="N3360" s="5" t="n"/>
      <c r="O3360" s="5" t="n"/>
      <c r="P3360" s="5" t="n"/>
      <c r="Q3360" s="5" t="n"/>
      <c r="R3360" s="4" t="n"/>
      <c r="S3360" s="4" t="n"/>
      <c r="T3360" s="5" t="n"/>
      <c r="U3360" s="8">
        <f>IF(AND(V3360=1,D3360&lt;&gt;""),IF(D3360&gt;=corte,TODAY()-D3360,""),"")</f>
        <v/>
      </c>
      <c r="V3360" s="8">
        <f>IF(D3360="",0,IF(OR(AND(P3360&lt;&gt;"",S3360=""),AND(N(J3360)&gt;0,N(K3360)&lt;J3360),OR(M3360="PENDENTE",M3360="PARCIAL"),OR(N3360="PENDENTE",N3360="PARCIAL")),1,0))</f>
        <v/>
      </c>
      <c r="W3360" s="8">
        <f>IF(AND(V3360=1,D3360&lt;&gt;""),IF(D3360&gt;=corte,(B3360="CRÍTICO")*1E9+(100000-D3360)*10000+10000-ROW(),""),"")</f>
        <v/>
      </c>
      <c r="X3360" s="8">
        <f>IF(AND(V3360=1,D3360=pas_data,E3360=pas_turno),10000-ROW(),"")</f>
        <v/>
      </c>
    </row>
    <row r="3361">
      <c r="A3361" s="3">
        <f>IF(D3361="","","TT-"&amp;TEXT(ROW()-1,"00000"))</f>
        <v/>
      </c>
      <c r="B3361" s="3">
        <f>IF(D3361="","",IF(V3361=0,"CONCLUÍDO",IF(D3361&lt;corte,"HISTÓRICO",IF(OR(AND(ISNUMBER(R3361),R3361&lt;TODAY()),AND(OR(N3361="PENDENTE",N3361="PARCIAL"),D3361&lt;TODAY()-1)),"CRÍTICO",IF(OR(AND(P3361&lt;&gt;"",S3361=""),AND(N3361="REALIZADO",M3361="PENDENTE"),AND(ISNUMBER(R3361),R3361=TODAY())),"ATENÇÃO",IF(N(K3361)=0,"PENDENTE","EM ANDAMENTO"))))))</f>
        <v/>
      </c>
      <c r="C3361" s="3">
        <f>IF(D3361="","",IF(V3361=0,"🟢 OK",IF(D3361&lt;corte,"⚪ HISTÓRICO (sem baixa)",IF(AND(ISNUMBER(R3361),R3361&lt;TODAY()),"🔴 PRAZO VENCIDO",IF(AND(OR(N3361="PENDENTE",N3361="PARCIAL"),D3361&lt;TODAY()-1),"🔴 EMBARQUE ATRASADO",IF(AND(N3361="REALIZADO",M3361="PENDENTE"),"🟡 EMBARCADO SEM FATURAR",IF(AND(P3361&lt;&gt;"",S3361="",OR(Q3361="",R3361="")),"🟡 PENDÊNCIA SEM RESPONSÁVEL/PRAZO",IF(AND(ISNUMBER(R3361),R3361=TODAY()),"🟡 VENCE HOJE",IF(AND(P3361&lt;&gt;"",S3361=""),"🟡 PENDÊNCIA ABERTA",IF(AND(N(J3361)&gt;0,N(K3361)&lt;J3361),"🟡 FALTA EXECUTAR",IF(OR(M3361="PENDENTE",M3361="PARCIAL"),"🟡 FATURAMENTO PENDENTE","🟡 EMBARQUE PENDENTE")))))))))))</f>
        <v/>
      </c>
      <c r="D3361" s="4" t="n"/>
      <c r="E3361" s="5" t="n"/>
      <c r="F3361" s="5" t="n"/>
      <c r="G3361" s="5" t="n"/>
      <c r="H3361" s="5" t="n"/>
      <c r="I3361" s="5" t="n"/>
      <c r="J3361" s="6" t="n"/>
      <c r="K3361" s="6" t="n"/>
      <c r="L3361" s="7">
        <f>IF(OR(D3361="",N(J3361)=0),"",MIN(1,N(K3361)/J3361))</f>
        <v/>
      </c>
      <c r="M3361" s="5" t="n"/>
      <c r="N3361" s="5" t="n"/>
      <c r="O3361" s="5" t="n"/>
      <c r="P3361" s="5" t="n"/>
      <c r="Q3361" s="5" t="n"/>
      <c r="R3361" s="4" t="n"/>
      <c r="S3361" s="4" t="n"/>
      <c r="T3361" s="5" t="n"/>
      <c r="U3361" s="8">
        <f>IF(AND(V3361=1,D3361&lt;&gt;""),IF(D3361&gt;=corte,TODAY()-D3361,""),"")</f>
        <v/>
      </c>
      <c r="V3361" s="8">
        <f>IF(D3361="",0,IF(OR(AND(P3361&lt;&gt;"",S3361=""),AND(N(J3361)&gt;0,N(K3361)&lt;J3361),OR(M3361="PENDENTE",M3361="PARCIAL"),OR(N3361="PENDENTE",N3361="PARCIAL")),1,0))</f>
        <v/>
      </c>
      <c r="W3361" s="8">
        <f>IF(AND(V3361=1,D3361&lt;&gt;""),IF(D3361&gt;=corte,(B3361="CRÍTICO")*1E9+(100000-D3361)*10000+10000-ROW(),""),"")</f>
        <v/>
      </c>
      <c r="X3361" s="8">
        <f>IF(AND(V3361=1,D3361=pas_data,E3361=pas_turno),10000-ROW(),"")</f>
        <v/>
      </c>
    </row>
    <row r="3362">
      <c r="A3362" s="3">
        <f>IF(D3362="","","TT-"&amp;TEXT(ROW()-1,"00000"))</f>
        <v/>
      </c>
      <c r="B3362" s="3">
        <f>IF(D3362="","",IF(V3362=0,"CONCLUÍDO",IF(D3362&lt;corte,"HISTÓRICO",IF(OR(AND(ISNUMBER(R3362),R3362&lt;TODAY()),AND(OR(N3362="PENDENTE",N3362="PARCIAL"),D3362&lt;TODAY()-1)),"CRÍTICO",IF(OR(AND(P3362&lt;&gt;"",S3362=""),AND(N3362="REALIZADO",M3362="PENDENTE"),AND(ISNUMBER(R3362),R3362=TODAY())),"ATENÇÃO",IF(N(K3362)=0,"PENDENTE","EM ANDAMENTO"))))))</f>
        <v/>
      </c>
      <c r="C3362" s="3">
        <f>IF(D3362="","",IF(V3362=0,"🟢 OK",IF(D3362&lt;corte,"⚪ HISTÓRICO (sem baixa)",IF(AND(ISNUMBER(R3362),R3362&lt;TODAY()),"🔴 PRAZO VENCIDO",IF(AND(OR(N3362="PENDENTE",N3362="PARCIAL"),D3362&lt;TODAY()-1),"🔴 EMBARQUE ATRASADO",IF(AND(N3362="REALIZADO",M3362="PENDENTE"),"🟡 EMBARCADO SEM FATURAR",IF(AND(P3362&lt;&gt;"",S3362="",OR(Q3362="",R3362="")),"🟡 PENDÊNCIA SEM RESPONSÁVEL/PRAZO",IF(AND(ISNUMBER(R3362),R3362=TODAY()),"🟡 VENCE HOJE",IF(AND(P3362&lt;&gt;"",S3362=""),"🟡 PENDÊNCIA ABERTA",IF(AND(N(J3362)&gt;0,N(K3362)&lt;J3362),"🟡 FALTA EXECUTAR",IF(OR(M3362="PENDENTE",M3362="PARCIAL"),"🟡 FATURAMENTO PENDENTE","🟡 EMBARQUE PENDENTE")))))))))))</f>
        <v/>
      </c>
      <c r="D3362" s="4" t="n"/>
      <c r="E3362" s="5" t="n"/>
      <c r="F3362" s="5" t="n"/>
      <c r="G3362" s="5" t="n"/>
      <c r="H3362" s="5" t="n"/>
      <c r="I3362" s="5" t="n"/>
      <c r="J3362" s="6" t="n"/>
      <c r="K3362" s="6" t="n"/>
      <c r="L3362" s="7">
        <f>IF(OR(D3362="",N(J3362)=0),"",MIN(1,N(K3362)/J3362))</f>
        <v/>
      </c>
      <c r="M3362" s="5" t="n"/>
      <c r="N3362" s="5" t="n"/>
      <c r="O3362" s="5" t="n"/>
      <c r="P3362" s="5" t="n"/>
      <c r="Q3362" s="5" t="n"/>
      <c r="R3362" s="4" t="n"/>
      <c r="S3362" s="4" t="n"/>
      <c r="T3362" s="5" t="n"/>
      <c r="U3362" s="8">
        <f>IF(AND(V3362=1,D3362&lt;&gt;""),IF(D3362&gt;=corte,TODAY()-D3362,""),"")</f>
        <v/>
      </c>
      <c r="V3362" s="8">
        <f>IF(D3362="",0,IF(OR(AND(P3362&lt;&gt;"",S3362=""),AND(N(J3362)&gt;0,N(K3362)&lt;J3362),OR(M3362="PENDENTE",M3362="PARCIAL"),OR(N3362="PENDENTE",N3362="PARCIAL")),1,0))</f>
        <v/>
      </c>
      <c r="W3362" s="8">
        <f>IF(AND(V3362=1,D3362&lt;&gt;""),IF(D3362&gt;=corte,(B3362="CRÍTICO")*1E9+(100000-D3362)*10000+10000-ROW(),""),"")</f>
        <v/>
      </c>
      <c r="X3362" s="8">
        <f>IF(AND(V3362=1,D3362=pas_data,E3362=pas_turno),10000-ROW(),"")</f>
        <v/>
      </c>
    </row>
    <row r="3363">
      <c r="A3363" s="3">
        <f>IF(D3363="","","TT-"&amp;TEXT(ROW()-1,"00000"))</f>
        <v/>
      </c>
      <c r="B3363" s="3">
        <f>IF(D3363="","",IF(V3363=0,"CONCLUÍDO",IF(D3363&lt;corte,"HISTÓRICO",IF(OR(AND(ISNUMBER(R3363),R3363&lt;TODAY()),AND(OR(N3363="PENDENTE",N3363="PARCIAL"),D3363&lt;TODAY()-1)),"CRÍTICO",IF(OR(AND(P3363&lt;&gt;"",S3363=""),AND(N3363="REALIZADO",M3363="PENDENTE"),AND(ISNUMBER(R3363),R3363=TODAY())),"ATENÇÃO",IF(N(K3363)=0,"PENDENTE","EM ANDAMENTO"))))))</f>
        <v/>
      </c>
      <c r="C3363" s="3">
        <f>IF(D3363="","",IF(V3363=0,"🟢 OK",IF(D3363&lt;corte,"⚪ HISTÓRICO (sem baixa)",IF(AND(ISNUMBER(R3363),R3363&lt;TODAY()),"🔴 PRAZO VENCIDO",IF(AND(OR(N3363="PENDENTE",N3363="PARCIAL"),D3363&lt;TODAY()-1),"🔴 EMBARQUE ATRASADO",IF(AND(N3363="REALIZADO",M3363="PENDENTE"),"🟡 EMBARCADO SEM FATURAR",IF(AND(P3363&lt;&gt;"",S3363="",OR(Q3363="",R3363="")),"🟡 PENDÊNCIA SEM RESPONSÁVEL/PRAZO",IF(AND(ISNUMBER(R3363),R3363=TODAY()),"🟡 VENCE HOJE",IF(AND(P3363&lt;&gt;"",S3363=""),"🟡 PENDÊNCIA ABERTA",IF(AND(N(J3363)&gt;0,N(K3363)&lt;J3363),"🟡 FALTA EXECUTAR",IF(OR(M3363="PENDENTE",M3363="PARCIAL"),"🟡 FATURAMENTO PENDENTE","🟡 EMBARQUE PENDENTE")))))))))))</f>
        <v/>
      </c>
      <c r="D3363" s="4" t="n"/>
      <c r="E3363" s="5" t="n"/>
      <c r="F3363" s="5" t="n"/>
      <c r="G3363" s="5" t="n"/>
      <c r="H3363" s="5" t="n"/>
      <c r="I3363" s="5" t="n"/>
      <c r="J3363" s="6" t="n"/>
      <c r="K3363" s="6" t="n"/>
      <c r="L3363" s="7">
        <f>IF(OR(D3363="",N(J3363)=0),"",MIN(1,N(K3363)/J3363))</f>
        <v/>
      </c>
      <c r="M3363" s="5" t="n"/>
      <c r="N3363" s="5" t="n"/>
      <c r="O3363" s="5" t="n"/>
      <c r="P3363" s="5" t="n"/>
      <c r="Q3363" s="5" t="n"/>
      <c r="R3363" s="4" t="n"/>
      <c r="S3363" s="4" t="n"/>
      <c r="T3363" s="5" t="n"/>
      <c r="U3363" s="8">
        <f>IF(AND(V3363=1,D3363&lt;&gt;""),IF(D3363&gt;=corte,TODAY()-D3363,""),"")</f>
        <v/>
      </c>
      <c r="V3363" s="8">
        <f>IF(D3363="",0,IF(OR(AND(P3363&lt;&gt;"",S3363=""),AND(N(J3363)&gt;0,N(K3363)&lt;J3363),OR(M3363="PENDENTE",M3363="PARCIAL"),OR(N3363="PENDENTE",N3363="PARCIAL")),1,0))</f>
        <v/>
      </c>
      <c r="W3363" s="8">
        <f>IF(AND(V3363=1,D3363&lt;&gt;""),IF(D3363&gt;=corte,(B3363="CRÍTICO")*1E9+(100000-D3363)*10000+10000-ROW(),""),"")</f>
        <v/>
      </c>
      <c r="X3363" s="8">
        <f>IF(AND(V3363=1,D3363=pas_data,E3363=pas_turno),10000-ROW(),"")</f>
        <v/>
      </c>
    </row>
    <row r="3364">
      <c r="A3364" s="3">
        <f>IF(D3364="","","TT-"&amp;TEXT(ROW()-1,"00000"))</f>
        <v/>
      </c>
      <c r="B3364" s="3">
        <f>IF(D3364="","",IF(V3364=0,"CONCLUÍDO",IF(D3364&lt;corte,"HISTÓRICO",IF(OR(AND(ISNUMBER(R3364),R3364&lt;TODAY()),AND(OR(N3364="PENDENTE",N3364="PARCIAL"),D3364&lt;TODAY()-1)),"CRÍTICO",IF(OR(AND(P3364&lt;&gt;"",S3364=""),AND(N3364="REALIZADO",M3364="PENDENTE"),AND(ISNUMBER(R3364),R3364=TODAY())),"ATENÇÃO",IF(N(K3364)=0,"PENDENTE","EM ANDAMENTO"))))))</f>
        <v/>
      </c>
      <c r="C3364" s="3">
        <f>IF(D3364="","",IF(V3364=0,"🟢 OK",IF(D3364&lt;corte,"⚪ HISTÓRICO (sem baixa)",IF(AND(ISNUMBER(R3364),R3364&lt;TODAY()),"🔴 PRAZO VENCIDO",IF(AND(OR(N3364="PENDENTE",N3364="PARCIAL"),D3364&lt;TODAY()-1),"🔴 EMBARQUE ATRASADO",IF(AND(N3364="REALIZADO",M3364="PENDENTE"),"🟡 EMBARCADO SEM FATURAR",IF(AND(P3364&lt;&gt;"",S3364="",OR(Q3364="",R3364="")),"🟡 PENDÊNCIA SEM RESPONSÁVEL/PRAZO",IF(AND(ISNUMBER(R3364),R3364=TODAY()),"🟡 VENCE HOJE",IF(AND(P3364&lt;&gt;"",S3364=""),"🟡 PENDÊNCIA ABERTA",IF(AND(N(J3364)&gt;0,N(K3364)&lt;J3364),"🟡 FALTA EXECUTAR",IF(OR(M3364="PENDENTE",M3364="PARCIAL"),"🟡 FATURAMENTO PENDENTE","🟡 EMBARQUE PENDENTE")))))))))))</f>
        <v/>
      </c>
      <c r="D3364" s="4" t="n"/>
      <c r="E3364" s="5" t="n"/>
      <c r="F3364" s="5" t="n"/>
      <c r="G3364" s="5" t="n"/>
      <c r="H3364" s="5" t="n"/>
      <c r="I3364" s="5" t="n"/>
      <c r="J3364" s="6" t="n"/>
      <c r="K3364" s="6" t="n"/>
      <c r="L3364" s="7">
        <f>IF(OR(D3364="",N(J3364)=0),"",MIN(1,N(K3364)/J3364))</f>
        <v/>
      </c>
      <c r="M3364" s="5" t="n"/>
      <c r="N3364" s="5" t="n"/>
      <c r="O3364" s="5" t="n"/>
      <c r="P3364" s="5" t="n"/>
      <c r="Q3364" s="5" t="n"/>
      <c r="R3364" s="4" t="n"/>
      <c r="S3364" s="4" t="n"/>
      <c r="T3364" s="5" t="n"/>
      <c r="U3364" s="8">
        <f>IF(AND(V3364=1,D3364&lt;&gt;""),IF(D3364&gt;=corte,TODAY()-D3364,""),"")</f>
        <v/>
      </c>
      <c r="V3364" s="8">
        <f>IF(D3364="",0,IF(OR(AND(P3364&lt;&gt;"",S3364=""),AND(N(J3364)&gt;0,N(K3364)&lt;J3364),OR(M3364="PENDENTE",M3364="PARCIAL"),OR(N3364="PENDENTE",N3364="PARCIAL")),1,0))</f>
        <v/>
      </c>
      <c r="W3364" s="8">
        <f>IF(AND(V3364=1,D3364&lt;&gt;""),IF(D3364&gt;=corte,(B3364="CRÍTICO")*1E9+(100000-D3364)*10000+10000-ROW(),""),"")</f>
        <v/>
      </c>
      <c r="X3364" s="8">
        <f>IF(AND(V3364=1,D3364=pas_data,E3364=pas_turno),10000-ROW(),"")</f>
        <v/>
      </c>
    </row>
    <row r="3365">
      <c r="A3365" s="3">
        <f>IF(D3365="","","TT-"&amp;TEXT(ROW()-1,"00000"))</f>
        <v/>
      </c>
      <c r="B3365" s="3">
        <f>IF(D3365="","",IF(V3365=0,"CONCLUÍDO",IF(D3365&lt;corte,"HISTÓRICO",IF(OR(AND(ISNUMBER(R3365),R3365&lt;TODAY()),AND(OR(N3365="PENDENTE",N3365="PARCIAL"),D3365&lt;TODAY()-1)),"CRÍTICO",IF(OR(AND(P3365&lt;&gt;"",S3365=""),AND(N3365="REALIZADO",M3365="PENDENTE"),AND(ISNUMBER(R3365),R3365=TODAY())),"ATENÇÃO",IF(N(K3365)=0,"PENDENTE","EM ANDAMENTO"))))))</f>
        <v/>
      </c>
      <c r="C3365" s="3">
        <f>IF(D3365="","",IF(V3365=0,"🟢 OK",IF(D3365&lt;corte,"⚪ HISTÓRICO (sem baixa)",IF(AND(ISNUMBER(R3365),R3365&lt;TODAY()),"🔴 PRAZO VENCIDO",IF(AND(OR(N3365="PENDENTE",N3365="PARCIAL"),D3365&lt;TODAY()-1),"🔴 EMBARQUE ATRASADO",IF(AND(N3365="REALIZADO",M3365="PENDENTE"),"🟡 EMBARCADO SEM FATURAR",IF(AND(P3365&lt;&gt;"",S3365="",OR(Q3365="",R3365="")),"🟡 PENDÊNCIA SEM RESPONSÁVEL/PRAZO",IF(AND(ISNUMBER(R3365),R3365=TODAY()),"🟡 VENCE HOJE",IF(AND(P3365&lt;&gt;"",S3365=""),"🟡 PENDÊNCIA ABERTA",IF(AND(N(J3365)&gt;0,N(K3365)&lt;J3365),"🟡 FALTA EXECUTAR",IF(OR(M3365="PENDENTE",M3365="PARCIAL"),"🟡 FATURAMENTO PENDENTE","🟡 EMBARQUE PENDENTE")))))))))))</f>
        <v/>
      </c>
      <c r="D3365" s="4" t="n"/>
      <c r="E3365" s="5" t="n"/>
      <c r="F3365" s="5" t="n"/>
      <c r="G3365" s="5" t="n"/>
      <c r="H3365" s="5" t="n"/>
      <c r="I3365" s="5" t="n"/>
      <c r="J3365" s="6" t="n"/>
      <c r="K3365" s="6" t="n"/>
      <c r="L3365" s="7">
        <f>IF(OR(D3365="",N(J3365)=0),"",MIN(1,N(K3365)/J3365))</f>
        <v/>
      </c>
      <c r="M3365" s="5" t="n"/>
      <c r="N3365" s="5" t="n"/>
      <c r="O3365" s="5" t="n"/>
      <c r="P3365" s="5" t="n"/>
      <c r="Q3365" s="5" t="n"/>
      <c r="R3365" s="4" t="n"/>
      <c r="S3365" s="4" t="n"/>
      <c r="T3365" s="5" t="n"/>
      <c r="U3365" s="8">
        <f>IF(AND(V3365=1,D3365&lt;&gt;""),IF(D3365&gt;=corte,TODAY()-D3365,""),"")</f>
        <v/>
      </c>
      <c r="V3365" s="8">
        <f>IF(D3365="",0,IF(OR(AND(P3365&lt;&gt;"",S3365=""),AND(N(J3365)&gt;0,N(K3365)&lt;J3365),OR(M3365="PENDENTE",M3365="PARCIAL"),OR(N3365="PENDENTE",N3365="PARCIAL")),1,0))</f>
        <v/>
      </c>
      <c r="W3365" s="8">
        <f>IF(AND(V3365=1,D3365&lt;&gt;""),IF(D3365&gt;=corte,(B3365="CRÍTICO")*1E9+(100000-D3365)*10000+10000-ROW(),""),"")</f>
        <v/>
      </c>
      <c r="X3365" s="8">
        <f>IF(AND(V3365=1,D3365=pas_data,E3365=pas_turno),10000-ROW(),"")</f>
        <v/>
      </c>
    </row>
    <row r="3366">
      <c r="A3366" s="3">
        <f>IF(D3366="","","TT-"&amp;TEXT(ROW()-1,"00000"))</f>
        <v/>
      </c>
      <c r="B3366" s="3">
        <f>IF(D3366="","",IF(V3366=0,"CONCLUÍDO",IF(D3366&lt;corte,"HISTÓRICO",IF(OR(AND(ISNUMBER(R3366),R3366&lt;TODAY()),AND(OR(N3366="PENDENTE",N3366="PARCIAL"),D3366&lt;TODAY()-1)),"CRÍTICO",IF(OR(AND(P3366&lt;&gt;"",S3366=""),AND(N3366="REALIZADO",M3366="PENDENTE"),AND(ISNUMBER(R3366),R3366=TODAY())),"ATENÇÃO",IF(N(K3366)=0,"PENDENTE","EM ANDAMENTO"))))))</f>
        <v/>
      </c>
      <c r="C3366" s="3">
        <f>IF(D3366="","",IF(V3366=0,"🟢 OK",IF(D3366&lt;corte,"⚪ HISTÓRICO (sem baixa)",IF(AND(ISNUMBER(R3366),R3366&lt;TODAY()),"🔴 PRAZO VENCIDO",IF(AND(OR(N3366="PENDENTE",N3366="PARCIAL"),D3366&lt;TODAY()-1),"🔴 EMBARQUE ATRASADO",IF(AND(N3366="REALIZADO",M3366="PENDENTE"),"🟡 EMBARCADO SEM FATURAR",IF(AND(P3366&lt;&gt;"",S3366="",OR(Q3366="",R3366="")),"🟡 PENDÊNCIA SEM RESPONSÁVEL/PRAZO",IF(AND(ISNUMBER(R3366),R3366=TODAY()),"🟡 VENCE HOJE",IF(AND(P3366&lt;&gt;"",S3366=""),"🟡 PENDÊNCIA ABERTA",IF(AND(N(J3366)&gt;0,N(K3366)&lt;J3366),"🟡 FALTA EXECUTAR",IF(OR(M3366="PENDENTE",M3366="PARCIAL"),"🟡 FATURAMENTO PENDENTE","🟡 EMBARQUE PENDENTE")))))))))))</f>
        <v/>
      </c>
      <c r="D3366" s="4" t="n"/>
      <c r="E3366" s="5" t="n"/>
      <c r="F3366" s="5" t="n"/>
      <c r="G3366" s="5" t="n"/>
      <c r="H3366" s="5" t="n"/>
      <c r="I3366" s="5" t="n"/>
      <c r="J3366" s="6" t="n"/>
      <c r="K3366" s="6" t="n"/>
      <c r="L3366" s="7">
        <f>IF(OR(D3366="",N(J3366)=0),"",MIN(1,N(K3366)/J3366))</f>
        <v/>
      </c>
      <c r="M3366" s="5" t="n"/>
      <c r="N3366" s="5" t="n"/>
      <c r="O3366" s="5" t="n"/>
      <c r="P3366" s="5" t="n"/>
      <c r="Q3366" s="5" t="n"/>
      <c r="R3366" s="4" t="n"/>
      <c r="S3366" s="4" t="n"/>
      <c r="T3366" s="5" t="n"/>
      <c r="U3366" s="8">
        <f>IF(AND(V3366=1,D3366&lt;&gt;""),IF(D3366&gt;=corte,TODAY()-D3366,""),"")</f>
        <v/>
      </c>
      <c r="V3366" s="8">
        <f>IF(D3366="",0,IF(OR(AND(P3366&lt;&gt;"",S3366=""),AND(N(J3366)&gt;0,N(K3366)&lt;J3366),OR(M3366="PENDENTE",M3366="PARCIAL"),OR(N3366="PENDENTE",N3366="PARCIAL")),1,0))</f>
        <v/>
      </c>
      <c r="W3366" s="8">
        <f>IF(AND(V3366=1,D3366&lt;&gt;""),IF(D3366&gt;=corte,(B3366="CRÍTICO")*1E9+(100000-D3366)*10000+10000-ROW(),""),"")</f>
        <v/>
      </c>
      <c r="X3366" s="8">
        <f>IF(AND(V3366=1,D3366=pas_data,E3366=pas_turno),10000-ROW(),"")</f>
        <v/>
      </c>
    </row>
    <row r="3367">
      <c r="A3367" s="3">
        <f>IF(D3367="","","TT-"&amp;TEXT(ROW()-1,"00000"))</f>
        <v/>
      </c>
      <c r="B3367" s="3">
        <f>IF(D3367="","",IF(V3367=0,"CONCLUÍDO",IF(D3367&lt;corte,"HISTÓRICO",IF(OR(AND(ISNUMBER(R3367),R3367&lt;TODAY()),AND(OR(N3367="PENDENTE",N3367="PARCIAL"),D3367&lt;TODAY()-1)),"CRÍTICO",IF(OR(AND(P3367&lt;&gt;"",S3367=""),AND(N3367="REALIZADO",M3367="PENDENTE"),AND(ISNUMBER(R3367),R3367=TODAY())),"ATENÇÃO",IF(N(K3367)=0,"PENDENTE","EM ANDAMENTO"))))))</f>
        <v/>
      </c>
      <c r="C3367" s="3">
        <f>IF(D3367="","",IF(V3367=0,"🟢 OK",IF(D3367&lt;corte,"⚪ HISTÓRICO (sem baixa)",IF(AND(ISNUMBER(R3367),R3367&lt;TODAY()),"🔴 PRAZO VENCIDO",IF(AND(OR(N3367="PENDENTE",N3367="PARCIAL"),D3367&lt;TODAY()-1),"🔴 EMBARQUE ATRASADO",IF(AND(N3367="REALIZADO",M3367="PENDENTE"),"🟡 EMBARCADO SEM FATURAR",IF(AND(P3367&lt;&gt;"",S3367="",OR(Q3367="",R3367="")),"🟡 PENDÊNCIA SEM RESPONSÁVEL/PRAZO",IF(AND(ISNUMBER(R3367),R3367=TODAY()),"🟡 VENCE HOJE",IF(AND(P3367&lt;&gt;"",S3367=""),"🟡 PENDÊNCIA ABERTA",IF(AND(N(J3367)&gt;0,N(K3367)&lt;J3367),"🟡 FALTA EXECUTAR",IF(OR(M3367="PENDENTE",M3367="PARCIAL"),"🟡 FATURAMENTO PENDENTE","🟡 EMBARQUE PENDENTE")))))))))))</f>
        <v/>
      </c>
      <c r="D3367" s="4" t="n"/>
      <c r="E3367" s="5" t="n"/>
      <c r="F3367" s="5" t="n"/>
      <c r="G3367" s="5" t="n"/>
      <c r="H3367" s="5" t="n"/>
      <c r="I3367" s="5" t="n"/>
      <c r="J3367" s="6" t="n"/>
      <c r="K3367" s="6" t="n"/>
      <c r="L3367" s="7">
        <f>IF(OR(D3367="",N(J3367)=0),"",MIN(1,N(K3367)/J3367))</f>
        <v/>
      </c>
      <c r="M3367" s="5" t="n"/>
      <c r="N3367" s="5" t="n"/>
      <c r="O3367" s="5" t="n"/>
      <c r="P3367" s="5" t="n"/>
      <c r="Q3367" s="5" t="n"/>
      <c r="R3367" s="4" t="n"/>
      <c r="S3367" s="4" t="n"/>
      <c r="T3367" s="5" t="n"/>
      <c r="U3367" s="8">
        <f>IF(AND(V3367=1,D3367&lt;&gt;""),IF(D3367&gt;=corte,TODAY()-D3367,""),"")</f>
        <v/>
      </c>
      <c r="V3367" s="8">
        <f>IF(D3367="",0,IF(OR(AND(P3367&lt;&gt;"",S3367=""),AND(N(J3367)&gt;0,N(K3367)&lt;J3367),OR(M3367="PENDENTE",M3367="PARCIAL"),OR(N3367="PENDENTE",N3367="PARCIAL")),1,0))</f>
        <v/>
      </c>
      <c r="W3367" s="8">
        <f>IF(AND(V3367=1,D3367&lt;&gt;""),IF(D3367&gt;=corte,(B3367="CRÍTICO")*1E9+(100000-D3367)*10000+10000-ROW(),""),"")</f>
        <v/>
      </c>
      <c r="X3367" s="8">
        <f>IF(AND(V3367=1,D3367=pas_data,E3367=pas_turno),10000-ROW(),"")</f>
        <v/>
      </c>
    </row>
    <row r="3368">
      <c r="A3368" s="3">
        <f>IF(D3368="","","TT-"&amp;TEXT(ROW()-1,"00000"))</f>
        <v/>
      </c>
      <c r="B3368" s="3">
        <f>IF(D3368="","",IF(V3368=0,"CONCLUÍDO",IF(D3368&lt;corte,"HISTÓRICO",IF(OR(AND(ISNUMBER(R3368),R3368&lt;TODAY()),AND(OR(N3368="PENDENTE",N3368="PARCIAL"),D3368&lt;TODAY()-1)),"CRÍTICO",IF(OR(AND(P3368&lt;&gt;"",S3368=""),AND(N3368="REALIZADO",M3368="PENDENTE"),AND(ISNUMBER(R3368),R3368=TODAY())),"ATENÇÃO",IF(N(K3368)=0,"PENDENTE","EM ANDAMENTO"))))))</f>
        <v/>
      </c>
      <c r="C3368" s="3">
        <f>IF(D3368="","",IF(V3368=0,"🟢 OK",IF(D3368&lt;corte,"⚪ HISTÓRICO (sem baixa)",IF(AND(ISNUMBER(R3368),R3368&lt;TODAY()),"🔴 PRAZO VENCIDO",IF(AND(OR(N3368="PENDENTE",N3368="PARCIAL"),D3368&lt;TODAY()-1),"🔴 EMBARQUE ATRASADO",IF(AND(N3368="REALIZADO",M3368="PENDENTE"),"🟡 EMBARCADO SEM FATURAR",IF(AND(P3368&lt;&gt;"",S3368="",OR(Q3368="",R3368="")),"🟡 PENDÊNCIA SEM RESPONSÁVEL/PRAZO",IF(AND(ISNUMBER(R3368),R3368=TODAY()),"🟡 VENCE HOJE",IF(AND(P3368&lt;&gt;"",S3368=""),"🟡 PENDÊNCIA ABERTA",IF(AND(N(J3368)&gt;0,N(K3368)&lt;J3368),"🟡 FALTA EXECUTAR",IF(OR(M3368="PENDENTE",M3368="PARCIAL"),"🟡 FATURAMENTO PENDENTE","🟡 EMBARQUE PENDENTE")))))))))))</f>
        <v/>
      </c>
      <c r="D3368" s="4" t="n"/>
      <c r="E3368" s="5" t="n"/>
      <c r="F3368" s="5" t="n"/>
      <c r="G3368" s="5" t="n"/>
      <c r="H3368" s="5" t="n"/>
      <c r="I3368" s="5" t="n"/>
      <c r="J3368" s="6" t="n"/>
      <c r="K3368" s="6" t="n"/>
      <c r="L3368" s="7">
        <f>IF(OR(D3368="",N(J3368)=0),"",MIN(1,N(K3368)/J3368))</f>
        <v/>
      </c>
      <c r="M3368" s="5" t="n"/>
      <c r="N3368" s="5" t="n"/>
      <c r="O3368" s="5" t="n"/>
      <c r="P3368" s="5" t="n"/>
      <c r="Q3368" s="5" t="n"/>
      <c r="R3368" s="4" t="n"/>
      <c r="S3368" s="4" t="n"/>
      <c r="T3368" s="5" t="n"/>
      <c r="U3368" s="8">
        <f>IF(AND(V3368=1,D3368&lt;&gt;""),IF(D3368&gt;=corte,TODAY()-D3368,""),"")</f>
        <v/>
      </c>
      <c r="V3368" s="8">
        <f>IF(D3368="",0,IF(OR(AND(P3368&lt;&gt;"",S3368=""),AND(N(J3368)&gt;0,N(K3368)&lt;J3368),OR(M3368="PENDENTE",M3368="PARCIAL"),OR(N3368="PENDENTE",N3368="PARCIAL")),1,0))</f>
        <v/>
      </c>
      <c r="W3368" s="8">
        <f>IF(AND(V3368=1,D3368&lt;&gt;""),IF(D3368&gt;=corte,(B3368="CRÍTICO")*1E9+(100000-D3368)*10000+10000-ROW(),""),"")</f>
        <v/>
      </c>
      <c r="X3368" s="8">
        <f>IF(AND(V3368=1,D3368=pas_data,E3368=pas_turno),10000-ROW(),"")</f>
        <v/>
      </c>
    </row>
    <row r="3369">
      <c r="A3369" s="3">
        <f>IF(D3369="","","TT-"&amp;TEXT(ROW()-1,"00000"))</f>
        <v/>
      </c>
      <c r="B3369" s="3">
        <f>IF(D3369="","",IF(V3369=0,"CONCLUÍDO",IF(D3369&lt;corte,"HISTÓRICO",IF(OR(AND(ISNUMBER(R3369),R3369&lt;TODAY()),AND(OR(N3369="PENDENTE",N3369="PARCIAL"),D3369&lt;TODAY()-1)),"CRÍTICO",IF(OR(AND(P3369&lt;&gt;"",S3369=""),AND(N3369="REALIZADO",M3369="PENDENTE"),AND(ISNUMBER(R3369),R3369=TODAY())),"ATENÇÃO",IF(N(K3369)=0,"PENDENTE","EM ANDAMENTO"))))))</f>
        <v/>
      </c>
      <c r="C3369" s="3">
        <f>IF(D3369="","",IF(V3369=0,"🟢 OK",IF(D3369&lt;corte,"⚪ HISTÓRICO (sem baixa)",IF(AND(ISNUMBER(R3369),R3369&lt;TODAY()),"🔴 PRAZO VENCIDO",IF(AND(OR(N3369="PENDENTE",N3369="PARCIAL"),D3369&lt;TODAY()-1),"🔴 EMBARQUE ATRASADO",IF(AND(N3369="REALIZADO",M3369="PENDENTE"),"🟡 EMBARCADO SEM FATURAR",IF(AND(P3369&lt;&gt;"",S3369="",OR(Q3369="",R3369="")),"🟡 PENDÊNCIA SEM RESPONSÁVEL/PRAZO",IF(AND(ISNUMBER(R3369),R3369=TODAY()),"🟡 VENCE HOJE",IF(AND(P3369&lt;&gt;"",S3369=""),"🟡 PENDÊNCIA ABERTA",IF(AND(N(J3369)&gt;0,N(K3369)&lt;J3369),"🟡 FALTA EXECUTAR",IF(OR(M3369="PENDENTE",M3369="PARCIAL"),"🟡 FATURAMENTO PENDENTE","🟡 EMBARQUE PENDENTE")))))))))))</f>
        <v/>
      </c>
      <c r="D3369" s="4" t="n"/>
      <c r="E3369" s="5" t="n"/>
      <c r="F3369" s="5" t="n"/>
      <c r="G3369" s="5" t="n"/>
      <c r="H3369" s="5" t="n"/>
      <c r="I3369" s="5" t="n"/>
      <c r="J3369" s="6" t="n"/>
      <c r="K3369" s="6" t="n"/>
      <c r="L3369" s="7">
        <f>IF(OR(D3369="",N(J3369)=0),"",MIN(1,N(K3369)/J3369))</f>
        <v/>
      </c>
      <c r="M3369" s="5" t="n"/>
      <c r="N3369" s="5" t="n"/>
      <c r="O3369" s="5" t="n"/>
      <c r="P3369" s="5" t="n"/>
      <c r="Q3369" s="5" t="n"/>
      <c r="R3369" s="4" t="n"/>
      <c r="S3369" s="4" t="n"/>
      <c r="T3369" s="5" t="n"/>
      <c r="U3369" s="8">
        <f>IF(AND(V3369=1,D3369&lt;&gt;""),IF(D3369&gt;=corte,TODAY()-D3369,""),"")</f>
        <v/>
      </c>
      <c r="V3369" s="8">
        <f>IF(D3369="",0,IF(OR(AND(P3369&lt;&gt;"",S3369=""),AND(N(J3369)&gt;0,N(K3369)&lt;J3369),OR(M3369="PENDENTE",M3369="PARCIAL"),OR(N3369="PENDENTE",N3369="PARCIAL")),1,0))</f>
        <v/>
      </c>
      <c r="W3369" s="8">
        <f>IF(AND(V3369=1,D3369&lt;&gt;""),IF(D3369&gt;=corte,(B3369="CRÍTICO")*1E9+(100000-D3369)*10000+10000-ROW(),""),"")</f>
        <v/>
      </c>
      <c r="X3369" s="8">
        <f>IF(AND(V3369=1,D3369=pas_data,E3369=pas_turno),10000-ROW(),"")</f>
        <v/>
      </c>
    </row>
    <row r="3370">
      <c r="A3370" s="3">
        <f>IF(D3370="","","TT-"&amp;TEXT(ROW()-1,"00000"))</f>
        <v/>
      </c>
      <c r="B3370" s="3">
        <f>IF(D3370="","",IF(V3370=0,"CONCLUÍDO",IF(D3370&lt;corte,"HISTÓRICO",IF(OR(AND(ISNUMBER(R3370),R3370&lt;TODAY()),AND(OR(N3370="PENDENTE",N3370="PARCIAL"),D3370&lt;TODAY()-1)),"CRÍTICO",IF(OR(AND(P3370&lt;&gt;"",S3370=""),AND(N3370="REALIZADO",M3370="PENDENTE"),AND(ISNUMBER(R3370),R3370=TODAY())),"ATENÇÃO",IF(N(K3370)=0,"PENDENTE","EM ANDAMENTO"))))))</f>
        <v/>
      </c>
      <c r="C3370" s="3">
        <f>IF(D3370="","",IF(V3370=0,"🟢 OK",IF(D3370&lt;corte,"⚪ HISTÓRICO (sem baixa)",IF(AND(ISNUMBER(R3370),R3370&lt;TODAY()),"🔴 PRAZO VENCIDO",IF(AND(OR(N3370="PENDENTE",N3370="PARCIAL"),D3370&lt;TODAY()-1),"🔴 EMBARQUE ATRASADO",IF(AND(N3370="REALIZADO",M3370="PENDENTE"),"🟡 EMBARCADO SEM FATURAR",IF(AND(P3370&lt;&gt;"",S3370="",OR(Q3370="",R3370="")),"🟡 PENDÊNCIA SEM RESPONSÁVEL/PRAZO",IF(AND(ISNUMBER(R3370),R3370=TODAY()),"🟡 VENCE HOJE",IF(AND(P3370&lt;&gt;"",S3370=""),"🟡 PENDÊNCIA ABERTA",IF(AND(N(J3370)&gt;0,N(K3370)&lt;J3370),"🟡 FALTA EXECUTAR",IF(OR(M3370="PENDENTE",M3370="PARCIAL"),"🟡 FATURAMENTO PENDENTE","🟡 EMBARQUE PENDENTE")))))))))))</f>
        <v/>
      </c>
      <c r="D3370" s="4" t="n"/>
      <c r="E3370" s="5" t="n"/>
      <c r="F3370" s="5" t="n"/>
      <c r="G3370" s="5" t="n"/>
      <c r="H3370" s="5" t="n"/>
      <c r="I3370" s="5" t="n"/>
      <c r="J3370" s="6" t="n"/>
      <c r="K3370" s="6" t="n"/>
      <c r="L3370" s="7">
        <f>IF(OR(D3370="",N(J3370)=0),"",MIN(1,N(K3370)/J3370))</f>
        <v/>
      </c>
      <c r="M3370" s="5" t="n"/>
      <c r="N3370" s="5" t="n"/>
      <c r="O3370" s="5" t="n"/>
      <c r="P3370" s="5" t="n"/>
      <c r="Q3370" s="5" t="n"/>
      <c r="R3370" s="4" t="n"/>
      <c r="S3370" s="4" t="n"/>
      <c r="T3370" s="5" t="n"/>
      <c r="U3370" s="8">
        <f>IF(AND(V3370=1,D3370&lt;&gt;""),IF(D3370&gt;=corte,TODAY()-D3370,""),"")</f>
        <v/>
      </c>
      <c r="V3370" s="8">
        <f>IF(D3370="",0,IF(OR(AND(P3370&lt;&gt;"",S3370=""),AND(N(J3370)&gt;0,N(K3370)&lt;J3370),OR(M3370="PENDENTE",M3370="PARCIAL"),OR(N3370="PENDENTE",N3370="PARCIAL")),1,0))</f>
        <v/>
      </c>
      <c r="W3370" s="8">
        <f>IF(AND(V3370=1,D3370&lt;&gt;""),IF(D3370&gt;=corte,(B3370="CRÍTICO")*1E9+(100000-D3370)*10000+10000-ROW(),""),"")</f>
        <v/>
      </c>
      <c r="X3370" s="8">
        <f>IF(AND(V3370=1,D3370=pas_data,E3370=pas_turno),10000-ROW(),"")</f>
        <v/>
      </c>
    </row>
    <row r="3371">
      <c r="A3371" s="3">
        <f>IF(D3371="","","TT-"&amp;TEXT(ROW()-1,"00000"))</f>
        <v/>
      </c>
      <c r="B3371" s="3">
        <f>IF(D3371="","",IF(V3371=0,"CONCLUÍDO",IF(D3371&lt;corte,"HISTÓRICO",IF(OR(AND(ISNUMBER(R3371),R3371&lt;TODAY()),AND(OR(N3371="PENDENTE",N3371="PARCIAL"),D3371&lt;TODAY()-1)),"CRÍTICO",IF(OR(AND(P3371&lt;&gt;"",S3371=""),AND(N3371="REALIZADO",M3371="PENDENTE"),AND(ISNUMBER(R3371),R3371=TODAY())),"ATENÇÃO",IF(N(K3371)=0,"PENDENTE","EM ANDAMENTO"))))))</f>
        <v/>
      </c>
      <c r="C3371" s="3">
        <f>IF(D3371="","",IF(V3371=0,"🟢 OK",IF(D3371&lt;corte,"⚪ HISTÓRICO (sem baixa)",IF(AND(ISNUMBER(R3371),R3371&lt;TODAY()),"🔴 PRAZO VENCIDO",IF(AND(OR(N3371="PENDENTE",N3371="PARCIAL"),D3371&lt;TODAY()-1),"🔴 EMBARQUE ATRASADO",IF(AND(N3371="REALIZADO",M3371="PENDENTE"),"🟡 EMBARCADO SEM FATURAR",IF(AND(P3371&lt;&gt;"",S3371="",OR(Q3371="",R3371="")),"🟡 PENDÊNCIA SEM RESPONSÁVEL/PRAZO",IF(AND(ISNUMBER(R3371),R3371=TODAY()),"🟡 VENCE HOJE",IF(AND(P3371&lt;&gt;"",S3371=""),"🟡 PENDÊNCIA ABERTA",IF(AND(N(J3371)&gt;0,N(K3371)&lt;J3371),"🟡 FALTA EXECUTAR",IF(OR(M3371="PENDENTE",M3371="PARCIAL"),"🟡 FATURAMENTO PENDENTE","🟡 EMBARQUE PENDENTE")))))))))))</f>
        <v/>
      </c>
      <c r="D3371" s="4" t="n"/>
      <c r="E3371" s="5" t="n"/>
      <c r="F3371" s="5" t="n"/>
      <c r="G3371" s="5" t="n"/>
      <c r="H3371" s="5" t="n"/>
      <c r="I3371" s="5" t="n"/>
      <c r="J3371" s="6" t="n"/>
      <c r="K3371" s="6" t="n"/>
      <c r="L3371" s="7">
        <f>IF(OR(D3371="",N(J3371)=0),"",MIN(1,N(K3371)/J3371))</f>
        <v/>
      </c>
      <c r="M3371" s="5" t="n"/>
      <c r="N3371" s="5" t="n"/>
      <c r="O3371" s="5" t="n"/>
      <c r="P3371" s="5" t="n"/>
      <c r="Q3371" s="5" t="n"/>
      <c r="R3371" s="4" t="n"/>
      <c r="S3371" s="4" t="n"/>
      <c r="T3371" s="5" t="n"/>
      <c r="U3371" s="8">
        <f>IF(AND(V3371=1,D3371&lt;&gt;""),IF(D3371&gt;=corte,TODAY()-D3371,""),"")</f>
        <v/>
      </c>
      <c r="V3371" s="8">
        <f>IF(D3371="",0,IF(OR(AND(P3371&lt;&gt;"",S3371=""),AND(N(J3371)&gt;0,N(K3371)&lt;J3371),OR(M3371="PENDENTE",M3371="PARCIAL"),OR(N3371="PENDENTE",N3371="PARCIAL")),1,0))</f>
        <v/>
      </c>
      <c r="W3371" s="8">
        <f>IF(AND(V3371=1,D3371&lt;&gt;""),IF(D3371&gt;=corte,(B3371="CRÍTICO")*1E9+(100000-D3371)*10000+10000-ROW(),""),"")</f>
        <v/>
      </c>
      <c r="X3371" s="8">
        <f>IF(AND(V3371=1,D3371=pas_data,E3371=pas_turno),10000-ROW(),"")</f>
        <v/>
      </c>
    </row>
    <row r="3372">
      <c r="A3372" s="3">
        <f>IF(D3372="","","TT-"&amp;TEXT(ROW()-1,"00000"))</f>
        <v/>
      </c>
      <c r="B3372" s="3">
        <f>IF(D3372="","",IF(V3372=0,"CONCLUÍDO",IF(D3372&lt;corte,"HISTÓRICO",IF(OR(AND(ISNUMBER(R3372),R3372&lt;TODAY()),AND(OR(N3372="PENDENTE",N3372="PARCIAL"),D3372&lt;TODAY()-1)),"CRÍTICO",IF(OR(AND(P3372&lt;&gt;"",S3372=""),AND(N3372="REALIZADO",M3372="PENDENTE"),AND(ISNUMBER(R3372),R3372=TODAY())),"ATENÇÃO",IF(N(K3372)=0,"PENDENTE","EM ANDAMENTO"))))))</f>
        <v/>
      </c>
      <c r="C3372" s="3">
        <f>IF(D3372="","",IF(V3372=0,"🟢 OK",IF(D3372&lt;corte,"⚪ HISTÓRICO (sem baixa)",IF(AND(ISNUMBER(R3372),R3372&lt;TODAY()),"🔴 PRAZO VENCIDO",IF(AND(OR(N3372="PENDENTE",N3372="PARCIAL"),D3372&lt;TODAY()-1),"🔴 EMBARQUE ATRASADO",IF(AND(N3372="REALIZADO",M3372="PENDENTE"),"🟡 EMBARCADO SEM FATURAR",IF(AND(P3372&lt;&gt;"",S3372="",OR(Q3372="",R3372="")),"🟡 PENDÊNCIA SEM RESPONSÁVEL/PRAZO",IF(AND(ISNUMBER(R3372),R3372=TODAY()),"🟡 VENCE HOJE",IF(AND(P3372&lt;&gt;"",S3372=""),"🟡 PENDÊNCIA ABERTA",IF(AND(N(J3372)&gt;0,N(K3372)&lt;J3372),"🟡 FALTA EXECUTAR",IF(OR(M3372="PENDENTE",M3372="PARCIAL"),"🟡 FATURAMENTO PENDENTE","🟡 EMBARQUE PENDENTE")))))))))))</f>
        <v/>
      </c>
      <c r="D3372" s="4" t="n"/>
      <c r="E3372" s="5" t="n"/>
      <c r="F3372" s="5" t="n"/>
      <c r="G3372" s="5" t="n"/>
      <c r="H3372" s="5" t="n"/>
      <c r="I3372" s="5" t="n"/>
      <c r="J3372" s="6" t="n"/>
      <c r="K3372" s="6" t="n"/>
      <c r="L3372" s="7">
        <f>IF(OR(D3372="",N(J3372)=0),"",MIN(1,N(K3372)/J3372))</f>
        <v/>
      </c>
      <c r="M3372" s="5" t="n"/>
      <c r="N3372" s="5" t="n"/>
      <c r="O3372" s="5" t="n"/>
      <c r="P3372" s="5" t="n"/>
      <c r="Q3372" s="5" t="n"/>
      <c r="R3372" s="4" t="n"/>
      <c r="S3372" s="4" t="n"/>
      <c r="T3372" s="5" t="n"/>
      <c r="U3372" s="8">
        <f>IF(AND(V3372=1,D3372&lt;&gt;""),IF(D3372&gt;=corte,TODAY()-D3372,""),"")</f>
        <v/>
      </c>
      <c r="V3372" s="8">
        <f>IF(D3372="",0,IF(OR(AND(P3372&lt;&gt;"",S3372=""),AND(N(J3372)&gt;0,N(K3372)&lt;J3372),OR(M3372="PENDENTE",M3372="PARCIAL"),OR(N3372="PENDENTE",N3372="PARCIAL")),1,0))</f>
        <v/>
      </c>
      <c r="W3372" s="8">
        <f>IF(AND(V3372=1,D3372&lt;&gt;""),IF(D3372&gt;=corte,(B3372="CRÍTICO")*1E9+(100000-D3372)*10000+10000-ROW(),""),"")</f>
        <v/>
      </c>
      <c r="X3372" s="8">
        <f>IF(AND(V3372=1,D3372=pas_data,E3372=pas_turno),10000-ROW(),"")</f>
        <v/>
      </c>
    </row>
    <row r="3373">
      <c r="A3373" s="3">
        <f>IF(D3373="","","TT-"&amp;TEXT(ROW()-1,"00000"))</f>
        <v/>
      </c>
      <c r="B3373" s="3">
        <f>IF(D3373="","",IF(V3373=0,"CONCLUÍDO",IF(D3373&lt;corte,"HISTÓRICO",IF(OR(AND(ISNUMBER(R3373),R3373&lt;TODAY()),AND(OR(N3373="PENDENTE",N3373="PARCIAL"),D3373&lt;TODAY()-1)),"CRÍTICO",IF(OR(AND(P3373&lt;&gt;"",S3373=""),AND(N3373="REALIZADO",M3373="PENDENTE"),AND(ISNUMBER(R3373),R3373=TODAY())),"ATENÇÃO",IF(N(K3373)=0,"PENDENTE","EM ANDAMENTO"))))))</f>
        <v/>
      </c>
      <c r="C3373" s="3">
        <f>IF(D3373="","",IF(V3373=0,"🟢 OK",IF(D3373&lt;corte,"⚪ HISTÓRICO (sem baixa)",IF(AND(ISNUMBER(R3373),R3373&lt;TODAY()),"🔴 PRAZO VENCIDO",IF(AND(OR(N3373="PENDENTE",N3373="PARCIAL"),D3373&lt;TODAY()-1),"🔴 EMBARQUE ATRASADO",IF(AND(N3373="REALIZADO",M3373="PENDENTE"),"🟡 EMBARCADO SEM FATURAR",IF(AND(P3373&lt;&gt;"",S3373="",OR(Q3373="",R3373="")),"🟡 PENDÊNCIA SEM RESPONSÁVEL/PRAZO",IF(AND(ISNUMBER(R3373),R3373=TODAY()),"🟡 VENCE HOJE",IF(AND(P3373&lt;&gt;"",S3373=""),"🟡 PENDÊNCIA ABERTA",IF(AND(N(J3373)&gt;0,N(K3373)&lt;J3373),"🟡 FALTA EXECUTAR",IF(OR(M3373="PENDENTE",M3373="PARCIAL"),"🟡 FATURAMENTO PENDENTE","🟡 EMBARQUE PENDENTE")))))))))))</f>
        <v/>
      </c>
      <c r="D3373" s="4" t="n"/>
      <c r="E3373" s="5" t="n"/>
      <c r="F3373" s="5" t="n"/>
      <c r="G3373" s="5" t="n"/>
      <c r="H3373" s="5" t="n"/>
      <c r="I3373" s="5" t="n"/>
      <c r="J3373" s="6" t="n"/>
      <c r="K3373" s="6" t="n"/>
      <c r="L3373" s="7">
        <f>IF(OR(D3373="",N(J3373)=0),"",MIN(1,N(K3373)/J3373))</f>
        <v/>
      </c>
      <c r="M3373" s="5" t="n"/>
      <c r="N3373" s="5" t="n"/>
      <c r="O3373" s="5" t="n"/>
      <c r="P3373" s="5" t="n"/>
      <c r="Q3373" s="5" t="n"/>
      <c r="R3373" s="4" t="n"/>
      <c r="S3373" s="4" t="n"/>
      <c r="T3373" s="5" t="n"/>
      <c r="U3373" s="8">
        <f>IF(AND(V3373=1,D3373&lt;&gt;""),IF(D3373&gt;=corte,TODAY()-D3373,""),"")</f>
        <v/>
      </c>
      <c r="V3373" s="8">
        <f>IF(D3373="",0,IF(OR(AND(P3373&lt;&gt;"",S3373=""),AND(N(J3373)&gt;0,N(K3373)&lt;J3373),OR(M3373="PENDENTE",M3373="PARCIAL"),OR(N3373="PENDENTE",N3373="PARCIAL")),1,0))</f>
        <v/>
      </c>
      <c r="W3373" s="8">
        <f>IF(AND(V3373=1,D3373&lt;&gt;""),IF(D3373&gt;=corte,(B3373="CRÍTICO")*1E9+(100000-D3373)*10000+10000-ROW(),""),"")</f>
        <v/>
      </c>
      <c r="X3373" s="8">
        <f>IF(AND(V3373=1,D3373=pas_data,E3373=pas_turno),10000-ROW(),"")</f>
        <v/>
      </c>
    </row>
    <row r="3374">
      <c r="A3374" s="3">
        <f>IF(D3374="","","TT-"&amp;TEXT(ROW()-1,"00000"))</f>
        <v/>
      </c>
      <c r="B3374" s="3">
        <f>IF(D3374="","",IF(V3374=0,"CONCLUÍDO",IF(D3374&lt;corte,"HISTÓRICO",IF(OR(AND(ISNUMBER(R3374),R3374&lt;TODAY()),AND(OR(N3374="PENDENTE",N3374="PARCIAL"),D3374&lt;TODAY()-1)),"CRÍTICO",IF(OR(AND(P3374&lt;&gt;"",S3374=""),AND(N3374="REALIZADO",M3374="PENDENTE"),AND(ISNUMBER(R3374),R3374=TODAY())),"ATENÇÃO",IF(N(K3374)=0,"PENDENTE","EM ANDAMENTO"))))))</f>
        <v/>
      </c>
      <c r="C3374" s="3">
        <f>IF(D3374="","",IF(V3374=0,"🟢 OK",IF(D3374&lt;corte,"⚪ HISTÓRICO (sem baixa)",IF(AND(ISNUMBER(R3374),R3374&lt;TODAY()),"🔴 PRAZO VENCIDO",IF(AND(OR(N3374="PENDENTE",N3374="PARCIAL"),D3374&lt;TODAY()-1),"🔴 EMBARQUE ATRASADO",IF(AND(N3374="REALIZADO",M3374="PENDENTE"),"🟡 EMBARCADO SEM FATURAR",IF(AND(P3374&lt;&gt;"",S3374="",OR(Q3374="",R3374="")),"🟡 PENDÊNCIA SEM RESPONSÁVEL/PRAZO",IF(AND(ISNUMBER(R3374),R3374=TODAY()),"🟡 VENCE HOJE",IF(AND(P3374&lt;&gt;"",S3374=""),"🟡 PENDÊNCIA ABERTA",IF(AND(N(J3374)&gt;0,N(K3374)&lt;J3374),"🟡 FALTA EXECUTAR",IF(OR(M3374="PENDENTE",M3374="PARCIAL"),"🟡 FATURAMENTO PENDENTE","🟡 EMBARQUE PENDENTE")))))))))))</f>
        <v/>
      </c>
      <c r="D3374" s="4" t="n"/>
      <c r="E3374" s="5" t="n"/>
      <c r="F3374" s="5" t="n"/>
      <c r="G3374" s="5" t="n"/>
      <c r="H3374" s="5" t="n"/>
      <c r="I3374" s="5" t="n"/>
      <c r="J3374" s="6" t="n"/>
      <c r="K3374" s="6" t="n"/>
      <c r="L3374" s="7">
        <f>IF(OR(D3374="",N(J3374)=0),"",MIN(1,N(K3374)/J3374))</f>
        <v/>
      </c>
      <c r="M3374" s="5" t="n"/>
      <c r="N3374" s="5" t="n"/>
      <c r="O3374" s="5" t="n"/>
      <c r="P3374" s="5" t="n"/>
      <c r="Q3374" s="5" t="n"/>
      <c r="R3374" s="4" t="n"/>
      <c r="S3374" s="4" t="n"/>
      <c r="T3374" s="5" t="n"/>
      <c r="U3374" s="8">
        <f>IF(AND(V3374=1,D3374&lt;&gt;""),IF(D3374&gt;=corte,TODAY()-D3374,""),"")</f>
        <v/>
      </c>
      <c r="V3374" s="8">
        <f>IF(D3374="",0,IF(OR(AND(P3374&lt;&gt;"",S3374=""),AND(N(J3374)&gt;0,N(K3374)&lt;J3374),OR(M3374="PENDENTE",M3374="PARCIAL"),OR(N3374="PENDENTE",N3374="PARCIAL")),1,0))</f>
        <v/>
      </c>
      <c r="W3374" s="8">
        <f>IF(AND(V3374=1,D3374&lt;&gt;""),IF(D3374&gt;=corte,(B3374="CRÍTICO")*1E9+(100000-D3374)*10000+10000-ROW(),""),"")</f>
        <v/>
      </c>
      <c r="X3374" s="8">
        <f>IF(AND(V3374=1,D3374=pas_data,E3374=pas_turno),10000-ROW(),"")</f>
        <v/>
      </c>
    </row>
    <row r="3375">
      <c r="A3375" s="3">
        <f>IF(D3375="","","TT-"&amp;TEXT(ROW()-1,"00000"))</f>
        <v/>
      </c>
      <c r="B3375" s="3">
        <f>IF(D3375="","",IF(V3375=0,"CONCLUÍDO",IF(D3375&lt;corte,"HISTÓRICO",IF(OR(AND(ISNUMBER(R3375),R3375&lt;TODAY()),AND(OR(N3375="PENDENTE",N3375="PARCIAL"),D3375&lt;TODAY()-1)),"CRÍTICO",IF(OR(AND(P3375&lt;&gt;"",S3375=""),AND(N3375="REALIZADO",M3375="PENDENTE"),AND(ISNUMBER(R3375),R3375=TODAY())),"ATENÇÃO",IF(N(K3375)=0,"PENDENTE","EM ANDAMENTO"))))))</f>
        <v/>
      </c>
      <c r="C3375" s="3">
        <f>IF(D3375="","",IF(V3375=0,"🟢 OK",IF(D3375&lt;corte,"⚪ HISTÓRICO (sem baixa)",IF(AND(ISNUMBER(R3375),R3375&lt;TODAY()),"🔴 PRAZO VENCIDO",IF(AND(OR(N3375="PENDENTE",N3375="PARCIAL"),D3375&lt;TODAY()-1),"🔴 EMBARQUE ATRASADO",IF(AND(N3375="REALIZADO",M3375="PENDENTE"),"🟡 EMBARCADO SEM FATURAR",IF(AND(P3375&lt;&gt;"",S3375="",OR(Q3375="",R3375="")),"🟡 PENDÊNCIA SEM RESPONSÁVEL/PRAZO",IF(AND(ISNUMBER(R3375),R3375=TODAY()),"🟡 VENCE HOJE",IF(AND(P3375&lt;&gt;"",S3375=""),"🟡 PENDÊNCIA ABERTA",IF(AND(N(J3375)&gt;0,N(K3375)&lt;J3375),"🟡 FALTA EXECUTAR",IF(OR(M3375="PENDENTE",M3375="PARCIAL"),"🟡 FATURAMENTO PENDENTE","🟡 EMBARQUE PENDENTE")))))))))))</f>
        <v/>
      </c>
      <c r="D3375" s="4" t="n"/>
      <c r="E3375" s="5" t="n"/>
      <c r="F3375" s="5" t="n"/>
      <c r="G3375" s="5" t="n"/>
      <c r="H3375" s="5" t="n"/>
      <c r="I3375" s="5" t="n"/>
      <c r="J3375" s="6" t="n"/>
      <c r="K3375" s="6" t="n"/>
      <c r="L3375" s="7">
        <f>IF(OR(D3375="",N(J3375)=0),"",MIN(1,N(K3375)/J3375))</f>
        <v/>
      </c>
      <c r="M3375" s="5" t="n"/>
      <c r="N3375" s="5" t="n"/>
      <c r="O3375" s="5" t="n"/>
      <c r="P3375" s="5" t="n"/>
      <c r="Q3375" s="5" t="n"/>
      <c r="R3375" s="4" t="n"/>
      <c r="S3375" s="4" t="n"/>
      <c r="T3375" s="5" t="n"/>
      <c r="U3375" s="8">
        <f>IF(AND(V3375=1,D3375&lt;&gt;""),IF(D3375&gt;=corte,TODAY()-D3375,""),"")</f>
        <v/>
      </c>
      <c r="V3375" s="8">
        <f>IF(D3375="",0,IF(OR(AND(P3375&lt;&gt;"",S3375=""),AND(N(J3375)&gt;0,N(K3375)&lt;J3375),OR(M3375="PENDENTE",M3375="PARCIAL"),OR(N3375="PENDENTE",N3375="PARCIAL")),1,0))</f>
        <v/>
      </c>
      <c r="W3375" s="8">
        <f>IF(AND(V3375=1,D3375&lt;&gt;""),IF(D3375&gt;=corte,(B3375="CRÍTICO")*1E9+(100000-D3375)*10000+10000-ROW(),""),"")</f>
        <v/>
      </c>
      <c r="X3375" s="8">
        <f>IF(AND(V3375=1,D3375=pas_data,E3375=pas_turno),10000-ROW(),"")</f>
        <v/>
      </c>
    </row>
    <row r="3376">
      <c r="A3376" s="3">
        <f>IF(D3376="","","TT-"&amp;TEXT(ROW()-1,"00000"))</f>
        <v/>
      </c>
      <c r="B3376" s="3">
        <f>IF(D3376="","",IF(V3376=0,"CONCLUÍDO",IF(D3376&lt;corte,"HISTÓRICO",IF(OR(AND(ISNUMBER(R3376),R3376&lt;TODAY()),AND(OR(N3376="PENDENTE",N3376="PARCIAL"),D3376&lt;TODAY()-1)),"CRÍTICO",IF(OR(AND(P3376&lt;&gt;"",S3376=""),AND(N3376="REALIZADO",M3376="PENDENTE"),AND(ISNUMBER(R3376),R3376=TODAY())),"ATENÇÃO",IF(N(K3376)=0,"PENDENTE","EM ANDAMENTO"))))))</f>
        <v/>
      </c>
      <c r="C3376" s="3">
        <f>IF(D3376="","",IF(V3376=0,"🟢 OK",IF(D3376&lt;corte,"⚪ HISTÓRICO (sem baixa)",IF(AND(ISNUMBER(R3376),R3376&lt;TODAY()),"🔴 PRAZO VENCIDO",IF(AND(OR(N3376="PENDENTE",N3376="PARCIAL"),D3376&lt;TODAY()-1),"🔴 EMBARQUE ATRASADO",IF(AND(N3376="REALIZADO",M3376="PENDENTE"),"🟡 EMBARCADO SEM FATURAR",IF(AND(P3376&lt;&gt;"",S3376="",OR(Q3376="",R3376="")),"🟡 PENDÊNCIA SEM RESPONSÁVEL/PRAZO",IF(AND(ISNUMBER(R3376),R3376=TODAY()),"🟡 VENCE HOJE",IF(AND(P3376&lt;&gt;"",S3376=""),"🟡 PENDÊNCIA ABERTA",IF(AND(N(J3376)&gt;0,N(K3376)&lt;J3376),"🟡 FALTA EXECUTAR",IF(OR(M3376="PENDENTE",M3376="PARCIAL"),"🟡 FATURAMENTO PENDENTE","🟡 EMBARQUE PENDENTE")))))))))))</f>
        <v/>
      </c>
      <c r="D3376" s="4" t="n"/>
      <c r="E3376" s="5" t="n"/>
      <c r="F3376" s="5" t="n"/>
      <c r="G3376" s="5" t="n"/>
      <c r="H3376" s="5" t="n"/>
      <c r="I3376" s="5" t="n"/>
      <c r="J3376" s="6" t="n"/>
      <c r="K3376" s="6" t="n"/>
      <c r="L3376" s="7">
        <f>IF(OR(D3376="",N(J3376)=0),"",MIN(1,N(K3376)/J3376))</f>
        <v/>
      </c>
      <c r="M3376" s="5" t="n"/>
      <c r="N3376" s="5" t="n"/>
      <c r="O3376" s="5" t="n"/>
      <c r="P3376" s="5" t="n"/>
      <c r="Q3376" s="5" t="n"/>
      <c r="R3376" s="4" t="n"/>
      <c r="S3376" s="4" t="n"/>
      <c r="T3376" s="5" t="n"/>
      <c r="U3376" s="8">
        <f>IF(AND(V3376=1,D3376&lt;&gt;""),IF(D3376&gt;=corte,TODAY()-D3376,""),"")</f>
        <v/>
      </c>
      <c r="V3376" s="8">
        <f>IF(D3376="",0,IF(OR(AND(P3376&lt;&gt;"",S3376=""),AND(N(J3376)&gt;0,N(K3376)&lt;J3376),OR(M3376="PENDENTE",M3376="PARCIAL"),OR(N3376="PENDENTE",N3376="PARCIAL")),1,0))</f>
        <v/>
      </c>
      <c r="W3376" s="8">
        <f>IF(AND(V3376=1,D3376&lt;&gt;""),IF(D3376&gt;=corte,(B3376="CRÍTICO")*1E9+(100000-D3376)*10000+10000-ROW(),""),"")</f>
        <v/>
      </c>
      <c r="X3376" s="8">
        <f>IF(AND(V3376=1,D3376=pas_data,E3376=pas_turno),10000-ROW(),"")</f>
        <v/>
      </c>
    </row>
    <row r="3377">
      <c r="A3377" s="3">
        <f>IF(D3377="","","TT-"&amp;TEXT(ROW()-1,"00000"))</f>
        <v/>
      </c>
      <c r="B3377" s="3">
        <f>IF(D3377="","",IF(V3377=0,"CONCLUÍDO",IF(D3377&lt;corte,"HISTÓRICO",IF(OR(AND(ISNUMBER(R3377),R3377&lt;TODAY()),AND(OR(N3377="PENDENTE",N3377="PARCIAL"),D3377&lt;TODAY()-1)),"CRÍTICO",IF(OR(AND(P3377&lt;&gt;"",S3377=""),AND(N3377="REALIZADO",M3377="PENDENTE"),AND(ISNUMBER(R3377),R3377=TODAY())),"ATENÇÃO",IF(N(K3377)=0,"PENDENTE","EM ANDAMENTO"))))))</f>
        <v/>
      </c>
      <c r="C3377" s="3">
        <f>IF(D3377="","",IF(V3377=0,"🟢 OK",IF(D3377&lt;corte,"⚪ HISTÓRICO (sem baixa)",IF(AND(ISNUMBER(R3377),R3377&lt;TODAY()),"🔴 PRAZO VENCIDO",IF(AND(OR(N3377="PENDENTE",N3377="PARCIAL"),D3377&lt;TODAY()-1),"🔴 EMBARQUE ATRASADO",IF(AND(N3377="REALIZADO",M3377="PENDENTE"),"🟡 EMBARCADO SEM FATURAR",IF(AND(P3377&lt;&gt;"",S3377="",OR(Q3377="",R3377="")),"🟡 PENDÊNCIA SEM RESPONSÁVEL/PRAZO",IF(AND(ISNUMBER(R3377),R3377=TODAY()),"🟡 VENCE HOJE",IF(AND(P3377&lt;&gt;"",S3377=""),"🟡 PENDÊNCIA ABERTA",IF(AND(N(J3377)&gt;0,N(K3377)&lt;J3377),"🟡 FALTA EXECUTAR",IF(OR(M3377="PENDENTE",M3377="PARCIAL"),"🟡 FATURAMENTO PENDENTE","🟡 EMBARQUE PENDENTE")))))))))))</f>
        <v/>
      </c>
      <c r="D3377" s="4" t="n"/>
      <c r="E3377" s="5" t="n"/>
      <c r="F3377" s="5" t="n"/>
      <c r="G3377" s="5" t="n"/>
      <c r="H3377" s="5" t="n"/>
      <c r="I3377" s="5" t="n"/>
      <c r="J3377" s="6" t="n"/>
      <c r="K3377" s="6" t="n"/>
      <c r="L3377" s="7">
        <f>IF(OR(D3377="",N(J3377)=0),"",MIN(1,N(K3377)/J3377))</f>
        <v/>
      </c>
      <c r="M3377" s="5" t="n"/>
      <c r="N3377" s="5" t="n"/>
      <c r="O3377" s="5" t="n"/>
      <c r="P3377" s="5" t="n"/>
      <c r="Q3377" s="5" t="n"/>
      <c r="R3377" s="4" t="n"/>
      <c r="S3377" s="4" t="n"/>
      <c r="T3377" s="5" t="n"/>
      <c r="U3377" s="8">
        <f>IF(AND(V3377=1,D3377&lt;&gt;""),IF(D3377&gt;=corte,TODAY()-D3377,""),"")</f>
        <v/>
      </c>
      <c r="V3377" s="8">
        <f>IF(D3377="",0,IF(OR(AND(P3377&lt;&gt;"",S3377=""),AND(N(J3377)&gt;0,N(K3377)&lt;J3377),OR(M3377="PENDENTE",M3377="PARCIAL"),OR(N3377="PENDENTE",N3377="PARCIAL")),1,0))</f>
        <v/>
      </c>
      <c r="W3377" s="8">
        <f>IF(AND(V3377=1,D3377&lt;&gt;""),IF(D3377&gt;=corte,(B3377="CRÍTICO")*1E9+(100000-D3377)*10000+10000-ROW(),""),"")</f>
        <v/>
      </c>
      <c r="X3377" s="8">
        <f>IF(AND(V3377=1,D3377=pas_data,E3377=pas_turno),10000-ROW(),"")</f>
        <v/>
      </c>
    </row>
    <row r="3378">
      <c r="A3378" s="3">
        <f>IF(D3378="","","TT-"&amp;TEXT(ROW()-1,"00000"))</f>
        <v/>
      </c>
      <c r="B3378" s="3">
        <f>IF(D3378="","",IF(V3378=0,"CONCLUÍDO",IF(D3378&lt;corte,"HISTÓRICO",IF(OR(AND(ISNUMBER(R3378),R3378&lt;TODAY()),AND(OR(N3378="PENDENTE",N3378="PARCIAL"),D3378&lt;TODAY()-1)),"CRÍTICO",IF(OR(AND(P3378&lt;&gt;"",S3378=""),AND(N3378="REALIZADO",M3378="PENDENTE"),AND(ISNUMBER(R3378),R3378=TODAY())),"ATENÇÃO",IF(N(K3378)=0,"PENDENTE","EM ANDAMENTO"))))))</f>
        <v/>
      </c>
      <c r="C3378" s="3">
        <f>IF(D3378="","",IF(V3378=0,"🟢 OK",IF(D3378&lt;corte,"⚪ HISTÓRICO (sem baixa)",IF(AND(ISNUMBER(R3378),R3378&lt;TODAY()),"🔴 PRAZO VENCIDO",IF(AND(OR(N3378="PENDENTE",N3378="PARCIAL"),D3378&lt;TODAY()-1),"🔴 EMBARQUE ATRASADO",IF(AND(N3378="REALIZADO",M3378="PENDENTE"),"🟡 EMBARCADO SEM FATURAR",IF(AND(P3378&lt;&gt;"",S3378="",OR(Q3378="",R3378="")),"🟡 PENDÊNCIA SEM RESPONSÁVEL/PRAZO",IF(AND(ISNUMBER(R3378),R3378=TODAY()),"🟡 VENCE HOJE",IF(AND(P3378&lt;&gt;"",S3378=""),"🟡 PENDÊNCIA ABERTA",IF(AND(N(J3378)&gt;0,N(K3378)&lt;J3378),"🟡 FALTA EXECUTAR",IF(OR(M3378="PENDENTE",M3378="PARCIAL"),"🟡 FATURAMENTO PENDENTE","🟡 EMBARQUE PENDENTE")))))))))))</f>
        <v/>
      </c>
      <c r="D3378" s="4" t="n"/>
      <c r="E3378" s="5" t="n"/>
      <c r="F3378" s="5" t="n"/>
      <c r="G3378" s="5" t="n"/>
      <c r="H3378" s="5" t="n"/>
      <c r="I3378" s="5" t="n"/>
      <c r="J3378" s="6" t="n"/>
      <c r="K3378" s="6" t="n"/>
      <c r="L3378" s="7">
        <f>IF(OR(D3378="",N(J3378)=0),"",MIN(1,N(K3378)/J3378))</f>
        <v/>
      </c>
      <c r="M3378" s="5" t="n"/>
      <c r="N3378" s="5" t="n"/>
      <c r="O3378" s="5" t="n"/>
      <c r="P3378" s="5" t="n"/>
      <c r="Q3378" s="5" t="n"/>
      <c r="R3378" s="4" t="n"/>
      <c r="S3378" s="4" t="n"/>
      <c r="T3378" s="5" t="n"/>
      <c r="U3378" s="8">
        <f>IF(AND(V3378=1,D3378&lt;&gt;""),IF(D3378&gt;=corte,TODAY()-D3378,""),"")</f>
        <v/>
      </c>
      <c r="V3378" s="8">
        <f>IF(D3378="",0,IF(OR(AND(P3378&lt;&gt;"",S3378=""),AND(N(J3378)&gt;0,N(K3378)&lt;J3378),OR(M3378="PENDENTE",M3378="PARCIAL"),OR(N3378="PENDENTE",N3378="PARCIAL")),1,0))</f>
        <v/>
      </c>
      <c r="W3378" s="8">
        <f>IF(AND(V3378=1,D3378&lt;&gt;""),IF(D3378&gt;=corte,(B3378="CRÍTICO")*1E9+(100000-D3378)*10000+10000-ROW(),""),"")</f>
        <v/>
      </c>
      <c r="X3378" s="8">
        <f>IF(AND(V3378=1,D3378=pas_data,E3378=pas_turno),10000-ROW(),"")</f>
        <v/>
      </c>
    </row>
    <row r="3379">
      <c r="A3379" s="3">
        <f>IF(D3379="","","TT-"&amp;TEXT(ROW()-1,"00000"))</f>
        <v/>
      </c>
      <c r="B3379" s="3">
        <f>IF(D3379="","",IF(V3379=0,"CONCLUÍDO",IF(D3379&lt;corte,"HISTÓRICO",IF(OR(AND(ISNUMBER(R3379),R3379&lt;TODAY()),AND(OR(N3379="PENDENTE",N3379="PARCIAL"),D3379&lt;TODAY()-1)),"CRÍTICO",IF(OR(AND(P3379&lt;&gt;"",S3379=""),AND(N3379="REALIZADO",M3379="PENDENTE"),AND(ISNUMBER(R3379),R3379=TODAY())),"ATENÇÃO",IF(N(K3379)=0,"PENDENTE","EM ANDAMENTO"))))))</f>
        <v/>
      </c>
      <c r="C3379" s="3">
        <f>IF(D3379="","",IF(V3379=0,"🟢 OK",IF(D3379&lt;corte,"⚪ HISTÓRICO (sem baixa)",IF(AND(ISNUMBER(R3379),R3379&lt;TODAY()),"🔴 PRAZO VENCIDO",IF(AND(OR(N3379="PENDENTE",N3379="PARCIAL"),D3379&lt;TODAY()-1),"🔴 EMBARQUE ATRASADO",IF(AND(N3379="REALIZADO",M3379="PENDENTE"),"🟡 EMBARCADO SEM FATURAR",IF(AND(P3379&lt;&gt;"",S3379="",OR(Q3379="",R3379="")),"🟡 PENDÊNCIA SEM RESPONSÁVEL/PRAZO",IF(AND(ISNUMBER(R3379),R3379=TODAY()),"🟡 VENCE HOJE",IF(AND(P3379&lt;&gt;"",S3379=""),"🟡 PENDÊNCIA ABERTA",IF(AND(N(J3379)&gt;0,N(K3379)&lt;J3379),"🟡 FALTA EXECUTAR",IF(OR(M3379="PENDENTE",M3379="PARCIAL"),"🟡 FATURAMENTO PENDENTE","🟡 EMBARQUE PENDENTE")))))))))))</f>
        <v/>
      </c>
      <c r="D3379" s="4" t="n"/>
      <c r="E3379" s="5" t="n"/>
      <c r="F3379" s="5" t="n"/>
      <c r="G3379" s="5" t="n"/>
      <c r="H3379" s="5" t="n"/>
      <c r="I3379" s="5" t="n"/>
      <c r="J3379" s="6" t="n"/>
      <c r="K3379" s="6" t="n"/>
      <c r="L3379" s="7">
        <f>IF(OR(D3379="",N(J3379)=0),"",MIN(1,N(K3379)/J3379))</f>
        <v/>
      </c>
      <c r="M3379" s="5" t="n"/>
      <c r="N3379" s="5" t="n"/>
      <c r="O3379" s="5" t="n"/>
      <c r="P3379" s="5" t="n"/>
      <c r="Q3379" s="5" t="n"/>
      <c r="R3379" s="4" t="n"/>
      <c r="S3379" s="4" t="n"/>
      <c r="T3379" s="5" t="n"/>
      <c r="U3379" s="8">
        <f>IF(AND(V3379=1,D3379&lt;&gt;""),IF(D3379&gt;=corte,TODAY()-D3379,""),"")</f>
        <v/>
      </c>
      <c r="V3379" s="8">
        <f>IF(D3379="",0,IF(OR(AND(P3379&lt;&gt;"",S3379=""),AND(N(J3379)&gt;0,N(K3379)&lt;J3379),OR(M3379="PENDENTE",M3379="PARCIAL"),OR(N3379="PENDENTE",N3379="PARCIAL")),1,0))</f>
        <v/>
      </c>
      <c r="W3379" s="8">
        <f>IF(AND(V3379=1,D3379&lt;&gt;""),IF(D3379&gt;=corte,(B3379="CRÍTICO")*1E9+(100000-D3379)*10000+10000-ROW(),""),"")</f>
        <v/>
      </c>
      <c r="X3379" s="8">
        <f>IF(AND(V3379=1,D3379=pas_data,E3379=pas_turno),10000-ROW(),"")</f>
        <v/>
      </c>
    </row>
    <row r="3380">
      <c r="A3380" s="3">
        <f>IF(D3380="","","TT-"&amp;TEXT(ROW()-1,"00000"))</f>
        <v/>
      </c>
      <c r="B3380" s="3">
        <f>IF(D3380="","",IF(V3380=0,"CONCLUÍDO",IF(D3380&lt;corte,"HISTÓRICO",IF(OR(AND(ISNUMBER(R3380),R3380&lt;TODAY()),AND(OR(N3380="PENDENTE",N3380="PARCIAL"),D3380&lt;TODAY()-1)),"CRÍTICO",IF(OR(AND(P3380&lt;&gt;"",S3380=""),AND(N3380="REALIZADO",M3380="PENDENTE"),AND(ISNUMBER(R3380),R3380=TODAY())),"ATENÇÃO",IF(N(K3380)=0,"PENDENTE","EM ANDAMENTO"))))))</f>
        <v/>
      </c>
      <c r="C3380" s="3">
        <f>IF(D3380="","",IF(V3380=0,"🟢 OK",IF(D3380&lt;corte,"⚪ HISTÓRICO (sem baixa)",IF(AND(ISNUMBER(R3380),R3380&lt;TODAY()),"🔴 PRAZO VENCIDO",IF(AND(OR(N3380="PENDENTE",N3380="PARCIAL"),D3380&lt;TODAY()-1),"🔴 EMBARQUE ATRASADO",IF(AND(N3380="REALIZADO",M3380="PENDENTE"),"🟡 EMBARCADO SEM FATURAR",IF(AND(P3380&lt;&gt;"",S3380="",OR(Q3380="",R3380="")),"🟡 PENDÊNCIA SEM RESPONSÁVEL/PRAZO",IF(AND(ISNUMBER(R3380),R3380=TODAY()),"🟡 VENCE HOJE",IF(AND(P3380&lt;&gt;"",S3380=""),"🟡 PENDÊNCIA ABERTA",IF(AND(N(J3380)&gt;0,N(K3380)&lt;J3380),"🟡 FALTA EXECUTAR",IF(OR(M3380="PENDENTE",M3380="PARCIAL"),"🟡 FATURAMENTO PENDENTE","🟡 EMBARQUE PENDENTE")))))))))))</f>
        <v/>
      </c>
      <c r="D3380" s="4" t="n"/>
      <c r="E3380" s="5" t="n"/>
      <c r="F3380" s="5" t="n"/>
      <c r="G3380" s="5" t="n"/>
      <c r="H3380" s="5" t="n"/>
      <c r="I3380" s="5" t="n"/>
      <c r="J3380" s="6" t="n"/>
      <c r="K3380" s="6" t="n"/>
      <c r="L3380" s="7">
        <f>IF(OR(D3380="",N(J3380)=0),"",MIN(1,N(K3380)/J3380))</f>
        <v/>
      </c>
      <c r="M3380" s="5" t="n"/>
      <c r="N3380" s="5" t="n"/>
      <c r="O3380" s="5" t="n"/>
      <c r="P3380" s="5" t="n"/>
      <c r="Q3380" s="5" t="n"/>
      <c r="R3380" s="4" t="n"/>
      <c r="S3380" s="4" t="n"/>
      <c r="T3380" s="5" t="n"/>
      <c r="U3380" s="8">
        <f>IF(AND(V3380=1,D3380&lt;&gt;""),IF(D3380&gt;=corte,TODAY()-D3380,""),"")</f>
        <v/>
      </c>
      <c r="V3380" s="8">
        <f>IF(D3380="",0,IF(OR(AND(P3380&lt;&gt;"",S3380=""),AND(N(J3380)&gt;0,N(K3380)&lt;J3380),OR(M3380="PENDENTE",M3380="PARCIAL"),OR(N3380="PENDENTE",N3380="PARCIAL")),1,0))</f>
        <v/>
      </c>
      <c r="W3380" s="8">
        <f>IF(AND(V3380=1,D3380&lt;&gt;""),IF(D3380&gt;=corte,(B3380="CRÍTICO")*1E9+(100000-D3380)*10000+10000-ROW(),""),"")</f>
        <v/>
      </c>
      <c r="X3380" s="8">
        <f>IF(AND(V3380=1,D3380=pas_data,E3380=pas_turno),10000-ROW(),"")</f>
        <v/>
      </c>
    </row>
    <row r="3381">
      <c r="A3381" s="3">
        <f>IF(D3381="","","TT-"&amp;TEXT(ROW()-1,"00000"))</f>
        <v/>
      </c>
      <c r="B3381" s="3">
        <f>IF(D3381="","",IF(V3381=0,"CONCLUÍDO",IF(D3381&lt;corte,"HISTÓRICO",IF(OR(AND(ISNUMBER(R3381),R3381&lt;TODAY()),AND(OR(N3381="PENDENTE",N3381="PARCIAL"),D3381&lt;TODAY()-1)),"CRÍTICO",IF(OR(AND(P3381&lt;&gt;"",S3381=""),AND(N3381="REALIZADO",M3381="PENDENTE"),AND(ISNUMBER(R3381),R3381=TODAY())),"ATENÇÃO",IF(N(K3381)=0,"PENDENTE","EM ANDAMENTO"))))))</f>
        <v/>
      </c>
      <c r="C3381" s="3">
        <f>IF(D3381="","",IF(V3381=0,"🟢 OK",IF(D3381&lt;corte,"⚪ HISTÓRICO (sem baixa)",IF(AND(ISNUMBER(R3381),R3381&lt;TODAY()),"🔴 PRAZO VENCIDO",IF(AND(OR(N3381="PENDENTE",N3381="PARCIAL"),D3381&lt;TODAY()-1),"🔴 EMBARQUE ATRASADO",IF(AND(N3381="REALIZADO",M3381="PENDENTE"),"🟡 EMBARCADO SEM FATURAR",IF(AND(P3381&lt;&gt;"",S3381="",OR(Q3381="",R3381="")),"🟡 PENDÊNCIA SEM RESPONSÁVEL/PRAZO",IF(AND(ISNUMBER(R3381),R3381=TODAY()),"🟡 VENCE HOJE",IF(AND(P3381&lt;&gt;"",S3381=""),"🟡 PENDÊNCIA ABERTA",IF(AND(N(J3381)&gt;0,N(K3381)&lt;J3381),"🟡 FALTA EXECUTAR",IF(OR(M3381="PENDENTE",M3381="PARCIAL"),"🟡 FATURAMENTO PENDENTE","🟡 EMBARQUE PENDENTE")))))))))))</f>
        <v/>
      </c>
      <c r="D3381" s="4" t="n"/>
      <c r="E3381" s="5" t="n"/>
      <c r="F3381" s="5" t="n"/>
      <c r="G3381" s="5" t="n"/>
      <c r="H3381" s="5" t="n"/>
      <c r="I3381" s="5" t="n"/>
      <c r="J3381" s="6" t="n"/>
      <c r="K3381" s="6" t="n"/>
      <c r="L3381" s="7">
        <f>IF(OR(D3381="",N(J3381)=0),"",MIN(1,N(K3381)/J3381))</f>
        <v/>
      </c>
      <c r="M3381" s="5" t="n"/>
      <c r="N3381" s="5" t="n"/>
      <c r="O3381" s="5" t="n"/>
      <c r="P3381" s="5" t="n"/>
      <c r="Q3381" s="5" t="n"/>
      <c r="R3381" s="4" t="n"/>
      <c r="S3381" s="4" t="n"/>
      <c r="T3381" s="5" t="n"/>
      <c r="U3381" s="8">
        <f>IF(AND(V3381=1,D3381&lt;&gt;""),IF(D3381&gt;=corte,TODAY()-D3381,""),"")</f>
        <v/>
      </c>
      <c r="V3381" s="8">
        <f>IF(D3381="",0,IF(OR(AND(P3381&lt;&gt;"",S3381=""),AND(N(J3381)&gt;0,N(K3381)&lt;J3381),OR(M3381="PENDENTE",M3381="PARCIAL"),OR(N3381="PENDENTE",N3381="PARCIAL")),1,0))</f>
        <v/>
      </c>
      <c r="W3381" s="8">
        <f>IF(AND(V3381=1,D3381&lt;&gt;""),IF(D3381&gt;=corte,(B3381="CRÍTICO")*1E9+(100000-D3381)*10000+10000-ROW(),""),"")</f>
        <v/>
      </c>
      <c r="X3381" s="8">
        <f>IF(AND(V3381=1,D3381=pas_data,E3381=pas_turno),10000-ROW(),"")</f>
        <v/>
      </c>
    </row>
    <row r="3382">
      <c r="A3382" s="3">
        <f>IF(D3382="","","TT-"&amp;TEXT(ROW()-1,"00000"))</f>
        <v/>
      </c>
      <c r="B3382" s="3">
        <f>IF(D3382="","",IF(V3382=0,"CONCLUÍDO",IF(D3382&lt;corte,"HISTÓRICO",IF(OR(AND(ISNUMBER(R3382),R3382&lt;TODAY()),AND(OR(N3382="PENDENTE",N3382="PARCIAL"),D3382&lt;TODAY()-1)),"CRÍTICO",IF(OR(AND(P3382&lt;&gt;"",S3382=""),AND(N3382="REALIZADO",M3382="PENDENTE"),AND(ISNUMBER(R3382),R3382=TODAY())),"ATENÇÃO",IF(N(K3382)=0,"PENDENTE","EM ANDAMENTO"))))))</f>
        <v/>
      </c>
      <c r="C3382" s="3">
        <f>IF(D3382="","",IF(V3382=0,"🟢 OK",IF(D3382&lt;corte,"⚪ HISTÓRICO (sem baixa)",IF(AND(ISNUMBER(R3382),R3382&lt;TODAY()),"🔴 PRAZO VENCIDO",IF(AND(OR(N3382="PENDENTE",N3382="PARCIAL"),D3382&lt;TODAY()-1),"🔴 EMBARQUE ATRASADO",IF(AND(N3382="REALIZADO",M3382="PENDENTE"),"🟡 EMBARCADO SEM FATURAR",IF(AND(P3382&lt;&gt;"",S3382="",OR(Q3382="",R3382="")),"🟡 PENDÊNCIA SEM RESPONSÁVEL/PRAZO",IF(AND(ISNUMBER(R3382),R3382=TODAY()),"🟡 VENCE HOJE",IF(AND(P3382&lt;&gt;"",S3382=""),"🟡 PENDÊNCIA ABERTA",IF(AND(N(J3382)&gt;0,N(K3382)&lt;J3382),"🟡 FALTA EXECUTAR",IF(OR(M3382="PENDENTE",M3382="PARCIAL"),"🟡 FATURAMENTO PENDENTE","🟡 EMBARQUE PENDENTE")))))))))))</f>
        <v/>
      </c>
      <c r="D3382" s="4" t="n"/>
      <c r="E3382" s="5" t="n"/>
      <c r="F3382" s="5" t="n"/>
      <c r="G3382" s="5" t="n"/>
      <c r="H3382" s="5" t="n"/>
      <c r="I3382" s="5" t="n"/>
      <c r="J3382" s="6" t="n"/>
      <c r="K3382" s="6" t="n"/>
      <c r="L3382" s="7">
        <f>IF(OR(D3382="",N(J3382)=0),"",MIN(1,N(K3382)/J3382))</f>
        <v/>
      </c>
      <c r="M3382" s="5" t="n"/>
      <c r="N3382" s="5" t="n"/>
      <c r="O3382" s="5" t="n"/>
      <c r="P3382" s="5" t="n"/>
      <c r="Q3382" s="5" t="n"/>
      <c r="R3382" s="4" t="n"/>
      <c r="S3382" s="4" t="n"/>
      <c r="T3382" s="5" t="n"/>
      <c r="U3382" s="8">
        <f>IF(AND(V3382=1,D3382&lt;&gt;""),IF(D3382&gt;=corte,TODAY()-D3382,""),"")</f>
        <v/>
      </c>
      <c r="V3382" s="8">
        <f>IF(D3382="",0,IF(OR(AND(P3382&lt;&gt;"",S3382=""),AND(N(J3382)&gt;0,N(K3382)&lt;J3382),OR(M3382="PENDENTE",M3382="PARCIAL"),OR(N3382="PENDENTE",N3382="PARCIAL")),1,0))</f>
        <v/>
      </c>
      <c r="W3382" s="8">
        <f>IF(AND(V3382=1,D3382&lt;&gt;""),IF(D3382&gt;=corte,(B3382="CRÍTICO")*1E9+(100000-D3382)*10000+10000-ROW(),""),"")</f>
        <v/>
      </c>
      <c r="X3382" s="8">
        <f>IF(AND(V3382=1,D3382=pas_data,E3382=pas_turno),10000-ROW(),"")</f>
        <v/>
      </c>
    </row>
    <row r="3383">
      <c r="A3383" s="3">
        <f>IF(D3383="","","TT-"&amp;TEXT(ROW()-1,"00000"))</f>
        <v/>
      </c>
      <c r="B3383" s="3">
        <f>IF(D3383="","",IF(V3383=0,"CONCLUÍDO",IF(D3383&lt;corte,"HISTÓRICO",IF(OR(AND(ISNUMBER(R3383),R3383&lt;TODAY()),AND(OR(N3383="PENDENTE",N3383="PARCIAL"),D3383&lt;TODAY()-1)),"CRÍTICO",IF(OR(AND(P3383&lt;&gt;"",S3383=""),AND(N3383="REALIZADO",M3383="PENDENTE"),AND(ISNUMBER(R3383),R3383=TODAY())),"ATENÇÃO",IF(N(K3383)=0,"PENDENTE","EM ANDAMENTO"))))))</f>
        <v/>
      </c>
      <c r="C3383" s="3">
        <f>IF(D3383="","",IF(V3383=0,"🟢 OK",IF(D3383&lt;corte,"⚪ HISTÓRICO (sem baixa)",IF(AND(ISNUMBER(R3383),R3383&lt;TODAY()),"🔴 PRAZO VENCIDO",IF(AND(OR(N3383="PENDENTE",N3383="PARCIAL"),D3383&lt;TODAY()-1),"🔴 EMBARQUE ATRASADO",IF(AND(N3383="REALIZADO",M3383="PENDENTE"),"🟡 EMBARCADO SEM FATURAR",IF(AND(P3383&lt;&gt;"",S3383="",OR(Q3383="",R3383="")),"🟡 PENDÊNCIA SEM RESPONSÁVEL/PRAZO",IF(AND(ISNUMBER(R3383),R3383=TODAY()),"🟡 VENCE HOJE",IF(AND(P3383&lt;&gt;"",S3383=""),"🟡 PENDÊNCIA ABERTA",IF(AND(N(J3383)&gt;0,N(K3383)&lt;J3383),"🟡 FALTA EXECUTAR",IF(OR(M3383="PENDENTE",M3383="PARCIAL"),"🟡 FATURAMENTO PENDENTE","🟡 EMBARQUE PENDENTE")))))))))))</f>
        <v/>
      </c>
      <c r="D3383" s="4" t="n"/>
      <c r="E3383" s="5" t="n"/>
      <c r="F3383" s="5" t="n"/>
      <c r="G3383" s="5" t="n"/>
      <c r="H3383" s="5" t="n"/>
      <c r="I3383" s="5" t="n"/>
      <c r="J3383" s="6" t="n"/>
      <c r="K3383" s="6" t="n"/>
      <c r="L3383" s="7">
        <f>IF(OR(D3383="",N(J3383)=0),"",MIN(1,N(K3383)/J3383))</f>
        <v/>
      </c>
      <c r="M3383" s="5" t="n"/>
      <c r="N3383" s="5" t="n"/>
      <c r="O3383" s="5" t="n"/>
      <c r="P3383" s="5" t="n"/>
      <c r="Q3383" s="5" t="n"/>
      <c r="R3383" s="4" t="n"/>
      <c r="S3383" s="4" t="n"/>
      <c r="T3383" s="5" t="n"/>
      <c r="U3383" s="8">
        <f>IF(AND(V3383=1,D3383&lt;&gt;""),IF(D3383&gt;=corte,TODAY()-D3383,""),"")</f>
        <v/>
      </c>
      <c r="V3383" s="8">
        <f>IF(D3383="",0,IF(OR(AND(P3383&lt;&gt;"",S3383=""),AND(N(J3383)&gt;0,N(K3383)&lt;J3383),OR(M3383="PENDENTE",M3383="PARCIAL"),OR(N3383="PENDENTE",N3383="PARCIAL")),1,0))</f>
        <v/>
      </c>
      <c r="W3383" s="8">
        <f>IF(AND(V3383=1,D3383&lt;&gt;""),IF(D3383&gt;=corte,(B3383="CRÍTICO")*1E9+(100000-D3383)*10000+10000-ROW(),""),"")</f>
        <v/>
      </c>
      <c r="X3383" s="8">
        <f>IF(AND(V3383=1,D3383=pas_data,E3383=pas_turno),10000-ROW(),"")</f>
        <v/>
      </c>
    </row>
    <row r="3384">
      <c r="A3384" s="3">
        <f>IF(D3384="","","TT-"&amp;TEXT(ROW()-1,"00000"))</f>
        <v/>
      </c>
      <c r="B3384" s="3">
        <f>IF(D3384="","",IF(V3384=0,"CONCLUÍDO",IF(D3384&lt;corte,"HISTÓRICO",IF(OR(AND(ISNUMBER(R3384),R3384&lt;TODAY()),AND(OR(N3384="PENDENTE",N3384="PARCIAL"),D3384&lt;TODAY()-1)),"CRÍTICO",IF(OR(AND(P3384&lt;&gt;"",S3384=""),AND(N3384="REALIZADO",M3384="PENDENTE"),AND(ISNUMBER(R3384),R3384=TODAY())),"ATENÇÃO",IF(N(K3384)=0,"PENDENTE","EM ANDAMENTO"))))))</f>
        <v/>
      </c>
      <c r="C3384" s="3">
        <f>IF(D3384="","",IF(V3384=0,"🟢 OK",IF(D3384&lt;corte,"⚪ HISTÓRICO (sem baixa)",IF(AND(ISNUMBER(R3384),R3384&lt;TODAY()),"🔴 PRAZO VENCIDO",IF(AND(OR(N3384="PENDENTE",N3384="PARCIAL"),D3384&lt;TODAY()-1),"🔴 EMBARQUE ATRASADO",IF(AND(N3384="REALIZADO",M3384="PENDENTE"),"🟡 EMBARCADO SEM FATURAR",IF(AND(P3384&lt;&gt;"",S3384="",OR(Q3384="",R3384="")),"🟡 PENDÊNCIA SEM RESPONSÁVEL/PRAZO",IF(AND(ISNUMBER(R3384),R3384=TODAY()),"🟡 VENCE HOJE",IF(AND(P3384&lt;&gt;"",S3384=""),"🟡 PENDÊNCIA ABERTA",IF(AND(N(J3384)&gt;0,N(K3384)&lt;J3384),"🟡 FALTA EXECUTAR",IF(OR(M3384="PENDENTE",M3384="PARCIAL"),"🟡 FATURAMENTO PENDENTE","🟡 EMBARQUE PENDENTE")))))))))))</f>
        <v/>
      </c>
      <c r="D3384" s="4" t="n"/>
      <c r="E3384" s="5" t="n"/>
      <c r="F3384" s="5" t="n"/>
      <c r="G3384" s="5" t="n"/>
      <c r="H3384" s="5" t="n"/>
      <c r="I3384" s="5" t="n"/>
      <c r="J3384" s="6" t="n"/>
      <c r="K3384" s="6" t="n"/>
      <c r="L3384" s="7">
        <f>IF(OR(D3384="",N(J3384)=0),"",MIN(1,N(K3384)/J3384))</f>
        <v/>
      </c>
      <c r="M3384" s="5" t="n"/>
      <c r="N3384" s="5" t="n"/>
      <c r="O3384" s="5" t="n"/>
      <c r="P3384" s="5" t="n"/>
      <c r="Q3384" s="5" t="n"/>
      <c r="R3384" s="4" t="n"/>
      <c r="S3384" s="4" t="n"/>
      <c r="T3384" s="5" t="n"/>
      <c r="U3384" s="8">
        <f>IF(AND(V3384=1,D3384&lt;&gt;""),IF(D3384&gt;=corte,TODAY()-D3384,""),"")</f>
        <v/>
      </c>
      <c r="V3384" s="8">
        <f>IF(D3384="",0,IF(OR(AND(P3384&lt;&gt;"",S3384=""),AND(N(J3384)&gt;0,N(K3384)&lt;J3384),OR(M3384="PENDENTE",M3384="PARCIAL"),OR(N3384="PENDENTE",N3384="PARCIAL")),1,0))</f>
        <v/>
      </c>
      <c r="W3384" s="8">
        <f>IF(AND(V3384=1,D3384&lt;&gt;""),IF(D3384&gt;=corte,(B3384="CRÍTICO")*1E9+(100000-D3384)*10000+10000-ROW(),""),"")</f>
        <v/>
      </c>
      <c r="X3384" s="8">
        <f>IF(AND(V3384=1,D3384=pas_data,E3384=pas_turno),10000-ROW(),"")</f>
        <v/>
      </c>
    </row>
    <row r="3385">
      <c r="A3385" s="3">
        <f>IF(D3385="","","TT-"&amp;TEXT(ROW()-1,"00000"))</f>
        <v/>
      </c>
      <c r="B3385" s="3">
        <f>IF(D3385="","",IF(V3385=0,"CONCLUÍDO",IF(D3385&lt;corte,"HISTÓRICO",IF(OR(AND(ISNUMBER(R3385),R3385&lt;TODAY()),AND(OR(N3385="PENDENTE",N3385="PARCIAL"),D3385&lt;TODAY()-1)),"CRÍTICO",IF(OR(AND(P3385&lt;&gt;"",S3385=""),AND(N3385="REALIZADO",M3385="PENDENTE"),AND(ISNUMBER(R3385),R3385=TODAY())),"ATENÇÃO",IF(N(K3385)=0,"PENDENTE","EM ANDAMENTO"))))))</f>
        <v/>
      </c>
      <c r="C3385" s="3">
        <f>IF(D3385="","",IF(V3385=0,"🟢 OK",IF(D3385&lt;corte,"⚪ HISTÓRICO (sem baixa)",IF(AND(ISNUMBER(R3385),R3385&lt;TODAY()),"🔴 PRAZO VENCIDO",IF(AND(OR(N3385="PENDENTE",N3385="PARCIAL"),D3385&lt;TODAY()-1),"🔴 EMBARQUE ATRASADO",IF(AND(N3385="REALIZADO",M3385="PENDENTE"),"🟡 EMBARCADO SEM FATURAR",IF(AND(P3385&lt;&gt;"",S3385="",OR(Q3385="",R3385="")),"🟡 PENDÊNCIA SEM RESPONSÁVEL/PRAZO",IF(AND(ISNUMBER(R3385),R3385=TODAY()),"🟡 VENCE HOJE",IF(AND(P3385&lt;&gt;"",S3385=""),"🟡 PENDÊNCIA ABERTA",IF(AND(N(J3385)&gt;0,N(K3385)&lt;J3385),"🟡 FALTA EXECUTAR",IF(OR(M3385="PENDENTE",M3385="PARCIAL"),"🟡 FATURAMENTO PENDENTE","🟡 EMBARQUE PENDENTE")))))))))))</f>
        <v/>
      </c>
      <c r="D3385" s="4" t="n"/>
      <c r="E3385" s="5" t="n"/>
      <c r="F3385" s="5" t="n"/>
      <c r="G3385" s="5" t="n"/>
      <c r="H3385" s="5" t="n"/>
      <c r="I3385" s="5" t="n"/>
      <c r="J3385" s="6" t="n"/>
      <c r="K3385" s="6" t="n"/>
      <c r="L3385" s="7">
        <f>IF(OR(D3385="",N(J3385)=0),"",MIN(1,N(K3385)/J3385))</f>
        <v/>
      </c>
      <c r="M3385" s="5" t="n"/>
      <c r="N3385" s="5" t="n"/>
      <c r="O3385" s="5" t="n"/>
      <c r="P3385" s="5" t="n"/>
      <c r="Q3385" s="5" t="n"/>
      <c r="R3385" s="4" t="n"/>
      <c r="S3385" s="4" t="n"/>
      <c r="T3385" s="5" t="n"/>
      <c r="U3385" s="8">
        <f>IF(AND(V3385=1,D3385&lt;&gt;""),IF(D3385&gt;=corte,TODAY()-D3385,""),"")</f>
        <v/>
      </c>
      <c r="V3385" s="8">
        <f>IF(D3385="",0,IF(OR(AND(P3385&lt;&gt;"",S3385=""),AND(N(J3385)&gt;0,N(K3385)&lt;J3385),OR(M3385="PENDENTE",M3385="PARCIAL"),OR(N3385="PENDENTE",N3385="PARCIAL")),1,0))</f>
        <v/>
      </c>
      <c r="W3385" s="8">
        <f>IF(AND(V3385=1,D3385&lt;&gt;""),IF(D3385&gt;=corte,(B3385="CRÍTICO")*1E9+(100000-D3385)*10000+10000-ROW(),""),"")</f>
        <v/>
      </c>
      <c r="X3385" s="8">
        <f>IF(AND(V3385=1,D3385=pas_data,E3385=pas_turno),10000-ROW(),"")</f>
        <v/>
      </c>
    </row>
    <row r="3386">
      <c r="A3386" s="3">
        <f>IF(D3386="","","TT-"&amp;TEXT(ROW()-1,"00000"))</f>
        <v/>
      </c>
      <c r="B3386" s="3">
        <f>IF(D3386="","",IF(V3386=0,"CONCLUÍDO",IF(D3386&lt;corte,"HISTÓRICO",IF(OR(AND(ISNUMBER(R3386),R3386&lt;TODAY()),AND(OR(N3386="PENDENTE",N3386="PARCIAL"),D3386&lt;TODAY()-1)),"CRÍTICO",IF(OR(AND(P3386&lt;&gt;"",S3386=""),AND(N3386="REALIZADO",M3386="PENDENTE"),AND(ISNUMBER(R3386),R3386=TODAY())),"ATENÇÃO",IF(N(K3386)=0,"PENDENTE","EM ANDAMENTO"))))))</f>
        <v/>
      </c>
      <c r="C3386" s="3">
        <f>IF(D3386="","",IF(V3386=0,"🟢 OK",IF(D3386&lt;corte,"⚪ HISTÓRICO (sem baixa)",IF(AND(ISNUMBER(R3386),R3386&lt;TODAY()),"🔴 PRAZO VENCIDO",IF(AND(OR(N3386="PENDENTE",N3386="PARCIAL"),D3386&lt;TODAY()-1),"🔴 EMBARQUE ATRASADO",IF(AND(N3386="REALIZADO",M3386="PENDENTE"),"🟡 EMBARCADO SEM FATURAR",IF(AND(P3386&lt;&gt;"",S3386="",OR(Q3386="",R3386="")),"🟡 PENDÊNCIA SEM RESPONSÁVEL/PRAZO",IF(AND(ISNUMBER(R3386),R3386=TODAY()),"🟡 VENCE HOJE",IF(AND(P3386&lt;&gt;"",S3386=""),"🟡 PENDÊNCIA ABERTA",IF(AND(N(J3386)&gt;0,N(K3386)&lt;J3386),"🟡 FALTA EXECUTAR",IF(OR(M3386="PENDENTE",M3386="PARCIAL"),"🟡 FATURAMENTO PENDENTE","🟡 EMBARQUE PENDENTE")))))))))))</f>
        <v/>
      </c>
      <c r="D3386" s="4" t="n"/>
      <c r="E3386" s="5" t="n"/>
      <c r="F3386" s="5" t="n"/>
      <c r="G3386" s="5" t="n"/>
      <c r="H3386" s="5" t="n"/>
      <c r="I3386" s="5" t="n"/>
      <c r="J3386" s="6" t="n"/>
      <c r="K3386" s="6" t="n"/>
      <c r="L3386" s="7">
        <f>IF(OR(D3386="",N(J3386)=0),"",MIN(1,N(K3386)/J3386))</f>
        <v/>
      </c>
      <c r="M3386" s="5" t="n"/>
      <c r="N3386" s="5" t="n"/>
      <c r="O3386" s="5" t="n"/>
      <c r="P3386" s="5" t="n"/>
      <c r="Q3386" s="5" t="n"/>
      <c r="R3386" s="4" t="n"/>
      <c r="S3386" s="4" t="n"/>
      <c r="T3386" s="5" t="n"/>
      <c r="U3386" s="8">
        <f>IF(AND(V3386=1,D3386&lt;&gt;""),IF(D3386&gt;=corte,TODAY()-D3386,""),"")</f>
        <v/>
      </c>
      <c r="V3386" s="8">
        <f>IF(D3386="",0,IF(OR(AND(P3386&lt;&gt;"",S3386=""),AND(N(J3386)&gt;0,N(K3386)&lt;J3386),OR(M3386="PENDENTE",M3386="PARCIAL"),OR(N3386="PENDENTE",N3386="PARCIAL")),1,0))</f>
        <v/>
      </c>
      <c r="W3386" s="8">
        <f>IF(AND(V3386=1,D3386&lt;&gt;""),IF(D3386&gt;=corte,(B3386="CRÍTICO")*1E9+(100000-D3386)*10000+10000-ROW(),""),"")</f>
        <v/>
      </c>
      <c r="X3386" s="8">
        <f>IF(AND(V3386=1,D3386=pas_data,E3386=pas_turno),10000-ROW(),"")</f>
        <v/>
      </c>
    </row>
    <row r="3387">
      <c r="A3387" s="3">
        <f>IF(D3387="","","TT-"&amp;TEXT(ROW()-1,"00000"))</f>
        <v/>
      </c>
      <c r="B3387" s="3">
        <f>IF(D3387="","",IF(V3387=0,"CONCLUÍDO",IF(D3387&lt;corte,"HISTÓRICO",IF(OR(AND(ISNUMBER(R3387),R3387&lt;TODAY()),AND(OR(N3387="PENDENTE",N3387="PARCIAL"),D3387&lt;TODAY()-1)),"CRÍTICO",IF(OR(AND(P3387&lt;&gt;"",S3387=""),AND(N3387="REALIZADO",M3387="PENDENTE"),AND(ISNUMBER(R3387),R3387=TODAY())),"ATENÇÃO",IF(N(K3387)=0,"PENDENTE","EM ANDAMENTO"))))))</f>
        <v/>
      </c>
      <c r="C3387" s="3">
        <f>IF(D3387="","",IF(V3387=0,"🟢 OK",IF(D3387&lt;corte,"⚪ HISTÓRICO (sem baixa)",IF(AND(ISNUMBER(R3387),R3387&lt;TODAY()),"🔴 PRAZO VENCIDO",IF(AND(OR(N3387="PENDENTE",N3387="PARCIAL"),D3387&lt;TODAY()-1),"🔴 EMBARQUE ATRASADO",IF(AND(N3387="REALIZADO",M3387="PENDENTE"),"🟡 EMBARCADO SEM FATURAR",IF(AND(P3387&lt;&gt;"",S3387="",OR(Q3387="",R3387="")),"🟡 PENDÊNCIA SEM RESPONSÁVEL/PRAZO",IF(AND(ISNUMBER(R3387),R3387=TODAY()),"🟡 VENCE HOJE",IF(AND(P3387&lt;&gt;"",S3387=""),"🟡 PENDÊNCIA ABERTA",IF(AND(N(J3387)&gt;0,N(K3387)&lt;J3387),"🟡 FALTA EXECUTAR",IF(OR(M3387="PENDENTE",M3387="PARCIAL"),"🟡 FATURAMENTO PENDENTE","🟡 EMBARQUE PENDENTE")))))))))))</f>
        <v/>
      </c>
      <c r="D3387" s="4" t="n"/>
      <c r="E3387" s="5" t="n"/>
      <c r="F3387" s="5" t="n"/>
      <c r="G3387" s="5" t="n"/>
      <c r="H3387" s="5" t="n"/>
      <c r="I3387" s="5" t="n"/>
      <c r="J3387" s="6" t="n"/>
      <c r="K3387" s="6" t="n"/>
      <c r="L3387" s="7">
        <f>IF(OR(D3387="",N(J3387)=0),"",MIN(1,N(K3387)/J3387))</f>
        <v/>
      </c>
      <c r="M3387" s="5" t="n"/>
      <c r="N3387" s="5" t="n"/>
      <c r="O3387" s="5" t="n"/>
      <c r="P3387" s="5" t="n"/>
      <c r="Q3387" s="5" t="n"/>
      <c r="R3387" s="4" t="n"/>
      <c r="S3387" s="4" t="n"/>
      <c r="T3387" s="5" t="n"/>
      <c r="U3387" s="8">
        <f>IF(AND(V3387=1,D3387&lt;&gt;""),IF(D3387&gt;=corte,TODAY()-D3387,""),"")</f>
        <v/>
      </c>
      <c r="V3387" s="8">
        <f>IF(D3387="",0,IF(OR(AND(P3387&lt;&gt;"",S3387=""),AND(N(J3387)&gt;0,N(K3387)&lt;J3387),OR(M3387="PENDENTE",M3387="PARCIAL"),OR(N3387="PENDENTE",N3387="PARCIAL")),1,0))</f>
        <v/>
      </c>
      <c r="W3387" s="8">
        <f>IF(AND(V3387=1,D3387&lt;&gt;""),IF(D3387&gt;=corte,(B3387="CRÍTICO")*1E9+(100000-D3387)*10000+10000-ROW(),""),"")</f>
        <v/>
      </c>
      <c r="X3387" s="8">
        <f>IF(AND(V3387=1,D3387=pas_data,E3387=pas_turno),10000-ROW(),"")</f>
        <v/>
      </c>
    </row>
    <row r="3388">
      <c r="A3388" s="3">
        <f>IF(D3388="","","TT-"&amp;TEXT(ROW()-1,"00000"))</f>
        <v/>
      </c>
      <c r="B3388" s="3">
        <f>IF(D3388="","",IF(V3388=0,"CONCLUÍDO",IF(D3388&lt;corte,"HISTÓRICO",IF(OR(AND(ISNUMBER(R3388),R3388&lt;TODAY()),AND(OR(N3388="PENDENTE",N3388="PARCIAL"),D3388&lt;TODAY()-1)),"CRÍTICO",IF(OR(AND(P3388&lt;&gt;"",S3388=""),AND(N3388="REALIZADO",M3388="PENDENTE"),AND(ISNUMBER(R3388),R3388=TODAY())),"ATENÇÃO",IF(N(K3388)=0,"PENDENTE","EM ANDAMENTO"))))))</f>
        <v/>
      </c>
      <c r="C3388" s="3">
        <f>IF(D3388="","",IF(V3388=0,"🟢 OK",IF(D3388&lt;corte,"⚪ HISTÓRICO (sem baixa)",IF(AND(ISNUMBER(R3388),R3388&lt;TODAY()),"🔴 PRAZO VENCIDO",IF(AND(OR(N3388="PENDENTE",N3388="PARCIAL"),D3388&lt;TODAY()-1),"🔴 EMBARQUE ATRASADO",IF(AND(N3388="REALIZADO",M3388="PENDENTE"),"🟡 EMBARCADO SEM FATURAR",IF(AND(P3388&lt;&gt;"",S3388="",OR(Q3388="",R3388="")),"🟡 PENDÊNCIA SEM RESPONSÁVEL/PRAZO",IF(AND(ISNUMBER(R3388),R3388=TODAY()),"🟡 VENCE HOJE",IF(AND(P3388&lt;&gt;"",S3388=""),"🟡 PENDÊNCIA ABERTA",IF(AND(N(J3388)&gt;0,N(K3388)&lt;J3388),"🟡 FALTA EXECUTAR",IF(OR(M3388="PENDENTE",M3388="PARCIAL"),"🟡 FATURAMENTO PENDENTE","🟡 EMBARQUE PENDENTE")))))))))))</f>
        <v/>
      </c>
      <c r="D3388" s="4" t="n"/>
      <c r="E3388" s="5" t="n"/>
      <c r="F3388" s="5" t="n"/>
      <c r="G3388" s="5" t="n"/>
      <c r="H3388" s="5" t="n"/>
      <c r="I3388" s="5" t="n"/>
      <c r="J3388" s="6" t="n"/>
      <c r="K3388" s="6" t="n"/>
      <c r="L3388" s="7">
        <f>IF(OR(D3388="",N(J3388)=0),"",MIN(1,N(K3388)/J3388))</f>
        <v/>
      </c>
      <c r="M3388" s="5" t="n"/>
      <c r="N3388" s="5" t="n"/>
      <c r="O3388" s="5" t="n"/>
      <c r="P3388" s="5" t="n"/>
      <c r="Q3388" s="5" t="n"/>
      <c r="R3388" s="4" t="n"/>
      <c r="S3388" s="4" t="n"/>
      <c r="T3388" s="5" t="n"/>
      <c r="U3388" s="8">
        <f>IF(AND(V3388=1,D3388&lt;&gt;""),IF(D3388&gt;=corte,TODAY()-D3388,""),"")</f>
        <v/>
      </c>
      <c r="V3388" s="8">
        <f>IF(D3388="",0,IF(OR(AND(P3388&lt;&gt;"",S3388=""),AND(N(J3388)&gt;0,N(K3388)&lt;J3388),OR(M3388="PENDENTE",M3388="PARCIAL"),OR(N3388="PENDENTE",N3388="PARCIAL")),1,0))</f>
        <v/>
      </c>
      <c r="W3388" s="8">
        <f>IF(AND(V3388=1,D3388&lt;&gt;""),IF(D3388&gt;=corte,(B3388="CRÍTICO")*1E9+(100000-D3388)*10000+10000-ROW(),""),"")</f>
        <v/>
      </c>
      <c r="X3388" s="8">
        <f>IF(AND(V3388=1,D3388=pas_data,E3388=pas_turno),10000-ROW(),"")</f>
        <v/>
      </c>
    </row>
    <row r="3389">
      <c r="A3389" s="3">
        <f>IF(D3389="","","TT-"&amp;TEXT(ROW()-1,"00000"))</f>
        <v/>
      </c>
      <c r="B3389" s="3">
        <f>IF(D3389="","",IF(V3389=0,"CONCLUÍDO",IF(D3389&lt;corte,"HISTÓRICO",IF(OR(AND(ISNUMBER(R3389),R3389&lt;TODAY()),AND(OR(N3389="PENDENTE",N3389="PARCIAL"),D3389&lt;TODAY()-1)),"CRÍTICO",IF(OR(AND(P3389&lt;&gt;"",S3389=""),AND(N3389="REALIZADO",M3389="PENDENTE"),AND(ISNUMBER(R3389),R3389=TODAY())),"ATENÇÃO",IF(N(K3389)=0,"PENDENTE","EM ANDAMENTO"))))))</f>
        <v/>
      </c>
      <c r="C3389" s="3">
        <f>IF(D3389="","",IF(V3389=0,"🟢 OK",IF(D3389&lt;corte,"⚪ HISTÓRICO (sem baixa)",IF(AND(ISNUMBER(R3389),R3389&lt;TODAY()),"🔴 PRAZO VENCIDO",IF(AND(OR(N3389="PENDENTE",N3389="PARCIAL"),D3389&lt;TODAY()-1),"🔴 EMBARQUE ATRASADO",IF(AND(N3389="REALIZADO",M3389="PENDENTE"),"🟡 EMBARCADO SEM FATURAR",IF(AND(P3389&lt;&gt;"",S3389="",OR(Q3389="",R3389="")),"🟡 PENDÊNCIA SEM RESPONSÁVEL/PRAZO",IF(AND(ISNUMBER(R3389),R3389=TODAY()),"🟡 VENCE HOJE",IF(AND(P3389&lt;&gt;"",S3389=""),"🟡 PENDÊNCIA ABERTA",IF(AND(N(J3389)&gt;0,N(K3389)&lt;J3389),"🟡 FALTA EXECUTAR",IF(OR(M3389="PENDENTE",M3389="PARCIAL"),"🟡 FATURAMENTO PENDENTE","🟡 EMBARQUE PENDENTE")))))))))))</f>
        <v/>
      </c>
      <c r="D3389" s="4" t="n"/>
      <c r="E3389" s="5" t="n"/>
      <c r="F3389" s="5" t="n"/>
      <c r="G3389" s="5" t="n"/>
      <c r="H3389" s="5" t="n"/>
      <c r="I3389" s="5" t="n"/>
      <c r="J3389" s="6" t="n"/>
      <c r="K3389" s="6" t="n"/>
      <c r="L3389" s="7">
        <f>IF(OR(D3389="",N(J3389)=0),"",MIN(1,N(K3389)/J3389))</f>
        <v/>
      </c>
      <c r="M3389" s="5" t="n"/>
      <c r="N3389" s="5" t="n"/>
      <c r="O3389" s="5" t="n"/>
      <c r="P3389" s="5" t="n"/>
      <c r="Q3389" s="5" t="n"/>
      <c r="R3389" s="4" t="n"/>
      <c r="S3389" s="4" t="n"/>
      <c r="T3389" s="5" t="n"/>
      <c r="U3389" s="8">
        <f>IF(AND(V3389=1,D3389&lt;&gt;""),IF(D3389&gt;=corte,TODAY()-D3389,""),"")</f>
        <v/>
      </c>
      <c r="V3389" s="8">
        <f>IF(D3389="",0,IF(OR(AND(P3389&lt;&gt;"",S3389=""),AND(N(J3389)&gt;0,N(K3389)&lt;J3389),OR(M3389="PENDENTE",M3389="PARCIAL"),OR(N3389="PENDENTE",N3389="PARCIAL")),1,0))</f>
        <v/>
      </c>
      <c r="W3389" s="8">
        <f>IF(AND(V3389=1,D3389&lt;&gt;""),IF(D3389&gt;=corte,(B3389="CRÍTICO")*1E9+(100000-D3389)*10000+10000-ROW(),""),"")</f>
        <v/>
      </c>
      <c r="X3389" s="8">
        <f>IF(AND(V3389=1,D3389=pas_data,E3389=pas_turno),10000-ROW(),"")</f>
        <v/>
      </c>
    </row>
    <row r="3390">
      <c r="A3390" s="3">
        <f>IF(D3390="","","TT-"&amp;TEXT(ROW()-1,"00000"))</f>
        <v/>
      </c>
      <c r="B3390" s="3">
        <f>IF(D3390="","",IF(V3390=0,"CONCLUÍDO",IF(D3390&lt;corte,"HISTÓRICO",IF(OR(AND(ISNUMBER(R3390),R3390&lt;TODAY()),AND(OR(N3390="PENDENTE",N3390="PARCIAL"),D3390&lt;TODAY()-1)),"CRÍTICO",IF(OR(AND(P3390&lt;&gt;"",S3390=""),AND(N3390="REALIZADO",M3390="PENDENTE"),AND(ISNUMBER(R3390),R3390=TODAY())),"ATENÇÃO",IF(N(K3390)=0,"PENDENTE","EM ANDAMENTO"))))))</f>
        <v/>
      </c>
      <c r="C3390" s="3">
        <f>IF(D3390="","",IF(V3390=0,"🟢 OK",IF(D3390&lt;corte,"⚪ HISTÓRICO (sem baixa)",IF(AND(ISNUMBER(R3390),R3390&lt;TODAY()),"🔴 PRAZO VENCIDO",IF(AND(OR(N3390="PENDENTE",N3390="PARCIAL"),D3390&lt;TODAY()-1),"🔴 EMBARQUE ATRASADO",IF(AND(N3390="REALIZADO",M3390="PENDENTE"),"🟡 EMBARCADO SEM FATURAR",IF(AND(P3390&lt;&gt;"",S3390="",OR(Q3390="",R3390="")),"🟡 PENDÊNCIA SEM RESPONSÁVEL/PRAZO",IF(AND(ISNUMBER(R3390),R3390=TODAY()),"🟡 VENCE HOJE",IF(AND(P3390&lt;&gt;"",S3390=""),"🟡 PENDÊNCIA ABERTA",IF(AND(N(J3390)&gt;0,N(K3390)&lt;J3390),"🟡 FALTA EXECUTAR",IF(OR(M3390="PENDENTE",M3390="PARCIAL"),"🟡 FATURAMENTO PENDENTE","🟡 EMBARQUE PENDENTE")))))))))))</f>
        <v/>
      </c>
      <c r="D3390" s="4" t="n"/>
      <c r="E3390" s="5" t="n"/>
      <c r="F3390" s="5" t="n"/>
      <c r="G3390" s="5" t="n"/>
      <c r="H3390" s="5" t="n"/>
      <c r="I3390" s="5" t="n"/>
      <c r="J3390" s="6" t="n"/>
      <c r="K3390" s="6" t="n"/>
      <c r="L3390" s="7">
        <f>IF(OR(D3390="",N(J3390)=0),"",MIN(1,N(K3390)/J3390))</f>
        <v/>
      </c>
      <c r="M3390" s="5" t="n"/>
      <c r="N3390" s="5" t="n"/>
      <c r="O3390" s="5" t="n"/>
      <c r="P3390" s="5" t="n"/>
      <c r="Q3390" s="5" t="n"/>
      <c r="R3390" s="4" t="n"/>
      <c r="S3390" s="4" t="n"/>
      <c r="T3390" s="5" t="n"/>
      <c r="U3390" s="8">
        <f>IF(AND(V3390=1,D3390&lt;&gt;""),IF(D3390&gt;=corte,TODAY()-D3390,""),"")</f>
        <v/>
      </c>
      <c r="V3390" s="8">
        <f>IF(D3390="",0,IF(OR(AND(P3390&lt;&gt;"",S3390=""),AND(N(J3390)&gt;0,N(K3390)&lt;J3390),OR(M3390="PENDENTE",M3390="PARCIAL"),OR(N3390="PENDENTE",N3390="PARCIAL")),1,0))</f>
        <v/>
      </c>
      <c r="W3390" s="8">
        <f>IF(AND(V3390=1,D3390&lt;&gt;""),IF(D3390&gt;=corte,(B3390="CRÍTICO")*1E9+(100000-D3390)*10000+10000-ROW(),""),"")</f>
        <v/>
      </c>
      <c r="X3390" s="8">
        <f>IF(AND(V3390=1,D3390=pas_data,E3390=pas_turno),10000-ROW(),"")</f>
        <v/>
      </c>
    </row>
    <row r="3391">
      <c r="A3391" s="3">
        <f>IF(D3391="","","TT-"&amp;TEXT(ROW()-1,"00000"))</f>
        <v/>
      </c>
      <c r="B3391" s="3">
        <f>IF(D3391="","",IF(V3391=0,"CONCLUÍDO",IF(D3391&lt;corte,"HISTÓRICO",IF(OR(AND(ISNUMBER(R3391),R3391&lt;TODAY()),AND(OR(N3391="PENDENTE",N3391="PARCIAL"),D3391&lt;TODAY()-1)),"CRÍTICO",IF(OR(AND(P3391&lt;&gt;"",S3391=""),AND(N3391="REALIZADO",M3391="PENDENTE"),AND(ISNUMBER(R3391),R3391=TODAY())),"ATENÇÃO",IF(N(K3391)=0,"PENDENTE","EM ANDAMENTO"))))))</f>
        <v/>
      </c>
      <c r="C3391" s="3">
        <f>IF(D3391="","",IF(V3391=0,"🟢 OK",IF(D3391&lt;corte,"⚪ HISTÓRICO (sem baixa)",IF(AND(ISNUMBER(R3391),R3391&lt;TODAY()),"🔴 PRAZO VENCIDO",IF(AND(OR(N3391="PENDENTE",N3391="PARCIAL"),D3391&lt;TODAY()-1),"🔴 EMBARQUE ATRASADO",IF(AND(N3391="REALIZADO",M3391="PENDENTE"),"🟡 EMBARCADO SEM FATURAR",IF(AND(P3391&lt;&gt;"",S3391="",OR(Q3391="",R3391="")),"🟡 PENDÊNCIA SEM RESPONSÁVEL/PRAZO",IF(AND(ISNUMBER(R3391),R3391=TODAY()),"🟡 VENCE HOJE",IF(AND(P3391&lt;&gt;"",S3391=""),"🟡 PENDÊNCIA ABERTA",IF(AND(N(J3391)&gt;0,N(K3391)&lt;J3391),"🟡 FALTA EXECUTAR",IF(OR(M3391="PENDENTE",M3391="PARCIAL"),"🟡 FATURAMENTO PENDENTE","🟡 EMBARQUE PENDENTE")))))))))))</f>
        <v/>
      </c>
      <c r="D3391" s="4" t="n"/>
      <c r="E3391" s="5" t="n"/>
      <c r="F3391" s="5" t="n"/>
      <c r="G3391" s="5" t="n"/>
      <c r="H3391" s="5" t="n"/>
      <c r="I3391" s="5" t="n"/>
      <c r="J3391" s="6" t="n"/>
      <c r="K3391" s="6" t="n"/>
      <c r="L3391" s="7">
        <f>IF(OR(D3391="",N(J3391)=0),"",MIN(1,N(K3391)/J3391))</f>
        <v/>
      </c>
      <c r="M3391" s="5" t="n"/>
      <c r="N3391" s="5" t="n"/>
      <c r="O3391" s="5" t="n"/>
      <c r="P3391" s="5" t="n"/>
      <c r="Q3391" s="5" t="n"/>
      <c r="R3391" s="4" t="n"/>
      <c r="S3391" s="4" t="n"/>
      <c r="T3391" s="5" t="n"/>
      <c r="U3391" s="8">
        <f>IF(AND(V3391=1,D3391&lt;&gt;""),IF(D3391&gt;=corte,TODAY()-D3391,""),"")</f>
        <v/>
      </c>
      <c r="V3391" s="8">
        <f>IF(D3391="",0,IF(OR(AND(P3391&lt;&gt;"",S3391=""),AND(N(J3391)&gt;0,N(K3391)&lt;J3391),OR(M3391="PENDENTE",M3391="PARCIAL"),OR(N3391="PENDENTE",N3391="PARCIAL")),1,0))</f>
        <v/>
      </c>
      <c r="W3391" s="8">
        <f>IF(AND(V3391=1,D3391&lt;&gt;""),IF(D3391&gt;=corte,(B3391="CRÍTICO")*1E9+(100000-D3391)*10000+10000-ROW(),""),"")</f>
        <v/>
      </c>
      <c r="X3391" s="8">
        <f>IF(AND(V3391=1,D3391=pas_data,E3391=pas_turno),10000-ROW(),"")</f>
        <v/>
      </c>
    </row>
    <row r="3392">
      <c r="A3392" s="3">
        <f>IF(D3392="","","TT-"&amp;TEXT(ROW()-1,"00000"))</f>
        <v/>
      </c>
      <c r="B3392" s="3">
        <f>IF(D3392="","",IF(V3392=0,"CONCLUÍDO",IF(D3392&lt;corte,"HISTÓRICO",IF(OR(AND(ISNUMBER(R3392),R3392&lt;TODAY()),AND(OR(N3392="PENDENTE",N3392="PARCIAL"),D3392&lt;TODAY()-1)),"CRÍTICO",IF(OR(AND(P3392&lt;&gt;"",S3392=""),AND(N3392="REALIZADO",M3392="PENDENTE"),AND(ISNUMBER(R3392),R3392=TODAY())),"ATENÇÃO",IF(N(K3392)=0,"PENDENTE","EM ANDAMENTO"))))))</f>
        <v/>
      </c>
      <c r="C3392" s="3">
        <f>IF(D3392="","",IF(V3392=0,"🟢 OK",IF(D3392&lt;corte,"⚪ HISTÓRICO (sem baixa)",IF(AND(ISNUMBER(R3392),R3392&lt;TODAY()),"🔴 PRAZO VENCIDO",IF(AND(OR(N3392="PENDENTE",N3392="PARCIAL"),D3392&lt;TODAY()-1),"🔴 EMBARQUE ATRASADO",IF(AND(N3392="REALIZADO",M3392="PENDENTE"),"🟡 EMBARCADO SEM FATURAR",IF(AND(P3392&lt;&gt;"",S3392="",OR(Q3392="",R3392="")),"🟡 PENDÊNCIA SEM RESPONSÁVEL/PRAZO",IF(AND(ISNUMBER(R3392),R3392=TODAY()),"🟡 VENCE HOJE",IF(AND(P3392&lt;&gt;"",S3392=""),"🟡 PENDÊNCIA ABERTA",IF(AND(N(J3392)&gt;0,N(K3392)&lt;J3392),"🟡 FALTA EXECUTAR",IF(OR(M3392="PENDENTE",M3392="PARCIAL"),"🟡 FATURAMENTO PENDENTE","🟡 EMBARQUE PENDENTE")))))))))))</f>
        <v/>
      </c>
      <c r="D3392" s="4" t="n"/>
      <c r="E3392" s="5" t="n"/>
      <c r="F3392" s="5" t="n"/>
      <c r="G3392" s="5" t="n"/>
      <c r="H3392" s="5" t="n"/>
      <c r="I3392" s="5" t="n"/>
      <c r="J3392" s="6" t="n"/>
      <c r="K3392" s="6" t="n"/>
      <c r="L3392" s="7">
        <f>IF(OR(D3392="",N(J3392)=0),"",MIN(1,N(K3392)/J3392))</f>
        <v/>
      </c>
      <c r="M3392" s="5" t="n"/>
      <c r="N3392" s="5" t="n"/>
      <c r="O3392" s="5" t="n"/>
      <c r="P3392" s="5" t="n"/>
      <c r="Q3392" s="5" t="n"/>
      <c r="R3392" s="4" t="n"/>
      <c r="S3392" s="4" t="n"/>
      <c r="T3392" s="5" t="n"/>
      <c r="U3392" s="8">
        <f>IF(AND(V3392=1,D3392&lt;&gt;""),IF(D3392&gt;=corte,TODAY()-D3392,""),"")</f>
        <v/>
      </c>
      <c r="V3392" s="8">
        <f>IF(D3392="",0,IF(OR(AND(P3392&lt;&gt;"",S3392=""),AND(N(J3392)&gt;0,N(K3392)&lt;J3392),OR(M3392="PENDENTE",M3392="PARCIAL"),OR(N3392="PENDENTE",N3392="PARCIAL")),1,0))</f>
        <v/>
      </c>
      <c r="W3392" s="8">
        <f>IF(AND(V3392=1,D3392&lt;&gt;""),IF(D3392&gt;=corte,(B3392="CRÍTICO")*1E9+(100000-D3392)*10000+10000-ROW(),""),"")</f>
        <v/>
      </c>
      <c r="X3392" s="8">
        <f>IF(AND(V3392=1,D3392=pas_data,E3392=pas_turno),10000-ROW(),"")</f>
        <v/>
      </c>
    </row>
    <row r="3393">
      <c r="A3393" s="3">
        <f>IF(D3393="","","TT-"&amp;TEXT(ROW()-1,"00000"))</f>
        <v/>
      </c>
      <c r="B3393" s="3">
        <f>IF(D3393="","",IF(V3393=0,"CONCLUÍDO",IF(D3393&lt;corte,"HISTÓRICO",IF(OR(AND(ISNUMBER(R3393),R3393&lt;TODAY()),AND(OR(N3393="PENDENTE",N3393="PARCIAL"),D3393&lt;TODAY()-1)),"CRÍTICO",IF(OR(AND(P3393&lt;&gt;"",S3393=""),AND(N3393="REALIZADO",M3393="PENDENTE"),AND(ISNUMBER(R3393),R3393=TODAY())),"ATENÇÃO",IF(N(K3393)=0,"PENDENTE","EM ANDAMENTO"))))))</f>
        <v/>
      </c>
      <c r="C3393" s="3">
        <f>IF(D3393="","",IF(V3393=0,"🟢 OK",IF(D3393&lt;corte,"⚪ HISTÓRICO (sem baixa)",IF(AND(ISNUMBER(R3393),R3393&lt;TODAY()),"🔴 PRAZO VENCIDO",IF(AND(OR(N3393="PENDENTE",N3393="PARCIAL"),D3393&lt;TODAY()-1),"🔴 EMBARQUE ATRASADO",IF(AND(N3393="REALIZADO",M3393="PENDENTE"),"🟡 EMBARCADO SEM FATURAR",IF(AND(P3393&lt;&gt;"",S3393="",OR(Q3393="",R3393="")),"🟡 PENDÊNCIA SEM RESPONSÁVEL/PRAZO",IF(AND(ISNUMBER(R3393),R3393=TODAY()),"🟡 VENCE HOJE",IF(AND(P3393&lt;&gt;"",S3393=""),"🟡 PENDÊNCIA ABERTA",IF(AND(N(J3393)&gt;0,N(K3393)&lt;J3393),"🟡 FALTA EXECUTAR",IF(OR(M3393="PENDENTE",M3393="PARCIAL"),"🟡 FATURAMENTO PENDENTE","🟡 EMBARQUE PENDENTE")))))))))))</f>
        <v/>
      </c>
      <c r="D3393" s="4" t="n"/>
      <c r="E3393" s="5" t="n"/>
      <c r="F3393" s="5" t="n"/>
      <c r="G3393" s="5" t="n"/>
      <c r="H3393" s="5" t="n"/>
      <c r="I3393" s="5" t="n"/>
      <c r="J3393" s="6" t="n"/>
      <c r="K3393" s="6" t="n"/>
      <c r="L3393" s="7">
        <f>IF(OR(D3393="",N(J3393)=0),"",MIN(1,N(K3393)/J3393))</f>
        <v/>
      </c>
      <c r="M3393" s="5" t="n"/>
      <c r="N3393" s="5" t="n"/>
      <c r="O3393" s="5" t="n"/>
      <c r="P3393" s="5" t="n"/>
      <c r="Q3393" s="5" t="n"/>
      <c r="R3393" s="4" t="n"/>
      <c r="S3393" s="4" t="n"/>
      <c r="T3393" s="5" t="n"/>
      <c r="U3393" s="8">
        <f>IF(AND(V3393=1,D3393&lt;&gt;""),IF(D3393&gt;=corte,TODAY()-D3393,""),"")</f>
        <v/>
      </c>
      <c r="V3393" s="8">
        <f>IF(D3393="",0,IF(OR(AND(P3393&lt;&gt;"",S3393=""),AND(N(J3393)&gt;0,N(K3393)&lt;J3393),OR(M3393="PENDENTE",M3393="PARCIAL"),OR(N3393="PENDENTE",N3393="PARCIAL")),1,0))</f>
        <v/>
      </c>
      <c r="W3393" s="8">
        <f>IF(AND(V3393=1,D3393&lt;&gt;""),IF(D3393&gt;=corte,(B3393="CRÍTICO")*1E9+(100000-D3393)*10000+10000-ROW(),""),"")</f>
        <v/>
      </c>
      <c r="X3393" s="8">
        <f>IF(AND(V3393=1,D3393=pas_data,E3393=pas_turno),10000-ROW(),"")</f>
        <v/>
      </c>
    </row>
    <row r="3394">
      <c r="A3394" s="3">
        <f>IF(D3394="","","TT-"&amp;TEXT(ROW()-1,"00000"))</f>
        <v/>
      </c>
      <c r="B3394" s="3">
        <f>IF(D3394="","",IF(V3394=0,"CONCLUÍDO",IF(D3394&lt;corte,"HISTÓRICO",IF(OR(AND(ISNUMBER(R3394),R3394&lt;TODAY()),AND(OR(N3394="PENDENTE",N3394="PARCIAL"),D3394&lt;TODAY()-1)),"CRÍTICO",IF(OR(AND(P3394&lt;&gt;"",S3394=""),AND(N3394="REALIZADO",M3394="PENDENTE"),AND(ISNUMBER(R3394),R3394=TODAY())),"ATENÇÃO",IF(N(K3394)=0,"PENDENTE","EM ANDAMENTO"))))))</f>
        <v/>
      </c>
      <c r="C3394" s="3">
        <f>IF(D3394="","",IF(V3394=0,"🟢 OK",IF(D3394&lt;corte,"⚪ HISTÓRICO (sem baixa)",IF(AND(ISNUMBER(R3394),R3394&lt;TODAY()),"🔴 PRAZO VENCIDO",IF(AND(OR(N3394="PENDENTE",N3394="PARCIAL"),D3394&lt;TODAY()-1),"🔴 EMBARQUE ATRASADO",IF(AND(N3394="REALIZADO",M3394="PENDENTE"),"🟡 EMBARCADO SEM FATURAR",IF(AND(P3394&lt;&gt;"",S3394="",OR(Q3394="",R3394="")),"🟡 PENDÊNCIA SEM RESPONSÁVEL/PRAZO",IF(AND(ISNUMBER(R3394),R3394=TODAY()),"🟡 VENCE HOJE",IF(AND(P3394&lt;&gt;"",S3394=""),"🟡 PENDÊNCIA ABERTA",IF(AND(N(J3394)&gt;0,N(K3394)&lt;J3394),"🟡 FALTA EXECUTAR",IF(OR(M3394="PENDENTE",M3394="PARCIAL"),"🟡 FATURAMENTO PENDENTE","🟡 EMBARQUE PENDENTE")))))))))))</f>
        <v/>
      </c>
      <c r="D3394" s="4" t="n"/>
      <c r="E3394" s="5" t="n"/>
      <c r="F3394" s="5" t="n"/>
      <c r="G3394" s="5" t="n"/>
      <c r="H3394" s="5" t="n"/>
      <c r="I3394" s="5" t="n"/>
      <c r="J3394" s="6" t="n"/>
      <c r="K3394" s="6" t="n"/>
      <c r="L3394" s="7">
        <f>IF(OR(D3394="",N(J3394)=0),"",MIN(1,N(K3394)/J3394))</f>
        <v/>
      </c>
      <c r="M3394" s="5" t="n"/>
      <c r="N3394" s="5" t="n"/>
      <c r="O3394" s="5" t="n"/>
      <c r="P3394" s="5" t="n"/>
      <c r="Q3394" s="5" t="n"/>
      <c r="R3394" s="4" t="n"/>
      <c r="S3394" s="4" t="n"/>
      <c r="T3394" s="5" t="n"/>
      <c r="U3394" s="8">
        <f>IF(AND(V3394=1,D3394&lt;&gt;""),IF(D3394&gt;=corte,TODAY()-D3394,""),"")</f>
        <v/>
      </c>
      <c r="V3394" s="8">
        <f>IF(D3394="",0,IF(OR(AND(P3394&lt;&gt;"",S3394=""),AND(N(J3394)&gt;0,N(K3394)&lt;J3394),OR(M3394="PENDENTE",M3394="PARCIAL"),OR(N3394="PENDENTE",N3394="PARCIAL")),1,0))</f>
        <v/>
      </c>
      <c r="W3394" s="8">
        <f>IF(AND(V3394=1,D3394&lt;&gt;""),IF(D3394&gt;=corte,(B3394="CRÍTICO")*1E9+(100000-D3394)*10000+10000-ROW(),""),"")</f>
        <v/>
      </c>
      <c r="X3394" s="8">
        <f>IF(AND(V3394=1,D3394=pas_data,E3394=pas_turno),10000-ROW(),"")</f>
        <v/>
      </c>
    </row>
    <row r="3395">
      <c r="A3395" s="3">
        <f>IF(D3395="","","TT-"&amp;TEXT(ROW()-1,"00000"))</f>
        <v/>
      </c>
      <c r="B3395" s="3">
        <f>IF(D3395="","",IF(V3395=0,"CONCLUÍDO",IF(D3395&lt;corte,"HISTÓRICO",IF(OR(AND(ISNUMBER(R3395),R3395&lt;TODAY()),AND(OR(N3395="PENDENTE",N3395="PARCIAL"),D3395&lt;TODAY()-1)),"CRÍTICO",IF(OR(AND(P3395&lt;&gt;"",S3395=""),AND(N3395="REALIZADO",M3395="PENDENTE"),AND(ISNUMBER(R3395),R3395=TODAY())),"ATENÇÃO",IF(N(K3395)=0,"PENDENTE","EM ANDAMENTO"))))))</f>
        <v/>
      </c>
      <c r="C3395" s="3">
        <f>IF(D3395="","",IF(V3395=0,"🟢 OK",IF(D3395&lt;corte,"⚪ HISTÓRICO (sem baixa)",IF(AND(ISNUMBER(R3395),R3395&lt;TODAY()),"🔴 PRAZO VENCIDO",IF(AND(OR(N3395="PENDENTE",N3395="PARCIAL"),D3395&lt;TODAY()-1),"🔴 EMBARQUE ATRASADO",IF(AND(N3395="REALIZADO",M3395="PENDENTE"),"🟡 EMBARCADO SEM FATURAR",IF(AND(P3395&lt;&gt;"",S3395="",OR(Q3395="",R3395="")),"🟡 PENDÊNCIA SEM RESPONSÁVEL/PRAZO",IF(AND(ISNUMBER(R3395),R3395=TODAY()),"🟡 VENCE HOJE",IF(AND(P3395&lt;&gt;"",S3395=""),"🟡 PENDÊNCIA ABERTA",IF(AND(N(J3395)&gt;0,N(K3395)&lt;J3395),"🟡 FALTA EXECUTAR",IF(OR(M3395="PENDENTE",M3395="PARCIAL"),"🟡 FATURAMENTO PENDENTE","🟡 EMBARQUE PENDENTE")))))))))))</f>
        <v/>
      </c>
      <c r="D3395" s="4" t="n"/>
      <c r="E3395" s="5" t="n"/>
      <c r="F3395" s="5" t="n"/>
      <c r="G3395" s="5" t="n"/>
      <c r="H3395" s="5" t="n"/>
      <c r="I3395" s="5" t="n"/>
      <c r="J3395" s="6" t="n"/>
      <c r="K3395" s="6" t="n"/>
      <c r="L3395" s="7">
        <f>IF(OR(D3395="",N(J3395)=0),"",MIN(1,N(K3395)/J3395))</f>
        <v/>
      </c>
      <c r="M3395" s="5" t="n"/>
      <c r="N3395" s="5" t="n"/>
      <c r="O3395" s="5" t="n"/>
      <c r="P3395" s="5" t="n"/>
      <c r="Q3395" s="5" t="n"/>
      <c r="R3395" s="4" t="n"/>
      <c r="S3395" s="4" t="n"/>
      <c r="T3395" s="5" t="n"/>
      <c r="U3395" s="8">
        <f>IF(AND(V3395=1,D3395&lt;&gt;""),IF(D3395&gt;=corte,TODAY()-D3395,""),"")</f>
        <v/>
      </c>
      <c r="V3395" s="8">
        <f>IF(D3395="",0,IF(OR(AND(P3395&lt;&gt;"",S3395=""),AND(N(J3395)&gt;0,N(K3395)&lt;J3395),OR(M3395="PENDENTE",M3395="PARCIAL"),OR(N3395="PENDENTE",N3395="PARCIAL")),1,0))</f>
        <v/>
      </c>
      <c r="W3395" s="8">
        <f>IF(AND(V3395=1,D3395&lt;&gt;""),IF(D3395&gt;=corte,(B3395="CRÍTICO")*1E9+(100000-D3395)*10000+10000-ROW(),""),"")</f>
        <v/>
      </c>
      <c r="X3395" s="8">
        <f>IF(AND(V3395=1,D3395=pas_data,E3395=pas_turno),10000-ROW(),"")</f>
        <v/>
      </c>
    </row>
    <row r="3396">
      <c r="A3396" s="3">
        <f>IF(D3396="","","TT-"&amp;TEXT(ROW()-1,"00000"))</f>
        <v/>
      </c>
      <c r="B3396" s="3">
        <f>IF(D3396="","",IF(V3396=0,"CONCLUÍDO",IF(D3396&lt;corte,"HISTÓRICO",IF(OR(AND(ISNUMBER(R3396),R3396&lt;TODAY()),AND(OR(N3396="PENDENTE",N3396="PARCIAL"),D3396&lt;TODAY()-1)),"CRÍTICO",IF(OR(AND(P3396&lt;&gt;"",S3396=""),AND(N3396="REALIZADO",M3396="PENDENTE"),AND(ISNUMBER(R3396),R3396=TODAY())),"ATENÇÃO",IF(N(K3396)=0,"PENDENTE","EM ANDAMENTO"))))))</f>
        <v/>
      </c>
      <c r="C3396" s="3">
        <f>IF(D3396="","",IF(V3396=0,"🟢 OK",IF(D3396&lt;corte,"⚪ HISTÓRICO (sem baixa)",IF(AND(ISNUMBER(R3396),R3396&lt;TODAY()),"🔴 PRAZO VENCIDO",IF(AND(OR(N3396="PENDENTE",N3396="PARCIAL"),D3396&lt;TODAY()-1),"🔴 EMBARQUE ATRASADO",IF(AND(N3396="REALIZADO",M3396="PENDENTE"),"🟡 EMBARCADO SEM FATURAR",IF(AND(P3396&lt;&gt;"",S3396="",OR(Q3396="",R3396="")),"🟡 PENDÊNCIA SEM RESPONSÁVEL/PRAZO",IF(AND(ISNUMBER(R3396),R3396=TODAY()),"🟡 VENCE HOJE",IF(AND(P3396&lt;&gt;"",S3396=""),"🟡 PENDÊNCIA ABERTA",IF(AND(N(J3396)&gt;0,N(K3396)&lt;J3396),"🟡 FALTA EXECUTAR",IF(OR(M3396="PENDENTE",M3396="PARCIAL"),"🟡 FATURAMENTO PENDENTE","🟡 EMBARQUE PENDENTE")))))))))))</f>
        <v/>
      </c>
      <c r="D3396" s="4" t="n"/>
      <c r="E3396" s="5" t="n"/>
      <c r="F3396" s="5" t="n"/>
      <c r="G3396" s="5" t="n"/>
      <c r="H3396" s="5" t="n"/>
      <c r="I3396" s="5" t="n"/>
      <c r="J3396" s="6" t="n"/>
      <c r="K3396" s="6" t="n"/>
      <c r="L3396" s="7">
        <f>IF(OR(D3396="",N(J3396)=0),"",MIN(1,N(K3396)/J3396))</f>
        <v/>
      </c>
      <c r="M3396" s="5" t="n"/>
      <c r="N3396" s="5" t="n"/>
      <c r="O3396" s="5" t="n"/>
      <c r="P3396" s="5" t="n"/>
      <c r="Q3396" s="5" t="n"/>
      <c r="R3396" s="4" t="n"/>
      <c r="S3396" s="4" t="n"/>
      <c r="T3396" s="5" t="n"/>
      <c r="U3396" s="8">
        <f>IF(AND(V3396=1,D3396&lt;&gt;""),IF(D3396&gt;=corte,TODAY()-D3396,""),"")</f>
        <v/>
      </c>
      <c r="V3396" s="8">
        <f>IF(D3396="",0,IF(OR(AND(P3396&lt;&gt;"",S3396=""),AND(N(J3396)&gt;0,N(K3396)&lt;J3396),OR(M3396="PENDENTE",M3396="PARCIAL"),OR(N3396="PENDENTE",N3396="PARCIAL")),1,0))</f>
        <v/>
      </c>
      <c r="W3396" s="8">
        <f>IF(AND(V3396=1,D3396&lt;&gt;""),IF(D3396&gt;=corte,(B3396="CRÍTICO")*1E9+(100000-D3396)*10000+10000-ROW(),""),"")</f>
        <v/>
      </c>
      <c r="X3396" s="8">
        <f>IF(AND(V3396=1,D3396=pas_data,E3396=pas_turno),10000-ROW(),"")</f>
        <v/>
      </c>
    </row>
    <row r="3397">
      <c r="A3397" s="3">
        <f>IF(D3397="","","TT-"&amp;TEXT(ROW()-1,"00000"))</f>
        <v/>
      </c>
      <c r="B3397" s="3">
        <f>IF(D3397="","",IF(V3397=0,"CONCLUÍDO",IF(D3397&lt;corte,"HISTÓRICO",IF(OR(AND(ISNUMBER(R3397),R3397&lt;TODAY()),AND(OR(N3397="PENDENTE",N3397="PARCIAL"),D3397&lt;TODAY()-1)),"CRÍTICO",IF(OR(AND(P3397&lt;&gt;"",S3397=""),AND(N3397="REALIZADO",M3397="PENDENTE"),AND(ISNUMBER(R3397),R3397=TODAY())),"ATENÇÃO",IF(N(K3397)=0,"PENDENTE","EM ANDAMENTO"))))))</f>
        <v/>
      </c>
      <c r="C3397" s="3">
        <f>IF(D3397="","",IF(V3397=0,"🟢 OK",IF(D3397&lt;corte,"⚪ HISTÓRICO (sem baixa)",IF(AND(ISNUMBER(R3397),R3397&lt;TODAY()),"🔴 PRAZO VENCIDO",IF(AND(OR(N3397="PENDENTE",N3397="PARCIAL"),D3397&lt;TODAY()-1),"🔴 EMBARQUE ATRASADO",IF(AND(N3397="REALIZADO",M3397="PENDENTE"),"🟡 EMBARCADO SEM FATURAR",IF(AND(P3397&lt;&gt;"",S3397="",OR(Q3397="",R3397="")),"🟡 PENDÊNCIA SEM RESPONSÁVEL/PRAZO",IF(AND(ISNUMBER(R3397),R3397=TODAY()),"🟡 VENCE HOJE",IF(AND(P3397&lt;&gt;"",S3397=""),"🟡 PENDÊNCIA ABERTA",IF(AND(N(J3397)&gt;0,N(K3397)&lt;J3397),"🟡 FALTA EXECUTAR",IF(OR(M3397="PENDENTE",M3397="PARCIAL"),"🟡 FATURAMENTO PENDENTE","🟡 EMBARQUE PENDENTE")))))))))))</f>
        <v/>
      </c>
      <c r="D3397" s="4" t="n"/>
      <c r="E3397" s="5" t="n"/>
      <c r="F3397" s="5" t="n"/>
      <c r="G3397" s="5" t="n"/>
      <c r="H3397" s="5" t="n"/>
      <c r="I3397" s="5" t="n"/>
      <c r="J3397" s="6" t="n"/>
      <c r="K3397" s="6" t="n"/>
      <c r="L3397" s="7">
        <f>IF(OR(D3397="",N(J3397)=0),"",MIN(1,N(K3397)/J3397))</f>
        <v/>
      </c>
      <c r="M3397" s="5" t="n"/>
      <c r="N3397" s="5" t="n"/>
      <c r="O3397" s="5" t="n"/>
      <c r="P3397" s="5" t="n"/>
      <c r="Q3397" s="5" t="n"/>
      <c r="R3397" s="4" t="n"/>
      <c r="S3397" s="4" t="n"/>
      <c r="T3397" s="5" t="n"/>
      <c r="U3397" s="8">
        <f>IF(AND(V3397=1,D3397&lt;&gt;""),IF(D3397&gt;=corte,TODAY()-D3397,""),"")</f>
        <v/>
      </c>
      <c r="V3397" s="8">
        <f>IF(D3397="",0,IF(OR(AND(P3397&lt;&gt;"",S3397=""),AND(N(J3397)&gt;0,N(K3397)&lt;J3397),OR(M3397="PENDENTE",M3397="PARCIAL"),OR(N3397="PENDENTE",N3397="PARCIAL")),1,0))</f>
        <v/>
      </c>
      <c r="W3397" s="8">
        <f>IF(AND(V3397=1,D3397&lt;&gt;""),IF(D3397&gt;=corte,(B3397="CRÍTICO")*1E9+(100000-D3397)*10000+10000-ROW(),""),"")</f>
        <v/>
      </c>
      <c r="X3397" s="8">
        <f>IF(AND(V3397=1,D3397=pas_data,E3397=pas_turno),10000-ROW(),"")</f>
        <v/>
      </c>
    </row>
    <row r="3398">
      <c r="A3398" s="3">
        <f>IF(D3398="","","TT-"&amp;TEXT(ROW()-1,"00000"))</f>
        <v/>
      </c>
      <c r="B3398" s="3">
        <f>IF(D3398="","",IF(V3398=0,"CONCLUÍDO",IF(D3398&lt;corte,"HISTÓRICO",IF(OR(AND(ISNUMBER(R3398),R3398&lt;TODAY()),AND(OR(N3398="PENDENTE",N3398="PARCIAL"),D3398&lt;TODAY()-1)),"CRÍTICO",IF(OR(AND(P3398&lt;&gt;"",S3398=""),AND(N3398="REALIZADO",M3398="PENDENTE"),AND(ISNUMBER(R3398),R3398=TODAY())),"ATENÇÃO",IF(N(K3398)=0,"PENDENTE","EM ANDAMENTO"))))))</f>
        <v/>
      </c>
      <c r="C3398" s="3">
        <f>IF(D3398="","",IF(V3398=0,"🟢 OK",IF(D3398&lt;corte,"⚪ HISTÓRICO (sem baixa)",IF(AND(ISNUMBER(R3398),R3398&lt;TODAY()),"🔴 PRAZO VENCIDO",IF(AND(OR(N3398="PENDENTE",N3398="PARCIAL"),D3398&lt;TODAY()-1),"🔴 EMBARQUE ATRASADO",IF(AND(N3398="REALIZADO",M3398="PENDENTE"),"🟡 EMBARCADO SEM FATURAR",IF(AND(P3398&lt;&gt;"",S3398="",OR(Q3398="",R3398="")),"🟡 PENDÊNCIA SEM RESPONSÁVEL/PRAZO",IF(AND(ISNUMBER(R3398),R3398=TODAY()),"🟡 VENCE HOJE",IF(AND(P3398&lt;&gt;"",S3398=""),"🟡 PENDÊNCIA ABERTA",IF(AND(N(J3398)&gt;0,N(K3398)&lt;J3398),"🟡 FALTA EXECUTAR",IF(OR(M3398="PENDENTE",M3398="PARCIAL"),"🟡 FATURAMENTO PENDENTE","🟡 EMBARQUE PENDENTE")))))))))))</f>
        <v/>
      </c>
      <c r="D3398" s="4" t="n"/>
      <c r="E3398" s="5" t="n"/>
      <c r="F3398" s="5" t="n"/>
      <c r="G3398" s="5" t="n"/>
      <c r="H3398" s="5" t="n"/>
      <c r="I3398" s="5" t="n"/>
      <c r="J3398" s="6" t="n"/>
      <c r="K3398" s="6" t="n"/>
      <c r="L3398" s="7">
        <f>IF(OR(D3398="",N(J3398)=0),"",MIN(1,N(K3398)/J3398))</f>
        <v/>
      </c>
      <c r="M3398" s="5" t="n"/>
      <c r="N3398" s="5" t="n"/>
      <c r="O3398" s="5" t="n"/>
      <c r="P3398" s="5" t="n"/>
      <c r="Q3398" s="5" t="n"/>
      <c r="R3398" s="4" t="n"/>
      <c r="S3398" s="4" t="n"/>
      <c r="T3398" s="5" t="n"/>
      <c r="U3398" s="8">
        <f>IF(AND(V3398=1,D3398&lt;&gt;""),IF(D3398&gt;=corte,TODAY()-D3398,""),"")</f>
        <v/>
      </c>
      <c r="V3398" s="8">
        <f>IF(D3398="",0,IF(OR(AND(P3398&lt;&gt;"",S3398=""),AND(N(J3398)&gt;0,N(K3398)&lt;J3398),OR(M3398="PENDENTE",M3398="PARCIAL"),OR(N3398="PENDENTE",N3398="PARCIAL")),1,0))</f>
        <v/>
      </c>
      <c r="W3398" s="8">
        <f>IF(AND(V3398=1,D3398&lt;&gt;""),IF(D3398&gt;=corte,(B3398="CRÍTICO")*1E9+(100000-D3398)*10000+10000-ROW(),""),"")</f>
        <v/>
      </c>
      <c r="X3398" s="8">
        <f>IF(AND(V3398=1,D3398=pas_data,E3398=pas_turno),10000-ROW(),"")</f>
        <v/>
      </c>
    </row>
    <row r="3399">
      <c r="A3399" s="3">
        <f>IF(D3399="","","TT-"&amp;TEXT(ROW()-1,"00000"))</f>
        <v/>
      </c>
      <c r="B3399" s="3">
        <f>IF(D3399="","",IF(V3399=0,"CONCLUÍDO",IF(D3399&lt;corte,"HISTÓRICO",IF(OR(AND(ISNUMBER(R3399),R3399&lt;TODAY()),AND(OR(N3399="PENDENTE",N3399="PARCIAL"),D3399&lt;TODAY()-1)),"CRÍTICO",IF(OR(AND(P3399&lt;&gt;"",S3399=""),AND(N3399="REALIZADO",M3399="PENDENTE"),AND(ISNUMBER(R3399),R3399=TODAY())),"ATENÇÃO",IF(N(K3399)=0,"PENDENTE","EM ANDAMENTO"))))))</f>
        <v/>
      </c>
      <c r="C3399" s="3">
        <f>IF(D3399="","",IF(V3399=0,"🟢 OK",IF(D3399&lt;corte,"⚪ HISTÓRICO (sem baixa)",IF(AND(ISNUMBER(R3399),R3399&lt;TODAY()),"🔴 PRAZO VENCIDO",IF(AND(OR(N3399="PENDENTE",N3399="PARCIAL"),D3399&lt;TODAY()-1),"🔴 EMBARQUE ATRASADO",IF(AND(N3399="REALIZADO",M3399="PENDENTE"),"🟡 EMBARCADO SEM FATURAR",IF(AND(P3399&lt;&gt;"",S3399="",OR(Q3399="",R3399="")),"🟡 PENDÊNCIA SEM RESPONSÁVEL/PRAZO",IF(AND(ISNUMBER(R3399),R3399=TODAY()),"🟡 VENCE HOJE",IF(AND(P3399&lt;&gt;"",S3399=""),"🟡 PENDÊNCIA ABERTA",IF(AND(N(J3399)&gt;0,N(K3399)&lt;J3399),"🟡 FALTA EXECUTAR",IF(OR(M3399="PENDENTE",M3399="PARCIAL"),"🟡 FATURAMENTO PENDENTE","🟡 EMBARQUE PENDENTE")))))))))))</f>
        <v/>
      </c>
      <c r="D3399" s="4" t="n"/>
      <c r="E3399" s="5" t="n"/>
      <c r="F3399" s="5" t="n"/>
      <c r="G3399" s="5" t="n"/>
      <c r="H3399" s="5" t="n"/>
      <c r="I3399" s="5" t="n"/>
      <c r="J3399" s="6" t="n"/>
      <c r="K3399" s="6" t="n"/>
      <c r="L3399" s="7">
        <f>IF(OR(D3399="",N(J3399)=0),"",MIN(1,N(K3399)/J3399))</f>
        <v/>
      </c>
      <c r="M3399" s="5" t="n"/>
      <c r="N3399" s="5" t="n"/>
      <c r="O3399" s="5" t="n"/>
      <c r="P3399" s="5" t="n"/>
      <c r="Q3399" s="5" t="n"/>
      <c r="R3399" s="4" t="n"/>
      <c r="S3399" s="4" t="n"/>
      <c r="T3399" s="5" t="n"/>
      <c r="U3399" s="8">
        <f>IF(AND(V3399=1,D3399&lt;&gt;""),IF(D3399&gt;=corte,TODAY()-D3399,""),"")</f>
        <v/>
      </c>
      <c r="V3399" s="8">
        <f>IF(D3399="",0,IF(OR(AND(P3399&lt;&gt;"",S3399=""),AND(N(J3399)&gt;0,N(K3399)&lt;J3399),OR(M3399="PENDENTE",M3399="PARCIAL"),OR(N3399="PENDENTE",N3399="PARCIAL")),1,0))</f>
        <v/>
      </c>
      <c r="W3399" s="8">
        <f>IF(AND(V3399=1,D3399&lt;&gt;""),IF(D3399&gt;=corte,(B3399="CRÍTICO")*1E9+(100000-D3399)*10000+10000-ROW(),""),"")</f>
        <v/>
      </c>
      <c r="X3399" s="8">
        <f>IF(AND(V3399=1,D3399=pas_data,E3399=pas_turno),10000-ROW(),"")</f>
        <v/>
      </c>
    </row>
    <row r="3400">
      <c r="A3400" s="3">
        <f>IF(D3400="","","TT-"&amp;TEXT(ROW()-1,"00000"))</f>
        <v/>
      </c>
      <c r="B3400" s="3">
        <f>IF(D3400="","",IF(V3400=0,"CONCLUÍDO",IF(D3400&lt;corte,"HISTÓRICO",IF(OR(AND(ISNUMBER(R3400),R3400&lt;TODAY()),AND(OR(N3400="PENDENTE",N3400="PARCIAL"),D3400&lt;TODAY()-1)),"CRÍTICO",IF(OR(AND(P3400&lt;&gt;"",S3400=""),AND(N3400="REALIZADO",M3400="PENDENTE"),AND(ISNUMBER(R3400),R3400=TODAY())),"ATENÇÃO",IF(N(K3400)=0,"PENDENTE","EM ANDAMENTO"))))))</f>
        <v/>
      </c>
      <c r="C3400" s="3">
        <f>IF(D3400="","",IF(V3400=0,"🟢 OK",IF(D3400&lt;corte,"⚪ HISTÓRICO (sem baixa)",IF(AND(ISNUMBER(R3400),R3400&lt;TODAY()),"🔴 PRAZO VENCIDO",IF(AND(OR(N3400="PENDENTE",N3400="PARCIAL"),D3400&lt;TODAY()-1),"🔴 EMBARQUE ATRASADO",IF(AND(N3400="REALIZADO",M3400="PENDENTE"),"🟡 EMBARCADO SEM FATURAR",IF(AND(P3400&lt;&gt;"",S3400="",OR(Q3400="",R3400="")),"🟡 PENDÊNCIA SEM RESPONSÁVEL/PRAZO",IF(AND(ISNUMBER(R3400),R3400=TODAY()),"🟡 VENCE HOJE",IF(AND(P3400&lt;&gt;"",S3400=""),"🟡 PENDÊNCIA ABERTA",IF(AND(N(J3400)&gt;0,N(K3400)&lt;J3400),"🟡 FALTA EXECUTAR",IF(OR(M3400="PENDENTE",M3400="PARCIAL"),"🟡 FATURAMENTO PENDENTE","🟡 EMBARQUE PENDENTE")))))))))))</f>
        <v/>
      </c>
      <c r="D3400" s="4" t="n"/>
      <c r="E3400" s="5" t="n"/>
      <c r="F3400" s="5" t="n"/>
      <c r="G3400" s="5" t="n"/>
      <c r="H3400" s="5" t="n"/>
      <c r="I3400" s="5" t="n"/>
      <c r="J3400" s="6" t="n"/>
      <c r="K3400" s="6" t="n"/>
      <c r="L3400" s="7">
        <f>IF(OR(D3400="",N(J3400)=0),"",MIN(1,N(K3400)/J3400))</f>
        <v/>
      </c>
      <c r="M3400" s="5" t="n"/>
      <c r="N3400" s="5" t="n"/>
      <c r="O3400" s="5" t="n"/>
      <c r="P3400" s="5" t="n"/>
      <c r="Q3400" s="5" t="n"/>
      <c r="R3400" s="4" t="n"/>
      <c r="S3400" s="4" t="n"/>
      <c r="T3400" s="5" t="n"/>
      <c r="U3400" s="8">
        <f>IF(AND(V3400=1,D3400&lt;&gt;""),IF(D3400&gt;=corte,TODAY()-D3400,""),"")</f>
        <v/>
      </c>
      <c r="V3400" s="8">
        <f>IF(D3400="",0,IF(OR(AND(P3400&lt;&gt;"",S3400=""),AND(N(J3400)&gt;0,N(K3400)&lt;J3400),OR(M3400="PENDENTE",M3400="PARCIAL"),OR(N3400="PENDENTE",N3400="PARCIAL")),1,0))</f>
        <v/>
      </c>
      <c r="W3400" s="8">
        <f>IF(AND(V3400=1,D3400&lt;&gt;""),IF(D3400&gt;=corte,(B3400="CRÍTICO")*1E9+(100000-D3400)*10000+10000-ROW(),""),"")</f>
        <v/>
      </c>
      <c r="X3400" s="8">
        <f>IF(AND(V3400=1,D3400=pas_data,E3400=pas_turno),10000-ROW(),"")</f>
        <v/>
      </c>
    </row>
    <row r="3401">
      <c r="A3401" s="3">
        <f>IF(D3401="","","TT-"&amp;TEXT(ROW()-1,"00000"))</f>
        <v/>
      </c>
      <c r="B3401" s="3">
        <f>IF(D3401="","",IF(V3401=0,"CONCLUÍDO",IF(D3401&lt;corte,"HISTÓRICO",IF(OR(AND(ISNUMBER(R3401),R3401&lt;TODAY()),AND(OR(N3401="PENDENTE",N3401="PARCIAL"),D3401&lt;TODAY()-1)),"CRÍTICO",IF(OR(AND(P3401&lt;&gt;"",S3401=""),AND(N3401="REALIZADO",M3401="PENDENTE"),AND(ISNUMBER(R3401),R3401=TODAY())),"ATENÇÃO",IF(N(K3401)=0,"PENDENTE","EM ANDAMENTO"))))))</f>
        <v/>
      </c>
      <c r="C3401" s="3">
        <f>IF(D3401="","",IF(V3401=0,"🟢 OK",IF(D3401&lt;corte,"⚪ HISTÓRICO (sem baixa)",IF(AND(ISNUMBER(R3401),R3401&lt;TODAY()),"🔴 PRAZO VENCIDO",IF(AND(OR(N3401="PENDENTE",N3401="PARCIAL"),D3401&lt;TODAY()-1),"🔴 EMBARQUE ATRASADO",IF(AND(N3401="REALIZADO",M3401="PENDENTE"),"🟡 EMBARCADO SEM FATURAR",IF(AND(P3401&lt;&gt;"",S3401="",OR(Q3401="",R3401="")),"🟡 PENDÊNCIA SEM RESPONSÁVEL/PRAZO",IF(AND(ISNUMBER(R3401),R3401=TODAY()),"🟡 VENCE HOJE",IF(AND(P3401&lt;&gt;"",S3401=""),"🟡 PENDÊNCIA ABERTA",IF(AND(N(J3401)&gt;0,N(K3401)&lt;J3401),"🟡 FALTA EXECUTAR",IF(OR(M3401="PENDENTE",M3401="PARCIAL"),"🟡 FATURAMENTO PENDENTE","🟡 EMBARQUE PENDENTE")))))))))))</f>
        <v/>
      </c>
      <c r="D3401" s="4" t="n"/>
      <c r="E3401" s="5" t="n"/>
      <c r="F3401" s="5" t="n"/>
      <c r="G3401" s="5" t="n"/>
      <c r="H3401" s="5" t="n"/>
      <c r="I3401" s="5" t="n"/>
      <c r="J3401" s="6" t="n"/>
      <c r="K3401" s="6" t="n"/>
      <c r="L3401" s="7">
        <f>IF(OR(D3401="",N(J3401)=0),"",MIN(1,N(K3401)/J3401))</f>
        <v/>
      </c>
      <c r="M3401" s="5" t="n"/>
      <c r="N3401" s="5" t="n"/>
      <c r="O3401" s="5" t="n"/>
      <c r="P3401" s="5" t="n"/>
      <c r="Q3401" s="5" t="n"/>
      <c r="R3401" s="4" t="n"/>
      <c r="S3401" s="4" t="n"/>
      <c r="T3401" s="5" t="n"/>
      <c r="U3401" s="8">
        <f>IF(AND(V3401=1,D3401&lt;&gt;""),IF(D3401&gt;=corte,TODAY()-D3401,""),"")</f>
        <v/>
      </c>
      <c r="V3401" s="8">
        <f>IF(D3401="",0,IF(OR(AND(P3401&lt;&gt;"",S3401=""),AND(N(J3401)&gt;0,N(K3401)&lt;J3401),OR(M3401="PENDENTE",M3401="PARCIAL"),OR(N3401="PENDENTE",N3401="PARCIAL")),1,0))</f>
        <v/>
      </c>
      <c r="W3401" s="8">
        <f>IF(AND(V3401=1,D3401&lt;&gt;""),IF(D3401&gt;=corte,(B3401="CRÍTICO")*1E9+(100000-D3401)*10000+10000-ROW(),""),"")</f>
        <v/>
      </c>
      <c r="X3401" s="8">
        <f>IF(AND(V3401=1,D3401=pas_data,E3401=pas_turno),10000-ROW(),"")</f>
        <v/>
      </c>
    </row>
    <row r="3402">
      <c r="A3402" s="3">
        <f>IF(D3402="","","TT-"&amp;TEXT(ROW()-1,"00000"))</f>
        <v/>
      </c>
      <c r="B3402" s="3">
        <f>IF(D3402="","",IF(V3402=0,"CONCLUÍDO",IF(D3402&lt;corte,"HISTÓRICO",IF(OR(AND(ISNUMBER(R3402),R3402&lt;TODAY()),AND(OR(N3402="PENDENTE",N3402="PARCIAL"),D3402&lt;TODAY()-1)),"CRÍTICO",IF(OR(AND(P3402&lt;&gt;"",S3402=""),AND(N3402="REALIZADO",M3402="PENDENTE"),AND(ISNUMBER(R3402),R3402=TODAY())),"ATENÇÃO",IF(N(K3402)=0,"PENDENTE","EM ANDAMENTO"))))))</f>
        <v/>
      </c>
      <c r="C3402" s="3">
        <f>IF(D3402="","",IF(V3402=0,"🟢 OK",IF(D3402&lt;corte,"⚪ HISTÓRICO (sem baixa)",IF(AND(ISNUMBER(R3402),R3402&lt;TODAY()),"🔴 PRAZO VENCIDO",IF(AND(OR(N3402="PENDENTE",N3402="PARCIAL"),D3402&lt;TODAY()-1),"🔴 EMBARQUE ATRASADO",IF(AND(N3402="REALIZADO",M3402="PENDENTE"),"🟡 EMBARCADO SEM FATURAR",IF(AND(P3402&lt;&gt;"",S3402="",OR(Q3402="",R3402="")),"🟡 PENDÊNCIA SEM RESPONSÁVEL/PRAZO",IF(AND(ISNUMBER(R3402),R3402=TODAY()),"🟡 VENCE HOJE",IF(AND(P3402&lt;&gt;"",S3402=""),"🟡 PENDÊNCIA ABERTA",IF(AND(N(J3402)&gt;0,N(K3402)&lt;J3402),"🟡 FALTA EXECUTAR",IF(OR(M3402="PENDENTE",M3402="PARCIAL"),"🟡 FATURAMENTO PENDENTE","🟡 EMBARQUE PENDENTE")))))))))))</f>
        <v/>
      </c>
      <c r="D3402" s="4" t="n"/>
      <c r="E3402" s="5" t="n"/>
      <c r="F3402" s="5" t="n"/>
      <c r="G3402" s="5" t="n"/>
      <c r="H3402" s="5" t="n"/>
      <c r="I3402" s="5" t="n"/>
      <c r="J3402" s="6" t="n"/>
      <c r="K3402" s="6" t="n"/>
      <c r="L3402" s="7">
        <f>IF(OR(D3402="",N(J3402)=0),"",MIN(1,N(K3402)/J3402))</f>
        <v/>
      </c>
      <c r="M3402" s="5" t="n"/>
      <c r="N3402" s="5" t="n"/>
      <c r="O3402" s="5" t="n"/>
      <c r="P3402" s="5" t="n"/>
      <c r="Q3402" s="5" t="n"/>
      <c r="R3402" s="4" t="n"/>
      <c r="S3402" s="4" t="n"/>
      <c r="T3402" s="5" t="n"/>
      <c r="U3402" s="8">
        <f>IF(AND(V3402=1,D3402&lt;&gt;""),IF(D3402&gt;=corte,TODAY()-D3402,""),"")</f>
        <v/>
      </c>
      <c r="V3402" s="8">
        <f>IF(D3402="",0,IF(OR(AND(P3402&lt;&gt;"",S3402=""),AND(N(J3402)&gt;0,N(K3402)&lt;J3402),OR(M3402="PENDENTE",M3402="PARCIAL"),OR(N3402="PENDENTE",N3402="PARCIAL")),1,0))</f>
        <v/>
      </c>
      <c r="W3402" s="8">
        <f>IF(AND(V3402=1,D3402&lt;&gt;""),IF(D3402&gt;=corte,(B3402="CRÍTICO")*1E9+(100000-D3402)*10000+10000-ROW(),""),"")</f>
        <v/>
      </c>
      <c r="X3402" s="8">
        <f>IF(AND(V3402=1,D3402=pas_data,E3402=pas_turno),10000-ROW(),"")</f>
        <v/>
      </c>
    </row>
    <row r="3403">
      <c r="A3403" s="3">
        <f>IF(D3403="","","TT-"&amp;TEXT(ROW()-1,"00000"))</f>
        <v/>
      </c>
      <c r="B3403" s="3">
        <f>IF(D3403="","",IF(V3403=0,"CONCLUÍDO",IF(D3403&lt;corte,"HISTÓRICO",IF(OR(AND(ISNUMBER(R3403),R3403&lt;TODAY()),AND(OR(N3403="PENDENTE",N3403="PARCIAL"),D3403&lt;TODAY()-1)),"CRÍTICO",IF(OR(AND(P3403&lt;&gt;"",S3403=""),AND(N3403="REALIZADO",M3403="PENDENTE"),AND(ISNUMBER(R3403),R3403=TODAY())),"ATENÇÃO",IF(N(K3403)=0,"PENDENTE","EM ANDAMENTO"))))))</f>
        <v/>
      </c>
      <c r="C3403" s="3">
        <f>IF(D3403="","",IF(V3403=0,"🟢 OK",IF(D3403&lt;corte,"⚪ HISTÓRICO (sem baixa)",IF(AND(ISNUMBER(R3403),R3403&lt;TODAY()),"🔴 PRAZO VENCIDO",IF(AND(OR(N3403="PENDENTE",N3403="PARCIAL"),D3403&lt;TODAY()-1),"🔴 EMBARQUE ATRASADO",IF(AND(N3403="REALIZADO",M3403="PENDENTE"),"🟡 EMBARCADO SEM FATURAR",IF(AND(P3403&lt;&gt;"",S3403="",OR(Q3403="",R3403="")),"🟡 PENDÊNCIA SEM RESPONSÁVEL/PRAZO",IF(AND(ISNUMBER(R3403),R3403=TODAY()),"🟡 VENCE HOJE",IF(AND(P3403&lt;&gt;"",S3403=""),"🟡 PENDÊNCIA ABERTA",IF(AND(N(J3403)&gt;0,N(K3403)&lt;J3403),"🟡 FALTA EXECUTAR",IF(OR(M3403="PENDENTE",M3403="PARCIAL"),"🟡 FATURAMENTO PENDENTE","🟡 EMBARQUE PENDENTE")))))))))))</f>
        <v/>
      </c>
      <c r="D3403" s="4" t="n"/>
      <c r="E3403" s="5" t="n"/>
      <c r="F3403" s="5" t="n"/>
      <c r="G3403" s="5" t="n"/>
      <c r="H3403" s="5" t="n"/>
      <c r="I3403" s="5" t="n"/>
      <c r="J3403" s="6" t="n"/>
      <c r="K3403" s="6" t="n"/>
      <c r="L3403" s="7">
        <f>IF(OR(D3403="",N(J3403)=0),"",MIN(1,N(K3403)/J3403))</f>
        <v/>
      </c>
      <c r="M3403" s="5" t="n"/>
      <c r="N3403" s="5" t="n"/>
      <c r="O3403" s="5" t="n"/>
      <c r="P3403" s="5" t="n"/>
      <c r="Q3403" s="5" t="n"/>
      <c r="R3403" s="4" t="n"/>
      <c r="S3403" s="4" t="n"/>
      <c r="T3403" s="5" t="n"/>
      <c r="U3403" s="8">
        <f>IF(AND(V3403=1,D3403&lt;&gt;""),IF(D3403&gt;=corte,TODAY()-D3403,""),"")</f>
        <v/>
      </c>
      <c r="V3403" s="8">
        <f>IF(D3403="",0,IF(OR(AND(P3403&lt;&gt;"",S3403=""),AND(N(J3403)&gt;0,N(K3403)&lt;J3403),OR(M3403="PENDENTE",M3403="PARCIAL"),OR(N3403="PENDENTE",N3403="PARCIAL")),1,0))</f>
        <v/>
      </c>
      <c r="W3403" s="8">
        <f>IF(AND(V3403=1,D3403&lt;&gt;""),IF(D3403&gt;=corte,(B3403="CRÍTICO")*1E9+(100000-D3403)*10000+10000-ROW(),""),"")</f>
        <v/>
      </c>
      <c r="X3403" s="8">
        <f>IF(AND(V3403=1,D3403=pas_data,E3403=pas_turno),10000-ROW(),"")</f>
        <v/>
      </c>
    </row>
    <row r="3404">
      <c r="A3404" s="3">
        <f>IF(D3404="","","TT-"&amp;TEXT(ROW()-1,"00000"))</f>
        <v/>
      </c>
      <c r="B3404" s="3">
        <f>IF(D3404="","",IF(V3404=0,"CONCLUÍDO",IF(D3404&lt;corte,"HISTÓRICO",IF(OR(AND(ISNUMBER(R3404),R3404&lt;TODAY()),AND(OR(N3404="PENDENTE",N3404="PARCIAL"),D3404&lt;TODAY()-1)),"CRÍTICO",IF(OR(AND(P3404&lt;&gt;"",S3404=""),AND(N3404="REALIZADO",M3404="PENDENTE"),AND(ISNUMBER(R3404),R3404=TODAY())),"ATENÇÃO",IF(N(K3404)=0,"PENDENTE","EM ANDAMENTO"))))))</f>
        <v/>
      </c>
      <c r="C3404" s="3">
        <f>IF(D3404="","",IF(V3404=0,"🟢 OK",IF(D3404&lt;corte,"⚪ HISTÓRICO (sem baixa)",IF(AND(ISNUMBER(R3404),R3404&lt;TODAY()),"🔴 PRAZO VENCIDO",IF(AND(OR(N3404="PENDENTE",N3404="PARCIAL"),D3404&lt;TODAY()-1),"🔴 EMBARQUE ATRASADO",IF(AND(N3404="REALIZADO",M3404="PENDENTE"),"🟡 EMBARCADO SEM FATURAR",IF(AND(P3404&lt;&gt;"",S3404="",OR(Q3404="",R3404="")),"🟡 PENDÊNCIA SEM RESPONSÁVEL/PRAZO",IF(AND(ISNUMBER(R3404),R3404=TODAY()),"🟡 VENCE HOJE",IF(AND(P3404&lt;&gt;"",S3404=""),"🟡 PENDÊNCIA ABERTA",IF(AND(N(J3404)&gt;0,N(K3404)&lt;J3404),"🟡 FALTA EXECUTAR",IF(OR(M3404="PENDENTE",M3404="PARCIAL"),"🟡 FATURAMENTO PENDENTE","🟡 EMBARQUE PENDENTE")))))))))))</f>
        <v/>
      </c>
      <c r="D3404" s="4" t="n"/>
      <c r="E3404" s="5" t="n"/>
      <c r="F3404" s="5" t="n"/>
      <c r="G3404" s="5" t="n"/>
      <c r="H3404" s="5" t="n"/>
      <c r="I3404" s="5" t="n"/>
      <c r="J3404" s="6" t="n"/>
      <c r="K3404" s="6" t="n"/>
      <c r="L3404" s="7">
        <f>IF(OR(D3404="",N(J3404)=0),"",MIN(1,N(K3404)/J3404))</f>
        <v/>
      </c>
      <c r="M3404" s="5" t="n"/>
      <c r="N3404" s="5" t="n"/>
      <c r="O3404" s="5" t="n"/>
      <c r="P3404" s="5" t="n"/>
      <c r="Q3404" s="5" t="n"/>
      <c r="R3404" s="4" t="n"/>
      <c r="S3404" s="4" t="n"/>
      <c r="T3404" s="5" t="n"/>
      <c r="U3404" s="8">
        <f>IF(AND(V3404=1,D3404&lt;&gt;""),IF(D3404&gt;=corte,TODAY()-D3404,""),"")</f>
        <v/>
      </c>
      <c r="V3404" s="8">
        <f>IF(D3404="",0,IF(OR(AND(P3404&lt;&gt;"",S3404=""),AND(N(J3404)&gt;0,N(K3404)&lt;J3404),OR(M3404="PENDENTE",M3404="PARCIAL"),OR(N3404="PENDENTE",N3404="PARCIAL")),1,0))</f>
        <v/>
      </c>
      <c r="W3404" s="8">
        <f>IF(AND(V3404=1,D3404&lt;&gt;""),IF(D3404&gt;=corte,(B3404="CRÍTICO")*1E9+(100000-D3404)*10000+10000-ROW(),""),"")</f>
        <v/>
      </c>
      <c r="X3404" s="8">
        <f>IF(AND(V3404=1,D3404=pas_data,E3404=pas_turno),10000-ROW(),"")</f>
        <v/>
      </c>
    </row>
    <row r="3405">
      <c r="A3405" s="3">
        <f>IF(D3405="","","TT-"&amp;TEXT(ROW()-1,"00000"))</f>
        <v/>
      </c>
      <c r="B3405" s="3">
        <f>IF(D3405="","",IF(V3405=0,"CONCLUÍDO",IF(D3405&lt;corte,"HISTÓRICO",IF(OR(AND(ISNUMBER(R3405),R3405&lt;TODAY()),AND(OR(N3405="PENDENTE",N3405="PARCIAL"),D3405&lt;TODAY()-1)),"CRÍTICO",IF(OR(AND(P3405&lt;&gt;"",S3405=""),AND(N3405="REALIZADO",M3405="PENDENTE"),AND(ISNUMBER(R3405),R3405=TODAY())),"ATENÇÃO",IF(N(K3405)=0,"PENDENTE","EM ANDAMENTO"))))))</f>
        <v/>
      </c>
      <c r="C3405" s="3">
        <f>IF(D3405="","",IF(V3405=0,"🟢 OK",IF(D3405&lt;corte,"⚪ HISTÓRICO (sem baixa)",IF(AND(ISNUMBER(R3405),R3405&lt;TODAY()),"🔴 PRAZO VENCIDO",IF(AND(OR(N3405="PENDENTE",N3405="PARCIAL"),D3405&lt;TODAY()-1),"🔴 EMBARQUE ATRASADO",IF(AND(N3405="REALIZADO",M3405="PENDENTE"),"🟡 EMBARCADO SEM FATURAR",IF(AND(P3405&lt;&gt;"",S3405="",OR(Q3405="",R3405="")),"🟡 PENDÊNCIA SEM RESPONSÁVEL/PRAZO",IF(AND(ISNUMBER(R3405),R3405=TODAY()),"🟡 VENCE HOJE",IF(AND(P3405&lt;&gt;"",S3405=""),"🟡 PENDÊNCIA ABERTA",IF(AND(N(J3405)&gt;0,N(K3405)&lt;J3405),"🟡 FALTA EXECUTAR",IF(OR(M3405="PENDENTE",M3405="PARCIAL"),"🟡 FATURAMENTO PENDENTE","🟡 EMBARQUE PENDENTE")))))))))))</f>
        <v/>
      </c>
      <c r="D3405" s="4" t="n"/>
      <c r="E3405" s="5" t="n"/>
      <c r="F3405" s="5" t="n"/>
      <c r="G3405" s="5" t="n"/>
      <c r="H3405" s="5" t="n"/>
      <c r="I3405" s="5" t="n"/>
      <c r="J3405" s="6" t="n"/>
      <c r="K3405" s="6" t="n"/>
      <c r="L3405" s="7">
        <f>IF(OR(D3405="",N(J3405)=0),"",MIN(1,N(K3405)/J3405))</f>
        <v/>
      </c>
      <c r="M3405" s="5" t="n"/>
      <c r="N3405" s="5" t="n"/>
      <c r="O3405" s="5" t="n"/>
      <c r="P3405" s="5" t="n"/>
      <c r="Q3405" s="5" t="n"/>
      <c r="R3405" s="4" t="n"/>
      <c r="S3405" s="4" t="n"/>
      <c r="T3405" s="5" t="n"/>
      <c r="U3405" s="8">
        <f>IF(AND(V3405=1,D3405&lt;&gt;""),IF(D3405&gt;=corte,TODAY()-D3405,""),"")</f>
        <v/>
      </c>
      <c r="V3405" s="8">
        <f>IF(D3405="",0,IF(OR(AND(P3405&lt;&gt;"",S3405=""),AND(N(J3405)&gt;0,N(K3405)&lt;J3405),OR(M3405="PENDENTE",M3405="PARCIAL"),OR(N3405="PENDENTE",N3405="PARCIAL")),1,0))</f>
        <v/>
      </c>
      <c r="W3405" s="8">
        <f>IF(AND(V3405=1,D3405&lt;&gt;""),IF(D3405&gt;=corte,(B3405="CRÍTICO")*1E9+(100000-D3405)*10000+10000-ROW(),""),"")</f>
        <v/>
      </c>
      <c r="X3405" s="8">
        <f>IF(AND(V3405=1,D3405=pas_data,E3405=pas_turno),10000-ROW(),"")</f>
        <v/>
      </c>
    </row>
    <row r="3406">
      <c r="A3406" s="3">
        <f>IF(D3406="","","TT-"&amp;TEXT(ROW()-1,"00000"))</f>
        <v/>
      </c>
      <c r="B3406" s="3">
        <f>IF(D3406="","",IF(V3406=0,"CONCLUÍDO",IF(D3406&lt;corte,"HISTÓRICO",IF(OR(AND(ISNUMBER(R3406),R3406&lt;TODAY()),AND(OR(N3406="PENDENTE",N3406="PARCIAL"),D3406&lt;TODAY()-1)),"CRÍTICO",IF(OR(AND(P3406&lt;&gt;"",S3406=""),AND(N3406="REALIZADO",M3406="PENDENTE"),AND(ISNUMBER(R3406),R3406=TODAY())),"ATENÇÃO",IF(N(K3406)=0,"PENDENTE","EM ANDAMENTO"))))))</f>
        <v/>
      </c>
      <c r="C3406" s="3">
        <f>IF(D3406="","",IF(V3406=0,"🟢 OK",IF(D3406&lt;corte,"⚪ HISTÓRICO (sem baixa)",IF(AND(ISNUMBER(R3406),R3406&lt;TODAY()),"🔴 PRAZO VENCIDO",IF(AND(OR(N3406="PENDENTE",N3406="PARCIAL"),D3406&lt;TODAY()-1),"🔴 EMBARQUE ATRASADO",IF(AND(N3406="REALIZADO",M3406="PENDENTE"),"🟡 EMBARCADO SEM FATURAR",IF(AND(P3406&lt;&gt;"",S3406="",OR(Q3406="",R3406="")),"🟡 PENDÊNCIA SEM RESPONSÁVEL/PRAZO",IF(AND(ISNUMBER(R3406),R3406=TODAY()),"🟡 VENCE HOJE",IF(AND(P3406&lt;&gt;"",S3406=""),"🟡 PENDÊNCIA ABERTA",IF(AND(N(J3406)&gt;0,N(K3406)&lt;J3406),"🟡 FALTA EXECUTAR",IF(OR(M3406="PENDENTE",M3406="PARCIAL"),"🟡 FATURAMENTO PENDENTE","🟡 EMBARQUE PENDENTE")))))))))))</f>
        <v/>
      </c>
      <c r="D3406" s="4" t="n"/>
      <c r="E3406" s="5" t="n"/>
      <c r="F3406" s="5" t="n"/>
      <c r="G3406" s="5" t="n"/>
      <c r="H3406" s="5" t="n"/>
      <c r="I3406" s="5" t="n"/>
      <c r="J3406" s="6" t="n"/>
      <c r="K3406" s="6" t="n"/>
      <c r="L3406" s="7">
        <f>IF(OR(D3406="",N(J3406)=0),"",MIN(1,N(K3406)/J3406))</f>
        <v/>
      </c>
      <c r="M3406" s="5" t="n"/>
      <c r="N3406" s="5" t="n"/>
      <c r="O3406" s="5" t="n"/>
      <c r="P3406" s="5" t="n"/>
      <c r="Q3406" s="5" t="n"/>
      <c r="R3406" s="4" t="n"/>
      <c r="S3406" s="4" t="n"/>
      <c r="T3406" s="5" t="n"/>
      <c r="U3406" s="8">
        <f>IF(AND(V3406=1,D3406&lt;&gt;""),IF(D3406&gt;=corte,TODAY()-D3406,""),"")</f>
        <v/>
      </c>
      <c r="V3406" s="8">
        <f>IF(D3406="",0,IF(OR(AND(P3406&lt;&gt;"",S3406=""),AND(N(J3406)&gt;0,N(K3406)&lt;J3406),OR(M3406="PENDENTE",M3406="PARCIAL"),OR(N3406="PENDENTE",N3406="PARCIAL")),1,0))</f>
        <v/>
      </c>
      <c r="W3406" s="8">
        <f>IF(AND(V3406=1,D3406&lt;&gt;""),IF(D3406&gt;=corte,(B3406="CRÍTICO")*1E9+(100000-D3406)*10000+10000-ROW(),""),"")</f>
        <v/>
      </c>
      <c r="X3406" s="8">
        <f>IF(AND(V3406=1,D3406=pas_data,E3406=pas_turno),10000-ROW(),"")</f>
        <v/>
      </c>
    </row>
    <row r="3407">
      <c r="A3407" s="3">
        <f>IF(D3407="","","TT-"&amp;TEXT(ROW()-1,"00000"))</f>
        <v/>
      </c>
      <c r="B3407" s="3">
        <f>IF(D3407="","",IF(V3407=0,"CONCLUÍDO",IF(D3407&lt;corte,"HISTÓRICO",IF(OR(AND(ISNUMBER(R3407),R3407&lt;TODAY()),AND(OR(N3407="PENDENTE",N3407="PARCIAL"),D3407&lt;TODAY()-1)),"CRÍTICO",IF(OR(AND(P3407&lt;&gt;"",S3407=""),AND(N3407="REALIZADO",M3407="PENDENTE"),AND(ISNUMBER(R3407),R3407=TODAY())),"ATENÇÃO",IF(N(K3407)=0,"PENDENTE","EM ANDAMENTO"))))))</f>
        <v/>
      </c>
      <c r="C3407" s="3">
        <f>IF(D3407="","",IF(V3407=0,"🟢 OK",IF(D3407&lt;corte,"⚪ HISTÓRICO (sem baixa)",IF(AND(ISNUMBER(R3407),R3407&lt;TODAY()),"🔴 PRAZO VENCIDO",IF(AND(OR(N3407="PENDENTE",N3407="PARCIAL"),D3407&lt;TODAY()-1),"🔴 EMBARQUE ATRASADO",IF(AND(N3407="REALIZADO",M3407="PENDENTE"),"🟡 EMBARCADO SEM FATURAR",IF(AND(P3407&lt;&gt;"",S3407="",OR(Q3407="",R3407="")),"🟡 PENDÊNCIA SEM RESPONSÁVEL/PRAZO",IF(AND(ISNUMBER(R3407),R3407=TODAY()),"🟡 VENCE HOJE",IF(AND(P3407&lt;&gt;"",S3407=""),"🟡 PENDÊNCIA ABERTA",IF(AND(N(J3407)&gt;0,N(K3407)&lt;J3407),"🟡 FALTA EXECUTAR",IF(OR(M3407="PENDENTE",M3407="PARCIAL"),"🟡 FATURAMENTO PENDENTE","🟡 EMBARQUE PENDENTE")))))))))))</f>
        <v/>
      </c>
      <c r="D3407" s="4" t="n"/>
      <c r="E3407" s="5" t="n"/>
      <c r="F3407" s="5" t="n"/>
      <c r="G3407" s="5" t="n"/>
      <c r="H3407" s="5" t="n"/>
      <c r="I3407" s="5" t="n"/>
      <c r="J3407" s="6" t="n"/>
      <c r="K3407" s="6" t="n"/>
      <c r="L3407" s="7">
        <f>IF(OR(D3407="",N(J3407)=0),"",MIN(1,N(K3407)/J3407))</f>
        <v/>
      </c>
      <c r="M3407" s="5" t="n"/>
      <c r="N3407" s="5" t="n"/>
      <c r="O3407" s="5" t="n"/>
      <c r="P3407" s="5" t="n"/>
      <c r="Q3407" s="5" t="n"/>
      <c r="R3407" s="4" t="n"/>
      <c r="S3407" s="4" t="n"/>
      <c r="T3407" s="5" t="n"/>
      <c r="U3407" s="8">
        <f>IF(AND(V3407=1,D3407&lt;&gt;""),IF(D3407&gt;=corte,TODAY()-D3407,""),"")</f>
        <v/>
      </c>
      <c r="V3407" s="8">
        <f>IF(D3407="",0,IF(OR(AND(P3407&lt;&gt;"",S3407=""),AND(N(J3407)&gt;0,N(K3407)&lt;J3407),OR(M3407="PENDENTE",M3407="PARCIAL"),OR(N3407="PENDENTE",N3407="PARCIAL")),1,0))</f>
        <v/>
      </c>
      <c r="W3407" s="8">
        <f>IF(AND(V3407=1,D3407&lt;&gt;""),IF(D3407&gt;=corte,(B3407="CRÍTICO")*1E9+(100000-D3407)*10000+10000-ROW(),""),"")</f>
        <v/>
      </c>
      <c r="X3407" s="8">
        <f>IF(AND(V3407=1,D3407=pas_data,E3407=pas_turno),10000-ROW(),"")</f>
        <v/>
      </c>
    </row>
    <row r="3408">
      <c r="A3408" s="3">
        <f>IF(D3408="","","TT-"&amp;TEXT(ROW()-1,"00000"))</f>
        <v/>
      </c>
      <c r="B3408" s="3">
        <f>IF(D3408="","",IF(V3408=0,"CONCLUÍDO",IF(D3408&lt;corte,"HISTÓRICO",IF(OR(AND(ISNUMBER(R3408),R3408&lt;TODAY()),AND(OR(N3408="PENDENTE",N3408="PARCIAL"),D3408&lt;TODAY()-1)),"CRÍTICO",IF(OR(AND(P3408&lt;&gt;"",S3408=""),AND(N3408="REALIZADO",M3408="PENDENTE"),AND(ISNUMBER(R3408),R3408=TODAY())),"ATENÇÃO",IF(N(K3408)=0,"PENDENTE","EM ANDAMENTO"))))))</f>
        <v/>
      </c>
      <c r="C3408" s="3">
        <f>IF(D3408="","",IF(V3408=0,"🟢 OK",IF(D3408&lt;corte,"⚪ HISTÓRICO (sem baixa)",IF(AND(ISNUMBER(R3408),R3408&lt;TODAY()),"🔴 PRAZO VENCIDO",IF(AND(OR(N3408="PENDENTE",N3408="PARCIAL"),D3408&lt;TODAY()-1),"🔴 EMBARQUE ATRASADO",IF(AND(N3408="REALIZADO",M3408="PENDENTE"),"🟡 EMBARCADO SEM FATURAR",IF(AND(P3408&lt;&gt;"",S3408="",OR(Q3408="",R3408="")),"🟡 PENDÊNCIA SEM RESPONSÁVEL/PRAZO",IF(AND(ISNUMBER(R3408),R3408=TODAY()),"🟡 VENCE HOJE",IF(AND(P3408&lt;&gt;"",S3408=""),"🟡 PENDÊNCIA ABERTA",IF(AND(N(J3408)&gt;0,N(K3408)&lt;J3408),"🟡 FALTA EXECUTAR",IF(OR(M3408="PENDENTE",M3408="PARCIAL"),"🟡 FATURAMENTO PENDENTE","🟡 EMBARQUE PENDENTE")))))))))))</f>
        <v/>
      </c>
      <c r="D3408" s="4" t="n"/>
      <c r="E3408" s="5" t="n"/>
      <c r="F3408" s="5" t="n"/>
      <c r="G3408" s="5" t="n"/>
      <c r="H3408" s="5" t="n"/>
      <c r="I3408" s="5" t="n"/>
      <c r="J3408" s="6" t="n"/>
      <c r="K3408" s="6" t="n"/>
      <c r="L3408" s="7">
        <f>IF(OR(D3408="",N(J3408)=0),"",MIN(1,N(K3408)/J3408))</f>
        <v/>
      </c>
      <c r="M3408" s="5" t="n"/>
      <c r="N3408" s="5" t="n"/>
      <c r="O3408" s="5" t="n"/>
      <c r="P3408" s="5" t="n"/>
      <c r="Q3408" s="5" t="n"/>
      <c r="R3408" s="4" t="n"/>
      <c r="S3408" s="4" t="n"/>
      <c r="T3408" s="5" t="n"/>
      <c r="U3408" s="8">
        <f>IF(AND(V3408=1,D3408&lt;&gt;""),IF(D3408&gt;=corte,TODAY()-D3408,""),"")</f>
        <v/>
      </c>
      <c r="V3408" s="8">
        <f>IF(D3408="",0,IF(OR(AND(P3408&lt;&gt;"",S3408=""),AND(N(J3408)&gt;0,N(K3408)&lt;J3408),OR(M3408="PENDENTE",M3408="PARCIAL"),OR(N3408="PENDENTE",N3408="PARCIAL")),1,0))</f>
        <v/>
      </c>
      <c r="W3408" s="8">
        <f>IF(AND(V3408=1,D3408&lt;&gt;""),IF(D3408&gt;=corte,(B3408="CRÍTICO")*1E9+(100000-D3408)*10000+10000-ROW(),""),"")</f>
        <v/>
      </c>
      <c r="X3408" s="8">
        <f>IF(AND(V3408=1,D3408=pas_data,E3408=pas_turno),10000-ROW(),"")</f>
        <v/>
      </c>
    </row>
    <row r="3409">
      <c r="A3409" s="3">
        <f>IF(D3409="","","TT-"&amp;TEXT(ROW()-1,"00000"))</f>
        <v/>
      </c>
      <c r="B3409" s="3">
        <f>IF(D3409="","",IF(V3409=0,"CONCLUÍDO",IF(D3409&lt;corte,"HISTÓRICO",IF(OR(AND(ISNUMBER(R3409),R3409&lt;TODAY()),AND(OR(N3409="PENDENTE",N3409="PARCIAL"),D3409&lt;TODAY()-1)),"CRÍTICO",IF(OR(AND(P3409&lt;&gt;"",S3409=""),AND(N3409="REALIZADO",M3409="PENDENTE"),AND(ISNUMBER(R3409),R3409=TODAY())),"ATENÇÃO",IF(N(K3409)=0,"PENDENTE","EM ANDAMENTO"))))))</f>
        <v/>
      </c>
      <c r="C3409" s="3">
        <f>IF(D3409="","",IF(V3409=0,"🟢 OK",IF(D3409&lt;corte,"⚪ HISTÓRICO (sem baixa)",IF(AND(ISNUMBER(R3409),R3409&lt;TODAY()),"🔴 PRAZO VENCIDO",IF(AND(OR(N3409="PENDENTE",N3409="PARCIAL"),D3409&lt;TODAY()-1),"🔴 EMBARQUE ATRASADO",IF(AND(N3409="REALIZADO",M3409="PENDENTE"),"🟡 EMBARCADO SEM FATURAR",IF(AND(P3409&lt;&gt;"",S3409="",OR(Q3409="",R3409="")),"🟡 PENDÊNCIA SEM RESPONSÁVEL/PRAZO",IF(AND(ISNUMBER(R3409),R3409=TODAY()),"🟡 VENCE HOJE",IF(AND(P3409&lt;&gt;"",S3409=""),"🟡 PENDÊNCIA ABERTA",IF(AND(N(J3409)&gt;0,N(K3409)&lt;J3409),"🟡 FALTA EXECUTAR",IF(OR(M3409="PENDENTE",M3409="PARCIAL"),"🟡 FATURAMENTO PENDENTE","🟡 EMBARQUE PENDENTE")))))))))))</f>
        <v/>
      </c>
      <c r="D3409" s="4" t="n"/>
      <c r="E3409" s="5" t="n"/>
      <c r="F3409" s="5" t="n"/>
      <c r="G3409" s="5" t="n"/>
      <c r="H3409" s="5" t="n"/>
      <c r="I3409" s="5" t="n"/>
      <c r="J3409" s="6" t="n"/>
      <c r="K3409" s="6" t="n"/>
      <c r="L3409" s="7">
        <f>IF(OR(D3409="",N(J3409)=0),"",MIN(1,N(K3409)/J3409))</f>
        <v/>
      </c>
      <c r="M3409" s="5" t="n"/>
      <c r="N3409" s="5" t="n"/>
      <c r="O3409" s="5" t="n"/>
      <c r="P3409" s="5" t="n"/>
      <c r="Q3409" s="5" t="n"/>
      <c r="R3409" s="4" t="n"/>
      <c r="S3409" s="4" t="n"/>
      <c r="T3409" s="5" t="n"/>
      <c r="U3409" s="8">
        <f>IF(AND(V3409=1,D3409&lt;&gt;""),IF(D3409&gt;=corte,TODAY()-D3409,""),"")</f>
        <v/>
      </c>
      <c r="V3409" s="8">
        <f>IF(D3409="",0,IF(OR(AND(P3409&lt;&gt;"",S3409=""),AND(N(J3409)&gt;0,N(K3409)&lt;J3409),OR(M3409="PENDENTE",M3409="PARCIAL"),OR(N3409="PENDENTE",N3409="PARCIAL")),1,0))</f>
        <v/>
      </c>
      <c r="W3409" s="8">
        <f>IF(AND(V3409=1,D3409&lt;&gt;""),IF(D3409&gt;=corte,(B3409="CRÍTICO")*1E9+(100000-D3409)*10000+10000-ROW(),""),"")</f>
        <v/>
      </c>
      <c r="X3409" s="8">
        <f>IF(AND(V3409=1,D3409=pas_data,E3409=pas_turno),10000-ROW(),"")</f>
        <v/>
      </c>
    </row>
    <row r="3410">
      <c r="A3410" s="3">
        <f>IF(D3410="","","TT-"&amp;TEXT(ROW()-1,"00000"))</f>
        <v/>
      </c>
      <c r="B3410" s="3">
        <f>IF(D3410="","",IF(V3410=0,"CONCLUÍDO",IF(D3410&lt;corte,"HISTÓRICO",IF(OR(AND(ISNUMBER(R3410),R3410&lt;TODAY()),AND(OR(N3410="PENDENTE",N3410="PARCIAL"),D3410&lt;TODAY()-1)),"CRÍTICO",IF(OR(AND(P3410&lt;&gt;"",S3410=""),AND(N3410="REALIZADO",M3410="PENDENTE"),AND(ISNUMBER(R3410),R3410=TODAY())),"ATENÇÃO",IF(N(K3410)=0,"PENDENTE","EM ANDAMENTO"))))))</f>
        <v/>
      </c>
      <c r="C3410" s="3">
        <f>IF(D3410="","",IF(V3410=0,"🟢 OK",IF(D3410&lt;corte,"⚪ HISTÓRICO (sem baixa)",IF(AND(ISNUMBER(R3410),R3410&lt;TODAY()),"🔴 PRAZO VENCIDO",IF(AND(OR(N3410="PENDENTE",N3410="PARCIAL"),D3410&lt;TODAY()-1),"🔴 EMBARQUE ATRASADO",IF(AND(N3410="REALIZADO",M3410="PENDENTE"),"🟡 EMBARCADO SEM FATURAR",IF(AND(P3410&lt;&gt;"",S3410="",OR(Q3410="",R3410="")),"🟡 PENDÊNCIA SEM RESPONSÁVEL/PRAZO",IF(AND(ISNUMBER(R3410),R3410=TODAY()),"🟡 VENCE HOJE",IF(AND(P3410&lt;&gt;"",S3410=""),"🟡 PENDÊNCIA ABERTA",IF(AND(N(J3410)&gt;0,N(K3410)&lt;J3410),"🟡 FALTA EXECUTAR",IF(OR(M3410="PENDENTE",M3410="PARCIAL"),"🟡 FATURAMENTO PENDENTE","🟡 EMBARQUE PENDENTE")))))))))))</f>
        <v/>
      </c>
      <c r="D3410" s="4" t="n"/>
      <c r="E3410" s="5" t="n"/>
      <c r="F3410" s="5" t="n"/>
      <c r="G3410" s="5" t="n"/>
      <c r="H3410" s="5" t="n"/>
      <c r="I3410" s="5" t="n"/>
      <c r="J3410" s="6" t="n"/>
      <c r="K3410" s="6" t="n"/>
      <c r="L3410" s="7">
        <f>IF(OR(D3410="",N(J3410)=0),"",MIN(1,N(K3410)/J3410))</f>
        <v/>
      </c>
      <c r="M3410" s="5" t="n"/>
      <c r="N3410" s="5" t="n"/>
      <c r="O3410" s="5" t="n"/>
      <c r="P3410" s="5" t="n"/>
      <c r="Q3410" s="5" t="n"/>
      <c r="R3410" s="4" t="n"/>
      <c r="S3410" s="4" t="n"/>
      <c r="T3410" s="5" t="n"/>
      <c r="U3410" s="8">
        <f>IF(AND(V3410=1,D3410&lt;&gt;""),IF(D3410&gt;=corte,TODAY()-D3410,""),"")</f>
        <v/>
      </c>
      <c r="V3410" s="8">
        <f>IF(D3410="",0,IF(OR(AND(P3410&lt;&gt;"",S3410=""),AND(N(J3410)&gt;0,N(K3410)&lt;J3410),OR(M3410="PENDENTE",M3410="PARCIAL"),OR(N3410="PENDENTE",N3410="PARCIAL")),1,0))</f>
        <v/>
      </c>
      <c r="W3410" s="8">
        <f>IF(AND(V3410=1,D3410&lt;&gt;""),IF(D3410&gt;=corte,(B3410="CRÍTICO")*1E9+(100000-D3410)*10000+10000-ROW(),""),"")</f>
        <v/>
      </c>
      <c r="X3410" s="8">
        <f>IF(AND(V3410=1,D3410=pas_data,E3410=pas_turno),10000-ROW(),"")</f>
        <v/>
      </c>
    </row>
    <row r="3411">
      <c r="A3411" s="3">
        <f>IF(D3411="","","TT-"&amp;TEXT(ROW()-1,"00000"))</f>
        <v/>
      </c>
      <c r="B3411" s="3">
        <f>IF(D3411="","",IF(V3411=0,"CONCLUÍDO",IF(D3411&lt;corte,"HISTÓRICO",IF(OR(AND(ISNUMBER(R3411),R3411&lt;TODAY()),AND(OR(N3411="PENDENTE",N3411="PARCIAL"),D3411&lt;TODAY()-1)),"CRÍTICO",IF(OR(AND(P3411&lt;&gt;"",S3411=""),AND(N3411="REALIZADO",M3411="PENDENTE"),AND(ISNUMBER(R3411),R3411=TODAY())),"ATENÇÃO",IF(N(K3411)=0,"PENDENTE","EM ANDAMENTO"))))))</f>
        <v/>
      </c>
      <c r="C3411" s="3">
        <f>IF(D3411="","",IF(V3411=0,"🟢 OK",IF(D3411&lt;corte,"⚪ HISTÓRICO (sem baixa)",IF(AND(ISNUMBER(R3411),R3411&lt;TODAY()),"🔴 PRAZO VENCIDO",IF(AND(OR(N3411="PENDENTE",N3411="PARCIAL"),D3411&lt;TODAY()-1),"🔴 EMBARQUE ATRASADO",IF(AND(N3411="REALIZADO",M3411="PENDENTE"),"🟡 EMBARCADO SEM FATURAR",IF(AND(P3411&lt;&gt;"",S3411="",OR(Q3411="",R3411="")),"🟡 PENDÊNCIA SEM RESPONSÁVEL/PRAZO",IF(AND(ISNUMBER(R3411),R3411=TODAY()),"🟡 VENCE HOJE",IF(AND(P3411&lt;&gt;"",S3411=""),"🟡 PENDÊNCIA ABERTA",IF(AND(N(J3411)&gt;0,N(K3411)&lt;J3411),"🟡 FALTA EXECUTAR",IF(OR(M3411="PENDENTE",M3411="PARCIAL"),"🟡 FATURAMENTO PENDENTE","🟡 EMBARQUE PENDENTE")))))))))))</f>
        <v/>
      </c>
      <c r="D3411" s="4" t="n"/>
      <c r="E3411" s="5" t="n"/>
      <c r="F3411" s="5" t="n"/>
      <c r="G3411" s="5" t="n"/>
      <c r="H3411" s="5" t="n"/>
      <c r="I3411" s="5" t="n"/>
      <c r="J3411" s="6" t="n"/>
      <c r="K3411" s="6" t="n"/>
      <c r="L3411" s="7">
        <f>IF(OR(D3411="",N(J3411)=0),"",MIN(1,N(K3411)/J3411))</f>
        <v/>
      </c>
      <c r="M3411" s="5" t="n"/>
      <c r="N3411" s="5" t="n"/>
      <c r="O3411" s="5" t="n"/>
      <c r="P3411" s="5" t="n"/>
      <c r="Q3411" s="5" t="n"/>
      <c r="R3411" s="4" t="n"/>
      <c r="S3411" s="4" t="n"/>
      <c r="T3411" s="5" t="n"/>
      <c r="U3411" s="8">
        <f>IF(AND(V3411=1,D3411&lt;&gt;""),IF(D3411&gt;=corte,TODAY()-D3411,""),"")</f>
        <v/>
      </c>
      <c r="V3411" s="8">
        <f>IF(D3411="",0,IF(OR(AND(P3411&lt;&gt;"",S3411=""),AND(N(J3411)&gt;0,N(K3411)&lt;J3411),OR(M3411="PENDENTE",M3411="PARCIAL"),OR(N3411="PENDENTE",N3411="PARCIAL")),1,0))</f>
        <v/>
      </c>
      <c r="W3411" s="8">
        <f>IF(AND(V3411=1,D3411&lt;&gt;""),IF(D3411&gt;=corte,(B3411="CRÍTICO")*1E9+(100000-D3411)*10000+10000-ROW(),""),"")</f>
        <v/>
      </c>
      <c r="X3411" s="8">
        <f>IF(AND(V3411=1,D3411=pas_data,E3411=pas_turno),10000-ROW(),"")</f>
        <v/>
      </c>
    </row>
    <row r="3412">
      <c r="A3412" s="3">
        <f>IF(D3412="","","TT-"&amp;TEXT(ROW()-1,"00000"))</f>
        <v/>
      </c>
      <c r="B3412" s="3">
        <f>IF(D3412="","",IF(V3412=0,"CONCLUÍDO",IF(D3412&lt;corte,"HISTÓRICO",IF(OR(AND(ISNUMBER(R3412),R3412&lt;TODAY()),AND(OR(N3412="PENDENTE",N3412="PARCIAL"),D3412&lt;TODAY()-1)),"CRÍTICO",IF(OR(AND(P3412&lt;&gt;"",S3412=""),AND(N3412="REALIZADO",M3412="PENDENTE"),AND(ISNUMBER(R3412),R3412=TODAY())),"ATENÇÃO",IF(N(K3412)=0,"PENDENTE","EM ANDAMENTO"))))))</f>
        <v/>
      </c>
      <c r="C3412" s="3">
        <f>IF(D3412="","",IF(V3412=0,"🟢 OK",IF(D3412&lt;corte,"⚪ HISTÓRICO (sem baixa)",IF(AND(ISNUMBER(R3412),R3412&lt;TODAY()),"🔴 PRAZO VENCIDO",IF(AND(OR(N3412="PENDENTE",N3412="PARCIAL"),D3412&lt;TODAY()-1),"🔴 EMBARQUE ATRASADO",IF(AND(N3412="REALIZADO",M3412="PENDENTE"),"🟡 EMBARCADO SEM FATURAR",IF(AND(P3412&lt;&gt;"",S3412="",OR(Q3412="",R3412="")),"🟡 PENDÊNCIA SEM RESPONSÁVEL/PRAZO",IF(AND(ISNUMBER(R3412),R3412=TODAY()),"🟡 VENCE HOJE",IF(AND(P3412&lt;&gt;"",S3412=""),"🟡 PENDÊNCIA ABERTA",IF(AND(N(J3412)&gt;0,N(K3412)&lt;J3412),"🟡 FALTA EXECUTAR",IF(OR(M3412="PENDENTE",M3412="PARCIAL"),"🟡 FATURAMENTO PENDENTE","🟡 EMBARQUE PENDENTE")))))))))))</f>
        <v/>
      </c>
      <c r="D3412" s="4" t="n"/>
      <c r="E3412" s="5" t="n"/>
      <c r="F3412" s="5" t="n"/>
      <c r="G3412" s="5" t="n"/>
      <c r="H3412" s="5" t="n"/>
      <c r="I3412" s="5" t="n"/>
      <c r="J3412" s="6" t="n"/>
      <c r="K3412" s="6" t="n"/>
      <c r="L3412" s="7">
        <f>IF(OR(D3412="",N(J3412)=0),"",MIN(1,N(K3412)/J3412))</f>
        <v/>
      </c>
      <c r="M3412" s="5" t="n"/>
      <c r="N3412" s="5" t="n"/>
      <c r="O3412" s="5" t="n"/>
      <c r="P3412" s="5" t="n"/>
      <c r="Q3412" s="5" t="n"/>
      <c r="R3412" s="4" t="n"/>
      <c r="S3412" s="4" t="n"/>
      <c r="T3412" s="5" t="n"/>
      <c r="U3412" s="8">
        <f>IF(AND(V3412=1,D3412&lt;&gt;""),IF(D3412&gt;=corte,TODAY()-D3412,""),"")</f>
        <v/>
      </c>
      <c r="V3412" s="8">
        <f>IF(D3412="",0,IF(OR(AND(P3412&lt;&gt;"",S3412=""),AND(N(J3412)&gt;0,N(K3412)&lt;J3412),OR(M3412="PENDENTE",M3412="PARCIAL"),OR(N3412="PENDENTE",N3412="PARCIAL")),1,0))</f>
        <v/>
      </c>
      <c r="W3412" s="8">
        <f>IF(AND(V3412=1,D3412&lt;&gt;""),IF(D3412&gt;=corte,(B3412="CRÍTICO")*1E9+(100000-D3412)*10000+10000-ROW(),""),"")</f>
        <v/>
      </c>
      <c r="X3412" s="8">
        <f>IF(AND(V3412=1,D3412=pas_data,E3412=pas_turno),10000-ROW(),"")</f>
        <v/>
      </c>
    </row>
    <row r="3413">
      <c r="A3413" s="3">
        <f>IF(D3413="","","TT-"&amp;TEXT(ROW()-1,"00000"))</f>
        <v/>
      </c>
      <c r="B3413" s="3">
        <f>IF(D3413="","",IF(V3413=0,"CONCLUÍDO",IF(D3413&lt;corte,"HISTÓRICO",IF(OR(AND(ISNUMBER(R3413),R3413&lt;TODAY()),AND(OR(N3413="PENDENTE",N3413="PARCIAL"),D3413&lt;TODAY()-1)),"CRÍTICO",IF(OR(AND(P3413&lt;&gt;"",S3413=""),AND(N3413="REALIZADO",M3413="PENDENTE"),AND(ISNUMBER(R3413),R3413=TODAY())),"ATENÇÃO",IF(N(K3413)=0,"PENDENTE","EM ANDAMENTO"))))))</f>
        <v/>
      </c>
      <c r="C3413" s="3">
        <f>IF(D3413="","",IF(V3413=0,"🟢 OK",IF(D3413&lt;corte,"⚪ HISTÓRICO (sem baixa)",IF(AND(ISNUMBER(R3413),R3413&lt;TODAY()),"🔴 PRAZO VENCIDO",IF(AND(OR(N3413="PENDENTE",N3413="PARCIAL"),D3413&lt;TODAY()-1),"🔴 EMBARQUE ATRASADO",IF(AND(N3413="REALIZADO",M3413="PENDENTE"),"🟡 EMBARCADO SEM FATURAR",IF(AND(P3413&lt;&gt;"",S3413="",OR(Q3413="",R3413="")),"🟡 PENDÊNCIA SEM RESPONSÁVEL/PRAZO",IF(AND(ISNUMBER(R3413),R3413=TODAY()),"🟡 VENCE HOJE",IF(AND(P3413&lt;&gt;"",S3413=""),"🟡 PENDÊNCIA ABERTA",IF(AND(N(J3413)&gt;0,N(K3413)&lt;J3413),"🟡 FALTA EXECUTAR",IF(OR(M3413="PENDENTE",M3413="PARCIAL"),"🟡 FATURAMENTO PENDENTE","🟡 EMBARQUE PENDENTE")))))))))))</f>
        <v/>
      </c>
      <c r="D3413" s="4" t="n"/>
      <c r="E3413" s="5" t="n"/>
      <c r="F3413" s="5" t="n"/>
      <c r="G3413" s="5" t="n"/>
      <c r="H3413" s="5" t="n"/>
      <c r="I3413" s="5" t="n"/>
      <c r="J3413" s="6" t="n"/>
      <c r="K3413" s="6" t="n"/>
      <c r="L3413" s="7">
        <f>IF(OR(D3413="",N(J3413)=0),"",MIN(1,N(K3413)/J3413))</f>
        <v/>
      </c>
      <c r="M3413" s="5" t="n"/>
      <c r="N3413" s="5" t="n"/>
      <c r="O3413" s="5" t="n"/>
      <c r="P3413" s="5" t="n"/>
      <c r="Q3413" s="5" t="n"/>
      <c r="R3413" s="4" t="n"/>
      <c r="S3413" s="4" t="n"/>
      <c r="T3413" s="5" t="n"/>
      <c r="U3413" s="8">
        <f>IF(AND(V3413=1,D3413&lt;&gt;""),IF(D3413&gt;=corte,TODAY()-D3413,""),"")</f>
        <v/>
      </c>
      <c r="V3413" s="8">
        <f>IF(D3413="",0,IF(OR(AND(P3413&lt;&gt;"",S3413=""),AND(N(J3413)&gt;0,N(K3413)&lt;J3413),OR(M3413="PENDENTE",M3413="PARCIAL"),OR(N3413="PENDENTE",N3413="PARCIAL")),1,0))</f>
        <v/>
      </c>
      <c r="W3413" s="8">
        <f>IF(AND(V3413=1,D3413&lt;&gt;""),IF(D3413&gt;=corte,(B3413="CRÍTICO")*1E9+(100000-D3413)*10000+10000-ROW(),""),"")</f>
        <v/>
      </c>
      <c r="X3413" s="8">
        <f>IF(AND(V3413=1,D3413=pas_data,E3413=pas_turno),10000-ROW(),"")</f>
        <v/>
      </c>
    </row>
    <row r="3414">
      <c r="A3414" s="3">
        <f>IF(D3414="","","TT-"&amp;TEXT(ROW()-1,"00000"))</f>
        <v/>
      </c>
      <c r="B3414" s="3">
        <f>IF(D3414="","",IF(V3414=0,"CONCLUÍDO",IF(D3414&lt;corte,"HISTÓRICO",IF(OR(AND(ISNUMBER(R3414),R3414&lt;TODAY()),AND(OR(N3414="PENDENTE",N3414="PARCIAL"),D3414&lt;TODAY()-1)),"CRÍTICO",IF(OR(AND(P3414&lt;&gt;"",S3414=""),AND(N3414="REALIZADO",M3414="PENDENTE"),AND(ISNUMBER(R3414),R3414=TODAY())),"ATENÇÃO",IF(N(K3414)=0,"PENDENTE","EM ANDAMENTO"))))))</f>
        <v/>
      </c>
      <c r="C3414" s="3">
        <f>IF(D3414="","",IF(V3414=0,"🟢 OK",IF(D3414&lt;corte,"⚪ HISTÓRICO (sem baixa)",IF(AND(ISNUMBER(R3414),R3414&lt;TODAY()),"🔴 PRAZO VENCIDO",IF(AND(OR(N3414="PENDENTE",N3414="PARCIAL"),D3414&lt;TODAY()-1),"🔴 EMBARQUE ATRASADO",IF(AND(N3414="REALIZADO",M3414="PENDENTE"),"🟡 EMBARCADO SEM FATURAR",IF(AND(P3414&lt;&gt;"",S3414="",OR(Q3414="",R3414="")),"🟡 PENDÊNCIA SEM RESPONSÁVEL/PRAZO",IF(AND(ISNUMBER(R3414),R3414=TODAY()),"🟡 VENCE HOJE",IF(AND(P3414&lt;&gt;"",S3414=""),"🟡 PENDÊNCIA ABERTA",IF(AND(N(J3414)&gt;0,N(K3414)&lt;J3414),"🟡 FALTA EXECUTAR",IF(OR(M3414="PENDENTE",M3414="PARCIAL"),"🟡 FATURAMENTO PENDENTE","🟡 EMBARQUE PENDENTE")))))))))))</f>
        <v/>
      </c>
      <c r="D3414" s="4" t="n"/>
      <c r="E3414" s="5" t="n"/>
      <c r="F3414" s="5" t="n"/>
      <c r="G3414" s="5" t="n"/>
      <c r="H3414" s="5" t="n"/>
      <c r="I3414" s="5" t="n"/>
      <c r="J3414" s="6" t="n"/>
      <c r="K3414" s="6" t="n"/>
      <c r="L3414" s="7">
        <f>IF(OR(D3414="",N(J3414)=0),"",MIN(1,N(K3414)/J3414))</f>
        <v/>
      </c>
      <c r="M3414" s="5" t="n"/>
      <c r="N3414" s="5" t="n"/>
      <c r="O3414" s="5" t="n"/>
      <c r="P3414" s="5" t="n"/>
      <c r="Q3414" s="5" t="n"/>
      <c r="R3414" s="4" t="n"/>
      <c r="S3414" s="4" t="n"/>
      <c r="T3414" s="5" t="n"/>
      <c r="U3414" s="8">
        <f>IF(AND(V3414=1,D3414&lt;&gt;""),IF(D3414&gt;=corte,TODAY()-D3414,""),"")</f>
        <v/>
      </c>
      <c r="V3414" s="8">
        <f>IF(D3414="",0,IF(OR(AND(P3414&lt;&gt;"",S3414=""),AND(N(J3414)&gt;0,N(K3414)&lt;J3414),OR(M3414="PENDENTE",M3414="PARCIAL"),OR(N3414="PENDENTE",N3414="PARCIAL")),1,0))</f>
        <v/>
      </c>
      <c r="W3414" s="8">
        <f>IF(AND(V3414=1,D3414&lt;&gt;""),IF(D3414&gt;=corte,(B3414="CRÍTICO")*1E9+(100000-D3414)*10000+10000-ROW(),""),"")</f>
        <v/>
      </c>
      <c r="X3414" s="8">
        <f>IF(AND(V3414=1,D3414=pas_data,E3414=pas_turno),10000-ROW(),"")</f>
        <v/>
      </c>
    </row>
    <row r="3415">
      <c r="A3415" s="3">
        <f>IF(D3415="","","TT-"&amp;TEXT(ROW()-1,"00000"))</f>
        <v/>
      </c>
      <c r="B3415" s="3">
        <f>IF(D3415="","",IF(V3415=0,"CONCLUÍDO",IF(D3415&lt;corte,"HISTÓRICO",IF(OR(AND(ISNUMBER(R3415),R3415&lt;TODAY()),AND(OR(N3415="PENDENTE",N3415="PARCIAL"),D3415&lt;TODAY()-1)),"CRÍTICO",IF(OR(AND(P3415&lt;&gt;"",S3415=""),AND(N3415="REALIZADO",M3415="PENDENTE"),AND(ISNUMBER(R3415),R3415=TODAY())),"ATENÇÃO",IF(N(K3415)=0,"PENDENTE","EM ANDAMENTO"))))))</f>
        <v/>
      </c>
      <c r="C3415" s="3">
        <f>IF(D3415="","",IF(V3415=0,"🟢 OK",IF(D3415&lt;corte,"⚪ HISTÓRICO (sem baixa)",IF(AND(ISNUMBER(R3415),R3415&lt;TODAY()),"🔴 PRAZO VENCIDO",IF(AND(OR(N3415="PENDENTE",N3415="PARCIAL"),D3415&lt;TODAY()-1),"🔴 EMBARQUE ATRASADO",IF(AND(N3415="REALIZADO",M3415="PENDENTE"),"🟡 EMBARCADO SEM FATURAR",IF(AND(P3415&lt;&gt;"",S3415="",OR(Q3415="",R3415="")),"🟡 PENDÊNCIA SEM RESPONSÁVEL/PRAZO",IF(AND(ISNUMBER(R3415),R3415=TODAY()),"🟡 VENCE HOJE",IF(AND(P3415&lt;&gt;"",S3415=""),"🟡 PENDÊNCIA ABERTA",IF(AND(N(J3415)&gt;0,N(K3415)&lt;J3415),"🟡 FALTA EXECUTAR",IF(OR(M3415="PENDENTE",M3415="PARCIAL"),"🟡 FATURAMENTO PENDENTE","🟡 EMBARQUE PENDENTE")))))))))))</f>
        <v/>
      </c>
      <c r="D3415" s="4" t="n"/>
      <c r="E3415" s="5" t="n"/>
      <c r="F3415" s="5" t="n"/>
      <c r="G3415" s="5" t="n"/>
      <c r="H3415" s="5" t="n"/>
      <c r="I3415" s="5" t="n"/>
      <c r="J3415" s="6" t="n"/>
      <c r="K3415" s="6" t="n"/>
      <c r="L3415" s="7">
        <f>IF(OR(D3415="",N(J3415)=0),"",MIN(1,N(K3415)/J3415))</f>
        <v/>
      </c>
      <c r="M3415" s="5" t="n"/>
      <c r="N3415" s="5" t="n"/>
      <c r="O3415" s="5" t="n"/>
      <c r="P3415" s="5" t="n"/>
      <c r="Q3415" s="5" t="n"/>
      <c r="R3415" s="4" t="n"/>
      <c r="S3415" s="4" t="n"/>
      <c r="T3415" s="5" t="n"/>
      <c r="U3415" s="8">
        <f>IF(AND(V3415=1,D3415&lt;&gt;""),IF(D3415&gt;=corte,TODAY()-D3415,""),"")</f>
        <v/>
      </c>
      <c r="V3415" s="8">
        <f>IF(D3415="",0,IF(OR(AND(P3415&lt;&gt;"",S3415=""),AND(N(J3415)&gt;0,N(K3415)&lt;J3415),OR(M3415="PENDENTE",M3415="PARCIAL"),OR(N3415="PENDENTE",N3415="PARCIAL")),1,0))</f>
        <v/>
      </c>
      <c r="W3415" s="8">
        <f>IF(AND(V3415=1,D3415&lt;&gt;""),IF(D3415&gt;=corte,(B3415="CRÍTICO")*1E9+(100000-D3415)*10000+10000-ROW(),""),"")</f>
        <v/>
      </c>
      <c r="X3415" s="8">
        <f>IF(AND(V3415=1,D3415=pas_data,E3415=pas_turno),10000-ROW(),"")</f>
        <v/>
      </c>
    </row>
    <row r="3416">
      <c r="A3416" s="3">
        <f>IF(D3416="","","TT-"&amp;TEXT(ROW()-1,"00000"))</f>
        <v/>
      </c>
      <c r="B3416" s="3">
        <f>IF(D3416="","",IF(V3416=0,"CONCLUÍDO",IF(D3416&lt;corte,"HISTÓRICO",IF(OR(AND(ISNUMBER(R3416),R3416&lt;TODAY()),AND(OR(N3416="PENDENTE",N3416="PARCIAL"),D3416&lt;TODAY()-1)),"CRÍTICO",IF(OR(AND(P3416&lt;&gt;"",S3416=""),AND(N3416="REALIZADO",M3416="PENDENTE"),AND(ISNUMBER(R3416),R3416=TODAY())),"ATENÇÃO",IF(N(K3416)=0,"PENDENTE","EM ANDAMENTO"))))))</f>
        <v/>
      </c>
      <c r="C3416" s="3">
        <f>IF(D3416="","",IF(V3416=0,"🟢 OK",IF(D3416&lt;corte,"⚪ HISTÓRICO (sem baixa)",IF(AND(ISNUMBER(R3416),R3416&lt;TODAY()),"🔴 PRAZO VENCIDO",IF(AND(OR(N3416="PENDENTE",N3416="PARCIAL"),D3416&lt;TODAY()-1),"🔴 EMBARQUE ATRASADO",IF(AND(N3416="REALIZADO",M3416="PENDENTE"),"🟡 EMBARCADO SEM FATURAR",IF(AND(P3416&lt;&gt;"",S3416="",OR(Q3416="",R3416="")),"🟡 PENDÊNCIA SEM RESPONSÁVEL/PRAZO",IF(AND(ISNUMBER(R3416),R3416=TODAY()),"🟡 VENCE HOJE",IF(AND(P3416&lt;&gt;"",S3416=""),"🟡 PENDÊNCIA ABERTA",IF(AND(N(J3416)&gt;0,N(K3416)&lt;J3416),"🟡 FALTA EXECUTAR",IF(OR(M3416="PENDENTE",M3416="PARCIAL"),"🟡 FATURAMENTO PENDENTE","🟡 EMBARQUE PENDENTE")))))))))))</f>
        <v/>
      </c>
      <c r="D3416" s="4" t="n"/>
      <c r="E3416" s="5" t="n"/>
      <c r="F3416" s="5" t="n"/>
      <c r="G3416" s="5" t="n"/>
      <c r="H3416" s="5" t="n"/>
      <c r="I3416" s="5" t="n"/>
      <c r="J3416" s="6" t="n"/>
      <c r="K3416" s="6" t="n"/>
      <c r="L3416" s="7">
        <f>IF(OR(D3416="",N(J3416)=0),"",MIN(1,N(K3416)/J3416))</f>
        <v/>
      </c>
      <c r="M3416" s="5" t="n"/>
      <c r="N3416" s="5" t="n"/>
      <c r="O3416" s="5" t="n"/>
      <c r="P3416" s="5" t="n"/>
      <c r="Q3416" s="5" t="n"/>
      <c r="R3416" s="4" t="n"/>
      <c r="S3416" s="4" t="n"/>
      <c r="T3416" s="5" t="n"/>
      <c r="U3416" s="8">
        <f>IF(AND(V3416=1,D3416&lt;&gt;""),IF(D3416&gt;=corte,TODAY()-D3416,""),"")</f>
        <v/>
      </c>
      <c r="V3416" s="8">
        <f>IF(D3416="",0,IF(OR(AND(P3416&lt;&gt;"",S3416=""),AND(N(J3416)&gt;0,N(K3416)&lt;J3416),OR(M3416="PENDENTE",M3416="PARCIAL"),OR(N3416="PENDENTE",N3416="PARCIAL")),1,0))</f>
        <v/>
      </c>
      <c r="W3416" s="8">
        <f>IF(AND(V3416=1,D3416&lt;&gt;""),IF(D3416&gt;=corte,(B3416="CRÍTICO")*1E9+(100000-D3416)*10000+10000-ROW(),""),"")</f>
        <v/>
      </c>
      <c r="X3416" s="8">
        <f>IF(AND(V3416=1,D3416=pas_data,E3416=pas_turno),10000-ROW(),"")</f>
        <v/>
      </c>
    </row>
    <row r="3417">
      <c r="A3417" s="3">
        <f>IF(D3417="","","TT-"&amp;TEXT(ROW()-1,"00000"))</f>
        <v/>
      </c>
      <c r="B3417" s="3">
        <f>IF(D3417="","",IF(V3417=0,"CONCLUÍDO",IF(D3417&lt;corte,"HISTÓRICO",IF(OR(AND(ISNUMBER(R3417),R3417&lt;TODAY()),AND(OR(N3417="PENDENTE",N3417="PARCIAL"),D3417&lt;TODAY()-1)),"CRÍTICO",IF(OR(AND(P3417&lt;&gt;"",S3417=""),AND(N3417="REALIZADO",M3417="PENDENTE"),AND(ISNUMBER(R3417),R3417=TODAY())),"ATENÇÃO",IF(N(K3417)=0,"PENDENTE","EM ANDAMENTO"))))))</f>
        <v/>
      </c>
      <c r="C3417" s="3">
        <f>IF(D3417="","",IF(V3417=0,"🟢 OK",IF(D3417&lt;corte,"⚪ HISTÓRICO (sem baixa)",IF(AND(ISNUMBER(R3417),R3417&lt;TODAY()),"🔴 PRAZO VENCIDO",IF(AND(OR(N3417="PENDENTE",N3417="PARCIAL"),D3417&lt;TODAY()-1),"🔴 EMBARQUE ATRASADO",IF(AND(N3417="REALIZADO",M3417="PENDENTE"),"🟡 EMBARCADO SEM FATURAR",IF(AND(P3417&lt;&gt;"",S3417="",OR(Q3417="",R3417="")),"🟡 PENDÊNCIA SEM RESPONSÁVEL/PRAZO",IF(AND(ISNUMBER(R3417),R3417=TODAY()),"🟡 VENCE HOJE",IF(AND(P3417&lt;&gt;"",S3417=""),"🟡 PENDÊNCIA ABERTA",IF(AND(N(J3417)&gt;0,N(K3417)&lt;J3417),"🟡 FALTA EXECUTAR",IF(OR(M3417="PENDENTE",M3417="PARCIAL"),"🟡 FATURAMENTO PENDENTE","🟡 EMBARQUE PENDENTE")))))))))))</f>
        <v/>
      </c>
      <c r="D3417" s="4" t="n"/>
      <c r="E3417" s="5" t="n"/>
      <c r="F3417" s="5" t="n"/>
      <c r="G3417" s="5" t="n"/>
      <c r="H3417" s="5" t="n"/>
      <c r="I3417" s="5" t="n"/>
      <c r="J3417" s="6" t="n"/>
      <c r="K3417" s="6" t="n"/>
      <c r="L3417" s="7">
        <f>IF(OR(D3417="",N(J3417)=0),"",MIN(1,N(K3417)/J3417))</f>
        <v/>
      </c>
      <c r="M3417" s="5" t="n"/>
      <c r="N3417" s="5" t="n"/>
      <c r="O3417" s="5" t="n"/>
      <c r="P3417" s="5" t="n"/>
      <c r="Q3417" s="5" t="n"/>
      <c r="R3417" s="4" t="n"/>
      <c r="S3417" s="4" t="n"/>
      <c r="T3417" s="5" t="n"/>
      <c r="U3417" s="8">
        <f>IF(AND(V3417=1,D3417&lt;&gt;""),IF(D3417&gt;=corte,TODAY()-D3417,""),"")</f>
        <v/>
      </c>
      <c r="V3417" s="8">
        <f>IF(D3417="",0,IF(OR(AND(P3417&lt;&gt;"",S3417=""),AND(N(J3417)&gt;0,N(K3417)&lt;J3417),OR(M3417="PENDENTE",M3417="PARCIAL"),OR(N3417="PENDENTE",N3417="PARCIAL")),1,0))</f>
        <v/>
      </c>
      <c r="W3417" s="8">
        <f>IF(AND(V3417=1,D3417&lt;&gt;""),IF(D3417&gt;=corte,(B3417="CRÍTICO")*1E9+(100000-D3417)*10000+10000-ROW(),""),"")</f>
        <v/>
      </c>
      <c r="X3417" s="8">
        <f>IF(AND(V3417=1,D3417=pas_data,E3417=pas_turno),10000-ROW(),"")</f>
        <v/>
      </c>
    </row>
    <row r="3418">
      <c r="A3418" s="3">
        <f>IF(D3418="","","TT-"&amp;TEXT(ROW()-1,"00000"))</f>
        <v/>
      </c>
      <c r="B3418" s="3">
        <f>IF(D3418="","",IF(V3418=0,"CONCLUÍDO",IF(D3418&lt;corte,"HISTÓRICO",IF(OR(AND(ISNUMBER(R3418),R3418&lt;TODAY()),AND(OR(N3418="PENDENTE",N3418="PARCIAL"),D3418&lt;TODAY()-1)),"CRÍTICO",IF(OR(AND(P3418&lt;&gt;"",S3418=""),AND(N3418="REALIZADO",M3418="PENDENTE"),AND(ISNUMBER(R3418),R3418=TODAY())),"ATENÇÃO",IF(N(K3418)=0,"PENDENTE","EM ANDAMENTO"))))))</f>
        <v/>
      </c>
      <c r="C3418" s="3">
        <f>IF(D3418="","",IF(V3418=0,"🟢 OK",IF(D3418&lt;corte,"⚪ HISTÓRICO (sem baixa)",IF(AND(ISNUMBER(R3418),R3418&lt;TODAY()),"🔴 PRAZO VENCIDO",IF(AND(OR(N3418="PENDENTE",N3418="PARCIAL"),D3418&lt;TODAY()-1),"🔴 EMBARQUE ATRASADO",IF(AND(N3418="REALIZADO",M3418="PENDENTE"),"🟡 EMBARCADO SEM FATURAR",IF(AND(P3418&lt;&gt;"",S3418="",OR(Q3418="",R3418="")),"🟡 PENDÊNCIA SEM RESPONSÁVEL/PRAZO",IF(AND(ISNUMBER(R3418),R3418=TODAY()),"🟡 VENCE HOJE",IF(AND(P3418&lt;&gt;"",S3418=""),"🟡 PENDÊNCIA ABERTA",IF(AND(N(J3418)&gt;0,N(K3418)&lt;J3418),"🟡 FALTA EXECUTAR",IF(OR(M3418="PENDENTE",M3418="PARCIAL"),"🟡 FATURAMENTO PENDENTE","🟡 EMBARQUE PENDENTE")))))))))))</f>
        <v/>
      </c>
      <c r="D3418" s="4" t="n"/>
      <c r="E3418" s="5" t="n"/>
      <c r="F3418" s="5" t="n"/>
      <c r="G3418" s="5" t="n"/>
      <c r="H3418" s="5" t="n"/>
      <c r="I3418" s="5" t="n"/>
      <c r="J3418" s="6" t="n"/>
      <c r="K3418" s="6" t="n"/>
      <c r="L3418" s="7">
        <f>IF(OR(D3418="",N(J3418)=0),"",MIN(1,N(K3418)/J3418))</f>
        <v/>
      </c>
      <c r="M3418" s="5" t="n"/>
      <c r="N3418" s="5" t="n"/>
      <c r="O3418" s="5" t="n"/>
      <c r="P3418" s="5" t="n"/>
      <c r="Q3418" s="5" t="n"/>
      <c r="R3418" s="4" t="n"/>
      <c r="S3418" s="4" t="n"/>
      <c r="T3418" s="5" t="n"/>
      <c r="U3418" s="8">
        <f>IF(AND(V3418=1,D3418&lt;&gt;""),IF(D3418&gt;=corte,TODAY()-D3418,""),"")</f>
        <v/>
      </c>
      <c r="V3418" s="8">
        <f>IF(D3418="",0,IF(OR(AND(P3418&lt;&gt;"",S3418=""),AND(N(J3418)&gt;0,N(K3418)&lt;J3418),OR(M3418="PENDENTE",M3418="PARCIAL"),OR(N3418="PENDENTE",N3418="PARCIAL")),1,0))</f>
        <v/>
      </c>
      <c r="W3418" s="8">
        <f>IF(AND(V3418=1,D3418&lt;&gt;""),IF(D3418&gt;=corte,(B3418="CRÍTICO")*1E9+(100000-D3418)*10000+10000-ROW(),""),"")</f>
        <v/>
      </c>
      <c r="X3418" s="8">
        <f>IF(AND(V3418=1,D3418=pas_data,E3418=pas_turno),10000-ROW(),"")</f>
        <v/>
      </c>
    </row>
    <row r="3419">
      <c r="A3419" s="3">
        <f>IF(D3419="","","TT-"&amp;TEXT(ROW()-1,"00000"))</f>
        <v/>
      </c>
      <c r="B3419" s="3">
        <f>IF(D3419="","",IF(V3419=0,"CONCLUÍDO",IF(D3419&lt;corte,"HISTÓRICO",IF(OR(AND(ISNUMBER(R3419),R3419&lt;TODAY()),AND(OR(N3419="PENDENTE",N3419="PARCIAL"),D3419&lt;TODAY()-1)),"CRÍTICO",IF(OR(AND(P3419&lt;&gt;"",S3419=""),AND(N3419="REALIZADO",M3419="PENDENTE"),AND(ISNUMBER(R3419),R3419=TODAY())),"ATENÇÃO",IF(N(K3419)=0,"PENDENTE","EM ANDAMENTO"))))))</f>
        <v/>
      </c>
      <c r="C3419" s="3">
        <f>IF(D3419="","",IF(V3419=0,"🟢 OK",IF(D3419&lt;corte,"⚪ HISTÓRICO (sem baixa)",IF(AND(ISNUMBER(R3419),R3419&lt;TODAY()),"🔴 PRAZO VENCIDO",IF(AND(OR(N3419="PENDENTE",N3419="PARCIAL"),D3419&lt;TODAY()-1),"🔴 EMBARQUE ATRASADO",IF(AND(N3419="REALIZADO",M3419="PENDENTE"),"🟡 EMBARCADO SEM FATURAR",IF(AND(P3419&lt;&gt;"",S3419="",OR(Q3419="",R3419="")),"🟡 PENDÊNCIA SEM RESPONSÁVEL/PRAZO",IF(AND(ISNUMBER(R3419),R3419=TODAY()),"🟡 VENCE HOJE",IF(AND(P3419&lt;&gt;"",S3419=""),"🟡 PENDÊNCIA ABERTA",IF(AND(N(J3419)&gt;0,N(K3419)&lt;J3419),"🟡 FALTA EXECUTAR",IF(OR(M3419="PENDENTE",M3419="PARCIAL"),"🟡 FATURAMENTO PENDENTE","🟡 EMBARQUE PENDENTE")))))))))))</f>
        <v/>
      </c>
      <c r="D3419" s="4" t="n"/>
      <c r="E3419" s="5" t="n"/>
      <c r="F3419" s="5" t="n"/>
      <c r="G3419" s="5" t="n"/>
      <c r="H3419" s="5" t="n"/>
      <c r="I3419" s="5" t="n"/>
      <c r="J3419" s="6" t="n"/>
      <c r="K3419" s="6" t="n"/>
      <c r="L3419" s="7">
        <f>IF(OR(D3419="",N(J3419)=0),"",MIN(1,N(K3419)/J3419))</f>
        <v/>
      </c>
      <c r="M3419" s="5" t="n"/>
      <c r="N3419" s="5" t="n"/>
      <c r="O3419" s="5" t="n"/>
      <c r="P3419" s="5" t="n"/>
      <c r="Q3419" s="5" t="n"/>
      <c r="R3419" s="4" t="n"/>
      <c r="S3419" s="4" t="n"/>
      <c r="T3419" s="5" t="n"/>
      <c r="U3419" s="8">
        <f>IF(AND(V3419=1,D3419&lt;&gt;""),IF(D3419&gt;=corte,TODAY()-D3419,""),"")</f>
        <v/>
      </c>
      <c r="V3419" s="8">
        <f>IF(D3419="",0,IF(OR(AND(P3419&lt;&gt;"",S3419=""),AND(N(J3419)&gt;0,N(K3419)&lt;J3419),OR(M3419="PENDENTE",M3419="PARCIAL"),OR(N3419="PENDENTE",N3419="PARCIAL")),1,0))</f>
        <v/>
      </c>
      <c r="W3419" s="8">
        <f>IF(AND(V3419=1,D3419&lt;&gt;""),IF(D3419&gt;=corte,(B3419="CRÍTICO")*1E9+(100000-D3419)*10000+10000-ROW(),""),"")</f>
        <v/>
      </c>
      <c r="X3419" s="8">
        <f>IF(AND(V3419=1,D3419=pas_data,E3419=pas_turno),10000-ROW(),"")</f>
        <v/>
      </c>
    </row>
    <row r="3420">
      <c r="A3420" s="3">
        <f>IF(D3420="","","TT-"&amp;TEXT(ROW()-1,"00000"))</f>
        <v/>
      </c>
      <c r="B3420" s="3">
        <f>IF(D3420="","",IF(V3420=0,"CONCLUÍDO",IF(D3420&lt;corte,"HISTÓRICO",IF(OR(AND(ISNUMBER(R3420),R3420&lt;TODAY()),AND(OR(N3420="PENDENTE",N3420="PARCIAL"),D3420&lt;TODAY()-1)),"CRÍTICO",IF(OR(AND(P3420&lt;&gt;"",S3420=""),AND(N3420="REALIZADO",M3420="PENDENTE"),AND(ISNUMBER(R3420),R3420=TODAY())),"ATENÇÃO",IF(N(K3420)=0,"PENDENTE","EM ANDAMENTO"))))))</f>
        <v/>
      </c>
      <c r="C3420" s="3">
        <f>IF(D3420="","",IF(V3420=0,"🟢 OK",IF(D3420&lt;corte,"⚪ HISTÓRICO (sem baixa)",IF(AND(ISNUMBER(R3420),R3420&lt;TODAY()),"🔴 PRAZO VENCIDO",IF(AND(OR(N3420="PENDENTE",N3420="PARCIAL"),D3420&lt;TODAY()-1),"🔴 EMBARQUE ATRASADO",IF(AND(N3420="REALIZADO",M3420="PENDENTE"),"🟡 EMBARCADO SEM FATURAR",IF(AND(P3420&lt;&gt;"",S3420="",OR(Q3420="",R3420="")),"🟡 PENDÊNCIA SEM RESPONSÁVEL/PRAZO",IF(AND(ISNUMBER(R3420),R3420=TODAY()),"🟡 VENCE HOJE",IF(AND(P3420&lt;&gt;"",S3420=""),"🟡 PENDÊNCIA ABERTA",IF(AND(N(J3420)&gt;0,N(K3420)&lt;J3420),"🟡 FALTA EXECUTAR",IF(OR(M3420="PENDENTE",M3420="PARCIAL"),"🟡 FATURAMENTO PENDENTE","🟡 EMBARQUE PENDENTE")))))))))))</f>
        <v/>
      </c>
      <c r="D3420" s="4" t="n"/>
      <c r="E3420" s="5" t="n"/>
      <c r="F3420" s="5" t="n"/>
      <c r="G3420" s="5" t="n"/>
      <c r="H3420" s="5" t="n"/>
      <c r="I3420" s="5" t="n"/>
      <c r="J3420" s="6" t="n"/>
      <c r="K3420" s="6" t="n"/>
      <c r="L3420" s="7">
        <f>IF(OR(D3420="",N(J3420)=0),"",MIN(1,N(K3420)/J3420))</f>
        <v/>
      </c>
      <c r="M3420" s="5" t="n"/>
      <c r="N3420" s="5" t="n"/>
      <c r="O3420" s="5" t="n"/>
      <c r="P3420" s="5" t="n"/>
      <c r="Q3420" s="5" t="n"/>
      <c r="R3420" s="4" t="n"/>
      <c r="S3420" s="4" t="n"/>
      <c r="T3420" s="5" t="n"/>
      <c r="U3420" s="8">
        <f>IF(AND(V3420=1,D3420&lt;&gt;""),IF(D3420&gt;=corte,TODAY()-D3420,""),"")</f>
        <v/>
      </c>
      <c r="V3420" s="8">
        <f>IF(D3420="",0,IF(OR(AND(P3420&lt;&gt;"",S3420=""),AND(N(J3420)&gt;0,N(K3420)&lt;J3420),OR(M3420="PENDENTE",M3420="PARCIAL"),OR(N3420="PENDENTE",N3420="PARCIAL")),1,0))</f>
        <v/>
      </c>
      <c r="W3420" s="8">
        <f>IF(AND(V3420=1,D3420&lt;&gt;""),IF(D3420&gt;=corte,(B3420="CRÍTICO")*1E9+(100000-D3420)*10000+10000-ROW(),""),"")</f>
        <v/>
      </c>
      <c r="X3420" s="8">
        <f>IF(AND(V3420=1,D3420=pas_data,E3420=pas_turno),10000-ROW(),"")</f>
        <v/>
      </c>
    </row>
    <row r="3421">
      <c r="A3421" s="3">
        <f>IF(D3421="","","TT-"&amp;TEXT(ROW()-1,"00000"))</f>
        <v/>
      </c>
      <c r="B3421" s="3">
        <f>IF(D3421="","",IF(V3421=0,"CONCLUÍDO",IF(D3421&lt;corte,"HISTÓRICO",IF(OR(AND(ISNUMBER(R3421),R3421&lt;TODAY()),AND(OR(N3421="PENDENTE",N3421="PARCIAL"),D3421&lt;TODAY()-1)),"CRÍTICO",IF(OR(AND(P3421&lt;&gt;"",S3421=""),AND(N3421="REALIZADO",M3421="PENDENTE"),AND(ISNUMBER(R3421),R3421=TODAY())),"ATENÇÃO",IF(N(K3421)=0,"PENDENTE","EM ANDAMENTO"))))))</f>
        <v/>
      </c>
      <c r="C3421" s="3">
        <f>IF(D3421="","",IF(V3421=0,"🟢 OK",IF(D3421&lt;corte,"⚪ HISTÓRICO (sem baixa)",IF(AND(ISNUMBER(R3421),R3421&lt;TODAY()),"🔴 PRAZO VENCIDO",IF(AND(OR(N3421="PENDENTE",N3421="PARCIAL"),D3421&lt;TODAY()-1),"🔴 EMBARQUE ATRASADO",IF(AND(N3421="REALIZADO",M3421="PENDENTE"),"🟡 EMBARCADO SEM FATURAR",IF(AND(P3421&lt;&gt;"",S3421="",OR(Q3421="",R3421="")),"🟡 PENDÊNCIA SEM RESPONSÁVEL/PRAZO",IF(AND(ISNUMBER(R3421),R3421=TODAY()),"🟡 VENCE HOJE",IF(AND(P3421&lt;&gt;"",S3421=""),"🟡 PENDÊNCIA ABERTA",IF(AND(N(J3421)&gt;0,N(K3421)&lt;J3421),"🟡 FALTA EXECUTAR",IF(OR(M3421="PENDENTE",M3421="PARCIAL"),"🟡 FATURAMENTO PENDENTE","🟡 EMBARQUE PENDENTE")))))))))))</f>
        <v/>
      </c>
      <c r="D3421" s="4" t="n"/>
      <c r="E3421" s="5" t="n"/>
      <c r="F3421" s="5" t="n"/>
      <c r="G3421" s="5" t="n"/>
      <c r="H3421" s="5" t="n"/>
      <c r="I3421" s="5" t="n"/>
      <c r="J3421" s="6" t="n"/>
      <c r="K3421" s="6" t="n"/>
      <c r="L3421" s="7">
        <f>IF(OR(D3421="",N(J3421)=0),"",MIN(1,N(K3421)/J3421))</f>
        <v/>
      </c>
      <c r="M3421" s="5" t="n"/>
      <c r="N3421" s="5" t="n"/>
      <c r="O3421" s="5" t="n"/>
      <c r="P3421" s="5" t="n"/>
      <c r="Q3421" s="5" t="n"/>
      <c r="R3421" s="4" t="n"/>
      <c r="S3421" s="4" t="n"/>
      <c r="T3421" s="5" t="n"/>
      <c r="U3421" s="8">
        <f>IF(AND(V3421=1,D3421&lt;&gt;""),IF(D3421&gt;=corte,TODAY()-D3421,""),"")</f>
        <v/>
      </c>
      <c r="V3421" s="8">
        <f>IF(D3421="",0,IF(OR(AND(P3421&lt;&gt;"",S3421=""),AND(N(J3421)&gt;0,N(K3421)&lt;J3421),OR(M3421="PENDENTE",M3421="PARCIAL"),OR(N3421="PENDENTE",N3421="PARCIAL")),1,0))</f>
        <v/>
      </c>
      <c r="W3421" s="8">
        <f>IF(AND(V3421=1,D3421&lt;&gt;""),IF(D3421&gt;=corte,(B3421="CRÍTICO")*1E9+(100000-D3421)*10000+10000-ROW(),""),"")</f>
        <v/>
      </c>
      <c r="X3421" s="8">
        <f>IF(AND(V3421=1,D3421=pas_data,E3421=pas_turno),10000-ROW(),"")</f>
        <v/>
      </c>
    </row>
    <row r="3422">
      <c r="A3422" s="3">
        <f>IF(D3422="","","TT-"&amp;TEXT(ROW()-1,"00000"))</f>
        <v/>
      </c>
      <c r="B3422" s="3">
        <f>IF(D3422="","",IF(V3422=0,"CONCLUÍDO",IF(D3422&lt;corte,"HISTÓRICO",IF(OR(AND(ISNUMBER(R3422),R3422&lt;TODAY()),AND(OR(N3422="PENDENTE",N3422="PARCIAL"),D3422&lt;TODAY()-1)),"CRÍTICO",IF(OR(AND(P3422&lt;&gt;"",S3422=""),AND(N3422="REALIZADO",M3422="PENDENTE"),AND(ISNUMBER(R3422),R3422=TODAY())),"ATENÇÃO",IF(N(K3422)=0,"PENDENTE","EM ANDAMENTO"))))))</f>
        <v/>
      </c>
      <c r="C3422" s="3">
        <f>IF(D3422="","",IF(V3422=0,"🟢 OK",IF(D3422&lt;corte,"⚪ HISTÓRICO (sem baixa)",IF(AND(ISNUMBER(R3422),R3422&lt;TODAY()),"🔴 PRAZO VENCIDO",IF(AND(OR(N3422="PENDENTE",N3422="PARCIAL"),D3422&lt;TODAY()-1),"🔴 EMBARQUE ATRASADO",IF(AND(N3422="REALIZADO",M3422="PENDENTE"),"🟡 EMBARCADO SEM FATURAR",IF(AND(P3422&lt;&gt;"",S3422="",OR(Q3422="",R3422="")),"🟡 PENDÊNCIA SEM RESPONSÁVEL/PRAZO",IF(AND(ISNUMBER(R3422),R3422=TODAY()),"🟡 VENCE HOJE",IF(AND(P3422&lt;&gt;"",S3422=""),"🟡 PENDÊNCIA ABERTA",IF(AND(N(J3422)&gt;0,N(K3422)&lt;J3422),"🟡 FALTA EXECUTAR",IF(OR(M3422="PENDENTE",M3422="PARCIAL"),"🟡 FATURAMENTO PENDENTE","🟡 EMBARQUE PENDENTE")))))))))))</f>
        <v/>
      </c>
      <c r="D3422" s="4" t="n"/>
      <c r="E3422" s="5" t="n"/>
      <c r="F3422" s="5" t="n"/>
      <c r="G3422" s="5" t="n"/>
      <c r="H3422" s="5" t="n"/>
      <c r="I3422" s="5" t="n"/>
      <c r="J3422" s="6" t="n"/>
      <c r="K3422" s="6" t="n"/>
      <c r="L3422" s="7">
        <f>IF(OR(D3422="",N(J3422)=0),"",MIN(1,N(K3422)/J3422))</f>
        <v/>
      </c>
      <c r="M3422" s="5" t="n"/>
      <c r="N3422" s="5" t="n"/>
      <c r="O3422" s="5" t="n"/>
      <c r="P3422" s="5" t="n"/>
      <c r="Q3422" s="5" t="n"/>
      <c r="R3422" s="4" t="n"/>
      <c r="S3422" s="4" t="n"/>
      <c r="T3422" s="5" t="n"/>
      <c r="U3422" s="8">
        <f>IF(AND(V3422=1,D3422&lt;&gt;""),IF(D3422&gt;=corte,TODAY()-D3422,""),"")</f>
        <v/>
      </c>
      <c r="V3422" s="8">
        <f>IF(D3422="",0,IF(OR(AND(P3422&lt;&gt;"",S3422=""),AND(N(J3422)&gt;0,N(K3422)&lt;J3422),OR(M3422="PENDENTE",M3422="PARCIAL"),OR(N3422="PENDENTE",N3422="PARCIAL")),1,0))</f>
        <v/>
      </c>
      <c r="W3422" s="8">
        <f>IF(AND(V3422=1,D3422&lt;&gt;""),IF(D3422&gt;=corte,(B3422="CRÍTICO")*1E9+(100000-D3422)*10000+10000-ROW(),""),"")</f>
        <v/>
      </c>
      <c r="X3422" s="8">
        <f>IF(AND(V3422=1,D3422=pas_data,E3422=pas_turno),10000-ROW(),"")</f>
        <v/>
      </c>
    </row>
    <row r="3423">
      <c r="A3423" s="3">
        <f>IF(D3423="","","TT-"&amp;TEXT(ROW()-1,"00000"))</f>
        <v/>
      </c>
      <c r="B3423" s="3">
        <f>IF(D3423="","",IF(V3423=0,"CONCLUÍDO",IF(D3423&lt;corte,"HISTÓRICO",IF(OR(AND(ISNUMBER(R3423),R3423&lt;TODAY()),AND(OR(N3423="PENDENTE",N3423="PARCIAL"),D3423&lt;TODAY()-1)),"CRÍTICO",IF(OR(AND(P3423&lt;&gt;"",S3423=""),AND(N3423="REALIZADO",M3423="PENDENTE"),AND(ISNUMBER(R3423),R3423=TODAY())),"ATENÇÃO",IF(N(K3423)=0,"PENDENTE","EM ANDAMENTO"))))))</f>
        <v/>
      </c>
      <c r="C3423" s="3">
        <f>IF(D3423="","",IF(V3423=0,"🟢 OK",IF(D3423&lt;corte,"⚪ HISTÓRICO (sem baixa)",IF(AND(ISNUMBER(R3423),R3423&lt;TODAY()),"🔴 PRAZO VENCIDO",IF(AND(OR(N3423="PENDENTE",N3423="PARCIAL"),D3423&lt;TODAY()-1),"🔴 EMBARQUE ATRASADO",IF(AND(N3423="REALIZADO",M3423="PENDENTE"),"🟡 EMBARCADO SEM FATURAR",IF(AND(P3423&lt;&gt;"",S3423="",OR(Q3423="",R3423="")),"🟡 PENDÊNCIA SEM RESPONSÁVEL/PRAZO",IF(AND(ISNUMBER(R3423),R3423=TODAY()),"🟡 VENCE HOJE",IF(AND(P3423&lt;&gt;"",S3423=""),"🟡 PENDÊNCIA ABERTA",IF(AND(N(J3423)&gt;0,N(K3423)&lt;J3423),"🟡 FALTA EXECUTAR",IF(OR(M3423="PENDENTE",M3423="PARCIAL"),"🟡 FATURAMENTO PENDENTE","🟡 EMBARQUE PENDENTE")))))))))))</f>
        <v/>
      </c>
      <c r="D3423" s="4" t="n"/>
      <c r="E3423" s="5" t="n"/>
      <c r="F3423" s="5" t="n"/>
      <c r="G3423" s="5" t="n"/>
      <c r="H3423" s="5" t="n"/>
      <c r="I3423" s="5" t="n"/>
      <c r="J3423" s="6" t="n"/>
      <c r="K3423" s="6" t="n"/>
      <c r="L3423" s="7">
        <f>IF(OR(D3423="",N(J3423)=0),"",MIN(1,N(K3423)/J3423))</f>
        <v/>
      </c>
      <c r="M3423" s="5" t="n"/>
      <c r="N3423" s="5" t="n"/>
      <c r="O3423" s="5" t="n"/>
      <c r="P3423" s="5" t="n"/>
      <c r="Q3423" s="5" t="n"/>
      <c r="R3423" s="4" t="n"/>
      <c r="S3423" s="4" t="n"/>
      <c r="T3423" s="5" t="n"/>
      <c r="U3423" s="8">
        <f>IF(AND(V3423=1,D3423&lt;&gt;""),IF(D3423&gt;=corte,TODAY()-D3423,""),"")</f>
        <v/>
      </c>
      <c r="V3423" s="8">
        <f>IF(D3423="",0,IF(OR(AND(P3423&lt;&gt;"",S3423=""),AND(N(J3423)&gt;0,N(K3423)&lt;J3423),OR(M3423="PENDENTE",M3423="PARCIAL"),OR(N3423="PENDENTE",N3423="PARCIAL")),1,0))</f>
        <v/>
      </c>
      <c r="W3423" s="8">
        <f>IF(AND(V3423=1,D3423&lt;&gt;""),IF(D3423&gt;=corte,(B3423="CRÍTICO")*1E9+(100000-D3423)*10000+10000-ROW(),""),"")</f>
        <v/>
      </c>
      <c r="X3423" s="8">
        <f>IF(AND(V3423=1,D3423=pas_data,E3423=pas_turno),10000-ROW(),"")</f>
        <v/>
      </c>
    </row>
    <row r="3424">
      <c r="A3424" s="3">
        <f>IF(D3424="","","TT-"&amp;TEXT(ROW()-1,"00000"))</f>
        <v/>
      </c>
      <c r="B3424" s="3">
        <f>IF(D3424="","",IF(V3424=0,"CONCLUÍDO",IF(D3424&lt;corte,"HISTÓRICO",IF(OR(AND(ISNUMBER(R3424),R3424&lt;TODAY()),AND(OR(N3424="PENDENTE",N3424="PARCIAL"),D3424&lt;TODAY()-1)),"CRÍTICO",IF(OR(AND(P3424&lt;&gt;"",S3424=""),AND(N3424="REALIZADO",M3424="PENDENTE"),AND(ISNUMBER(R3424),R3424=TODAY())),"ATENÇÃO",IF(N(K3424)=0,"PENDENTE","EM ANDAMENTO"))))))</f>
        <v/>
      </c>
      <c r="C3424" s="3">
        <f>IF(D3424="","",IF(V3424=0,"🟢 OK",IF(D3424&lt;corte,"⚪ HISTÓRICO (sem baixa)",IF(AND(ISNUMBER(R3424),R3424&lt;TODAY()),"🔴 PRAZO VENCIDO",IF(AND(OR(N3424="PENDENTE",N3424="PARCIAL"),D3424&lt;TODAY()-1),"🔴 EMBARQUE ATRASADO",IF(AND(N3424="REALIZADO",M3424="PENDENTE"),"🟡 EMBARCADO SEM FATURAR",IF(AND(P3424&lt;&gt;"",S3424="",OR(Q3424="",R3424="")),"🟡 PENDÊNCIA SEM RESPONSÁVEL/PRAZO",IF(AND(ISNUMBER(R3424),R3424=TODAY()),"🟡 VENCE HOJE",IF(AND(P3424&lt;&gt;"",S3424=""),"🟡 PENDÊNCIA ABERTA",IF(AND(N(J3424)&gt;0,N(K3424)&lt;J3424),"🟡 FALTA EXECUTAR",IF(OR(M3424="PENDENTE",M3424="PARCIAL"),"🟡 FATURAMENTO PENDENTE","🟡 EMBARQUE PENDENTE")))))))))))</f>
        <v/>
      </c>
      <c r="D3424" s="4" t="n"/>
      <c r="E3424" s="5" t="n"/>
      <c r="F3424" s="5" t="n"/>
      <c r="G3424" s="5" t="n"/>
      <c r="H3424" s="5" t="n"/>
      <c r="I3424" s="5" t="n"/>
      <c r="J3424" s="6" t="n"/>
      <c r="K3424" s="6" t="n"/>
      <c r="L3424" s="7">
        <f>IF(OR(D3424="",N(J3424)=0),"",MIN(1,N(K3424)/J3424))</f>
        <v/>
      </c>
      <c r="M3424" s="5" t="n"/>
      <c r="N3424" s="5" t="n"/>
      <c r="O3424" s="5" t="n"/>
      <c r="P3424" s="5" t="n"/>
      <c r="Q3424" s="5" t="n"/>
      <c r="R3424" s="4" t="n"/>
      <c r="S3424" s="4" t="n"/>
      <c r="T3424" s="5" t="n"/>
      <c r="U3424" s="8">
        <f>IF(AND(V3424=1,D3424&lt;&gt;""),IF(D3424&gt;=corte,TODAY()-D3424,""),"")</f>
        <v/>
      </c>
      <c r="V3424" s="8">
        <f>IF(D3424="",0,IF(OR(AND(P3424&lt;&gt;"",S3424=""),AND(N(J3424)&gt;0,N(K3424)&lt;J3424),OR(M3424="PENDENTE",M3424="PARCIAL"),OR(N3424="PENDENTE",N3424="PARCIAL")),1,0))</f>
        <v/>
      </c>
      <c r="W3424" s="8">
        <f>IF(AND(V3424=1,D3424&lt;&gt;""),IF(D3424&gt;=corte,(B3424="CRÍTICO")*1E9+(100000-D3424)*10000+10000-ROW(),""),"")</f>
        <v/>
      </c>
      <c r="X3424" s="8">
        <f>IF(AND(V3424=1,D3424=pas_data,E3424=pas_turno),10000-ROW(),"")</f>
        <v/>
      </c>
    </row>
    <row r="3425">
      <c r="A3425" s="3">
        <f>IF(D3425="","","TT-"&amp;TEXT(ROW()-1,"00000"))</f>
        <v/>
      </c>
      <c r="B3425" s="3">
        <f>IF(D3425="","",IF(V3425=0,"CONCLUÍDO",IF(D3425&lt;corte,"HISTÓRICO",IF(OR(AND(ISNUMBER(R3425),R3425&lt;TODAY()),AND(OR(N3425="PENDENTE",N3425="PARCIAL"),D3425&lt;TODAY()-1)),"CRÍTICO",IF(OR(AND(P3425&lt;&gt;"",S3425=""),AND(N3425="REALIZADO",M3425="PENDENTE"),AND(ISNUMBER(R3425),R3425=TODAY())),"ATENÇÃO",IF(N(K3425)=0,"PENDENTE","EM ANDAMENTO"))))))</f>
        <v/>
      </c>
      <c r="C3425" s="3">
        <f>IF(D3425="","",IF(V3425=0,"🟢 OK",IF(D3425&lt;corte,"⚪ HISTÓRICO (sem baixa)",IF(AND(ISNUMBER(R3425),R3425&lt;TODAY()),"🔴 PRAZO VENCIDO",IF(AND(OR(N3425="PENDENTE",N3425="PARCIAL"),D3425&lt;TODAY()-1),"🔴 EMBARQUE ATRASADO",IF(AND(N3425="REALIZADO",M3425="PENDENTE"),"🟡 EMBARCADO SEM FATURAR",IF(AND(P3425&lt;&gt;"",S3425="",OR(Q3425="",R3425="")),"🟡 PENDÊNCIA SEM RESPONSÁVEL/PRAZO",IF(AND(ISNUMBER(R3425),R3425=TODAY()),"🟡 VENCE HOJE",IF(AND(P3425&lt;&gt;"",S3425=""),"🟡 PENDÊNCIA ABERTA",IF(AND(N(J3425)&gt;0,N(K3425)&lt;J3425),"🟡 FALTA EXECUTAR",IF(OR(M3425="PENDENTE",M3425="PARCIAL"),"🟡 FATURAMENTO PENDENTE","🟡 EMBARQUE PENDENTE")))))))))))</f>
        <v/>
      </c>
      <c r="D3425" s="4" t="n"/>
      <c r="E3425" s="5" t="n"/>
      <c r="F3425" s="5" t="n"/>
      <c r="G3425" s="5" t="n"/>
      <c r="H3425" s="5" t="n"/>
      <c r="I3425" s="5" t="n"/>
      <c r="J3425" s="6" t="n"/>
      <c r="K3425" s="6" t="n"/>
      <c r="L3425" s="7">
        <f>IF(OR(D3425="",N(J3425)=0),"",MIN(1,N(K3425)/J3425))</f>
        <v/>
      </c>
      <c r="M3425" s="5" t="n"/>
      <c r="N3425" s="5" t="n"/>
      <c r="O3425" s="5" t="n"/>
      <c r="P3425" s="5" t="n"/>
      <c r="Q3425" s="5" t="n"/>
      <c r="R3425" s="4" t="n"/>
      <c r="S3425" s="4" t="n"/>
      <c r="T3425" s="5" t="n"/>
      <c r="U3425" s="8">
        <f>IF(AND(V3425=1,D3425&lt;&gt;""),IF(D3425&gt;=corte,TODAY()-D3425,""),"")</f>
        <v/>
      </c>
      <c r="V3425" s="8">
        <f>IF(D3425="",0,IF(OR(AND(P3425&lt;&gt;"",S3425=""),AND(N(J3425)&gt;0,N(K3425)&lt;J3425),OR(M3425="PENDENTE",M3425="PARCIAL"),OR(N3425="PENDENTE",N3425="PARCIAL")),1,0))</f>
        <v/>
      </c>
      <c r="W3425" s="8">
        <f>IF(AND(V3425=1,D3425&lt;&gt;""),IF(D3425&gt;=corte,(B3425="CRÍTICO")*1E9+(100000-D3425)*10000+10000-ROW(),""),"")</f>
        <v/>
      </c>
      <c r="X3425" s="8">
        <f>IF(AND(V3425=1,D3425=pas_data,E3425=pas_turno),10000-ROW(),"")</f>
        <v/>
      </c>
    </row>
    <row r="3426">
      <c r="A3426" s="3">
        <f>IF(D3426="","","TT-"&amp;TEXT(ROW()-1,"00000"))</f>
        <v/>
      </c>
      <c r="B3426" s="3">
        <f>IF(D3426="","",IF(V3426=0,"CONCLUÍDO",IF(D3426&lt;corte,"HISTÓRICO",IF(OR(AND(ISNUMBER(R3426),R3426&lt;TODAY()),AND(OR(N3426="PENDENTE",N3426="PARCIAL"),D3426&lt;TODAY()-1)),"CRÍTICO",IF(OR(AND(P3426&lt;&gt;"",S3426=""),AND(N3426="REALIZADO",M3426="PENDENTE"),AND(ISNUMBER(R3426),R3426=TODAY())),"ATENÇÃO",IF(N(K3426)=0,"PENDENTE","EM ANDAMENTO"))))))</f>
        <v/>
      </c>
      <c r="C3426" s="3">
        <f>IF(D3426="","",IF(V3426=0,"🟢 OK",IF(D3426&lt;corte,"⚪ HISTÓRICO (sem baixa)",IF(AND(ISNUMBER(R3426),R3426&lt;TODAY()),"🔴 PRAZO VENCIDO",IF(AND(OR(N3426="PENDENTE",N3426="PARCIAL"),D3426&lt;TODAY()-1),"🔴 EMBARQUE ATRASADO",IF(AND(N3426="REALIZADO",M3426="PENDENTE"),"🟡 EMBARCADO SEM FATURAR",IF(AND(P3426&lt;&gt;"",S3426="",OR(Q3426="",R3426="")),"🟡 PENDÊNCIA SEM RESPONSÁVEL/PRAZO",IF(AND(ISNUMBER(R3426),R3426=TODAY()),"🟡 VENCE HOJE",IF(AND(P3426&lt;&gt;"",S3426=""),"🟡 PENDÊNCIA ABERTA",IF(AND(N(J3426)&gt;0,N(K3426)&lt;J3426),"🟡 FALTA EXECUTAR",IF(OR(M3426="PENDENTE",M3426="PARCIAL"),"🟡 FATURAMENTO PENDENTE","🟡 EMBARQUE PENDENTE")))))))))))</f>
        <v/>
      </c>
      <c r="D3426" s="4" t="n"/>
      <c r="E3426" s="5" t="n"/>
      <c r="F3426" s="5" t="n"/>
      <c r="G3426" s="5" t="n"/>
      <c r="H3426" s="5" t="n"/>
      <c r="I3426" s="5" t="n"/>
      <c r="J3426" s="6" t="n"/>
      <c r="K3426" s="6" t="n"/>
      <c r="L3426" s="7">
        <f>IF(OR(D3426="",N(J3426)=0),"",MIN(1,N(K3426)/J3426))</f>
        <v/>
      </c>
      <c r="M3426" s="5" t="n"/>
      <c r="N3426" s="5" t="n"/>
      <c r="O3426" s="5" t="n"/>
      <c r="P3426" s="5" t="n"/>
      <c r="Q3426" s="5" t="n"/>
      <c r="R3426" s="4" t="n"/>
      <c r="S3426" s="4" t="n"/>
      <c r="T3426" s="5" t="n"/>
      <c r="U3426" s="8">
        <f>IF(AND(V3426=1,D3426&lt;&gt;""),IF(D3426&gt;=corte,TODAY()-D3426,""),"")</f>
        <v/>
      </c>
      <c r="V3426" s="8">
        <f>IF(D3426="",0,IF(OR(AND(P3426&lt;&gt;"",S3426=""),AND(N(J3426)&gt;0,N(K3426)&lt;J3426),OR(M3426="PENDENTE",M3426="PARCIAL"),OR(N3426="PENDENTE",N3426="PARCIAL")),1,0))</f>
        <v/>
      </c>
      <c r="W3426" s="8">
        <f>IF(AND(V3426=1,D3426&lt;&gt;""),IF(D3426&gt;=corte,(B3426="CRÍTICO")*1E9+(100000-D3426)*10000+10000-ROW(),""),"")</f>
        <v/>
      </c>
      <c r="X3426" s="8">
        <f>IF(AND(V3426=1,D3426=pas_data,E3426=pas_turno),10000-ROW(),"")</f>
        <v/>
      </c>
    </row>
    <row r="3427">
      <c r="A3427" s="3">
        <f>IF(D3427="","","TT-"&amp;TEXT(ROW()-1,"00000"))</f>
        <v/>
      </c>
      <c r="B3427" s="3">
        <f>IF(D3427="","",IF(V3427=0,"CONCLUÍDO",IF(D3427&lt;corte,"HISTÓRICO",IF(OR(AND(ISNUMBER(R3427),R3427&lt;TODAY()),AND(OR(N3427="PENDENTE",N3427="PARCIAL"),D3427&lt;TODAY()-1)),"CRÍTICO",IF(OR(AND(P3427&lt;&gt;"",S3427=""),AND(N3427="REALIZADO",M3427="PENDENTE"),AND(ISNUMBER(R3427),R3427=TODAY())),"ATENÇÃO",IF(N(K3427)=0,"PENDENTE","EM ANDAMENTO"))))))</f>
        <v/>
      </c>
      <c r="C3427" s="3">
        <f>IF(D3427="","",IF(V3427=0,"🟢 OK",IF(D3427&lt;corte,"⚪ HISTÓRICO (sem baixa)",IF(AND(ISNUMBER(R3427),R3427&lt;TODAY()),"🔴 PRAZO VENCIDO",IF(AND(OR(N3427="PENDENTE",N3427="PARCIAL"),D3427&lt;TODAY()-1),"🔴 EMBARQUE ATRASADO",IF(AND(N3427="REALIZADO",M3427="PENDENTE"),"🟡 EMBARCADO SEM FATURAR",IF(AND(P3427&lt;&gt;"",S3427="",OR(Q3427="",R3427="")),"🟡 PENDÊNCIA SEM RESPONSÁVEL/PRAZO",IF(AND(ISNUMBER(R3427),R3427=TODAY()),"🟡 VENCE HOJE",IF(AND(P3427&lt;&gt;"",S3427=""),"🟡 PENDÊNCIA ABERTA",IF(AND(N(J3427)&gt;0,N(K3427)&lt;J3427),"🟡 FALTA EXECUTAR",IF(OR(M3427="PENDENTE",M3427="PARCIAL"),"🟡 FATURAMENTO PENDENTE","🟡 EMBARQUE PENDENTE")))))))))))</f>
        <v/>
      </c>
      <c r="D3427" s="4" t="n"/>
      <c r="E3427" s="5" t="n"/>
      <c r="F3427" s="5" t="n"/>
      <c r="G3427" s="5" t="n"/>
      <c r="H3427" s="5" t="n"/>
      <c r="I3427" s="5" t="n"/>
      <c r="J3427" s="6" t="n"/>
      <c r="K3427" s="6" t="n"/>
      <c r="L3427" s="7">
        <f>IF(OR(D3427="",N(J3427)=0),"",MIN(1,N(K3427)/J3427))</f>
        <v/>
      </c>
      <c r="M3427" s="5" t="n"/>
      <c r="N3427" s="5" t="n"/>
      <c r="O3427" s="5" t="n"/>
      <c r="P3427" s="5" t="n"/>
      <c r="Q3427" s="5" t="n"/>
      <c r="R3427" s="4" t="n"/>
      <c r="S3427" s="4" t="n"/>
      <c r="T3427" s="5" t="n"/>
      <c r="U3427" s="8">
        <f>IF(AND(V3427=1,D3427&lt;&gt;""),IF(D3427&gt;=corte,TODAY()-D3427,""),"")</f>
        <v/>
      </c>
      <c r="V3427" s="8">
        <f>IF(D3427="",0,IF(OR(AND(P3427&lt;&gt;"",S3427=""),AND(N(J3427)&gt;0,N(K3427)&lt;J3427),OR(M3427="PENDENTE",M3427="PARCIAL"),OR(N3427="PENDENTE",N3427="PARCIAL")),1,0))</f>
        <v/>
      </c>
      <c r="W3427" s="8">
        <f>IF(AND(V3427=1,D3427&lt;&gt;""),IF(D3427&gt;=corte,(B3427="CRÍTICO")*1E9+(100000-D3427)*10000+10000-ROW(),""),"")</f>
        <v/>
      </c>
      <c r="X3427" s="8">
        <f>IF(AND(V3427=1,D3427=pas_data,E3427=pas_turno),10000-ROW(),"")</f>
        <v/>
      </c>
    </row>
    <row r="3428">
      <c r="A3428" s="3">
        <f>IF(D3428="","","TT-"&amp;TEXT(ROW()-1,"00000"))</f>
        <v/>
      </c>
      <c r="B3428" s="3">
        <f>IF(D3428="","",IF(V3428=0,"CONCLUÍDO",IF(D3428&lt;corte,"HISTÓRICO",IF(OR(AND(ISNUMBER(R3428),R3428&lt;TODAY()),AND(OR(N3428="PENDENTE",N3428="PARCIAL"),D3428&lt;TODAY()-1)),"CRÍTICO",IF(OR(AND(P3428&lt;&gt;"",S3428=""),AND(N3428="REALIZADO",M3428="PENDENTE"),AND(ISNUMBER(R3428),R3428=TODAY())),"ATENÇÃO",IF(N(K3428)=0,"PENDENTE","EM ANDAMENTO"))))))</f>
        <v/>
      </c>
      <c r="C3428" s="3">
        <f>IF(D3428="","",IF(V3428=0,"🟢 OK",IF(D3428&lt;corte,"⚪ HISTÓRICO (sem baixa)",IF(AND(ISNUMBER(R3428),R3428&lt;TODAY()),"🔴 PRAZO VENCIDO",IF(AND(OR(N3428="PENDENTE",N3428="PARCIAL"),D3428&lt;TODAY()-1),"🔴 EMBARQUE ATRASADO",IF(AND(N3428="REALIZADO",M3428="PENDENTE"),"🟡 EMBARCADO SEM FATURAR",IF(AND(P3428&lt;&gt;"",S3428="",OR(Q3428="",R3428="")),"🟡 PENDÊNCIA SEM RESPONSÁVEL/PRAZO",IF(AND(ISNUMBER(R3428),R3428=TODAY()),"🟡 VENCE HOJE",IF(AND(P3428&lt;&gt;"",S3428=""),"🟡 PENDÊNCIA ABERTA",IF(AND(N(J3428)&gt;0,N(K3428)&lt;J3428),"🟡 FALTA EXECUTAR",IF(OR(M3428="PENDENTE",M3428="PARCIAL"),"🟡 FATURAMENTO PENDENTE","🟡 EMBARQUE PENDENTE")))))))))))</f>
        <v/>
      </c>
      <c r="D3428" s="4" t="n"/>
      <c r="E3428" s="5" t="n"/>
      <c r="F3428" s="5" t="n"/>
      <c r="G3428" s="5" t="n"/>
      <c r="H3428" s="5" t="n"/>
      <c r="I3428" s="5" t="n"/>
      <c r="J3428" s="6" t="n"/>
      <c r="K3428" s="6" t="n"/>
      <c r="L3428" s="7">
        <f>IF(OR(D3428="",N(J3428)=0),"",MIN(1,N(K3428)/J3428))</f>
        <v/>
      </c>
      <c r="M3428" s="5" t="n"/>
      <c r="N3428" s="5" t="n"/>
      <c r="O3428" s="5" t="n"/>
      <c r="P3428" s="5" t="n"/>
      <c r="Q3428" s="5" t="n"/>
      <c r="R3428" s="4" t="n"/>
      <c r="S3428" s="4" t="n"/>
      <c r="T3428" s="5" t="n"/>
      <c r="U3428" s="8">
        <f>IF(AND(V3428=1,D3428&lt;&gt;""),IF(D3428&gt;=corte,TODAY()-D3428,""),"")</f>
        <v/>
      </c>
      <c r="V3428" s="8">
        <f>IF(D3428="",0,IF(OR(AND(P3428&lt;&gt;"",S3428=""),AND(N(J3428)&gt;0,N(K3428)&lt;J3428),OR(M3428="PENDENTE",M3428="PARCIAL"),OR(N3428="PENDENTE",N3428="PARCIAL")),1,0))</f>
        <v/>
      </c>
      <c r="W3428" s="8">
        <f>IF(AND(V3428=1,D3428&lt;&gt;""),IF(D3428&gt;=corte,(B3428="CRÍTICO")*1E9+(100000-D3428)*10000+10000-ROW(),""),"")</f>
        <v/>
      </c>
      <c r="X3428" s="8">
        <f>IF(AND(V3428=1,D3428=pas_data,E3428=pas_turno),10000-ROW(),"")</f>
        <v/>
      </c>
    </row>
    <row r="3429">
      <c r="A3429" s="3">
        <f>IF(D3429="","","TT-"&amp;TEXT(ROW()-1,"00000"))</f>
        <v/>
      </c>
      <c r="B3429" s="3">
        <f>IF(D3429="","",IF(V3429=0,"CONCLUÍDO",IF(D3429&lt;corte,"HISTÓRICO",IF(OR(AND(ISNUMBER(R3429),R3429&lt;TODAY()),AND(OR(N3429="PENDENTE",N3429="PARCIAL"),D3429&lt;TODAY()-1)),"CRÍTICO",IF(OR(AND(P3429&lt;&gt;"",S3429=""),AND(N3429="REALIZADO",M3429="PENDENTE"),AND(ISNUMBER(R3429),R3429=TODAY())),"ATENÇÃO",IF(N(K3429)=0,"PENDENTE","EM ANDAMENTO"))))))</f>
        <v/>
      </c>
      <c r="C3429" s="3">
        <f>IF(D3429="","",IF(V3429=0,"🟢 OK",IF(D3429&lt;corte,"⚪ HISTÓRICO (sem baixa)",IF(AND(ISNUMBER(R3429),R3429&lt;TODAY()),"🔴 PRAZO VENCIDO",IF(AND(OR(N3429="PENDENTE",N3429="PARCIAL"),D3429&lt;TODAY()-1),"🔴 EMBARQUE ATRASADO",IF(AND(N3429="REALIZADO",M3429="PENDENTE"),"🟡 EMBARCADO SEM FATURAR",IF(AND(P3429&lt;&gt;"",S3429="",OR(Q3429="",R3429="")),"🟡 PENDÊNCIA SEM RESPONSÁVEL/PRAZO",IF(AND(ISNUMBER(R3429),R3429=TODAY()),"🟡 VENCE HOJE",IF(AND(P3429&lt;&gt;"",S3429=""),"🟡 PENDÊNCIA ABERTA",IF(AND(N(J3429)&gt;0,N(K3429)&lt;J3429),"🟡 FALTA EXECUTAR",IF(OR(M3429="PENDENTE",M3429="PARCIAL"),"🟡 FATURAMENTO PENDENTE","🟡 EMBARQUE PENDENTE")))))))))))</f>
        <v/>
      </c>
      <c r="D3429" s="4" t="n"/>
      <c r="E3429" s="5" t="n"/>
      <c r="F3429" s="5" t="n"/>
      <c r="G3429" s="5" t="n"/>
      <c r="H3429" s="5" t="n"/>
      <c r="I3429" s="5" t="n"/>
      <c r="J3429" s="6" t="n"/>
      <c r="K3429" s="6" t="n"/>
      <c r="L3429" s="7">
        <f>IF(OR(D3429="",N(J3429)=0),"",MIN(1,N(K3429)/J3429))</f>
        <v/>
      </c>
      <c r="M3429" s="5" t="n"/>
      <c r="N3429" s="5" t="n"/>
      <c r="O3429" s="5" t="n"/>
      <c r="P3429" s="5" t="n"/>
      <c r="Q3429" s="5" t="n"/>
      <c r="R3429" s="4" t="n"/>
      <c r="S3429" s="4" t="n"/>
      <c r="T3429" s="5" t="n"/>
      <c r="U3429" s="8">
        <f>IF(AND(V3429=1,D3429&lt;&gt;""),IF(D3429&gt;=corte,TODAY()-D3429,""),"")</f>
        <v/>
      </c>
      <c r="V3429" s="8">
        <f>IF(D3429="",0,IF(OR(AND(P3429&lt;&gt;"",S3429=""),AND(N(J3429)&gt;0,N(K3429)&lt;J3429),OR(M3429="PENDENTE",M3429="PARCIAL"),OR(N3429="PENDENTE",N3429="PARCIAL")),1,0))</f>
        <v/>
      </c>
      <c r="W3429" s="8">
        <f>IF(AND(V3429=1,D3429&lt;&gt;""),IF(D3429&gt;=corte,(B3429="CRÍTICO")*1E9+(100000-D3429)*10000+10000-ROW(),""),"")</f>
        <v/>
      </c>
      <c r="X3429" s="8">
        <f>IF(AND(V3429=1,D3429=pas_data,E3429=pas_turno),10000-ROW(),"")</f>
        <v/>
      </c>
    </row>
    <row r="3430">
      <c r="A3430" s="3">
        <f>IF(D3430="","","TT-"&amp;TEXT(ROW()-1,"00000"))</f>
        <v/>
      </c>
      <c r="B3430" s="3">
        <f>IF(D3430="","",IF(V3430=0,"CONCLUÍDO",IF(D3430&lt;corte,"HISTÓRICO",IF(OR(AND(ISNUMBER(R3430),R3430&lt;TODAY()),AND(OR(N3430="PENDENTE",N3430="PARCIAL"),D3430&lt;TODAY()-1)),"CRÍTICO",IF(OR(AND(P3430&lt;&gt;"",S3430=""),AND(N3430="REALIZADO",M3430="PENDENTE"),AND(ISNUMBER(R3430),R3430=TODAY())),"ATENÇÃO",IF(N(K3430)=0,"PENDENTE","EM ANDAMENTO"))))))</f>
        <v/>
      </c>
      <c r="C3430" s="3">
        <f>IF(D3430="","",IF(V3430=0,"🟢 OK",IF(D3430&lt;corte,"⚪ HISTÓRICO (sem baixa)",IF(AND(ISNUMBER(R3430),R3430&lt;TODAY()),"🔴 PRAZO VENCIDO",IF(AND(OR(N3430="PENDENTE",N3430="PARCIAL"),D3430&lt;TODAY()-1),"🔴 EMBARQUE ATRASADO",IF(AND(N3430="REALIZADO",M3430="PENDENTE"),"🟡 EMBARCADO SEM FATURAR",IF(AND(P3430&lt;&gt;"",S3430="",OR(Q3430="",R3430="")),"🟡 PENDÊNCIA SEM RESPONSÁVEL/PRAZO",IF(AND(ISNUMBER(R3430),R3430=TODAY()),"🟡 VENCE HOJE",IF(AND(P3430&lt;&gt;"",S3430=""),"🟡 PENDÊNCIA ABERTA",IF(AND(N(J3430)&gt;0,N(K3430)&lt;J3430),"🟡 FALTA EXECUTAR",IF(OR(M3430="PENDENTE",M3430="PARCIAL"),"🟡 FATURAMENTO PENDENTE","🟡 EMBARQUE PENDENTE")))))))))))</f>
        <v/>
      </c>
      <c r="D3430" s="4" t="n"/>
      <c r="E3430" s="5" t="n"/>
      <c r="F3430" s="5" t="n"/>
      <c r="G3430" s="5" t="n"/>
      <c r="H3430" s="5" t="n"/>
      <c r="I3430" s="5" t="n"/>
      <c r="J3430" s="6" t="n"/>
      <c r="K3430" s="6" t="n"/>
      <c r="L3430" s="7">
        <f>IF(OR(D3430="",N(J3430)=0),"",MIN(1,N(K3430)/J3430))</f>
        <v/>
      </c>
      <c r="M3430" s="5" t="n"/>
      <c r="N3430" s="5" t="n"/>
      <c r="O3430" s="5" t="n"/>
      <c r="P3430" s="5" t="n"/>
      <c r="Q3430" s="5" t="n"/>
      <c r="R3430" s="4" t="n"/>
      <c r="S3430" s="4" t="n"/>
      <c r="T3430" s="5" t="n"/>
      <c r="U3430" s="8">
        <f>IF(AND(V3430=1,D3430&lt;&gt;""),IF(D3430&gt;=corte,TODAY()-D3430,""),"")</f>
        <v/>
      </c>
      <c r="V3430" s="8">
        <f>IF(D3430="",0,IF(OR(AND(P3430&lt;&gt;"",S3430=""),AND(N(J3430)&gt;0,N(K3430)&lt;J3430),OR(M3430="PENDENTE",M3430="PARCIAL"),OR(N3430="PENDENTE",N3430="PARCIAL")),1,0))</f>
        <v/>
      </c>
      <c r="W3430" s="8">
        <f>IF(AND(V3430=1,D3430&lt;&gt;""),IF(D3430&gt;=corte,(B3430="CRÍTICO")*1E9+(100000-D3430)*10000+10000-ROW(),""),"")</f>
        <v/>
      </c>
      <c r="X3430" s="8">
        <f>IF(AND(V3430=1,D3430=pas_data,E3430=pas_turno),10000-ROW(),"")</f>
        <v/>
      </c>
    </row>
    <row r="3431">
      <c r="A3431" s="3">
        <f>IF(D3431="","","TT-"&amp;TEXT(ROW()-1,"00000"))</f>
        <v/>
      </c>
      <c r="B3431" s="3">
        <f>IF(D3431="","",IF(V3431=0,"CONCLUÍDO",IF(D3431&lt;corte,"HISTÓRICO",IF(OR(AND(ISNUMBER(R3431),R3431&lt;TODAY()),AND(OR(N3431="PENDENTE",N3431="PARCIAL"),D3431&lt;TODAY()-1)),"CRÍTICO",IF(OR(AND(P3431&lt;&gt;"",S3431=""),AND(N3431="REALIZADO",M3431="PENDENTE"),AND(ISNUMBER(R3431),R3431=TODAY())),"ATENÇÃO",IF(N(K3431)=0,"PENDENTE","EM ANDAMENTO"))))))</f>
        <v/>
      </c>
      <c r="C3431" s="3">
        <f>IF(D3431="","",IF(V3431=0,"🟢 OK",IF(D3431&lt;corte,"⚪ HISTÓRICO (sem baixa)",IF(AND(ISNUMBER(R3431),R3431&lt;TODAY()),"🔴 PRAZO VENCIDO",IF(AND(OR(N3431="PENDENTE",N3431="PARCIAL"),D3431&lt;TODAY()-1),"🔴 EMBARQUE ATRASADO",IF(AND(N3431="REALIZADO",M3431="PENDENTE"),"🟡 EMBARCADO SEM FATURAR",IF(AND(P3431&lt;&gt;"",S3431="",OR(Q3431="",R3431="")),"🟡 PENDÊNCIA SEM RESPONSÁVEL/PRAZO",IF(AND(ISNUMBER(R3431),R3431=TODAY()),"🟡 VENCE HOJE",IF(AND(P3431&lt;&gt;"",S3431=""),"🟡 PENDÊNCIA ABERTA",IF(AND(N(J3431)&gt;0,N(K3431)&lt;J3431),"🟡 FALTA EXECUTAR",IF(OR(M3431="PENDENTE",M3431="PARCIAL"),"🟡 FATURAMENTO PENDENTE","🟡 EMBARQUE PENDENTE")))))))))))</f>
        <v/>
      </c>
      <c r="D3431" s="4" t="n"/>
      <c r="E3431" s="5" t="n"/>
      <c r="F3431" s="5" t="n"/>
      <c r="G3431" s="5" t="n"/>
      <c r="H3431" s="5" t="n"/>
      <c r="I3431" s="5" t="n"/>
      <c r="J3431" s="6" t="n"/>
      <c r="K3431" s="6" t="n"/>
      <c r="L3431" s="7">
        <f>IF(OR(D3431="",N(J3431)=0),"",MIN(1,N(K3431)/J3431))</f>
        <v/>
      </c>
      <c r="M3431" s="5" t="n"/>
      <c r="N3431" s="5" t="n"/>
      <c r="O3431" s="5" t="n"/>
      <c r="P3431" s="5" t="n"/>
      <c r="Q3431" s="5" t="n"/>
      <c r="R3431" s="4" t="n"/>
      <c r="S3431" s="4" t="n"/>
      <c r="T3431" s="5" t="n"/>
      <c r="U3431" s="8">
        <f>IF(AND(V3431=1,D3431&lt;&gt;""),IF(D3431&gt;=corte,TODAY()-D3431,""),"")</f>
        <v/>
      </c>
      <c r="V3431" s="8">
        <f>IF(D3431="",0,IF(OR(AND(P3431&lt;&gt;"",S3431=""),AND(N(J3431)&gt;0,N(K3431)&lt;J3431),OR(M3431="PENDENTE",M3431="PARCIAL"),OR(N3431="PENDENTE",N3431="PARCIAL")),1,0))</f>
        <v/>
      </c>
      <c r="W3431" s="8">
        <f>IF(AND(V3431=1,D3431&lt;&gt;""),IF(D3431&gt;=corte,(B3431="CRÍTICO")*1E9+(100000-D3431)*10000+10000-ROW(),""),"")</f>
        <v/>
      </c>
      <c r="X3431" s="8">
        <f>IF(AND(V3431=1,D3431=pas_data,E3431=pas_turno),10000-ROW(),"")</f>
        <v/>
      </c>
    </row>
    <row r="3432">
      <c r="A3432" s="3">
        <f>IF(D3432="","","TT-"&amp;TEXT(ROW()-1,"00000"))</f>
        <v/>
      </c>
      <c r="B3432" s="3">
        <f>IF(D3432="","",IF(V3432=0,"CONCLUÍDO",IF(D3432&lt;corte,"HISTÓRICO",IF(OR(AND(ISNUMBER(R3432),R3432&lt;TODAY()),AND(OR(N3432="PENDENTE",N3432="PARCIAL"),D3432&lt;TODAY()-1)),"CRÍTICO",IF(OR(AND(P3432&lt;&gt;"",S3432=""),AND(N3432="REALIZADO",M3432="PENDENTE"),AND(ISNUMBER(R3432),R3432=TODAY())),"ATENÇÃO",IF(N(K3432)=0,"PENDENTE","EM ANDAMENTO"))))))</f>
        <v/>
      </c>
      <c r="C3432" s="3">
        <f>IF(D3432="","",IF(V3432=0,"🟢 OK",IF(D3432&lt;corte,"⚪ HISTÓRICO (sem baixa)",IF(AND(ISNUMBER(R3432),R3432&lt;TODAY()),"🔴 PRAZO VENCIDO",IF(AND(OR(N3432="PENDENTE",N3432="PARCIAL"),D3432&lt;TODAY()-1),"🔴 EMBARQUE ATRASADO",IF(AND(N3432="REALIZADO",M3432="PENDENTE"),"🟡 EMBARCADO SEM FATURAR",IF(AND(P3432&lt;&gt;"",S3432="",OR(Q3432="",R3432="")),"🟡 PENDÊNCIA SEM RESPONSÁVEL/PRAZO",IF(AND(ISNUMBER(R3432),R3432=TODAY()),"🟡 VENCE HOJE",IF(AND(P3432&lt;&gt;"",S3432=""),"🟡 PENDÊNCIA ABERTA",IF(AND(N(J3432)&gt;0,N(K3432)&lt;J3432),"🟡 FALTA EXECUTAR",IF(OR(M3432="PENDENTE",M3432="PARCIAL"),"🟡 FATURAMENTO PENDENTE","🟡 EMBARQUE PENDENTE")))))))))))</f>
        <v/>
      </c>
      <c r="D3432" s="4" t="n"/>
      <c r="E3432" s="5" t="n"/>
      <c r="F3432" s="5" t="n"/>
      <c r="G3432" s="5" t="n"/>
      <c r="H3432" s="5" t="n"/>
      <c r="I3432" s="5" t="n"/>
      <c r="J3432" s="6" t="n"/>
      <c r="K3432" s="6" t="n"/>
      <c r="L3432" s="7">
        <f>IF(OR(D3432="",N(J3432)=0),"",MIN(1,N(K3432)/J3432))</f>
        <v/>
      </c>
      <c r="M3432" s="5" t="n"/>
      <c r="N3432" s="5" t="n"/>
      <c r="O3432" s="5" t="n"/>
      <c r="P3432" s="5" t="n"/>
      <c r="Q3432" s="5" t="n"/>
      <c r="R3432" s="4" t="n"/>
      <c r="S3432" s="4" t="n"/>
      <c r="T3432" s="5" t="n"/>
      <c r="U3432" s="8">
        <f>IF(AND(V3432=1,D3432&lt;&gt;""),IF(D3432&gt;=corte,TODAY()-D3432,""),"")</f>
        <v/>
      </c>
      <c r="V3432" s="8">
        <f>IF(D3432="",0,IF(OR(AND(P3432&lt;&gt;"",S3432=""),AND(N(J3432)&gt;0,N(K3432)&lt;J3432),OR(M3432="PENDENTE",M3432="PARCIAL"),OR(N3432="PENDENTE",N3432="PARCIAL")),1,0))</f>
        <v/>
      </c>
      <c r="W3432" s="8">
        <f>IF(AND(V3432=1,D3432&lt;&gt;""),IF(D3432&gt;=corte,(B3432="CRÍTICO")*1E9+(100000-D3432)*10000+10000-ROW(),""),"")</f>
        <v/>
      </c>
      <c r="X3432" s="8">
        <f>IF(AND(V3432=1,D3432=pas_data,E3432=pas_turno),10000-ROW(),"")</f>
        <v/>
      </c>
    </row>
    <row r="3433">
      <c r="A3433" s="3">
        <f>IF(D3433="","","TT-"&amp;TEXT(ROW()-1,"00000"))</f>
        <v/>
      </c>
      <c r="B3433" s="3">
        <f>IF(D3433="","",IF(V3433=0,"CONCLUÍDO",IF(D3433&lt;corte,"HISTÓRICO",IF(OR(AND(ISNUMBER(R3433),R3433&lt;TODAY()),AND(OR(N3433="PENDENTE",N3433="PARCIAL"),D3433&lt;TODAY()-1)),"CRÍTICO",IF(OR(AND(P3433&lt;&gt;"",S3433=""),AND(N3433="REALIZADO",M3433="PENDENTE"),AND(ISNUMBER(R3433),R3433=TODAY())),"ATENÇÃO",IF(N(K3433)=0,"PENDENTE","EM ANDAMENTO"))))))</f>
        <v/>
      </c>
      <c r="C3433" s="3">
        <f>IF(D3433="","",IF(V3433=0,"🟢 OK",IF(D3433&lt;corte,"⚪ HISTÓRICO (sem baixa)",IF(AND(ISNUMBER(R3433),R3433&lt;TODAY()),"🔴 PRAZO VENCIDO",IF(AND(OR(N3433="PENDENTE",N3433="PARCIAL"),D3433&lt;TODAY()-1),"🔴 EMBARQUE ATRASADO",IF(AND(N3433="REALIZADO",M3433="PENDENTE"),"🟡 EMBARCADO SEM FATURAR",IF(AND(P3433&lt;&gt;"",S3433="",OR(Q3433="",R3433="")),"🟡 PENDÊNCIA SEM RESPONSÁVEL/PRAZO",IF(AND(ISNUMBER(R3433),R3433=TODAY()),"🟡 VENCE HOJE",IF(AND(P3433&lt;&gt;"",S3433=""),"🟡 PENDÊNCIA ABERTA",IF(AND(N(J3433)&gt;0,N(K3433)&lt;J3433),"🟡 FALTA EXECUTAR",IF(OR(M3433="PENDENTE",M3433="PARCIAL"),"🟡 FATURAMENTO PENDENTE","🟡 EMBARQUE PENDENTE")))))))))))</f>
        <v/>
      </c>
      <c r="D3433" s="4" t="n"/>
      <c r="E3433" s="5" t="n"/>
      <c r="F3433" s="5" t="n"/>
      <c r="G3433" s="5" t="n"/>
      <c r="H3433" s="5" t="n"/>
      <c r="I3433" s="5" t="n"/>
      <c r="J3433" s="6" t="n"/>
      <c r="K3433" s="6" t="n"/>
      <c r="L3433" s="7">
        <f>IF(OR(D3433="",N(J3433)=0),"",MIN(1,N(K3433)/J3433))</f>
        <v/>
      </c>
      <c r="M3433" s="5" t="n"/>
      <c r="N3433" s="5" t="n"/>
      <c r="O3433" s="5" t="n"/>
      <c r="P3433" s="5" t="n"/>
      <c r="Q3433" s="5" t="n"/>
      <c r="R3433" s="4" t="n"/>
      <c r="S3433" s="4" t="n"/>
      <c r="T3433" s="5" t="n"/>
      <c r="U3433" s="8">
        <f>IF(AND(V3433=1,D3433&lt;&gt;""),IF(D3433&gt;=corte,TODAY()-D3433,""),"")</f>
        <v/>
      </c>
      <c r="V3433" s="8">
        <f>IF(D3433="",0,IF(OR(AND(P3433&lt;&gt;"",S3433=""),AND(N(J3433)&gt;0,N(K3433)&lt;J3433),OR(M3433="PENDENTE",M3433="PARCIAL"),OR(N3433="PENDENTE",N3433="PARCIAL")),1,0))</f>
        <v/>
      </c>
      <c r="W3433" s="8">
        <f>IF(AND(V3433=1,D3433&lt;&gt;""),IF(D3433&gt;=corte,(B3433="CRÍTICO")*1E9+(100000-D3433)*10000+10000-ROW(),""),"")</f>
        <v/>
      </c>
      <c r="X3433" s="8">
        <f>IF(AND(V3433=1,D3433=pas_data,E3433=pas_turno),10000-ROW(),"")</f>
        <v/>
      </c>
    </row>
    <row r="3434">
      <c r="A3434" s="3">
        <f>IF(D3434="","","TT-"&amp;TEXT(ROW()-1,"00000"))</f>
        <v/>
      </c>
      <c r="B3434" s="3">
        <f>IF(D3434="","",IF(V3434=0,"CONCLUÍDO",IF(D3434&lt;corte,"HISTÓRICO",IF(OR(AND(ISNUMBER(R3434),R3434&lt;TODAY()),AND(OR(N3434="PENDENTE",N3434="PARCIAL"),D3434&lt;TODAY()-1)),"CRÍTICO",IF(OR(AND(P3434&lt;&gt;"",S3434=""),AND(N3434="REALIZADO",M3434="PENDENTE"),AND(ISNUMBER(R3434),R3434=TODAY())),"ATENÇÃO",IF(N(K3434)=0,"PENDENTE","EM ANDAMENTO"))))))</f>
        <v/>
      </c>
      <c r="C3434" s="3">
        <f>IF(D3434="","",IF(V3434=0,"🟢 OK",IF(D3434&lt;corte,"⚪ HISTÓRICO (sem baixa)",IF(AND(ISNUMBER(R3434),R3434&lt;TODAY()),"🔴 PRAZO VENCIDO",IF(AND(OR(N3434="PENDENTE",N3434="PARCIAL"),D3434&lt;TODAY()-1),"🔴 EMBARQUE ATRASADO",IF(AND(N3434="REALIZADO",M3434="PENDENTE"),"🟡 EMBARCADO SEM FATURAR",IF(AND(P3434&lt;&gt;"",S3434="",OR(Q3434="",R3434="")),"🟡 PENDÊNCIA SEM RESPONSÁVEL/PRAZO",IF(AND(ISNUMBER(R3434),R3434=TODAY()),"🟡 VENCE HOJE",IF(AND(P3434&lt;&gt;"",S3434=""),"🟡 PENDÊNCIA ABERTA",IF(AND(N(J3434)&gt;0,N(K3434)&lt;J3434),"🟡 FALTA EXECUTAR",IF(OR(M3434="PENDENTE",M3434="PARCIAL"),"🟡 FATURAMENTO PENDENTE","🟡 EMBARQUE PENDENTE")))))))))))</f>
        <v/>
      </c>
      <c r="D3434" s="4" t="n"/>
      <c r="E3434" s="5" t="n"/>
      <c r="F3434" s="5" t="n"/>
      <c r="G3434" s="5" t="n"/>
      <c r="H3434" s="5" t="n"/>
      <c r="I3434" s="5" t="n"/>
      <c r="J3434" s="6" t="n"/>
      <c r="K3434" s="6" t="n"/>
      <c r="L3434" s="7">
        <f>IF(OR(D3434="",N(J3434)=0),"",MIN(1,N(K3434)/J3434))</f>
        <v/>
      </c>
      <c r="M3434" s="5" t="n"/>
      <c r="N3434" s="5" t="n"/>
      <c r="O3434" s="5" t="n"/>
      <c r="P3434" s="5" t="n"/>
      <c r="Q3434" s="5" t="n"/>
      <c r="R3434" s="4" t="n"/>
      <c r="S3434" s="4" t="n"/>
      <c r="T3434" s="5" t="n"/>
      <c r="U3434" s="8">
        <f>IF(AND(V3434=1,D3434&lt;&gt;""),IF(D3434&gt;=corte,TODAY()-D3434,""),"")</f>
        <v/>
      </c>
      <c r="V3434" s="8">
        <f>IF(D3434="",0,IF(OR(AND(P3434&lt;&gt;"",S3434=""),AND(N(J3434)&gt;0,N(K3434)&lt;J3434),OR(M3434="PENDENTE",M3434="PARCIAL"),OR(N3434="PENDENTE",N3434="PARCIAL")),1,0))</f>
        <v/>
      </c>
      <c r="W3434" s="8">
        <f>IF(AND(V3434=1,D3434&lt;&gt;""),IF(D3434&gt;=corte,(B3434="CRÍTICO")*1E9+(100000-D3434)*10000+10000-ROW(),""),"")</f>
        <v/>
      </c>
      <c r="X3434" s="8">
        <f>IF(AND(V3434=1,D3434=pas_data,E3434=pas_turno),10000-ROW(),"")</f>
        <v/>
      </c>
    </row>
    <row r="3435">
      <c r="A3435" s="3">
        <f>IF(D3435="","","TT-"&amp;TEXT(ROW()-1,"00000"))</f>
        <v/>
      </c>
      <c r="B3435" s="3">
        <f>IF(D3435="","",IF(V3435=0,"CONCLUÍDO",IF(D3435&lt;corte,"HISTÓRICO",IF(OR(AND(ISNUMBER(R3435),R3435&lt;TODAY()),AND(OR(N3435="PENDENTE",N3435="PARCIAL"),D3435&lt;TODAY()-1)),"CRÍTICO",IF(OR(AND(P3435&lt;&gt;"",S3435=""),AND(N3435="REALIZADO",M3435="PENDENTE"),AND(ISNUMBER(R3435),R3435=TODAY())),"ATENÇÃO",IF(N(K3435)=0,"PENDENTE","EM ANDAMENTO"))))))</f>
        <v/>
      </c>
      <c r="C3435" s="3">
        <f>IF(D3435="","",IF(V3435=0,"🟢 OK",IF(D3435&lt;corte,"⚪ HISTÓRICO (sem baixa)",IF(AND(ISNUMBER(R3435),R3435&lt;TODAY()),"🔴 PRAZO VENCIDO",IF(AND(OR(N3435="PENDENTE",N3435="PARCIAL"),D3435&lt;TODAY()-1),"🔴 EMBARQUE ATRASADO",IF(AND(N3435="REALIZADO",M3435="PENDENTE"),"🟡 EMBARCADO SEM FATURAR",IF(AND(P3435&lt;&gt;"",S3435="",OR(Q3435="",R3435="")),"🟡 PENDÊNCIA SEM RESPONSÁVEL/PRAZO",IF(AND(ISNUMBER(R3435),R3435=TODAY()),"🟡 VENCE HOJE",IF(AND(P3435&lt;&gt;"",S3435=""),"🟡 PENDÊNCIA ABERTA",IF(AND(N(J3435)&gt;0,N(K3435)&lt;J3435),"🟡 FALTA EXECUTAR",IF(OR(M3435="PENDENTE",M3435="PARCIAL"),"🟡 FATURAMENTO PENDENTE","🟡 EMBARQUE PENDENTE")))))))))))</f>
        <v/>
      </c>
      <c r="D3435" s="4" t="n"/>
      <c r="E3435" s="5" t="n"/>
      <c r="F3435" s="5" t="n"/>
      <c r="G3435" s="5" t="n"/>
      <c r="H3435" s="5" t="n"/>
      <c r="I3435" s="5" t="n"/>
      <c r="J3435" s="6" t="n"/>
      <c r="K3435" s="6" t="n"/>
      <c r="L3435" s="7">
        <f>IF(OR(D3435="",N(J3435)=0),"",MIN(1,N(K3435)/J3435))</f>
        <v/>
      </c>
      <c r="M3435" s="5" t="n"/>
      <c r="N3435" s="5" t="n"/>
      <c r="O3435" s="5" t="n"/>
      <c r="P3435" s="5" t="n"/>
      <c r="Q3435" s="5" t="n"/>
      <c r="R3435" s="4" t="n"/>
      <c r="S3435" s="4" t="n"/>
      <c r="T3435" s="5" t="n"/>
      <c r="U3435" s="8">
        <f>IF(AND(V3435=1,D3435&lt;&gt;""),IF(D3435&gt;=corte,TODAY()-D3435,""),"")</f>
        <v/>
      </c>
      <c r="V3435" s="8">
        <f>IF(D3435="",0,IF(OR(AND(P3435&lt;&gt;"",S3435=""),AND(N(J3435)&gt;0,N(K3435)&lt;J3435),OR(M3435="PENDENTE",M3435="PARCIAL"),OR(N3435="PENDENTE",N3435="PARCIAL")),1,0))</f>
        <v/>
      </c>
      <c r="W3435" s="8">
        <f>IF(AND(V3435=1,D3435&lt;&gt;""),IF(D3435&gt;=corte,(B3435="CRÍTICO")*1E9+(100000-D3435)*10000+10000-ROW(),""),"")</f>
        <v/>
      </c>
      <c r="X3435" s="8">
        <f>IF(AND(V3435=1,D3435=pas_data,E3435=pas_turno),10000-ROW(),"")</f>
        <v/>
      </c>
    </row>
    <row r="3436">
      <c r="A3436" s="3">
        <f>IF(D3436="","","TT-"&amp;TEXT(ROW()-1,"00000"))</f>
        <v/>
      </c>
      <c r="B3436" s="3">
        <f>IF(D3436="","",IF(V3436=0,"CONCLUÍDO",IF(D3436&lt;corte,"HISTÓRICO",IF(OR(AND(ISNUMBER(R3436),R3436&lt;TODAY()),AND(OR(N3436="PENDENTE",N3436="PARCIAL"),D3436&lt;TODAY()-1)),"CRÍTICO",IF(OR(AND(P3436&lt;&gt;"",S3436=""),AND(N3436="REALIZADO",M3436="PENDENTE"),AND(ISNUMBER(R3436),R3436=TODAY())),"ATENÇÃO",IF(N(K3436)=0,"PENDENTE","EM ANDAMENTO"))))))</f>
        <v/>
      </c>
      <c r="C3436" s="3">
        <f>IF(D3436="","",IF(V3436=0,"🟢 OK",IF(D3436&lt;corte,"⚪ HISTÓRICO (sem baixa)",IF(AND(ISNUMBER(R3436),R3436&lt;TODAY()),"🔴 PRAZO VENCIDO",IF(AND(OR(N3436="PENDENTE",N3436="PARCIAL"),D3436&lt;TODAY()-1),"🔴 EMBARQUE ATRASADO",IF(AND(N3436="REALIZADO",M3436="PENDENTE"),"🟡 EMBARCADO SEM FATURAR",IF(AND(P3436&lt;&gt;"",S3436="",OR(Q3436="",R3436="")),"🟡 PENDÊNCIA SEM RESPONSÁVEL/PRAZO",IF(AND(ISNUMBER(R3436),R3436=TODAY()),"🟡 VENCE HOJE",IF(AND(P3436&lt;&gt;"",S3436=""),"🟡 PENDÊNCIA ABERTA",IF(AND(N(J3436)&gt;0,N(K3436)&lt;J3436),"🟡 FALTA EXECUTAR",IF(OR(M3436="PENDENTE",M3436="PARCIAL"),"🟡 FATURAMENTO PENDENTE","🟡 EMBARQUE PENDENTE")))))))))))</f>
        <v/>
      </c>
      <c r="D3436" s="4" t="n"/>
      <c r="E3436" s="5" t="n"/>
      <c r="F3436" s="5" t="n"/>
      <c r="G3436" s="5" t="n"/>
      <c r="H3436" s="5" t="n"/>
      <c r="I3436" s="5" t="n"/>
      <c r="J3436" s="6" t="n"/>
      <c r="K3436" s="6" t="n"/>
      <c r="L3436" s="7">
        <f>IF(OR(D3436="",N(J3436)=0),"",MIN(1,N(K3436)/J3436))</f>
        <v/>
      </c>
      <c r="M3436" s="5" t="n"/>
      <c r="N3436" s="5" t="n"/>
      <c r="O3436" s="5" t="n"/>
      <c r="P3436" s="5" t="n"/>
      <c r="Q3436" s="5" t="n"/>
      <c r="R3436" s="4" t="n"/>
      <c r="S3436" s="4" t="n"/>
      <c r="T3436" s="5" t="n"/>
      <c r="U3436" s="8">
        <f>IF(AND(V3436=1,D3436&lt;&gt;""),IF(D3436&gt;=corte,TODAY()-D3436,""),"")</f>
        <v/>
      </c>
      <c r="V3436" s="8">
        <f>IF(D3436="",0,IF(OR(AND(P3436&lt;&gt;"",S3436=""),AND(N(J3436)&gt;0,N(K3436)&lt;J3436),OR(M3436="PENDENTE",M3436="PARCIAL"),OR(N3436="PENDENTE",N3436="PARCIAL")),1,0))</f>
        <v/>
      </c>
      <c r="W3436" s="8">
        <f>IF(AND(V3436=1,D3436&lt;&gt;""),IF(D3436&gt;=corte,(B3436="CRÍTICO")*1E9+(100000-D3436)*10000+10000-ROW(),""),"")</f>
        <v/>
      </c>
      <c r="X3436" s="8">
        <f>IF(AND(V3436=1,D3436=pas_data,E3436=pas_turno),10000-ROW(),"")</f>
        <v/>
      </c>
    </row>
    <row r="3437">
      <c r="A3437" s="3">
        <f>IF(D3437="","","TT-"&amp;TEXT(ROW()-1,"00000"))</f>
        <v/>
      </c>
      <c r="B3437" s="3">
        <f>IF(D3437="","",IF(V3437=0,"CONCLUÍDO",IF(D3437&lt;corte,"HISTÓRICO",IF(OR(AND(ISNUMBER(R3437),R3437&lt;TODAY()),AND(OR(N3437="PENDENTE",N3437="PARCIAL"),D3437&lt;TODAY()-1)),"CRÍTICO",IF(OR(AND(P3437&lt;&gt;"",S3437=""),AND(N3437="REALIZADO",M3437="PENDENTE"),AND(ISNUMBER(R3437),R3437=TODAY())),"ATENÇÃO",IF(N(K3437)=0,"PENDENTE","EM ANDAMENTO"))))))</f>
        <v/>
      </c>
      <c r="C3437" s="3">
        <f>IF(D3437="","",IF(V3437=0,"🟢 OK",IF(D3437&lt;corte,"⚪ HISTÓRICO (sem baixa)",IF(AND(ISNUMBER(R3437),R3437&lt;TODAY()),"🔴 PRAZO VENCIDO",IF(AND(OR(N3437="PENDENTE",N3437="PARCIAL"),D3437&lt;TODAY()-1),"🔴 EMBARQUE ATRASADO",IF(AND(N3437="REALIZADO",M3437="PENDENTE"),"🟡 EMBARCADO SEM FATURAR",IF(AND(P3437&lt;&gt;"",S3437="",OR(Q3437="",R3437="")),"🟡 PENDÊNCIA SEM RESPONSÁVEL/PRAZO",IF(AND(ISNUMBER(R3437),R3437=TODAY()),"🟡 VENCE HOJE",IF(AND(P3437&lt;&gt;"",S3437=""),"🟡 PENDÊNCIA ABERTA",IF(AND(N(J3437)&gt;0,N(K3437)&lt;J3437),"🟡 FALTA EXECUTAR",IF(OR(M3437="PENDENTE",M3437="PARCIAL"),"🟡 FATURAMENTO PENDENTE","🟡 EMBARQUE PENDENTE")))))))))))</f>
        <v/>
      </c>
      <c r="D3437" s="4" t="n"/>
      <c r="E3437" s="5" t="n"/>
      <c r="F3437" s="5" t="n"/>
      <c r="G3437" s="5" t="n"/>
      <c r="H3437" s="5" t="n"/>
      <c r="I3437" s="5" t="n"/>
      <c r="J3437" s="6" t="n"/>
      <c r="K3437" s="6" t="n"/>
      <c r="L3437" s="7">
        <f>IF(OR(D3437="",N(J3437)=0),"",MIN(1,N(K3437)/J3437))</f>
        <v/>
      </c>
      <c r="M3437" s="5" t="n"/>
      <c r="N3437" s="5" t="n"/>
      <c r="O3437" s="5" t="n"/>
      <c r="P3437" s="5" t="n"/>
      <c r="Q3437" s="5" t="n"/>
      <c r="R3437" s="4" t="n"/>
      <c r="S3437" s="4" t="n"/>
      <c r="T3437" s="5" t="n"/>
      <c r="U3437" s="8">
        <f>IF(AND(V3437=1,D3437&lt;&gt;""),IF(D3437&gt;=corte,TODAY()-D3437,""),"")</f>
        <v/>
      </c>
      <c r="V3437" s="8">
        <f>IF(D3437="",0,IF(OR(AND(P3437&lt;&gt;"",S3437=""),AND(N(J3437)&gt;0,N(K3437)&lt;J3437),OR(M3437="PENDENTE",M3437="PARCIAL"),OR(N3437="PENDENTE",N3437="PARCIAL")),1,0))</f>
        <v/>
      </c>
      <c r="W3437" s="8">
        <f>IF(AND(V3437=1,D3437&lt;&gt;""),IF(D3437&gt;=corte,(B3437="CRÍTICO")*1E9+(100000-D3437)*10000+10000-ROW(),""),"")</f>
        <v/>
      </c>
      <c r="X3437" s="8">
        <f>IF(AND(V3437=1,D3437=pas_data,E3437=pas_turno),10000-ROW(),"")</f>
        <v/>
      </c>
    </row>
    <row r="3438">
      <c r="A3438" s="3">
        <f>IF(D3438="","","TT-"&amp;TEXT(ROW()-1,"00000"))</f>
        <v/>
      </c>
      <c r="B3438" s="3">
        <f>IF(D3438="","",IF(V3438=0,"CONCLUÍDO",IF(D3438&lt;corte,"HISTÓRICO",IF(OR(AND(ISNUMBER(R3438),R3438&lt;TODAY()),AND(OR(N3438="PENDENTE",N3438="PARCIAL"),D3438&lt;TODAY()-1)),"CRÍTICO",IF(OR(AND(P3438&lt;&gt;"",S3438=""),AND(N3438="REALIZADO",M3438="PENDENTE"),AND(ISNUMBER(R3438),R3438=TODAY())),"ATENÇÃO",IF(N(K3438)=0,"PENDENTE","EM ANDAMENTO"))))))</f>
        <v/>
      </c>
      <c r="C3438" s="3">
        <f>IF(D3438="","",IF(V3438=0,"🟢 OK",IF(D3438&lt;corte,"⚪ HISTÓRICO (sem baixa)",IF(AND(ISNUMBER(R3438),R3438&lt;TODAY()),"🔴 PRAZO VENCIDO",IF(AND(OR(N3438="PENDENTE",N3438="PARCIAL"),D3438&lt;TODAY()-1),"🔴 EMBARQUE ATRASADO",IF(AND(N3438="REALIZADO",M3438="PENDENTE"),"🟡 EMBARCADO SEM FATURAR",IF(AND(P3438&lt;&gt;"",S3438="",OR(Q3438="",R3438="")),"🟡 PENDÊNCIA SEM RESPONSÁVEL/PRAZO",IF(AND(ISNUMBER(R3438),R3438=TODAY()),"🟡 VENCE HOJE",IF(AND(P3438&lt;&gt;"",S3438=""),"🟡 PENDÊNCIA ABERTA",IF(AND(N(J3438)&gt;0,N(K3438)&lt;J3438),"🟡 FALTA EXECUTAR",IF(OR(M3438="PENDENTE",M3438="PARCIAL"),"🟡 FATURAMENTO PENDENTE","🟡 EMBARQUE PENDENTE")))))))))))</f>
        <v/>
      </c>
      <c r="D3438" s="4" t="n"/>
      <c r="E3438" s="5" t="n"/>
      <c r="F3438" s="5" t="n"/>
      <c r="G3438" s="5" t="n"/>
      <c r="H3438" s="5" t="n"/>
      <c r="I3438" s="5" t="n"/>
      <c r="J3438" s="6" t="n"/>
      <c r="K3438" s="6" t="n"/>
      <c r="L3438" s="7">
        <f>IF(OR(D3438="",N(J3438)=0),"",MIN(1,N(K3438)/J3438))</f>
        <v/>
      </c>
      <c r="M3438" s="5" t="n"/>
      <c r="N3438" s="5" t="n"/>
      <c r="O3438" s="5" t="n"/>
      <c r="P3438" s="5" t="n"/>
      <c r="Q3438" s="5" t="n"/>
      <c r="R3438" s="4" t="n"/>
      <c r="S3438" s="4" t="n"/>
      <c r="T3438" s="5" t="n"/>
      <c r="U3438" s="8">
        <f>IF(AND(V3438=1,D3438&lt;&gt;""),IF(D3438&gt;=corte,TODAY()-D3438,""),"")</f>
        <v/>
      </c>
      <c r="V3438" s="8">
        <f>IF(D3438="",0,IF(OR(AND(P3438&lt;&gt;"",S3438=""),AND(N(J3438)&gt;0,N(K3438)&lt;J3438),OR(M3438="PENDENTE",M3438="PARCIAL"),OR(N3438="PENDENTE",N3438="PARCIAL")),1,0))</f>
        <v/>
      </c>
      <c r="W3438" s="8">
        <f>IF(AND(V3438=1,D3438&lt;&gt;""),IF(D3438&gt;=corte,(B3438="CRÍTICO")*1E9+(100000-D3438)*10000+10000-ROW(),""),"")</f>
        <v/>
      </c>
      <c r="X3438" s="8">
        <f>IF(AND(V3438=1,D3438=pas_data,E3438=pas_turno),10000-ROW(),"")</f>
        <v/>
      </c>
    </row>
    <row r="3439">
      <c r="A3439" s="3">
        <f>IF(D3439="","","TT-"&amp;TEXT(ROW()-1,"00000"))</f>
        <v/>
      </c>
      <c r="B3439" s="3">
        <f>IF(D3439="","",IF(V3439=0,"CONCLUÍDO",IF(D3439&lt;corte,"HISTÓRICO",IF(OR(AND(ISNUMBER(R3439),R3439&lt;TODAY()),AND(OR(N3439="PENDENTE",N3439="PARCIAL"),D3439&lt;TODAY()-1)),"CRÍTICO",IF(OR(AND(P3439&lt;&gt;"",S3439=""),AND(N3439="REALIZADO",M3439="PENDENTE"),AND(ISNUMBER(R3439),R3439=TODAY())),"ATENÇÃO",IF(N(K3439)=0,"PENDENTE","EM ANDAMENTO"))))))</f>
        <v/>
      </c>
      <c r="C3439" s="3">
        <f>IF(D3439="","",IF(V3439=0,"🟢 OK",IF(D3439&lt;corte,"⚪ HISTÓRICO (sem baixa)",IF(AND(ISNUMBER(R3439),R3439&lt;TODAY()),"🔴 PRAZO VENCIDO",IF(AND(OR(N3439="PENDENTE",N3439="PARCIAL"),D3439&lt;TODAY()-1),"🔴 EMBARQUE ATRASADO",IF(AND(N3439="REALIZADO",M3439="PENDENTE"),"🟡 EMBARCADO SEM FATURAR",IF(AND(P3439&lt;&gt;"",S3439="",OR(Q3439="",R3439="")),"🟡 PENDÊNCIA SEM RESPONSÁVEL/PRAZO",IF(AND(ISNUMBER(R3439),R3439=TODAY()),"🟡 VENCE HOJE",IF(AND(P3439&lt;&gt;"",S3439=""),"🟡 PENDÊNCIA ABERTA",IF(AND(N(J3439)&gt;0,N(K3439)&lt;J3439),"🟡 FALTA EXECUTAR",IF(OR(M3439="PENDENTE",M3439="PARCIAL"),"🟡 FATURAMENTO PENDENTE","🟡 EMBARQUE PENDENTE")))))))))))</f>
        <v/>
      </c>
      <c r="D3439" s="4" t="n"/>
      <c r="E3439" s="5" t="n"/>
      <c r="F3439" s="5" t="n"/>
      <c r="G3439" s="5" t="n"/>
      <c r="H3439" s="5" t="n"/>
      <c r="I3439" s="5" t="n"/>
      <c r="J3439" s="6" t="n"/>
      <c r="K3439" s="6" t="n"/>
      <c r="L3439" s="7">
        <f>IF(OR(D3439="",N(J3439)=0),"",MIN(1,N(K3439)/J3439))</f>
        <v/>
      </c>
      <c r="M3439" s="5" t="n"/>
      <c r="N3439" s="5" t="n"/>
      <c r="O3439" s="5" t="n"/>
      <c r="P3439" s="5" t="n"/>
      <c r="Q3439" s="5" t="n"/>
      <c r="R3439" s="4" t="n"/>
      <c r="S3439" s="4" t="n"/>
      <c r="T3439" s="5" t="n"/>
      <c r="U3439" s="8">
        <f>IF(AND(V3439=1,D3439&lt;&gt;""),IF(D3439&gt;=corte,TODAY()-D3439,""),"")</f>
        <v/>
      </c>
      <c r="V3439" s="8">
        <f>IF(D3439="",0,IF(OR(AND(P3439&lt;&gt;"",S3439=""),AND(N(J3439)&gt;0,N(K3439)&lt;J3439),OR(M3439="PENDENTE",M3439="PARCIAL"),OR(N3439="PENDENTE",N3439="PARCIAL")),1,0))</f>
        <v/>
      </c>
      <c r="W3439" s="8">
        <f>IF(AND(V3439=1,D3439&lt;&gt;""),IF(D3439&gt;=corte,(B3439="CRÍTICO")*1E9+(100000-D3439)*10000+10000-ROW(),""),"")</f>
        <v/>
      </c>
      <c r="X3439" s="8">
        <f>IF(AND(V3439=1,D3439=pas_data,E3439=pas_turno),10000-ROW(),"")</f>
        <v/>
      </c>
    </row>
    <row r="3440">
      <c r="A3440" s="3">
        <f>IF(D3440="","","TT-"&amp;TEXT(ROW()-1,"00000"))</f>
        <v/>
      </c>
      <c r="B3440" s="3">
        <f>IF(D3440="","",IF(V3440=0,"CONCLUÍDO",IF(D3440&lt;corte,"HISTÓRICO",IF(OR(AND(ISNUMBER(R3440),R3440&lt;TODAY()),AND(OR(N3440="PENDENTE",N3440="PARCIAL"),D3440&lt;TODAY()-1)),"CRÍTICO",IF(OR(AND(P3440&lt;&gt;"",S3440=""),AND(N3440="REALIZADO",M3440="PENDENTE"),AND(ISNUMBER(R3440),R3440=TODAY())),"ATENÇÃO",IF(N(K3440)=0,"PENDENTE","EM ANDAMENTO"))))))</f>
        <v/>
      </c>
      <c r="C3440" s="3">
        <f>IF(D3440="","",IF(V3440=0,"🟢 OK",IF(D3440&lt;corte,"⚪ HISTÓRICO (sem baixa)",IF(AND(ISNUMBER(R3440),R3440&lt;TODAY()),"🔴 PRAZO VENCIDO",IF(AND(OR(N3440="PENDENTE",N3440="PARCIAL"),D3440&lt;TODAY()-1),"🔴 EMBARQUE ATRASADO",IF(AND(N3440="REALIZADO",M3440="PENDENTE"),"🟡 EMBARCADO SEM FATURAR",IF(AND(P3440&lt;&gt;"",S3440="",OR(Q3440="",R3440="")),"🟡 PENDÊNCIA SEM RESPONSÁVEL/PRAZO",IF(AND(ISNUMBER(R3440),R3440=TODAY()),"🟡 VENCE HOJE",IF(AND(P3440&lt;&gt;"",S3440=""),"🟡 PENDÊNCIA ABERTA",IF(AND(N(J3440)&gt;0,N(K3440)&lt;J3440),"🟡 FALTA EXECUTAR",IF(OR(M3440="PENDENTE",M3440="PARCIAL"),"🟡 FATURAMENTO PENDENTE","🟡 EMBARQUE PENDENTE")))))))))))</f>
        <v/>
      </c>
      <c r="D3440" s="4" t="n"/>
      <c r="E3440" s="5" t="n"/>
      <c r="F3440" s="5" t="n"/>
      <c r="G3440" s="5" t="n"/>
      <c r="H3440" s="5" t="n"/>
      <c r="I3440" s="5" t="n"/>
      <c r="J3440" s="6" t="n"/>
      <c r="K3440" s="6" t="n"/>
      <c r="L3440" s="7">
        <f>IF(OR(D3440="",N(J3440)=0),"",MIN(1,N(K3440)/J3440))</f>
        <v/>
      </c>
      <c r="M3440" s="5" t="n"/>
      <c r="N3440" s="5" t="n"/>
      <c r="O3440" s="5" t="n"/>
      <c r="P3440" s="5" t="n"/>
      <c r="Q3440" s="5" t="n"/>
      <c r="R3440" s="4" t="n"/>
      <c r="S3440" s="4" t="n"/>
      <c r="T3440" s="5" t="n"/>
      <c r="U3440" s="8">
        <f>IF(AND(V3440=1,D3440&lt;&gt;""),IF(D3440&gt;=corte,TODAY()-D3440,""),"")</f>
        <v/>
      </c>
      <c r="V3440" s="8">
        <f>IF(D3440="",0,IF(OR(AND(P3440&lt;&gt;"",S3440=""),AND(N(J3440)&gt;0,N(K3440)&lt;J3440),OR(M3440="PENDENTE",M3440="PARCIAL"),OR(N3440="PENDENTE",N3440="PARCIAL")),1,0))</f>
        <v/>
      </c>
      <c r="W3440" s="8">
        <f>IF(AND(V3440=1,D3440&lt;&gt;""),IF(D3440&gt;=corte,(B3440="CRÍTICO")*1E9+(100000-D3440)*10000+10000-ROW(),""),"")</f>
        <v/>
      </c>
      <c r="X3440" s="8">
        <f>IF(AND(V3440=1,D3440=pas_data,E3440=pas_turno),10000-ROW(),"")</f>
        <v/>
      </c>
    </row>
    <row r="3441">
      <c r="A3441" s="3">
        <f>IF(D3441="","","TT-"&amp;TEXT(ROW()-1,"00000"))</f>
        <v/>
      </c>
      <c r="B3441" s="3">
        <f>IF(D3441="","",IF(V3441=0,"CONCLUÍDO",IF(D3441&lt;corte,"HISTÓRICO",IF(OR(AND(ISNUMBER(R3441),R3441&lt;TODAY()),AND(OR(N3441="PENDENTE",N3441="PARCIAL"),D3441&lt;TODAY()-1)),"CRÍTICO",IF(OR(AND(P3441&lt;&gt;"",S3441=""),AND(N3441="REALIZADO",M3441="PENDENTE"),AND(ISNUMBER(R3441),R3441=TODAY())),"ATENÇÃO",IF(N(K3441)=0,"PENDENTE","EM ANDAMENTO"))))))</f>
        <v/>
      </c>
      <c r="C3441" s="3">
        <f>IF(D3441="","",IF(V3441=0,"🟢 OK",IF(D3441&lt;corte,"⚪ HISTÓRICO (sem baixa)",IF(AND(ISNUMBER(R3441),R3441&lt;TODAY()),"🔴 PRAZO VENCIDO",IF(AND(OR(N3441="PENDENTE",N3441="PARCIAL"),D3441&lt;TODAY()-1),"🔴 EMBARQUE ATRASADO",IF(AND(N3441="REALIZADO",M3441="PENDENTE"),"🟡 EMBARCADO SEM FATURAR",IF(AND(P3441&lt;&gt;"",S3441="",OR(Q3441="",R3441="")),"🟡 PENDÊNCIA SEM RESPONSÁVEL/PRAZO",IF(AND(ISNUMBER(R3441),R3441=TODAY()),"🟡 VENCE HOJE",IF(AND(P3441&lt;&gt;"",S3441=""),"🟡 PENDÊNCIA ABERTA",IF(AND(N(J3441)&gt;0,N(K3441)&lt;J3441),"🟡 FALTA EXECUTAR",IF(OR(M3441="PENDENTE",M3441="PARCIAL"),"🟡 FATURAMENTO PENDENTE","🟡 EMBARQUE PENDENTE")))))))))))</f>
        <v/>
      </c>
      <c r="D3441" s="4" t="n"/>
      <c r="E3441" s="5" t="n"/>
      <c r="F3441" s="5" t="n"/>
      <c r="G3441" s="5" t="n"/>
      <c r="H3441" s="5" t="n"/>
      <c r="I3441" s="5" t="n"/>
      <c r="J3441" s="6" t="n"/>
      <c r="K3441" s="6" t="n"/>
      <c r="L3441" s="7">
        <f>IF(OR(D3441="",N(J3441)=0),"",MIN(1,N(K3441)/J3441))</f>
        <v/>
      </c>
      <c r="M3441" s="5" t="n"/>
      <c r="N3441" s="5" t="n"/>
      <c r="O3441" s="5" t="n"/>
      <c r="P3441" s="5" t="n"/>
      <c r="Q3441" s="5" t="n"/>
      <c r="R3441" s="4" t="n"/>
      <c r="S3441" s="4" t="n"/>
      <c r="T3441" s="5" t="n"/>
      <c r="U3441" s="8">
        <f>IF(AND(V3441=1,D3441&lt;&gt;""),IF(D3441&gt;=corte,TODAY()-D3441,""),"")</f>
        <v/>
      </c>
      <c r="V3441" s="8">
        <f>IF(D3441="",0,IF(OR(AND(P3441&lt;&gt;"",S3441=""),AND(N(J3441)&gt;0,N(K3441)&lt;J3441),OR(M3441="PENDENTE",M3441="PARCIAL"),OR(N3441="PENDENTE",N3441="PARCIAL")),1,0))</f>
        <v/>
      </c>
      <c r="W3441" s="8">
        <f>IF(AND(V3441=1,D3441&lt;&gt;""),IF(D3441&gt;=corte,(B3441="CRÍTICO")*1E9+(100000-D3441)*10000+10000-ROW(),""),"")</f>
        <v/>
      </c>
      <c r="X3441" s="8">
        <f>IF(AND(V3441=1,D3441=pas_data,E3441=pas_turno),10000-ROW(),"")</f>
        <v/>
      </c>
    </row>
    <row r="3442">
      <c r="A3442" s="3">
        <f>IF(D3442="","","TT-"&amp;TEXT(ROW()-1,"00000"))</f>
        <v/>
      </c>
      <c r="B3442" s="3">
        <f>IF(D3442="","",IF(V3442=0,"CONCLUÍDO",IF(D3442&lt;corte,"HISTÓRICO",IF(OR(AND(ISNUMBER(R3442),R3442&lt;TODAY()),AND(OR(N3442="PENDENTE",N3442="PARCIAL"),D3442&lt;TODAY()-1)),"CRÍTICO",IF(OR(AND(P3442&lt;&gt;"",S3442=""),AND(N3442="REALIZADO",M3442="PENDENTE"),AND(ISNUMBER(R3442),R3442=TODAY())),"ATENÇÃO",IF(N(K3442)=0,"PENDENTE","EM ANDAMENTO"))))))</f>
        <v/>
      </c>
      <c r="C3442" s="3">
        <f>IF(D3442="","",IF(V3442=0,"🟢 OK",IF(D3442&lt;corte,"⚪ HISTÓRICO (sem baixa)",IF(AND(ISNUMBER(R3442),R3442&lt;TODAY()),"🔴 PRAZO VENCIDO",IF(AND(OR(N3442="PENDENTE",N3442="PARCIAL"),D3442&lt;TODAY()-1),"🔴 EMBARQUE ATRASADO",IF(AND(N3442="REALIZADO",M3442="PENDENTE"),"🟡 EMBARCADO SEM FATURAR",IF(AND(P3442&lt;&gt;"",S3442="",OR(Q3442="",R3442="")),"🟡 PENDÊNCIA SEM RESPONSÁVEL/PRAZO",IF(AND(ISNUMBER(R3442),R3442=TODAY()),"🟡 VENCE HOJE",IF(AND(P3442&lt;&gt;"",S3442=""),"🟡 PENDÊNCIA ABERTA",IF(AND(N(J3442)&gt;0,N(K3442)&lt;J3442),"🟡 FALTA EXECUTAR",IF(OR(M3442="PENDENTE",M3442="PARCIAL"),"🟡 FATURAMENTO PENDENTE","🟡 EMBARQUE PENDENTE")))))))))))</f>
        <v/>
      </c>
      <c r="D3442" s="4" t="n"/>
      <c r="E3442" s="5" t="n"/>
      <c r="F3442" s="5" t="n"/>
      <c r="G3442" s="5" t="n"/>
      <c r="H3442" s="5" t="n"/>
      <c r="I3442" s="5" t="n"/>
      <c r="J3442" s="6" t="n"/>
      <c r="K3442" s="6" t="n"/>
      <c r="L3442" s="7">
        <f>IF(OR(D3442="",N(J3442)=0),"",MIN(1,N(K3442)/J3442))</f>
        <v/>
      </c>
      <c r="M3442" s="5" t="n"/>
      <c r="N3442" s="5" t="n"/>
      <c r="O3442" s="5" t="n"/>
      <c r="P3442" s="5" t="n"/>
      <c r="Q3442" s="5" t="n"/>
      <c r="R3442" s="4" t="n"/>
      <c r="S3442" s="4" t="n"/>
      <c r="T3442" s="5" t="n"/>
      <c r="U3442" s="8">
        <f>IF(AND(V3442=1,D3442&lt;&gt;""),IF(D3442&gt;=corte,TODAY()-D3442,""),"")</f>
        <v/>
      </c>
      <c r="V3442" s="8">
        <f>IF(D3442="",0,IF(OR(AND(P3442&lt;&gt;"",S3442=""),AND(N(J3442)&gt;0,N(K3442)&lt;J3442),OR(M3442="PENDENTE",M3442="PARCIAL"),OR(N3442="PENDENTE",N3442="PARCIAL")),1,0))</f>
        <v/>
      </c>
      <c r="W3442" s="8">
        <f>IF(AND(V3442=1,D3442&lt;&gt;""),IF(D3442&gt;=corte,(B3442="CRÍTICO")*1E9+(100000-D3442)*10000+10000-ROW(),""),"")</f>
        <v/>
      </c>
      <c r="X3442" s="8">
        <f>IF(AND(V3442=1,D3442=pas_data,E3442=pas_turno),10000-ROW(),"")</f>
        <v/>
      </c>
    </row>
    <row r="3443">
      <c r="A3443" s="3">
        <f>IF(D3443="","","TT-"&amp;TEXT(ROW()-1,"00000"))</f>
        <v/>
      </c>
      <c r="B3443" s="3">
        <f>IF(D3443="","",IF(V3443=0,"CONCLUÍDO",IF(D3443&lt;corte,"HISTÓRICO",IF(OR(AND(ISNUMBER(R3443),R3443&lt;TODAY()),AND(OR(N3443="PENDENTE",N3443="PARCIAL"),D3443&lt;TODAY()-1)),"CRÍTICO",IF(OR(AND(P3443&lt;&gt;"",S3443=""),AND(N3443="REALIZADO",M3443="PENDENTE"),AND(ISNUMBER(R3443),R3443=TODAY())),"ATENÇÃO",IF(N(K3443)=0,"PENDENTE","EM ANDAMENTO"))))))</f>
        <v/>
      </c>
      <c r="C3443" s="3">
        <f>IF(D3443="","",IF(V3443=0,"🟢 OK",IF(D3443&lt;corte,"⚪ HISTÓRICO (sem baixa)",IF(AND(ISNUMBER(R3443),R3443&lt;TODAY()),"🔴 PRAZO VENCIDO",IF(AND(OR(N3443="PENDENTE",N3443="PARCIAL"),D3443&lt;TODAY()-1),"🔴 EMBARQUE ATRASADO",IF(AND(N3443="REALIZADO",M3443="PENDENTE"),"🟡 EMBARCADO SEM FATURAR",IF(AND(P3443&lt;&gt;"",S3443="",OR(Q3443="",R3443="")),"🟡 PENDÊNCIA SEM RESPONSÁVEL/PRAZO",IF(AND(ISNUMBER(R3443),R3443=TODAY()),"🟡 VENCE HOJE",IF(AND(P3443&lt;&gt;"",S3443=""),"🟡 PENDÊNCIA ABERTA",IF(AND(N(J3443)&gt;0,N(K3443)&lt;J3443),"🟡 FALTA EXECUTAR",IF(OR(M3443="PENDENTE",M3443="PARCIAL"),"🟡 FATURAMENTO PENDENTE","🟡 EMBARQUE PENDENTE")))))))))))</f>
        <v/>
      </c>
      <c r="D3443" s="4" t="n"/>
      <c r="E3443" s="5" t="n"/>
      <c r="F3443" s="5" t="n"/>
      <c r="G3443" s="5" t="n"/>
      <c r="H3443" s="5" t="n"/>
      <c r="I3443" s="5" t="n"/>
      <c r="J3443" s="6" t="n"/>
      <c r="K3443" s="6" t="n"/>
      <c r="L3443" s="7">
        <f>IF(OR(D3443="",N(J3443)=0),"",MIN(1,N(K3443)/J3443))</f>
        <v/>
      </c>
      <c r="M3443" s="5" t="n"/>
      <c r="N3443" s="5" t="n"/>
      <c r="O3443" s="5" t="n"/>
      <c r="P3443" s="5" t="n"/>
      <c r="Q3443" s="5" t="n"/>
      <c r="R3443" s="4" t="n"/>
      <c r="S3443" s="4" t="n"/>
      <c r="T3443" s="5" t="n"/>
      <c r="U3443" s="8">
        <f>IF(AND(V3443=1,D3443&lt;&gt;""),IF(D3443&gt;=corte,TODAY()-D3443,""),"")</f>
        <v/>
      </c>
      <c r="V3443" s="8">
        <f>IF(D3443="",0,IF(OR(AND(P3443&lt;&gt;"",S3443=""),AND(N(J3443)&gt;0,N(K3443)&lt;J3443),OR(M3443="PENDENTE",M3443="PARCIAL"),OR(N3443="PENDENTE",N3443="PARCIAL")),1,0))</f>
        <v/>
      </c>
      <c r="W3443" s="8">
        <f>IF(AND(V3443=1,D3443&lt;&gt;""),IF(D3443&gt;=corte,(B3443="CRÍTICO")*1E9+(100000-D3443)*10000+10000-ROW(),""),"")</f>
        <v/>
      </c>
      <c r="X3443" s="8">
        <f>IF(AND(V3443=1,D3443=pas_data,E3443=pas_turno),10000-ROW(),"")</f>
        <v/>
      </c>
    </row>
    <row r="3444">
      <c r="A3444" s="3">
        <f>IF(D3444="","","TT-"&amp;TEXT(ROW()-1,"00000"))</f>
        <v/>
      </c>
      <c r="B3444" s="3">
        <f>IF(D3444="","",IF(V3444=0,"CONCLUÍDO",IF(D3444&lt;corte,"HISTÓRICO",IF(OR(AND(ISNUMBER(R3444),R3444&lt;TODAY()),AND(OR(N3444="PENDENTE",N3444="PARCIAL"),D3444&lt;TODAY()-1)),"CRÍTICO",IF(OR(AND(P3444&lt;&gt;"",S3444=""),AND(N3444="REALIZADO",M3444="PENDENTE"),AND(ISNUMBER(R3444),R3444=TODAY())),"ATENÇÃO",IF(N(K3444)=0,"PENDENTE","EM ANDAMENTO"))))))</f>
        <v/>
      </c>
      <c r="C3444" s="3">
        <f>IF(D3444="","",IF(V3444=0,"🟢 OK",IF(D3444&lt;corte,"⚪ HISTÓRICO (sem baixa)",IF(AND(ISNUMBER(R3444),R3444&lt;TODAY()),"🔴 PRAZO VENCIDO",IF(AND(OR(N3444="PENDENTE",N3444="PARCIAL"),D3444&lt;TODAY()-1),"🔴 EMBARQUE ATRASADO",IF(AND(N3444="REALIZADO",M3444="PENDENTE"),"🟡 EMBARCADO SEM FATURAR",IF(AND(P3444&lt;&gt;"",S3444="",OR(Q3444="",R3444="")),"🟡 PENDÊNCIA SEM RESPONSÁVEL/PRAZO",IF(AND(ISNUMBER(R3444),R3444=TODAY()),"🟡 VENCE HOJE",IF(AND(P3444&lt;&gt;"",S3444=""),"🟡 PENDÊNCIA ABERTA",IF(AND(N(J3444)&gt;0,N(K3444)&lt;J3444),"🟡 FALTA EXECUTAR",IF(OR(M3444="PENDENTE",M3444="PARCIAL"),"🟡 FATURAMENTO PENDENTE","🟡 EMBARQUE PENDENTE")))))))))))</f>
        <v/>
      </c>
      <c r="D3444" s="4" t="n"/>
      <c r="E3444" s="5" t="n"/>
      <c r="F3444" s="5" t="n"/>
      <c r="G3444" s="5" t="n"/>
      <c r="H3444" s="5" t="n"/>
      <c r="I3444" s="5" t="n"/>
      <c r="J3444" s="6" t="n"/>
      <c r="K3444" s="6" t="n"/>
      <c r="L3444" s="7">
        <f>IF(OR(D3444="",N(J3444)=0),"",MIN(1,N(K3444)/J3444))</f>
        <v/>
      </c>
      <c r="M3444" s="5" t="n"/>
      <c r="N3444" s="5" t="n"/>
      <c r="O3444" s="5" t="n"/>
      <c r="P3444" s="5" t="n"/>
      <c r="Q3444" s="5" t="n"/>
      <c r="R3444" s="4" t="n"/>
      <c r="S3444" s="4" t="n"/>
      <c r="T3444" s="5" t="n"/>
      <c r="U3444" s="8">
        <f>IF(AND(V3444=1,D3444&lt;&gt;""),IF(D3444&gt;=corte,TODAY()-D3444,""),"")</f>
        <v/>
      </c>
      <c r="V3444" s="8">
        <f>IF(D3444="",0,IF(OR(AND(P3444&lt;&gt;"",S3444=""),AND(N(J3444)&gt;0,N(K3444)&lt;J3444),OR(M3444="PENDENTE",M3444="PARCIAL"),OR(N3444="PENDENTE",N3444="PARCIAL")),1,0))</f>
        <v/>
      </c>
      <c r="W3444" s="8">
        <f>IF(AND(V3444=1,D3444&lt;&gt;""),IF(D3444&gt;=corte,(B3444="CRÍTICO")*1E9+(100000-D3444)*10000+10000-ROW(),""),"")</f>
        <v/>
      </c>
      <c r="X3444" s="8">
        <f>IF(AND(V3444=1,D3444=pas_data,E3444=pas_turno),10000-ROW(),"")</f>
        <v/>
      </c>
    </row>
    <row r="3445">
      <c r="A3445" s="3">
        <f>IF(D3445="","","TT-"&amp;TEXT(ROW()-1,"00000"))</f>
        <v/>
      </c>
      <c r="B3445" s="3">
        <f>IF(D3445="","",IF(V3445=0,"CONCLUÍDO",IF(D3445&lt;corte,"HISTÓRICO",IF(OR(AND(ISNUMBER(R3445),R3445&lt;TODAY()),AND(OR(N3445="PENDENTE",N3445="PARCIAL"),D3445&lt;TODAY()-1)),"CRÍTICO",IF(OR(AND(P3445&lt;&gt;"",S3445=""),AND(N3445="REALIZADO",M3445="PENDENTE"),AND(ISNUMBER(R3445),R3445=TODAY())),"ATENÇÃO",IF(N(K3445)=0,"PENDENTE","EM ANDAMENTO"))))))</f>
        <v/>
      </c>
      <c r="C3445" s="3">
        <f>IF(D3445="","",IF(V3445=0,"🟢 OK",IF(D3445&lt;corte,"⚪ HISTÓRICO (sem baixa)",IF(AND(ISNUMBER(R3445),R3445&lt;TODAY()),"🔴 PRAZO VENCIDO",IF(AND(OR(N3445="PENDENTE",N3445="PARCIAL"),D3445&lt;TODAY()-1),"🔴 EMBARQUE ATRASADO",IF(AND(N3445="REALIZADO",M3445="PENDENTE"),"🟡 EMBARCADO SEM FATURAR",IF(AND(P3445&lt;&gt;"",S3445="",OR(Q3445="",R3445="")),"🟡 PENDÊNCIA SEM RESPONSÁVEL/PRAZO",IF(AND(ISNUMBER(R3445),R3445=TODAY()),"🟡 VENCE HOJE",IF(AND(P3445&lt;&gt;"",S3445=""),"🟡 PENDÊNCIA ABERTA",IF(AND(N(J3445)&gt;0,N(K3445)&lt;J3445),"🟡 FALTA EXECUTAR",IF(OR(M3445="PENDENTE",M3445="PARCIAL"),"🟡 FATURAMENTO PENDENTE","🟡 EMBARQUE PENDENTE")))))))))))</f>
        <v/>
      </c>
      <c r="D3445" s="4" t="n"/>
      <c r="E3445" s="5" t="n"/>
      <c r="F3445" s="5" t="n"/>
      <c r="G3445" s="5" t="n"/>
      <c r="H3445" s="5" t="n"/>
      <c r="I3445" s="5" t="n"/>
      <c r="J3445" s="6" t="n"/>
      <c r="K3445" s="6" t="n"/>
      <c r="L3445" s="7">
        <f>IF(OR(D3445="",N(J3445)=0),"",MIN(1,N(K3445)/J3445))</f>
        <v/>
      </c>
      <c r="M3445" s="5" t="n"/>
      <c r="N3445" s="5" t="n"/>
      <c r="O3445" s="5" t="n"/>
      <c r="P3445" s="5" t="n"/>
      <c r="Q3445" s="5" t="n"/>
      <c r="R3445" s="4" t="n"/>
      <c r="S3445" s="4" t="n"/>
      <c r="T3445" s="5" t="n"/>
      <c r="U3445" s="8">
        <f>IF(AND(V3445=1,D3445&lt;&gt;""),IF(D3445&gt;=corte,TODAY()-D3445,""),"")</f>
        <v/>
      </c>
      <c r="V3445" s="8">
        <f>IF(D3445="",0,IF(OR(AND(P3445&lt;&gt;"",S3445=""),AND(N(J3445)&gt;0,N(K3445)&lt;J3445),OR(M3445="PENDENTE",M3445="PARCIAL"),OR(N3445="PENDENTE",N3445="PARCIAL")),1,0))</f>
        <v/>
      </c>
      <c r="W3445" s="8">
        <f>IF(AND(V3445=1,D3445&lt;&gt;""),IF(D3445&gt;=corte,(B3445="CRÍTICO")*1E9+(100000-D3445)*10000+10000-ROW(),""),"")</f>
        <v/>
      </c>
      <c r="X3445" s="8">
        <f>IF(AND(V3445=1,D3445=pas_data,E3445=pas_turno),10000-ROW(),"")</f>
        <v/>
      </c>
    </row>
    <row r="3446">
      <c r="A3446" s="3">
        <f>IF(D3446="","","TT-"&amp;TEXT(ROW()-1,"00000"))</f>
        <v/>
      </c>
      <c r="B3446" s="3">
        <f>IF(D3446="","",IF(V3446=0,"CONCLUÍDO",IF(D3446&lt;corte,"HISTÓRICO",IF(OR(AND(ISNUMBER(R3446),R3446&lt;TODAY()),AND(OR(N3446="PENDENTE",N3446="PARCIAL"),D3446&lt;TODAY()-1)),"CRÍTICO",IF(OR(AND(P3446&lt;&gt;"",S3446=""),AND(N3446="REALIZADO",M3446="PENDENTE"),AND(ISNUMBER(R3446),R3446=TODAY())),"ATENÇÃO",IF(N(K3446)=0,"PENDENTE","EM ANDAMENTO"))))))</f>
        <v/>
      </c>
      <c r="C3446" s="3">
        <f>IF(D3446="","",IF(V3446=0,"🟢 OK",IF(D3446&lt;corte,"⚪ HISTÓRICO (sem baixa)",IF(AND(ISNUMBER(R3446),R3446&lt;TODAY()),"🔴 PRAZO VENCIDO",IF(AND(OR(N3446="PENDENTE",N3446="PARCIAL"),D3446&lt;TODAY()-1),"🔴 EMBARQUE ATRASADO",IF(AND(N3446="REALIZADO",M3446="PENDENTE"),"🟡 EMBARCADO SEM FATURAR",IF(AND(P3446&lt;&gt;"",S3446="",OR(Q3446="",R3446="")),"🟡 PENDÊNCIA SEM RESPONSÁVEL/PRAZO",IF(AND(ISNUMBER(R3446),R3446=TODAY()),"🟡 VENCE HOJE",IF(AND(P3446&lt;&gt;"",S3446=""),"🟡 PENDÊNCIA ABERTA",IF(AND(N(J3446)&gt;0,N(K3446)&lt;J3446),"🟡 FALTA EXECUTAR",IF(OR(M3446="PENDENTE",M3446="PARCIAL"),"🟡 FATURAMENTO PENDENTE","🟡 EMBARQUE PENDENTE")))))))))))</f>
        <v/>
      </c>
      <c r="D3446" s="4" t="n"/>
      <c r="E3446" s="5" t="n"/>
      <c r="F3446" s="5" t="n"/>
      <c r="G3446" s="5" t="n"/>
      <c r="H3446" s="5" t="n"/>
      <c r="I3446" s="5" t="n"/>
      <c r="J3446" s="6" t="n"/>
      <c r="K3446" s="6" t="n"/>
      <c r="L3446" s="7">
        <f>IF(OR(D3446="",N(J3446)=0),"",MIN(1,N(K3446)/J3446))</f>
        <v/>
      </c>
      <c r="M3446" s="5" t="n"/>
      <c r="N3446" s="5" t="n"/>
      <c r="O3446" s="5" t="n"/>
      <c r="P3446" s="5" t="n"/>
      <c r="Q3446" s="5" t="n"/>
      <c r="R3446" s="4" t="n"/>
      <c r="S3446" s="4" t="n"/>
      <c r="T3446" s="5" t="n"/>
      <c r="U3446" s="8">
        <f>IF(AND(V3446=1,D3446&lt;&gt;""),IF(D3446&gt;=corte,TODAY()-D3446,""),"")</f>
        <v/>
      </c>
      <c r="V3446" s="8">
        <f>IF(D3446="",0,IF(OR(AND(P3446&lt;&gt;"",S3446=""),AND(N(J3446)&gt;0,N(K3446)&lt;J3446),OR(M3446="PENDENTE",M3446="PARCIAL"),OR(N3446="PENDENTE",N3446="PARCIAL")),1,0))</f>
        <v/>
      </c>
      <c r="W3446" s="8">
        <f>IF(AND(V3446=1,D3446&lt;&gt;""),IF(D3446&gt;=corte,(B3446="CRÍTICO")*1E9+(100000-D3446)*10000+10000-ROW(),""),"")</f>
        <v/>
      </c>
      <c r="X3446" s="8">
        <f>IF(AND(V3446=1,D3446=pas_data,E3446=pas_turno),10000-ROW(),"")</f>
        <v/>
      </c>
    </row>
    <row r="3447">
      <c r="A3447" s="3">
        <f>IF(D3447="","","TT-"&amp;TEXT(ROW()-1,"00000"))</f>
        <v/>
      </c>
      <c r="B3447" s="3">
        <f>IF(D3447="","",IF(V3447=0,"CONCLUÍDO",IF(D3447&lt;corte,"HISTÓRICO",IF(OR(AND(ISNUMBER(R3447),R3447&lt;TODAY()),AND(OR(N3447="PENDENTE",N3447="PARCIAL"),D3447&lt;TODAY()-1)),"CRÍTICO",IF(OR(AND(P3447&lt;&gt;"",S3447=""),AND(N3447="REALIZADO",M3447="PENDENTE"),AND(ISNUMBER(R3447),R3447=TODAY())),"ATENÇÃO",IF(N(K3447)=0,"PENDENTE","EM ANDAMENTO"))))))</f>
        <v/>
      </c>
      <c r="C3447" s="3">
        <f>IF(D3447="","",IF(V3447=0,"🟢 OK",IF(D3447&lt;corte,"⚪ HISTÓRICO (sem baixa)",IF(AND(ISNUMBER(R3447),R3447&lt;TODAY()),"🔴 PRAZO VENCIDO",IF(AND(OR(N3447="PENDENTE",N3447="PARCIAL"),D3447&lt;TODAY()-1),"🔴 EMBARQUE ATRASADO",IF(AND(N3447="REALIZADO",M3447="PENDENTE"),"🟡 EMBARCADO SEM FATURAR",IF(AND(P3447&lt;&gt;"",S3447="",OR(Q3447="",R3447="")),"🟡 PENDÊNCIA SEM RESPONSÁVEL/PRAZO",IF(AND(ISNUMBER(R3447),R3447=TODAY()),"🟡 VENCE HOJE",IF(AND(P3447&lt;&gt;"",S3447=""),"🟡 PENDÊNCIA ABERTA",IF(AND(N(J3447)&gt;0,N(K3447)&lt;J3447),"🟡 FALTA EXECUTAR",IF(OR(M3447="PENDENTE",M3447="PARCIAL"),"🟡 FATURAMENTO PENDENTE","🟡 EMBARQUE PENDENTE")))))))))))</f>
        <v/>
      </c>
      <c r="D3447" s="4" t="n"/>
      <c r="E3447" s="5" t="n"/>
      <c r="F3447" s="5" t="n"/>
      <c r="G3447" s="5" t="n"/>
      <c r="H3447" s="5" t="n"/>
      <c r="I3447" s="5" t="n"/>
      <c r="J3447" s="6" t="n"/>
      <c r="K3447" s="6" t="n"/>
      <c r="L3447" s="7">
        <f>IF(OR(D3447="",N(J3447)=0),"",MIN(1,N(K3447)/J3447))</f>
        <v/>
      </c>
      <c r="M3447" s="5" t="n"/>
      <c r="N3447" s="5" t="n"/>
      <c r="O3447" s="5" t="n"/>
      <c r="P3447" s="5" t="n"/>
      <c r="Q3447" s="5" t="n"/>
      <c r="R3447" s="4" t="n"/>
      <c r="S3447" s="4" t="n"/>
      <c r="T3447" s="5" t="n"/>
      <c r="U3447" s="8">
        <f>IF(AND(V3447=1,D3447&lt;&gt;""),IF(D3447&gt;=corte,TODAY()-D3447,""),"")</f>
        <v/>
      </c>
      <c r="V3447" s="8">
        <f>IF(D3447="",0,IF(OR(AND(P3447&lt;&gt;"",S3447=""),AND(N(J3447)&gt;0,N(K3447)&lt;J3447),OR(M3447="PENDENTE",M3447="PARCIAL"),OR(N3447="PENDENTE",N3447="PARCIAL")),1,0))</f>
        <v/>
      </c>
      <c r="W3447" s="8">
        <f>IF(AND(V3447=1,D3447&lt;&gt;""),IF(D3447&gt;=corte,(B3447="CRÍTICO")*1E9+(100000-D3447)*10000+10000-ROW(),""),"")</f>
        <v/>
      </c>
      <c r="X3447" s="8">
        <f>IF(AND(V3447=1,D3447=pas_data,E3447=pas_turno),10000-ROW(),"")</f>
        <v/>
      </c>
    </row>
    <row r="3448">
      <c r="A3448" s="3">
        <f>IF(D3448="","","TT-"&amp;TEXT(ROW()-1,"00000"))</f>
        <v/>
      </c>
      <c r="B3448" s="3">
        <f>IF(D3448="","",IF(V3448=0,"CONCLUÍDO",IF(D3448&lt;corte,"HISTÓRICO",IF(OR(AND(ISNUMBER(R3448),R3448&lt;TODAY()),AND(OR(N3448="PENDENTE",N3448="PARCIAL"),D3448&lt;TODAY()-1)),"CRÍTICO",IF(OR(AND(P3448&lt;&gt;"",S3448=""),AND(N3448="REALIZADO",M3448="PENDENTE"),AND(ISNUMBER(R3448),R3448=TODAY())),"ATENÇÃO",IF(N(K3448)=0,"PENDENTE","EM ANDAMENTO"))))))</f>
        <v/>
      </c>
      <c r="C3448" s="3">
        <f>IF(D3448="","",IF(V3448=0,"🟢 OK",IF(D3448&lt;corte,"⚪ HISTÓRICO (sem baixa)",IF(AND(ISNUMBER(R3448),R3448&lt;TODAY()),"🔴 PRAZO VENCIDO",IF(AND(OR(N3448="PENDENTE",N3448="PARCIAL"),D3448&lt;TODAY()-1),"🔴 EMBARQUE ATRASADO",IF(AND(N3448="REALIZADO",M3448="PENDENTE"),"🟡 EMBARCADO SEM FATURAR",IF(AND(P3448&lt;&gt;"",S3448="",OR(Q3448="",R3448="")),"🟡 PENDÊNCIA SEM RESPONSÁVEL/PRAZO",IF(AND(ISNUMBER(R3448),R3448=TODAY()),"🟡 VENCE HOJE",IF(AND(P3448&lt;&gt;"",S3448=""),"🟡 PENDÊNCIA ABERTA",IF(AND(N(J3448)&gt;0,N(K3448)&lt;J3448),"🟡 FALTA EXECUTAR",IF(OR(M3448="PENDENTE",M3448="PARCIAL"),"🟡 FATURAMENTO PENDENTE","🟡 EMBARQUE PENDENTE")))))))))))</f>
        <v/>
      </c>
      <c r="D3448" s="4" t="n"/>
      <c r="E3448" s="5" t="n"/>
      <c r="F3448" s="5" t="n"/>
      <c r="G3448" s="5" t="n"/>
      <c r="H3448" s="5" t="n"/>
      <c r="I3448" s="5" t="n"/>
      <c r="J3448" s="6" t="n"/>
      <c r="K3448" s="6" t="n"/>
      <c r="L3448" s="7">
        <f>IF(OR(D3448="",N(J3448)=0),"",MIN(1,N(K3448)/J3448))</f>
        <v/>
      </c>
      <c r="M3448" s="5" t="n"/>
      <c r="N3448" s="5" t="n"/>
      <c r="O3448" s="5" t="n"/>
      <c r="P3448" s="5" t="n"/>
      <c r="Q3448" s="5" t="n"/>
      <c r="R3448" s="4" t="n"/>
      <c r="S3448" s="4" t="n"/>
      <c r="T3448" s="5" t="n"/>
      <c r="U3448" s="8">
        <f>IF(AND(V3448=1,D3448&lt;&gt;""),IF(D3448&gt;=corte,TODAY()-D3448,""),"")</f>
        <v/>
      </c>
      <c r="V3448" s="8">
        <f>IF(D3448="",0,IF(OR(AND(P3448&lt;&gt;"",S3448=""),AND(N(J3448)&gt;0,N(K3448)&lt;J3448),OR(M3448="PENDENTE",M3448="PARCIAL"),OR(N3448="PENDENTE",N3448="PARCIAL")),1,0))</f>
        <v/>
      </c>
      <c r="W3448" s="8">
        <f>IF(AND(V3448=1,D3448&lt;&gt;""),IF(D3448&gt;=corte,(B3448="CRÍTICO")*1E9+(100000-D3448)*10000+10000-ROW(),""),"")</f>
        <v/>
      </c>
      <c r="X3448" s="8">
        <f>IF(AND(V3448=1,D3448=pas_data,E3448=pas_turno),10000-ROW(),"")</f>
        <v/>
      </c>
    </row>
    <row r="3449">
      <c r="A3449" s="3">
        <f>IF(D3449="","","TT-"&amp;TEXT(ROW()-1,"00000"))</f>
        <v/>
      </c>
      <c r="B3449" s="3">
        <f>IF(D3449="","",IF(V3449=0,"CONCLUÍDO",IF(D3449&lt;corte,"HISTÓRICO",IF(OR(AND(ISNUMBER(R3449),R3449&lt;TODAY()),AND(OR(N3449="PENDENTE",N3449="PARCIAL"),D3449&lt;TODAY()-1)),"CRÍTICO",IF(OR(AND(P3449&lt;&gt;"",S3449=""),AND(N3449="REALIZADO",M3449="PENDENTE"),AND(ISNUMBER(R3449),R3449=TODAY())),"ATENÇÃO",IF(N(K3449)=0,"PENDENTE","EM ANDAMENTO"))))))</f>
        <v/>
      </c>
      <c r="C3449" s="3">
        <f>IF(D3449="","",IF(V3449=0,"🟢 OK",IF(D3449&lt;corte,"⚪ HISTÓRICO (sem baixa)",IF(AND(ISNUMBER(R3449),R3449&lt;TODAY()),"🔴 PRAZO VENCIDO",IF(AND(OR(N3449="PENDENTE",N3449="PARCIAL"),D3449&lt;TODAY()-1),"🔴 EMBARQUE ATRASADO",IF(AND(N3449="REALIZADO",M3449="PENDENTE"),"🟡 EMBARCADO SEM FATURAR",IF(AND(P3449&lt;&gt;"",S3449="",OR(Q3449="",R3449="")),"🟡 PENDÊNCIA SEM RESPONSÁVEL/PRAZO",IF(AND(ISNUMBER(R3449),R3449=TODAY()),"🟡 VENCE HOJE",IF(AND(P3449&lt;&gt;"",S3449=""),"🟡 PENDÊNCIA ABERTA",IF(AND(N(J3449)&gt;0,N(K3449)&lt;J3449),"🟡 FALTA EXECUTAR",IF(OR(M3449="PENDENTE",M3449="PARCIAL"),"🟡 FATURAMENTO PENDENTE","🟡 EMBARQUE PENDENTE")))))))))))</f>
        <v/>
      </c>
      <c r="D3449" s="4" t="n"/>
      <c r="E3449" s="5" t="n"/>
      <c r="F3449" s="5" t="n"/>
      <c r="G3449" s="5" t="n"/>
      <c r="H3449" s="5" t="n"/>
      <c r="I3449" s="5" t="n"/>
      <c r="J3449" s="6" t="n"/>
      <c r="K3449" s="6" t="n"/>
      <c r="L3449" s="7">
        <f>IF(OR(D3449="",N(J3449)=0),"",MIN(1,N(K3449)/J3449))</f>
        <v/>
      </c>
      <c r="M3449" s="5" t="n"/>
      <c r="N3449" s="5" t="n"/>
      <c r="O3449" s="5" t="n"/>
      <c r="P3449" s="5" t="n"/>
      <c r="Q3449" s="5" t="n"/>
      <c r="R3449" s="4" t="n"/>
      <c r="S3449" s="4" t="n"/>
      <c r="T3449" s="5" t="n"/>
      <c r="U3449" s="8">
        <f>IF(AND(V3449=1,D3449&lt;&gt;""),IF(D3449&gt;=corte,TODAY()-D3449,""),"")</f>
        <v/>
      </c>
      <c r="V3449" s="8">
        <f>IF(D3449="",0,IF(OR(AND(P3449&lt;&gt;"",S3449=""),AND(N(J3449)&gt;0,N(K3449)&lt;J3449),OR(M3449="PENDENTE",M3449="PARCIAL"),OR(N3449="PENDENTE",N3449="PARCIAL")),1,0))</f>
        <v/>
      </c>
      <c r="W3449" s="8">
        <f>IF(AND(V3449=1,D3449&lt;&gt;""),IF(D3449&gt;=corte,(B3449="CRÍTICO")*1E9+(100000-D3449)*10000+10000-ROW(),""),"")</f>
        <v/>
      </c>
      <c r="X3449" s="8">
        <f>IF(AND(V3449=1,D3449=pas_data,E3449=pas_turno),10000-ROW(),"")</f>
        <v/>
      </c>
    </row>
    <row r="3450">
      <c r="A3450" s="3">
        <f>IF(D3450="","","TT-"&amp;TEXT(ROW()-1,"00000"))</f>
        <v/>
      </c>
      <c r="B3450" s="3">
        <f>IF(D3450="","",IF(V3450=0,"CONCLUÍDO",IF(D3450&lt;corte,"HISTÓRICO",IF(OR(AND(ISNUMBER(R3450),R3450&lt;TODAY()),AND(OR(N3450="PENDENTE",N3450="PARCIAL"),D3450&lt;TODAY()-1)),"CRÍTICO",IF(OR(AND(P3450&lt;&gt;"",S3450=""),AND(N3450="REALIZADO",M3450="PENDENTE"),AND(ISNUMBER(R3450),R3450=TODAY())),"ATENÇÃO",IF(N(K3450)=0,"PENDENTE","EM ANDAMENTO"))))))</f>
        <v/>
      </c>
      <c r="C3450" s="3">
        <f>IF(D3450="","",IF(V3450=0,"🟢 OK",IF(D3450&lt;corte,"⚪ HISTÓRICO (sem baixa)",IF(AND(ISNUMBER(R3450),R3450&lt;TODAY()),"🔴 PRAZO VENCIDO",IF(AND(OR(N3450="PENDENTE",N3450="PARCIAL"),D3450&lt;TODAY()-1),"🔴 EMBARQUE ATRASADO",IF(AND(N3450="REALIZADO",M3450="PENDENTE"),"🟡 EMBARCADO SEM FATURAR",IF(AND(P3450&lt;&gt;"",S3450="",OR(Q3450="",R3450="")),"🟡 PENDÊNCIA SEM RESPONSÁVEL/PRAZO",IF(AND(ISNUMBER(R3450),R3450=TODAY()),"🟡 VENCE HOJE",IF(AND(P3450&lt;&gt;"",S3450=""),"🟡 PENDÊNCIA ABERTA",IF(AND(N(J3450)&gt;0,N(K3450)&lt;J3450),"🟡 FALTA EXECUTAR",IF(OR(M3450="PENDENTE",M3450="PARCIAL"),"🟡 FATURAMENTO PENDENTE","🟡 EMBARQUE PENDENTE")))))))))))</f>
        <v/>
      </c>
      <c r="D3450" s="4" t="n"/>
      <c r="E3450" s="5" t="n"/>
      <c r="F3450" s="5" t="n"/>
      <c r="G3450" s="5" t="n"/>
      <c r="H3450" s="5" t="n"/>
      <c r="I3450" s="5" t="n"/>
      <c r="J3450" s="6" t="n"/>
      <c r="K3450" s="6" t="n"/>
      <c r="L3450" s="7">
        <f>IF(OR(D3450="",N(J3450)=0),"",MIN(1,N(K3450)/J3450))</f>
        <v/>
      </c>
      <c r="M3450" s="5" t="n"/>
      <c r="N3450" s="5" t="n"/>
      <c r="O3450" s="5" t="n"/>
      <c r="P3450" s="5" t="n"/>
      <c r="Q3450" s="5" t="n"/>
      <c r="R3450" s="4" t="n"/>
      <c r="S3450" s="4" t="n"/>
      <c r="T3450" s="5" t="n"/>
      <c r="U3450" s="8">
        <f>IF(AND(V3450=1,D3450&lt;&gt;""),IF(D3450&gt;=corte,TODAY()-D3450,""),"")</f>
        <v/>
      </c>
      <c r="V3450" s="8">
        <f>IF(D3450="",0,IF(OR(AND(P3450&lt;&gt;"",S3450=""),AND(N(J3450)&gt;0,N(K3450)&lt;J3450),OR(M3450="PENDENTE",M3450="PARCIAL"),OR(N3450="PENDENTE",N3450="PARCIAL")),1,0))</f>
        <v/>
      </c>
      <c r="W3450" s="8">
        <f>IF(AND(V3450=1,D3450&lt;&gt;""),IF(D3450&gt;=corte,(B3450="CRÍTICO")*1E9+(100000-D3450)*10000+10000-ROW(),""),"")</f>
        <v/>
      </c>
      <c r="X3450" s="8">
        <f>IF(AND(V3450=1,D3450=pas_data,E3450=pas_turno),10000-ROW(),"")</f>
        <v/>
      </c>
    </row>
    <row r="3451">
      <c r="A3451" s="3">
        <f>IF(D3451="","","TT-"&amp;TEXT(ROW()-1,"00000"))</f>
        <v/>
      </c>
      <c r="B3451" s="3">
        <f>IF(D3451="","",IF(V3451=0,"CONCLUÍDO",IF(D3451&lt;corte,"HISTÓRICO",IF(OR(AND(ISNUMBER(R3451),R3451&lt;TODAY()),AND(OR(N3451="PENDENTE",N3451="PARCIAL"),D3451&lt;TODAY()-1)),"CRÍTICO",IF(OR(AND(P3451&lt;&gt;"",S3451=""),AND(N3451="REALIZADO",M3451="PENDENTE"),AND(ISNUMBER(R3451),R3451=TODAY())),"ATENÇÃO",IF(N(K3451)=0,"PENDENTE","EM ANDAMENTO"))))))</f>
        <v/>
      </c>
      <c r="C3451" s="3">
        <f>IF(D3451="","",IF(V3451=0,"🟢 OK",IF(D3451&lt;corte,"⚪ HISTÓRICO (sem baixa)",IF(AND(ISNUMBER(R3451),R3451&lt;TODAY()),"🔴 PRAZO VENCIDO",IF(AND(OR(N3451="PENDENTE",N3451="PARCIAL"),D3451&lt;TODAY()-1),"🔴 EMBARQUE ATRASADO",IF(AND(N3451="REALIZADO",M3451="PENDENTE"),"🟡 EMBARCADO SEM FATURAR",IF(AND(P3451&lt;&gt;"",S3451="",OR(Q3451="",R3451="")),"🟡 PENDÊNCIA SEM RESPONSÁVEL/PRAZO",IF(AND(ISNUMBER(R3451),R3451=TODAY()),"🟡 VENCE HOJE",IF(AND(P3451&lt;&gt;"",S3451=""),"🟡 PENDÊNCIA ABERTA",IF(AND(N(J3451)&gt;0,N(K3451)&lt;J3451),"🟡 FALTA EXECUTAR",IF(OR(M3451="PENDENTE",M3451="PARCIAL"),"🟡 FATURAMENTO PENDENTE","🟡 EMBARQUE PENDENTE")))))))))))</f>
        <v/>
      </c>
      <c r="D3451" s="4" t="n"/>
      <c r="E3451" s="5" t="n"/>
      <c r="F3451" s="5" t="n"/>
      <c r="G3451" s="5" t="n"/>
      <c r="H3451" s="5" t="n"/>
      <c r="I3451" s="5" t="n"/>
      <c r="J3451" s="6" t="n"/>
      <c r="K3451" s="6" t="n"/>
      <c r="L3451" s="7">
        <f>IF(OR(D3451="",N(J3451)=0),"",MIN(1,N(K3451)/J3451))</f>
        <v/>
      </c>
      <c r="M3451" s="5" t="n"/>
      <c r="N3451" s="5" t="n"/>
      <c r="O3451" s="5" t="n"/>
      <c r="P3451" s="5" t="n"/>
      <c r="Q3451" s="5" t="n"/>
      <c r="R3451" s="4" t="n"/>
      <c r="S3451" s="4" t="n"/>
      <c r="T3451" s="5" t="n"/>
      <c r="U3451" s="8">
        <f>IF(AND(V3451=1,D3451&lt;&gt;""),IF(D3451&gt;=corte,TODAY()-D3451,""),"")</f>
        <v/>
      </c>
      <c r="V3451" s="8">
        <f>IF(D3451="",0,IF(OR(AND(P3451&lt;&gt;"",S3451=""),AND(N(J3451)&gt;0,N(K3451)&lt;J3451),OR(M3451="PENDENTE",M3451="PARCIAL"),OR(N3451="PENDENTE",N3451="PARCIAL")),1,0))</f>
        <v/>
      </c>
      <c r="W3451" s="8">
        <f>IF(AND(V3451=1,D3451&lt;&gt;""),IF(D3451&gt;=corte,(B3451="CRÍTICO")*1E9+(100000-D3451)*10000+10000-ROW(),""),"")</f>
        <v/>
      </c>
      <c r="X3451" s="8">
        <f>IF(AND(V3451=1,D3451=pas_data,E3451=pas_turno),10000-ROW(),"")</f>
        <v/>
      </c>
    </row>
    <row r="3452">
      <c r="A3452" s="3">
        <f>IF(D3452="","","TT-"&amp;TEXT(ROW()-1,"00000"))</f>
        <v/>
      </c>
      <c r="B3452" s="3">
        <f>IF(D3452="","",IF(V3452=0,"CONCLUÍDO",IF(D3452&lt;corte,"HISTÓRICO",IF(OR(AND(ISNUMBER(R3452),R3452&lt;TODAY()),AND(OR(N3452="PENDENTE",N3452="PARCIAL"),D3452&lt;TODAY()-1)),"CRÍTICO",IF(OR(AND(P3452&lt;&gt;"",S3452=""),AND(N3452="REALIZADO",M3452="PENDENTE"),AND(ISNUMBER(R3452),R3452=TODAY())),"ATENÇÃO",IF(N(K3452)=0,"PENDENTE","EM ANDAMENTO"))))))</f>
        <v/>
      </c>
      <c r="C3452" s="3">
        <f>IF(D3452="","",IF(V3452=0,"🟢 OK",IF(D3452&lt;corte,"⚪ HISTÓRICO (sem baixa)",IF(AND(ISNUMBER(R3452),R3452&lt;TODAY()),"🔴 PRAZO VENCIDO",IF(AND(OR(N3452="PENDENTE",N3452="PARCIAL"),D3452&lt;TODAY()-1),"🔴 EMBARQUE ATRASADO",IF(AND(N3452="REALIZADO",M3452="PENDENTE"),"🟡 EMBARCADO SEM FATURAR",IF(AND(P3452&lt;&gt;"",S3452="",OR(Q3452="",R3452="")),"🟡 PENDÊNCIA SEM RESPONSÁVEL/PRAZO",IF(AND(ISNUMBER(R3452),R3452=TODAY()),"🟡 VENCE HOJE",IF(AND(P3452&lt;&gt;"",S3452=""),"🟡 PENDÊNCIA ABERTA",IF(AND(N(J3452)&gt;0,N(K3452)&lt;J3452),"🟡 FALTA EXECUTAR",IF(OR(M3452="PENDENTE",M3452="PARCIAL"),"🟡 FATURAMENTO PENDENTE","🟡 EMBARQUE PENDENTE")))))))))))</f>
        <v/>
      </c>
      <c r="D3452" s="4" t="n"/>
      <c r="E3452" s="5" t="n"/>
      <c r="F3452" s="5" t="n"/>
      <c r="G3452" s="5" t="n"/>
      <c r="H3452" s="5" t="n"/>
      <c r="I3452" s="5" t="n"/>
      <c r="J3452" s="6" t="n"/>
      <c r="K3452" s="6" t="n"/>
      <c r="L3452" s="7">
        <f>IF(OR(D3452="",N(J3452)=0),"",MIN(1,N(K3452)/J3452))</f>
        <v/>
      </c>
      <c r="M3452" s="5" t="n"/>
      <c r="N3452" s="5" t="n"/>
      <c r="O3452" s="5" t="n"/>
      <c r="P3452" s="5" t="n"/>
      <c r="Q3452" s="5" t="n"/>
      <c r="R3452" s="4" t="n"/>
      <c r="S3452" s="4" t="n"/>
      <c r="T3452" s="5" t="n"/>
      <c r="U3452" s="8">
        <f>IF(AND(V3452=1,D3452&lt;&gt;""),IF(D3452&gt;=corte,TODAY()-D3452,""),"")</f>
        <v/>
      </c>
      <c r="V3452" s="8">
        <f>IF(D3452="",0,IF(OR(AND(P3452&lt;&gt;"",S3452=""),AND(N(J3452)&gt;0,N(K3452)&lt;J3452),OR(M3452="PENDENTE",M3452="PARCIAL"),OR(N3452="PENDENTE",N3452="PARCIAL")),1,0))</f>
        <v/>
      </c>
      <c r="W3452" s="8">
        <f>IF(AND(V3452=1,D3452&lt;&gt;""),IF(D3452&gt;=corte,(B3452="CRÍTICO")*1E9+(100000-D3452)*10000+10000-ROW(),""),"")</f>
        <v/>
      </c>
      <c r="X3452" s="8">
        <f>IF(AND(V3452=1,D3452=pas_data,E3452=pas_turno),10000-ROW(),"")</f>
        <v/>
      </c>
    </row>
    <row r="3453">
      <c r="A3453" s="3">
        <f>IF(D3453="","","TT-"&amp;TEXT(ROW()-1,"00000"))</f>
        <v/>
      </c>
      <c r="B3453" s="3">
        <f>IF(D3453="","",IF(V3453=0,"CONCLUÍDO",IF(D3453&lt;corte,"HISTÓRICO",IF(OR(AND(ISNUMBER(R3453),R3453&lt;TODAY()),AND(OR(N3453="PENDENTE",N3453="PARCIAL"),D3453&lt;TODAY()-1)),"CRÍTICO",IF(OR(AND(P3453&lt;&gt;"",S3453=""),AND(N3453="REALIZADO",M3453="PENDENTE"),AND(ISNUMBER(R3453),R3453=TODAY())),"ATENÇÃO",IF(N(K3453)=0,"PENDENTE","EM ANDAMENTO"))))))</f>
        <v/>
      </c>
      <c r="C3453" s="3">
        <f>IF(D3453="","",IF(V3453=0,"🟢 OK",IF(D3453&lt;corte,"⚪ HISTÓRICO (sem baixa)",IF(AND(ISNUMBER(R3453),R3453&lt;TODAY()),"🔴 PRAZO VENCIDO",IF(AND(OR(N3453="PENDENTE",N3453="PARCIAL"),D3453&lt;TODAY()-1),"🔴 EMBARQUE ATRASADO",IF(AND(N3453="REALIZADO",M3453="PENDENTE"),"🟡 EMBARCADO SEM FATURAR",IF(AND(P3453&lt;&gt;"",S3453="",OR(Q3453="",R3453="")),"🟡 PENDÊNCIA SEM RESPONSÁVEL/PRAZO",IF(AND(ISNUMBER(R3453),R3453=TODAY()),"🟡 VENCE HOJE",IF(AND(P3453&lt;&gt;"",S3453=""),"🟡 PENDÊNCIA ABERTA",IF(AND(N(J3453)&gt;0,N(K3453)&lt;J3453),"🟡 FALTA EXECUTAR",IF(OR(M3453="PENDENTE",M3453="PARCIAL"),"🟡 FATURAMENTO PENDENTE","🟡 EMBARQUE PENDENTE")))))))))))</f>
        <v/>
      </c>
      <c r="D3453" s="4" t="n"/>
      <c r="E3453" s="5" t="n"/>
      <c r="F3453" s="5" t="n"/>
      <c r="G3453" s="5" t="n"/>
      <c r="H3453" s="5" t="n"/>
      <c r="I3453" s="5" t="n"/>
      <c r="J3453" s="6" t="n"/>
      <c r="K3453" s="6" t="n"/>
      <c r="L3453" s="7">
        <f>IF(OR(D3453="",N(J3453)=0),"",MIN(1,N(K3453)/J3453))</f>
        <v/>
      </c>
      <c r="M3453" s="5" t="n"/>
      <c r="N3453" s="5" t="n"/>
      <c r="O3453" s="5" t="n"/>
      <c r="P3453" s="5" t="n"/>
      <c r="Q3453" s="5" t="n"/>
      <c r="R3453" s="4" t="n"/>
      <c r="S3453" s="4" t="n"/>
      <c r="T3453" s="5" t="n"/>
      <c r="U3453" s="8">
        <f>IF(AND(V3453=1,D3453&lt;&gt;""),IF(D3453&gt;=corte,TODAY()-D3453,""),"")</f>
        <v/>
      </c>
      <c r="V3453" s="8">
        <f>IF(D3453="",0,IF(OR(AND(P3453&lt;&gt;"",S3453=""),AND(N(J3453)&gt;0,N(K3453)&lt;J3453),OR(M3453="PENDENTE",M3453="PARCIAL"),OR(N3453="PENDENTE",N3453="PARCIAL")),1,0))</f>
        <v/>
      </c>
      <c r="W3453" s="8">
        <f>IF(AND(V3453=1,D3453&lt;&gt;""),IF(D3453&gt;=corte,(B3453="CRÍTICO")*1E9+(100000-D3453)*10000+10000-ROW(),""),"")</f>
        <v/>
      </c>
      <c r="X3453" s="8">
        <f>IF(AND(V3453=1,D3453=pas_data,E3453=pas_turno),10000-ROW(),"")</f>
        <v/>
      </c>
    </row>
    <row r="3454">
      <c r="A3454" s="3">
        <f>IF(D3454="","","TT-"&amp;TEXT(ROW()-1,"00000"))</f>
        <v/>
      </c>
      <c r="B3454" s="3">
        <f>IF(D3454="","",IF(V3454=0,"CONCLUÍDO",IF(D3454&lt;corte,"HISTÓRICO",IF(OR(AND(ISNUMBER(R3454),R3454&lt;TODAY()),AND(OR(N3454="PENDENTE",N3454="PARCIAL"),D3454&lt;TODAY()-1)),"CRÍTICO",IF(OR(AND(P3454&lt;&gt;"",S3454=""),AND(N3454="REALIZADO",M3454="PENDENTE"),AND(ISNUMBER(R3454),R3454=TODAY())),"ATENÇÃO",IF(N(K3454)=0,"PENDENTE","EM ANDAMENTO"))))))</f>
        <v/>
      </c>
      <c r="C3454" s="3">
        <f>IF(D3454="","",IF(V3454=0,"🟢 OK",IF(D3454&lt;corte,"⚪ HISTÓRICO (sem baixa)",IF(AND(ISNUMBER(R3454),R3454&lt;TODAY()),"🔴 PRAZO VENCIDO",IF(AND(OR(N3454="PENDENTE",N3454="PARCIAL"),D3454&lt;TODAY()-1),"🔴 EMBARQUE ATRASADO",IF(AND(N3454="REALIZADO",M3454="PENDENTE"),"🟡 EMBARCADO SEM FATURAR",IF(AND(P3454&lt;&gt;"",S3454="",OR(Q3454="",R3454="")),"🟡 PENDÊNCIA SEM RESPONSÁVEL/PRAZO",IF(AND(ISNUMBER(R3454),R3454=TODAY()),"🟡 VENCE HOJE",IF(AND(P3454&lt;&gt;"",S3454=""),"🟡 PENDÊNCIA ABERTA",IF(AND(N(J3454)&gt;0,N(K3454)&lt;J3454),"🟡 FALTA EXECUTAR",IF(OR(M3454="PENDENTE",M3454="PARCIAL"),"🟡 FATURAMENTO PENDENTE","🟡 EMBARQUE PENDENTE")))))))))))</f>
        <v/>
      </c>
      <c r="D3454" s="4" t="n"/>
      <c r="E3454" s="5" t="n"/>
      <c r="F3454" s="5" t="n"/>
      <c r="G3454" s="5" t="n"/>
      <c r="H3454" s="5" t="n"/>
      <c r="I3454" s="5" t="n"/>
      <c r="J3454" s="6" t="n"/>
      <c r="K3454" s="6" t="n"/>
      <c r="L3454" s="7">
        <f>IF(OR(D3454="",N(J3454)=0),"",MIN(1,N(K3454)/J3454))</f>
        <v/>
      </c>
      <c r="M3454" s="5" t="n"/>
      <c r="N3454" s="5" t="n"/>
      <c r="O3454" s="5" t="n"/>
      <c r="P3454" s="5" t="n"/>
      <c r="Q3454" s="5" t="n"/>
      <c r="R3454" s="4" t="n"/>
      <c r="S3454" s="4" t="n"/>
      <c r="T3454" s="5" t="n"/>
      <c r="U3454" s="8">
        <f>IF(AND(V3454=1,D3454&lt;&gt;""),IF(D3454&gt;=corte,TODAY()-D3454,""),"")</f>
        <v/>
      </c>
      <c r="V3454" s="8">
        <f>IF(D3454="",0,IF(OR(AND(P3454&lt;&gt;"",S3454=""),AND(N(J3454)&gt;0,N(K3454)&lt;J3454),OR(M3454="PENDENTE",M3454="PARCIAL"),OR(N3454="PENDENTE",N3454="PARCIAL")),1,0))</f>
        <v/>
      </c>
      <c r="W3454" s="8">
        <f>IF(AND(V3454=1,D3454&lt;&gt;""),IF(D3454&gt;=corte,(B3454="CRÍTICO")*1E9+(100000-D3454)*10000+10000-ROW(),""),"")</f>
        <v/>
      </c>
      <c r="X3454" s="8">
        <f>IF(AND(V3454=1,D3454=pas_data,E3454=pas_turno),10000-ROW(),"")</f>
        <v/>
      </c>
    </row>
    <row r="3455">
      <c r="A3455" s="3">
        <f>IF(D3455="","","TT-"&amp;TEXT(ROW()-1,"00000"))</f>
        <v/>
      </c>
      <c r="B3455" s="3">
        <f>IF(D3455="","",IF(V3455=0,"CONCLUÍDO",IF(D3455&lt;corte,"HISTÓRICO",IF(OR(AND(ISNUMBER(R3455),R3455&lt;TODAY()),AND(OR(N3455="PENDENTE",N3455="PARCIAL"),D3455&lt;TODAY()-1)),"CRÍTICO",IF(OR(AND(P3455&lt;&gt;"",S3455=""),AND(N3455="REALIZADO",M3455="PENDENTE"),AND(ISNUMBER(R3455),R3455=TODAY())),"ATENÇÃO",IF(N(K3455)=0,"PENDENTE","EM ANDAMENTO"))))))</f>
        <v/>
      </c>
      <c r="C3455" s="3">
        <f>IF(D3455="","",IF(V3455=0,"🟢 OK",IF(D3455&lt;corte,"⚪ HISTÓRICO (sem baixa)",IF(AND(ISNUMBER(R3455),R3455&lt;TODAY()),"🔴 PRAZO VENCIDO",IF(AND(OR(N3455="PENDENTE",N3455="PARCIAL"),D3455&lt;TODAY()-1),"🔴 EMBARQUE ATRASADO",IF(AND(N3455="REALIZADO",M3455="PENDENTE"),"🟡 EMBARCADO SEM FATURAR",IF(AND(P3455&lt;&gt;"",S3455="",OR(Q3455="",R3455="")),"🟡 PENDÊNCIA SEM RESPONSÁVEL/PRAZO",IF(AND(ISNUMBER(R3455),R3455=TODAY()),"🟡 VENCE HOJE",IF(AND(P3455&lt;&gt;"",S3455=""),"🟡 PENDÊNCIA ABERTA",IF(AND(N(J3455)&gt;0,N(K3455)&lt;J3455),"🟡 FALTA EXECUTAR",IF(OR(M3455="PENDENTE",M3455="PARCIAL"),"🟡 FATURAMENTO PENDENTE","🟡 EMBARQUE PENDENTE")))))))))))</f>
        <v/>
      </c>
      <c r="D3455" s="4" t="n"/>
      <c r="E3455" s="5" t="n"/>
      <c r="F3455" s="5" t="n"/>
      <c r="G3455" s="5" t="n"/>
      <c r="H3455" s="5" t="n"/>
      <c r="I3455" s="5" t="n"/>
      <c r="J3455" s="6" t="n"/>
      <c r="K3455" s="6" t="n"/>
      <c r="L3455" s="7">
        <f>IF(OR(D3455="",N(J3455)=0),"",MIN(1,N(K3455)/J3455))</f>
        <v/>
      </c>
      <c r="M3455" s="5" t="n"/>
      <c r="N3455" s="5" t="n"/>
      <c r="O3455" s="5" t="n"/>
      <c r="P3455" s="5" t="n"/>
      <c r="Q3455" s="5" t="n"/>
      <c r="R3455" s="4" t="n"/>
      <c r="S3455" s="4" t="n"/>
      <c r="T3455" s="5" t="n"/>
      <c r="U3455" s="8">
        <f>IF(AND(V3455=1,D3455&lt;&gt;""),IF(D3455&gt;=corte,TODAY()-D3455,""),"")</f>
        <v/>
      </c>
      <c r="V3455" s="8">
        <f>IF(D3455="",0,IF(OR(AND(P3455&lt;&gt;"",S3455=""),AND(N(J3455)&gt;0,N(K3455)&lt;J3455),OR(M3455="PENDENTE",M3455="PARCIAL"),OR(N3455="PENDENTE",N3455="PARCIAL")),1,0))</f>
        <v/>
      </c>
      <c r="W3455" s="8">
        <f>IF(AND(V3455=1,D3455&lt;&gt;""),IF(D3455&gt;=corte,(B3455="CRÍTICO")*1E9+(100000-D3455)*10000+10000-ROW(),""),"")</f>
        <v/>
      </c>
      <c r="X3455" s="8">
        <f>IF(AND(V3455=1,D3455=pas_data,E3455=pas_turno),10000-ROW(),"")</f>
        <v/>
      </c>
    </row>
    <row r="3456">
      <c r="A3456" s="3">
        <f>IF(D3456="","","TT-"&amp;TEXT(ROW()-1,"00000"))</f>
        <v/>
      </c>
      <c r="B3456" s="3">
        <f>IF(D3456="","",IF(V3456=0,"CONCLUÍDO",IF(D3456&lt;corte,"HISTÓRICO",IF(OR(AND(ISNUMBER(R3456),R3456&lt;TODAY()),AND(OR(N3456="PENDENTE",N3456="PARCIAL"),D3456&lt;TODAY()-1)),"CRÍTICO",IF(OR(AND(P3456&lt;&gt;"",S3456=""),AND(N3456="REALIZADO",M3456="PENDENTE"),AND(ISNUMBER(R3456),R3456=TODAY())),"ATENÇÃO",IF(N(K3456)=0,"PENDENTE","EM ANDAMENTO"))))))</f>
        <v/>
      </c>
      <c r="C3456" s="3">
        <f>IF(D3456="","",IF(V3456=0,"🟢 OK",IF(D3456&lt;corte,"⚪ HISTÓRICO (sem baixa)",IF(AND(ISNUMBER(R3456),R3456&lt;TODAY()),"🔴 PRAZO VENCIDO",IF(AND(OR(N3456="PENDENTE",N3456="PARCIAL"),D3456&lt;TODAY()-1),"🔴 EMBARQUE ATRASADO",IF(AND(N3456="REALIZADO",M3456="PENDENTE"),"🟡 EMBARCADO SEM FATURAR",IF(AND(P3456&lt;&gt;"",S3456="",OR(Q3456="",R3456="")),"🟡 PENDÊNCIA SEM RESPONSÁVEL/PRAZO",IF(AND(ISNUMBER(R3456),R3456=TODAY()),"🟡 VENCE HOJE",IF(AND(P3456&lt;&gt;"",S3456=""),"🟡 PENDÊNCIA ABERTA",IF(AND(N(J3456)&gt;0,N(K3456)&lt;J3456),"🟡 FALTA EXECUTAR",IF(OR(M3456="PENDENTE",M3456="PARCIAL"),"🟡 FATURAMENTO PENDENTE","🟡 EMBARQUE PENDENTE")))))))))))</f>
        <v/>
      </c>
      <c r="D3456" s="4" t="n"/>
      <c r="E3456" s="5" t="n"/>
      <c r="F3456" s="5" t="n"/>
      <c r="G3456" s="5" t="n"/>
      <c r="H3456" s="5" t="n"/>
      <c r="I3456" s="5" t="n"/>
      <c r="J3456" s="6" t="n"/>
      <c r="K3456" s="6" t="n"/>
      <c r="L3456" s="7">
        <f>IF(OR(D3456="",N(J3456)=0),"",MIN(1,N(K3456)/J3456))</f>
        <v/>
      </c>
      <c r="M3456" s="5" t="n"/>
      <c r="N3456" s="5" t="n"/>
      <c r="O3456" s="5" t="n"/>
      <c r="P3456" s="5" t="n"/>
      <c r="Q3456" s="5" t="n"/>
      <c r="R3456" s="4" t="n"/>
      <c r="S3456" s="4" t="n"/>
      <c r="T3456" s="5" t="n"/>
      <c r="U3456" s="8">
        <f>IF(AND(V3456=1,D3456&lt;&gt;""),IF(D3456&gt;=corte,TODAY()-D3456,""),"")</f>
        <v/>
      </c>
      <c r="V3456" s="8">
        <f>IF(D3456="",0,IF(OR(AND(P3456&lt;&gt;"",S3456=""),AND(N(J3456)&gt;0,N(K3456)&lt;J3456),OR(M3456="PENDENTE",M3456="PARCIAL"),OR(N3456="PENDENTE",N3456="PARCIAL")),1,0))</f>
        <v/>
      </c>
      <c r="W3456" s="8">
        <f>IF(AND(V3456=1,D3456&lt;&gt;""),IF(D3456&gt;=corte,(B3456="CRÍTICO")*1E9+(100000-D3456)*10000+10000-ROW(),""),"")</f>
        <v/>
      </c>
      <c r="X3456" s="8">
        <f>IF(AND(V3456=1,D3456=pas_data,E3456=pas_turno),10000-ROW(),"")</f>
        <v/>
      </c>
    </row>
    <row r="3457">
      <c r="A3457" s="3">
        <f>IF(D3457="","","TT-"&amp;TEXT(ROW()-1,"00000"))</f>
        <v/>
      </c>
      <c r="B3457" s="3">
        <f>IF(D3457="","",IF(V3457=0,"CONCLUÍDO",IF(D3457&lt;corte,"HISTÓRICO",IF(OR(AND(ISNUMBER(R3457),R3457&lt;TODAY()),AND(OR(N3457="PENDENTE",N3457="PARCIAL"),D3457&lt;TODAY()-1)),"CRÍTICO",IF(OR(AND(P3457&lt;&gt;"",S3457=""),AND(N3457="REALIZADO",M3457="PENDENTE"),AND(ISNUMBER(R3457),R3457=TODAY())),"ATENÇÃO",IF(N(K3457)=0,"PENDENTE","EM ANDAMENTO"))))))</f>
        <v/>
      </c>
      <c r="C3457" s="3">
        <f>IF(D3457="","",IF(V3457=0,"🟢 OK",IF(D3457&lt;corte,"⚪ HISTÓRICO (sem baixa)",IF(AND(ISNUMBER(R3457),R3457&lt;TODAY()),"🔴 PRAZO VENCIDO",IF(AND(OR(N3457="PENDENTE",N3457="PARCIAL"),D3457&lt;TODAY()-1),"🔴 EMBARQUE ATRASADO",IF(AND(N3457="REALIZADO",M3457="PENDENTE"),"🟡 EMBARCADO SEM FATURAR",IF(AND(P3457&lt;&gt;"",S3457="",OR(Q3457="",R3457="")),"🟡 PENDÊNCIA SEM RESPONSÁVEL/PRAZO",IF(AND(ISNUMBER(R3457),R3457=TODAY()),"🟡 VENCE HOJE",IF(AND(P3457&lt;&gt;"",S3457=""),"🟡 PENDÊNCIA ABERTA",IF(AND(N(J3457)&gt;0,N(K3457)&lt;J3457),"🟡 FALTA EXECUTAR",IF(OR(M3457="PENDENTE",M3457="PARCIAL"),"🟡 FATURAMENTO PENDENTE","🟡 EMBARQUE PENDENTE")))))))))))</f>
        <v/>
      </c>
      <c r="D3457" s="4" t="n"/>
      <c r="E3457" s="5" t="n"/>
      <c r="F3457" s="5" t="n"/>
      <c r="G3457" s="5" t="n"/>
      <c r="H3457" s="5" t="n"/>
      <c r="I3457" s="5" t="n"/>
      <c r="J3457" s="6" t="n"/>
      <c r="K3457" s="6" t="n"/>
      <c r="L3457" s="7">
        <f>IF(OR(D3457="",N(J3457)=0),"",MIN(1,N(K3457)/J3457))</f>
        <v/>
      </c>
      <c r="M3457" s="5" t="n"/>
      <c r="N3457" s="5" t="n"/>
      <c r="O3457" s="5" t="n"/>
      <c r="P3457" s="5" t="n"/>
      <c r="Q3457" s="5" t="n"/>
      <c r="R3457" s="4" t="n"/>
      <c r="S3457" s="4" t="n"/>
      <c r="T3457" s="5" t="n"/>
      <c r="U3457" s="8">
        <f>IF(AND(V3457=1,D3457&lt;&gt;""),IF(D3457&gt;=corte,TODAY()-D3457,""),"")</f>
        <v/>
      </c>
      <c r="V3457" s="8">
        <f>IF(D3457="",0,IF(OR(AND(P3457&lt;&gt;"",S3457=""),AND(N(J3457)&gt;0,N(K3457)&lt;J3457),OR(M3457="PENDENTE",M3457="PARCIAL"),OR(N3457="PENDENTE",N3457="PARCIAL")),1,0))</f>
        <v/>
      </c>
      <c r="W3457" s="8">
        <f>IF(AND(V3457=1,D3457&lt;&gt;""),IF(D3457&gt;=corte,(B3457="CRÍTICO")*1E9+(100000-D3457)*10000+10000-ROW(),""),"")</f>
        <v/>
      </c>
      <c r="X3457" s="8">
        <f>IF(AND(V3457=1,D3457=pas_data,E3457=pas_turno),10000-ROW(),"")</f>
        <v/>
      </c>
    </row>
    <row r="3458">
      <c r="A3458" s="3">
        <f>IF(D3458="","","TT-"&amp;TEXT(ROW()-1,"00000"))</f>
        <v/>
      </c>
      <c r="B3458" s="3">
        <f>IF(D3458="","",IF(V3458=0,"CONCLUÍDO",IF(D3458&lt;corte,"HISTÓRICO",IF(OR(AND(ISNUMBER(R3458),R3458&lt;TODAY()),AND(OR(N3458="PENDENTE",N3458="PARCIAL"),D3458&lt;TODAY()-1)),"CRÍTICO",IF(OR(AND(P3458&lt;&gt;"",S3458=""),AND(N3458="REALIZADO",M3458="PENDENTE"),AND(ISNUMBER(R3458),R3458=TODAY())),"ATENÇÃO",IF(N(K3458)=0,"PENDENTE","EM ANDAMENTO"))))))</f>
        <v/>
      </c>
      <c r="C3458" s="3">
        <f>IF(D3458="","",IF(V3458=0,"🟢 OK",IF(D3458&lt;corte,"⚪ HISTÓRICO (sem baixa)",IF(AND(ISNUMBER(R3458),R3458&lt;TODAY()),"🔴 PRAZO VENCIDO",IF(AND(OR(N3458="PENDENTE",N3458="PARCIAL"),D3458&lt;TODAY()-1),"🔴 EMBARQUE ATRASADO",IF(AND(N3458="REALIZADO",M3458="PENDENTE"),"🟡 EMBARCADO SEM FATURAR",IF(AND(P3458&lt;&gt;"",S3458="",OR(Q3458="",R3458="")),"🟡 PENDÊNCIA SEM RESPONSÁVEL/PRAZO",IF(AND(ISNUMBER(R3458),R3458=TODAY()),"🟡 VENCE HOJE",IF(AND(P3458&lt;&gt;"",S3458=""),"🟡 PENDÊNCIA ABERTA",IF(AND(N(J3458)&gt;0,N(K3458)&lt;J3458),"🟡 FALTA EXECUTAR",IF(OR(M3458="PENDENTE",M3458="PARCIAL"),"🟡 FATURAMENTO PENDENTE","🟡 EMBARQUE PENDENTE")))))))))))</f>
        <v/>
      </c>
      <c r="D3458" s="4" t="n"/>
      <c r="E3458" s="5" t="n"/>
      <c r="F3458" s="5" t="n"/>
      <c r="G3458" s="5" t="n"/>
      <c r="H3458" s="5" t="n"/>
      <c r="I3458" s="5" t="n"/>
      <c r="J3458" s="6" t="n"/>
      <c r="K3458" s="6" t="n"/>
      <c r="L3458" s="7">
        <f>IF(OR(D3458="",N(J3458)=0),"",MIN(1,N(K3458)/J3458))</f>
        <v/>
      </c>
      <c r="M3458" s="5" t="n"/>
      <c r="N3458" s="5" t="n"/>
      <c r="O3458" s="5" t="n"/>
      <c r="P3458" s="5" t="n"/>
      <c r="Q3458" s="5" t="n"/>
      <c r="R3458" s="4" t="n"/>
      <c r="S3458" s="4" t="n"/>
      <c r="T3458" s="5" t="n"/>
      <c r="U3458" s="8">
        <f>IF(AND(V3458=1,D3458&lt;&gt;""),IF(D3458&gt;=corte,TODAY()-D3458,""),"")</f>
        <v/>
      </c>
      <c r="V3458" s="8">
        <f>IF(D3458="",0,IF(OR(AND(P3458&lt;&gt;"",S3458=""),AND(N(J3458)&gt;0,N(K3458)&lt;J3458),OR(M3458="PENDENTE",M3458="PARCIAL"),OR(N3458="PENDENTE",N3458="PARCIAL")),1,0))</f>
        <v/>
      </c>
      <c r="W3458" s="8">
        <f>IF(AND(V3458=1,D3458&lt;&gt;""),IF(D3458&gt;=corte,(B3458="CRÍTICO")*1E9+(100000-D3458)*10000+10000-ROW(),""),"")</f>
        <v/>
      </c>
      <c r="X3458" s="8">
        <f>IF(AND(V3458=1,D3458=pas_data,E3458=pas_turno),10000-ROW(),"")</f>
        <v/>
      </c>
    </row>
    <row r="3459">
      <c r="A3459" s="3">
        <f>IF(D3459="","","TT-"&amp;TEXT(ROW()-1,"00000"))</f>
        <v/>
      </c>
      <c r="B3459" s="3">
        <f>IF(D3459="","",IF(V3459=0,"CONCLUÍDO",IF(D3459&lt;corte,"HISTÓRICO",IF(OR(AND(ISNUMBER(R3459),R3459&lt;TODAY()),AND(OR(N3459="PENDENTE",N3459="PARCIAL"),D3459&lt;TODAY()-1)),"CRÍTICO",IF(OR(AND(P3459&lt;&gt;"",S3459=""),AND(N3459="REALIZADO",M3459="PENDENTE"),AND(ISNUMBER(R3459),R3459=TODAY())),"ATENÇÃO",IF(N(K3459)=0,"PENDENTE","EM ANDAMENTO"))))))</f>
        <v/>
      </c>
      <c r="C3459" s="3">
        <f>IF(D3459="","",IF(V3459=0,"🟢 OK",IF(D3459&lt;corte,"⚪ HISTÓRICO (sem baixa)",IF(AND(ISNUMBER(R3459),R3459&lt;TODAY()),"🔴 PRAZO VENCIDO",IF(AND(OR(N3459="PENDENTE",N3459="PARCIAL"),D3459&lt;TODAY()-1),"🔴 EMBARQUE ATRASADO",IF(AND(N3459="REALIZADO",M3459="PENDENTE"),"🟡 EMBARCADO SEM FATURAR",IF(AND(P3459&lt;&gt;"",S3459="",OR(Q3459="",R3459="")),"🟡 PENDÊNCIA SEM RESPONSÁVEL/PRAZO",IF(AND(ISNUMBER(R3459),R3459=TODAY()),"🟡 VENCE HOJE",IF(AND(P3459&lt;&gt;"",S3459=""),"🟡 PENDÊNCIA ABERTA",IF(AND(N(J3459)&gt;0,N(K3459)&lt;J3459),"🟡 FALTA EXECUTAR",IF(OR(M3459="PENDENTE",M3459="PARCIAL"),"🟡 FATURAMENTO PENDENTE","🟡 EMBARQUE PENDENTE")))))))))))</f>
        <v/>
      </c>
      <c r="D3459" s="4" t="n"/>
      <c r="E3459" s="5" t="n"/>
      <c r="F3459" s="5" t="n"/>
      <c r="G3459" s="5" t="n"/>
      <c r="H3459" s="5" t="n"/>
      <c r="I3459" s="5" t="n"/>
      <c r="J3459" s="6" t="n"/>
      <c r="K3459" s="6" t="n"/>
      <c r="L3459" s="7">
        <f>IF(OR(D3459="",N(J3459)=0),"",MIN(1,N(K3459)/J3459))</f>
        <v/>
      </c>
      <c r="M3459" s="5" t="n"/>
      <c r="N3459" s="5" t="n"/>
      <c r="O3459" s="5" t="n"/>
      <c r="P3459" s="5" t="n"/>
      <c r="Q3459" s="5" t="n"/>
      <c r="R3459" s="4" t="n"/>
      <c r="S3459" s="4" t="n"/>
      <c r="T3459" s="5" t="n"/>
      <c r="U3459" s="8">
        <f>IF(AND(V3459=1,D3459&lt;&gt;""),IF(D3459&gt;=corte,TODAY()-D3459,""),"")</f>
        <v/>
      </c>
      <c r="V3459" s="8">
        <f>IF(D3459="",0,IF(OR(AND(P3459&lt;&gt;"",S3459=""),AND(N(J3459)&gt;0,N(K3459)&lt;J3459),OR(M3459="PENDENTE",M3459="PARCIAL"),OR(N3459="PENDENTE",N3459="PARCIAL")),1,0))</f>
        <v/>
      </c>
      <c r="W3459" s="8">
        <f>IF(AND(V3459=1,D3459&lt;&gt;""),IF(D3459&gt;=corte,(B3459="CRÍTICO")*1E9+(100000-D3459)*10000+10000-ROW(),""),"")</f>
        <v/>
      </c>
      <c r="X3459" s="8">
        <f>IF(AND(V3459=1,D3459=pas_data,E3459=pas_turno),10000-ROW(),"")</f>
        <v/>
      </c>
    </row>
    <row r="3460">
      <c r="A3460" s="3">
        <f>IF(D3460="","","TT-"&amp;TEXT(ROW()-1,"00000"))</f>
        <v/>
      </c>
      <c r="B3460" s="3">
        <f>IF(D3460="","",IF(V3460=0,"CONCLUÍDO",IF(D3460&lt;corte,"HISTÓRICO",IF(OR(AND(ISNUMBER(R3460),R3460&lt;TODAY()),AND(OR(N3460="PENDENTE",N3460="PARCIAL"),D3460&lt;TODAY()-1)),"CRÍTICO",IF(OR(AND(P3460&lt;&gt;"",S3460=""),AND(N3460="REALIZADO",M3460="PENDENTE"),AND(ISNUMBER(R3460),R3460=TODAY())),"ATENÇÃO",IF(N(K3460)=0,"PENDENTE","EM ANDAMENTO"))))))</f>
        <v/>
      </c>
      <c r="C3460" s="3">
        <f>IF(D3460="","",IF(V3460=0,"🟢 OK",IF(D3460&lt;corte,"⚪ HISTÓRICO (sem baixa)",IF(AND(ISNUMBER(R3460),R3460&lt;TODAY()),"🔴 PRAZO VENCIDO",IF(AND(OR(N3460="PENDENTE",N3460="PARCIAL"),D3460&lt;TODAY()-1),"🔴 EMBARQUE ATRASADO",IF(AND(N3460="REALIZADO",M3460="PENDENTE"),"🟡 EMBARCADO SEM FATURAR",IF(AND(P3460&lt;&gt;"",S3460="",OR(Q3460="",R3460="")),"🟡 PENDÊNCIA SEM RESPONSÁVEL/PRAZO",IF(AND(ISNUMBER(R3460),R3460=TODAY()),"🟡 VENCE HOJE",IF(AND(P3460&lt;&gt;"",S3460=""),"🟡 PENDÊNCIA ABERTA",IF(AND(N(J3460)&gt;0,N(K3460)&lt;J3460),"🟡 FALTA EXECUTAR",IF(OR(M3460="PENDENTE",M3460="PARCIAL"),"🟡 FATURAMENTO PENDENTE","🟡 EMBARQUE PENDENTE")))))))))))</f>
        <v/>
      </c>
      <c r="D3460" s="4" t="n"/>
      <c r="E3460" s="5" t="n"/>
      <c r="F3460" s="5" t="n"/>
      <c r="G3460" s="5" t="n"/>
      <c r="H3460" s="5" t="n"/>
      <c r="I3460" s="5" t="n"/>
      <c r="J3460" s="6" t="n"/>
      <c r="K3460" s="6" t="n"/>
      <c r="L3460" s="7">
        <f>IF(OR(D3460="",N(J3460)=0),"",MIN(1,N(K3460)/J3460))</f>
        <v/>
      </c>
      <c r="M3460" s="5" t="n"/>
      <c r="N3460" s="5" t="n"/>
      <c r="O3460" s="5" t="n"/>
      <c r="P3460" s="5" t="n"/>
      <c r="Q3460" s="5" t="n"/>
      <c r="R3460" s="4" t="n"/>
      <c r="S3460" s="4" t="n"/>
      <c r="T3460" s="5" t="n"/>
      <c r="U3460" s="8">
        <f>IF(AND(V3460=1,D3460&lt;&gt;""),IF(D3460&gt;=corte,TODAY()-D3460,""),"")</f>
        <v/>
      </c>
      <c r="V3460" s="8">
        <f>IF(D3460="",0,IF(OR(AND(P3460&lt;&gt;"",S3460=""),AND(N(J3460)&gt;0,N(K3460)&lt;J3460),OR(M3460="PENDENTE",M3460="PARCIAL"),OR(N3460="PENDENTE",N3460="PARCIAL")),1,0))</f>
        <v/>
      </c>
      <c r="W3460" s="8">
        <f>IF(AND(V3460=1,D3460&lt;&gt;""),IF(D3460&gt;=corte,(B3460="CRÍTICO")*1E9+(100000-D3460)*10000+10000-ROW(),""),"")</f>
        <v/>
      </c>
      <c r="X3460" s="8">
        <f>IF(AND(V3460=1,D3460=pas_data,E3460=pas_turno),10000-ROW(),"")</f>
        <v/>
      </c>
    </row>
    <row r="3461">
      <c r="A3461" s="3">
        <f>IF(D3461="","","TT-"&amp;TEXT(ROW()-1,"00000"))</f>
        <v/>
      </c>
      <c r="B3461" s="3">
        <f>IF(D3461="","",IF(V3461=0,"CONCLUÍDO",IF(D3461&lt;corte,"HISTÓRICO",IF(OR(AND(ISNUMBER(R3461),R3461&lt;TODAY()),AND(OR(N3461="PENDENTE",N3461="PARCIAL"),D3461&lt;TODAY()-1)),"CRÍTICO",IF(OR(AND(P3461&lt;&gt;"",S3461=""),AND(N3461="REALIZADO",M3461="PENDENTE"),AND(ISNUMBER(R3461),R3461=TODAY())),"ATENÇÃO",IF(N(K3461)=0,"PENDENTE","EM ANDAMENTO"))))))</f>
        <v/>
      </c>
      <c r="C3461" s="3">
        <f>IF(D3461="","",IF(V3461=0,"🟢 OK",IF(D3461&lt;corte,"⚪ HISTÓRICO (sem baixa)",IF(AND(ISNUMBER(R3461),R3461&lt;TODAY()),"🔴 PRAZO VENCIDO",IF(AND(OR(N3461="PENDENTE",N3461="PARCIAL"),D3461&lt;TODAY()-1),"🔴 EMBARQUE ATRASADO",IF(AND(N3461="REALIZADO",M3461="PENDENTE"),"🟡 EMBARCADO SEM FATURAR",IF(AND(P3461&lt;&gt;"",S3461="",OR(Q3461="",R3461="")),"🟡 PENDÊNCIA SEM RESPONSÁVEL/PRAZO",IF(AND(ISNUMBER(R3461),R3461=TODAY()),"🟡 VENCE HOJE",IF(AND(P3461&lt;&gt;"",S3461=""),"🟡 PENDÊNCIA ABERTA",IF(AND(N(J3461)&gt;0,N(K3461)&lt;J3461),"🟡 FALTA EXECUTAR",IF(OR(M3461="PENDENTE",M3461="PARCIAL"),"🟡 FATURAMENTO PENDENTE","🟡 EMBARQUE PENDENTE")))))))))))</f>
        <v/>
      </c>
      <c r="D3461" s="4" t="n"/>
      <c r="E3461" s="5" t="n"/>
      <c r="F3461" s="5" t="n"/>
      <c r="G3461" s="5" t="n"/>
      <c r="H3461" s="5" t="n"/>
      <c r="I3461" s="5" t="n"/>
      <c r="J3461" s="6" t="n"/>
      <c r="K3461" s="6" t="n"/>
      <c r="L3461" s="7">
        <f>IF(OR(D3461="",N(J3461)=0),"",MIN(1,N(K3461)/J3461))</f>
        <v/>
      </c>
      <c r="M3461" s="5" t="n"/>
      <c r="N3461" s="5" t="n"/>
      <c r="O3461" s="5" t="n"/>
      <c r="P3461" s="5" t="n"/>
      <c r="Q3461" s="5" t="n"/>
      <c r="R3461" s="4" t="n"/>
      <c r="S3461" s="4" t="n"/>
      <c r="T3461" s="5" t="n"/>
      <c r="U3461" s="8">
        <f>IF(AND(V3461=1,D3461&lt;&gt;""),IF(D3461&gt;=corte,TODAY()-D3461,""),"")</f>
        <v/>
      </c>
      <c r="V3461" s="8">
        <f>IF(D3461="",0,IF(OR(AND(P3461&lt;&gt;"",S3461=""),AND(N(J3461)&gt;0,N(K3461)&lt;J3461),OR(M3461="PENDENTE",M3461="PARCIAL"),OR(N3461="PENDENTE",N3461="PARCIAL")),1,0))</f>
        <v/>
      </c>
      <c r="W3461" s="8">
        <f>IF(AND(V3461=1,D3461&lt;&gt;""),IF(D3461&gt;=corte,(B3461="CRÍTICO")*1E9+(100000-D3461)*10000+10000-ROW(),""),"")</f>
        <v/>
      </c>
      <c r="X3461" s="8">
        <f>IF(AND(V3461=1,D3461=pas_data,E3461=pas_turno),10000-ROW(),"")</f>
        <v/>
      </c>
    </row>
    <row r="3462">
      <c r="A3462" s="3">
        <f>IF(D3462="","","TT-"&amp;TEXT(ROW()-1,"00000"))</f>
        <v/>
      </c>
      <c r="B3462" s="3">
        <f>IF(D3462="","",IF(V3462=0,"CONCLUÍDO",IF(D3462&lt;corte,"HISTÓRICO",IF(OR(AND(ISNUMBER(R3462),R3462&lt;TODAY()),AND(OR(N3462="PENDENTE",N3462="PARCIAL"),D3462&lt;TODAY()-1)),"CRÍTICO",IF(OR(AND(P3462&lt;&gt;"",S3462=""),AND(N3462="REALIZADO",M3462="PENDENTE"),AND(ISNUMBER(R3462),R3462=TODAY())),"ATENÇÃO",IF(N(K3462)=0,"PENDENTE","EM ANDAMENTO"))))))</f>
        <v/>
      </c>
      <c r="C3462" s="3">
        <f>IF(D3462="","",IF(V3462=0,"🟢 OK",IF(D3462&lt;corte,"⚪ HISTÓRICO (sem baixa)",IF(AND(ISNUMBER(R3462),R3462&lt;TODAY()),"🔴 PRAZO VENCIDO",IF(AND(OR(N3462="PENDENTE",N3462="PARCIAL"),D3462&lt;TODAY()-1),"🔴 EMBARQUE ATRASADO",IF(AND(N3462="REALIZADO",M3462="PENDENTE"),"🟡 EMBARCADO SEM FATURAR",IF(AND(P3462&lt;&gt;"",S3462="",OR(Q3462="",R3462="")),"🟡 PENDÊNCIA SEM RESPONSÁVEL/PRAZO",IF(AND(ISNUMBER(R3462),R3462=TODAY()),"🟡 VENCE HOJE",IF(AND(P3462&lt;&gt;"",S3462=""),"🟡 PENDÊNCIA ABERTA",IF(AND(N(J3462)&gt;0,N(K3462)&lt;J3462),"🟡 FALTA EXECUTAR",IF(OR(M3462="PENDENTE",M3462="PARCIAL"),"🟡 FATURAMENTO PENDENTE","🟡 EMBARQUE PENDENTE")))))))))))</f>
        <v/>
      </c>
      <c r="D3462" s="4" t="n"/>
      <c r="E3462" s="5" t="n"/>
      <c r="F3462" s="5" t="n"/>
      <c r="G3462" s="5" t="n"/>
      <c r="H3462" s="5" t="n"/>
      <c r="I3462" s="5" t="n"/>
      <c r="J3462" s="6" t="n"/>
      <c r="K3462" s="6" t="n"/>
      <c r="L3462" s="7">
        <f>IF(OR(D3462="",N(J3462)=0),"",MIN(1,N(K3462)/J3462))</f>
        <v/>
      </c>
      <c r="M3462" s="5" t="n"/>
      <c r="N3462" s="5" t="n"/>
      <c r="O3462" s="5" t="n"/>
      <c r="P3462" s="5" t="n"/>
      <c r="Q3462" s="5" t="n"/>
      <c r="R3462" s="4" t="n"/>
      <c r="S3462" s="4" t="n"/>
      <c r="T3462" s="5" t="n"/>
      <c r="U3462" s="8">
        <f>IF(AND(V3462=1,D3462&lt;&gt;""),IF(D3462&gt;=corte,TODAY()-D3462,""),"")</f>
        <v/>
      </c>
      <c r="V3462" s="8">
        <f>IF(D3462="",0,IF(OR(AND(P3462&lt;&gt;"",S3462=""),AND(N(J3462)&gt;0,N(K3462)&lt;J3462),OR(M3462="PENDENTE",M3462="PARCIAL"),OR(N3462="PENDENTE",N3462="PARCIAL")),1,0))</f>
        <v/>
      </c>
      <c r="W3462" s="8">
        <f>IF(AND(V3462=1,D3462&lt;&gt;""),IF(D3462&gt;=corte,(B3462="CRÍTICO")*1E9+(100000-D3462)*10000+10000-ROW(),""),"")</f>
        <v/>
      </c>
      <c r="X3462" s="8">
        <f>IF(AND(V3462=1,D3462=pas_data,E3462=pas_turno),10000-ROW(),"")</f>
        <v/>
      </c>
    </row>
    <row r="3463">
      <c r="A3463" s="3">
        <f>IF(D3463="","","TT-"&amp;TEXT(ROW()-1,"00000"))</f>
        <v/>
      </c>
      <c r="B3463" s="3">
        <f>IF(D3463="","",IF(V3463=0,"CONCLUÍDO",IF(D3463&lt;corte,"HISTÓRICO",IF(OR(AND(ISNUMBER(R3463),R3463&lt;TODAY()),AND(OR(N3463="PENDENTE",N3463="PARCIAL"),D3463&lt;TODAY()-1)),"CRÍTICO",IF(OR(AND(P3463&lt;&gt;"",S3463=""),AND(N3463="REALIZADO",M3463="PENDENTE"),AND(ISNUMBER(R3463),R3463=TODAY())),"ATENÇÃO",IF(N(K3463)=0,"PENDENTE","EM ANDAMENTO"))))))</f>
        <v/>
      </c>
      <c r="C3463" s="3">
        <f>IF(D3463="","",IF(V3463=0,"🟢 OK",IF(D3463&lt;corte,"⚪ HISTÓRICO (sem baixa)",IF(AND(ISNUMBER(R3463),R3463&lt;TODAY()),"🔴 PRAZO VENCIDO",IF(AND(OR(N3463="PENDENTE",N3463="PARCIAL"),D3463&lt;TODAY()-1),"🔴 EMBARQUE ATRASADO",IF(AND(N3463="REALIZADO",M3463="PENDENTE"),"🟡 EMBARCADO SEM FATURAR",IF(AND(P3463&lt;&gt;"",S3463="",OR(Q3463="",R3463="")),"🟡 PENDÊNCIA SEM RESPONSÁVEL/PRAZO",IF(AND(ISNUMBER(R3463),R3463=TODAY()),"🟡 VENCE HOJE",IF(AND(P3463&lt;&gt;"",S3463=""),"🟡 PENDÊNCIA ABERTA",IF(AND(N(J3463)&gt;0,N(K3463)&lt;J3463),"🟡 FALTA EXECUTAR",IF(OR(M3463="PENDENTE",M3463="PARCIAL"),"🟡 FATURAMENTO PENDENTE","🟡 EMBARQUE PENDENTE")))))))))))</f>
        <v/>
      </c>
      <c r="D3463" s="4" t="n"/>
      <c r="E3463" s="5" t="n"/>
      <c r="F3463" s="5" t="n"/>
      <c r="G3463" s="5" t="n"/>
      <c r="H3463" s="5" t="n"/>
      <c r="I3463" s="5" t="n"/>
      <c r="J3463" s="6" t="n"/>
      <c r="K3463" s="6" t="n"/>
      <c r="L3463" s="7">
        <f>IF(OR(D3463="",N(J3463)=0),"",MIN(1,N(K3463)/J3463))</f>
        <v/>
      </c>
      <c r="M3463" s="5" t="n"/>
      <c r="N3463" s="5" t="n"/>
      <c r="O3463" s="5" t="n"/>
      <c r="P3463" s="5" t="n"/>
      <c r="Q3463" s="5" t="n"/>
      <c r="R3463" s="4" t="n"/>
      <c r="S3463" s="4" t="n"/>
      <c r="T3463" s="5" t="n"/>
      <c r="U3463" s="8">
        <f>IF(AND(V3463=1,D3463&lt;&gt;""),IF(D3463&gt;=corte,TODAY()-D3463,""),"")</f>
        <v/>
      </c>
      <c r="V3463" s="8">
        <f>IF(D3463="",0,IF(OR(AND(P3463&lt;&gt;"",S3463=""),AND(N(J3463)&gt;0,N(K3463)&lt;J3463),OR(M3463="PENDENTE",M3463="PARCIAL"),OR(N3463="PENDENTE",N3463="PARCIAL")),1,0))</f>
        <v/>
      </c>
      <c r="W3463" s="8">
        <f>IF(AND(V3463=1,D3463&lt;&gt;""),IF(D3463&gt;=corte,(B3463="CRÍTICO")*1E9+(100000-D3463)*10000+10000-ROW(),""),"")</f>
        <v/>
      </c>
      <c r="X3463" s="8">
        <f>IF(AND(V3463=1,D3463=pas_data,E3463=pas_turno),10000-ROW(),"")</f>
        <v/>
      </c>
    </row>
    <row r="3464">
      <c r="A3464" s="3">
        <f>IF(D3464="","","TT-"&amp;TEXT(ROW()-1,"00000"))</f>
        <v/>
      </c>
      <c r="B3464" s="3">
        <f>IF(D3464="","",IF(V3464=0,"CONCLUÍDO",IF(D3464&lt;corte,"HISTÓRICO",IF(OR(AND(ISNUMBER(R3464),R3464&lt;TODAY()),AND(OR(N3464="PENDENTE",N3464="PARCIAL"),D3464&lt;TODAY()-1)),"CRÍTICO",IF(OR(AND(P3464&lt;&gt;"",S3464=""),AND(N3464="REALIZADO",M3464="PENDENTE"),AND(ISNUMBER(R3464),R3464=TODAY())),"ATENÇÃO",IF(N(K3464)=0,"PENDENTE","EM ANDAMENTO"))))))</f>
        <v/>
      </c>
      <c r="C3464" s="3">
        <f>IF(D3464="","",IF(V3464=0,"🟢 OK",IF(D3464&lt;corte,"⚪ HISTÓRICO (sem baixa)",IF(AND(ISNUMBER(R3464),R3464&lt;TODAY()),"🔴 PRAZO VENCIDO",IF(AND(OR(N3464="PENDENTE",N3464="PARCIAL"),D3464&lt;TODAY()-1),"🔴 EMBARQUE ATRASADO",IF(AND(N3464="REALIZADO",M3464="PENDENTE"),"🟡 EMBARCADO SEM FATURAR",IF(AND(P3464&lt;&gt;"",S3464="",OR(Q3464="",R3464="")),"🟡 PENDÊNCIA SEM RESPONSÁVEL/PRAZO",IF(AND(ISNUMBER(R3464),R3464=TODAY()),"🟡 VENCE HOJE",IF(AND(P3464&lt;&gt;"",S3464=""),"🟡 PENDÊNCIA ABERTA",IF(AND(N(J3464)&gt;0,N(K3464)&lt;J3464),"🟡 FALTA EXECUTAR",IF(OR(M3464="PENDENTE",M3464="PARCIAL"),"🟡 FATURAMENTO PENDENTE","🟡 EMBARQUE PENDENTE")))))))))))</f>
        <v/>
      </c>
      <c r="D3464" s="4" t="n"/>
      <c r="E3464" s="5" t="n"/>
      <c r="F3464" s="5" t="n"/>
      <c r="G3464" s="5" t="n"/>
      <c r="H3464" s="5" t="n"/>
      <c r="I3464" s="5" t="n"/>
      <c r="J3464" s="6" t="n"/>
      <c r="K3464" s="6" t="n"/>
      <c r="L3464" s="7">
        <f>IF(OR(D3464="",N(J3464)=0),"",MIN(1,N(K3464)/J3464))</f>
        <v/>
      </c>
      <c r="M3464" s="5" t="n"/>
      <c r="N3464" s="5" t="n"/>
      <c r="O3464" s="5" t="n"/>
      <c r="P3464" s="5" t="n"/>
      <c r="Q3464" s="5" t="n"/>
      <c r="R3464" s="4" t="n"/>
      <c r="S3464" s="4" t="n"/>
      <c r="T3464" s="5" t="n"/>
      <c r="U3464" s="8">
        <f>IF(AND(V3464=1,D3464&lt;&gt;""),IF(D3464&gt;=corte,TODAY()-D3464,""),"")</f>
        <v/>
      </c>
      <c r="V3464" s="8">
        <f>IF(D3464="",0,IF(OR(AND(P3464&lt;&gt;"",S3464=""),AND(N(J3464)&gt;0,N(K3464)&lt;J3464),OR(M3464="PENDENTE",M3464="PARCIAL"),OR(N3464="PENDENTE",N3464="PARCIAL")),1,0))</f>
        <v/>
      </c>
      <c r="W3464" s="8">
        <f>IF(AND(V3464=1,D3464&lt;&gt;""),IF(D3464&gt;=corte,(B3464="CRÍTICO")*1E9+(100000-D3464)*10000+10000-ROW(),""),"")</f>
        <v/>
      </c>
      <c r="X3464" s="8">
        <f>IF(AND(V3464=1,D3464=pas_data,E3464=pas_turno),10000-ROW(),"")</f>
        <v/>
      </c>
    </row>
    <row r="3465">
      <c r="A3465" s="3">
        <f>IF(D3465="","","TT-"&amp;TEXT(ROW()-1,"00000"))</f>
        <v/>
      </c>
      <c r="B3465" s="3">
        <f>IF(D3465="","",IF(V3465=0,"CONCLUÍDO",IF(D3465&lt;corte,"HISTÓRICO",IF(OR(AND(ISNUMBER(R3465),R3465&lt;TODAY()),AND(OR(N3465="PENDENTE",N3465="PARCIAL"),D3465&lt;TODAY()-1)),"CRÍTICO",IF(OR(AND(P3465&lt;&gt;"",S3465=""),AND(N3465="REALIZADO",M3465="PENDENTE"),AND(ISNUMBER(R3465),R3465=TODAY())),"ATENÇÃO",IF(N(K3465)=0,"PENDENTE","EM ANDAMENTO"))))))</f>
        <v/>
      </c>
      <c r="C3465" s="3">
        <f>IF(D3465="","",IF(V3465=0,"🟢 OK",IF(D3465&lt;corte,"⚪ HISTÓRICO (sem baixa)",IF(AND(ISNUMBER(R3465),R3465&lt;TODAY()),"🔴 PRAZO VENCIDO",IF(AND(OR(N3465="PENDENTE",N3465="PARCIAL"),D3465&lt;TODAY()-1),"🔴 EMBARQUE ATRASADO",IF(AND(N3465="REALIZADO",M3465="PENDENTE"),"🟡 EMBARCADO SEM FATURAR",IF(AND(P3465&lt;&gt;"",S3465="",OR(Q3465="",R3465="")),"🟡 PENDÊNCIA SEM RESPONSÁVEL/PRAZO",IF(AND(ISNUMBER(R3465),R3465=TODAY()),"🟡 VENCE HOJE",IF(AND(P3465&lt;&gt;"",S3465=""),"🟡 PENDÊNCIA ABERTA",IF(AND(N(J3465)&gt;0,N(K3465)&lt;J3465),"🟡 FALTA EXECUTAR",IF(OR(M3465="PENDENTE",M3465="PARCIAL"),"🟡 FATURAMENTO PENDENTE","🟡 EMBARQUE PENDENTE")))))))))))</f>
        <v/>
      </c>
      <c r="D3465" s="4" t="n"/>
      <c r="E3465" s="5" t="n"/>
      <c r="F3465" s="5" t="n"/>
      <c r="G3465" s="5" t="n"/>
      <c r="H3465" s="5" t="n"/>
      <c r="I3465" s="5" t="n"/>
      <c r="J3465" s="6" t="n"/>
      <c r="K3465" s="6" t="n"/>
      <c r="L3465" s="7">
        <f>IF(OR(D3465="",N(J3465)=0),"",MIN(1,N(K3465)/J3465))</f>
        <v/>
      </c>
      <c r="M3465" s="5" t="n"/>
      <c r="N3465" s="5" t="n"/>
      <c r="O3465" s="5" t="n"/>
      <c r="P3465" s="5" t="n"/>
      <c r="Q3465" s="5" t="n"/>
      <c r="R3465" s="4" t="n"/>
      <c r="S3465" s="4" t="n"/>
      <c r="T3465" s="5" t="n"/>
      <c r="U3465" s="8">
        <f>IF(AND(V3465=1,D3465&lt;&gt;""),IF(D3465&gt;=corte,TODAY()-D3465,""),"")</f>
        <v/>
      </c>
      <c r="V3465" s="8">
        <f>IF(D3465="",0,IF(OR(AND(P3465&lt;&gt;"",S3465=""),AND(N(J3465)&gt;0,N(K3465)&lt;J3465),OR(M3465="PENDENTE",M3465="PARCIAL"),OR(N3465="PENDENTE",N3465="PARCIAL")),1,0))</f>
        <v/>
      </c>
      <c r="W3465" s="8">
        <f>IF(AND(V3465=1,D3465&lt;&gt;""),IF(D3465&gt;=corte,(B3465="CRÍTICO")*1E9+(100000-D3465)*10000+10000-ROW(),""),"")</f>
        <v/>
      </c>
      <c r="X3465" s="8">
        <f>IF(AND(V3465=1,D3465=pas_data,E3465=pas_turno),10000-ROW(),"")</f>
        <v/>
      </c>
    </row>
    <row r="3466">
      <c r="A3466" s="3">
        <f>IF(D3466="","","TT-"&amp;TEXT(ROW()-1,"00000"))</f>
        <v/>
      </c>
      <c r="B3466" s="3">
        <f>IF(D3466="","",IF(V3466=0,"CONCLUÍDO",IF(D3466&lt;corte,"HISTÓRICO",IF(OR(AND(ISNUMBER(R3466),R3466&lt;TODAY()),AND(OR(N3466="PENDENTE",N3466="PARCIAL"),D3466&lt;TODAY()-1)),"CRÍTICO",IF(OR(AND(P3466&lt;&gt;"",S3466=""),AND(N3466="REALIZADO",M3466="PENDENTE"),AND(ISNUMBER(R3466),R3466=TODAY())),"ATENÇÃO",IF(N(K3466)=0,"PENDENTE","EM ANDAMENTO"))))))</f>
        <v/>
      </c>
      <c r="C3466" s="3">
        <f>IF(D3466="","",IF(V3466=0,"🟢 OK",IF(D3466&lt;corte,"⚪ HISTÓRICO (sem baixa)",IF(AND(ISNUMBER(R3466),R3466&lt;TODAY()),"🔴 PRAZO VENCIDO",IF(AND(OR(N3466="PENDENTE",N3466="PARCIAL"),D3466&lt;TODAY()-1),"🔴 EMBARQUE ATRASADO",IF(AND(N3466="REALIZADO",M3466="PENDENTE"),"🟡 EMBARCADO SEM FATURAR",IF(AND(P3466&lt;&gt;"",S3466="",OR(Q3466="",R3466="")),"🟡 PENDÊNCIA SEM RESPONSÁVEL/PRAZO",IF(AND(ISNUMBER(R3466),R3466=TODAY()),"🟡 VENCE HOJE",IF(AND(P3466&lt;&gt;"",S3466=""),"🟡 PENDÊNCIA ABERTA",IF(AND(N(J3466)&gt;0,N(K3466)&lt;J3466),"🟡 FALTA EXECUTAR",IF(OR(M3466="PENDENTE",M3466="PARCIAL"),"🟡 FATURAMENTO PENDENTE","🟡 EMBARQUE PENDENTE")))))))))))</f>
        <v/>
      </c>
      <c r="D3466" s="4" t="n"/>
      <c r="E3466" s="5" t="n"/>
      <c r="F3466" s="5" t="n"/>
      <c r="G3466" s="5" t="n"/>
      <c r="H3466" s="5" t="n"/>
      <c r="I3466" s="5" t="n"/>
      <c r="J3466" s="6" t="n"/>
      <c r="K3466" s="6" t="n"/>
      <c r="L3466" s="7">
        <f>IF(OR(D3466="",N(J3466)=0),"",MIN(1,N(K3466)/J3466))</f>
        <v/>
      </c>
      <c r="M3466" s="5" t="n"/>
      <c r="N3466" s="5" t="n"/>
      <c r="O3466" s="5" t="n"/>
      <c r="P3466" s="5" t="n"/>
      <c r="Q3466" s="5" t="n"/>
      <c r="R3466" s="4" t="n"/>
      <c r="S3466" s="4" t="n"/>
      <c r="T3466" s="5" t="n"/>
      <c r="U3466" s="8">
        <f>IF(AND(V3466=1,D3466&lt;&gt;""),IF(D3466&gt;=corte,TODAY()-D3466,""),"")</f>
        <v/>
      </c>
      <c r="V3466" s="8">
        <f>IF(D3466="",0,IF(OR(AND(P3466&lt;&gt;"",S3466=""),AND(N(J3466)&gt;0,N(K3466)&lt;J3466),OR(M3466="PENDENTE",M3466="PARCIAL"),OR(N3466="PENDENTE",N3466="PARCIAL")),1,0))</f>
        <v/>
      </c>
      <c r="W3466" s="8">
        <f>IF(AND(V3466=1,D3466&lt;&gt;""),IF(D3466&gt;=corte,(B3466="CRÍTICO")*1E9+(100000-D3466)*10000+10000-ROW(),""),"")</f>
        <v/>
      </c>
      <c r="X3466" s="8">
        <f>IF(AND(V3466=1,D3466=pas_data,E3466=pas_turno),10000-ROW(),"")</f>
        <v/>
      </c>
    </row>
    <row r="3467">
      <c r="A3467" s="3">
        <f>IF(D3467="","","TT-"&amp;TEXT(ROW()-1,"00000"))</f>
        <v/>
      </c>
      <c r="B3467" s="3">
        <f>IF(D3467="","",IF(V3467=0,"CONCLUÍDO",IF(D3467&lt;corte,"HISTÓRICO",IF(OR(AND(ISNUMBER(R3467),R3467&lt;TODAY()),AND(OR(N3467="PENDENTE",N3467="PARCIAL"),D3467&lt;TODAY()-1)),"CRÍTICO",IF(OR(AND(P3467&lt;&gt;"",S3467=""),AND(N3467="REALIZADO",M3467="PENDENTE"),AND(ISNUMBER(R3467),R3467=TODAY())),"ATENÇÃO",IF(N(K3467)=0,"PENDENTE","EM ANDAMENTO"))))))</f>
        <v/>
      </c>
      <c r="C3467" s="3">
        <f>IF(D3467="","",IF(V3467=0,"🟢 OK",IF(D3467&lt;corte,"⚪ HISTÓRICO (sem baixa)",IF(AND(ISNUMBER(R3467),R3467&lt;TODAY()),"🔴 PRAZO VENCIDO",IF(AND(OR(N3467="PENDENTE",N3467="PARCIAL"),D3467&lt;TODAY()-1),"🔴 EMBARQUE ATRASADO",IF(AND(N3467="REALIZADO",M3467="PENDENTE"),"🟡 EMBARCADO SEM FATURAR",IF(AND(P3467&lt;&gt;"",S3467="",OR(Q3467="",R3467="")),"🟡 PENDÊNCIA SEM RESPONSÁVEL/PRAZO",IF(AND(ISNUMBER(R3467),R3467=TODAY()),"🟡 VENCE HOJE",IF(AND(P3467&lt;&gt;"",S3467=""),"🟡 PENDÊNCIA ABERTA",IF(AND(N(J3467)&gt;0,N(K3467)&lt;J3467),"🟡 FALTA EXECUTAR",IF(OR(M3467="PENDENTE",M3467="PARCIAL"),"🟡 FATURAMENTO PENDENTE","🟡 EMBARQUE PENDENTE")))))))))))</f>
        <v/>
      </c>
      <c r="D3467" s="4" t="n"/>
      <c r="E3467" s="5" t="n"/>
      <c r="F3467" s="5" t="n"/>
      <c r="G3467" s="5" t="n"/>
      <c r="H3467" s="5" t="n"/>
      <c r="I3467" s="5" t="n"/>
      <c r="J3467" s="6" t="n"/>
      <c r="K3467" s="6" t="n"/>
      <c r="L3467" s="7">
        <f>IF(OR(D3467="",N(J3467)=0),"",MIN(1,N(K3467)/J3467))</f>
        <v/>
      </c>
      <c r="M3467" s="5" t="n"/>
      <c r="N3467" s="5" t="n"/>
      <c r="O3467" s="5" t="n"/>
      <c r="P3467" s="5" t="n"/>
      <c r="Q3467" s="5" t="n"/>
      <c r="R3467" s="4" t="n"/>
      <c r="S3467" s="4" t="n"/>
      <c r="T3467" s="5" t="n"/>
      <c r="U3467" s="8">
        <f>IF(AND(V3467=1,D3467&lt;&gt;""),IF(D3467&gt;=corte,TODAY()-D3467,""),"")</f>
        <v/>
      </c>
      <c r="V3467" s="8">
        <f>IF(D3467="",0,IF(OR(AND(P3467&lt;&gt;"",S3467=""),AND(N(J3467)&gt;0,N(K3467)&lt;J3467),OR(M3467="PENDENTE",M3467="PARCIAL"),OR(N3467="PENDENTE",N3467="PARCIAL")),1,0))</f>
        <v/>
      </c>
      <c r="W3467" s="8">
        <f>IF(AND(V3467=1,D3467&lt;&gt;""),IF(D3467&gt;=corte,(B3467="CRÍTICO")*1E9+(100000-D3467)*10000+10000-ROW(),""),"")</f>
        <v/>
      </c>
      <c r="X3467" s="8">
        <f>IF(AND(V3467=1,D3467=pas_data,E3467=pas_turno),10000-ROW(),"")</f>
        <v/>
      </c>
    </row>
    <row r="3468">
      <c r="A3468" s="3">
        <f>IF(D3468="","","TT-"&amp;TEXT(ROW()-1,"00000"))</f>
        <v/>
      </c>
      <c r="B3468" s="3">
        <f>IF(D3468="","",IF(V3468=0,"CONCLUÍDO",IF(D3468&lt;corte,"HISTÓRICO",IF(OR(AND(ISNUMBER(R3468),R3468&lt;TODAY()),AND(OR(N3468="PENDENTE",N3468="PARCIAL"),D3468&lt;TODAY()-1)),"CRÍTICO",IF(OR(AND(P3468&lt;&gt;"",S3468=""),AND(N3468="REALIZADO",M3468="PENDENTE"),AND(ISNUMBER(R3468),R3468=TODAY())),"ATENÇÃO",IF(N(K3468)=0,"PENDENTE","EM ANDAMENTO"))))))</f>
        <v/>
      </c>
      <c r="C3468" s="3">
        <f>IF(D3468="","",IF(V3468=0,"🟢 OK",IF(D3468&lt;corte,"⚪ HISTÓRICO (sem baixa)",IF(AND(ISNUMBER(R3468),R3468&lt;TODAY()),"🔴 PRAZO VENCIDO",IF(AND(OR(N3468="PENDENTE",N3468="PARCIAL"),D3468&lt;TODAY()-1),"🔴 EMBARQUE ATRASADO",IF(AND(N3468="REALIZADO",M3468="PENDENTE"),"🟡 EMBARCADO SEM FATURAR",IF(AND(P3468&lt;&gt;"",S3468="",OR(Q3468="",R3468="")),"🟡 PENDÊNCIA SEM RESPONSÁVEL/PRAZO",IF(AND(ISNUMBER(R3468),R3468=TODAY()),"🟡 VENCE HOJE",IF(AND(P3468&lt;&gt;"",S3468=""),"🟡 PENDÊNCIA ABERTA",IF(AND(N(J3468)&gt;0,N(K3468)&lt;J3468),"🟡 FALTA EXECUTAR",IF(OR(M3468="PENDENTE",M3468="PARCIAL"),"🟡 FATURAMENTO PENDENTE","🟡 EMBARQUE PENDENTE")))))))))))</f>
        <v/>
      </c>
      <c r="D3468" s="4" t="n"/>
      <c r="E3468" s="5" t="n"/>
      <c r="F3468" s="5" t="n"/>
      <c r="G3468" s="5" t="n"/>
      <c r="H3468" s="5" t="n"/>
      <c r="I3468" s="5" t="n"/>
      <c r="J3468" s="6" t="n"/>
      <c r="K3468" s="6" t="n"/>
      <c r="L3468" s="7">
        <f>IF(OR(D3468="",N(J3468)=0),"",MIN(1,N(K3468)/J3468))</f>
        <v/>
      </c>
      <c r="M3468" s="5" t="n"/>
      <c r="N3468" s="5" t="n"/>
      <c r="O3468" s="5" t="n"/>
      <c r="P3468" s="5" t="n"/>
      <c r="Q3468" s="5" t="n"/>
      <c r="R3468" s="4" t="n"/>
      <c r="S3468" s="4" t="n"/>
      <c r="T3468" s="5" t="n"/>
      <c r="U3468" s="8">
        <f>IF(AND(V3468=1,D3468&lt;&gt;""),IF(D3468&gt;=corte,TODAY()-D3468,""),"")</f>
        <v/>
      </c>
      <c r="V3468" s="8">
        <f>IF(D3468="",0,IF(OR(AND(P3468&lt;&gt;"",S3468=""),AND(N(J3468)&gt;0,N(K3468)&lt;J3468),OR(M3468="PENDENTE",M3468="PARCIAL"),OR(N3468="PENDENTE",N3468="PARCIAL")),1,0))</f>
        <v/>
      </c>
      <c r="W3468" s="8">
        <f>IF(AND(V3468=1,D3468&lt;&gt;""),IF(D3468&gt;=corte,(B3468="CRÍTICO")*1E9+(100000-D3468)*10000+10000-ROW(),""),"")</f>
        <v/>
      </c>
      <c r="X3468" s="8">
        <f>IF(AND(V3468=1,D3468=pas_data,E3468=pas_turno),10000-ROW(),"")</f>
        <v/>
      </c>
    </row>
    <row r="3469">
      <c r="A3469" s="3">
        <f>IF(D3469="","","TT-"&amp;TEXT(ROW()-1,"00000"))</f>
        <v/>
      </c>
      <c r="B3469" s="3">
        <f>IF(D3469="","",IF(V3469=0,"CONCLUÍDO",IF(D3469&lt;corte,"HISTÓRICO",IF(OR(AND(ISNUMBER(R3469),R3469&lt;TODAY()),AND(OR(N3469="PENDENTE",N3469="PARCIAL"),D3469&lt;TODAY()-1)),"CRÍTICO",IF(OR(AND(P3469&lt;&gt;"",S3469=""),AND(N3469="REALIZADO",M3469="PENDENTE"),AND(ISNUMBER(R3469),R3469=TODAY())),"ATENÇÃO",IF(N(K3469)=0,"PENDENTE","EM ANDAMENTO"))))))</f>
        <v/>
      </c>
      <c r="C3469" s="3">
        <f>IF(D3469="","",IF(V3469=0,"🟢 OK",IF(D3469&lt;corte,"⚪ HISTÓRICO (sem baixa)",IF(AND(ISNUMBER(R3469),R3469&lt;TODAY()),"🔴 PRAZO VENCIDO",IF(AND(OR(N3469="PENDENTE",N3469="PARCIAL"),D3469&lt;TODAY()-1),"🔴 EMBARQUE ATRASADO",IF(AND(N3469="REALIZADO",M3469="PENDENTE"),"🟡 EMBARCADO SEM FATURAR",IF(AND(P3469&lt;&gt;"",S3469="",OR(Q3469="",R3469="")),"🟡 PENDÊNCIA SEM RESPONSÁVEL/PRAZO",IF(AND(ISNUMBER(R3469),R3469=TODAY()),"🟡 VENCE HOJE",IF(AND(P3469&lt;&gt;"",S3469=""),"🟡 PENDÊNCIA ABERTA",IF(AND(N(J3469)&gt;0,N(K3469)&lt;J3469),"🟡 FALTA EXECUTAR",IF(OR(M3469="PENDENTE",M3469="PARCIAL"),"🟡 FATURAMENTO PENDENTE","🟡 EMBARQUE PENDENTE")))))))))))</f>
        <v/>
      </c>
      <c r="D3469" s="4" t="n"/>
      <c r="E3469" s="5" t="n"/>
      <c r="F3469" s="5" t="n"/>
      <c r="G3469" s="5" t="n"/>
      <c r="H3469" s="5" t="n"/>
      <c r="I3469" s="5" t="n"/>
      <c r="J3469" s="6" t="n"/>
      <c r="K3469" s="6" t="n"/>
      <c r="L3469" s="7">
        <f>IF(OR(D3469="",N(J3469)=0),"",MIN(1,N(K3469)/J3469))</f>
        <v/>
      </c>
      <c r="M3469" s="5" t="n"/>
      <c r="N3469" s="5" t="n"/>
      <c r="O3469" s="5" t="n"/>
      <c r="P3469" s="5" t="n"/>
      <c r="Q3469" s="5" t="n"/>
      <c r="R3469" s="4" t="n"/>
      <c r="S3469" s="4" t="n"/>
      <c r="T3469" s="5" t="n"/>
      <c r="U3469" s="8">
        <f>IF(AND(V3469=1,D3469&lt;&gt;""),IF(D3469&gt;=corte,TODAY()-D3469,""),"")</f>
        <v/>
      </c>
      <c r="V3469" s="8">
        <f>IF(D3469="",0,IF(OR(AND(P3469&lt;&gt;"",S3469=""),AND(N(J3469)&gt;0,N(K3469)&lt;J3469),OR(M3469="PENDENTE",M3469="PARCIAL"),OR(N3469="PENDENTE",N3469="PARCIAL")),1,0))</f>
        <v/>
      </c>
      <c r="W3469" s="8">
        <f>IF(AND(V3469=1,D3469&lt;&gt;""),IF(D3469&gt;=corte,(B3469="CRÍTICO")*1E9+(100000-D3469)*10000+10000-ROW(),""),"")</f>
        <v/>
      </c>
      <c r="X3469" s="8">
        <f>IF(AND(V3469=1,D3469=pas_data,E3469=pas_turno),10000-ROW(),"")</f>
        <v/>
      </c>
    </row>
    <row r="3470">
      <c r="A3470" s="3">
        <f>IF(D3470="","","TT-"&amp;TEXT(ROW()-1,"00000"))</f>
        <v/>
      </c>
      <c r="B3470" s="3">
        <f>IF(D3470="","",IF(V3470=0,"CONCLUÍDO",IF(D3470&lt;corte,"HISTÓRICO",IF(OR(AND(ISNUMBER(R3470),R3470&lt;TODAY()),AND(OR(N3470="PENDENTE",N3470="PARCIAL"),D3470&lt;TODAY()-1)),"CRÍTICO",IF(OR(AND(P3470&lt;&gt;"",S3470=""),AND(N3470="REALIZADO",M3470="PENDENTE"),AND(ISNUMBER(R3470),R3470=TODAY())),"ATENÇÃO",IF(N(K3470)=0,"PENDENTE","EM ANDAMENTO"))))))</f>
        <v/>
      </c>
      <c r="C3470" s="3">
        <f>IF(D3470="","",IF(V3470=0,"🟢 OK",IF(D3470&lt;corte,"⚪ HISTÓRICO (sem baixa)",IF(AND(ISNUMBER(R3470),R3470&lt;TODAY()),"🔴 PRAZO VENCIDO",IF(AND(OR(N3470="PENDENTE",N3470="PARCIAL"),D3470&lt;TODAY()-1),"🔴 EMBARQUE ATRASADO",IF(AND(N3470="REALIZADO",M3470="PENDENTE"),"🟡 EMBARCADO SEM FATURAR",IF(AND(P3470&lt;&gt;"",S3470="",OR(Q3470="",R3470="")),"🟡 PENDÊNCIA SEM RESPONSÁVEL/PRAZO",IF(AND(ISNUMBER(R3470),R3470=TODAY()),"🟡 VENCE HOJE",IF(AND(P3470&lt;&gt;"",S3470=""),"🟡 PENDÊNCIA ABERTA",IF(AND(N(J3470)&gt;0,N(K3470)&lt;J3470),"🟡 FALTA EXECUTAR",IF(OR(M3470="PENDENTE",M3470="PARCIAL"),"🟡 FATURAMENTO PENDENTE","🟡 EMBARQUE PENDENTE")))))))))))</f>
        <v/>
      </c>
      <c r="D3470" s="4" t="n"/>
      <c r="E3470" s="5" t="n"/>
      <c r="F3470" s="5" t="n"/>
      <c r="G3470" s="5" t="n"/>
      <c r="H3470" s="5" t="n"/>
      <c r="I3470" s="5" t="n"/>
      <c r="J3470" s="6" t="n"/>
      <c r="K3470" s="6" t="n"/>
      <c r="L3470" s="7">
        <f>IF(OR(D3470="",N(J3470)=0),"",MIN(1,N(K3470)/J3470))</f>
        <v/>
      </c>
      <c r="M3470" s="5" t="n"/>
      <c r="N3470" s="5" t="n"/>
      <c r="O3470" s="5" t="n"/>
      <c r="P3470" s="5" t="n"/>
      <c r="Q3470" s="5" t="n"/>
      <c r="R3470" s="4" t="n"/>
      <c r="S3470" s="4" t="n"/>
      <c r="T3470" s="5" t="n"/>
      <c r="U3470" s="8">
        <f>IF(AND(V3470=1,D3470&lt;&gt;""),IF(D3470&gt;=corte,TODAY()-D3470,""),"")</f>
        <v/>
      </c>
      <c r="V3470" s="8">
        <f>IF(D3470="",0,IF(OR(AND(P3470&lt;&gt;"",S3470=""),AND(N(J3470)&gt;0,N(K3470)&lt;J3470),OR(M3470="PENDENTE",M3470="PARCIAL"),OR(N3470="PENDENTE",N3470="PARCIAL")),1,0))</f>
        <v/>
      </c>
      <c r="W3470" s="8">
        <f>IF(AND(V3470=1,D3470&lt;&gt;""),IF(D3470&gt;=corte,(B3470="CRÍTICO")*1E9+(100000-D3470)*10000+10000-ROW(),""),"")</f>
        <v/>
      </c>
      <c r="X3470" s="8">
        <f>IF(AND(V3470=1,D3470=pas_data,E3470=pas_turno),10000-ROW(),"")</f>
        <v/>
      </c>
    </row>
    <row r="3471">
      <c r="A3471" s="3">
        <f>IF(D3471="","","TT-"&amp;TEXT(ROW()-1,"00000"))</f>
        <v/>
      </c>
      <c r="B3471" s="3">
        <f>IF(D3471="","",IF(V3471=0,"CONCLUÍDO",IF(D3471&lt;corte,"HISTÓRICO",IF(OR(AND(ISNUMBER(R3471),R3471&lt;TODAY()),AND(OR(N3471="PENDENTE",N3471="PARCIAL"),D3471&lt;TODAY()-1)),"CRÍTICO",IF(OR(AND(P3471&lt;&gt;"",S3471=""),AND(N3471="REALIZADO",M3471="PENDENTE"),AND(ISNUMBER(R3471),R3471=TODAY())),"ATENÇÃO",IF(N(K3471)=0,"PENDENTE","EM ANDAMENTO"))))))</f>
        <v/>
      </c>
      <c r="C3471" s="3">
        <f>IF(D3471="","",IF(V3471=0,"🟢 OK",IF(D3471&lt;corte,"⚪ HISTÓRICO (sem baixa)",IF(AND(ISNUMBER(R3471),R3471&lt;TODAY()),"🔴 PRAZO VENCIDO",IF(AND(OR(N3471="PENDENTE",N3471="PARCIAL"),D3471&lt;TODAY()-1),"🔴 EMBARQUE ATRASADO",IF(AND(N3471="REALIZADO",M3471="PENDENTE"),"🟡 EMBARCADO SEM FATURAR",IF(AND(P3471&lt;&gt;"",S3471="",OR(Q3471="",R3471="")),"🟡 PENDÊNCIA SEM RESPONSÁVEL/PRAZO",IF(AND(ISNUMBER(R3471),R3471=TODAY()),"🟡 VENCE HOJE",IF(AND(P3471&lt;&gt;"",S3471=""),"🟡 PENDÊNCIA ABERTA",IF(AND(N(J3471)&gt;0,N(K3471)&lt;J3471),"🟡 FALTA EXECUTAR",IF(OR(M3471="PENDENTE",M3471="PARCIAL"),"🟡 FATURAMENTO PENDENTE","🟡 EMBARQUE PENDENTE")))))))))))</f>
        <v/>
      </c>
      <c r="D3471" s="4" t="n"/>
      <c r="E3471" s="5" t="n"/>
      <c r="F3471" s="5" t="n"/>
      <c r="G3471" s="5" t="n"/>
      <c r="H3471" s="5" t="n"/>
      <c r="I3471" s="5" t="n"/>
      <c r="J3471" s="6" t="n"/>
      <c r="K3471" s="6" t="n"/>
      <c r="L3471" s="7">
        <f>IF(OR(D3471="",N(J3471)=0),"",MIN(1,N(K3471)/J3471))</f>
        <v/>
      </c>
      <c r="M3471" s="5" t="n"/>
      <c r="N3471" s="5" t="n"/>
      <c r="O3471" s="5" t="n"/>
      <c r="P3471" s="5" t="n"/>
      <c r="Q3471" s="5" t="n"/>
      <c r="R3471" s="4" t="n"/>
      <c r="S3471" s="4" t="n"/>
      <c r="T3471" s="5" t="n"/>
      <c r="U3471" s="8">
        <f>IF(AND(V3471=1,D3471&lt;&gt;""),IF(D3471&gt;=corte,TODAY()-D3471,""),"")</f>
        <v/>
      </c>
      <c r="V3471" s="8">
        <f>IF(D3471="",0,IF(OR(AND(P3471&lt;&gt;"",S3471=""),AND(N(J3471)&gt;0,N(K3471)&lt;J3471),OR(M3471="PENDENTE",M3471="PARCIAL"),OR(N3471="PENDENTE",N3471="PARCIAL")),1,0))</f>
        <v/>
      </c>
      <c r="W3471" s="8">
        <f>IF(AND(V3471=1,D3471&lt;&gt;""),IF(D3471&gt;=corte,(B3471="CRÍTICO")*1E9+(100000-D3471)*10000+10000-ROW(),""),"")</f>
        <v/>
      </c>
      <c r="X3471" s="8">
        <f>IF(AND(V3471=1,D3471=pas_data,E3471=pas_turno),10000-ROW(),"")</f>
        <v/>
      </c>
    </row>
    <row r="3472">
      <c r="A3472" s="3">
        <f>IF(D3472="","","TT-"&amp;TEXT(ROW()-1,"00000"))</f>
        <v/>
      </c>
      <c r="B3472" s="3">
        <f>IF(D3472="","",IF(V3472=0,"CONCLUÍDO",IF(D3472&lt;corte,"HISTÓRICO",IF(OR(AND(ISNUMBER(R3472),R3472&lt;TODAY()),AND(OR(N3472="PENDENTE",N3472="PARCIAL"),D3472&lt;TODAY()-1)),"CRÍTICO",IF(OR(AND(P3472&lt;&gt;"",S3472=""),AND(N3472="REALIZADO",M3472="PENDENTE"),AND(ISNUMBER(R3472),R3472=TODAY())),"ATENÇÃO",IF(N(K3472)=0,"PENDENTE","EM ANDAMENTO"))))))</f>
        <v/>
      </c>
      <c r="C3472" s="3">
        <f>IF(D3472="","",IF(V3472=0,"🟢 OK",IF(D3472&lt;corte,"⚪ HISTÓRICO (sem baixa)",IF(AND(ISNUMBER(R3472),R3472&lt;TODAY()),"🔴 PRAZO VENCIDO",IF(AND(OR(N3472="PENDENTE",N3472="PARCIAL"),D3472&lt;TODAY()-1),"🔴 EMBARQUE ATRASADO",IF(AND(N3472="REALIZADO",M3472="PENDENTE"),"🟡 EMBARCADO SEM FATURAR",IF(AND(P3472&lt;&gt;"",S3472="",OR(Q3472="",R3472="")),"🟡 PENDÊNCIA SEM RESPONSÁVEL/PRAZO",IF(AND(ISNUMBER(R3472),R3472=TODAY()),"🟡 VENCE HOJE",IF(AND(P3472&lt;&gt;"",S3472=""),"🟡 PENDÊNCIA ABERTA",IF(AND(N(J3472)&gt;0,N(K3472)&lt;J3472),"🟡 FALTA EXECUTAR",IF(OR(M3472="PENDENTE",M3472="PARCIAL"),"🟡 FATURAMENTO PENDENTE","🟡 EMBARQUE PENDENTE")))))))))))</f>
        <v/>
      </c>
      <c r="D3472" s="4" t="n"/>
      <c r="E3472" s="5" t="n"/>
      <c r="F3472" s="5" t="n"/>
      <c r="G3472" s="5" t="n"/>
      <c r="H3472" s="5" t="n"/>
      <c r="I3472" s="5" t="n"/>
      <c r="J3472" s="6" t="n"/>
      <c r="K3472" s="6" t="n"/>
      <c r="L3472" s="7">
        <f>IF(OR(D3472="",N(J3472)=0),"",MIN(1,N(K3472)/J3472))</f>
        <v/>
      </c>
      <c r="M3472" s="5" t="n"/>
      <c r="N3472" s="5" t="n"/>
      <c r="O3472" s="5" t="n"/>
      <c r="P3472" s="5" t="n"/>
      <c r="Q3472" s="5" t="n"/>
      <c r="R3472" s="4" t="n"/>
      <c r="S3472" s="4" t="n"/>
      <c r="T3472" s="5" t="n"/>
      <c r="U3472" s="8">
        <f>IF(AND(V3472=1,D3472&lt;&gt;""),IF(D3472&gt;=corte,TODAY()-D3472,""),"")</f>
        <v/>
      </c>
      <c r="V3472" s="8">
        <f>IF(D3472="",0,IF(OR(AND(P3472&lt;&gt;"",S3472=""),AND(N(J3472)&gt;0,N(K3472)&lt;J3472),OR(M3472="PENDENTE",M3472="PARCIAL"),OR(N3472="PENDENTE",N3472="PARCIAL")),1,0))</f>
        <v/>
      </c>
      <c r="W3472" s="8">
        <f>IF(AND(V3472=1,D3472&lt;&gt;""),IF(D3472&gt;=corte,(B3472="CRÍTICO")*1E9+(100000-D3472)*10000+10000-ROW(),""),"")</f>
        <v/>
      </c>
      <c r="X3472" s="8">
        <f>IF(AND(V3472=1,D3472=pas_data,E3472=pas_turno),10000-ROW(),"")</f>
        <v/>
      </c>
    </row>
    <row r="3473">
      <c r="A3473" s="3">
        <f>IF(D3473="","","TT-"&amp;TEXT(ROW()-1,"00000"))</f>
        <v/>
      </c>
      <c r="B3473" s="3">
        <f>IF(D3473="","",IF(V3473=0,"CONCLUÍDO",IF(D3473&lt;corte,"HISTÓRICO",IF(OR(AND(ISNUMBER(R3473),R3473&lt;TODAY()),AND(OR(N3473="PENDENTE",N3473="PARCIAL"),D3473&lt;TODAY()-1)),"CRÍTICO",IF(OR(AND(P3473&lt;&gt;"",S3473=""),AND(N3473="REALIZADO",M3473="PENDENTE"),AND(ISNUMBER(R3473),R3473=TODAY())),"ATENÇÃO",IF(N(K3473)=0,"PENDENTE","EM ANDAMENTO"))))))</f>
        <v/>
      </c>
      <c r="C3473" s="3">
        <f>IF(D3473="","",IF(V3473=0,"🟢 OK",IF(D3473&lt;corte,"⚪ HISTÓRICO (sem baixa)",IF(AND(ISNUMBER(R3473),R3473&lt;TODAY()),"🔴 PRAZO VENCIDO",IF(AND(OR(N3473="PENDENTE",N3473="PARCIAL"),D3473&lt;TODAY()-1),"🔴 EMBARQUE ATRASADO",IF(AND(N3473="REALIZADO",M3473="PENDENTE"),"🟡 EMBARCADO SEM FATURAR",IF(AND(P3473&lt;&gt;"",S3473="",OR(Q3473="",R3473="")),"🟡 PENDÊNCIA SEM RESPONSÁVEL/PRAZO",IF(AND(ISNUMBER(R3473),R3473=TODAY()),"🟡 VENCE HOJE",IF(AND(P3473&lt;&gt;"",S3473=""),"🟡 PENDÊNCIA ABERTA",IF(AND(N(J3473)&gt;0,N(K3473)&lt;J3473),"🟡 FALTA EXECUTAR",IF(OR(M3473="PENDENTE",M3473="PARCIAL"),"🟡 FATURAMENTO PENDENTE","🟡 EMBARQUE PENDENTE")))))))))))</f>
        <v/>
      </c>
      <c r="D3473" s="4" t="n"/>
      <c r="E3473" s="5" t="n"/>
      <c r="F3473" s="5" t="n"/>
      <c r="G3473" s="5" t="n"/>
      <c r="H3473" s="5" t="n"/>
      <c r="I3473" s="5" t="n"/>
      <c r="J3473" s="6" t="n"/>
      <c r="K3473" s="6" t="n"/>
      <c r="L3473" s="7">
        <f>IF(OR(D3473="",N(J3473)=0),"",MIN(1,N(K3473)/J3473))</f>
        <v/>
      </c>
      <c r="M3473" s="5" t="n"/>
      <c r="N3473" s="5" t="n"/>
      <c r="O3473" s="5" t="n"/>
      <c r="P3473" s="5" t="n"/>
      <c r="Q3473" s="5" t="n"/>
      <c r="R3473" s="4" t="n"/>
      <c r="S3473" s="4" t="n"/>
      <c r="T3473" s="5" t="n"/>
      <c r="U3473" s="8">
        <f>IF(AND(V3473=1,D3473&lt;&gt;""),IF(D3473&gt;=corte,TODAY()-D3473,""),"")</f>
        <v/>
      </c>
      <c r="V3473" s="8">
        <f>IF(D3473="",0,IF(OR(AND(P3473&lt;&gt;"",S3473=""),AND(N(J3473)&gt;0,N(K3473)&lt;J3473),OR(M3473="PENDENTE",M3473="PARCIAL"),OR(N3473="PENDENTE",N3473="PARCIAL")),1,0))</f>
        <v/>
      </c>
      <c r="W3473" s="8">
        <f>IF(AND(V3473=1,D3473&lt;&gt;""),IF(D3473&gt;=corte,(B3473="CRÍTICO")*1E9+(100000-D3473)*10000+10000-ROW(),""),"")</f>
        <v/>
      </c>
      <c r="X3473" s="8">
        <f>IF(AND(V3473=1,D3473=pas_data,E3473=pas_turno),10000-ROW(),"")</f>
        <v/>
      </c>
    </row>
    <row r="3474">
      <c r="A3474" s="3">
        <f>IF(D3474="","","TT-"&amp;TEXT(ROW()-1,"00000"))</f>
        <v/>
      </c>
      <c r="B3474" s="3">
        <f>IF(D3474="","",IF(V3474=0,"CONCLUÍDO",IF(D3474&lt;corte,"HISTÓRICO",IF(OR(AND(ISNUMBER(R3474),R3474&lt;TODAY()),AND(OR(N3474="PENDENTE",N3474="PARCIAL"),D3474&lt;TODAY()-1)),"CRÍTICO",IF(OR(AND(P3474&lt;&gt;"",S3474=""),AND(N3474="REALIZADO",M3474="PENDENTE"),AND(ISNUMBER(R3474),R3474=TODAY())),"ATENÇÃO",IF(N(K3474)=0,"PENDENTE","EM ANDAMENTO"))))))</f>
        <v/>
      </c>
      <c r="C3474" s="3">
        <f>IF(D3474="","",IF(V3474=0,"🟢 OK",IF(D3474&lt;corte,"⚪ HISTÓRICO (sem baixa)",IF(AND(ISNUMBER(R3474),R3474&lt;TODAY()),"🔴 PRAZO VENCIDO",IF(AND(OR(N3474="PENDENTE",N3474="PARCIAL"),D3474&lt;TODAY()-1),"🔴 EMBARQUE ATRASADO",IF(AND(N3474="REALIZADO",M3474="PENDENTE"),"🟡 EMBARCADO SEM FATURAR",IF(AND(P3474&lt;&gt;"",S3474="",OR(Q3474="",R3474="")),"🟡 PENDÊNCIA SEM RESPONSÁVEL/PRAZO",IF(AND(ISNUMBER(R3474),R3474=TODAY()),"🟡 VENCE HOJE",IF(AND(P3474&lt;&gt;"",S3474=""),"🟡 PENDÊNCIA ABERTA",IF(AND(N(J3474)&gt;0,N(K3474)&lt;J3474),"🟡 FALTA EXECUTAR",IF(OR(M3474="PENDENTE",M3474="PARCIAL"),"🟡 FATURAMENTO PENDENTE","🟡 EMBARQUE PENDENTE")))))))))))</f>
        <v/>
      </c>
      <c r="D3474" s="4" t="n"/>
      <c r="E3474" s="5" t="n"/>
      <c r="F3474" s="5" t="n"/>
      <c r="G3474" s="5" t="n"/>
      <c r="H3474" s="5" t="n"/>
      <c r="I3474" s="5" t="n"/>
      <c r="J3474" s="6" t="n"/>
      <c r="K3474" s="6" t="n"/>
      <c r="L3474" s="7">
        <f>IF(OR(D3474="",N(J3474)=0),"",MIN(1,N(K3474)/J3474))</f>
        <v/>
      </c>
      <c r="M3474" s="5" t="n"/>
      <c r="N3474" s="5" t="n"/>
      <c r="O3474" s="5" t="n"/>
      <c r="P3474" s="5" t="n"/>
      <c r="Q3474" s="5" t="n"/>
      <c r="R3474" s="4" t="n"/>
      <c r="S3474" s="4" t="n"/>
      <c r="T3474" s="5" t="n"/>
      <c r="U3474" s="8">
        <f>IF(AND(V3474=1,D3474&lt;&gt;""),IF(D3474&gt;=corte,TODAY()-D3474,""),"")</f>
        <v/>
      </c>
      <c r="V3474" s="8">
        <f>IF(D3474="",0,IF(OR(AND(P3474&lt;&gt;"",S3474=""),AND(N(J3474)&gt;0,N(K3474)&lt;J3474),OR(M3474="PENDENTE",M3474="PARCIAL"),OR(N3474="PENDENTE",N3474="PARCIAL")),1,0))</f>
        <v/>
      </c>
      <c r="W3474" s="8">
        <f>IF(AND(V3474=1,D3474&lt;&gt;""),IF(D3474&gt;=corte,(B3474="CRÍTICO")*1E9+(100000-D3474)*10000+10000-ROW(),""),"")</f>
        <v/>
      </c>
      <c r="X3474" s="8">
        <f>IF(AND(V3474=1,D3474=pas_data,E3474=pas_turno),10000-ROW(),"")</f>
        <v/>
      </c>
    </row>
    <row r="3475">
      <c r="A3475" s="3">
        <f>IF(D3475="","","TT-"&amp;TEXT(ROW()-1,"00000"))</f>
        <v/>
      </c>
      <c r="B3475" s="3">
        <f>IF(D3475="","",IF(V3475=0,"CONCLUÍDO",IF(D3475&lt;corte,"HISTÓRICO",IF(OR(AND(ISNUMBER(R3475),R3475&lt;TODAY()),AND(OR(N3475="PENDENTE",N3475="PARCIAL"),D3475&lt;TODAY()-1)),"CRÍTICO",IF(OR(AND(P3475&lt;&gt;"",S3475=""),AND(N3475="REALIZADO",M3475="PENDENTE"),AND(ISNUMBER(R3475),R3475=TODAY())),"ATENÇÃO",IF(N(K3475)=0,"PENDENTE","EM ANDAMENTO"))))))</f>
        <v/>
      </c>
      <c r="C3475" s="3">
        <f>IF(D3475="","",IF(V3475=0,"🟢 OK",IF(D3475&lt;corte,"⚪ HISTÓRICO (sem baixa)",IF(AND(ISNUMBER(R3475),R3475&lt;TODAY()),"🔴 PRAZO VENCIDO",IF(AND(OR(N3475="PENDENTE",N3475="PARCIAL"),D3475&lt;TODAY()-1),"🔴 EMBARQUE ATRASADO",IF(AND(N3475="REALIZADO",M3475="PENDENTE"),"🟡 EMBARCADO SEM FATURAR",IF(AND(P3475&lt;&gt;"",S3475="",OR(Q3475="",R3475="")),"🟡 PENDÊNCIA SEM RESPONSÁVEL/PRAZO",IF(AND(ISNUMBER(R3475),R3475=TODAY()),"🟡 VENCE HOJE",IF(AND(P3475&lt;&gt;"",S3475=""),"🟡 PENDÊNCIA ABERTA",IF(AND(N(J3475)&gt;0,N(K3475)&lt;J3475),"🟡 FALTA EXECUTAR",IF(OR(M3475="PENDENTE",M3475="PARCIAL"),"🟡 FATURAMENTO PENDENTE","🟡 EMBARQUE PENDENTE")))))))))))</f>
        <v/>
      </c>
      <c r="D3475" s="4" t="n"/>
      <c r="E3475" s="5" t="n"/>
      <c r="F3475" s="5" t="n"/>
      <c r="G3475" s="5" t="n"/>
      <c r="H3475" s="5" t="n"/>
      <c r="I3475" s="5" t="n"/>
      <c r="J3475" s="6" t="n"/>
      <c r="K3475" s="6" t="n"/>
      <c r="L3475" s="7">
        <f>IF(OR(D3475="",N(J3475)=0),"",MIN(1,N(K3475)/J3475))</f>
        <v/>
      </c>
      <c r="M3475" s="5" t="n"/>
      <c r="N3475" s="5" t="n"/>
      <c r="O3475" s="5" t="n"/>
      <c r="P3475" s="5" t="n"/>
      <c r="Q3475" s="5" t="n"/>
      <c r="R3475" s="4" t="n"/>
      <c r="S3475" s="4" t="n"/>
      <c r="T3475" s="5" t="n"/>
      <c r="U3475" s="8">
        <f>IF(AND(V3475=1,D3475&lt;&gt;""),IF(D3475&gt;=corte,TODAY()-D3475,""),"")</f>
        <v/>
      </c>
      <c r="V3475" s="8">
        <f>IF(D3475="",0,IF(OR(AND(P3475&lt;&gt;"",S3475=""),AND(N(J3475)&gt;0,N(K3475)&lt;J3475),OR(M3475="PENDENTE",M3475="PARCIAL"),OR(N3475="PENDENTE",N3475="PARCIAL")),1,0))</f>
        <v/>
      </c>
      <c r="W3475" s="8">
        <f>IF(AND(V3475=1,D3475&lt;&gt;""),IF(D3475&gt;=corte,(B3475="CRÍTICO")*1E9+(100000-D3475)*10000+10000-ROW(),""),"")</f>
        <v/>
      </c>
      <c r="X3475" s="8">
        <f>IF(AND(V3475=1,D3475=pas_data,E3475=pas_turno),10000-ROW(),"")</f>
        <v/>
      </c>
    </row>
    <row r="3476">
      <c r="A3476" s="3">
        <f>IF(D3476="","","TT-"&amp;TEXT(ROW()-1,"00000"))</f>
        <v/>
      </c>
      <c r="B3476" s="3">
        <f>IF(D3476="","",IF(V3476=0,"CONCLUÍDO",IF(D3476&lt;corte,"HISTÓRICO",IF(OR(AND(ISNUMBER(R3476),R3476&lt;TODAY()),AND(OR(N3476="PENDENTE",N3476="PARCIAL"),D3476&lt;TODAY()-1)),"CRÍTICO",IF(OR(AND(P3476&lt;&gt;"",S3476=""),AND(N3476="REALIZADO",M3476="PENDENTE"),AND(ISNUMBER(R3476),R3476=TODAY())),"ATENÇÃO",IF(N(K3476)=0,"PENDENTE","EM ANDAMENTO"))))))</f>
        <v/>
      </c>
      <c r="C3476" s="3">
        <f>IF(D3476="","",IF(V3476=0,"🟢 OK",IF(D3476&lt;corte,"⚪ HISTÓRICO (sem baixa)",IF(AND(ISNUMBER(R3476),R3476&lt;TODAY()),"🔴 PRAZO VENCIDO",IF(AND(OR(N3476="PENDENTE",N3476="PARCIAL"),D3476&lt;TODAY()-1),"🔴 EMBARQUE ATRASADO",IF(AND(N3476="REALIZADO",M3476="PENDENTE"),"🟡 EMBARCADO SEM FATURAR",IF(AND(P3476&lt;&gt;"",S3476="",OR(Q3476="",R3476="")),"🟡 PENDÊNCIA SEM RESPONSÁVEL/PRAZO",IF(AND(ISNUMBER(R3476),R3476=TODAY()),"🟡 VENCE HOJE",IF(AND(P3476&lt;&gt;"",S3476=""),"🟡 PENDÊNCIA ABERTA",IF(AND(N(J3476)&gt;0,N(K3476)&lt;J3476),"🟡 FALTA EXECUTAR",IF(OR(M3476="PENDENTE",M3476="PARCIAL"),"🟡 FATURAMENTO PENDENTE","🟡 EMBARQUE PENDENTE")))))))))))</f>
        <v/>
      </c>
      <c r="D3476" s="4" t="n"/>
      <c r="E3476" s="5" t="n"/>
      <c r="F3476" s="5" t="n"/>
      <c r="G3476" s="5" t="n"/>
      <c r="H3476" s="5" t="n"/>
      <c r="I3476" s="5" t="n"/>
      <c r="J3476" s="6" t="n"/>
      <c r="K3476" s="6" t="n"/>
      <c r="L3476" s="7">
        <f>IF(OR(D3476="",N(J3476)=0),"",MIN(1,N(K3476)/J3476))</f>
        <v/>
      </c>
      <c r="M3476" s="5" t="n"/>
      <c r="N3476" s="5" t="n"/>
      <c r="O3476" s="5" t="n"/>
      <c r="P3476" s="5" t="n"/>
      <c r="Q3476" s="5" t="n"/>
      <c r="R3476" s="4" t="n"/>
      <c r="S3476" s="4" t="n"/>
      <c r="T3476" s="5" t="n"/>
      <c r="U3476" s="8">
        <f>IF(AND(V3476=1,D3476&lt;&gt;""),IF(D3476&gt;=corte,TODAY()-D3476,""),"")</f>
        <v/>
      </c>
      <c r="V3476" s="8">
        <f>IF(D3476="",0,IF(OR(AND(P3476&lt;&gt;"",S3476=""),AND(N(J3476)&gt;0,N(K3476)&lt;J3476),OR(M3476="PENDENTE",M3476="PARCIAL"),OR(N3476="PENDENTE",N3476="PARCIAL")),1,0))</f>
        <v/>
      </c>
      <c r="W3476" s="8">
        <f>IF(AND(V3476=1,D3476&lt;&gt;""),IF(D3476&gt;=corte,(B3476="CRÍTICO")*1E9+(100000-D3476)*10000+10000-ROW(),""),"")</f>
        <v/>
      </c>
      <c r="X3476" s="8">
        <f>IF(AND(V3476=1,D3476=pas_data,E3476=pas_turno),10000-ROW(),"")</f>
        <v/>
      </c>
    </row>
    <row r="3477">
      <c r="A3477" s="3">
        <f>IF(D3477="","","TT-"&amp;TEXT(ROW()-1,"00000"))</f>
        <v/>
      </c>
      <c r="B3477" s="3">
        <f>IF(D3477="","",IF(V3477=0,"CONCLUÍDO",IF(D3477&lt;corte,"HISTÓRICO",IF(OR(AND(ISNUMBER(R3477),R3477&lt;TODAY()),AND(OR(N3477="PENDENTE",N3477="PARCIAL"),D3477&lt;TODAY()-1)),"CRÍTICO",IF(OR(AND(P3477&lt;&gt;"",S3477=""),AND(N3477="REALIZADO",M3477="PENDENTE"),AND(ISNUMBER(R3477),R3477=TODAY())),"ATENÇÃO",IF(N(K3477)=0,"PENDENTE","EM ANDAMENTO"))))))</f>
        <v/>
      </c>
      <c r="C3477" s="3">
        <f>IF(D3477="","",IF(V3477=0,"🟢 OK",IF(D3477&lt;corte,"⚪ HISTÓRICO (sem baixa)",IF(AND(ISNUMBER(R3477),R3477&lt;TODAY()),"🔴 PRAZO VENCIDO",IF(AND(OR(N3477="PENDENTE",N3477="PARCIAL"),D3477&lt;TODAY()-1),"🔴 EMBARQUE ATRASADO",IF(AND(N3477="REALIZADO",M3477="PENDENTE"),"🟡 EMBARCADO SEM FATURAR",IF(AND(P3477&lt;&gt;"",S3477="",OR(Q3477="",R3477="")),"🟡 PENDÊNCIA SEM RESPONSÁVEL/PRAZO",IF(AND(ISNUMBER(R3477),R3477=TODAY()),"🟡 VENCE HOJE",IF(AND(P3477&lt;&gt;"",S3477=""),"🟡 PENDÊNCIA ABERTA",IF(AND(N(J3477)&gt;0,N(K3477)&lt;J3477),"🟡 FALTA EXECUTAR",IF(OR(M3477="PENDENTE",M3477="PARCIAL"),"🟡 FATURAMENTO PENDENTE","🟡 EMBARQUE PENDENTE")))))))))))</f>
        <v/>
      </c>
      <c r="D3477" s="4" t="n"/>
      <c r="E3477" s="5" t="n"/>
      <c r="F3477" s="5" t="n"/>
      <c r="G3477" s="5" t="n"/>
      <c r="H3477" s="5" t="n"/>
      <c r="I3477" s="5" t="n"/>
      <c r="J3477" s="6" t="n"/>
      <c r="K3477" s="6" t="n"/>
      <c r="L3477" s="7">
        <f>IF(OR(D3477="",N(J3477)=0),"",MIN(1,N(K3477)/J3477))</f>
        <v/>
      </c>
      <c r="M3477" s="5" t="n"/>
      <c r="N3477" s="5" t="n"/>
      <c r="O3477" s="5" t="n"/>
      <c r="P3477" s="5" t="n"/>
      <c r="Q3477" s="5" t="n"/>
      <c r="R3477" s="4" t="n"/>
      <c r="S3477" s="4" t="n"/>
      <c r="T3477" s="5" t="n"/>
      <c r="U3477" s="8">
        <f>IF(AND(V3477=1,D3477&lt;&gt;""),IF(D3477&gt;=corte,TODAY()-D3477,""),"")</f>
        <v/>
      </c>
      <c r="V3477" s="8">
        <f>IF(D3477="",0,IF(OR(AND(P3477&lt;&gt;"",S3477=""),AND(N(J3477)&gt;0,N(K3477)&lt;J3477),OR(M3477="PENDENTE",M3477="PARCIAL"),OR(N3477="PENDENTE",N3477="PARCIAL")),1,0))</f>
        <v/>
      </c>
      <c r="W3477" s="8">
        <f>IF(AND(V3477=1,D3477&lt;&gt;""),IF(D3477&gt;=corte,(B3477="CRÍTICO")*1E9+(100000-D3477)*10000+10000-ROW(),""),"")</f>
        <v/>
      </c>
      <c r="X3477" s="8">
        <f>IF(AND(V3477=1,D3477=pas_data,E3477=pas_turno),10000-ROW(),"")</f>
        <v/>
      </c>
    </row>
    <row r="3478">
      <c r="A3478" s="3">
        <f>IF(D3478="","","TT-"&amp;TEXT(ROW()-1,"00000"))</f>
        <v/>
      </c>
      <c r="B3478" s="3">
        <f>IF(D3478="","",IF(V3478=0,"CONCLUÍDO",IF(D3478&lt;corte,"HISTÓRICO",IF(OR(AND(ISNUMBER(R3478),R3478&lt;TODAY()),AND(OR(N3478="PENDENTE",N3478="PARCIAL"),D3478&lt;TODAY()-1)),"CRÍTICO",IF(OR(AND(P3478&lt;&gt;"",S3478=""),AND(N3478="REALIZADO",M3478="PENDENTE"),AND(ISNUMBER(R3478),R3478=TODAY())),"ATENÇÃO",IF(N(K3478)=0,"PENDENTE","EM ANDAMENTO"))))))</f>
        <v/>
      </c>
      <c r="C3478" s="3">
        <f>IF(D3478="","",IF(V3478=0,"🟢 OK",IF(D3478&lt;corte,"⚪ HISTÓRICO (sem baixa)",IF(AND(ISNUMBER(R3478),R3478&lt;TODAY()),"🔴 PRAZO VENCIDO",IF(AND(OR(N3478="PENDENTE",N3478="PARCIAL"),D3478&lt;TODAY()-1),"🔴 EMBARQUE ATRASADO",IF(AND(N3478="REALIZADO",M3478="PENDENTE"),"🟡 EMBARCADO SEM FATURAR",IF(AND(P3478&lt;&gt;"",S3478="",OR(Q3478="",R3478="")),"🟡 PENDÊNCIA SEM RESPONSÁVEL/PRAZO",IF(AND(ISNUMBER(R3478),R3478=TODAY()),"🟡 VENCE HOJE",IF(AND(P3478&lt;&gt;"",S3478=""),"🟡 PENDÊNCIA ABERTA",IF(AND(N(J3478)&gt;0,N(K3478)&lt;J3478),"🟡 FALTA EXECUTAR",IF(OR(M3478="PENDENTE",M3478="PARCIAL"),"🟡 FATURAMENTO PENDENTE","🟡 EMBARQUE PENDENTE")))))))))))</f>
        <v/>
      </c>
      <c r="D3478" s="4" t="n"/>
      <c r="E3478" s="5" t="n"/>
      <c r="F3478" s="5" t="n"/>
      <c r="G3478" s="5" t="n"/>
      <c r="H3478" s="5" t="n"/>
      <c r="I3478" s="5" t="n"/>
      <c r="J3478" s="6" t="n"/>
      <c r="K3478" s="6" t="n"/>
      <c r="L3478" s="7">
        <f>IF(OR(D3478="",N(J3478)=0),"",MIN(1,N(K3478)/J3478))</f>
        <v/>
      </c>
      <c r="M3478" s="5" t="n"/>
      <c r="N3478" s="5" t="n"/>
      <c r="O3478" s="5" t="n"/>
      <c r="P3478" s="5" t="n"/>
      <c r="Q3478" s="5" t="n"/>
      <c r="R3478" s="4" t="n"/>
      <c r="S3478" s="4" t="n"/>
      <c r="T3478" s="5" t="n"/>
      <c r="U3478" s="8">
        <f>IF(AND(V3478=1,D3478&lt;&gt;""),IF(D3478&gt;=corte,TODAY()-D3478,""),"")</f>
        <v/>
      </c>
      <c r="V3478" s="8">
        <f>IF(D3478="",0,IF(OR(AND(P3478&lt;&gt;"",S3478=""),AND(N(J3478)&gt;0,N(K3478)&lt;J3478),OR(M3478="PENDENTE",M3478="PARCIAL"),OR(N3478="PENDENTE",N3478="PARCIAL")),1,0))</f>
        <v/>
      </c>
      <c r="W3478" s="8">
        <f>IF(AND(V3478=1,D3478&lt;&gt;""),IF(D3478&gt;=corte,(B3478="CRÍTICO")*1E9+(100000-D3478)*10000+10000-ROW(),""),"")</f>
        <v/>
      </c>
      <c r="X3478" s="8">
        <f>IF(AND(V3478=1,D3478=pas_data,E3478=pas_turno),10000-ROW(),"")</f>
        <v/>
      </c>
    </row>
    <row r="3479">
      <c r="A3479" s="3">
        <f>IF(D3479="","","TT-"&amp;TEXT(ROW()-1,"00000"))</f>
        <v/>
      </c>
      <c r="B3479" s="3">
        <f>IF(D3479="","",IF(V3479=0,"CONCLUÍDO",IF(D3479&lt;corte,"HISTÓRICO",IF(OR(AND(ISNUMBER(R3479),R3479&lt;TODAY()),AND(OR(N3479="PENDENTE",N3479="PARCIAL"),D3479&lt;TODAY()-1)),"CRÍTICO",IF(OR(AND(P3479&lt;&gt;"",S3479=""),AND(N3479="REALIZADO",M3479="PENDENTE"),AND(ISNUMBER(R3479),R3479=TODAY())),"ATENÇÃO",IF(N(K3479)=0,"PENDENTE","EM ANDAMENTO"))))))</f>
        <v/>
      </c>
      <c r="C3479" s="3">
        <f>IF(D3479="","",IF(V3479=0,"🟢 OK",IF(D3479&lt;corte,"⚪ HISTÓRICO (sem baixa)",IF(AND(ISNUMBER(R3479),R3479&lt;TODAY()),"🔴 PRAZO VENCIDO",IF(AND(OR(N3479="PENDENTE",N3479="PARCIAL"),D3479&lt;TODAY()-1),"🔴 EMBARQUE ATRASADO",IF(AND(N3479="REALIZADO",M3479="PENDENTE"),"🟡 EMBARCADO SEM FATURAR",IF(AND(P3479&lt;&gt;"",S3479="",OR(Q3479="",R3479="")),"🟡 PENDÊNCIA SEM RESPONSÁVEL/PRAZO",IF(AND(ISNUMBER(R3479),R3479=TODAY()),"🟡 VENCE HOJE",IF(AND(P3479&lt;&gt;"",S3479=""),"🟡 PENDÊNCIA ABERTA",IF(AND(N(J3479)&gt;0,N(K3479)&lt;J3479),"🟡 FALTA EXECUTAR",IF(OR(M3479="PENDENTE",M3479="PARCIAL"),"🟡 FATURAMENTO PENDENTE","🟡 EMBARQUE PENDENTE")))))))))))</f>
        <v/>
      </c>
      <c r="D3479" s="4" t="n"/>
      <c r="E3479" s="5" t="n"/>
      <c r="F3479" s="5" t="n"/>
      <c r="G3479" s="5" t="n"/>
      <c r="H3479" s="5" t="n"/>
      <c r="I3479" s="5" t="n"/>
      <c r="J3479" s="6" t="n"/>
      <c r="K3479" s="6" t="n"/>
      <c r="L3479" s="7">
        <f>IF(OR(D3479="",N(J3479)=0),"",MIN(1,N(K3479)/J3479))</f>
        <v/>
      </c>
      <c r="M3479" s="5" t="n"/>
      <c r="N3479" s="5" t="n"/>
      <c r="O3479" s="5" t="n"/>
      <c r="P3479" s="5" t="n"/>
      <c r="Q3479" s="5" t="n"/>
      <c r="R3479" s="4" t="n"/>
      <c r="S3479" s="4" t="n"/>
      <c r="T3479" s="5" t="n"/>
      <c r="U3479" s="8">
        <f>IF(AND(V3479=1,D3479&lt;&gt;""),IF(D3479&gt;=corte,TODAY()-D3479,""),"")</f>
        <v/>
      </c>
      <c r="V3479" s="8">
        <f>IF(D3479="",0,IF(OR(AND(P3479&lt;&gt;"",S3479=""),AND(N(J3479)&gt;0,N(K3479)&lt;J3479),OR(M3479="PENDENTE",M3479="PARCIAL"),OR(N3479="PENDENTE",N3479="PARCIAL")),1,0))</f>
        <v/>
      </c>
      <c r="W3479" s="8">
        <f>IF(AND(V3479=1,D3479&lt;&gt;""),IF(D3479&gt;=corte,(B3479="CRÍTICO")*1E9+(100000-D3479)*10000+10000-ROW(),""),"")</f>
        <v/>
      </c>
      <c r="X3479" s="8">
        <f>IF(AND(V3479=1,D3479=pas_data,E3479=pas_turno),10000-ROW(),"")</f>
        <v/>
      </c>
    </row>
    <row r="3480">
      <c r="A3480" s="3">
        <f>IF(D3480="","","TT-"&amp;TEXT(ROW()-1,"00000"))</f>
        <v/>
      </c>
      <c r="B3480" s="3">
        <f>IF(D3480="","",IF(V3480=0,"CONCLUÍDO",IF(D3480&lt;corte,"HISTÓRICO",IF(OR(AND(ISNUMBER(R3480),R3480&lt;TODAY()),AND(OR(N3480="PENDENTE",N3480="PARCIAL"),D3480&lt;TODAY()-1)),"CRÍTICO",IF(OR(AND(P3480&lt;&gt;"",S3480=""),AND(N3480="REALIZADO",M3480="PENDENTE"),AND(ISNUMBER(R3480),R3480=TODAY())),"ATENÇÃO",IF(N(K3480)=0,"PENDENTE","EM ANDAMENTO"))))))</f>
        <v/>
      </c>
      <c r="C3480" s="3">
        <f>IF(D3480="","",IF(V3480=0,"🟢 OK",IF(D3480&lt;corte,"⚪ HISTÓRICO (sem baixa)",IF(AND(ISNUMBER(R3480),R3480&lt;TODAY()),"🔴 PRAZO VENCIDO",IF(AND(OR(N3480="PENDENTE",N3480="PARCIAL"),D3480&lt;TODAY()-1),"🔴 EMBARQUE ATRASADO",IF(AND(N3480="REALIZADO",M3480="PENDENTE"),"🟡 EMBARCADO SEM FATURAR",IF(AND(P3480&lt;&gt;"",S3480="",OR(Q3480="",R3480="")),"🟡 PENDÊNCIA SEM RESPONSÁVEL/PRAZO",IF(AND(ISNUMBER(R3480),R3480=TODAY()),"🟡 VENCE HOJE",IF(AND(P3480&lt;&gt;"",S3480=""),"🟡 PENDÊNCIA ABERTA",IF(AND(N(J3480)&gt;0,N(K3480)&lt;J3480),"🟡 FALTA EXECUTAR",IF(OR(M3480="PENDENTE",M3480="PARCIAL"),"🟡 FATURAMENTO PENDENTE","🟡 EMBARQUE PENDENTE")))))))))))</f>
        <v/>
      </c>
      <c r="D3480" s="4" t="n"/>
      <c r="E3480" s="5" t="n"/>
      <c r="F3480" s="5" t="n"/>
      <c r="G3480" s="5" t="n"/>
      <c r="H3480" s="5" t="n"/>
      <c r="I3480" s="5" t="n"/>
      <c r="J3480" s="6" t="n"/>
      <c r="K3480" s="6" t="n"/>
      <c r="L3480" s="7">
        <f>IF(OR(D3480="",N(J3480)=0),"",MIN(1,N(K3480)/J3480))</f>
        <v/>
      </c>
      <c r="M3480" s="5" t="n"/>
      <c r="N3480" s="5" t="n"/>
      <c r="O3480" s="5" t="n"/>
      <c r="P3480" s="5" t="n"/>
      <c r="Q3480" s="5" t="n"/>
      <c r="R3480" s="4" t="n"/>
      <c r="S3480" s="4" t="n"/>
      <c r="T3480" s="5" t="n"/>
      <c r="U3480" s="8">
        <f>IF(AND(V3480=1,D3480&lt;&gt;""),IF(D3480&gt;=corte,TODAY()-D3480,""),"")</f>
        <v/>
      </c>
      <c r="V3480" s="8">
        <f>IF(D3480="",0,IF(OR(AND(P3480&lt;&gt;"",S3480=""),AND(N(J3480)&gt;0,N(K3480)&lt;J3480),OR(M3480="PENDENTE",M3480="PARCIAL"),OR(N3480="PENDENTE",N3480="PARCIAL")),1,0))</f>
        <v/>
      </c>
      <c r="W3480" s="8">
        <f>IF(AND(V3480=1,D3480&lt;&gt;""),IF(D3480&gt;=corte,(B3480="CRÍTICO")*1E9+(100000-D3480)*10000+10000-ROW(),""),"")</f>
        <v/>
      </c>
      <c r="X3480" s="8">
        <f>IF(AND(V3480=1,D3480=pas_data,E3480=pas_turno),10000-ROW(),"")</f>
        <v/>
      </c>
    </row>
    <row r="3481">
      <c r="A3481" s="3">
        <f>IF(D3481="","","TT-"&amp;TEXT(ROW()-1,"00000"))</f>
        <v/>
      </c>
      <c r="B3481" s="3">
        <f>IF(D3481="","",IF(V3481=0,"CONCLUÍDO",IF(D3481&lt;corte,"HISTÓRICO",IF(OR(AND(ISNUMBER(R3481),R3481&lt;TODAY()),AND(OR(N3481="PENDENTE",N3481="PARCIAL"),D3481&lt;TODAY()-1)),"CRÍTICO",IF(OR(AND(P3481&lt;&gt;"",S3481=""),AND(N3481="REALIZADO",M3481="PENDENTE"),AND(ISNUMBER(R3481),R3481=TODAY())),"ATENÇÃO",IF(N(K3481)=0,"PENDENTE","EM ANDAMENTO"))))))</f>
        <v/>
      </c>
      <c r="C3481" s="3">
        <f>IF(D3481="","",IF(V3481=0,"🟢 OK",IF(D3481&lt;corte,"⚪ HISTÓRICO (sem baixa)",IF(AND(ISNUMBER(R3481),R3481&lt;TODAY()),"🔴 PRAZO VENCIDO",IF(AND(OR(N3481="PENDENTE",N3481="PARCIAL"),D3481&lt;TODAY()-1),"🔴 EMBARQUE ATRASADO",IF(AND(N3481="REALIZADO",M3481="PENDENTE"),"🟡 EMBARCADO SEM FATURAR",IF(AND(P3481&lt;&gt;"",S3481="",OR(Q3481="",R3481="")),"🟡 PENDÊNCIA SEM RESPONSÁVEL/PRAZO",IF(AND(ISNUMBER(R3481),R3481=TODAY()),"🟡 VENCE HOJE",IF(AND(P3481&lt;&gt;"",S3481=""),"🟡 PENDÊNCIA ABERTA",IF(AND(N(J3481)&gt;0,N(K3481)&lt;J3481),"🟡 FALTA EXECUTAR",IF(OR(M3481="PENDENTE",M3481="PARCIAL"),"🟡 FATURAMENTO PENDENTE","🟡 EMBARQUE PENDENTE")))))))))))</f>
        <v/>
      </c>
      <c r="D3481" s="4" t="n"/>
      <c r="E3481" s="5" t="n"/>
      <c r="F3481" s="5" t="n"/>
      <c r="G3481" s="5" t="n"/>
      <c r="H3481" s="5" t="n"/>
      <c r="I3481" s="5" t="n"/>
      <c r="J3481" s="6" t="n"/>
      <c r="K3481" s="6" t="n"/>
      <c r="L3481" s="7">
        <f>IF(OR(D3481="",N(J3481)=0),"",MIN(1,N(K3481)/J3481))</f>
        <v/>
      </c>
      <c r="M3481" s="5" t="n"/>
      <c r="N3481" s="5" t="n"/>
      <c r="O3481" s="5" t="n"/>
      <c r="P3481" s="5" t="n"/>
      <c r="Q3481" s="5" t="n"/>
      <c r="R3481" s="4" t="n"/>
      <c r="S3481" s="4" t="n"/>
      <c r="T3481" s="5" t="n"/>
      <c r="U3481" s="8">
        <f>IF(AND(V3481=1,D3481&lt;&gt;""),IF(D3481&gt;=corte,TODAY()-D3481,""),"")</f>
        <v/>
      </c>
      <c r="V3481" s="8">
        <f>IF(D3481="",0,IF(OR(AND(P3481&lt;&gt;"",S3481=""),AND(N(J3481)&gt;0,N(K3481)&lt;J3481),OR(M3481="PENDENTE",M3481="PARCIAL"),OR(N3481="PENDENTE",N3481="PARCIAL")),1,0))</f>
        <v/>
      </c>
      <c r="W3481" s="8">
        <f>IF(AND(V3481=1,D3481&lt;&gt;""),IF(D3481&gt;=corte,(B3481="CRÍTICO")*1E9+(100000-D3481)*10000+10000-ROW(),""),"")</f>
        <v/>
      </c>
      <c r="X3481" s="8">
        <f>IF(AND(V3481=1,D3481=pas_data,E3481=pas_turno),10000-ROW(),"")</f>
        <v/>
      </c>
    </row>
    <row r="3482">
      <c r="A3482" s="3">
        <f>IF(D3482="","","TT-"&amp;TEXT(ROW()-1,"00000"))</f>
        <v/>
      </c>
      <c r="B3482" s="3">
        <f>IF(D3482="","",IF(V3482=0,"CONCLUÍDO",IF(D3482&lt;corte,"HISTÓRICO",IF(OR(AND(ISNUMBER(R3482),R3482&lt;TODAY()),AND(OR(N3482="PENDENTE",N3482="PARCIAL"),D3482&lt;TODAY()-1)),"CRÍTICO",IF(OR(AND(P3482&lt;&gt;"",S3482=""),AND(N3482="REALIZADO",M3482="PENDENTE"),AND(ISNUMBER(R3482),R3482=TODAY())),"ATENÇÃO",IF(N(K3482)=0,"PENDENTE","EM ANDAMENTO"))))))</f>
        <v/>
      </c>
      <c r="C3482" s="3">
        <f>IF(D3482="","",IF(V3482=0,"🟢 OK",IF(D3482&lt;corte,"⚪ HISTÓRICO (sem baixa)",IF(AND(ISNUMBER(R3482),R3482&lt;TODAY()),"🔴 PRAZO VENCIDO",IF(AND(OR(N3482="PENDENTE",N3482="PARCIAL"),D3482&lt;TODAY()-1),"🔴 EMBARQUE ATRASADO",IF(AND(N3482="REALIZADO",M3482="PENDENTE"),"🟡 EMBARCADO SEM FATURAR",IF(AND(P3482&lt;&gt;"",S3482="",OR(Q3482="",R3482="")),"🟡 PENDÊNCIA SEM RESPONSÁVEL/PRAZO",IF(AND(ISNUMBER(R3482),R3482=TODAY()),"🟡 VENCE HOJE",IF(AND(P3482&lt;&gt;"",S3482=""),"🟡 PENDÊNCIA ABERTA",IF(AND(N(J3482)&gt;0,N(K3482)&lt;J3482),"🟡 FALTA EXECUTAR",IF(OR(M3482="PENDENTE",M3482="PARCIAL"),"🟡 FATURAMENTO PENDENTE","🟡 EMBARQUE PENDENTE")))))))))))</f>
        <v/>
      </c>
      <c r="D3482" s="4" t="n"/>
      <c r="E3482" s="5" t="n"/>
      <c r="F3482" s="5" t="n"/>
      <c r="G3482" s="5" t="n"/>
      <c r="H3482" s="5" t="n"/>
      <c r="I3482" s="5" t="n"/>
      <c r="J3482" s="6" t="n"/>
      <c r="K3482" s="6" t="n"/>
      <c r="L3482" s="7">
        <f>IF(OR(D3482="",N(J3482)=0),"",MIN(1,N(K3482)/J3482))</f>
        <v/>
      </c>
      <c r="M3482" s="5" t="n"/>
      <c r="N3482" s="5" t="n"/>
      <c r="O3482" s="5" t="n"/>
      <c r="P3482" s="5" t="n"/>
      <c r="Q3482" s="5" t="n"/>
      <c r="R3482" s="4" t="n"/>
      <c r="S3482" s="4" t="n"/>
      <c r="T3482" s="5" t="n"/>
      <c r="U3482" s="8">
        <f>IF(AND(V3482=1,D3482&lt;&gt;""),IF(D3482&gt;=corte,TODAY()-D3482,""),"")</f>
        <v/>
      </c>
      <c r="V3482" s="8">
        <f>IF(D3482="",0,IF(OR(AND(P3482&lt;&gt;"",S3482=""),AND(N(J3482)&gt;0,N(K3482)&lt;J3482),OR(M3482="PENDENTE",M3482="PARCIAL"),OR(N3482="PENDENTE",N3482="PARCIAL")),1,0))</f>
        <v/>
      </c>
      <c r="W3482" s="8">
        <f>IF(AND(V3482=1,D3482&lt;&gt;""),IF(D3482&gt;=corte,(B3482="CRÍTICO")*1E9+(100000-D3482)*10000+10000-ROW(),""),"")</f>
        <v/>
      </c>
      <c r="X3482" s="8">
        <f>IF(AND(V3482=1,D3482=pas_data,E3482=pas_turno),10000-ROW(),"")</f>
        <v/>
      </c>
    </row>
    <row r="3483">
      <c r="A3483" s="3">
        <f>IF(D3483="","","TT-"&amp;TEXT(ROW()-1,"00000"))</f>
        <v/>
      </c>
      <c r="B3483" s="3">
        <f>IF(D3483="","",IF(V3483=0,"CONCLUÍDO",IF(D3483&lt;corte,"HISTÓRICO",IF(OR(AND(ISNUMBER(R3483),R3483&lt;TODAY()),AND(OR(N3483="PENDENTE",N3483="PARCIAL"),D3483&lt;TODAY()-1)),"CRÍTICO",IF(OR(AND(P3483&lt;&gt;"",S3483=""),AND(N3483="REALIZADO",M3483="PENDENTE"),AND(ISNUMBER(R3483),R3483=TODAY())),"ATENÇÃO",IF(N(K3483)=0,"PENDENTE","EM ANDAMENTO"))))))</f>
        <v/>
      </c>
      <c r="C3483" s="3">
        <f>IF(D3483="","",IF(V3483=0,"🟢 OK",IF(D3483&lt;corte,"⚪ HISTÓRICO (sem baixa)",IF(AND(ISNUMBER(R3483),R3483&lt;TODAY()),"🔴 PRAZO VENCIDO",IF(AND(OR(N3483="PENDENTE",N3483="PARCIAL"),D3483&lt;TODAY()-1),"🔴 EMBARQUE ATRASADO",IF(AND(N3483="REALIZADO",M3483="PENDENTE"),"🟡 EMBARCADO SEM FATURAR",IF(AND(P3483&lt;&gt;"",S3483="",OR(Q3483="",R3483="")),"🟡 PENDÊNCIA SEM RESPONSÁVEL/PRAZO",IF(AND(ISNUMBER(R3483),R3483=TODAY()),"🟡 VENCE HOJE",IF(AND(P3483&lt;&gt;"",S3483=""),"🟡 PENDÊNCIA ABERTA",IF(AND(N(J3483)&gt;0,N(K3483)&lt;J3483),"🟡 FALTA EXECUTAR",IF(OR(M3483="PENDENTE",M3483="PARCIAL"),"🟡 FATURAMENTO PENDENTE","🟡 EMBARQUE PENDENTE")))))))))))</f>
        <v/>
      </c>
      <c r="D3483" s="4" t="n"/>
      <c r="E3483" s="5" t="n"/>
      <c r="F3483" s="5" t="n"/>
      <c r="G3483" s="5" t="n"/>
      <c r="H3483" s="5" t="n"/>
      <c r="I3483" s="5" t="n"/>
      <c r="J3483" s="6" t="n"/>
      <c r="K3483" s="6" t="n"/>
      <c r="L3483" s="7">
        <f>IF(OR(D3483="",N(J3483)=0),"",MIN(1,N(K3483)/J3483))</f>
        <v/>
      </c>
      <c r="M3483" s="5" t="n"/>
      <c r="N3483" s="5" t="n"/>
      <c r="O3483" s="5" t="n"/>
      <c r="P3483" s="5" t="n"/>
      <c r="Q3483" s="5" t="n"/>
      <c r="R3483" s="4" t="n"/>
      <c r="S3483" s="4" t="n"/>
      <c r="T3483" s="5" t="n"/>
      <c r="U3483" s="8">
        <f>IF(AND(V3483=1,D3483&lt;&gt;""),IF(D3483&gt;=corte,TODAY()-D3483,""),"")</f>
        <v/>
      </c>
      <c r="V3483" s="8">
        <f>IF(D3483="",0,IF(OR(AND(P3483&lt;&gt;"",S3483=""),AND(N(J3483)&gt;0,N(K3483)&lt;J3483),OR(M3483="PENDENTE",M3483="PARCIAL"),OR(N3483="PENDENTE",N3483="PARCIAL")),1,0))</f>
        <v/>
      </c>
      <c r="W3483" s="8">
        <f>IF(AND(V3483=1,D3483&lt;&gt;""),IF(D3483&gt;=corte,(B3483="CRÍTICO")*1E9+(100000-D3483)*10000+10000-ROW(),""),"")</f>
        <v/>
      </c>
      <c r="X3483" s="8">
        <f>IF(AND(V3483=1,D3483=pas_data,E3483=pas_turno),10000-ROW(),"")</f>
        <v/>
      </c>
    </row>
    <row r="3484">
      <c r="A3484" s="3">
        <f>IF(D3484="","","TT-"&amp;TEXT(ROW()-1,"00000"))</f>
        <v/>
      </c>
      <c r="B3484" s="3">
        <f>IF(D3484="","",IF(V3484=0,"CONCLUÍDO",IF(D3484&lt;corte,"HISTÓRICO",IF(OR(AND(ISNUMBER(R3484),R3484&lt;TODAY()),AND(OR(N3484="PENDENTE",N3484="PARCIAL"),D3484&lt;TODAY()-1)),"CRÍTICO",IF(OR(AND(P3484&lt;&gt;"",S3484=""),AND(N3484="REALIZADO",M3484="PENDENTE"),AND(ISNUMBER(R3484),R3484=TODAY())),"ATENÇÃO",IF(N(K3484)=0,"PENDENTE","EM ANDAMENTO"))))))</f>
        <v/>
      </c>
      <c r="C3484" s="3">
        <f>IF(D3484="","",IF(V3484=0,"🟢 OK",IF(D3484&lt;corte,"⚪ HISTÓRICO (sem baixa)",IF(AND(ISNUMBER(R3484),R3484&lt;TODAY()),"🔴 PRAZO VENCIDO",IF(AND(OR(N3484="PENDENTE",N3484="PARCIAL"),D3484&lt;TODAY()-1),"🔴 EMBARQUE ATRASADO",IF(AND(N3484="REALIZADO",M3484="PENDENTE"),"🟡 EMBARCADO SEM FATURAR",IF(AND(P3484&lt;&gt;"",S3484="",OR(Q3484="",R3484="")),"🟡 PENDÊNCIA SEM RESPONSÁVEL/PRAZO",IF(AND(ISNUMBER(R3484),R3484=TODAY()),"🟡 VENCE HOJE",IF(AND(P3484&lt;&gt;"",S3484=""),"🟡 PENDÊNCIA ABERTA",IF(AND(N(J3484)&gt;0,N(K3484)&lt;J3484),"🟡 FALTA EXECUTAR",IF(OR(M3484="PENDENTE",M3484="PARCIAL"),"🟡 FATURAMENTO PENDENTE","🟡 EMBARQUE PENDENTE")))))))))))</f>
        <v/>
      </c>
      <c r="D3484" s="4" t="n"/>
      <c r="E3484" s="5" t="n"/>
      <c r="F3484" s="5" t="n"/>
      <c r="G3484" s="5" t="n"/>
      <c r="H3484" s="5" t="n"/>
      <c r="I3484" s="5" t="n"/>
      <c r="J3484" s="6" t="n"/>
      <c r="K3484" s="6" t="n"/>
      <c r="L3484" s="7">
        <f>IF(OR(D3484="",N(J3484)=0),"",MIN(1,N(K3484)/J3484))</f>
        <v/>
      </c>
      <c r="M3484" s="5" t="n"/>
      <c r="N3484" s="5" t="n"/>
      <c r="O3484" s="5" t="n"/>
      <c r="P3484" s="5" t="n"/>
      <c r="Q3484" s="5" t="n"/>
      <c r="R3484" s="4" t="n"/>
      <c r="S3484" s="4" t="n"/>
      <c r="T3484" s="5" t="n"/>
      <c r="U3484" s="8">
        <f>IF(AND(V3484=1,D3484&lt;&gt;""),IF(D3484&gt;=corte,TODAY()-D3484,""),"")</f>
        <v/>
      </c>
      <c r="V3484" s="8">
        <f>IF(D3484="",0,IF(OR(AND(P3484&lt;&gt;"",S3484=""),AND(N(J3484)&gt;0,N(K3484)&lt;J3484),OR(M3484="PENDENTE",M3484="PARCIAL"),OR(N3484="PENDENTE",N3484="PARCIAL")),1,0))</f>
        <v/>
      </c>
      <c r="W3484" s="8">
        <f>IF(AND(V3484=1,D3484&lt;&gt;""),IF(D3484&gt;=corte,(B3484="CRÍTICO")*1E9+(100000-D3484)*10000+10000-ROW(),""),"")</f>
        <v/>
      </c>
      <c r="X3484" s="8">
        <f>IF(AND(V3484=1,D3484=pas_data,E3484=pas_turno),10000-ROW(),"")</f>
        <v/>
      </c>
    </row>
    <row r="3485">
      <c r="A3485" s="3">
        <f>IF(D3485="","","TT-"&amp;TEXT(ROW()-1,"00000"))</f>
        <v/>
      </c>
      <c r="B3485" s="3">
        <f>IF(D3485="","",IF(V3485=0,"CONCLUÍDO",IF(D3485&lt;corte,"HISTÓRICO",IF(OR(AND(ISNUMBER(R3485),R3485&lt;TODAY()),AND(OR(N3485="PENDENTE",N3485="PARCIAL"),D3485&lt;TODAY()-1)),"CRÍTICO",IF(OR(AND(P3485&lt;&gt;"",S3485=""),AND(N3485="REALIZADO",M3485="PENDENTE"),AND(ISNUMBER(R3485),R3485=TODAY())),"ATENÇÃO",IF(N(K3485)=0,"PENDENTE","EM ANDAMENTO"))))))</f>
        <v/>
      </c>
      <c r="C3485" s="3">
        <f>IF(D3485="","",IF(V3485=0,"🟢 OK",IF(D3485&lt;corte,"⚪ HISTÓRICO (sem baixa)",IF(AND(ISNUMBER(R3485),R3485&lt;TODAY()),"🔴 PRAZO VENCIDO",IF(AND(OR(N3485="PENDENTE",N3485="PARCIAL"),D3485&lt;TODAY()-1),"🔴 EMBARQUE ATRASADO",IF(AND(N3485="REALIZADO",M3485="PENDENTE"),"🟡 EMBARCADO SEM FATURAR",IF(AND(P3485&lt;&gt;"",S3485="",OR(Q3485="",R3485="")),"🟡 PENDÊNCIA SEM RESPONSÁVEL/PRAZO",IF(AND(ISNUMBER(R3485),R3485=TODAY()),"🟡 VENCE HOJE",IF(AND(P3485&lt;&gt;"",S3485=""),"🟡 PENDÊNCIA ABERTA",IF(AND(N(J3485)&gt;0,N(K3485)&lt;J3485),"🟡 FALTA EXECUTAR",IF(OR(M3485="PENDENTE",M3485="PARCIAL"),"🟡 FATURAMENTO PENDENTE","🟡 EMBARQUE PENDENTE")))))))))))</f>
        <v/>
      </c>
      <c r="D3485" s="4" t="n"/>
      <c r="E3485" s="5" t="n"/>
      <c r="F3485" s="5" t="n"/>
      <c r="G3485" s="5" t="n"/>
      <c r="H3485" s="5" t="n"/>
      <c r="I3485" s="5" t="n"/>
      <c r="J3485" s="6" t="n"/>
      <c r="K3485" s="6" t="n"/>
      <c r="L3485" s="7">
        <f>IF(OR(D3485="",N(J3485)=0),"",MIN(1,N(K3485)/J3485))</f>
        <v/>
      </c>
      <c r="M3485" s="5" t="n"/>
      <c r="N3485" s="5" t="n"/>
      <c r="O3485" s="5" t="n"/>
      <c r="P3485" s="5" t="n"/>
      <c r="Q3485" s="5" t="n"/>
      <c r="R3485" s="4" t="n"/>
      <c r="S3485" s="4" t="n"/>
      <c r="T3485" s="5" t="n"/>
      <c r="U3485" s="8">
        <f>IF(AND(V3485=1,D3485&lt;&gt;""),IF(D3485&gt;=corte,TODAY()-D3485,""),"")</f>
        <v/>
      </c>
      <c r="V3485" s="8">
        <f>IF(D3485="",0,IF(OR(AND(P3485&lt;&gt;"",S3485=""),AND(N(J3485)&gt;0,N(K3485)&lt;J3485),OR(M3485="PENDENTE",M3485="PARCIAL"),OR(N3485="PENDENTE",N3485="PARCIAL")),1,0))</f>
        <v/>
      </c>
      <c r="W3485" s="8">
        <f>IF(AND(V3485=1,D3485&lt;&gt;""),IF(D3485&gt;=corte,(B3485="CRÍTICO")*1E9+(100000-D3485)*10000+10000-ROW(),""),"")</f>
        <v/>
      </c>
      <c r="X3485" s="8">
        <f>IF(AND(V3485=1,D3485=pas_data,E3485=pas_turno),10000-ROW(),"")</f>
        <v/>
      </c>
    </row>
    <row r="3486">
      <c r="A3486" s="3">
        <f>IF(D3486="","","TT-"&amp;TEXT(ROW()-1,"00000"))</f>
        <v/>
      </c>
      <c r="B3486" s="3">
        <f>IF(D3486="","",IF(V3486=0,"CONCLUÍDO",IF(D3486&lt;corte,"HISTÓRICO",IF(OR(AND(ISNUMBER(R3486),R3486&lt;TODAY()),AND(OR(N3486="PENDENTE",N3486="PARCIAL"),D3486&lt;TODAY()-1)),"CRÍTICO",IF(OR(AND(P3486&lt;&gt;"",S3486=""),AND(N3486="REALIZADO",M3486="PENDENTE"),AND(ISNUMBER(R3486),R3486=TODAY())),"ATENÇÃO",IF(N(K3486)=0,"PENDENTE","EM ANDAMENTO"))))))</f>
        <v/>
      </c>
      <c r="C3486" s="3">
        <f>IF(D3486="","",IF(V3486=0,"🟢 OK",IF(D3486&lt;corte,"⚪ HISTÓRICO (sem baixa)",IF(AND(ISNUMBER(R3486),R3486&lt;TODAY()),"🔴 PRAZO VENCIDO",IF(AND(OR(N3486="PENDENTE",N3486="PARCIAL"),D3486&lt;TODAY()-1),"🔴 EMBARQUE ATRASADO",IF(AND(N3486="REALIZADO",M3486="PENDENTE"),"🟡 EMBARCADO SEM FATURAR",IF(AND(P3486&lt;&gt;"",S3486="",OR(Q3486="",R3486="")),"🟡 PENDÊNCIA SEM RESPONSÁVEL/PRAZO",IF(AND(ISNUMBER(R3486),R3486=TODAY()),"🟡 VENCE HOJE",IF(AND(P3486&lt;&gt;"",S3486=""),"🟡 PENDÊNCIA ABERTA",IF(AND(N(J3486)&gt;0,N(K3486)&lt;J3486),"🟡 FALTA EXECUTAR",IF(OR(M3486="PENDENTE",M3486="PARCIAL"),"🟡 FATURAMENTO PENDENTE","🟡 EMBARQUE PENDENTE")))))))))))</f>
        <v/>
      </c>
      <c r="D3486" s="4" t="n"/>
      <c r="E3486" s="5" t="n"/>
      <c r="F3486" s="5" t="n"/>
      <c r="G3486" s="5" t="n"/>
      <c r="H3486" s="5" t="n"/>
      <c r="I3486" s="5" t="n"/>
      <c r="J3486" s="6" t="n"/>
      <c r="K3486" s="6" t="n"/>
      <c r="L3486" s="7">
        <f>IF(OR(D3486="",N(J3486)=0),"",MIN(1,N(K3486)/J3486))</f>
        <v/>
      </c>
      <c r="M3486" s="5" t="n"/>
      <c r="N3486" s="5" t="n"/>
      <c r="O3486" s="5" t="n"/>
      <c r="P3486" s="5" t="n"/>
      <c r="Q3486" s="5" t="n"/>
      <c r="R3486" s="4" t="n"/>
      <c r="S3486" s="4" t="n"/>
      <c r="T3486" s="5" t="n"/>
      <c r="U3486" s="8">
        <f>IF(AND(V3486=1,D3486&lt;&gt;""),IF(D3486&gt;=corte,TODAY()-D3486,""),"")</f>
        <v/>
      </c>
      <c r="V3486" s="8">
        <f>IF(D3486="",0,IF(OR(AND(P3486&lt;&gt;"",S3486=""),AND(N(J3486)&gt;0,N(K3486)&lt;J3486),OR(M3486="PENDENTE",M3486="PARCIAL"),OR(N3486="PENDENTE",N3486="PARCIAL")),1,0))</f>
        <v/>
      </c>
      <c r="W3486" s="8">
        <f>IF(AND(V3486=1,D3486&lt;&gt;""),IF(D3486&gt;=corte,(B3486="CRÍTICO")*1E9+(100000-D3486)*10000+10000-ROW(),""),"")</f>
        <v/>
      </c>
      <c r="X3486" s="8">
        <f>IF(AND(V3486=1,D3486=pas_data,E3486=pas_turno),10000-ROW(),"")</f>
        <v/>
      </c>
    </row>
    <row r="3487">
      <c r="A3487" s="3">
        <f>IF(D3487="","","TT-"&amp;TEXT(ROW()-1,"00000"))</f>
        <v/>
      </c>
      <c r="B3487" s="3">
        <f>IF(D3487="","",IF(V3487=0,"CONCLUÍDO",IF(D3487&lt;corte,"HISTÓRICO",IF(OR(AND(ISNUMBER(R3487),R3487&lt;TODAY()),AND(OR(N3487="PENDENTE",N3487="PARCIAL"),D3487&lt;TODAY()-1)),"CRÍTICO",IF(OR(AND(P3487&lt;&gt;"",S3487=""),AND(N3487="REALIZADO",M3487="PENDENTE"),AND(ISNUMBER(R3487),R3487=TODAY())),"ATENÇÃO",IF(N(K3487)=0,"PENDENTE","EM ANDAMENTO"))))))</f>
        <v/>
      </c>
      <c r="C3487" s="3">
        <f>IF(D3487="","",IF(V3487=0,"🟢 OK",IF(D3487&lt;corte,"⚪ HISTÓRICO (sem baixa)",IF(AND(ISNUMBER(R3487),R3487&lt;TODAY()),"🔴 PRAZO VENCIDO",IF(AND(OR(N3487="PENDENTE",N3487="PARCIAL"),D3487&lt;TODAY()-1),"🔴 EMBARQUE ATRASADO",IF(AND(N3487="REALIZADO",M3487="PENDENTE"),"🟡 EMBARCADO SEM FATURAR",IF(AND(P3487&lt;&gt;"",S3487="",OR(Q3487="",R3487="")),"🟡 PENDÊNCIA SEM RESPONSÁVEL/PRAZO",IF(AND(ISNUMBER(R3487),R3487=TODAY()),"🟡 VENCE HOJE",IF(AND(P3487&lt;&gt;"",S3487=""),"🟡 PENDÊNCIA ABERTA",IF(AND(N(J3487)&gt;0,N(K3487)&lt;J3487),"🟡 FALTA EXECUTAR",IF(OR(M3487="PENDENTE",M3487="PARCIAL"),"🟡 FATURAMENTO PENDENTE","🟡 EMBARQUE PENDENTE")))))))))))</f>
        <v/>
      </c>
      <c r="D3487" s="4" t="n"/>
      <c r="E3487" s="5" t="n"/>
      <c r="F3487" s="5" t="n"/>
      <c r="G3487" s="5" t="n"/>
      <c r="H3487" s="5" t="n"/>
      <c r="I3487" s="5" t="n"/>
      <c r="J3487" s="6" t="n"/>
      <c r="K3487" s="6" t="n"/>
      <c r="L3487" s="7">
        <f>IF(OR(D3487="",N(J3487)=0),"",MIN(1,N(K3487)/J3487))</f>
        <v/>
      </c>
      <c r="M3487" s="5" t="n"/>
      <c r="N3487" s="5" t="n"/>
      <c r="O3487" s="5" t="n"/>
      <c r="P3487" s="5" t="n"/>
      <c r="Q3487" s="5" t="n"/>
      <c r="R3487" s="4" t="n"/>
      <c r="S3487" s="4" t="n"/>
      <c r="T3487" s="5" t="n"/>
      <c r="U3487" s="8">
        <f>IF(AND(V3487=1,D3487&lt;&gt;""),IF(D3487&gt;=corte,TODAY()-D3487,""),"")</f>
        <v/>
      </c>
      <c r="V3487" s="8">
        <f>IF(D3487="",0,IF(OR(AND(P3487&lt;&gt;"",S3487=""),AND(N(J3487)&gt;0,N(K3487)&lt;J3487),OR(M3487="PENDENTE",M3487="PARCIAL"),OR(N3487="PENDENTE",N3487="PARCIAL")),1,0))</f>
        <v/>
      </c>
      <c r="W3487" s="8">
        <f>IF(AND(V3487=1,D3487&lt;&gt;""),IF(D3487&gt;=corte,(B3487="CRÍTICO")*1E9+(100000-D3487)*10000+10000-ROW(),""),"")</f>
        <v/>
      </c>
      <c r="X3487" s="8">
        <f>IF(AND(V3487=1,D3487=pas_data,E3487=pas_turno),10000-ROW(),"")</f>
        <v/>
      </c>
    </row>
    <row r="3488">
      <c r="A3488" s="3">
        <f>IF(D3488="","","TT-"&amp;TEXT(ROW()-1,"00000"))</f>
        <v/>
      </c>
      <c r="B3488" s="3">
        <f>IF(D3488="","",IF(V3488=0,"CONCLUÍDO",IF(D3488&lt;corte,"HISTÓRICO",IF(OR(AND(ISNUMBER(R3488),R3488&lt;TODAY()),AND(OR(N3488="PENDENTE",N3488="PARCIAL"),D3488&lt;TODAY()-1)),"CRÍTICO",IF(OR(AND(P3488&lt;&gt;"",S3488=""),AND(N3488="REALIZADO",M3488="PENDENTE"),AND(ISNUMBER(R3488),R3488=TODAY())),"ATENÇÃO",IF(N(K3488)=0,"PENDENTE","EM ANDAMENTO"))))))</f>
        <v/>
      </c>
      <c r="C3488" s="3">
        <f>IF(D3488="","",IF(V3488=0,"🟢 OK",IF(D3488&lt;corte,"⚪ HISTÓRICO (sem baixa)",IF(AND(ISNUMBER(R3488),R3488&lt;TODAY()),"🔴 PRAZO VENCIDO",IF(AND(OR(N3488="PENDENTE",N3488="PARCIAL"),D3488&lt;TODAY()-1),"🔴 EMBARQUE ATRASADO",IF(AND(N3488="REALIZADO",M3488="PENDENTE"),"🟡 EMBARCADO SEM FATURAR",IF(AND(P3488&lt;&gt;"",S3488="",OR(Q3488="",R3488="")),"🟡 PENDÊNCIA SEM RESPONSÁVEL/PRAZO",IF(AND(ISNUMBER(R3488),R3488=TODAY()),"🟡 VENCE HOJE",IF(AND(P3488&lt;&gt;"",S3488=""),"🟡 PENDÊNCIA ABERTA",IF(AND(N(J3488)&gt;0,N(K3488)&lt;J3488),"🟡 FALTA EXECUTAR",IF(OR(M3488="PENDENTE",M3488="PARCIAL"),"🟡 FATURAMENTO PENDENTE","🟡 EMBARQUE PENDENTE")))))))))))</f>
        <v/>
      </c>
      <c r="D3488" s="4" t="n"/>
      <c r="E3488" s="5" t="n"/>
      <c r="F3488" s="5" t="n"/>
      <c r="G3488" s="5" t="n"/>
      <c r="H3488" s="5" t="n"/>
      <c r="I3488" s="5" t="n"/>
      <c r="J3488" s="6" t="n"/>
      <c r="K3488" s="6" t="n"/>
      <c r="L3488" s="7">
        <f>IF(OR(D3488="",N(J3488)=0),"",MIN(1,N(K3488)/J3488))</f>
        <v/>
      </c>
      <c r="M3488" s="5" t="n"/>
      <c r="N3488" s="5" t="n"/>
      <c r="O3488" s="5" t="n"/>
      <c r="P3488" s="5" t="n"/>
      <c r="Q3488" s="5" t="n"/>
      <c r="R3488" s="4" t="n"/>
      <c r="S3488" s="4" t="n"/>
      <c r="T3488" s="5" t="n"/>
      <c r="U3488" s="8">
        <f>IF(AND(V3488=1,D3488&lt;&gt;""),IF(D3488&gt;=corte,TODAY()-D3488,""),"")</f>
        <v/>
      </c>
      <c r="V3488" s="8">
        <f>IF(D3488="",0,IF(OR(AND(P3488&lt;&gt;"",S3488=""),AND(N(J3488)&gt;0,N(K3488)&lt;J3488),OR(M3488="PENDENTE",M3488="PARCIAL"),OR(N3488="PENDENTE",N3488="PARCIAL")),1,0))</f>
        <v/>
      </c>
      <c r="W3488" s="8">
        <f>IF(AND(V3488=1,D3488&lt;&gt;""),IF(D3488&gt;=corte,(B3488="CRÍTICO")*1E9+(100000-D3488)*10000+10000-ROW(),""),"")</f>
        <v/>
      </c>
      <c r="X3488" s="8">
        <f>IF(AND(V3488=1,D3488=pas_data,E3488=pas_turno),10000-ROW(),"")</f>
        <v/>
      </c>
    </row>
    <row r="3489">
      <c r="A3489" s="3">
        <f>IF(D3489="","","TT-"&amp;TEXT(ROW()-1,"00000"))</f>
        <v/>
      </c>
      <c r="B3489" s="3">
        <f>IF(D3489="","",IF(V3489=0,"CONCLUÍDO",IF(D3489&lt;corte,"HISTÓRICO",IF(OR(AND(ISNUMBER(R3489),R3489&lt;TODAY()),AND(OR(N3489="PENDENTE",N3489="PARCIAL"),D3489&lt;TODAY()-1)),"CRÍTICO",IF(OR(AND(P3489&lt;&gt;"",S3489=""),AND(N3489="REALIZADO",M3489="PENDENTE"),AND(ISNUMBER(R3489),R3489=TODAY())),"ATENÇÃO",IF(N(K3489)=0,"PENDENTE","EM ANDAMENTO"))))))</f>
        <v/>
      </c>
      <c r="C3489" s="3">
        <f>IF(D3489="","",IF(V3489=0,"🟢 OK",IF(D3489&lt;corte,"⚪ HISTÓRICO (sem baixa)",IF(AND(ISNUMBER(R3489),R3489&lt;TODAY()),"🔴 PRAZO VENCIDO",IF(AND(OR(N3489="PENDENTE",N3489="PARCIAL"),D3489&lt;TODAY()-1),"🔴 EMBARQUE ATRASADO",IF(AND(N3489="REALIZADO",M3489="PENDENTE"),"🟡 EMBARCADO SEM FATURAR",IF(AND(P3489&lt;&gt;"",S3489="",OR(Q3489="",R3489="")),"🟡 PENDÊNCIA SEM RESPONSÁVEL/PRAZO",IF(AND(ISNUMBER(R3489),R3489=TODAY()),"🟡 VENCE HOJE",IF(AND(P3489&lt;&gt;"",S3489=""),"🟡 PENDÊNCIA ABERTA",IF(AND(N(J3489)&gt;0,N(K3489)&lt;J3489),"🟡 FALTA EXECUTAR",IF(OR(M3489="PENDENTE",M3489="PARCIAL"),"🟡 FATURAMENTO PENDENTE","🟡 EMBARQUE PENDENTE")))))))))))</f>
        <v/>
      </c>
      <c r="D3489" s="4" t="n"/>
      <c r="E3489" s="5" t="n"/>
      <c r="F3489" s="5" t="n"/>
      <c r="G3489" s="5" t="n"/>
      <c r="H3489" s="5" t="n"/>
      <c r="I3489" s="5" t="n"/>
      <c r="J3489" s="6" t="n"/>
      <c r="K3489" s="6" t="n"/>
      <c r="L3489" s="7">
        <f>IF(OR(D3489="",N(J3489)=0),"",MIN(1,N(K3489)/J3489))</f>
        <v/>
      </c>
      <c r="M3489" s="5" t="n"/>
      <c r="N3489" s="5" t="n"/>
      <c r="O3489" s="5" t="n"/>
      <c r="P3489" s="5" t="n"/>
      <c r="Q3489" s="5" t="n"/>
      <c r="R3489" s="4" t="n"/>
      <c r="S3489" s="4" t="n"/>
      <c r="T3489" s="5" t="n"/>
      <c r="U3489" s="8">
        <f>IF(AND(V3489=1,D3489&lt;&gt;""),IF(D3489&gt;=corte,TODAY()-D3489,""),"")</f>
        <v/>
      </c>
      <c r="V3489" s="8">
        <f>IF(D3489="",0,IF(OR(AND(P3489&lt;&gt;"",S3489=""),AND(N(J3489)&gt;0,N(K3489)&lt;J3489),OR(M3489="PENDENTE",M3489="PARCIAL"),OR(N3489="PENDENTE",N3489="PARCIAL")),1,0))</f>
        <v/>
      </c>
      <c r="W3489" s="8">
        <f>IF(AND(V3489=1,D3489&lt;&gt;""),IF(D3489&gt;=corte,(B3489="CRÍTICO")*1E9+(100000-D3489)*10000+10000-ROW(),""),"")</f>
        <v/>
      </c>
      <c r="X3489" s="8">
        <f>IF(AND(V3489=1,D3489=pas_data,E3489=pas_turno),10000-ROW(),"")</f>
        <v/>
      </c>
    </row>
    <row r="3490">
      <c r="A3490" s="3">
        <f>IF(D3490="","","TT-"&amp;TEXT(ROW()-1,"00000"))</f>
        <v/>
      </c>
      <c r="B3490" s="3">
        <f>IF(D3490="","",IF(V3490=0,"CONCLUÍDO",IF(D3490&lt;corte,"HISTÓRICO",IF(OR(AND(ISNUMBER(R3490),R3490&lt;TODAY()),AND(OR(N3490="PENDENTE",N3490="PARCIAL"),D3490&lt;TODAY()-1)),"CRÍTICO",IF(OR(AND(P3490&lt;&gt;"",S3490=""),AND(N3490="REALIZADO",M3490="PENDENTE"),AND(ISNUMBER(R3490),R3490=TODAY())),"ATENÇÃO",IF(N(K3490)=0,"PENDENTE","EM ANDAMENTO"))))))</f>
        <v/>
      </c>
      <c r="C3490" s="3">
        <f>IF(D3490="","",IF(V3490=0,"🟢 OK",IF(D3490&lt;corte,"⚪ HISTÓRICO (sem baixa)",IF(AND(ISNUMBER(R3490),R3490&lt;TODAY()),"🔴 PRAZO VENCIDO",IF(AND(OR(N3490="PENDENTE",N3490="PARCIAL"),D3490&lt;TODAY()-1),"🔴 EMBARQUE ATRASADO",IF(AND(N3490="REALIZADO",M3490="PENDENTE"),"🟡 EMBARCADO SEM FATURAR",IF(AND(P3490&lt;&gt;"",S3490="",OR(Q3490="",R3490="")),"🟡 PENDÊNCIA SEM RESPONSÁVEL/PRAZO",IF(AND(ISNUMBER(R3490),R3490=TODAY()),"🟡 VENCE HOJE",IF(AND(P3490&lt;&gt;"",S3490=""),"🟡 PENDÊNCIA ABERTA",IF(AND(N(J3490)&gt;0,N(K3490)&lt;J3490),"🟡 FALTA EXECUTAR",IF(OR(M3490="PENDENTE",M3490="PARCIAL"),"🟡 FATURAMENTO PENDENTE","🟡 EMBARQUE PENDENTE")))))))))))</f>
        <v/>
      </c>
      <c r="D3490" s="4" t="n"/>
      <c r="E3490" s="5" t="n"/>
      <c r="F3490" s="5" t="n"/>
      <c r="G3490" s="5" t="n"/>
      <c r="H3490" s="5" t="n"/>
      <c r="I3490" s="5" t="n"/>
      <c r="J3490" s="6" t="n"/>
      <c r="K3490" s="6" t="n"/>
      <c r="L3490" s="7">
        <f>IF(OR(D3490="",N(J3490)=0),"",MIN(1,N(K3490)/J3490))</f>
        <v/>
      </c>
      <c r="M3490" s="5" t="n"/>
      <c r="N3490" s="5" t="n"/>
      <c r="O3490" s="5" t="n"/>
      <c r="P3490" s="5" t="n"/>
      <c r="Q3490" s="5" t="n"/>
      <c r="R3490" s="4" t="n"/>
      <c r="S3490" s="4" t="n"/>
      <c r="T3490" s="5" t="n"/>
      <c r="U3490" s="8">
        <f>IF(AND(V3490=1,D3490&lt;&gt;""),IF(D3490&gt;=corte,TODAY()-D3490,""),"")</f>
        <v/>
      </c>
      <c r="V3490" s="8">
        <f>IF(D3490="",0,IF(OR(AND(P3490&lt;&gt;"",S3490=""),AND(N(J3490)&gt;0,N(K3490)&lt;J3490),OR(M3490="PENDENTE",M3490="PARCIAL"),OR(N3490="PENDENTE",N3490="PARCIAL")),1,0))</f>
        <v/>
      </c>
      <c r="W3490" s="8">
        <f>IF(AND(V3490=1,D3490&lt;&gt;""),IF(D3490&gt;=corte,(B3490="CRÍTICO")*1E9+(100000-D3490)*10000+10000-ROW(),""),"")</f>
        <v/>
      </c>
      <c r="X3490" s="8">
        <f>IF(AND(V3490=1,D3490=pas_data,E3490=pas_turno),10000-ROW(),"")</f>
        <v/>
      </c>
    </row>
    <row r="3491">
      <c r="A3491" s="3">
        <f>IF(D3491="","","TT-"&amp;TEXT(ROW()-1,"00000"))</f>
        <v/>
      </c>
      <c r="B3491" s="3">
        <f>IF(D3491="","",IF(V3491=0,"CONCLUÍDO",IF(D3491&lt;corte,"HISTÓRICO",IF(OR(AND(ISNUMBER(R3491),R3491&lt;TODAY()),AND(OR(N3491="PENDENTE",N3491="PARCIAL"),D3491&lt;TODAY()-1)),"CRÍTICO",IF(OR(AND(P3491&lt;&gt;"",S3491=""),AND(N3491="REALIZADO",M3491="PENDENTE"),AND(ISNUMBER(R3491),R3491=TODAY())),"ATENÇÃO",IF(N(K3491)=0,"PENDENTE","EM ANDAMENTO"))))))</f>
        <v/>
      </c>
      <c r="C3491" s="3">
        <f>IF(D3491="","",IF(V3491=0,"🟢 OK",IF(D3491&lt;corte,"⚪ HISTÓRICO (sem baixa)",IF(AND(ISNUMBER(R3491),R3491&lt;TODAY()),"🔴 PRAZO VENCIDO",IF(AND(OR(N3491="PENDENTE",N3491="PARCIAL"),D3491&lt;TODAY()-1),"🔴 EMBARQUE ATRASADO",IF(AND(N3491="REALIZADO",M3491="PENDENTE"),"🟡 EMBARCADO SEM FATURAR",IF(AND(P3491&lt;&gt;"",S3491="",OR(Q3491="",R3491="")),"🟡 PENDÊNCIA SEM RESPONSÁVEL/PRAZO",IF(AND(ISNUMBER(R3491),R3491=TODAY()),"🟡 VENCE HOJE",IF(AND(P3491&lt;&gt;"",S3491=""),"🟡 PENDÊNCIA ABERTA",IF(AND(N(J3491)&gt;0,N(K3491)&lt;J3491),"🟡 FALTA EXECUTAR",IF(OR(M3491="PENDENTE",M3491="PARCIAL"),"🟡 FATURAMENTO PENDENTE","🟡 EMBARQUE PENDENTE")))))))))))</f>
        <v/>
      </c>
      <c r="D3491" s="4" t="n"/>
      <c r="E3491" s="5" t="n"/>
      <c r="F3491" s="5" t="n"/>
      <c r="G3491" s="5" t="n"/>
      <c r="H3491" s="5" t="n"/>
      <c r="I3491" s="5" t="n"/>
      <c r="J3491" s="6" t="n"/>
      <c r="K3491" s="6" t="n"/>
      <c r="L3491" s="7">
        <f>IF(OR(D3491="",N(J3491)=0),"",MIN(1,N(K3491)/J3491))</f>
        <v/>
      </c>
      <c r="M3491" s="5" t="n"/>
      <c r="N3491" s="5" t="n"/>
      <c r="O3491" s="5" t="n"/>
      <c r="P3491" s="5" t="n"/>
      <c r="Q3491" s="5" t="n"/>
      <c r="R3491" s="4" t="n"/>
      <c r="S3491" s="4" t="n"/>
      <c r="T3491" s="5" t="n"/>
      <c r="U3491" s="8">
        <f>IF(AND(V3491=1,D3491&lt;&gt;""),IF(D3491&gt;=corte,TODAY()-D3491,""),"")</f>
        <v/>
      </c>
      <c r="V3491" s="8">
        <f>IF(D3491="",0,IF(OR(AND(P3491&lt;&gt;"",S3491=""),AND(N(J3491)&gt;0,N(K3491)&lt;J3491),OR(M3491="PENDENTE",M3491="PARCIAL"),OR(N3491="PENDENTE",N3491="PARCIAL")),1,0))</f>
        <v/>
      </c>
      <c r="W3491" s="8">
        <f>IF(AND(V3491=1,D3491&lt;&gt;""),IF(D3491&gt;=corte,(B3491="CRÍTICO")*1E9+(100000-D3491)*10000+10000-ROW(),""),"")</f>
        <v/>
      </c>
      <c r="X3491" s="8">
        <f>IF(AND(V3491=1,D3491=pas_data,E3491=pas_turno),10000-ROW(),"")</f>
        <v/>
      </c>
    </row>
    <row r="3492">
      <c r="A3492" s="3">
        <f>IF(D3492="","","TT-"&amp;TEXT(ROW()-1,"00000"))</f>
        <v/>
      </c>
      <c r="B3492" s="3">
        <f>IF(D3492="","",IF(V3492=0,"CONCLUÍDO",IF(D3492&lt;corte,"HISTÓRICO",IF(OR(AND(ISNUMBER(R3492),R3492&lt;TODAY()),AND(OR(N3492="PENDENTE",N3492="PARCIAL"),D3492&lt;TODAY()-1)),"CRÍTICO",IF(OR(AND(P3492&lt;&gt;"",S3492=""),AND(N3492="REALIZADO",M3492="PENDENTE"),AND(ISNUMBER(R3492),R3492=TODAY())),"ATENÇÃO",IF(N(K3492)=0,"PENDENTE","EM ANDAMENTO"))))))</f>
        <v/>
      </c>
      <c r="C3492" s="3">
        <f>IF(D3492="","",IF(V3492=0,"🟢 OK",IF(D3492&lt;corte,"⚪ HISTÓRICO (sem baixa)",IF(AND(ISNUMBER(R3492),R3492&lt;TODAY()),"🔴 PRAZO VENCIDO",IF(AND(OR(N3492="PENDENTE",N3492="PARCIAL"),D3492&lt;TODAY()-1),"🔴 EMBARQUE ATRASADO",IF(AND(N3492="REALIZADO",M3492="PENDENTE"),"🟡 EMBARCADO SEM FATURAR",IF(AND(P3492&lt;&gt;"",S3492="",OR(Q3492="",R3492="")),"🟡 PENDÊNCIA SEM RESPONSÁVEL/PRAZO",IF(AND(ISNUMBER(R3492),R3492=TODAY()),"🟡 VENCE HOJE",IF(AND(P3492&lt;&gt;"",S3492=""),"🟡 PENDÊNCIA ABERTA",IF(AND(N(J3492)&gt;0,N(K3492)&lt;J3492),"🟡 FALTA EXECUTAR",IF(OR(M3492="PENDENTE",M3492="PARCIAL"),"🟡 FATURAMENTO PENDENTE","🟡 EMBARQUE PENDENTE")))))))))))</f>
        <v/>
      </c>
      <c r="D3492" s="4" t="n"/>
      <c r="E3492" s="5" t="n"/>
      <c r="F3492" s="5" t="n"/>
      <c r="G3492" s="5" t="n"/>
      <c r="H3492" s="5" t="n"/>
      <c r="I3492" s="5" t="n"/>
      <c r="J3492" s="6" t="n"/>
      <c r="K3492" s="6" t="n"/>
      <c r="L3492" s="7">
        <f>IF(OR(D3492="",N(J3492)=0),"",MIN(1,N(K3492)/J3492))</f>
        <v/>
      </c>
      <c r="M3492" s="5" t="n"/>
      <c r="N3492" s="5" t="n"/>
      <c r="O3492" s="5" t="n"/>
      <c r="P3492" s="5" t="n"/>
      <c r="Q3492" s="5" t="n"/>
      <c r="R3492" s="4" t="n"/>
      <c r="S3492" s="4" t="n"/>
      <c r="T3492" s="5" t="n"/>
      <c r="U3492" s="8">
        <f>IF(AND(V3492=1,D3492&lt;&gt;""),IF(D3492&gt;=corte,TODAY()-D3492,""),"")</f>
        <v/>
      </c>
      <c r="V3492" s="8">
        <f>IF(D3492="",0,IF(OR(AND(P3492&lt;&gt;"",S3492=""),AND(N(J3492)&gt;0,N(K3492)&lt;J3492),OR(M3492="PENDENTE",M3492="PARCIAL"),OR(N3492="PENDENTE",N3492="PARCIAL")),1,0))</f>
        <v/>
      </c>
      <c r="W3492" s="8">
        <f>IF(AND(V3492=1,D3492&lt;&gt;""),IF(D3492&gt;=corte,(B3492="CRÍTICO")*1E9+(100000-D3492)*10000+10000-ROW(),""),"")</f>
        <v/>
      </c>
      <c r="X3492" s="8">
        <f>IF(AND(V3492=1,D3492=pas_data,E3492=pas_turno),10000-ROW(),"")</f>
        <v/>
      </c>
    </row>
    <row r="3493">
      <c r="A3493" s="3">
        <f>IF(D3493="","","TT-"&amp;TEXT(ROW()-1,"00000"))</f>
        <v/>
      </c>
      <c r="B3493" s="3">
        <f>IF(D3493="","",IF(V3493=0,"CONCLUÍDO",IF(D3493&lt;corte,"HISTÓRICO",IF(OR(AND(ISNUMBER(R3493),R3493&lt;TODAY()),AND(OR(N3493="PENDENTE",N3493="PARCIAL"),D3493&lt;TODAY()-1)),"CRÍTICO",IF(OR(AND(P3493&lt;&gt;"",S3493=""),AND(N3493="REALIZADO",M3493="PENDENTE"),AND(ISNUMBER(R3493),R3493=TODAY())),"ATENÇÃO",IF(N(K3493)=0,"PENDENTE","EM ANDAMENTO"))))))</f>
        <v/>
      </c>
      <c r="C3493" s="3">
        <f>IF(D3493="","",IF(V3493=0,"🟢 OK",IF(D3493&lt;corte,"⚪ HISTÓRICO (sem baixa)",IF(AND(ISNUMBER(R3493),R3493&lt;TODAY()),"🔴 PRAZO VENCIDO",IF(AND(OR(N3493="PENDENTE",N3493="PARCIAL"),D3493&lt;TODAY()-1),"🔴 EMBARQUE ATRASADO",IF(AND(N3493="REALIZADO",M3493="PENDENTE"),"🟡 EMBARCADO SEM FATURAR",IF(AND(P3493&lt;&gt;"",S3493="",OR(Q3493="",R3493="")),"🟡 PENDÊNCIA SEM RESPONSÁVEL/PRAZO",IF(AND(ISNUMBER(R3493),R3493=TODAY()),"🟡 VENCE HOJE",IF(AND(P3493&lt;&gt;"",S3493=""),"🟡 PENDÊNCIA ABERTA",IF(AND(N(J3493)&gt;0,N(K3493)&lt;J3493),"🟡 FALTA EXECUTAR",IF(OR(M3493="PENDENTE",M3493="PARCIAL"),"🟡 FATURAMENTO PENDENTE","🟡 EMBARQUE PENDENTE")))))))))))</f>
        <v/>
      </c>
      <c r="D3493" s="4" t="n"/>
      <c r="E3493" s="5" t="n"/>
      <c r="F3493" s="5" t="n"/>
      <c r="G3493" s="5" t="n"/>
      <c r="H3493" s="5" t="n"/>
      <c r="I3493" s="5" t="n"/>
      <c r="J3493" s="6" t="n"/>
      <c r="K3493" s="6" t="n"/>
      <c r="L3493" s="7">
        <f>IF(OR(D3493="",N(J3493)=0),"",MIN(1,N(K3493)/J3493))</f>
        <v/>
      </c>
      <c r="M3493" s="5" t="n"/>
      <c r="N3493" s="5" t="n"/>
      <c r="O3493" s="5" t="n"/>
      <c r="P3493" s="5" t="n"/>
      <c r="Q3493" s="5" t="n"/>
      <c r="R3493" s="4" t="n"/>
      <c r="S3493" s="4" t="n"/>
      <c r="T3493" s="5" t="n"/>
      <c r="U3493" s="8">
        <f>IF(AND(V3493=1,D3493&lt;&gt;""),IF(D3493&gt;=corte,TODAY()-D3493,""),"")</f>
        <v/>
      </c>
      <c r="V3493" s="8">
        <f>IF(D3493="",0,IF(OR(AND(P3493&lt;&gt;"",S3493=""),AND(N(J3493)&gt;0,N(K3493)&lt;J3493),OR(M3493="PENDENTE",M3493="PARCIAL"),OR(N3493="PENDENTE",N3493="PARCIAL")),1,0))</f>
        <v/>
      </c>
      <c r="W3493" s="8">
        <f>IF(AND(V3493=1,D3493&lt;&gt;""),IF(D3493&gt;=corte,(B3493="CRÍTICO")*1E9+(100000-D3493)*10000+10000-ROW(),""),"")</f>
        <v/>
      </c>
      <c r="X3493" s="8">
        <f>IF(AND(V3493=1,D3493=pas_data,E3493=pas_turno),10000-ROW(),"")</f>
        <v/>
      </c>
    </row>
    <row r="3494">
      <c r="A3494" s="3">
        <f>IF(D3494="","","TT-"&amp;TEXT(ROW()-1,"00000"))</f>
        <v/>
      </c>
      <c r="B3494" s="3">
        <f>IF(D3494="","",IF(V3494=0,"CONCLUÍDO",IF(D3494&lt;corte,"HISTÓRICO",IF(OR(AND(ISNUMBER(R3494),R3494&lt;TODAY()),AND(OR(N3494="PENDENTE",N3494="PARCIAL"),D3494&lt;TODAY()-1)),"CRÍTICO",IF(OR(AND(P3494&lt;&gt;"",S3494=""),AND(N3494="REALIZADO",M3494="PENDENTE"),AND(ISNUMBER(R3494),R3494=TODAY())),"ATENÇÃO",IF(N(K3494)=0,"PENDENTE","EM ANDAMENTO"))))))</f>
        <v/>
      </c>
      <c r="C3494" s="3">
        <f>IF(D3494="","",IF(V3494=0,"🟢 OK",IF(D3494&lt;corte,"⚪ HISTÓRICO (sem baixa)",IF(AND(ISNUMBER(R3494),R3494&lt;TODAY()),"🔴 PRAZO VENCIDO",IF(AND(OR(N3494="PENDENTE",N3494="PARCIAL"),D3494&lt;TODAY()-1),"🔴 EMBARQUE ATRASADO",IF(AND(N3494="REALIZADO",M3494="PENDENTE"),"🟡 EMBARCADO SEM FATURAR",IF(AND(P3494&lt;&gt;"",S3494="",OR(Q3494="",R3494="")),"🟡 PENDÊNCIA SEM RESPONSÁVEL/PRAZO",IF(AND(ISNUMBER(R3494),R3494=TODAY()),"🟡 VENCE HOJE",IF(AND(P3494&lt;&gt;"",S3494=""),"🟡 PENDÊNCIA ABERTA",IF(AND(N(J3494)&gt;0,N(K3494)&lt;J3494),"🟡 FALTA EXECUTAR",IF(OR(M3494="PENDENTE",M3494="PARCIAL"),"🟡 FATURAMENTO PENDENTE","🟡 EMBARQUE PENDENTE")))))))))))</f>
        <v/>
      </c>
      <c r="D3494" s="4" t="n"/>
      <c r="E3494" s="5" t="n"/>
      <c r="F3494" s="5" t="n"/>
      <c r="G3494" s="5" t="n"/>
      <c r="H3494" s="5" t="n"/>
      <c r="I3494" s="5" t="n"/>
      <c r="J3494" s="6" t="n"/>
      <c r="K3494" s="6" t="n"/>
      <c r="L3494" s="7">
        <f>IF(OR(D3494="",N(J3494)=0),"",MIN(1,N(K3494)/J3494))</f>
        <v/>
      </c>
      <c r="M3494" s="5" t="n"/>
      <c r="N3494" s="5" t="n"/>
      <c r="O3494" s="5" t="n"/>
      <c r="P3494" s="5" t="n"/>
      <c r="Q3494" s="5" t="n"/>
      <c r="R3494" s="4" t="n"/>
      <c r="S3494" s="4" t="n"/>
      <c r="T3494" s="5" t="n"/>
      <c r="U3494" s="8">
        <f>IF(AND(V3494=1,D3494&lt;&gt;""),IF(D3494&gt;=corte,TODAY()-D3494,""),"")</f>
        <v/>
      </c>
      <c r="V3494" s="8">
        <f>IF(D3494="",0,IF(OR(AND(P3494&lt;&gt;"",S3494=""),AND(N(J3494)&gt;0,N(K3494)&lt;J3494),OR(M3494="PENDENTE",M3494="PARCIAL"),OR(N3494="PENDENTE",N3494="PARCIAL")),1,0))</f>
        <v/>
      </c>
      <c r="W3494" s="8">
        <f>IF(AND(V3494=1,D3494&lt;&gt;""),IF(D3494&gt;=corte,(B3494="CRÍTICO")*1E9+(100000-D3494)*10000+10000-ROW(),""),"")</f>
        <v/>
      </c>
      <c r="X3494" s="8">
        <f>IF(AND(V3494=1,D3494=pas_data,E3494=pas_turno),10000-ROW(),"")</f>
        <v/>
      </c>
    </row>
    <row r="3495">
      <c r="A3495" s="3">
        <f>IF(D3495="","","TT-"&amp;TEXT(ROW()-1,"00000"))</f>
        <v/>
      </c>
      <c r="B3495" s="3">
        <f>IF(D3495="","",IF(V3495=0,"CONCLUÍDO",IF(D3495&lt;corte,"HISTÓRICO",IF(OR(AND(ISNUMBER(R3495),R3495&lt;TODAY()),AND(OR(N3495="PENDENTE",N3495="PARCIAL"),D3495&lt;TODAY()-1)),"CRÍTICO",IF(OR(AND(P3495&lt;&gt;"",S3495=""),AND(N3495="REALIZADO",M3495="PENDENTE"),AND(ISNUMBER(R3495),R3495=TODAY())),"ATENÇÃO",IF(N(K3495)=0,"PENDENTE","EM ANDAMENTO"))))))</f>
        <v/>
      </c>
      <c r="C3495" s="3">
        <f>IF(D3495="","",IF(V3495=0,"🟢 OK",IF(D3495&lt;corte,"⚪ HISTÓRICO (sem baixa)",IF(AND(ISNUMBER(R3495),R3495&lt;TODAY()),"🔴 PRAZO VENCIDO",IF(AND(OR(N3495="PENDENTE",N3495="PARCIAL"),D3495&lt;TODAY()-1),"🔴 EMBARQUE ATRASADO",IF(AND(N3495="REALIZADO",M3495="PENDENTE"),"🟡 EMBARCADO SEM FATURAR",IF(AND(P3495&lt;&gt;"",S3495="",OR(Q3495="",R3495="")),"🟡 PENDÊNCIA SEM RESPONSÁVEL/PRAZO",IF(AND(ISNUMBER(R3495),R3495=TODAY()),"🟡 VENCE HOJE",IF(AND(P3495&lt;&gt;"",S3495=""),"🟡 PENDÊNCIA ABERTA",IF(AND(N(J3495)&gt;0,N(K3495)&lt;J3495),"🟡 FALTA EXECUTAR",IF(OR(M3495="PENDENTE",M3495="PARCIAL"),"🟡 FATURAMENTO PENDENTE","🟡 EMBARQUE PENDENTE")))))))))))</f>
        <v/>
      </c>
      <c r="D3495" s="4" t="n"/>
      <c r="E3495" s="5" t="n"/>
      <c r="F3495" s="5" t="n"/>
      <c r="G3495" s="5" t="n"/>
      <c r="H3495" s="5" t="n"/>
      <c r="I3495" s="5" t="n"/>
      <c r="J3495" s="6" t="n"/>
      <c r="K3495" s="6" t="n"/>
      <c r="L3495" s="7">
        <f>IF(OR(D3495="",N(J3495)=0),"",MIN(1,N(K3495)/J3495))</f>
        <v/>
      </c>
      <c r="M3495" s="5" t="n"/>
      <c r="N3495" s="5" t="n"/>
      <c r="O3495" s="5" t="n"/>
      <c r="P3495" s="5" t="n"/>
      <c r="Q3495" s="5" t="n"/>
      <c r="R3495" s="4" t="n"/>
      <c r="S3495" s="4" t="n"/>
      <c r="T3495" s="5" t="n"/>
      <c r="U3495" s="8">
        <f>IF(AND(V3495=1,D3495&lt;&gt;""),IF(D3495&gt;=corte,TODAY()-D3495,""),"")</f>
        <v/>
      </c>
      <c r="V3495" s="8">
        <f>IF(D3495="",0,IF(OR(AND(P3495&lt;&gt;"",S3495=""),AND(N(J3495)&gt;0,N(K3495)&lt;J3495),OR(M3495="PENDENTE",M3495="PARCIAL"),OR(N3495="PENDENTE",N3495="PARCIAL")),1,0))</f>
        <v/>
      </c>
      <c r="W3495" s="8">
        <f>IF(AND(V3495=1,D3495&lt;&gt;""),IF(D3495&gt;=corte,(B3495="CRÍTICO")*1E9+(100000-D3495)*10000+10000-ROW(),""),"")</f>
        <v/>
      </c>
      <c r="X3495" s="8">
        <f>IF(AND(V3495=1,D3495=pas_data,E3495=pas_turno),10000-ROW(),"")</f>
        <v/>
      </c>
    </row>
    <row r="3496">
      <c r="A3496" s="3">
        <f>IF(D3496="","","TT-"&amp;TEXT(ROW()-1,"00000"))</f>
        <v/>
      </c>
      <c r="B3496" s="3">
        <f>IF(D3496="","",IF(V3496=0,"CONCLUÍDO",IF(D3496&lt;corte,"HISTÓRICO",IF(OR(AND(ISNUMBER(R3496),R3496&lt;TODAY()),AND(OR(N3496="PENDENTE",N3496="PARCIAL"),D3496&lt;TODAY()-1)),"CRÍTICO",IF(OR(AND(P3496&lt;&gt;"",S3496=""),AND(N3496="REALIZADO",M3496="PENDENTE"),AND(ISNUMBER(R3496),R3496=TODAY())),"ATENÇÃO",IF(N(K3496)=0,"PENDENTE","EM ANDAMENTO"))))))</f>
        <v/>
      </c>
      <c r="C3496" s="3">
        <f>IF(D3496="","",IF(V3496=0,"🟢 OK",IF(D3496&lt;corte,"⚪ HISTÓRICO (sem baixa)",IF(AND(ISNUMBER(R3496),R3496&lt;TODAY()),"🔴 PRAZO VENCIDO",IF(AND(OR(N3496="PENDENTE",N3496="PARCIAL"),D3496&lt;TODAY()-1),"🔴 EMBARQUE ATRASADO",IF(AND(N3496="REALIZADO",M3496="PENDENTE"),"🟡 EMBARCADO SEM FATURAR",IF(AND(P3496&lt;&gt;"",S3496="",OR(Q3496="",R3496="")),"🟡 PENDÊNCIA SEM RESPONSÁVEL/PRAZO",IF(AND(ISNUMBER(R3496),R3496=TODAY()),"🟡 VENCE HOJE",IF(AND(P3496&lt;&gt;"",S3496=""),"🟡 PENDÊNCIA ABERTA",IF(AND(N(J3496)&gt;0,N(K3496)&lt;J3496),"🟡 FALTA EXECUTAR",IF(OR(M3496="PENDENTE",M3496="PARCIAL"),"🟡 FATURAMENTO PENDENTE","🟡 EMBARQUE PENDENTE")))))))))))</f>
        <v/>
      </c>
      <c r="D3496" s="4" t="n"/>
      <c r="E3496" s="5" t="n"/>
      <c r="F3496" s="5" t="n"/>
      <c r="G3496" s="5" t="n"/>
      <c r="H3496" s="5" t="n"/>
      <c r="I3496" s="5" t="n"/>
      <c r="J3496" s="6" t="n"/>
      <c r="K3496" s="6" t="n"/>
      <c r="L3496" s="7">
        <f>IF(OR(D3496="",N(J3496)=0),"",MIN(1,N(K3496)/J3496))</f>
        <v/>
      </c>
      <c r="M3496" s="5" t="n"/>
      <c r="N3496" s="5" t="n"/>
      <c r="O3496" s="5" t="n"/>
      <c r="P3496" s="5" t="n"/>
      <c r="Q3496" s="5" t="n"/>
      <c r="R3496" s="4" t="n"/>
      <c r="S3496" s="4" t="n"/>
      <c r="T3496" s="5" t="n"/>
      <c r="U3496" s="8">
        <f>IF(AND(V3496=1,D3496&lt;&gt;""),IF(D3496&gt;=corte,TODAY()-D3496,""),"")</f>
        <v/>
      </c>
      <c r="V3496" s="8">
        <f>IF(D3496="",0,IF(OR(AND(P3496&lt;&gt;"",S3496=""),AND(N(J3496)&gt;0,N(K3496)&lt;J3496),OR(M3496="PENDENTE",M3496="PARCIAL"),OR(N3496="PENDENTE",N3496="PARCIAL")),1,0))</f>
        <v/>
      </c>
      <c r="W3496" s="8">
        <f>IF(AND(V3496=1,D3496&lt;&gt;""),IF(D3496&gt;=corte,(B3496="CRÍTICO")*1E9+(100000-D3496)*10000+10000-ROW(),""),"")</f>
        <v/>
      </c>
      <c r="X3496" s="8">
        <f>IF(AND(V3496=1,D3496=pas_data,E3496=pas_turno),10000-ROW(),"")</f>
        <v/>
      </c>
    </row>
    <row r="3497">
      <c r="A3497" s="3">
        <f>IF(D3497="","","TT-"&amp;TEXT(ROW()-1,"00000"))</f>
        <v/>
      </c>
      <c r="B3497" s="3">
        <f>IF(D3497="","",IF(V3497=0,"CONCLUÍDO",IF(D3497&lt;corte,"HISTÓRICO",IF(OR(AND(ISNUMBER(R3497),R3497&lt;TODAY()),AND(OR(N3497="PENDENTE",N3497="PARCIAL"),D3497&lt;TODAY()-1)),"CRÍTICO",IF(OR(AND(P3497&lt;&gt;"",S3497=""),AND(N3497="REALIZADO",M3497="PENDENTE"),AND(ISNUMBER(R3497),R3497=TODAY())),"ATENÇÃO",IF(N(K3497)=0,"PENDENTE","EM ANDAMENTO"))))))</f>
        <v/>
      </c>
      <c r="C3497" s="3">
        <f>IF(D3497="","",IF(V3497=0,"🟢 OK",IF(D3497&lt;corte,"⚪ HISTÓRICO (sem baixa)",IF(AND(ISNUMBER(R3497),R3497&lt;TODAY()),"🔴 PRAZO VENCIDO",IF(AND(OR(N3497="PENDENTE",N3497="PARCIAL"),D3497&lt;TODAY()-1),"🔴 EMBARQUE ATRASADO",IF(AND(N3497="REALIZADO",M3497="PENDENTE"),"🟡 EMBARCADO SEM FATURAR",IF(AND(P3497&lt;&gt;"",S3497="",OR(Q3497="",R3497="")),"🟡 PENDÊNCIA SEM RESPONSÁVEL/PRAZO",IF(AND(ISNUMBER(R3497),R3497=TODAY()),"🟡 VENCE HOJE",IF(AND(P3497&lt;&gt;"",S3497=""),"🟡 PENDÊNCIA ABERTA",IF(AND(N(J3497)&gt;0,N(K3497)&lt;J3497),"🟡 FALTA EXECUTAR",IF(OR(M3497="PENDENTE",M3497="PARCIAL"),"🟡 FATURAMENTO PENDENTE","🟡 EMBARQUE PENDENTE")))))))))))</f>
        <v/>
      </c>
      <c r="D3497" s="4" t="n"/>
      <c r="E3497" s="5" t="n"/>
      <c r="F3497" s="5" t="n"/>
      <c r="G3497" s="5" t="n"/>
      <c r="H3497" s="5" t="n"/>
      <c r="I3497" s="5" t="n"/>
      <c r="J3497" s="6" t="n"/>
      <c r="K3497" s="6" t="n"/>
      <c r="L3497" s="7">
        <f>IF(OR(D3497="",N(J3497)=0),"",MIN(1,N(K3497)/J3497))</f>
        <v/>
      </c>
      <c r="M3497" s="5" t="n"/>
      <c r="N3497" s="5" t="n"/>
      <c r="O3497" s="5" t="n"/>
      <c r="P3497" s="5" t="n"/>
      <c r="Q3497" s="5" t="n"/>
      <c r="R3497" s="4" t="n"/>
      <c r="S3497" s="4" t="n"/>
      <c r="T3497" s="5" t="n"/>
      <c r="U3497" s="8">
        <f>IF(AND(V3497=1,D3497&lt;&gt;""),IF(D3497&gt;=corte,TODAY()-D3497,""),"")</f>
        <v/>
      </c>
      <c r="V3497" s="8">
        <f>IF(D3497="",0,IF(OR(AND(P3497&lt;&gt;"",S3497=""),AND(N(J3497)&gt;0,N(K3497)&lt;J3497),OR(M3497="PENDENTE",M3497="PARCIAL"),OR(N3497="PENDENTE",N3497="PARCIAL")),1,0))</f>
        <v/>
      </c>
      <c r="W3497" s="8">
        <f>IF(AND(V3497=1,D3497&lt;&gt;""),IF(D3497&gt;=corte,(B3497="CRÍTICO")*1E9+(100000-D3497)*10000+10000-ROW(),""),"")</f>
        <v/>
      </c>
      <c r="X3497" s="8">
        <f>IF(AND(V3497=1,D3497=pas_data,E3497=pas_turno),10000-ROW(),"")</f>
        <v/>
      </c>
    </row>
    <row r="3498">
      <c r="A3498" s="3">
        <f>IF(D3498="","","TT-"&amp;TEXT(ROW()-1,"00000"))</f>
        <v/>
      </c>
      <c r="B3498" s="3">
        <f>IF(D3498="","",IF(V3498=0,"CONCLUÍDO",IF(D3498&lt;corte,"HISTÓRICO",IF(OR(AND(ISNUMBER(R3498),R3498&lt;TODAY()),AND(OR(N3498="PENDENTE",N3498="PARCIAL"),D3498&lt;TODAY()-1)),"CRÍTICO",IF(OR(AND(P3498&lt;&gt;"",S3498=""),AND(N3498="REALIZADO",M3498="PENDENTE"),AND(ISNUMBER(R3498),R3498=TODAY())),"ATENÇÃO",IF(N(K3498)=0,"PENDENTE","EM ANDAMENTO"))))))</f>
        <v/>
      </c>
      <c r="C3498" s="3">
        <f>IF(D3498="","",IF(V3498=0,"🟢 OK",IF(D3498&lt;corte,"⚪ HISTÓRICO (sem baixa)",IF(AND(ISNUMBER(R3498),R3498&lt;TODAY()),"🔴 PRAZO VENCIDO",IF(AND(OR(N3498="PENDENTE",N3498="PARCIAL"),D3498&lt;TODAY()-1),"🔴 EMBARQUE ATRASADO",IF(AND(N3498="REALIZADO",M3498="PENDENTE"),"🟡 EMBARCADO SEM FATURAR",IF(AND(P3498&lt;&gt;"",S3498="",OR(Q3498="",R3498="")),"🟡 PENDÊNCIA SEM RESPONSÁVEL/PRAZO",IF(AND(ISNUMBER(R3498),R3498=TODAY()),"🟡 VENCE HOJE",IF(AND(P3498&lt;&gt;"",S3498=""),"🟡 PENDÊNCIA ABERTA",IF(AND(N(J3498)&gt;0,N(K3498)&lt;J3498),"🟡 FALTA EXECUTAR",IF(OR(M3498="PENDENTE",M3498="PARCIAL"),"🟡 FATURAMENTO PENDENTE","🟡 EMBARQUE PENDENTE")))))))))))</f>
        <v/>
      </c>
      <c r="D3498" s="4" t="n"/>
      <c r="E3498" s="5" t="n"/>
      <c r="F3498" s="5" t="n"/>
      <c r="G3498" s="5" t="n"/>
      <c r="H3498" s="5" t="n"/>
      <c r="I3498" s="5" t="n"/>
      <c r="J3498" s="6" t="n"/>
      <c r="K3498" s="6" t="n"/>
      <c r="L3498" s="7">
        <f>IF(OR(D3498="",N(J3498)=0),"",MIN(1,N(K3498)/J3498))</f>
        <v/>
      </c>
      <c r="M3498" s="5" t="n"/>
      <c r="N3498" s="5" t="n"/>
      <c r="O3498" s="5" t="n"/>
      <c r="P3498" s="5" t="n"/>
      <c r="Q3498" s="5" t="n"/>
      <c r="R3498" s="4" t="n"/>
      <c r="S3498" s="4" t="n"/>
      <c r="T3498" s="5" t="n"/>
      <c r="U3498" s="8">
        <f>IF(AND(V3498=1,D3498&lt;&gt;""),IF(D3498&gt;=corte,TODAY()-D3498,""),"")</f>
        <v/>
      </c>
      <c r="V3498" s="8">
        <f>IF(D3498="",0,IF(OR(AND(P3498&lt;&gt;"",S3498=""),AND(N(J3498)&gt;0,N(K3498)&lt;J3498),OR(M3498="PENDENTE",M3498="PARCIAL"),OR(N3498="PENDENTE",N3498="PARCIAL")),1,0))</f>
        <v/>
      </c>
      <c r="W3498" s="8">
        <f>IF(AND(V3498=1,D3498&lt;&gt;""),IF(D3498&gt;=corte,(B3498="CRÍTICO")*1E9+(100000-D3498)*10000+10000-ROW(),""),"")</f>
        <v/>
      </c>
      <c r="X3498" s="8">
        <f>IF(AND(V3498=1,D3498=pas_data,E3498=pas_turno),10000-ROW(),"")</f>
        <v/>
      </c>
    </row>
    <row r="3499">
      <c r="A3499" s="3">
        <f>IF(D3499="","","TT-"&amp;TEXT(ROW()-1,"00000"))</f>
        <v/>
      </c>
      <c r="B3499" s="3">
        <f>IF(D3499="","",IF(V3499=0,"CONCLUÍDO",IF(D3499&lt;corte,"HISTÓRICO",IF(OR(AND(ISNUMBER(R3499),R3499&lt;TODAY()),AND(OR(N3499="PENDENTE",N3499="PARCIAL"),D3499&lt;TODAY()-1)),"CRÍTICO",IF(OR(AND(P3499&lt;&gt;"",S3499=""),AND(N3499="REALIZADO",M3499="PENDENTE"),AND(ISNUMBER(R3499),R3499=TODAY())),"ATENÇÃO",IF(N(K3499)=0,"PENDENTE","EM ANDAMENTO"))))))</f>
        <v/>
      </c>
      <c r="C3499" s="3">
        <f>IF(D3499="","",IF(V3499=0,"🟢 OK",IF(D3499&lt;corte,"⚪ HISTÓRICO (sem baixa)",IF(AND(ISNUMBER(R3499),R3499&lt;TODAY()),"🔴 PRAZO VENCIDO",IF(AND(OR(N3499="PENDENTE",N3499="PARCIAL"),D3499&lt;TODAY()-1),"🔴 EMBARQUE ATRASADO",IF(AND(N3499="REALIZADO",M3499="PENDENTE"),"🟡 EMBARCADO SEM FATURAR",IF(AND(P3499&lt;&gt;"",S3499="",OR(Q3499="",R3499="")),"🟡 PENDÊNCIA SEM RESPONSÁVEL/PRAZO",IF(AND(ISNUMBER(R3499),R3499=TODAY()),"🟡 VENCE HOJE",IF(AND(P3499&lt;&gt;"",S3499=""),"🟡 PENDÊNCIA ABERTA",IF(AND(N(J3499)&gt;0,N(K3499)&lt;J3499),"🟡 FALTA EXECUTAR",IF(OR(M3499="PENDENTE",M3499="PARCIAL"),"🟡 FATURAMENTO PENDENTE","🟡 EMBARQUE PENDENTE")))))))))))</f>
        <v/>
      </c>
      <c r="D3499" s="4" t="n"/>
      <c r="E3499" s="5" t="n"/>
      <c r="F3499" s="5" t="n"/>
      <c r="G3499" s="5" t="n"/>
      <c r="H3499" s="5" t="n"/>
      <c r="I3499" s="5" t="n"/>
      <c r="J3499" s="6" t="n"/>
      <c r="K3499" s="6" t="n"/>
      <c r="L3499" s="7">
        <f>IF(OR(D3499="",N(J3499)=0),"",MIN(1,N(K3499)/J3499))</f>
        <v/>
      </c>
      <c r="M3499" s="5" t="n"/>
      <c r="N3499" s="5" t="n"/>
      <c r="O3499" s="5" t="n"/>
      <c r="P3499" s="5" t="n"/>
      <c r="Q3499" s="5" t="n"/>
      <c r="R3499" s="4" t="n"/>
      <c r="S3499" s="4" t="n"/>
      <c r="T3499" s="5" t="n"/>
      <c r="U3499" s="8">
        <f>IF(AND(V3499=1,D3499&lt;&gt;""),IF(D3499&gt;=corte,TODAY()-D3499,""),"")</f>
        <v/>
      </c>
      <c r="V3499" s="8">
        <f>IF(D3499="",0,IF(OR(AND(P3499&lt;&gt;"",S3499=""),AND(N(J3499)&gt;0,N(K3499)&lt;J3499),OR(M3499="PENDENTE",M3499="PARCIAL"),OR(N3499="PENDENTE",N3499="PARCIAL")),1,0))</f>
        <v/>
      </c>
      <c r="W3499" s="8">
        <f>IF(AND(V3499=1,D3499&lt;&gt;""),IF(D3499&gt;=corte,(B3499="CRÍTICO")*1E9+(100000-D3499)*10000+10000-ROW(),""),"")</f>
        <v/>
      </c>
      <c r="X3499" s="8">
        <f>IF(AND(V3499=1,D3499=pas_data,E3499=pas_turno),10000-ROW(),"")</f>
        <v/>
      </c>
    </row>
    <row r="3500">
      <c r="A3500" s="3">
        <f>IF(D3500="","","TT-"&amp;TEXT(ROW()-1,"00000"))</f>
        <v/>
      </c>
      <c r="B3500" s="3">
        <f>IF(D3500="","",IF(V3500=0,"CONCLUÍDO",IF(D3500&lt;corte,"HISTÓRICO",IF(OR(AND(ISNUMBER(R3500),R3500&lt;TODAY()),AND(OR(N3500="PENDENTE",N3500="PARCIAL"),D3500&lt;TODAY()-1)),"CRÍTICO",IF(OR(AND(P3500&lt;&gt;"",S3500=""),AND(N3500="REALIZADO",M3500="PENDENTE"),AND(ISNUMBER(R3500),R3500=TODAY())),"ATENÇÃO",IF(N(K3500)=0,"PENDENTE","EM ANDAMENTO"))))))</f>
        <v/>
      </c>
      <c r="C3500" s="3">
        <f>IF(D3500="","",IF(V3500=0,"🟢 OK",IF(D3500&lt;corte,"⚪ HISTÓRICO (sem baixa)",IF(AND(ISNUMBER(R3500),R3500&lt;TODAY()),"🔴 PRAZO VENCIDO",IF(AND(OR(N3500="PENDENTE",N3500="PARCIAL"),D3500&lt;TODAY()-1),"🔴 EMBARQUE ATRASADO",IF(AND(N3500="REALIZADO",M3500="PENDENTE"),"🟡 EMBARCADO SEM FATURAR",IF(AND(P3500&lt;&gt;"",S3500="",OR(Q3500="",R3500="")),"🟡 PENDÊNCIA SEM RESPONSÁVEL/PRAZO",IF(AND(ISNUMBER(R3500),R3500=TODAY()),"🟡 VENCE HOJE",IF(AND(P3500&lt;&gt;"",S3500=""),"🟡 PENDÊNCIA ABERTA",IF(AND(N(J3500)&gt;0,N(K3500)&lt;J3500),"🟡 FALTA EXECUTAR",IF(OR(M3500="PENDENTE",M3500="PARCIAL"),"🟡 FATURAMENTO PENDENTE","🟡 EMBARQUE PENDENTE")))))))))))</f>
        <v/>
      </c>
      <c r="D3500" s="4" t="n"/>
      <c r="E3500" s="5" t="n"/>
      <c r="F3500" s="5" t="n"/>
      <c r="G3500" s="5" t="n"/>
      <c r="H3500" s="5" t="n"/>
      <c r="I3500" s="5" t="n"/>
      <c r="J3500" s="6" t="n"/>
      <c r="K3500" s="6" t="n"/>
      <c r="L3500" s="7">
        <f>IF(OR(D3500="",N(J3500)=0),"",MIN(1,N(K3500)/J3500))</f>
        <v/>
      </c>
      <c r="M3500" s="5" t="n"/>
      <c r="N3500" s="5" t="n"/>
      <c r="O3500" s="5" t="n"/>
      <c r="P3500" s="5" t="n"/>
      <c r="Q3500" s="5" t="n"/>
      <c r="R3500" s="4" t="n"/>
      <c r="S3500" s="4" t="n"/>
      <c r="T3500" s="5" t="n"/>
      <c r="U3500" s="8">
        <f>IF(AND(V3500=1,D3500&lt;&gt;""),IF(D3500&gt;=corte,TODAY()-D3500,""),"")</f>
        <v/>
      </c>
      <c r="V3500" s="8">
        <f>IF(D3500="",0,IF(OR(AND(P3500&lt;&gt;"",S3500=""),AND(N(J3500)&gt;0,N(K3500)&lt;J3500),OR(M3500="PENDENTE",M3500="PARCIAL"),OR(N3500="PENDENTE",N3500="PARCIAL")),1,0))</f>
        <v/>
      </c>
      <c r="W3500" s="8">
        <f>IF(AND(V3500=1,D3500&lt;&gt;""),IF(D3500&gt;=corte,(B3500="CRÍTICO")*1E9+(100000-D3500)*10000+10000-ROW(),""),"")</f>
        <v/>
      </c>
      <c r="X3500" s="8">
        <f>IF(AND(V3500=1,D3500=pas_data,E3500=pas_turno),10000-ROW(),"")</f>
        <v/>
      </c>
    </row>
    <row r="3501">
      <c r="A3501" s="3">
        <f>IF(D3501="","","TT-"&amp;TEXT(ROW()-1,"00000"))</f>
        <v/>
      </c>
      <c r="B3501" s="3">
        <f>IF(D3501="","",IF(V3501=0,"CONCLUÍDO",IF(D3501&lt;corte,"HISTÓRICO",IF(OR(AND(ISNUMBER(R3501),R3501&lt;TODAY()),AND(OR(N3501="PENDENTE",N3501="PARCIAL"),D3501&lt;TODAY()-1)),"CRÍTICO",IF(OR(AND(P3501&lt;&gt;"",S3501=""),AND(N3501="REALIZADO",M3501="PENDENTE"),AND(ISNUMBER(R3501),R3501=TODAY())),"ATENÇÃO",IF(N(K3501)=0,"PENDENTE","EM ANDAMENTO"))))))</f>
        <v/>
      </c>
      <c r="C3501" s="3">
        <f>IF(D3501="","",IF(V3501=0,"🟢 OK",IF(D3501&lt;corte,"⚪ HISTÓRICO (sem baixa)",IF(AND(ISNUMBER(R3501),R3501&lt;TODAY()),"🔴 PRAZO VENCIDO",IF(AND(OR(N3501="PENDENTE",N3501="PARCIAL"),D3501&lt;TODAY()-1),"🔴 EMBARQUE ATRASADO",IF(AND(N3501="REALIZADO",M3501="PENDENTE"),"🟡 EMBARCADO SEM FATURAR",IF(AND(P3501&lt;&gt;"",S3501="",OR(Q3501="",R3501="")),"🟡 PENDÊNCIA SEM RESPONSÁVEL/PRAZO",IF(AND(ISNUMBER(R3501),R3501=TODAY()),"🟡 VENCE HOJE",IF(AND(P3501&lt;&gt;"",S3501=""),"🟡 PENDÊNCIA ABERTA",IF(AND(N(J3501)&gt;0,N(K3501)&lt;J3501),"🟡 FALTA EXECUTAR",IF(OR(M3501="PENDENTE",M3501="PARCIAL"),"🟡 FATURAMENTO PENDENTE","🟡 EMBARQUE PENDENTE")))))))))))</f>
        <v/>
      </c>
      <c r="D3501" s="4" t="n"/>
      <c r="E3501" s="5" t="n"/>
      <c r="F3501" s="5" t="n"/>
      <c r="G3501" s="5" t="n"/>
      <c r="H3501" s="5" t="n"/>
      <c r="I3501" s="5" t="n"/>
      <c r="J3501" s="6" t="n"/>
      <c r="K3501" s="6" t="n"/>
      <c r="L3501" s="7">
        <f>IF(OR(D3501="",N(J3501)=0),"",MIN(1,N(K3501)/J3501))</f>
        <v/>
      </c>
      <c r="M3501" s="5" t="n"/>
      <c r="N3501" s="5" t="n"/>
      <c r="O3501" s="5" t="n"/>
      <c r="P3501" s="5" t="n"/>
      <c r="Q3501" s="5" t="n"/>
      <c r="R3501" s="4" t="n"/>
      <c r="S3501" s="4" t="n"/>
      <c r="T3501" s="5" t="n"/>
      <c r="U3501" s="8">
        <f>IF(AND(V3501=1,D3501&lt;&gt;""),IF(D3501&gt;=corte,TODAY()-D3501,""),"")</f>
        <v/>
      </c>
      <c r="V3501" s="8">
        <f>IF(D3501="",0,IF(OR(AND(P3501&lt;&gt;"",S3501=""),AND(N(J3501)&gt;0,N(K3501)&lt;J3501),OR(M3501="PENDENTE",M3501="PARCIAL"),OR(N3501="PENDENTE",N3501="PARCIAL")),1,0))</f>
        <v/>
      </c>
      <c r="W3501" s="8">
        <f>IF(AND(V3501=1,D3501&lt;&gt;""),IF(D3501&gt;=corte,(B3501="CRÍTICO")*1E9+(100000-D3501)*10000+10000-ROW(),""),"")</f>
        <v/>
      </c>
      <c r="X3501" s="8">
        <f>IF(AND(V3501=1,D3501=pas_data,E3501=pas_turno),10000-ROW(),"")</f>
        <v/>
      </c>
    </row>
    <row r="3502">
      <c r="A3502" s="3">
        <f>IF(D3502="","","TT-"&amp;TEXT(ROW()-1,"00000"))</f>
        <v/>
      </c>
      <c r="B3502" s="3">
        <f>IF(D3502="","",IF(V3502=0,"CONCLUÍDO",IF(D3502&lt;corte,"HISTÓRICO",IF(OR(AND(ISNUMBER(R3502),R3502&lt;TODAY()),AND(OR(N3502="PENDENTE",N3502="PARCIAL"),D3502&lt;TODAY()-1)),"CRÍTICO",IF(OR(AND(P3502&lt;&gt;"",S3502=""),AND(N3502="REALIZADO",M3502="PENDENTE"),AND(ISNUMBER(R3502),R3502=TODAY())),"ATENÇÃO",IF(N(K3502)=0,"PENDENTE","EM ANDAMENTO"))))))</f>
        <v/>
      </c>
      <c r="C3502" s="3">
        <f>IF(D3502="","",IF(V3502=0,"🟢 OK",IF(D3502&lt;corte,"⚪ HISTÓRICO (sem baixa)",IF(AND(ISNUMBER(R3502),R3502&lt;TODAY()),"🔴 PRAZO VENCIDO",IF(AND(OR(N3502="PENDENTE",N3502="PARCIAL"),D3502&lt;TODAY()-1),"🔴 EMBARQUE ATRASADO",IF(AND(N3502="REALIZADO",M3502="PENDENTE"),"🟡 EMBARCADO SEM FATURAR",IF(AND(P3502&lt;&gt;"",S3502="",OR(Q3502="",R3502="")),"🟡 PENDÊNCIA SEM RESPONSÁVEL/PRAZO",IF(AND(ISNUMBER(R3502),R3502=TODAY()),"🟡 VENCE HOJE",IF(AND(P3502&lt;&gt;"",S3502=""),"🟡 PENDÊNCIA ABERTA",IF(AND(N(J3502)&gt;0,N(K3502)&lt;J3502),"🟡 FALTA EXECUTAR",IF(OR(M3502="PENDENTE",M3502="PARCIAL"),"🟡 FATURAMENTO PENDENTE","🟡 EMBARQUE PENDENTE")))))))))))</f>
        <v/>
      </c>
      <c r="D3502" s="4" t="n"/>
      <c r="E3502" s="5" t="n"/>
      <c r="F3502" s="5" t="n"/>
      <c r="G3502" s="5" t="n"/>
      <c r="H3502" s="5" t="n"/>
      <c r="I3502" s="5" t="n"/>
      <c r="J3502" s="6" t="n"/>
      <c r="K3502" s="6" t="n"/>
      <c r="L3502" s="7">
        <f>IF(OR(D3502="",N(J3502)=0),"",MIN(1,N(K3502)/J3502))</f>
        <v/>
      </c>
      <c r="M3502" s="5" t="n"/>
      <c r="N3502" s="5" t="n"/>
      <c r="O3502" s="5" t="n"/>
      <c r="P3502" s="5" t="n"/>
      <c r="Q3502" s="5" t="n"/>
      <c r="R3502" s="4" t="n"/>
      <c r="S3502" s="4" t="n"/>
      <c r="T3502" s="5" t="n"/>
      <c r="U3502" s="8">
        <f>IF(AND(V3502=1,D3502&lt;&gt;""),IF(D3502&gt;=corte,TODAY()-D3502,""),"")</f>
        <v/>
      </c>
      <c r="V3502" s="8">
        <f>IF(D3502="",0,IF(OR(AND(P3502&lt;&gt;"",S3502=""),AND(N(J3502)&gt;0,N(K3502)&lt;J3502),OR(M3502="PENDENTE",M3502="PARCIAL"),OR(N3502="PENDENTE",N3502="PARCIAL")),1,0))</f>
        <v/>
      </c>
      <c r="W3502" s="8">
        <f>IF(AND(V3502=1,D3502&lt;&gt;""),IF(D3502&gt;=corte,(B3502="CRÍTICO")*1E9+(100000-D3502)*10000+10000-ROW(),""),"")</f>
        <v/>
      </c>
      <c r="X3502" s="8">
        <f>IF(AND(V3502=1,D3502=pas_data,E3502=pas_turno),10000-ROW(),"")</f>
        <v/>
      </c>
    </row>
    <row r="3503">
      <c r="A3503" s="3">
        <f>IF(D3503="","","TT-"&amp;TEXT(ROW()-1,"00000"))</f>
        <v/>
      </c>
      <c r="B3503" s="3">
        <f>IF(D3503="","",IF(V3503=0,"CONCLUÍDO",IF(D3503&lt;corte,"HISTÓRICO",IF(OR(AND(ISNUMBER(R3503),R3503&lt;TODAY()),AND(OR(N3503="PENDENTE",N3503="PARCIAL"),D3503&lt;TODAY()-1)),"CRÍTICO",IF(OR(AND(P3503&lt;&gt;"",S3503=""),AND(N3503="REALIZADO",M3503="PENDENTE"),AND(ISNUMBER(R3503),R3503=TODAY())),"ATENÇÃO",IF(N(K3503)=0,"PENDENTE","EM ANDAMENTO"))))))</f>
        <v/>
      </c>
      <c r="C3503" s="3">
        <f>IF(D3503="","",IF(V3503=0,"🟢 OK",IF(D3503&lt;corte,"⚪ HISTÓRICO (sem baixa)",IF(AND(ISNUMBER(R3503),R3503&lt;TODAY()),"🔴 PRAZO VENCIDO",IF(AND(OR(N3503="PENDENTE",N3503="PARCIAL"),D3503&lt;TODAY()-1),"🔴 EMBARQUE ATRASADO",IF(AND(N3503="REALIZADO",M3503="PENDENTE"),"🟡 EMBARCADO SEM FATURAR",IF(AND(P3503&lt;&gt;"",S3503="",OR(Q3503="",R3503="")),"🟡 PENDÊNCIA SEM RESPONSÁVEL/PRAZO",IF(AND(ISNUMBER(R3503),R3503=TODAY()),"🟡 VENCE HOJE",IF(AND(P3503&lt;&gt;"",S3503=""),"🟡 PENDÊNCIA ABERTA",IF(AND(N(J3503)&gt;0,N(K3503)&lt;J3503),"🟡 FALTA EXECUTAR",IF(OR(M3503="PENDENTE",M3503="PARCIAL"),"🟡 FATURAMENTO PENDENTE","🟡 EMBARQUE PENDENTE")))))))))))</f>
        <v/>
      </c>
      <c r="D3503" s="4" t="n"/>
      <c r="E3503" s="5" t="n"/>
      <c r="F3503" s="5" t="n"/>
      <c r="G3503" s="5" t="n"/>
      <c r="H3503" s="5" t="n"/>
      <c r="I3503" s="5" t="n"/>
      <c r="J3503" s="6" t="n"/>
      <c r="K3503" s="6" t="n"/>
      <c r="L3503" s="7">
        <f>IF(OR(D3503="",N(J3503)=0),"",MIN(1,N(K3503)/J3503))</f>
        <v/>
      </c>
      <c r="M3503" s="5" t="n"/>
      <c r="N3503" s="5" t="n"/>
      <c r="O3503" s="5" t="n"/>
      <c r="P3503" s="5" t="n"/>
      <c r="Q3503" s="5" t="n"/>
      <c r="R3503" s="4" t="n"/>
      <c r="S3503" s="4" t="n"/>
      <c r="T3503" s="5" t="n"/>
      <c r="U3503" s="8">
        <f>IF(AND(V3503=1,D3503&lt;&gt;""),IF(D3503&gt;=corte,TODAY()-D3503,""),"")</f>
        <v/>
      </c>
      <c r="V3503" s="8">
        <f>IF(D3503="",0,IF(OR(AND(P3503&lt;&gt;"",S3503=""),AND(N(J3503)&gt;0,N(K3503)&lt;J3503),OR(M3503="PENDENTE",M3503="PARCIAL"),OR(N3503="PENDENTE",N3503="PARCIAL")),1,0))</f>
        <v/>
      </c>
      <c r="W3503" s="8">
        <f>IF(AND(V3503=1,D3503&lt;&gt;""),IF(D3503&gt;=corte,(B3503="CRÍTICO")*1E9+(100000-D3503)*10000+10000-ROW(),""),"")</f>
        <v/>
      </c>
      <c r="X3503" s="8">
        <f>IF(AND(V3503=1,D3503=pas_data,E3503=pas_turno),10000-ROW(),"")</f>
        <v/>
      </c>
    </row>
    <row r="3504">
      <c r="A3504" s="3">
        <f>IF(D3504="","","TT-"&amp;TEXT(ROW()-1,"00000"))</f>
        <v/>
      </c>
      <c r="B3504" s="3">
        <f>IF(D3504="","",IF(V3504=0,"CONCLUÍDO",IF(D3504&lt;corte,"HISTÓRICO",IF(OR(AND(ISNUMBER(R3504),R3504&lt;TODAY()),AND(OR(N3504="PENDENTE",N3504="PARCIAL"),D3504&lt;TODAY()-1)),"CRÍTICO",IF(OR(AND(P3504&lt;&gt;"",S3504=""),AND(N3504="REALIZADO",M3504="PENDENTE"),AND(ISNUMBER(R3504),R3504=TODAY())),"ATENÇÃO",IF(N(K3504)=0,"PENDENTE","EM ANDAMENTO"))))))</f>
        <v/>
      </c>
      <c r="C3504" s="3">
        <f>IF(D3504="","",IF(V3504=0,"🟢 OK",IF(D3504&lt;corte,"⚪ HISTÓRICO (sem baixa)",IF(AND(ISNUMBER(R3504),R3504&lt;TODAY()),"🔴 PRAZO VENCIDO",IF(AND(OR(N3504="PENDENTE",N3504="PARCIAL"),D3504&lt;TODAY()-1),"🔴 EMBARQUE ATRASADO",IF(AND(N3504="REALIZADO",M3504="PENDENTE"),"🟡 EMBARCADO SEM FATURAR",IF(AND(P3504&lt;&gt;"",S3504="",OR(Q3504="",R3504="")),"🟡 PENDÊNCIA SEM RESPONSÁVEL/PRAZO",IF(AND(ISNUMBER(R3504),R3504=TODAY()),"🟡 VENCE HOJE",IF(AND(P3504&lt;&gt;"",S3504=""),"🟡 PENDÊNCIA ABERTA",IF(AND(N(J3504)&gt;0,N(K3504)&lt;J3504),"🟡 FALTA EXECUTAR",IF(OR(M3504="PENDENTE",M3504="PARCIAL"),"🟡 FATURAMENTO PENDENTE","🟡 EMBARQUE PENDENTE")))))))))))</f>
        <v/>
      </c>
      <c r="D3504" s="4" t="n"/>
      <c r="E3504" s="5" t="n"/>
      <c r="F3504" s="5" t="n"/>
      <c r="G3504" s="5" t="n"/>
      <c r="H3504" s="5" t="n"/>
      <c r="I3504" s="5" t="n"/>
      <c r="J3504" s="6" t="n"/>
      <c r="K3504" s="6" t="n"/>
      <c r="L3504" s="7">
        <f>IF(OR(D3504="",N(J3504)=0),"",MIN(1,N(K3504)/J3504))</f>
        <v/>
      </c>
      <c r="M3504" s="5" t="n"/>
      <c r="N3504" s="5" t="n"/>
      <c r="O3504" s="5" t="n"/>
      <c r="P3504" s="5" t="n"/>
      <c r="Q3504" s="5" t="n"/>
      <c r="R3504" s="4" t="n"/>
      <c r="S3504" s="4" t="n"/>
      <c r="T3504" s="5" t="n"/>
      <c r="U3504" s="8">
        <f>IF(AND(V3504=1,D3504&lt;&gt;""),IF(D3504&gt;=corte,TODAY()-D3504,""),"")</f>
        <v/>
      </c>
      <c r="V3504" s="8">
        <f>IF(D3504="",0,IF(OR(AND(P3504&lt;&gt;"",S3504=""),AND(N(J3504)&gt;0,N(K3504)&lt;J3504),OR(M3504="PENDENTE",M3504="PARCIAL"),OR(N3504="PENDENTE",N3504="PARCIAL")),1,0))</f>
        <v/>
      </c>
      <c r="W3504" s="8">
        <f>IF(AND(V3504=1,D3504&lt;&gt;""),IF(D3504&gt;=corte,(B3504="CRÍTICO")*1E9+(100000-D3504)*10000+10000-ROW(),""),"")</f>
        <v/>
      </c>
      <c r="X3504" s="8">
        <f>IF(AND(V3504=1,D3504=pas_data,E3504=pas_turno),10000-ROW(),"")</f>
        <v/>
      </c>
    </row>
    <row r="3505">
      <c r="A3505" s="3">
        <f>IF(D3505="","","TT-"&amp;TEXT(ROW()-1,"00000"))</f>
        <v/>
      </c>
      <c r="B3505" s="3">
        <f>IF(D3505="","",IF(V3505=0,"CONCLUÍDO",IF(D3505&lt;corte,"HISTÓRICO",IF(OR(AND(ISNUMBER(R3505),R3505&lt;TODAY()),AND(OR(N3505="PENDENTE",N3505="PARCIAL"),D3505&lt;TODAY()-1)),"CRÍTICO",IF(OR(AND(P3505&lt;&gt;"",S3505=""),AND(N3505="REALIZADO",M3505="PENDENTE"),AND(ISNUMBER(R3505),R3505=TODAY())),"ATENÇÃO",IF(N(K3505)=0,"PENDENTE","EM ANDAMENTO"))))))</f>
        <v/>
      </c>
      <c r="C3505" s="3">
        <f>IF(D3505="","",IF(V3505=0,"🟢 OK",IF(D3505&lt;corte,"⚪ HISTÓRICO (sem baixa)",IF(AND(ISNUMBER(R3505),R3505&lt;TODAY()),"🔴 PRAZO VENCIDO",IF(AND(OR(N3505="PENDENTE",N3505="PARCIAL"),D3505&lt;TODAY()-1),"🔴 EMBARQUE ATRASADO",IF(AND(N3505="REALIZADO",M3505="PENDENTE"),"🟡 EMBARCADO SEM FATURAR",IF(AND(P3505&lt;&gt;"",S3505="",OR(Q3505="",R3505="")),"🟡 PENDÊNCIA SEM RESPONSÁVEL/PRAZO",IF(AND(ISNUMBER(R3505),R3505=TODAY()),"🟡 VENCE HOJE",IF(AND(P3505&lt;&gt;"",S3505=""),"🟡 PENDÊNCIA ABERTA",IF(AND(N(J3505)&gt;0,N(K3505)&lt;J3505),"🟡 FALTA EXECUTAR",IF(OR(M3505="PENDENTE",M3505="PARCIAL"),"🟡 FATURAMENTO PENDENTE","🟡 EMBARQUE PENDENTE")))))))))))</f>
        <v/>
      </c>
      <c r="D3505" s="4" t="n"/>
      <c r="E3505" s="5" t="n"/>
      <c r="F3505" s="5" t="n"/>
      <c r="G3505" s="5" t="n"/>
      <c r="H3505" s="5" t="n"/>
      <c r="I3505" s="5" t="n"/>
      <c r="J3505" s="6" t="n"/>
      <c r="K3505" s="6" t="n"/>
      <c r="L3505" s="7">
        <f>IF(OR(D3505="",N(J3505)=0),"",MIN(1,N(K3505)/J3505))</f>
        <v/>
      </c>
      <c r="M3505" s="5" t="n"/>
      <c r="N3505" s="5" t="n"/>
      <c r="O3505" s="5" t="n"/>
      <c r="P3505" s="5" t="n"/>
      <c r="Q3505" s="5" t="n"/>
      <c r="R3505" s="4" t="n"/>
      <c r="S3505" s="4" t="n"/>
      <c r="T3505" s="5" t="n"/>
      <c r="U3505" s="8">
        <f>IF(AND(V3505=1,D3505&lt;&gt;""),IF(D3505&gt;=corte,TODAY()-D3505,""),"")</f>
        <v/>
      </c>
      <c r="V3505" s="8">
        <f>IF(D3505="",0,IF(OR(AND(P3505&lt;&gt;"",S3505=""),AND(N(J3505)&gt;0,N(K3505)&lt;J3505),OR(M3505="PENDENTE",M3505="PARCIAL"),OR(N3505="PENDENTE",N3505="PARCIAL")),1,0))</f>
        <v/>
      </c>
      <c r="W3505" s="8">
        <f>IF(AND(V3505=1,D3505&lt;&gt;""),IF(D3505&gt;=corte,(B3505="CRÍTICO")*1E9+(100000-D3505)*10000+10000-ROW(),""),"")</f>
        <v/>
      </c>
      <c r="X3505" s="8">
        <f>IF(AND(V3505=1,D3505=pas_data,E3505=pas_turno),10000-ROW(),"")</f>
        <v/>
      </c>
    </row>
    <row r="3506">
      <c r="A3506" s="3">
        <f>IF(D3506="","","TT-"&amp;TEXT(ROW()-1,"00000"))</f>
        <v/>
      </c>
      <c r="B3506" s="3">
        <f>IF(D3506="","",IF(V3506=0,"CONCLUÍDO",IF(D3506&lt;corte,"HISTÓRICO",IF(OR(AND(ISNUMBER(R3506),R3506&lt;TODAY()),AND(OR(N3506="PENDENTE",N3506="PARCIAL"),D3506&lt;TODAY()-1)),"CRÍTICO",IF(OR(AND(P3506&lt;&gt;"",S3506=""),AND(N3506="REALIZADO",M3506="PENDENTE"),AND(ISNUMBER(R3506),R3506=TODAY())),"ATENÇÃO",IF(N(K3506)=0,"PENDENTE","EM ANDAMENTO"))))))</f>
        <v/>
      </c>
      <c r="C3506" s="3">
        <f>IF(D3506="","",IF(V3506=0,"🟢 OK",IF(D3506&lt;corte,"⚪ HISTÓRICO (sem baixa)",IF(AND(ISNUMBER(R3506),R3506&lt;TODAY()),"🔴 PRAZO VENCIDO",IF(AND(OR(N3506="PENDENTE",N3506="PARCIAL"),D3506&lt;TODAY()-1),"🔴 EMBARQUE ATRASADO",IF(AND(N3506="REALIZADO",M3506="PENDENTE"),"🟡 EMBARCADO SEM FATURAR",IF(AND(P3506&lt;&gt;"",S3506="",OR(Q3506="",R3506="")),"🟡 PENDÊNCIA SEM RESPONSÁVEL/PRAZO",IF(AND(ISNUMBER(R3506),R3506=TODAY()),"🟡 VENCE HOJE",IF(AND(P3506&lt;&gt;"",S3506=""),"🟡 PENDÊNCIA ABERTA",IF(AND(N(J3506)&gt;0,N(K3506)&lt;J3506),"🟡 FALTA EXECUTAR",IF(OR(M3506="PENDENTE",M3506="PARCIAL"),"🟡 FATURAMENTO PENDENTE","🟡 EMBARQUE PENDENTE")))))))))))</f>
        <v/>
      </c>
      <c r="D3506" s="4" t="n"/>
      <c r="E3506" s="5" t="n"/>
      <c r="F3506" s="5" t="n"/>
      <c r="G3506" s="5" t="n"/>
      <c r="H3506" s="5" t="n"/>
      <c r="I3506" s="5" t="n"/>
      <c r="J3506" s="6" t="n"/>
      <c r="K3506" s="6" t="n"/>
      <c r="L3506" s="7">
        <f>IF(OR(D3506="",N(J3506)=0),"",MIN(1,N(K3506)/J3506))</f>
        <v/>
      </c>
      <c r="M3506" s="5" t="n"/>
      <c r="N3506" s="5" t="n"/>
      <c r="O3506" s="5" t="n"/>
      <c r="P3506" s="5" t="n"/>
      <c r="Q3506" s="5" t="n"/>
      <c r="R3506" s="4" t="n"/>
      <c r="S3506" s="4" t="n"/>
      <c r="T3506" s="5" t="n"/>
      <c r="U3506" s="8">
        <f>IF(AND(V3506=1,D3506&lt;&gt;""),IF(D3506&gt;=corte,TODAY()-D3506,""),"")</f>
        <v/>
      </c>
      <c r="V3506" s="8">
        <f>IF(D3506="",0,IF(OR(AND(P3506&lt;&gt;"",S3506=""),AND(N(J3506)&gt;0,N(K3506)&lt;J3506),OR(M3506="PENDENTE",M3506="PARCIAL"),OR(N3506="PENDENTE",N3506="PARCIAL")),1,0))</f>
        <v/>
      </c>
      <c r="W3506" s="8">
        <f>IF(AND(V3506=1,D3506&lt;&gt;""),IF(D3506&gt;=corte,(B3506="CRÍTICO")*1E9+(100000-D3506)*10000+10000-ROW(),""),"")</f>
        <v/>
      </c>
      <c r="X3506" s="8">
        <f>IF(AND(V3506=1,D3506=pas_data,E3506=pas_turno),10000-ROW(),"")</f>
        <v/>
      </c>
    </row>
    <row r="3507">
      <c r="A3507" s="3">
        <f>IF(D3507="","","TT-"&amp;TEXT(ROW()-1,"00000"))</f>
        <v/>
      </c>
      <c r="B3507" s="3">
        <f>IF(D3507="","",IF(V3507=0,"CONCLUÍDO",IF(D3507&lt;corte,"HISTÓRICO",IF(OR(AND(ISNUMBER(R3507),R3507&lt;TODAY()),AND(OR(N3507="PENDENTE",N3507="PARCIAL"),D3507&lt;TODAY()-1)),"CRÍTICO",IF(OR(AND(P3507&lt;&gt;"",S3507=""),AND(N3507="REALIZADO",M3507="PENDENTE"),AND(ISNUMBER(R3507),R3507=TODAY())),"ATENÇÃO",IF(N(K3507)=0,"PENDENTE","EM ANDAMENTO"))))))</f>
        <v/>
      </c>
      <c r="C3507" s="3">
        <f>IF(D3507="","",IF(V3507=0,"🟢 OK",IF(D3507&lt;corte,"⚪ HISTÓRICO (sem baixa)",IF(AND(ISNUMBER(R3507),R3507&lt;TODAY()),"🔴 PRAZO VENCIDO",IF(AND(OR(N3507="PENDENTE",N3507="PARCIAL"),D3507&lt;TODAY()-1),"🔴 EMBARQUE ATRASADO",IF(AND(N3507="REALIZADO",M3507="PENDENTE"),"🟡 EMBARCADO SEM FATURAR",IF(AND(P3507&lt;&gt;"",S3507="",OR(Q3507="",R3507="")),"🟡 PENDÊNCIA SEM RESPONSÁVEL/PRAZO",IF(AND(ISNUMBER(R3507),R3507=TODAY()),"🟡 VENCE HOJE",IF(AND(P3507&lt;&gt;"",S3507=""),"🟡 PENDÊNCIA ABERTA",IF(AND(N(J3507)&gt;0,N(K3507)&lt;J3507),"🟡 FALTA EXECUTAR",IF(OR(M3507="PENDENTE",M3507="PARCIAL"),"🟡 FATURAMENTO PENDENTE","🟡 EMBARQUE PENDENTE")))))))))))</f>
        <v/>
      </c>
      <c r="D3507" s="4" t="n"/>
      <c r="E3507" s="5" t="n"/>
      <c r="F3507" s="5" t="n"/>
      <c r="G3507" s="5" t="n"/>
      <c r="H3507" s="5" t="n"/>
      <c r="I3507" s="5" t="n"/>
      <c r="J3507" s="6" t="n"/>
      <c r="K3507" s="6" t="n"/>
      <c r="L3507" s="7">
        <f>IF(OR(D3507="",N(J3507)=0),"",MIN(1,N(K3507)/J3507))</f>
        <v/>
      </c>
      <c r="M3507" s="5" t="n"/>
      <c r="N3507" s="5" t="n"/>
      <c r="O3507" s="5" t="n"/>
      <c r="P3507" s="5" t="n"/>
      <c r="Q3507" s="5" t="n"/>
      <c r="R3507" s="4" t="n"/>
      <c r="S3507" s="4" t="n"/>
      <c r="T3507" s="5" t="n"/>
      <c r="U3507" s="8">
        <f>IF(AND(V3507=1,D3507&lt;&gt;""),IF(D3507&gt;=corte,TODAY()-D3507,""),"")</f>
        <v/>
      </c>
      <c r="V3507" s="8">
        <f>IF(D3507="",0,IF(OR(AND(P3507&lt;&gt;"",S3507=""),AND(N(J3507)&gt;0,N(K3507)&lt;J3507),OR(M3507="PENDENTE",M3507="PARCIAL"),OR(N3507="PENDENTE",N3507="PARCIAL")),1,0))</f>
        <v/>
      </c>
      <c r="W3507" s="8">
        <f>IF(AND(V3507=1,D3507&lt;&gt;""),IF(D3507&gt;=corte,(B3507="CRÍTICO")*1E9+(100000-D3507)*10000+10000-ROW(),""),"")</f>
        <v/>
      </c>
      <c r="X3507" s="8">
        <f>IF(AND(V3507=1,D3507=pas_data,E3507=pas_turno),10000-ROW(),"")</f>
        <v/>
      </c>
    </row>
    <row r="3508">
      <c r="A3508" s="3">
        <f>IF(D3508="","","TT-"&amp;TEXT(ROW()-1,"00000"))</f>
        <v/>
      </c>
      <c r="B3508" s="3">
        <f>IF(D3508="","",IF(V3508=0,"CONCLUÍDO",IF(D3508&lt;corte,"HISTÓRICO",IF(OR(AND(ISNUMBER(R3508),R3508&lt;TODAY()),AND(OR(N3508="PENDENTE",N3508="PARCIAL"),D3508&lt;TODAY()-1)),"CRÍTICO",IF(OR(AND(P3508&lt;&gt;"",S3508=""),AND(N3508="REALIZADO",M3508="PENDENTE"),AND(ISNUMBER(R3508),R3508=TODAY())),"ATENÇÃO",IF(N(K3508)=0,"PENDENTE","EM ANDAMENTO"))))))</f>
        <v/>
      </c>
      <c r="C3508" s="3">
        <f>IF(D3508="","",IF(V3508=0,"🟢 OK",IF(D3508&lt;corte,"⚪ HISTÓRICO (sem baixa)",IF(AND(ISNUMBER(R3508),R3508&lt;TODAY()),"🔴 PRAZO VENCIDO",IF(AND(OR(N3508="PENDENTE",N3508="PARCIAL"),D3508&lt;TODAY()-1),"🔴 EMBARQUE ATRASADO",IF(AND(N3508="REALIZADO",M3508="PENDENTE"),"🟡 EMBARCADO SEM FATURAR",IF(AND(P3508&lt;&gt;"",S3508="",OR(Q3508="",R3508="")),"🟡 PENDÊNCIA SEM RESPONSÁVEL/PRAZO",IF(AND(ISNUMBER(R3508),R3508=TODAY()),"🟡 VENCE HOJE",IF(AND(P3508&lt;&gt;"",S3508=""),"🟡 PENDÊNCIA ABERTA",IF(AND(N(J3508)&gt;0,N(K3508)&lt;J3508),"🟡 FALTA EXECUTAR",IF(OR(M3508="PENDENTE",M3508="PARCIAL"),"🟡 FATURAMENTO PENDENTE","🟡 EMBARQUE PENDENTE")))))))))))</f>
        <v/>
      </c>
      <c r="D3508" s="4" t="n"/>
      <c r="E3508" s="5" t="n"/>
      <c r="F3508" s="5" t="n"/>
      <c r="G3508" s="5" t="n"/>
      <c r="H3508" s="5" t="n"/>
      <c r="I3508" s="5" t="n"/>
      <c r="J3508" s="6" t="n"/>
      <c r="K3508" s="6" t="n"/>
      <c r="L3508" s="7">
        <f>IF(OR(D3508="",N(J3508)=0),"",MIN(1,N(K3508)/J3508))</f>
        <v/>
      </c>
      <c r="M3508" s="5" t="n"/>
      <c r="N3508" s="5" t="n"/>
      <c r="O3508" s="5" t="n"/>
      <c r="P3508" s="5" t="n"/>
      <c r="Q3508" s="5" t="n"/>
      <c r="R3508" s="4" t="n"/>
      <c r="S3508" s="4" t="n"/>
      <c r="T3508" s="5" t="n"/>
      <c r="U3508" s="8">
        <f>IF(AND(V3508=1,D3508&lt;&gt;""),IF(D3508&gt;=corte,TODAY()-D3508,""),"")</f>
        <v/>
      </c>
      <c r="V3508" s="8">
        <f>IF(D3508="",0,IF(OR(AND(P3508&lt;&gt;"",S3508=""),AND(N(J3508)&gt;0,N(K3508)&lt;J3508),OR(M3508="PENDENTE",M3508="PARCIAL"),OR(N3508="PENDENTE",N3508="PARCIAL")),1,0))</f>
        <v/>
      </c>
      <c r="W3508" s="8">
        <f>IF(AND(V3508=1,D3508&lt;&gt;""),IF(D3508&gt;=corte,(B3508="CRÍTICO")*1E9+(100000-D3508)*10000+10000-ROW(),""),"")</f>
        <v/>
      </c>
      <c r="X3508" s="8">
        <f>IF(AND(V3508=1,D3508=pas_data,E3508=pas_turno),10000-ROW(),"")</f>
        <v/>
      </c>
    </row>
    <row r="3509">
      <c r="A3509" s="3">
        <f>IF(D3509="","","TT-"&amp;TEXT(ROW()-1,"00000"))</f>
        <v/>
      </c>
      <c r="B3509" s="3">
        <f>IF(D3509="","",IF(V3509=0,"CONCLUÍDO",IF(D3509&lt;corte,"HISTÓRICO",IF(OR(AND(ISNUMBER(R3509),R3509&lt;TODAY()),AND(OR(N3509="PENDENTE",N3509="PARCIAL"),D3509&lt;TODAY()-1)),"CRÍTICO",IF(OR(AND(P3509&lt;&gt;"",S3509=""),AND(N3509="REALIZADO",M3509="PENDENTE"),AND(ISNUMBER(R3509),R3509=TODAY())),"ATENÇÃO",IF(N(K3509)=0,"PENDENTE","EM ANDAMENTO"))))))</f>
        <v/>
      </c>
      <c r="C3509" s="3">
        <f>IF(D3509="","",IF(V3509=0,"🟢 OK",IF(D3509&lt;corte,"⚪ HISTÓRICO (sem baixa)",IF(AND(ISNUMBER(R3509),R3509&lt;TODAY()),"🔴 PRAZO VENCIDO",IF(AND(OR(N3509="PENDENTE",N3509="PARCIAL"),D3509&lt;TODAY()-1),"🔴 EMBARQUE ATRASADO",IF(AND(N3509="REALIZADO",M3509="PENDENTE"),"🟡 EMBARCADO SEM FATURAR",IF(AND(P3509&lt;&gt;"",S3509="",OR(Q3509="",R3509="")),"🟡 PENDÊNCIA SEM RESPONSÁVEL/PRAZO",IF(AND(ISNUMBER(R3509),R3509=TODAY()),"🟡 VENCE HOJE",IF(AND(P3509&lt;&gt;"",S3509=""),"🟡 PENDÊNCIA ABERTA",IF(AND(N(J3509)&gt;0,N(K3509)&lt;J3509),"🟡 FALTA EXECUTAR",IF(OR(M3509="PENDENTE",M3509="PARCIAL"),"🟡 FATURAMENTO PENDENTE","🟡 EMBARQUE PENDENTE")))))))))))</f>
        <v/>
      </c>
      <c r="D3509" s="4" t="n"/>
      <c r="E3509" s="5" t="n"/>
      <c r="F3509" s="5" t="n"/>
      <c r="G3509" s="5" t="n"/>
      <c r="H3509" s="5" t="n"/>
      <c r="I3509" s="5" t="n"/>
      <c r="J3509" s="6" t="n"/>
      <c r="K3509" s="6" t="n"/>
      <c r="L3509" s="7">
        <f>IF(OR(D3509="",N(J3509)=0),"",MIN(1,N(K3509)/J3509))</f>
        <v/>
      </c>
      <c r="M3509" s="5" t="n"/>
      <c r="N3509" s="5" t="n"/>
      <c r="O3509" s="5" t="n"/>
      <c r="P3509" s="5" t="n"/>
      <c r="Q3509" s="5" t="n"/>
      <c r="R3509" s="4" t="n"/>
      <c r="S3509" s="4" t="n"/>
      <c r="T3509" s="5" t="n"/>
      <c r="U3509" s="8">
        <f>IF(AND(V3509=1,D3509&lt;&gt;""),IF(D3509&gt;=corte,TODAY()-D3509,""),"")</f>
        <v/>
      </c>
      <c r="V3509" s="8">
        <f>IF(D3509="",0,IF(OR(AND(P3509&lt;&gt;"",S3509=""),AND(N(J3509)&gt;0,N(K3509)&lt;J3509),OR(M3509="PENDENTE",M3509="PARCIAL"),OR(N3509="PENDENTE",N3509="PARCIAL")),1,0))</f>
        <v/>
      </c>
      <c r="W3509" s="8">
        <f>IF(AND(V3509=1,D3509&lt;&gt;""),IF(D3509&gt;=corte,(B3509="CRÍTICO")*1E9+(100000-D3509)*10000+10000-ROW(),""),"")</f>
        <v/>
      </c>
      <c r="X3509" s="8">
        <f>IF(AND(V3509=1,D3509=pas_data,E3509=pas_turno),10000-ROW(),"")</f>
        <v/>
      </c>
    </row>
    <row r="3510">
      <c r="A3510" s="3">
        <f>IF(D3510="","","TT-"&amp;TEXT(ROW()-1,"00000"))</f>
        <v/>
      </c>
      <c r="B3510" s="3">
        <f>IF(D3510="","",IF(V3510=0,"CONCLUÍDO",IF(D3510&lt;corte,"HISTÓRICO",IF(OR(AND(ISNUMBER(R3510),R3510&lt;TODAY()),AND(OR(N3510="PENDENTE",N3510="PARCIAL"),D3510&lt;TODAY()-1)),"CRÍTICO",IF(OR(AND(P3510&lt;&gt;"",S3510=""),AND(N3510="REALIZADO",M3510="PENDENTE"),AND(ISNUMBER(R3510),R3510=TODAY())),"ATENÇÃO",IF(N(K3510)=0,"PENDENTE","EM ANDAMENTO"))))))</f>
        <v/>
      </c>
      <c r="C3510" s="3">
        <f>IF(D3510="","",IF(V3510=0,"🟢 OK",IF(D3510&lt;corte,"⚪ HISTÓRICO (sem baixa)",IF(AND(ISNUMBER(R3510),R3510&lt;TODAY()),"🔴 PRAZO VENCIDO",IF(AND(OR(N3510="PENDENTE",N3510="PARCIAL"),D3510&lt;TODAY()-1),"🔴 EMBARQUE ATRASADO",IF(AND(N3510="REALIZADO",M3510="PENDENTE"),"🟡 EMBARCADO SEM FATURAR",IF(AND(P3510&lt;&gt;"",S3510="",OR(Q3510="",R3510="")),"🟡 PENDÊNCIA SEM RESPONSÁVEL/PRAZO",IF(AND(ISNUMBER(R3510),R3510=TODAY()),"🟡 VENCE HOJE",IF(AND(P3510&lt;&gt;"",S3510=""),"🟡 PENDÊNCIA ABERTA",IF(AND(N(J3510)&gt;0,N(K3510)&lt;J3510),"🟡 FALTA EXECUTAR",IF(OR(M3510="PENDENTE",M3510="PARCIAL"),"🟡 FATURAMENTO PENDENTE","🟡 EMBARQUE PENDENTE")))))))))))</f>
        <v/>
      </c>
      <c r="D3510" s="4" t="n"/>
      <c r="E3510" s="5" t="n"/>
      <c r="F3510" s="5" t="n"/>
      <c r="G3510" s="5" t="n"/>
      <c r="H3510" s="5" t="n"/>
      <c r="I3510" s="5" t="n"/>
      <c r="J3510" s="6" t="n"/>
      <c r="K3510" s="6" t="n"/>
      <c r="L3510" s="7">
        <f>IF(OR(D3510="",N(J3510)=0),"",MIN(1,N(K3510)/J3510))</f>
        <v/>
      </c>
      <c r="M3510" s="5" t="n"/>
      <c r="N3510" s="5" t="n"/>
      <c r="O3510" s="5" t="n"/>
      <c r="P3510" s="5" t="n"/>
      <c r="Q3510" s="5" t="n"/>
      <c r="R3510" s="4" t="n"/>
      <c r="S3510" s="4" t="n"/>
      <c r="T3510" s="5" t="n"/>
      <c r="U3510" s="8">
        <f>IF(AND(V3510=1,D3510&lt;&gt;""),IF(D3510&gt;=corte,TODAY()-D3510,""),"")</f>
        <v/>
      </c>
      <c r="V3510" s="8">
        <f>IF(D3510="",0,IF(OR(AND(P3510&lt;&gt;"",S3510=""),AND(N(J3510)&gt;0,N(K3510)&lt;J3510),OR(M3510="PENDENTE",M3510="PARCIAL"),OR(N3510="PENDENTE",N3510="PARCIAL")),1,0))</f>
        <v/>
      </c>
      <c r="W3510" s="8">
        <f>IF(AND(V3510=1,D3510&lt;&gt;""),IF(D3510&gt;=corte,(B3510="CRÍTICO")*1E9+(100000-D3510)*10000+10000-ROW(),""),"")</f>
        <v/>
      </c>
      <c r="X3510" s="8">
        <f>IF(AND(V3510=1,D3510=pas_data,E3510=pas_turno),10000-ROW(),"")</f>
        <v/>
      </c>
    </row>
    <row r="3511">
      <c r="A3511" s="3">
        <f>IF(D3511="","","TT-"&amp;TEXT(ROW()-1,"00000"))</f>
        <v/>
      </c>
      <c r="B3511" s="3">
        <f>IF(D3511="","",IF(V3511=0,"CONCLUÍDO",IF(D3511&lt;corte,"HISTÓRICO",IF(OR(AND(ISNUMBER(R3511),R3511&lt;TODAY()),AND(OR(N3511="PENDENTE",N3511="PARCIAL"),D3511&lt;TODAY()-1)),"CRÍTICO",IF(OR(AND(P3511&lt;&gt;"",S3511=""),AND(N3511="REALIZADO",M3511="PENDENTE"),AND(ISNUMBER(R3511),R3511=TODAY())),"ATENÇÃO",IF(N(K3511)=0,"PENDENTE","EM ANDAMENTO"))))))</f>
        <v/>
      </c>
      <c r="C3511" s="3">
        <f>IF(D3511="","",IF(V3511=0,"🟢 OK",IF(D3511&lt;corte,"⚪ HISTÓRICO (sem baixa)",IF(AND(ISNUMBER(R3511),R3511&lt;TODAY()),"🔴 PRAZO VENCIDO",IF(AND(OR(N3511="PENDENTE",N3511="PARCIAL"),D3511&lt;TODAY()-1),"🔴 EMBARQUE ATRASADO",IF(AND(N3511="REALIZADO",M3511="PENDENTE"),"🟡 EMBARCADO SEM FATURAR",IF(AND(P3511&lt;&gt;"",S3511="",OR(Q3511="",R3511="")),"🟡 PENDÊNCIA SEM RESPONSÁVEL/PRAZO",IF(AND(ISNUMBER(R3511),R3511=TODAY()),"🟡 VENCE HOJE",IF(AND(P3511&lt;&gt;"",S3511=""),"🟡 PENDÊNCIA ABERTA",IF(AND(N(J3511)&gt;0,N(K3511)&lt;J3511),"🟡 FALTA EXECUTAR",IF(OR(M3511="PENDENTE",M3511="PARCIAL"),"🟡 FATURAMENTO PENDENTE","🟡 EMBARQUE PENDENTE")))))))))))</f>
        <v/>
      </c>
      <c r="D3511" s="4" t="n"/>
      <c r="E3511" s="5" t="n"/>
      <c r="F3511" s="5" t="n"/>
      <c r="G3511" s="5" t="n"/>
      <c r="H3511" s="5" t="n"/>
      <c r="I3511" s="5" t="n"/>
      <c r="J3511" s="6" t="n"/>
      <c r="K3511" s="6" t="n"/>
      <c r="L3511" s="7">
        <f>IF(OR(D3511="",N(J3511)=0),"",MIN(1,N(K3511)/J3511))</f>
        <v/>
      </c>
      <c r="M3511" s="5" t="n"/>
      <c r="N3511" s="5" t="n"/>
      <c r="O3511" s="5" t="n"/>
      <c r="P3511" s="5" t="n"/>
      <c r="Q3511" s="5" t="n"/>
      <c r="R3511" s="4" t="n"/>
      <c r="S3511" s="4" t="n"/>
      <c r="T3511" s="5" t="n"/>
      <c r="U3511" s="8">
        <f>IF(AND(V3511=1,D3511&lt;&gt;""),IF(D3511&gt;=corte,TODAY()-D3511,""),"")</f>
        <v/>
      </c>
      <c r="V3511" s="8">
        <f>IF(D3511="",0,IF(OR(AND(P3511&lt;&gt;"",S3511=""),AND(N(J3511)&gt;0,N(K3511)&lt;J3511),OR(M3511="PENDENTE",M3511="PARCIAL"),OR(N3511="PENDENTE",N3511="PARCIAL")),1,0))</f>
        <v/>
      </c>
      <c r="W3511" s="8">
        <f>IF(AND(V3511=1,D3511&lt;&gt;""),IF(D3511&gt;=corte,(B3511="CRÍTICO")*1E9+(100000-D3511)*10000+10000-ROW(),""),"")</f>
        <v/>
      </c>
      <c r="X3511" s="8">
        <f>IF(AND(V3511=1,D3511=pas_data,E3511=pas_turno),10000-ROW(),"")</f>
        <v/>
      </c>
    </row>
    <row r="3512">
      <c r="A3512" s="3">
        <f>IF(D3512="","","TT-"&amp;TEXT(ROW()-1,"00000"))</f>
        <v/>
      </c>
      <c r="B3512" s="3">
        <f>IF(D3512="","",IF(V3512=0,"CONCLUÍDO",IF(D3512&lt;corte,"HISTÓRICO",IF(OR(AND(ISNUMBER(R3512),R3512&lt;TODAY()),AND(OR(N3512="PENDENTE",N3512="PARCIAL"),D3512&lt;TODAY()-1)),"CRÍTICO",IF(OR(AND(P3512&lt;&gt;"",S3512=""),AND(N3512="REALIZADO",M3512="PENDENTE"),AND(ISNUMBER(R3512),R3512=TODAY())),"ATENÇÃO",IF(N(K3512)=0,"PENDENTE","EM ANDAMENTO"))))))</f>
        <v/>
      </c>
      <c r="C3512" s="3">
        <f>IF(D3512="","",IF(V3512=0,"🟢 OK",IF(D3512&lt;corte,"⚪ HISTÓRICO (sem baixa)",IF(AND(ISNUMBER(R3512),R3512&lt;TODAY()),"🔴 PRAZO VENCIDO",IF(AND(OR(N3512="PENDENTE",N3512="PARCIAL"),D3512&lt;TODAY()-1),"🔴 EMBARQUE ATRASADO",IF(AND(N3512="REALIZADO",M3512="PENDENTE"),"🟡 EMBARCADO SEM FATURAR",IF(AND(P3512&lt;&gt;"",S3512="",OR(Q3512="",R3512="")),"🟡 PENDÊNCIA SEM RESPONSÁVEL/PRAZO",IF(AND(ISNUMBER(R3512),R3512=TODAY()),"🟡 VENCE HOJE",IF(AND(P3512&lt;&gt;"",S3512=""),"🟡 PENDÊNCIA ABERTA",IF(AND(N(J3512)&gt;0,N(K3512)&lt;J3512),"🟡 FALTA EXECUTAR",IF(OR(M3512="PENDENTE",M3512="PARCIAL"),"🟡 FATURAMENTO PENDENTE","🟡 EMBARQUE PENDENTE")))))))))))</f>
        <v/>
      </c>
      <c r="D3512" s="4" t="n"/>
      <c r="E3512" s="5" t="n"/>
      <c r="F3512" s="5" t="n"/>
      <c r="G3512" s="5" t="n"/>
      <c r="H3512" s="5" t="n"/>
      <c r="I3512" s="5" t="n"/>
      <c r="J3512" s="6" t="n"/>
      <c r="K3512" s="6" t="n"/>
      <c r="L3512" s="7">
        <f>IF(OR(D3512="",N(J3512)=0),"",MIN(1,N(K3512)/J3512))</f>
        <v/>
      </c>
      <c r="M3512" s="5" t="n"/>
      <c r="N3512" s="5" t="n"/>
      <c r="O3512" s="5" t="n"/>
      <c r="P3512" s="5" t="n"/>
      <c r="Q3512" s="5" t="n"/>
      <c r="R3512" s="4" t="n"/>
      <c r="S3512" s="4" t="n"/>
      <c r="T3512" s="5" t="n"/>
      <c r="U3512" s="8">
        <f>IF(AND(V3512=1,D3512&lt;&gt;""),IF(D3512&gt;=corte,TODAY()-D3512,""),"")</f>
        <v/>
      </c>
      <c r="V3512" s="8">
        <f>IF(D3512="",0,IF(OR(AND(P3512&lt;&gt;"",S3512=""),AND(N(J3512)&gt;0,N(K3512)&lt;J3512),OR(M3512="PENDENTE",M3512="PARCIAL"),OR(N3512="PENDENTE",N3512="PARCIAL")),1,0))</f>
        <v/>
      </c>
      <c r="W3512" s="8">
        <f>IF(AND(V3512=1,D3512&lt;&gt;""),IF(D3512&gt;=corte,(B3512="CRÍTICO")*1E9+(100000-D3512)*10000+10000-ROW(),""),"")</f>
        <v/>
      </c>
      <c r="X3512" s="8">
        <f>IF(AND(V3512=1,D3512=pas_data,E3512=pas_turno),10000-ROW(),"")</f>
        <v/>
      </c>
    </row>
    <row r="3513">
      <c r="A3513" s="3">
        <f>IF(D3513="","","TT-"&amp;TEXT(ROW()-1,"00000"))</f>
        <v/>
      </c>
      <c r="B3513" s="3">
        <f>IF(D3513="","",IF(V3513=0,"CONCLUÍDO",IF(D3513&lt;corte,"HISTÓRICO",IF(OR(AND(ISNUMBER(R3513),R3513&lt;TODAY()),AND(OR(N3513="PENDENTE",N3513="PARCIAL"),D3513&lt;TODAY()-1)),"CRÍTICO",IF(OR(AND(P3513&lt;&gt;"",S3513=""),AND(N3513="REALIZADO",M3513="PENDENTE"),AND(ISNUMBER(R3513),R3513=TODAY())),"ATENÇÃO",IF(N(K3513)=0,"PENDENTE","EM ANDAMENTO"))))))</f>
        <v/>
      </c>
      <c r="C3513" s="3">
        <f>IF(D3513="","",IF(V3513=0,"🟢 OK",IF(D3513&lt;corte,"⚪ HISTÓRICO (sem baixa)",IF(AND(ISNUMBER(R3513),R3513&lt;TODAY()),"🔴 PRAZO VENCIDO",IF(AND(OR(N3513="PENDENTE",N3513="PARCIAL"),D3513&lt;TODAY()-1),"🔴 EMBARQUE ATRASADO",IF(AND(N3513="REALIZADO",M3513="PENDENTE"),"🟡 EMBARCADO SEM FATURAR",IF(AND(P3513&lt;&gt;"",S3513="",OR(Q3513="",R3513="")),"🟡 PENDÊNCIA SEM RESPONSÁVEL/PRAZO",IF(AND(ISNUMBER(R3513),R3513=TODAY()),"🟡 VENCE HOJE",IF(AND(P3513&lt;&gt;"",S3513=""),"🟡 PENDÊNCIA ABERTA",IF(AND(N(J3513)&gt;0,N(K3513)&lt;J3513),"🟡 FALTA EXECUTAR",IF(OR(M3513="PENDENTE",M3513="PARCIAL"),"🟡 FATURAMENTO PENDENTE","🟡 EMBARQUE PENDENTE")))))))))))</f>
        <v/>
      </c>
      <c r="D3513" s="4" t="n"/>
      <c r="E3513" s="5" t="n"/>
      <c r="F3513" s="5" t="n"/>
      <c r="G3513" s="5" t="n"/>
      <c r="H3513" s="5" t="n"/>
      <c r="I3513" s="5" t="n"/>
      <c r="J3513" s="6" t="n"/>
      <c r="K3513" s="6" t="n"/>
      <c r="L3513" s="7">
        <f>IF(OR(D3513="",N(J3513)=0),"",MIN(1,N(K3513)/J3513))</f>
        <v/>
      </c>
      <c r="M3513" s="5" t="n"/>
      <c r="N3513" s="5" t="n"/>
      <c r="O3513" s="5" t="n"/>
      <c r="P3513" s="5" t="n"/>
      <c r="Q3513" s="5" t="n"/>
      <c r="R3513" s="4" t="n"/>
      <c r="S3513" s="4" t="n"/>
      <c r="T3513" s="5" t="n"/>
      <c r="U3513" s="8">
        <f>IF(AND(V3513=1,D3513&lt;&gt;""),IF(D3513&gt;=corte,TODAY()-D3513,""),"")</f>
        <v/>
      </c>
      <c r="V3513" s="8">
        <f>IF(D3513="",0,IF(OR(AND(P3513&lt;&gt;"",S3513=""),AND(N(J3513)&gt;0,N(K3513)&lt;J3513),OR(M3513="PENDENTE",M3513="PARCIAL"),OR(N3513="PENDENTE",N3513="PARCIAL")),1,0))</f>
        <v/>
      </c>
      <c r="W3513" s="8">
        <f>IF(AND(V3513=1,D3513&lt;&gt;""),IF(D3513&gt;=corte,(B3513="CRÍTICO")*1E9+(100000-D3513)*10000+10000-ROW(),""),"")</f>
        <v/>
      </c>
      <c r="X3513" s="8">
        <f>IF(AND(V3513=1,D3513=pas_data,E3513=pas_turno),10000-ROW(),"")</f>
        <v/>
      </c>
    </row>
    <row r="3514">
      <c r="A3514" s="3">
        <f>IF(D3514="","","TT-"&amp;TEXT(ROW()-1,"00000"))</f>
        <v/>
      </c>
      <c r="B3514" s="3">
        <f>IF(D3514="","",IF(V3514=0,"CONCLUÍDO",IF(D3514&lt;corte,"HISTÓRICO",IF(OR(AND(ISNUMBER(R3514),R3514&lt;TODAY()),AND(OR(N3514="PENDENTE",N3514="PARCIAL"),D3514&lt;TODAY()-1)),"CRÍTICO",IF(OR(AND(P3514&lt;&gt;"",S3514=""),AND(N3514="REALIZADO",M3514="PENDENTE"),AND(ISNUMBER(R3514),R3514=TODAY())),"ATENÇÃO",IF(N(K3514)=0,"PENDENTE","EM ANDAMENTO"))))))</f>
        <v/>
      </c>
      <c r="C3514" s="3">
        <f>IF(D3514="","",IF(V3514=0,"🟢 OK",IF(D3514&lt;corte,"⚪ HISTÓRICO (sem baixa)",IF(AND(ISNUMBER(R3514),R3514&lt;TODAY()),"🔴 PRAZO VENCIDO",IF(AND(OR(N3514="PENDENTE",N3514="PARCIAL"),D3514&lt;TODAY()-1),"🔴 EMBARQUE ATRASADO",IF(AND(N3514="REALIZADO",M3514="PENDENTE"),"🟡 EMBARCADO SEM FATURAR",IF(AND(P3514&lt;&gt;"",S3514="",OR(Q3514="",R3514="")),"🟡 PENDÊNCIA SEM RESPONSÁVEL/PRAZO",IF(AND(ISNUMBER(R3514),R3514=TODAY()),"🟡 VENCE HOJE",IF(AND(P3514&lt;&gt;"",S3514=""),"🟡 PENDÊNCIA ABERTA",IF(AND(N(J3514)&gt;0,N(K3514)&lt;J3514),"🟡 FALTA EXECUTAR",IF(OR(M3514="PENDENTE",M3514="PARCIAL"),"🟡 FATURAMENTO PENDENTE","🟡 EMBARQUE PENDENTE")))))))))))</f>
        <v/>
      </c>
      <c r="D3514" s="4" t="n"/>
      <c r="E3514" s="5" t="n"/>
      <c r="F3514" s="5" t="n"/>
      <c r="G3514" s="5" t="n"/>
      <c r="H3514" s="5" t="n"/>
      <c r="I3514" s="5" t="n"/>
      <c r="J3514" s="6" t="n"/>
      <c r="K3514" s="6" t="n"/>
      <c r="L3514" s="7">
        <f>IF(OR(D3514="",N(J3514)=0),"",MIN(1,N(K3514)/J3514))</f>
        <v/>
      </c>
      <c r="M3514" s="5" t="n"/>
      <c r="N3514" s="5" t="n"/>
      <c r="O3514" s="5" t="n"/>
      <c r="P3514" s="5" t="n"/>
      <c r="Q3514" s="5" t="n"/>
      <c r="R3514" s="4" t="n"/>
      <c r="S3514" s="4" t="n"/>
      <c r="T3514" s="5" t="n"/>
      <c r="U3514" s="8">
        <f>IF(AND(V3514=1,D3514&lt;&gt;""),IF(D3514&gt;=corte,TODAY()-D3514,""),"")</f>
        <v/>
      </c>
      <c r="V3514" s="8">
        <f>IF(D3514="",0,IF(OR(AND(P3514&lt;&gt;"",S3514=""),AND(N(J3514)&gt;0,N(K3514)&lt;J3514),OR(M3514="PENDENTE",M3514="PARCIAL"),OR(N3514="PENDENTE",N3514="PARCIAL")),1,0))</f>
        <v/>
      </c>
      <c r="W3514" s="8">
        <f>IF(AND(V3514=1,D3514&lt;&gt;""),IF(D3514&gt;=corte,(B3514="CRÍTICO")*1E9+(100000-D3514)*10000+10000-ROW(),""),"")</f>
        <v/>
      </c>
      <c r="X3514" s="8">
        <f>IF(AND(V3514=1,D3514=pas_data,E3514=pas_turno),10000-ROW(),"")</f>
        <v/>
      </c>
    </row>
    <row r="3515">
      <c r="A3515" s="3">
        <f>IF(D3515="","","TT-"&amp;TEXT(ROW()-1,"00000"))</f>
        <v/>
      </c>
      <c r="B3515" s="3">
        <f>IF(D3515="","",IF(V3515=0,"CONCLUÍDO",IF(D3515&lt;corte,"HISTÓRICO",IF(OR(AND(ISNUMBER(R3515),R3515&lt;TODAY()),AND(OR(N3515="PENDENTE",N3515="PARCIAL"),D3515&lt;TODAY()-1)),"CRÍTICO",IF(OR(AND(P3515&lt;&gt;"",S3515=""),AND(N3515="REALIZADO",M3515="PENDENTE"),AND(ISNUMBER(R3515),R3515=TODAY())),"ATENÇÃO",IF(N(K3515)=0,"PENDENTE","EM ANDAMENTO"))))))</f>
        <v/>
      </c>
      <c r="C3515" s="3">
        <f>IF(D3515="","",IF(V3515=0,"🟢 OK",IF(D3515&lt;corte,"⚪ HISTÓRICO (sem baixa)",IF(AND(ISNUMBER(R3515),R3515&lt;TODAY()),"🔴 PRAZO VENCIDO",IF(AND(OR(N3515="PENDENTE",N3515="PARCIAL"),D3515&lt;TODAY()-1),"🔴 EMBARQUE ATRASADO",IF(AND(N3515="REALIZADO",M3515="PENDENTE"),"🟡 EMBARCADO SEM FATURAR",IF(AND(P3515&lt;&gt;"",S3515="",OR(Q3515="",R3515="")),"🟡 PENDÊNCIA SEM RESPONSÁVEL/PRAZO",IF(AND(ISNUMBER(R3515),R3515=TODAY()),"🟡 VENCE HOJE",IF(AND(P3515&lt;&gt;"",S3515=""),"🟡 PENDÊNCIA ABERTA",IF(AND(N(J3515)&gt;0,N(K3515)&lt;J3515),"🟡 FALTA EXECUTAR",IF(OR(M3515="PENDENTE",M3515="PARCIAL"),"🟡 FATURAMENTO PENDENTE","🟡 EMBARQUE PENDENTE")))))))))))</f>
        <v/>
      </c>
      <c r="D3515" s="4" t="n"/>
      <c r="E3515" s="5" t="n"/>
      <c r="F3515" s="5" t="n"/>
      <c r="G3515" s="5" t="n"/>
      <c r="H3515" s="5" t="n"/>
      <c r="I3515" s="5" t="n"/>
      <c r="J3515" s="6" t="n"/>
      <c r="K3515" s="6" t="n"/>
      <c r="L3515" s="7">
        <f>IF(OR(D3515="",N(J3515)=0),"",MIN(1,N(K3515)/J3515))</f>
        <v/>
      </c>
      <c r="M3515" s="5" t="n"/>
      <c r="N3515" s="5" t="n"/>
      <c r="O3515" s="5" t="n"/>
      <c r="P3515" s="5" t="n"/>
      <c r="Q3515" s="5" t="n"/>
      <c r="R3515" s="4" t="n"/>
      <c r="S3515" s="4" t="n"/>
      <c r="T3515" s="5" t="n"/>
      <c r="U3515" s="8">
        <f>IF(AND(V3515=1,D3515&lt;&gt;""),IF(D3515&gt;=corte,TODAY()-D3515,""),"")</f>
        <v/>
      </c>
      <c r="V3515" s="8">
        <f>IF(D3515="",0,IF(OR(AND(P3515&lt;&gt;"",S3515=""),AND(N(J3515)&gt;0,N(K3515)&lt;J3515),OR(M3515="PENDENTE",M3515="PARCIAL"),OR(N3515="PENDENTE",N3515="PARCIAL")),1,0))</f>
        <v/>
      </c>
      <c r="W3515" s="8">
        <f>IF(AND(V3515=1,D3515&lt;&gt;""),IF(D3515&gt;=corte,(B3515="CRÍTICO")*1E9+(100000-D3515)*10000+10000-ROW(),""),"")</f>
        <v/>
      </c>
      <c r="X3515" s="8">
        <f>IF(AND(V3515=1,D3515=pas_data,E3515=pas_turno),10000-ROW(),"")</f>
        <v/>
      </c>
    </row>
    <row r="3516">
      <c r="A3516" s="3">
        <f>IF(D3516="","","TT-"&amp;TEXT(ROW()-1,"00000"))</f>
        <v/>
      </c>
      <c r="B3516" s="3">
        <f>IF(D3516="","",IF(V3516=0,"CONCLUÍDO",IF(D3516&lt;corte,"HISTÓRICO",IF(OR(AND(ISNUMBER(R3516),R3516&lt;TODAY()),AND(OR(N3516="PENDENTE",N3516="PARCIAL"),D3516&lt;TODAY()-1)),"CRÍTICO",IF(OR(AND(P3516&lt;&gt;"",S3516=""),AND(N3516="REALIZADO",M3516="PENDENTE"),AND(ISNUMBER(R3516),R3516=TODAY())),"ATENÇÃO",IF(N(K3516)=0,"PENDENTE","EM ANDAMENTO"))))))</f>
        <v/>
      </c>
      <c r="C3516" s="3">
        <f>IF(D3516="","",IF(V3516=0,"🟢 OK",IF(D3516&lt;corte,"⚪ HISTÓRICO (sem baixa)",IF(AND(ISNUMBER(R3516),R3516&lt;TODAY()),"🔴 PRAZO VENCIDO",IF(AND(OR(N3516="PENDENTE",N3516="PARCIAL"),D3516&lt;TODAY()-1),"🔴 EMBARQUE ATRASADO",IF(AND(N3516="REALIZADO",M3516="PENDENTE"),"🟡 EMBARCADO SEM FATURAR",IF(AND(P3516&lt;&gt;"",S3516="",OR(Q3516="",R3516="")),"🟡 PENDÊNCIA SEM RESPONSÁVEL/PRAZO",IF(AND(ISNUMBER(R3516),R3516=TODAY()),"🟡 VENCE HOJE",IF(AND(P3516&lt;&gt;"",S3516=""),"🟡 PENDÊNCIA ABERTA",IF(AND(N(J3516)&gt;0,N(K3516)&lt;J3516),"🟡 FALTA EXECUTAR",IF(OR(M3516="PENDENTE",M3516="PARCIAL"),"🟡 FATURAMENTO PENDENTE","🟡 EMBARQUE PENDENTE")))))))))))</f>
        <v/>
      </c>
      <c r="D3516" s="4" t="n"/>
      <c r="E3516" s="5" t="n"/>
      <c r="F3516" s="5" t="n"/>
      <c r="G3516" s="5" t="n"/>
      <c r="H3516" s="5" t="n"/>
      <c r="I3516" s="5" t="n"/>
      <c r="J3516" s="6" t="n"/>
      <c r="K3516" s="6" t="n"/>
      <c r="L3516" s="7">
        <f>IF(OR(D3516="",N(J3516)=0),"",MIN(1,N(K3516)/J3516))</f>
        <v/>
      </c>
      <c r="M3516" s="5" t="n"/>
      <c r="N3516" s="5" t="n"/>
      <c r="O3516" s="5" t="n"/>
      <c r="P3516" s="5" t="n"/>
      <c r="Q3516" s="5" t="n"/>
      <c r="R3516" s="4" t="n"/>
      <c r="S3516" s="4" t="n"/>
      <c r="T3516" s="5" t="n"/>
      <c r="U3516" s="8">
        <f>IF(AND(V3516=1,D3516&lt;&gt;""),IF(D3516&gt;=corte,TODAY()-D3516,""),"")</f>
        <v/>
      </c>
      <c r="V3516" s="8">
        <f>IF(D3516="",0,IF(OR(AND(P3516&lt;&gt;"",S3516=""),AND(N(J3516)&gt;0,N(K3516)&lt;J3516),OR(M3516="PENDENTE",M3516="PARCIAL"),OR(N3516="PENDENTE",N3516="PARCIAL")),1,0))</f>
        <v/>
      </c>
      <c r="W3516" s="8">
        <f>IF(AND(V3516=1,D3516&lt;&gt;""),IF(D3516&gt;=corte,(B3516="CRÍTICO")*1E9+(100000-D3516)*10000+10000-ROW(),""),"")</f>
        <v/>
      </c>
      <c r="X3516" s="8">
        <f>IF(AND(V3516=1,D3516=pas_data,E3516=pas_turno),10000-ROW(),"")</f>
        <v/>
      </c>
    </row>
    <row r="3517">
      <c r="A3517" s="3">
        <f>IF(D3517="","","TT-"&amp;TEXT(ROW()-1,"00000"))</f>
        <v/>
      </c>
      <c r="B3517" s="3">
        <f>IF(D3517="","",IF(V3517=0,"CONCLUÍDO",IF(D3517&lt;corte,"HISTÓRICO",IF(OR(AND(ISNUMBER(R3517),R3517&lt;TODAY()),AND(OR(N3517="PENDENTE",N3517="PARCIAL"),D3517&lt;TODAY()-1)),"CRÍTICO",IF(OR(AND(P3517&lt;&gt;"",S3517=""),AND(N3517="REALIZADO",M3517="PENDENTE"),AND(ISNUMBER(R3517),R3517=TODAY())),"ATENÇÃO",IF(N(K3517)=0,"PENDENTE","EM ANDAMENTO"))))))</f>
        <v/>
      </c>
      <c r="C3517" s="3">
        <f>IF(D3517="","",IF(V3517=0,"🟢 OK",IF(D3517&lt;corte,"⚪ HISTÓRICO (sem baixa)",IF(AND(ISNUMBER(R3517),R3517&lt;TODAY()),"🔴 PRAZO VENCIDO",IF(AND(OR(N3517="PENDENTE",N3517="PARCIAL"),D3517&lt;TODAY()-1),"🔴 EMBARQUE ATRASADO",IF(AND(N3517="REALIZADO",M3517="PENDENTE"),"🟡 EMBARCADO SEM FATURAR",IF(AND(P3517&lt;&gt;"",S3517="",OR(Q3517="",R3517="")),"🟡 PENDÊNCIA SEM RESPONSÁVEL/PRAZO",IF(AND(ISNUMBER(R3517),R3517=TODAY()),"🟡 VENCE HOJE",IF(AND(P3517&lt;&gt;"",S3517=""),"🟡 PENDÊNCIA ABERTA",IF(AND(N(J3517)&gt;0,N(K3517)&lt;J3517),"🟡 FALTA EXECUTAR",IF(OR(M3517="PENDENTE",M3517="PARCIAL"),"🟡 FATURAMENTO PENDENTE","🟡 EMBARQUE PENDENTE")))))))))))</f>
        <v/>
      </c>
      <c r="D3517" s="4" t="n"/>
      <c r="E3517" s="5" t="n"/>
      <c r="F3517" s="5" t="n"/>
      <c r="G3517" s="5" t="n"/>
      <c r="H3517" s="5" t="n"/>
      <c r="I3517" s="5" t="n"/>
      <c r="J3517" s="6" t="n"/>
      <c r="K3517" s="6" t="n"/>
      <c r="L3517" s="7">
        <f>IF(OR(D3517="",N(J3517)=0),"",MIN(1,N(K3517)/J3517))</f>
        <v/>
      </c>
      <c r="M3517" s="5" t="n"/>
      <c r="N3517" s="5" t="n"/>
      <c r="O3517" s="5" t="n"/>
      <c r="P3517" s="5" t="n"/>
      <c r="Q3517" s="5" t="n"/>
      <c r="R3517" s="4" t="n"/>
      <c r="S3517" s="4" t="n"/>
      <c r="T3517" s="5" t="n"/>
      <c r="U3517" s="8">
        <f>IF(AND(V3517=1,D3517&lt;&gt;""),IF(D3517&gt;=corte,TODAY()-D3517,""),"")</f>
        <v/>
      </c>
      <c r="V3517" s="8">
        <f>IF(D3517="",0,IF(OR(AND(P3517&lt;&gt;"",S3517=""),AND(N(J3517)&gt;0,N(K3517)&lt;J3517),OR(M3517="PENDENTE",M3517="PARCIAL"),OR(N3517="PENDENTE",N3517="PARCIAL")),1,0))</f>
        <v/>
      </c>
      <c r="W3517" s="8">
        <f>IF(AND(V3517=1,D3517&lt;&gt;""),IF(D3517&gt;=corte,(B3517="CRÍTICO")*1E9+(100000-D3517)*10000+10000-ROW(),""),"")</f>
        <v/>
      </c>
      <c r="X3517" s="8">
        <f>IF(AND(V3517=1,D3517=pas_data,E3517=pas_turno),10000-ROW(),"")</f>
        <v/>
      </c>
    </row>
    <row r="3518">
      <c r="A3518" s="3">
        <f>IF(D3518="","","TT-"&amp;TEXT(ROW()-1,"00000"))</f>
        <v/>
      </c>
      <c r="B3518" s="3">
        <f>IF(D3518="","",IF(V3518=0,"CONCLUÍDO",IF(D3518&lt;corte,"HISTÓRICO",IF(OR(AND(ISNUMBER(R3518),R3518&lt;TODAY()),AND(OR(N3518="PENDENTE",N3518="PARCIAL"),D3518&lt;TODAY()-1)),"CRÍTICO",IF(OR(AND(P3518&lt;&gt;"",S3518=""),AND(N3518="REALIZADO",M3518="PENDENTE"),AND(ISNUMBER(R3518),R3518=TODAY())),"ATENÇÃO",IF(N(K3518)=0,"PENDENTE","EM ANDAMENTO"))))))</f>
        <v/>
      </c>
      <c r="C3518" s="3">
        <f>IF(D3518="","",IF(V3518=0,"🟢 OK",IF(D3518&lt;corte,"⚪ HISTÓRICO (sem baixa)",IF(AND(ISNUMBER(R3518),R3518&lt;TODAY()),"🔴 PRAZO VENCIDO",IF(AND(OR(N3518="PENDENTE",N3518="PARCIAL"),D3518&lt;TODAY()-1),"🔴 EMBARQUE ATRASADO",IF(AND(N3518="REALIZADO",M3518="PENDENTE"),"🟡 EMBARCADO SEM FATURAR",IF(AND(P3518&lt;&gt;"",S3518="",OR(Q3518="",R3518="")),"🟡 PENDÊNCIA SEM RESPONSÁVEL/PRAZO",IF(AND(ISNUMBER(R3518),R3518=TODAY()),"🟡 VENCE HOJE",IF(AND(P3518&lt;&gt;"",S3518=""),"🟡 PENDÊNCIA ABERTA",IF(AND(N(J3518)&gt;0,N(K3518)&lt;J3518),"🟡 FALTA EXECUTAR",IF(OR(M3518="PENDENTE",M3518="PARCIAL"),"🟡 FATURAMENTO PENDENTE","🟡 EMBARQUE PENDENTE")))))))))))</f>
        <v/>
      </c>
      <c r="D3518" s="4" t="n"/>
      <c r="E3518" s="5" t="n"/>
      <c r="F3518" s="5" t="n"/>
      <c r="G3518" s="5" t="n"/>
      <c r="H3518" s="5" t="n"/>
      <c r="I3518" s="5" t="n"/>
      <c r="J3518" s="6" t="n"/>
      <c r="K3518" s="6" t="n"/>
      <c r="L3518" s="7">
        <f>IF(OR(D3518="",N(J3518)=0),"",MIN(1,N(K3518)/J3518))</f>
        <v/>
      </c>
      <c r="M3518" s="5" t="n"/>
      <c r="N3518" s="5" t="n"/>
      <c r="O3518" s="5" t="n"/>
      <c r="P3518" s="5" t="n"/>
      <c r="Q3518" s="5" t="n"/>
      <c r="R3518" s="4" t="n"/>
      <c r="S3518" s="4" t="n"/>
      <c r="T3518" s="5" t="n"/>
      <c r="U3518" s="8">
        <f>IF(AND(V3518=1,D3518&lt;&gt;""),IF(D3518&gt;=corte,TODAY()-D3518,""),"")</f>
        <v/>
      </c>
      <c r="V3518" s="8">
        <f>IF(D3518="",0,IF(OR(AND(P3518&lt;&gt;"",S3518=""),AND(N(J3518)&gt;0,N(K3518)&lt;J3518),OR(M3518="PENDENTE",M3518="PARCIAL"),OR(N3518="PENDENTE",N3518="PARCIAL")),1,0))</f>
        <v/>
      </c>
      <c r="W3518" s="8">
        <f>IF(AND(V3518=1,D3518&lt;&gt;""),IF(D3518&gt;=corte,(B3518="CRÍTICO")*1E9+(100000-D3518)*10000+10000-ROW(),""),"")</f>
        <v/>
      </c>
      <c r="X3518" s="8">
        <f>IF(AND(V3518=1,D3518=pas_data,E3518=pas_turno),10000-ROW(),"")</f>
        <v/>
      </c>
    </row>
    <row r="3519">
      <c r="A3519" s="3">
        <f>IF(D3519="","","TT-"&amp;TEXT(ROW()-1,"00000"))</f>
        <v/>
      </c>
      <c r="B3519" s="3">
        <f>IF(D3519="","",IF(V3519=0,"CONCLUÍDO",IF(D3519&lt;corte,"HISTÓRICO",IF(OR(AND(ISNUMBER(R3519),R3519&lt;TODAY()),AND(OR(N3519="PENDENTE",N3519="PARCIAL"),D3519&lt;TODAY()-1)),"CRÍTICO",IF(OR(AND(P3519&lt;&gt;"",S3519=""),AND(N3519="REALIZADO",M3519="PENDENTE"),AND(ISNUMBER(R3519),R3519=TODAY())),"ATENÇÃO",IF(N(K3519)=0,"PENDENTE","EM ANDAMENTO"))))))</f>
        <v/>
      </c>
      <c r="C3519" s="3">
        <f>IF(D3519="","",IF(V3519=0,"🟢 OK",IF(D3519&lt;corte,"⚪ HISTÓRICO (sem baixa)",IF(AND(ISNUMBER(R3519),R3519&lt;TODAY()),"🔴 PRAZO VENCIDO",IF(AND(OR(N3519="PENDENTE",N3519="PARCIAL"),D3519&lt;TODAY()-1),"🔴 EMBARQUE ATRASADO",IF(AND(N3519="REALIZADO",M3519="PENDENTE"),"🟡 EMBARCADO SEM FATURAR",IF(AND(P3519&lt;&gt;"",S3519="",OR(Q3519="",R3519="")),"🟡 PENDÊNCIA SEM RESPONSÁVEL/PRAZO",IF(AND(ISNUMBER(R3519),R3519=TODAY()),"🟡 VENCE HOJE",IF(AND(P3519&lt;&gt;"",S3519=""),"🟡 PENDÊNCIA ABERTA",IF(AND(N(J3519)&gt;0,N(K3519)&lt;J3519),"🟡 FALTA EXECUTAR",IF(OR(M3519="PENDENTE",M3519="PARCIAL"),"🟡 FATURAMENTO PENDENTE","🟡 EMBARQUE PENDENTE")))))))))))</f>
        <v/>
      </c>
      <c r="D3519" s="4" t="n"/>
      <c r="E3519" s="5" t="n"/>
      <c r="F3519" s="5" t="n"/>
      <c r="G3519" s="5" t="n"/>
      <c r="H3519" s="5" t="n"/>
      <c r="I3519" s="5" t="n"/>
      <c r="J3519" s="6" t="n"/>
      <c r="K3519" s="6" t="n"/>
      <c r="L3519" s="7">
        <f>IF(OR(D3519="",N(J3519)=0),"",MIN(1,N(K3519)/J3519))</f>
        <v/>
      </c>
      <c r="M3519" s="5" t="n"/>
      <c r="N3519" s="5" t="n"/>
      <c r="O3519" s="5" t="n"/>
      <c r="P3519" s="5" t="n"/>
      <c r="Q3519" s="5" t="n"/>
      <c r="R3519" s="4" t="n"/>
      <c r="S3519" s="4" t="n"/>
      <c r="T3519" s="5" t="n"/>
      <c r="U3519" s="8">
        <f>IF(AND(V3519=1,D3519&lt;&gt;""),IF(D3519&gt;=corte,TODAY()-D3519,""),"")</f>
        <v/>
      </c>
      <c r="V3519" s="8">
        <f>IF(D3519="",0,IF(OR(AND(P3519&lt;&gt;"",S3519=""),AND(N(J3519)&gt;0,N(K3519)&lt;J3519),OR(M3519="PENDENTE",M3519="PARCIAL"),OR(N3519="PENDENTE",N3519="PARCIAL")),1,0))</f>
        <v/>
      </c>
      <c r="W3519" s="8">
        <f>IF(AND(V3519=1,D3519&lt;&gt;""),IF(D3519&gt;=corte,(B3519="CRÍTICO")*1E9+(100000-D3519)*10000+10000-ROW(),""),"")</f>
        <v/>
      </c>
      <c r="X3519" s="8">
        <f>IF(AND(V3519=1,D3519=pas_data,E3519=pas_turno),10000-ROW(),"")</f>
        <v/>
      </c>
    </row>
    <row r="3520">
      <c r="A3520" s="3">
        <f>IF(D3520="","","TT-"&amp;TEXT(ROW()-1,"00000"))</f>
        <v/>
      </c>
      <c r="B3520" s="3">
        <f>IF(D3520="","",IF(V3520=0,"CONCLUÍDO",IF(D3520&lt;corte,"HISTÓRICO",IF(OR(AND(ISNUMBER(R3520),R3520&lt;TODAY()),AND(OR(N3520="PENDENTE",N3520="PARCIAL"),D3520&lt;TODAY()-1)),"CRÍTICO",IF(OR(AND(P3520&lt;&gt;"",S3520=""),AND(N3520="REALIZADO",M3520="PENDENTE"),AND(ISNUMBER(R3520),R3520=TODAY())),"ATENÇÃO",IF(N(K3520)=0,"PENDENTE","EM ANDAMENTO"))))))</f>
        <v/>
      </c>
      <c r="C3520" s="3">
        <f>IF(D3520="","",IF(V3520=0,"🟢 OK",IF(D3520&lt;corte,"⚪ HISTÓRICO (sem baixa)",IF(AND(ISNUMBER(R3520),R3520&lt;TODAY()),"🔴 PRAZO VENCIDO",IF(AND(OR(N3520="PENDENTE",N3520="PARCIAL"),D3520&lt;TODAY()-1),"🔴 EMBARQUE ATRASADO",IF(AND(N3520="REALIZADO",M3520="PENDENTE"),"🟡 EMBARCADO SEM FATURAR",IF(AND(P3520&lt;&gt;"",S3520="",OR(Q3520="",R3520="")),"🟡 PENDÊNCIA SEM RESPONSÁVEL/PRAZO",IF(AND(ISNUMBER(R3520),R3520=TODAY()),"🟡 VENCE HOJE",IF(AND(P3520&lt;&gt;"",S3520=""),"🟡 PENDÊNCIA ABERTA",IF(AND(N(J3520)&gt;0,N(K3520)&lt;J3520),"🟡 FALTA EXECUTAR",IF(OR(M3520="PENDENTE",M3520="PARCIAL"),"🟡 FATURAMENTO PENDENTE","🟡 EMBARQUE PENDENTE")))))))))))</f>
        <v/>
      </c>
      <c r="D3520" s="4" t="n"/>
      <c r="E3520" s="5" t="n"/>
      <c r="F3520" s="5" t="n"/>
      <c r="G3520" s="5" t="n"/>
      <c r="H3520" s="5" t="n"/>
      <c r="I3520" s="5" t="n"/>
      <c r="J3520" s="6" t="n"/>
      <c r="K3520" s="6" t="n"/>
      <c r="L3520" s="7">
        <f>IF(OR(D3520="",N(J3520)=0),"",MIN(1,N(K3520)/J3520))</f>
        <v/>
      </c>
      <c r="M3520" s="5" t="n"/>
      <c r="N3520" s="5" t="n"/>
      <c r="O3520" s="5" t="n"/>
      <c r="P3520" s="5" t="n"/>
      <c r="Q3520" s="5" t="n"/>
      <c r="R3520" s="4" t="n"/>
      <c r="S3520" s="4" t="n"/>
      <c r="T3520" s="5" t="n"/>
      <c r="U3520" s="8">
        <f>IF(AND(V3520=1,D3520&lt;&gt;""),IF(D3520&gt;=corte,TODAY()-D3520,""),"")</f>
        <v/>
      </c>
      <c r="V3520" s="8">
        <f>IF(D3520="",0,IF(OR(AND(P3520&lt;&gt;"",S3520=""),AND(N(J3520)&gt;0,N(K3520)&lt;J3520),OR(M3520="PENDENTE",M3520="PARCIAL"),OR(N3520="PENDENTE",N3520="PARCIAL")),1,0))</f>
        <v/>
      </c>
      <c r="W3520" s="8">
        <f>IF(AND(V3520=1,D3520&lt;&gt;""),IF(D3520&gt;=corte,(B3520="CRÍTICO")*1E9+(100000-D3520)*10000+10000-ROW(),""),"")</f>
        <v/>
      </c>
      <c r="X3520" s="8">
        <f>IF(AND(V3520=1,D3520=pas_data,E3520=pas_turno),10000-ROW(),"")</f>
        <v/>
      </c>
    </row>
    <row r="3521">
      <c r="A3521" s="3">
        <f>IF(D3521="","","TT-"&amp;TEXT(ROW()-1,"00000"))</f>
        <v/>
      </c>
      <c r="B3521" s="3">
        <f>IF(D3521="","",IF(V3521=0,"CONCLUÍDO",IF(D3521&lt;corte,"HISTÓRICO",IF(OR(AND(ISNUMBER(R3521),R3521&lt;TODAY()),AND(OR(N3521="PENDENTE",N3521="PARCIAL"),D3521&lt;TODAY()-1)),"CRÍTICO",IF(OR(AND(P3521&lt;&gt;"",S3521=""),AND(N3521="REALIZADO",M3521="PENDENTE"),AND(ISNUMBER(R3521),R3521=TODAY())),"ATENÇÃO",IF(N(K3521)=0,"PENDENTE","EM ANDAMENTO"))))))</f>
        <v/>
      </c>
      <c r="C3521" s="3">
        <f>IF(D3521="","",IF(V3521=0,"🟢 OK",IF(D3521&lt;corte,"⚪ HISTÓRICO (sem baixa)",IF(AND(ISNUMBER(R3521),R3521&lt;TODAY()),"🔴 PRAZO VENCIDO",IF(AND(OR(N3521="PENDENTE",N3521="PARCIAL"),D3521&lt;TODAY()-1),"🔴 EMBARQUE ATRASADO",IF(AND(N3521="REALIZADO",M3521="PENDENTE"),"🟡 EMBARCADO SEM FATURAR",IF(AND(P3521&lt;&gt;"",S3521="",OR(Q3521="",R3521="")),"🟡 PENDÊNCIA SEM RESPONSÁVEL/PRAZO",IF(AND(ISNUMBER(R3521),R3521=TODAY()),"🟡 VENCE HOJE",IF(AND(P3521&lt;&gt;"",S3521=""),"🟡 PENDÊNCIA ABERTA",IF(AND(N(J3521)&gt;0,N(K3521)&lt;J3521),"🟡 FALTA EXECUTAR",IF(OR(M3521="PENDENTE",M3521="PARCIAL"),"🟡 FATURAMENTO PENDENTE","🟡 EMBARQUE PENDENTE")))))))))))</f>
        <v/>
      </c>
      <c r="D3521" s="4" t="n"/>
      <c r="E3521" s="5" t="n"/>
      <c r="F3521" s="5" t="n"/>
      <c r="G3521" s="5" t="n"/>
      <c r="H3521" s="5" t="n"/>
      <c r="I3521" s="5" t="n"/>
      <c r="J3521" s="6" t="n"/>
      <c r="K3521" s="6" t="n"/>
      <c r="L3521" s="7">
        <f>IF(OR(D3521="",N(J3521)=0),"",MIN(1,N(K3521)/J3521))</f>
        <v/>
      </c>
      <c r="M3521" s="5" t="n"/>
      <c r="N3521" s="5" t="n"/>
      <c r="O3521" s="5" t="n"/>
      <c r="P3521" s="5" t="n"/>
      <c r="Q3521" s="5" t="n"/>
      <c r="R3521" s="4" t="n"/>
      <c r="S3521" s="4" t="n"/>
      <c r="T3521" s="5" t="n"/>
      <c r="U3521" s="8">
        <f>IF(AND(V3521=1,D3521&lt;&gt;""),IF(D3521&gt;=corte,TODAY()-D3521,""),"")</f>
        <v/>
      </c>
      <c r="V3521" s="8">
        <f>IF(D3521="",0,IF(OR(AND(P3521&lt;&gt;"",S3521=""),AND(N(J3521)&gt;0,N(K3521)&lt;J3521),OR(M3521="PENDENTE",M3521="PARCIAL"),OR(N3521="PENDENTE",N3521="PARCIAL")),1,0))</f>
        <v/>
      </c>
      <c r="W3521" s="8">
        <f>IF(AND(V3521=1,D3521&lt;&gt;""),IF(D3521&gt;=corte,(B3521="CRÍTICO")*1E9+(100000-D3521)*10000+10000-ROW(),""),"")</f>
        <v/>
      </c>
      <c r="X3521" s="8">
        <f>IF(AND(V3521=1,D3521=pas_data,E3521=pas_turno),10000-ROW(),"")</f>
        <v/>
      </c>
    </row>
    <row r="3522">
      <c r="A3522" s="3">
        <f>IF(D3522="","","TT-"&amp;TEXT(ROW()-1,"00000"))</f>
        <v/>
      </c>
      <c r="B3522" s="3">
        <f>IF(D3522="","",IF(V3522=0,"CONCLUÍDO",IF(D3522&lt;corte,"HISTÓRICO",IF(OR(AND(ISNUMBER(R3522),R3522&lt;TODAY()),AND(OR(N3522="PENDENTE",N3522="PARCIAL"),D3522&lt;TODAY()-1)),"CRÍTICO",IF(OR(AND(P3522&lt;&gt;"",S3522=""),AND(N3522="REALIZADO",M3522="PENDENTE"),AND(ISNUMBER(R3522),R3522=TODAY())),"ATENÇÃO",IF(N(K3522)=0,"PENDENTE","EM ANDAMENTO"))))))</f>
        <v/>
      </c>
      <c r="C3522" s="3">
        <f>IF(D3522="","",IF(V3522=0,"🟢 OK",IF(D3522&lt;corte,"⚪ HISTÓRICO (sem baixa)",IF(AND(ISNUMBER(R3522),R3522&lt;TODAY()),"🔴 PRAZO VENCIDO",IF(AND(OR(N3522="PENDENTE",N3522="PARCIAL"),D3522&lt;TODAY()-1),"🔴 EMBARQUE ATRASADO",IF(AND(N3522="REALIZADO",M3522="PENDENTE"),"🟡 EMBARCADO SEM FATURAR",IF(AND(P3522&lt;&gt;"",S3522="",OR(Q3522="",R3522="")),"🟡 PENDÊNCIA SEM RESPONSÁVEL/PRAZO",IF(AND(ISNUMBER(R3522),R3522=TODAY()),"🟡 VENCE HOJE",IF(AND(P3522&lt;&gt;"",S3522=""),"🟡 PENDÊNCIA ABERTA",IF(AND(N(J3522)&gt;0,N(K3522)&lt;J3522),"🟡 FALTA EXECUTAR",IF(OR(M3522="PENDENTE",M3522="PARCIAL"),"🟡 FATURAMENTO PENDENTE","🟡 EMBARQUE PENDENTE")))))))))))</f>
        <v/>
      </c>
      <c r="D3522" s="4" t="n"/>
      <c r="E3522" s="5" t="n"/>
      <c r="F3522" s="5" t="n"/>
      <c r="G3522" s="5" t="n"/>
      <c r="H3522" s="5" t="n"/>
      <c r="I3522" s="5" t="n"/>
      <c r="J3522" s="6" t="n"/>
      <c r="K3522" s="6" t="n"/>
      <c r="L3522" s="7">
        <f>IF(OR(D3522="",N(J3522)=0),"",MIN(1,N(K3522)/J3522))</f>
        <v/>
      </c>
      <c r="M3522" s="5" t="n"/>
      <c r="N3522" s="5" t="n"/>
      <c r="O3522" s="5" t="n"/>
      <c r="P3522" s="5" t="n"/>
      <c r="Q3522" s="5" t="n"/>
      <c r="R3522" s="4" t="n"/>
      <c r="S3522" s="4" t="n"/>
      <c r="T3522" s="5" t="n"/>
      <c r="U3522" s="8">
        <f>IF(AND(V3522=1,D3522&lt;&gt;""),IF(D3522&gt;=corte,TODAY()-D3522,""),"")</f>
        <v/>
      </c>
      <c r="V3522" s="8">
        <f>IF(D3522="",0,IF(OR(AND(P3522&lt;&gt;"",S3522=""),AND(N(J3522)&gt;0,N(K3522)&lt;J3522),OR(M3522="PENDENTE",M3522="PARCIAL"),OR(N3522="PENDENTE",N3522="PARCIAL")),1,0))</f>
        <v/>
      </c>
      <c r="W3522" s="8">
        <f>IF(AND(V3522=1,D3522&lt;&gt;""),IF(D3522&gt;=corte,(B3522="CRÍTICO")*1E9+(100000-D3522)*10000+10000-ROW(),""),"")</f>
        <v/>
      </c>
      <c r="X3522" s="8">
        <f>IF(AND(V3522=1,D3522=pas_data,E3522=pas_turno),10000-ROW(),"")</f>
        <v/>
      </c>
    </row>
    <row r="3523">
      <c r="A3523" s="3">
        <f>IF(D3523="","","TT-"&amp;TEXT(ROW()-1,"00000"))</f>
        <v/>
      </c>
      <c r="B3523" s="3">
        <f>IF(D3523="","",IF(V3523=0,"CONCLUÍDO",IF(D3523&lt;corte,"HISTÓRICO",IF(OR(AND(ISNUMBER(R3523),R3523&lt;TODAY()),AND(OR(N3523="PENDENTE",N3523="PARCIAL"),D3523&lt;TODAY()-1)),"CRÍTICO",IF(OR(AND(P3523&lt;&gt;"",S3523=""),AND(N3523="REALIZADO",M3523="PENDENTE"),AND(ISNUMBER(R3523),R3523=TODAY())),"ATENÇÃO",IF(N(K3523)=0,"PENDENTE","EM ANDAMENTO"))))))</f>
        <v/>
      </c>
      <c r="C3523" s="3">
        <f>IF(D3523="","",IF(V3523=0,"🟢 OK",IF(D3523&lt;corte,"⚪ HISTÓRICO (sem baixa)",IF(AND(ISNUMBER(R3523),R3523&lt;TODAY()),"🔴 PRAZO VENCIDO",IF(AND(OR(N3523="PENDENTE",N3523="PARCIAL"),D3523&lt;TODAY()-1),"🔴 EMBARQUE ATRASADO",IF(AND(N3523="REALIZADO",M3523="PENDENTE"),"🟡 EMBARCADO SEM FATURAR",IF(AND(P3523&lt;&gt;"",S3523="",OR(Q3523="",R3523="")),"🟡 PENDÊNCIA SEM RESPONSÁVEL/PRAZO",IF(AND(ISNUMBER(R3523),R3523=TODAY()),"🟡 VENCE HOJE",IF(AND(P3523&lt;&gt;"",S3523=""),"🟡 PENDÊNCIA ABERTA",IF(AND(N(J3523)&gt;0,N(K3523)&lt;J3523),"🟡 FALTA EXECUTAR",IF(OR(M3523="PENDENTE",M3523="PARCIAL"),"🟡 FATURAMENTO PENDENTE","🟡 EMBARQUE PENDENTE")))))))))))</f>
        <v/>
      </c>
      <c r="D3523" s="4" t="n"/>
      <c r="E3523" s="5" t="n"/>
      <c r="F3523" s="5" t="n"/>
      <c r="G3523" s="5" t="n"/>
      <c r="H3523" s="5" t="n"/>
      <c r="I3523" s="5" t="n"/>
      <c r="J3523" s="6" t="n"/>
      <c r="K3523" s="6" t="n"/>
      <c r="L3523" s="7">
        <f>IF(OR(D3523="",N(J3523)=0),"",MIN(1,N(K3523)/J3523))</f>
        <v/>
      </c>
      <c r="M3523" s="5" t="n"/>
      <c r="N3523" s="5" t="n"/>
      <c r="O3523" s="5" t="n"/>
      <c r="P3523" s="5" t="n"/>
      <c r="Q3523" s="5" t="n"/>
      <c r="R3523" s="4" t="n"/>
      <c r="S3523" s="4" t="n"/>
      <c r="T3523" s="5" t="n"/>
      <c r="U3523" s="8">
        <f>IF(AND(V3523=1,D3523&lt;&gt;""),IF(D3523&gt;=corte,TODAY()-D3523,""),"")</f>
        <v/>
      </c>
      <c r="V3523" s="8">
        <f>IF(D3523="",0,IF(OR(AND(P3523&lt;&gt;"",S3523=""),AND(N(J3523)&gt;0,N(K3523)&lt;J3523),OR(M3523="PENDENTE",M3523="PARCIAL"),OR(N3523="PENDENTE",N3523="PARCIAL")),1,0))</f>
        <v/>
      </c>
      <c r="W3523" s="8">
        <f>IF(AND(V3523=1,D3523&lt;&gt;""),IF(D3523&gt;=corte,(B3523="CRÍTICO")*1E9+(100000-D3523)*10000+10000-ROW(),""),"")</f>
        <v/>
      </c>
      <c r="X3523" s="8">
        <f>IF(AND(V3523=1,D3523=pas_data,E3523=pas_turno),10000-ROW(),"")</f>
        <v/>
      </c>
    </row>
    <row r="3524">
      <c r="A3524" s="3">
        <f>IF(D3524="","","TT-"&amp;TEXT(ROW()-1,"00000"))</f>
        <v/>
      </c>
      <c r="B3524" s="3">
        <f>IF(D3524="","",IF(V3524=0,"CONCLUÍDO",IF(D3524&lt;corte,"HISTÓRICO",IF(OR(AND(ISNUMBER(R3524),R3524&lt;TODAY()),AND(OR(N3524="PENDENTE",N3524="PARCIAL"),D3524&lt;TODAY()-1)),"CRÍTICO",IF(OR(AND(P3524&lt;&gt;"",S3524=""),AND(N3524="REALIZADO",M3524="PENDENTE"),AND(ISNUMBER(R3524),R3524=TODAY())),"ATENÇÃO",IF(N(K3524)=0,"PENDENTE","EM ANDAMENTO"))))))</f>
        <v/>
      </c>
      <c r="C3524" s="3">
        <f>IF(D3524="","",IF(V3524=0,"🟢 OK",IF(D3524&lt;corte,"⚪ HISTÓRICO (sem baixa)",IF(AND(ISNUMBER(R3524),R3524&lt;TODAY()),"🔴 PRAZO VENCIDO",IF(AND(OR(N3524="PENDENTE",N3524="PARCIAL"),D3524&lt;TODAY()-1),"🔴 EMBARQUE ATRASADO",IF(AND(N3524="REALIZADO",M3524="PENDENTE"),"🟡 EMBARCADO SEM FATURAR",IF(AND(P3524&lt;&gt;"",S3524="",OR(Q3524="",R3524="")),"🟡 PENDÊNCIA SEM RESPONSÁVEL/PRAZO",IF(AND(ISNUMBER(R3524),R3524=TODAY()),"🟡 VENCE HOJE",IF(AND(P3524&lt;&gt;"",S3524=""),"🟡 PENDÊNCIA ABERTA",IF(AND(N(J3524)&gt;0,N(K3524)&lt;J3524),"🟡 FALTA EXECUTAR",IF(OR(M3524="PENDENTE",M3524="PARCIAL"),"🟡 FATURAMENTO PENDENTE","🟡 EMBARQUE PENDENTE")))))))))))</f>
        <v/>
      </c>
      <c r="D3524" s="4" t="n"/>
      <c r="E3524" s="5" t="n"/>
      <c r="F3524" s="5" t="n"/>
      <c r="G3524" s="5" t="n"/>
      <c r="H3524" s="5" t="n"/>
      <c r="I3524" s="5" t="n"/>
      <c r="J3524" s="6" t="n"/>
      <c r="K3524" s="6" t="n"/>
      <c r="L3524" s="7">
        <f>IF(OR(D3524="",N(J3524)=0),"",MIN(1,N(K3524)/J3524))</f>
        <v/>
      </c>
      <c r="M3524" s="5" t="n"/>
      <c r="N3524" s="5" t="n"/>
      <c r="O3524" s="5" t="n"/>
      <c r="P3524" s="5" t="n"/>
      <c r="Q3524" s="5" t="n"/>
      <c r="R3524" s="4" t="n"/>
      <c r="S3524" s="4" t="n"/>
      <c r="T3524" s="5" t="n"/>
      <c r="U3524" s="8">
        <f>IF(AND(V3524=1,D3524&lt;&gt;""),IF(D3524&gt;=corte,TODAY()-D3524,""),"")</f>
        <v/>
      </c>
      <c r="V3524" s="8">
        <f>IF(D3524="",0,IF(OR(AND(P3524&lt;&gt;"",S3524=""),AND(N(J3524)&gt;0,N(K3524)&lt;J3524),OR(M3524="PENDENTE",M3524="PARCIAL"),OR(N3524="PENDENTE",N3524="PARCIAL")),1,0))</f>
        <v/>
      </c>
      <c r="W3524" s="8">
        <f>IF(AND(V3524=1,D3524&lt;&gt;""),IF(D3524&gt;=corte,(B3524="CRÍTICO")*1E9+(100000-D3524)*10000+10000-ROW(),""),"")</f>
        <v/>
      </c>
      <c r="X3524" s="8">
        <f>IF(AND(V3524=1,D3524=pas_data,E3524=pas_turno),10000-ROW(),"")</f>
        <v/>
      </c>
    </row>
    <row r="3525">
      <c r="A3525" s="3">
        <f>IF(D3525="","","TT-"&amp;TEXT(ROW()-1,"00000"))</f>
        <v/>
      </c>
      <c r="B3525" s="3">
        <f>IF(D3525="","",IF(V3525=0,"CONCLUÍDO",IF(D3525&lt;corte,"HISTÓRICO",IF(OR(AND(ISNUMBER(R3525),R3525&lt;TODAY()),AND(OR(N3525="PENDENTE",N3525="PARCIAL"),D3525&lt;TODAY()-1)),"CRÍTICO",IF(OR(AND(P3525&lt;&gt;"",S3525=""),AND(N3525="REALIZADO",M3525="PENDENTE"),AND(ISNUMBER(R3525),R3525=TODAY())),"ATENÇÃO",IF(N(K3525)=0,"PENDENTE","EM ANDAMENTO"))))))</f>
        <v/>
      </c>
      <c r="C3525" s="3">
        <f>IF(D3525="","",IF(V3525=0,"🟢 OK",IF(D3525&lt;corte,"⚪ HISTÓRICO (sem baixa)",IF(AND(ISNUMBER(R3525),R3525&lt;TODAY()),"🔴 PRAZO VENCIDO",IF(AND(OR(N3525="PENDENTE",N3525="PARCIAL"),D3525&lt;TODAY()-1),"🔴 EMBARQUE ATRASADO",IF(AND(N3525="REALIZADO",M3525="PENDENTE"),"🟡 EMBARCADO SEM FATURAR",IF(AND(P3525&lt;&gt;"",S3525="",OR(Q3525="",R3525="")),"🟡 PENDÊNCIA SEM RESPONSÁVEL/PRAZO",IF(AND(ISNUMBER(R3525),R3525=TODAY()),"🟡 VENCE HOJE",IF(AND(P3525&lt;&gt;"",S3525=""),"🟡 PENDÊNCIA ABERTA",IF(AND(N(J3525)&gt;0,N(K3525)&lt;J3525),"🟡 FALTA EXECUTAR",IF(OR(M3525="PENDENTE",M3525="PARCIAL"),"🟡 FATURAMENTO PENDENTE","🟡 EMBARQUE PENDENTE")))))))))))</f>
        <v/>
      </c>
      <c r="D3525" s="4" t="n"/>
      <c r="E3525" s="5" t="n"/>
      <c r="F3525" s="5" t="n"/>
      <c r="G3525" s="5" t="n"/>
      <c r="H3525" s="5" t="n"/>
      <c r="I3525" s="5" t="n"/>
      <c r="J3525" s="6" t="n"/>
      <c r="K3525" s="6" t="n"/>
      <c r="L3525" s="7">
        <f>IF(OR(D3525="",N(J3525)=0),"",MIN(1,N(K3525)/J3525))</f>
        <v/>
      </c>
      <c r="M3525" s="5" t="n"/>
      <c r="N3525" s="5" t="n"/>
      <c r="O3525" s="5" t="n"/>
      <c r="P3525" s="5" t="n"/>
      <c r="Q3525" s="5" t="n"/>
      <c r="R3525" s="4" t="n"/>
      <c r="S3525" s="4" t="n"/>
      <c r="T3525" s="5" t="n"/>
      <c r="U3525" s="8">
        <f>IF(AND(V3525=1,D3525&lt;&gt;""),IF(D3525&gt;=corte,TODAY()-D3525,""),"")</f>
        <v/>
      </c>
      <c r="V3525" s="8">
        <f>IF(D3525="",0,IF(OR(AND(P3525&lt;&gt;"",S3525=""),AND(N(J3525)&gt;0,N(K3525)&lt;J3525),OR(M3525="PENDENTE",M3525="PARCIAL"),OR(N3525="PENDENTE",N3525="PARCIAL")),1,0))</f>
        <v/>
      </c>
      <c r="W3525" s="8">
        <f>IF(AND(V3525=1,D3525&lt;&gt;""),IF(D3525&gt;=corte,(B3525="CRÍTICO")*1E9+(100000-D3525)*10000+10000-ROW(),""),"")</f>
        <v/>
      </c>
      <c r="X3525" s="8">
        <f>IF(AND(V3525=1,D3525=pas_data,E3525=pas_turno),10000-ROW(),"")</f>
        <v/>
      </c>
    </row>
    <row r="3526">
      <c r="A3526" s="3">
        <f>IF(D3526="","","TT-"&amp;TEXT(ROW()-1,"00000"))</f>
        <v/>
      </c>
      <c r="B3526" s="3">
        <f>IF(D3526="","",IF(V3526=0,"CONCLUÍDO",IF(D3526&lt;corte,"HISTÓRICO",IF(OR(AND(ISNUMBER(R3526),R3526&lt;TODAY()),AND(OR(N3526="PENDENTE",N3526="PARCIAL"),D3526&lt;TODAY()-1)),"CRÍTICO",IF(OR(AND(P3526&lt;&gt;"",S3526=""),AND(N3526="REALIZADO",M3526="PENDENTE"),AND(ISNUMBER(R3526),R3526=TODAY())),"ATENÇÃO",IF(N(K3526)=0,"PENDENTE","EM ANDAMENTO"))))))</f>
        <v/>
      </c>
      <c r="C3526" s="3">
        <f>IF(D3526="","",IF(V3526=0,"🟢 OK",IF(D3526&lt;corte,"⚪ HISTÓRICO (sem baixa)",IF(AND(ISNUMBER(R3526),R3526&lt;TODAY()),"🔴 PRAZO VENCIDO",IF(AND(OR(N3526="PENDENTE",N3526="PARCIAL"),D3526&lt;TODAY()-1),"🔴 EMBARQUE ATRASADO",IF(AND(N3526="REALIZADO",M3526="PENDENTE"),"🟡 EMBARCADO SEM FATURAR",IF(AND(P3526&lt;&gt;"",S3526="",OR(Q3526="",R3526="")),"🟡 PENDÊNCIA SEM RESPONSÁVEL/PRAZO",IF(AND(ISNUMBER(R3526),R3526=TODAY()),"🟡 VENCE HOJE",IF(AND(P3526&lt;&gt;"",S3526=""),"🟡 PENDÊNCIA ABERTA",IF(AND(N(J3526)&gt;0,N(K3526)&lt;J3526),"🟡 FALTA EXECUTAR",IF(OR(M3526="PENDENTE",M3526="PARCIAL"),"🟡 FATURAMENTO PENDENTE","🟡 EMBARQUE PENDENTE")))))))))))</f>
        <v/>
      </c>
      <c r="D3526" s="4" t="n"/>
      <c r="E3526" s="5" t="n"/>
      <c r="F3526" s="5" t="n"/>
      <c r="G3526" s="5" t="n"/>
      <c r="H3526" s="5" t="n"/>
      <c r="I3526" s="5" t="n"/>
      <c r="J3526" s="6" t="n"/>
      <c r="K3526" s="6" t="n"/>
      <c r="L3526" s="7">
        <f>IF(OR(D3526="",N(J3526)=0),"",MIN(1,N(K3526)/J3526))</f>
        <v/>
      </c>
      <c r="M3526" s="5" t="n"/>
      <c r="N3526" s="5" t="n"/>
      <c r="O3526" s="5" t="n"/>
      <c r="P3526" s="5" t="n"/>
      <c r="Q3526" s="5" t="n"/>
      <c r="R3526" s="4" t="n"/>
      <c r="S3526" s="4" t="n"/>
      <c r="T3526" s="5" t="n"/>
      <c r="U3526" s="8">
        <f>IF(AND(V3526=1,D3526&lt;&gt;""),IF(D3526&gt;=corte,TODAY()-D3526,""),"")</f>
        <v/>
      </c>
      <c r="V3526" s="8">
        <f>IF(D3526="",0,IF(OR(AND(P3526&lt;&gt;"",S3526=""),AND(N(J3526)&gt;0,N(K3526)&lt;J3526),OR(M3526="PENDENTE",M3526="PARCIAL"),OR(N3526="PENDENTE",N3526="PARCIAL")),1,0))</f>
        <v/>
      </c>
      <c r="W3526" s="8">
        <f>IF(AND(V3526=1,D3526&lt;&gt;""),IF(D3526&gt;=corte,(B3526="CRÍTICO")*1E9+(100000-D3526)*10000+10000-ROW(),""),"")</f>
        <v/>
      </c>
      <c r="X3526" s="8">
        <f>IF(AND(V3526=1,D3526=pas_data,E3526=pas_turno),10000-ROW(),"")</f>
        <v/>
      </c>
    </row>
    <row r="3527">
      <c r="A3527" s="3">
        <f>IF(D3527="","","TT-"&amp;TEXT(ROW()-1,"00000"))</f>
        <v/>
      </c>
      <c r="B3527" s="3">
        <f>IF(D3527="","",IF(V3527=0,"CONCLUÍDO",IF(D3527&lt;corte,"HISTÓRICO",IF(OR(AND(ISNUMBER(R3527),R3527&lt;TODAY()),AND(OR(N3527="PENDENTE",N3527="PARCIAL"),D3527&lt;TODAY()-1)),"CRÍTICO",IF(OR(AND(P3527&lt;&gt;"",S3527=""),AND(N3527="REALIZADO",M3527="PENDENTE"),AND(ISNUMBER(R3527),R3527=TODAY())),"ATENÇÃO",IF(N(K3527)=0,"PENDENTE","EM ANDAMENTO"))))))</f>
        <v/>
      </c>
      <c r="C3527" s="3">
        <f>IF(D3527="","",IF(V3527=0,"🟢 OK",IF(D3527&lt;corte,"⚪ HISTÓRICO (sem baixa)",IF(AND(ISNUMBER(R3527),R3527&lt;TODAY()),"🔴 PRAZO VENCIDO",IF(AND(OR(N3527="PENDENTE",N3527="PARCIAL"),D3527&lt;TODAY()-1),"🔴 EMBARQUE ATRASADO",IF(AND(N3527="REALIZADO",M3527="PENDENTE"),"🟡 EMBARCADO SEM FATURAR",IF(AND(P3527&lt;&gt;"",S3527="",OR(Q3527="",R3527="")),"🟡 PENDÊNCIA SEM RESPONSÁVEL/PRAZO",IF(AND(ISNUMBER(R3527),R3527=TODAY()),"🟡 VENCE HOJE",IF(AND(P3527&lt;&gt;"",S3527=""),"🟡 PENDÊNCIA ABERTA",IF(AND(N(J3527)&gt;0,N(K3527)&lt;J3527),"🟡 FALTA EXECUTAR",IF(OR(M3527="PENDENTE",M3527="PARCIAL"),"🟡 FATURAMENTO PENDENTE","🟡 EMBARQUE PENDENTE")))))))))))</f>
        <v/>
      </c>
      <c r="D3527" s="4" t="n"/>
      <c r="E3527" s="5" t="n"/>
      <c r="F3527" s="5" t="n"/>
      <c r="G3527" s="5" t="n"/>
      <c r="H3527" s="5" t="n"/>
      <c r="I3527" s="5" t="n"/>
      <c r="J3527" s="6" t="n"/>
      <c r="K3527" s="6" t="n"/>
      <c r="L3527" s="7">
        <f>IF(OR(D3527="",N(J3527)=0),"",MIN(1,N(K3527)/J3527))</f>
        <v/>
      </c>
      <c r="M3527" s="5" t="n"/>
      <c r="N3527" s="5" t="n"/>
      <c r="O3527" s="5" t="n"/>
      <c r="P3527" s="5" t="n"/>
      <c r="Q3527" s="5" t="n"/>
      <c r="R3527" s="4" t="n"/>
      <c r="S3527" s="4" t="n"/>
      <c r="T3527" s="5" t="n"/>
      <c r="U3527" s="8">
        <f>IF(AND(V3527=1,D3527&lt;&gt;""),IF(D3527&gt;=corte,TODAY()-D3527,""),"")</f>
        <v/>
      </c>
      <c r="V3527" s="8">
        <f>IF(D3527="",0,IF(OR(AND(P3527&lt;&gt;"",S3527=""),AND(N(J3527)&gt;0,N(K3527)&lt;J3527),OR(M3527="PENDENTE",M3527="PARCIAL"),OR(N3527="PENDENTE",N3527="PARCIAL")),1,0))</f>
        <v/>
      </c>
      <c r="W3527" s="8">
        <f>IF(AND(V3527=1,D3527&lt;&gt;""),IF(D3527&gt;=corte,(B3527="CRÍTICO")*1E9+(100000-D3527)*10000+10000-ROW(),""),"")</f>
        <v/>
      </c>
      <c r="X3527" s="8">
        <f>IF(AND(V3527=1,D3527=pas_data,E3527=pas_turno),10000-ROW(),"")</f>
        <v/>
      </c>
    </row>
    <row r="3528">
      <c r="A3528" s="3">
        <f>IF(D3528="","","TT-"&amp;TEXT(ROW()-1,"00000"))</f>
        <v/>
      </c>
      <c r="B3528" s="3">
        <f>IF(D3528="","",IF(V3528=0,"CONCLUÍDO",IF(D3528&lt;corte,"HISTÓRICO",IF(OR(AND(ISNUMBER(R3528),R3528&lt;TODAY()),AND(OR(N3528="PENDENTE",N3528="PARCIAL"),D3528&lt;TODAY()-1)),"CRÍTICO",IF(OR(AND(P3528&lt;&gt;"",S3528=""),AND(N3528="REALIZADO",M3528="PENDENTE"),AND(ISNUMBER(R3528),R3528=TODAY())),"ATENÇÃO",IF(N(K3528)=0,"PENDENTE","EM ANDAMENTO"))))))</f>
        <v/>
      </c>
      <c r="C3528" s="3">
        <f>IF(D3528="","",IF(V3528=0,"🟢 OK",IF(D3528&lt;corte,"⚪ HISTÓRICO (sem baixa)",IF(AND(ISNUMBER(R3528),R3528&lt;TODAY()),"🔴 PRAZO VENCIDO",IF(AND(OR(N3528="PENDENTE",N3528="PARCIAL"),D3528&lt;TODAY()-1),"🔴 EMBARQUE ATRASADO",IF(AND(N3528="REALIZADO",M3528="PENDENTE"),"🟡 EMBARCADO SEM FATURAR",IF(AND(P3528&lt;&gt;"",S3528="",OR(Q3528="",R3528="")),"🟡 PENDÊNCIA SEM RESPONSÁVEL/PRAZO",IF(AND(ISNUMBER(R3528),R3528=TODAY()),"🟡 VENCE HOJE",IF(AND(P3528&lt;&gt;"",S3528=""),"🟡 PENDÊNCIA ABERTA",IF(AND(N(J3528)&gt;0,N(K3528)&lt;J3528),"🟡 FALTA EXECUTAR",IF(OR(M3528="PENDENTE",M3528="PARCIAL"),"🟡 FATURAMENTO PENDENTE","🟡 EMBARQUE PENDENTE")))))))))))</f>
        <v/>
      </c>
      <c r="D3528" s="4" t="n"/>
      <c r="E3528" s="5" t="n"/>
      <c r="F3528" s="5" t="n"/>
      <c r="G3528" s="5" t="n"/>
      <c r="H3528" s="5" t="n"/>
      <c r="I3528" s="5" t="n"/>
      <c r="J3528" s="6" t="n"/>
      <c r="K3528" s="6" t="n"/>
      <c r="L3528" s="7">
        <f>IF(OR(D3528="",N(J3528)=0),"",MIN(1,N(K3528)/J3528))</f>
        <v/>
      </c>
      <c r="M3528" s="5" t="n"/>
      <c r="N3528" s="5" t="n"/>
      <c r="O3528" s="5" t="n"/>
      <c r="P3528" s="5" t="n"/>
      <c r="Q3528" s="5" t="n"/>
      <c r="R3528" s="4" t="n"/>
      <c r="S3528" s="4" t="n"/>
      <c r="T3528" s="5" t="n"/>
      <c r="U3528" s="8">
        <f>IF(AND(V3528=1,D3528&lt;&gt;""),IF(D3528&gt;=corte,TODAY()-D3528,""),"")</f>
        <v/>
      </c>
      <c r="V3528" s="8">
        <f>IF(D3528="",0,IF(OR(AND(P3528&lt;&gt;"",S3528=""),AND(N(J3528)&gt;0,N(K3528)&lt;J3528),OR(M3528="PENDENTE",M3528="PARCIAL"),OR(N3528="PENDENTE",N3528="PARCIAL")),1,0))</f>
        <v/>
      </c>
      <c r="W3528" s="8">
        <f>IF(AND(V3528=1,D3528&lt;&gt;""),IF(D3528&gt;=corte,(B3528="CRÍTICO")*1E9+(100000-D3528)*10000+10000-ROW(),""),"")</f>
        <v/>
      </c>
      <c r="X3528" s="8">
        <f>IF(AND(V3528=1,D3528=pas_data,E3528=pas_turno),10000-ROW(),"")</f>
        <v/>
      </c>
    </row>
    <row r="3529">
      <c r="A3529" s="3">
        <f>IF(D3529="","","TT-"&amp;TEXT(ROW()-1,"00000"))</f>
        <v/>
      </c>
      <c r="B3529" s="3">
        <f>IF(D3529="","",IF(V3529=0,"CONCLUÍDO",IF(D3529&lt;corte,"HISTÓRICO",IF(OR(AND(ISNUMBER(R3529),R3529&lt;TODAY()),AND(OR(N3529="PENDENTE",N3529="PARCIAL"),D3529&lt;TODAY()-1)),"CRÍTICO",IF(OR(AND(P3529&lt;&gt;"",S3529=""),AND(N3529="REALIZADO",M3529="PENDENTE"),AND(ISNUMBER(R3529),R3529=TODAY())),"ATENÇÃO",IF(N(K3529)=0,"PENDENTE","EM ANDAMENTO"))))))</f>
        <v/>
      </c>
      <c r="C3529" s="3">
        <f>IF(D3529="","",IF(V3529=0,"🟢 OK",IF(D3529&lt;corte,"⚪ HISTÓRICO (sem baixa)",IF(AND(ISNUMBER(R3529),R3529&lt;TODAY()),"🔴 PRAZO VENCIDO",IF(AND(OR(N3529="PENDENTE",N3529="PARCIAL"),D3529&lt;TODAY()-1),"🔴 EMBARQUE ATRASADO",IF(AND(N3529="REALIZADO",M3529="PENDENTE"),"🟡 EMBARCADO SEM FATURAR",IF(AND(P3529&lt;&gt;"",S3529="",OR(Q3529="",R3529="")),"🟡 PENDÊNCIA SEM RESPONSÁVEL/PRAZO",IF(AND(ISNUMBER(R3529),R3529=TODAY()),"🟡 VENCE HOJE",IF(AND(P3529&lt;&gt;"",S3529=""),"🟡 PENDÊNCIA ABERTA",IF(AND(N(J3529)&gt;0,N(K3529)&lt;J3529),"🟡 FALTA EXECUTAR",IF(OR(M3529="PENDENTE",M3529="PARCIAL"),"🟡 FATURAMENTO PENDENTE","🟡 EMBARQUE PENDENTE")))))))))))</f>
        <v/>
      </c>
      <c r="D3529" s="4" t="n"/>
      <c r="E3529" s="5" t="n"/>
      <c r="F3529" s="5" t="n"/>
      <c r="G3529" s="5" t="n"/>
      <c r="H3529" s="5" t="n"/>
      <c r="I3529" s="5" t="n"/>
      <c r="J3529" s="6" t="n"/>
      <c r="K3529" s="6" t="n"/>
      <c r="L3529" s="7">
        <f>IF(OR(D3529="",N(J3529)=0),"",MIN(1,N(K3529)/J3529))</f>
        <v/>
      </c>
      <c r="M3529" s="5" t="n"/>
      <c r="N3529" s="5" t="n"/>
      <c r="O3529" s="5" t="n"/>
      <c r="P3529" s="5" t="n"/>
      <c r="Q3529" s="5" t="n"/>
      <c r="R3529" s="4" t="n"/>
      <c r="S3529" s="4" t="n"/>
      <c r="T3529" s="5" t="n"/>
      <c r="U3529" s="8">
        <f>IF(AND(V3529=1,D3529&lt;&gt;""),IF(D3529&gt;=corte,TODAY()-D3529,""),"")</f>
        <v/>
      </c>
      <c r="V3529" s="8">
        <f>IF(D3529="",0,IF(OR(AND(P3529&lt;&gt;"",S3529=""),AND(N(J3529)&gt;0,N(K3529)&lt;J3529),OR(M3529="PENDENTE",M3529="PARCIAL"),OR(N3529="PENDENTE",N3529="PARCIAL")),1,0))</f>
        <v/>
      </c>
      <c r="W3529" s="8">
        <f>IF(AND(V3529=1,D3529&lt;&gt;""),IF(D3529&gt;=corte,(B3529="CRÍTICO")*1E9+(100000-D3529)*10000+10000-ROW(),""),"")</f>
        <v/>
      </c>
      <c r="X3529" s="8">
        <f>IF(AND(V3529=1,D3529=pas_data,E3529=pas_turno),10000-ROW(),"")</f>
        <v/>
      </c>
    </row>
    <row r="3530">
      <c r="A3530" s="3">
        <f>IF(D3530="","","TT-"&amp;TEXT(ROW()-1,"00000"))</f>
        <v/>
      </c>
      <c r="B3530" s="3">
        <f>IF(D3530="","",IF(V3530=0,"CONCLUÍDO",IF(D3530&lt;corte,"HISTÓRICO",IF(OR(AND(ISNUMBER(R3530),R3530&lt;TODAY()),AND(OR(N3530="PENDENTE",N3530="PARCIAL"),D3530&lt;TODAY()-1)),"CRÍTICO",IF(OR(AND(P3530&lt;&gt;"",S3530=""),AND(N3530="REALIZADO",M3530="PENDENTE"),AND(ISNUMBER(R3530),R3530=TODAY())),"ATENÇÃO",IF(N(K3530)=0,"PENDENTE","EM ANDAMENTO"))))))</f>
        <v/>
      </c>
      <c r="C3530" s="3">
        <f>IF(D3530="","",IF(V3530=0,"🟢 OK",IF(D3530&lt;corte,"⚪ HISTÓRICO (sem baixa)",IF(AND(ISNUMBER(R3530),R3530&lt;TODAY()),"🔴 PRAZO VENCIDO",IF(AND(OR(N3530="PENDENTE",N3530="PARCIAL"),D3530&lt;TODAY()-1),"🔴 EMBARQUE ATRASADO",IF(AND(N3530="REALIZADO",M3530="PENDENTE"),"🟡 EMBARCADO SEM FATURAR",IF(AND(P3530&lt;&gt;"",S3530="",OR(Q3530="",R3530="")),"🟡 PENDÊNCIA SEM RESPONSÁVEL/PRAZO",IF(AND(ISNUMBER(R3530),R3530=TODAY()),"🟡 VENCE HOJE",IF(AND(P3530&lt;&gt;"",S3530=""),"🟡 PENDÊNCIA ABERTA",IF(AND(N(J3530)&gt;0,N(K3530)&lt;J3530),"🟡 FALTA EXECUTAR",IF(OR(M3530="PENDENTE",M3530="PARCIAL"),"🟡 FATURAMENTO PENDENTE","🟡 EMBARQUE PENDENTE")))))))))))</f>
        <v/>
      </c>
      <c r="D3530" s="4" t="n"/>
      <c r="E3530" s="5" t="n"/>
      <c r="F3530" s="5" t="n"/>
      <c r="G3530" s="5" t="n"/>
      <c r="H3530" s="5" t="n"/>
      <c r="I3530" s="5" t="n"/>
      <c r="J3530" s="6" t="n"/>
      <c r="K3530" s="6" t="n"/>
      <c r="L3530" s="7">
        <f>IF(OR(D3530="",N(J3530)=0),"",MIN(1,N(K3530)/J3530))</f>
        <v/>
      </c>
      <c r="M3530" s="5" t="n"/>
      <c r="N3530" s="5" t="n"/>
      <c r="O3530" s="5" t="n"/>
      <c r="P3530" s="5" t="n"/>
      <c r="Q3530" s="5" t="n"/>
      <c r="R3530" s="4" t="n"/>
      <c r="S3530" s="4" t="n"/>
      <c r="T3530" s="5" t="n"/>
      <c r="U3530" s="8">
        <f>IF(AND(V3530=1,D3530&lt;&gt;""),IF(D3530&gt;=corte,TODAY()-D3530,""),"")</f>
        <v/>
      </c>
      <c r="V3530" s="8">
        <f>IF(D3530="",0,IF(OR(AND(P3530&lt;&gt;"",S3530=""),AND(N(J3530)&gt;0,N(K3530)&lt;J3530),OR(M3530="PENDENTE",M3530="PARCIAL"),OR(N3530="PENDENTE",N3530="PARCIAL")),1,0))</f>
        <v/>
      </c>
      <c r="W3530" s="8">
        <f>IF(AND(V3530=1,D3530&lt;&gt;""),IF(D3530&gt;=corte,(B3530="CRÍTICO")*1E9+(100000-D3530)*10000+10000-ROW(),""),"")</f>
        <v/>
      </c>
      <c r="X3530" s="8">
        <f>IF(AND(V3530=1,D3530=pas_data,E3530=pas_turno),10000-ROW(),"")</f>
        <v/>
      </c>
    </row>
    <row r="3531">
      <c r="A3531" s="3">
        <f>IF(D3531="","","TT-"&amp;TEXT(ROW()-1,"00000"))</f>
        <v/>
      </c>
      <c r="B3531" s="3">
        <f>IF(D3531="","",IF(V3531=0,"CONCLUÍDO",IF(D3531&lt;corte,"HISTÓRICO",IF(OR(AND(ISNUMBER(R3531),R3531&lt;TODAY()),AND(OR(N3531="PENDENTE",N3531="PARCIAL"),D3531&lt;TODAY()-1)),"CRÍTICO",IF(OR(AND(P3531&lt;&gt;"",S3531=""),AND(N3531="REALIZADO",M3531="PENDENTE"),AND(ISNUMBER(R3531),R3531=TODAY())),"ATENÇÃO",IF(N(K3531)=0,"PENDENTE","EM ANDAMENTO"))))))</f>
        <v/>
      </c>
      <c r="C3531" s="3">
        <f>IF(D3531="","",IF(V3531=0,"🟢 OK",IF(D3531&lt;corte,"⚪ HISTÓRICO (sem baixa)",IF(AND(ISNUMBER(R3531),R3531&lt;TODAY()),"🔴 PRAZO VENCIDO",IF(AND(OR(N3531="PENDENTE",N3531="PARCIAL"),D3531&lt;TODAY()-1),"🔴 EMBARQUE ATRASADO",IF(AND(N3531="REALIZADO",M3531="PENDENTE"),"🟡 EMBARCADO SEM FATURAR",IF(AND(P3531&lt;&gt;"",S3531="",OR(Q3531="",R3531="")),"🟡 PENDÊNCIA SEM RESPONSÁVEL/PRAZO",IF(AND(ISNUMBER(R3531),R3531=TODAY()),"🟡 VENCE HOJE",IF(AND(P3531&lt;&gt;"",S3531=""),"🟡 PENDÊNCIA ABERTA",IF(AND(N(J3531)&gt;0,N(K3531)&lt;J3531),"🟡 FALTA EXECUTAR",IF(OR(M3531="PENDENTE",M3531="PARCIAL"),"🟡 FATURAMENTO PENDENTE","🟡 EMBARQUE PENDENTE")))))))))))</f>
        <v/>
      </c>
      <c r="D3531" s="4" t="n"/>
      <c r="E3531" s="5" t="n"/>
      <c r="F3531" s="5" t="n"/>
      <c r="G3531" s="5" t="n"/>
      <c r="H3531" s="5" t="n"/>
      <c r="I3531" s="5" t="n"/>
      <c r="J3531" s="6" t="n"/>
      <c r="K3531" s="6" t="n"/>
      <c r="L3531" s="7">
        <f>IF(OR(D3531="",N(J3531)=0),"",MIN(1,N(K3531)/J3531))</f>
        <v/>
      </c>
      <c r="M3531" s="5" t="n"/>
      <c r="N3531" s="5" t="n"/>
      <c r="O3531" s="5" t="n"/>
      <c r="P3531" s="5" t="n"/>
      <c r="Q3531" s="5" t="n"/>
      <c r="R3531" s="4" t="n"/>
      <c r="S3531" s="4" t="n"/>
      <c r="T3531" s="5" t="n"/>
      <c r="U3531" s="8">
        <f>IF(AND(V3531=1,D3531&lt;&gt;""),IF(D3531&gt;=corte,TODAY()-D3531,""),"")</f>
        <v/>
      </c>
      <c r="V3531" s="8">
        <f>IF(D3531="",0,IF(OR(AND(P3531&lt;&gt;"",S3531=""),AND(N(J3531)&gt;0,N(K3531)&lt;J3531),OR(M3531="PENDENTE",M3531="PARCIAL"),OR(N3531="PENDENTE",N3531="PARCIAL")),1,0))</f>
        <v/>
      </c>
      <c r="W3531" s="8">
        <f>IF(AND(V3531=1,D3531&lt;&gt;""),IF(D3531&gt;=corte,(B3531="CRÍTICO")*1E9+(100000-D3531)*10000+10000-ROW(),""),"")</f>
        <v/>
      </c>
      <c r="X3531" s="8">
        <f>IF(AND(V3531=1,D3531=pas_data,E3531=pas_turno),10000-ROW(),"")</f>
        <v/>
      </c>
    </row>
    <row r="3532">
      <c r="A3532" s="3">
        <f>IF(D3532="","","TT-"&amp;TEXT(ROW()-1,"00000"))</f>
        <v/>
      </c>
      <c r="B3532" s="3">
        <f>IF(D3532="","",IF(V3532=0,"CONCLUÍDO",IF(D3532&lt;corte,"HISTÓRICO",IF(OR(AND(ISNUMBER(R3532),R3532&lt;TODAY()),AND(OR(N3532="PENDENTE",N3532="PARCIAL"),D3532&lt;TODAY()-1)),"CRÍTICO",IF(OR(AND(P3532&lt;&gt;"",S3532=""),AND(N3532="REALIZADO",M3532="PENDENTE"),AND(ISNUMBER(R3532),R3532=TODAY())),"ATENÇÃO",IF(N(K3532)=0,"PENDENTE","EM ANDAMENTO"))))))</f>
        <v/>
      </c>
      <c r="C3532" s="3">
        <f>IF(D3532="","",IF(V3532=0,"🟢 OK",IF(D3532&lt;corte,"⚪ HISTÓRICO (sem baixa)",IF(AND(ISNUMBER(R3532),R3532&lt;TODAY()),"🔴 PRAZO VENCIDO",IF(AND(OR(N3532="PENDENTE",N3532="PARCIAL"),D3532&lt;TODAY()-1),"🔴 EMBARQUE ATRASADO",IF(AND(N3532="REALIZADO",M3532="PENDENTE"),"🟡 EMBARCADO SEM FATURAR",IF(AND(P3532&lt;&gt;"",S3532="",OR(Q3532="",R3532="")),"🟡 PENDÊNCIA SEM RESPONSÁVEL/PRAZO",IF(AND(ISNUMBER(R3532),R3532=TODAY()),"🟡 VENCE HOJE",IF(AND(P3532&lt;&gt;"",S3532=""),"🟡 PENDÊNCIA ABERTA",IF(AND(N(J3532)&gt;0,N(K3532)&lt;J3532),"🟡 FALTA EXECUTAR",IF(OR(M3532="PENDENTE",M3532="PARCIAL"),"🟡 FATURAMENTO PENDENTE","🟡 EMBARQUE PENDENTE")))))))))))</f>
        <v/>
      </c>
      <c r="D3532" s="4" t="n"/>
      <c r="E3532" s="5" t="n"/>
      <c r="F3532" s="5" t="n"/>
      <c r="G3532" s="5" t="n"/>
      <c r="H3532" s="5" t="n"/>
      <c r="I3532" s="5" t="n"/>
      <c r="J3532" s="6" t="n"/>
      <c r="K3532" s="6" t="n"/>
      <c r="L3532" s="7">
        <f>IF(OR(D3532="",N(J3532)=0),"",MIN(1,N(K3532)/J3532))</f>
        <v/>
      </c>
      <c r="M3532" s="5" t="n"/>
      <c r="N3532" s="5" t="n"/>
      <c r="O3532" s="5" t="n"/>
      <c r="P3532" s="5" t="n"/>
      <c r="Q3532" s="5" t="n"/>
      <c r="R3532" s="4" t="n"/>
      <c r="S3532" s="4" t="n"/>
      <c r="T3532" s="5" t="n"/>
      <c r="U3532" s="8">
        <f>IF(AND(V3532=1,D3532&lt;&gt;""),IF(D3532&gt;=corte,TODAY()-D3532,""),"")</f>
        <v/>
      </c>
      <c r="V3532" s="8">
        <f>IF(D3532="",0,IF(OR(AND(P3532&lt;&gt;"",S3532=""),AND(N(J3532)&gt;0,N(K3532)&lt;J3532),OR(M3532="PENDENTE",M3532="PARCIAL"),OR(N3532="PENDENTE",N3532="PARCIAL")),1,0))</f>
        <v/>
      </c>
      <c r="W3532" s="8">
        <f>IF(AND(V3532=1,D3532&lt;&gt;""),IF(D3532&gt;=corte,(B3532="CRÍTICO")*1E9+(100000-D3532)*10000+10000-ROW(),""),"")</f>
        <v/>
      </c>
      <c r="X3532" s="8">
        <f>IF(AND(V3532=1,D3532=pas_data,E3532=pas_turno),10000-ROW(),"")</f>
        <v/>
      </c>
    </row>
    <row r="3533">
      <c r="A3533" s="3">
        <f>IF(D3533="","","TT-"&amp;TEXT(ROW()-1,"00000"))</f>
        <v/>
      </c>
      <c r="B3533" s="3">
        <f>IF(D3533="","",IF(V3533=0,"CONCLUÍDO",IF(D3533&lt;corte,"HISTÓRICO",IF(OR(AND(ISNUMBER(R3533),R3533&lt;TODAY()),AND(OR(N3533="PENDENTE",N3533="PARCIAL"),D3533&lt;TODAY()-1)),"CRÍTICO",IF(OR(AND(P3533&lt;&gt;"",S3533=""),AND(N3533="REALIZADO",M3533="PENDENTE"),AND(ISNUMBER(R3533),R3533=TODAY())),"ATENÇÃO",IF(N(K3533)=0,"PENDENTE","EM ANDAMENTO"))))))</f>
        <v/>
      </c>
      <c r="C3533" s="3">
        <f>IF(D3533="","",IF(V3533=0,"🟢 OK",IF(D3533&lt;corte,"⚪ HISTÓRICO (sem baixa)",IF(AND(ISNUMBER(R3533),R3533&lt;TODAY()),"🔴 PRAZO VENCIDO",IF(AND(OR(N3533="PENDENTE",N3533="PARCIAL"),D3533&lt;TODAY()-1),"🔴 EMBARQUE ATRASADO",IF(AND(N3533="REALIZADO",M3533="PENDENTE"),"🟡 EMBARCADO SEM FATURAR",IF(AND(P3533&lt;&gt;"",S3533="",OR(Q3533="",R3533="")),"🟡 PENDÊNCIA SEM RESPONSÁVEL/PRAZO",IF(AND(ISNUMBER(R3533),R3533=TODAY()),"🟡 VENCE HOJE",IF(AND(P3533&lt;&gt;"",S3533=""),"🟡 PENDÊNCIA ABERTA",IF(AND(N(J3533)&gt;0,N(K3533)&lt;J3533),"🟡 FALTA EXECUTAR",IF(OR(M3533="PENDENTE",M3533="PARCIAL"),"🟡 FATURAMENTO PENDENTE","🟡 EMBARQUE PENDENTE")))))))))))</f>
        <v/>
      </c>
      <c r="D3533" s="4" t="n"/>
      <c r="E3533" s="5" t="n"/>
      <c r="F3533" s="5" t="n"/>
      <c r="G3533" s="5" t="n"/>
      <c r="H3533" s="5" t="n"/>
      <c r="I3533" s="5" t="n"/>
      <c r="J3533" s="6" t="n"/>
      <c r="K3533" s="6" t="n"/>
      <c r="L3533" s="7">
        <f>IF(OR(D3533="",N(J3533)=0),"",MIN(1,N(K3533)/J3533))</f>
        <v/>
      </c>
      <c r="M3533" s="5" t="n"/>
      <c r="N3533" s="5" t="n"/>
      <c r="O3533" s="5" t="n"/>
      <c r="P3533" s="5" t="n"/>
      <c r="Q3533" s="5" t="n"/>
      <c r="R3533" s="4" t="n"/>
      <c r="S3533" s="4" t="n"/>
      <c r="T3533" s="5" t="n"/>
      <c r="U3533" s="8">
        <f>IF(AND(V3533=1,D3533&lt;&gt;""),IF(D3533&gt;=corte,TODAY()-D3533,""),"")</f>
        <v/>
      </c>
      <c r="V3533" s="8">
        <f>IF(D3533="",0,IF(OR(AND(P3533&lt;&gt;"",S3533=""),AND(N(J3533)&gt;0,N(K3533)&lt;J3533),OR(M3533="PENDENTE",M3533="PARCIAL"),OR(N3533="PENDENTE",N3533="PARCIAL")),1,0))</f>
        <v/>
      </c>
      <c r="W3533" s="8">
        <f>IF(AND(V3533=1,D3533&lt;&gt;""),IF(D3533&gt;=corte,(B3533="CRÍTICO")*1E9+(100000-D3533)*10000+10000-ROW(),""),"")</f>
        <v/>
      </c>
      <c r="X3533" s="8">
        <f>IF(AND(V3533=1,D3533=pas_data,E3533=pas_turno),10000-ROW(),"")</f>
        <v/>
      </c>
    </row>
    <row r="3534">
      <c r="A3534" s="3">
        <f>IF(D3534="","","TT-"&amp;TEXT(ROW()-1,"00000"))</f>
        <v/>
      </c>
      <c r="B3534" s="3">
        <f>IF(D3534="","",IF(V3534=0,"CONCLUÍDO",IF(D3534&lt;corte,"HISTÓRICO",IF(OR(AND(ISNUMBER(R3534),R3534&lt;TODAY()),AND(OR(N3534="PENDENTE",N3534="PARCIAL"),D3534&lt;TODAY()-1)),"CRÍTICO",IF(OR(AND(P3534&lt;&gt;"",S3534=""),AND(N3534="REALIZADO",M3534="PENDENTE"),AND(ISNUMBER(R3534),R3534=TODAY())),"ATENÇÃO",IF(N(K3534)=0,"PENDENTE","EM ANDAMENTO"))))))</f>
        <v/>
      </c>
      <c r="C3534" s="3">
        <f>IF(D3534="","",IF(V3534=0,"🟢 OK",IF(D3534&lt;corte,"⚪ HISTÓRICO (sem baixa)",IF(AND(ISNUMBER(R3534),R3534&lt;TODAY()),"🔴 PRAZO VENCIDO",IF(AND(OR(N3534="PENDENTE",N3534="PARCIAL"),D3534&lt;TODAY()-1),"🔴 EMBARQUE ATRASADO",IF(AND(N3534="REALIZADO",M3534="PENDENTE"),"🟡 EMBARCADO SEM FATURAR",IF(AND(P3534&lt;&gt;"",S3534="",OR(Q3534="",R3534="")),"🟡 PENDÊNCIA SEM RESPONSÁVEL/PRAZO",IF(AND(ISNUMBER(R3534),R3534=TODAY()),"🟡 VENCE HOJE",IF(AND(P3534&lt;&gt;"",S3534=""),"🟡 PENDÊNCIA ABERTA",IF(AND(N(J3534)&gt;0,N(K3534)&lt;J3534),"🟡 FALTA EXECUTAR",IF(OR(M3534="PENDENTE",M3534="PARCIAL"),"🟡 FATURAMENTO PENDENTE","🟡 EMBARQUE PENDENTE")))))))))))</f>
        <v/>
      </c>
      <c r="D3534" s="4" t="n"/>
      <c r="E3534" s="5" t="n"/>
      <c r="F3534" s="5" t="n"/>
      <c r="G3534" s="5" t="n"/>
      <c r="H3534" s="5" t="n"/>
      <c r="I3534" s="5" t="n"/>
      <c r="J3534" s="6" t="n"/>
      <c r="K3534" s="6" t="n"/>
      <c r="L3534" s="7">
        <f>IF(OR(D3534="",N(J3534)=0),"",MIN(1,N(K3534)/J3534))</f>
        <v/>
      </c>
      <c r="M3534" s="5" t="n"/>
      <c r="N3534" s="5" t="n"/>
      <c r="O3534" s="5" t="n"/>
      <c r="P3534" s="5" t="n"/>
      <c r="Q3534" s="5" t="n"/>
      <c r="R3534" s="4" t="n"/>
      <c r="S3534" s="4" t="n"/>
      <c r="T3534" s="5" t="n"/>
      <c r="U3534" s="8">
        <f>IF(AND(V3534=1,D3534&lt;&gt;""),IF(D3534&gt;=corte,TODAY()-D3534,""),"")</f>
        <v/>
      </c>
      <c r="V3534" s="8">
        <f>IF(D3534="",0,IF(OR(AND(P3534&lt;&gt;"",S3534=""),AND(N(J3534)&gt;0,N(K3534)&lt;J3534),OR(M3534="PENDENTE",M3534="PARCIAL"),OR(N3534="PENDENTE",N3534="PARCIAL")),1,0))</f>
        <v/>
      </c>
      <c r="W3534" s="8">
        <f>IF(AND(V3534=1,D3534&lt;&gt;""),IF(D3534&gt;=corte,(B3534="CRÍTICO")*1E9+(100000-D3534)*10000+10000-ROW(),""),"")</f>
        <v/>
      </c>
      <c r="X3534" s="8">
        <f>IF(AND(V3534=1,D3534=pas_data,E3534=pas_turno),10000-ROW(),"")</f>
        <v/>
      </c>
    </row>
    <row r="3535">
      <c r="A3535" s="3">
        <f>IF(D3535="","","TT-"&amp;TEXT(ROW()-1,"00000"))</f>
        <v/>
      </c>
      <c r="B3535" s="3">
        <f>IF(D3535="","",IF(V3535=0,"CONCLUÍDO",IF(D3535&lt;corte,"HISTÓRICO",IF(OR(AND(ISNUMBER(R3535),R3535&lt;TODAY()),AND(OR(N3535="PENDENTE",N3535="PARCIAL"),D3535&lt;TODAY()-1)),"CRÍTICO",IF(OR(AND(P3535&lt;&gt;"",S3535=""),AND(N3535="REALIZADO",M3535="PENDENTE"),AND(ISNUMBER(R3535),R3535=TODAY())),"ATENÇÃO",IF(N(K3535)=0,"PENDENTE","EM ANDAMENTO"))))))</f>
        <v/>
      </c>
      <c r="C3535" s="3">
        <f>IF(D3535="","",IF(V3535=0,"🟢 OK",IF(D3535&lt;corte,"⚪ HISTÓRICO (sem baixa)",IF(AND(ISNUMBER(R3535),R3535&lt;TODAY()),"🔴 PRAZO VENCIDO",IF(AND(OR(N3535="PENDENTE",N3535="PARCIAL"),D3535&lt;TODAY()-1),"🔴 EMBARQUE ATRASADO",IF(AND(N3535="REALIZADO",M3535="PENDENTE"),"🟡 EMBARCADO SEM FATURAR",IF(AND(P3535&lt;&gt;"",S3535="",OR(Q3535="",R3535="")),"🟡 PENDÊNCIA SEM RESPONSÁVEL/PRAZO",IF(AND(ISNUMBER(R3535),R3535=TODAY()),"🟡 VENCE HOJE",IF(AND(P3535&lt;&gt;"",S3535=""),"🟡 PENDÊNCIA ABERTA",IF(AND(N(J3535)&gt;0,N(K3535)&lt;J3535),"🟡 FALTA EXECUTAR",IF(OR(M3535="PENDENTE",M3535="PARCIAL"),"🟡 FATURAMENTO PENDENTE","🟡 EMBARQUE PENDENTE")))))))))))</f>
        <v/>
      </c>
      <c r="D3535" s="4" t="n"/>
      <c r="E3535" s="5" t="n"/>
      <c r="F3535" s="5" t="n"/>
      <c r="G3535" s="5" t="n"/>
      <c r="H3535" s="5" t="n"/>
      <c r="I3535" s="5" t="n"/>
      <c r="J3535" s="6" t="n"/>
      <c r="K3535" s="6" t="n"/>
      <c r="L3535" s="7">
        <f>IF(OR(D3535="",N(J3535)=0),"",MIN(1,N(K3535)/J3535))</f>
        <v/>
      </c>
      <c r="M3535" s="5" t="n"/>
      <c r="N3535" s="5" t="n"/>
      <c r="O3535" s="5" t="n"/>
      <c r="P3535" s="5" t="n"/>
      <c r="Q3535" s="5" t="n"/>
      <c r="R3535" s="4" t="n"/>
      <c r="S3535" s="4" t="n"/>
      <c r="T3535" s="5" t="n"/>
      <c r="U3535" s="8">
        <f>IF(AND(V3535=1,D3535&lt;&gt;""),IF(D3535&gt;=corte,TODAY()-D3535,""),"")</f>
        <v/>
      </c>
      <c r="V3535" s="8">
        <f>IF(D3535="",0,IF(OR(AND(P3535&lt;&gt;"",S3535=""),AND(N(J3535)&gt;0,N(K3535)&lt;J3535),OR(M3535="PENDENTE",M3535="PARCIAL"),OR(N3535="PENDENTE",N3535="PARCIAL")),1,0))</f>
        <v/>
      </c>
      <c r="W3535" s="8">
        <f>IF(AND(V3535=1,D3535&lt;&gt;""),IF(D3535&gt;=corte,(B3535="CRÍTICO")*1E9+(100000-D3535)*10000+10000-ROW(),""),"")</f>
        <v/>
      </c>
      <c r="X3535" s="8">
        <f>IF(AND(V3535=1,D3535=pas_data,E3535=pas_turno),10000-ROW(),"")</f>
        <v/>
      </c>
    </row>
    <row r="3536">
      <c r="A3536" s="3">
        <f>IF(D3536="","","TT-"&amp;TEXT(ROW()-1,"00000"))</f>
        <v/>
      </c>
      <c r="B3536" s="3">
        <f>IF(D3536="","",IF(V3536=0,"CONCLUÍDO",IF(D3536&lt;corte,"HISTÓRICO",IF(OR(AND(ISNUMBER(R3536),R3536&lt;TODAY()),AND(OR(N3536="PENDENTE",N3536="PARCIAL"),D3536&lt;TODAY()-1)),"CRÍTICO",IF(OR(AND(P3536&lt;&gt;"",S3536=""),AND(N3536="REALIZADO",M3536="PENDENTE"),AND(ISNUMBER(R3536),R3536=TODAY())),"ATENÇÃO",IF(N(K3536)=0,"PENDENTE","EM ANDAMENTO"))))))</f>
        <v/>
      </c>
      <c r="C3536" s="3">
        <f>IF(D3536="","",IF(V3536=0,"🟢 OK",IF(D3536&lt;corte,"⚪ HISTÓRICO (sem baixa)",IF(AND(ISNUMBER(R3536),R3536&lt;TODAY()),"🔴 PRAZO VENCIDO",IF(AND(OR(N3536="PENDENTE",N3536="PARCIAL"),D3536&lt;TODAY()-1),"🔴 EMBARQUE ATRASADO",IF(AND(N3536="REALIZADO",M3536="PENDENTE"),"🟡 EMBARCADO SEM FATURAR",IF(AND(P3536&lt;&gt;"",S3536="",OR(Q3536="",R3536="")),"🟡 PENDÊNCIA SEM RESPONSÁVEL/PRAZO",IF(AND(ISNUMBER(R3536),R3536=TODAY()),"🟡 VENCE HOJE",IF(AND(P3536&lt;&gt;"",S3536=""),"🟡 PENDÊNCIA ABERTA",IF(AND(N(J3536)&gt;0,N(K3536)&lt;J3536),"🟡 FALTA EXECUTAR",IF(OR(M3536="PENDENTE",M3536="PARCIAL"),"🟡 FATURAMENTO PENDENTE","🟡 EMBARQUE PENDENTE")))))))))))</f>
        <v/>
      </c>
      <c r="D3536" s="4" t="n"/>
      <c r="E3536" s="5" t="n"/>
      <c r="F3536" s="5" t="n"/>
      <c r="G3536" s="5" t="n"/>
      <c r="H3536" s="5" t="n"/>
      <c r="I3536" s="5" t="n"/>
      <c r="J3536" s="6" t="n"/>
      <c r="K3536" s="6" t="n"/>
      <c r="L3536" s="7">
        <f>IF(OR(D3536="",N(J3536)=0),"",MIN(1,N(K3536)/J3536))</f>
        <v/>
      </c>
      <c r="M3536" s="5" t="n"/>
      <c r="N3536" s="5" t="n"/>
      <c r="O3536" s="5" t="n"/>
      <c r="P3536" s="5" t="n"/>
      <c r="Q3536" s="5" t="n"/>
      <c r="R3536" s="4" t="n"/>
      <c r="S3536" s="4" t="n"/>
      <c r="T3536" s="5" t="n"/>
      <c r="U3536" s="8">
        <f>IF(AND(V3536=1,D3536&lt;&gt;""),IF(D3536&gt;=corte,TODAY()-D3536,""),"")</f>
        <v/>
      </c>
      <c r="V3536" s="8">
        <f>IF(D3536="",0,IF(OR(AND(P3536&lt;&gt;"",S3536=""),AND(N(J3536)&gt;0,N(K3536)&lt;J3536),OR(M3536="PENDENTE",M3536="PARCIAL"),OR(N3536="PENDENTE",N3536="PARCIAL")),1,0))</f>
        <v/>
      </c>
      <c r="W3536" s="8">
        <f>IF(AND(V3536=1,D3536&lt;&gt;""),IF(D3536&gt;=corte,(B3536="CRÍTICO")*1E9+(100000-D3536)*10000+10000-ROW(),""),"")</f>
        <v/>
      </c>
      <c r="X3536" s="8">
        <f>IF(AND(V3536=1,D3536=pas_data,E3536=pas_turno),10000-ROW(),"")</f>
        <v/>
      </c>
    </row>
    <row r="3537">
      <c r="A3537" s="3">
        <f>IF(D3537="","","TT-"&amp;TEXT(ROW()-1,"00000"))</f>
        <v/>
      </c>
      <c r="B3537" s="3">
        <f>IF(D3537="","",IF(V3537=0,"CONCLUÍDO",IF(D3537&lt;corte,"HISTÓRICO",IF(OR(AND(ISNUMBER(R3537),R3537&lt;TODAY()),AND(OR(N3537="PENDENTE",N3537="PARCIAL"),D3537&lt;TODAY()-1)),"CRÍTICO",IF(OR(AND(P3537&lt;&gt;"",S3537=""),AND(N3537="REALIZADO",M3537="PENDENTE"),AND(ISNUMBER(R3537),R3537=TODAY())),"ATENÇÃO",IF(N(K3537)=0,"PENDENTE","EM ANDAMENTO"))))))</f>
        <v/>
      </c>
      <c r="C3537" s="3">
        <f>IF(D3537="","",IF(V3537=0,"🟢 OK",IF(D3537&lt;corte,"⚪ HISTÓRICO (sem baixa)",IF(AND(ISNUMBER(R3537),R3537&lt;TODAY()),"🔴 PRAZO VENCIDO",IF(AND(OR(N3537="PENDENTE",N3537="PARCIAL"),D3537&lt;TODAY()-1),"🔴 EMBARQUE ATRASADO",IF(AND(N3537="REALIZADO",M3537="PENDENTE"),"🟡 EMBARCADO SEM FATURAR",IF(AND(P3537&lt;&gt;"",S3537="",OR(Q3537="",R3537="")),"🟡 PENDÊNCIA SEM RESPONSÁVEL/PRAZO",IF(AND(ISNUMBER(R3537),R3537=TODAY()),"🟡 VENCE HOJE",IF(AND(P3537&lt;&gt;"",S3537=""),"🟡 PENDÊNCIA ABERTA",IF(AND(N(J3537)&gt;0,N(K3537)&lt;J3537),"🟡 FALTA EXECUTAR",IF(OR(M3537="PENDENTE",M3537="PARCIAL"),"🟡 FATURAMENTO PENDENTE","🟡 EMBARQUE PENDENTE")))))))))))</f>
        <v/>
      </c>
      <c r="D3537" s="4" t="n"/>
      <c r="E3537" s="5" t="n"/>
      <c r="F3537" s="5" t="n"/>
      <c r="G3537" s="5" t="n"/>
      <c r="H3537" s="5" t="n"/>
      <c r="I3537" s="5" t="n"/>
      <c r="J3537" s="6" t="n"/>
      <c r="K3537" s="6" t="n"/>
      <c r="L3537" s="7">
        <f>IF(OR(D3537="",N(J3537)=0),"",MIN(1,N(K3537)/J3537))</f>
        <v/>
      </c>
      <c r="M3537" s="5" t="n"/>
      <c r="N3537" s="5" t="n"/>
      <c r="O3537" s="5" t="n"/>
      <c r="P3537" s="5" t="n"/>
      <c r="Q3537" s="5" t="n"/>
      <c r="R3537" s="4" t="n"/>
      <c r="S3537" s="4" t="n"/>
      <c r="T3537" s="5" t="n"/>
      <c r="U3537" s="8">
        <f>IF(AND(V3537=1,D3537&lt;&gt;""),IF(D3537&gt;=corte,TODAY()-D3537,""),"")</f>
        <v/>
      </c>
      <c r="V3537" s="8">
        <f>IF(D3537="",0,IF(OR(AND(P3537&lt;&gt;"",S3537=""),AND(N(J3537)&gt;0,N(K3537)&lt;J3537),OR(M3537="PENDENTE",M3537="PARCIAL"),OR(N3537="PENDENTE",N3537="PARCIAL")),1,0))</f>
        <v/>
      </c>
      <c r="W3537" s="8">
        <f>IF(AND(V3537=1,D3537&lt;&gt;""),IF(D3537&gt;=corte,(B3537="CRÍTICO")*1E9+(100000-D3537)*10000+10000-ROW(),""),"")</f>
        <v/>
      </c>
      <c r="X3537" s="8">
        <f>IF(AND(V3537=1,D3537=pas_data,E3537=pas_turno),10000-ROW(),"")</f>
        <v/>
      </c>
    </row>
    <row r="3538">
      <c r="A3538" s="3">
        <f>IF(D3538="","","TT-"&amp;TEXT(ROW()-1,"00000"))</f>
        <v/>
      </c>
      <c r="B3538" s="3">
        <f>IF(D3538="","",IF(V3538=0,"CONCLUÍDO",IF(D3538&lt;corte,"HISTÓRICO",IF(OR(AND(ISNUMBER(R3538),R3538&lt;TODAY()),AND(OR(N3538="PENDENTE",N3538="PARCIAL"),D3538&lt;TODAY()-1)),"CRÍTICO",IF(OR(AND(P3538&lt;&gt;"",S3538=""),AND(N3538="REALIZADO",M3538="PENDENTE"),AND(ISNUMBER(R3538),R3538=TODAY())),"ATENÇÃO",IF(N(K3538)=0,"PENDENTE","EM ANDAMENTO"))))))</f>
        <v/>
      </c>
      <c r="C3538" s="3">
        <f>IF(D3538="","",IF(V3538=0,"🟢 OK",IF(D3538&lt;corte,"⚪ HISTÓRICO (sem baixa)",IF(AND(ISNUMBER(R3538),R3538&lt;TODAY()),"🔴 PRAZO VENCIDO",IF(AND(OR(N3538="PENDENTE",N3538="PARCIAL"),D3538&lt;TODAY()-1),"🔴 EMBARQUE ATRASADO",IF(AND(N3538="REALIZADO",M3538="PENDENTE"),"🟡 EMBARCADO SEM FATURAR",IF(AND(P3538&lt;&gt;"",S3538="",OR(Q3538="",R3538="")),"🟡 PENDÊNCIA SEM RESPONSÁVEL/PRAZO",IF(AND(ISNUMBER(R3538),R3538=TODAY()),"🟡 VENCE HOJE",IF(AND(P3538&lt;&gt;"",S3538=""),"🟡 PENDÊNCIA ABERTA",IF(AND(N(J3538)&gt;0,N(K3538)&lt;J3538),"🟡 FALTA EXECUTAR",IF(OR(M3538="PENDENTE",M3538="PARCIAL"),"🟡 FATURAMENTO PENDENTE","🟡 EMBARQUE PENDENTE")))))))))))</f>
        <v/>
      </c>
      <c r="D3538" s="4" t="n"/>
      <c r="E3538" s="5" t="n"/>
      <c r="F3538" s="5" t="n"/>
      <c r="G3538" s="5" t="n"/>
      <c r="H3538" s="5" t="n"/>
      <c r="I3538" s="5" t="n"/>
      <c r="J3538" s="6" t="n"/>
      <c r="K3538" s="6" t="n"/>
      <c r="L3538" s="7">
        <f>IF(OR(D3538="",N(J3538)=0),"",MIN(1,N(K3538)/J3538))</f>
        <v/>
      </c>
      <c r="M3538" s="5" t="n"/>
      <c r="N3538" s="5" t="n"/>
      <c r="O3538" s="5" t="n"/>
      <c r="P3538" s="5" t="n"/>
      <c r="Q3538" s="5" t="n"/>
      <c r="R3538" s="4" t="n"/>
      <c r="S3538" s="4" t="n"/>
      <c r="T3538" s="5" t="n"/>
      <c r="U3538" s="8">
        <f>IF(AND(V3538=1,D3538&lt;&gt;""),IF(D3538&gt;=corte,TODAY()-D3538,""),"")</f>
        <v/>
      </c>
      <c r="V3538" s="8">
        <f>IF(D3538="",0,IF(OR(AND(P3538&lt;&gt;"",S3538=""),AND(N(J3538)&gt;0,N(K3538)&lt;J3538),OR(M3538="PENDENTE",M3538="PARCIAL"),OR(N3538="PENDENTE",N3538="PARCIAL")),1,0))</f>
        <v/>
      </c>
      <c r="W3538" s="8">
        <f>IF(AND(V3538=1,D3538&lt;&gt;""),IF(D3538&gt;=corte,(B3538="CRÍTICO")*1E9+(100000-D3538)*10000+10000-ROW(),""),"")</f>
        <v/>
      </c>
      <c r="X3538" s="8">
        <f>IF(AND(V3538=1,D3538=pas_data,E3538=pas_turno),10000-ROW(),"")</f>
        <v/>
      </c>
    </row>
    <row r="3539">
      <c r="A3539" s="3">
        <f>IF(D3539="","","TT-"&amp;TEXT(ROW()-1,"00000"))</f>
        <v/>
      </c>
      <c r="B3539" s="3">
        <f>IF(D3539="","",IF(V3539=0,"CONCLUÍDO",IF(D3539&lt;corte,"HISTÓRICO",IF(OR(AND(ISNUMBER(R3539),R3539&lt;TODAY()),AND(OR(N3539="PENDENTE",N3539="PARCIAL"),D3539&lt;TODAY()-1)),"CRÍTICO",IF(OR(AND(P3539&lt;&gt;"",S3539=""),AND(N3539="REALIZADO",M3539="PENDENTE"),AND(ISNUMBER(R3539),R3539=TODAY())),"ATENÇÃO",IF(N(K3539)=0,"PENDENTE","EM ANDAMENTO"))))))</f>
        <v/>
      </c>
      <c r="C3539" s="3">
        <f>IF(D3539="","",IF(V3539=0,"🟢 OK",IF(D3539&lt;corte,"⚪ HISTÓRICO (sem baixa)",IF(AND(ISNUMBER(R3539),R3539&lt;TODAY()),"🔴 PRAZO VENCIDO",IF(AND(OR(N3539="PENDENTE",N3539="PARCIAL"),D3539&lt;TODAY()-1),"🔴 EMBARQUE ATRASADO",IF(AND(N3539="REALIZADO",M3539="PENDENTE"),"🟡 EMBARCADO SEM FATURAR",IF(AND(P3539&lt;&gt;"",S3539="",OR(Q3539="",R3539="")),"🟡 PENDÊNCIA SEM RESPONSÁVEL/PRAZO",IF(AND(ISNUMBER(R3539),R3539=TODAY()),"🟡 VENCE HOJE",IF(AND(P3539&lt;&gt;"",S3539=""),"🟡 PENDÊNCIA ABERTA",IF(AND(N(J3539)&gt;0,N(K3539)&lt;J3539),"🟡 FALTA EXECUTAR",IF(OR(M3539="PENDENTE",M3539="PARCIAL"),"🟡 FATURAMENTO PENDENTE","🟡 EMBARQUE PENDENTE")))))))))))</f>
        <v/>
      </c>
      <c r="D3539" s="4" t="n"/>
      <c r="E3539" s="5" t="n"/>
      <c r="F3539" s="5" t="n"/>
      <c r="G3539" s="5" t="n"/>
      <c r="H3539" s="5" t="n"/>
      <c r="I3539" s="5" t="n"/>
      <c r="J3539" s="6" t="n"/>
      <c r="K3539" s="6" t="n"/>
      <c r="L3539" s="7">
        <f>IF(OR(D3539="",N(J3539)=0),"",MIN(1,N(K3539)/J3539))</f>
        <v/>
      </c>
      <c r="M3539" s="5" t="n"/>
      <c r="N3539" s="5" t="n"/>
      <c r="O3539" s="5" t="n"/>
      <c r="P3539" s="5" t="n"/>
      <c r="Q3539" s="5" t="n"/>
      <c r="R3539" s="4" t="n"/>
      <c r="S3539" s="4" t="n"/>
      <c r="T3539" s="5" t="n"/>
      <c r="U3539" s="8">
        <f>IF(AND(V3539=1,D3539&lt;&gt;""),IF(D3539&gt;=corte,TODAY()-D3539,""),"")</f>
        <v/>
      </c>
      <c r="V3539" s="8">
        <f>IF(D3539="",0,IF(OR(AND(P3539&lt;&gt;"",S3539=""),AND(N(J3539)&gt;0,N(K3539)&lt;J3539),OR(M3539="PENDENTE",M3539="PARCIAL"),OR(N3539="PENDENTE",N3539="PARCIAL")),1,0))</f>
        <v/>
      </c>
      <c r="W3539" s="8">
        <f>IF(AND(V3539=1,D3539&lt;&gt;""),IF(D3539&gt;=corte,(B3539="CRÍTICO")*1E9+(100000-D3539)*10000+10000-ROW(),""),"")</f>
        <v/>
      </c>
      <c r="X3539" s="8">
        <f>IF(AND(V3539=1,D3539=pas_data,E3539=pas_turno),10000-ROW(),"")</f>
        <v/>
      </c>
    </row>
    <row r="3540">
      <c r="A3540" s="3">
        <f>IF(D3540="","","TT-"&amp;TEXT(ROW()-1,"00000"))</f>
        <v/>
      </c>
      <c r="B3540" s="3">
        <f>IF(D3540="","",IF(V3540=0,"CONCLUÍDO",IF(D3540&lt;corte,"HISTÓRICO",IF(OR(AND(ISNUMBER(R3540),R3540&lt;TODAY()),AND(OR(N3540="PENDENTE",N3540="PARCIAL"),D3540&lt;TODAY()-1)),"CRÍTICO",IF(OR(AND(P3540&lt;&gt;"",S3540=""),AND(N3540="REALIZADO",M3540="PENDENTE"),AND(ISNUMBER(R3540),R3540=TODAY())),"ATENÇÃO",IF(N(K3540)=0,"PENDENTE","EM ANDAMENTO"))))))</f>
        <v/>
      </c>
      <c r="C3540" s="3">
        <f>IF(D3540="","",IF(V3540=0,"🟢 OK",IF(D3540&lt;corte,"⚪ HISTÓRICO (sem baixa)",IF(AND(ISNUMBER(R3540),R3540&lt;TODAY()),"🔴 PRAZO VENCIDO",IF(AND(OR(N3540="PENDENTE",N3540="PARCIAL"),D3540&lt;TODAY()-1),"🔴 EMBARQUE ATRASADO",IF(AND(N3540="REALIZADO",M3540="PENDENTE"),"🟡 EMBARCADO SEM FATURAR",IF(AND(P3540&lt;&gt;"",S3540="",OR(Q3540="",R3540="")),"🟡 PENDÊNCIA SEM RESPONSÁVEL/PRAZO",IF(AND(ISNUMBER(R3540),R3540=TODAY()),"🟡 VENCE HOJE",IF(AND(P3540&lt;&gt;"",S3540=""),"🟡 PENDÊNCIA ABERTA",IF(AND(N(J3540)&gt;0,N(K3540)&lt;J3540),"🟡 FALTA EXECUTAR",IF(OR(M3540="PENDENTE",M3540="PARCIAL"),"🟡 FATURAMENTO PENDENTE","🟡 EMBARQUE PENDENTE")))))))))))</f>
        <v/>
      </c>
      <c r="D3540" s="4" t="n"/>
      <c r="E3540" s="5" t="n"/>
      <c r="F3540" s="5" t="n"/>
      <c r="G3540" s="5" t="n"/>
      <c r="H3540" s="5" t="n"/>
      <c r="I3540" s="5" t="n"/>
      <c r="J3540" s="6" t="n"/>
      <c r="K3540" s="6" t="n"/>
      <c r="L3540" s="7">
        <f>IF(OR(D3540="",N(J3540)=0),"",MIN(1,N(K3540)/J3540))</f>
        <v/>
      </c>
      <c r="M3540" s="5" t="n"/>
      <c r="N3540" s="5" t="n"/>
      <c r="O3540" s="5" t="n"/>
      <c r="P3540" s="5" t="n"/>
      <c r="Q3540" s="5" t="n"/>
      <c r="R3540" s="4" t="n"/>
      <c r="S3540" s="4" t="n"/>
      <c r="T3540" s="5" t="n"/>
      <c r="U3540" s="8">
        <f>IF(AND(V3540=1,D3540&lt;&gt;""),IF(D3540&gt;=corte,TODAY()-D3540,""),"")</f>
        <v/>
      </c>
      <c r="V3540" s="8">
        <f>IF(D3540="",0,IF(OR(AND(P3540&lt;&gt;"",S3540=""),AND(N(J3540)&gt;0,N(K3540)&lt;J3540),OR(M3540="PENDENTE",M3540="PARCIAL"),OR(N3540="PENDENTE",N3540="PARCIAL")),1,0))</f>
        <v/>
      </c>
      <c r="W3540" s="8">
        <f>IF(AND(V3540=1,D3540&lt;&gt;""),IF(D3540&gt;=corte,(B3540="CRÍTICO")*1E9+(100000-D3540)*10000+10000-ROW(),""),"")</f>
        <v/>
      </c>
      <c r="X3540" s="8">
        <f>IF(AND(V3540=1,D3540=pas_data,E3540=pas_turno),10000-ROW(),"")</f>
        <v/>
      </c>
    </row>
    <row r="3541">
      <c r="A3541" s="3">
        <f>IF(D3541="","","TT-"&amp;TEXT(ROW()-1,"00000"))</f>
        <v/>
      </c>
      <c r="B3541" s="3">
        <f>IF(D3541="","",IF(V3541=0,"CONCLUÍDO",IF(D3541&lt;corte,"HISTÓRICO",IF(OR(AND(ISNUMBER(R3541),R3541&lt;TODAY()),AND(OR(N3541="PENDENTE",N3541="PARCIAL"),D3541&lt;TODAY()-1)),"CRÍTICO",IF(OR(AND(P3541&lt;&gt;"",S3541=""),AND(N3541="REALIZADO",M3541="PENDENTE"),AND(ISNUMBER(R3541),R3541=TODAY())),"ATENÇÃO",IF(N(K3541)=0,"PENDENTE","EM ANDAMENTO"))))))</f>
        <v/>
      </c>
      <c r="C3541" s="3">
        <f>IF(D3541="","",IF(V3541=0,"🟢 OK",IF(D3541&lt;corte,"⚪ HISTÓRICO (sem baixa)",IF(AND(ISNUMBER(R3541),R3541&lt;TODAY()),"🔴 PRAZO VENCIDO",IF(AND(OR(N3541="PENDENTE",N3541="PARCIAL"),D3541&lt;TODAY()-1),"🔴 EMBARQUE ATRASADO",IF(AND(N3541="REALIZADO",M3541="PENDENTE"),"🟡 EMBARCADO SEM FATURAR",IF(AND(P3541&lt;&gt;"",S3541="",OR(Q3541="",R3541="")),"🟡 PENDÊNCIA SEM RESPONSÁVEL/PRAZO",IF(AND(ISNUMBER(R3541),R3541=TODAY()),"🟡 VENCE HOJE",IF(AND(P3541&lt;&gt;"",S3541=""),"🟡 PENDÊNCIA ABERTA",IF(AND(N(J3541)&gt;0,N(K3541)&lt;J3541),"🟡 FALTA EXECUTAR",IF(OR(M3541="PENDENTE",M3541="PARCIAL"),"🟡 FATURAMENTO PENDENTE","🟡 EMBARQUE PENDENTE")))))))))))</f>
        <v/>
      </c>
      <c r="D3541" s="4" t="n"/>
      <c r="E3541" s="5" t="n"/>
      <c r="F3541" s="5" t="n"/>
      <c r="G3541" s="5" t="n"/>
      <c r="H3541" s="5" t="n"/>
      <c r="I3541" s="5" t="n"/>
      <c r="J3541" s="6" t="n"/>
      <c r="K3541" s="6" t="n"/>
      <c r="L3541" s="7">
        <f>IF(OR(D3541="",N(J3541)=0),"",MIN(1,N(K3541)/J3541))</f>
        <v/>
      </c>
      <c r="M3541" s="5" t="n"/>
      <c r="N3541" s="5" t="n"/>
      <c r="O3541" s="5" t="n"/>
      <c r="P3541" s="5" t="n"/>
      <c r="Q3541" s="5" t="n"/>
      <c r="R3541" s="4" t="n"/>
      <c r="S3541" s="4" t="n"/>
      <c r="T3541" s="5" t="n"/>
      <c r="U3541" s="8">
        <f>IF(AND(V3541=1,D3541&lt;&gt;""),IF(D3541&gt;=corte,TODAY()-D3541,""),"")</f>
        <v/>
      </c>
      <c r="V3541" s="8">
        <f>IF(D3541="",0,IF(OR(AND(P3541&lt;&gt;"",S3541=""),AND(N(J3541)&gt;0,N(K3541)&lt;J3541),OR(M3541="PENDENTE",M3541="PARCIAL"),OR(N3541="PENDENTE",N3541="PARCIAL")),1,0))</f>
        <v/>
      </c>
      <c r="W3541" s="8">
        <f>IF(AND(V3541=1,D3541&lt;&gt;""),IF(D3541&gt;=corte,(B3541="CRÍTICO")*1E9+(100000-D3541)*10000+10000-ROW(),""),"")</f>
        <v/>
      </c>
      <c r="X3541" s="8">
        <f>IF(AND(V3541=1,D3541=pas_data,E3541=pas_turno),10000-ROW(),"")</f>
        <v/>
      </c>
    </row>
    <row r="3542">
      <c r="A3542" s="3">
        <f>IF(D3542="","","TT-"&amp;TEXT(ROW()-1,"00000"))</f>
        <v/>
      </c>
      <c r="B3542" s="3">
        <f>IF(D3542="","",IF(V3542=0,"CONCLUÍDO",IF(D3542&lt;corte,"HISTÓRICO",IF(OR(AND(ISNUMBER(R3542),R3542&lt;TODAY()),AND(OR(N3542="PENDENTE",N3542="PARCIAL"),D3542&lt;TODAY()-1)),"CRÍTICO",IF(OR(AND(P3542&lt;&gt;"",S3542=""),AND(N3542="REALIZADO",M3542="PENDENTE"),AND(ISNUMBER(R3542),R3542=TODAY())),"ATENÇÃO",IF(N(K3542)=0,"PENDENTE","EM ANDAMENTO"))))))</f>
        <v/>
      </c>
      <c r="C3542" s="3">
        <f>IF(D3542="","",IF(V3542=0,"🟢 OK",IF(D3542&lt;corte,"⚪ HISTÓRICO (sem baixa)",IF(AND(ISNUMBER(R3542),R3542&lt;TODAY()),"🔴 PRAZO VENCIDO",IF(AND(OR(N3542="PENDENTE",N3542="PARCIAL"),D3542&lt;TODAY()-1),"🔴 EMBARQUE ATRASADO",IF(AND(N3542="REALIZADO",M3542="PENDENTE"),"🟡 EMBARCADO SEM FATURAR",IF(AND(P3542&lt;&gt;"",S3542="",OR(Q3542="",R3542="")),"🟡 PENDÊNCIA SEM RESPONSÁVEL/PRAZO",IF(AND(ISNUMBER(R3542),R3542=TODAY()),"🟡 VENCE HOJE",IF(AND(P3542&lt;&gt;"",S3542=""),"🟡 PENDÊNCIA ABERTA",IF(AND(N(J3542)&gt;0,N(K3542)&lt;J3542),"🟡 FALTA EXECUTAR",IF(OR(M3542="PENDENTE",M3542="PARCIAL"),"🟡 FATURAMENTO PENDENTE","🟡 EMBARQUE PENDENTE")))))))))))</f>
        <v/>
      </c>
      <c r="D3542" s="4" t="n"/>
      <c r="E3542" s="5" t="n"/>
      <c r="F3542" s="5" t="n"/>
      <c r="G3542" s="5" t="n"/>
      <c r="H3542" s="5" t="n"/>
      <c r="I3542" s="5" t="n"/>
      <c r="J3542" s="6" t="n"/>
      <c r="K3542" s="6" t="n"/>
      <c r="L3542" s="7">
        <f>IF(OR(D3542="",N(J3542)=0),"",MIN(1,N(K3542)/J3542))</f>
        <v/>
      </c>
      <c r="M3542" s="5" t="n"/>
      <c r="N3542" s="5" t="n"/>
      <c r="O3542" s="5" t="n"/>
      <c r="P3542" s="5" t="n"/>
      <c r="Q3542" s="5" t="n"/>
      <c r="R3542" s="4" t="n"/>
      <c r="S3542" s="4" t="n"/>
      <c r="T3542" s="5" t="n"/>
      <c r="U3542" s="8">
        <f>IF(AND(V3542=1,D3542&lt;&gt;""),IF(D3542&gt;=corte,TODAY()-D3542,""),"")</f>
        <v/>
      </c>
      <c r="V3542" s="8">
        <f>IF(D3542="",0,IF(OR(AND(P3542&lt;&gt;"",S3542=""),AND(N(J3542)&gt;0,N(K3542)&lt;J3542),OR(M3542="PENDENTE",M3542="PARCIAL"),OR(N3542="PENDENTE",N3542="PARCIAL")),1,0))</f>
        <v/>
      </c>
      <c r="W3542" s="8">
        <f>IF(AND(V3542=1,D3542&lt;&gt;""),IF(D3542&gt;=corte,(B3542="CRÍTICO")*1E9+(100000-D3542)*10000+10000-ROW(),""),"")</f>
        <v/>
      </c>
      <c r="X3542" s="8">
        <f>IF(AND(V3542=1,D3542=pas_data,E3542=pas_turno),10000-ROW(),"")</f>
        <v/>
      </c>
    </row>
    <row r="3543">
      <c r="A3543" s="3">
        <f>IF(D3543="","","TT-"&amp;TEXT(ROW()-1,"00000"))</f>
        <v/>
      </c>
      <c r="B3543" s="3">
        <f>IF(D3543="","",IF(V3543=0,"CONCLUÍDO",IF(D3543&lt;corte,"HISTÓRICO",IF(OR(AND(ISNUMBER(R3543),R3543&lt;TODAY()),AND(OR(N3543="PENDENTE",N3543="PARCIAL"),D3543&lt;TODAY()-1)),"CRÍTICO",IF(OR(AND(P3543&lt;&gt;"",S3543=""),AND(N3543="REALIZADO",M3543="PENDENTE"),AND(ISNUMBER(R3543),R3543=TODAY())),"ATENÇÃO",IF(N(K3543)=0,"PENDENTE","EM ANDAMENTO"))))))</f>
        <v/>
      </c>
      <c r="C3543" s="3">
        <f>IF(D3543="","",IF(V3543=0,"🟢 OK",IF(D3543&lt;corte,"⚪ HISTÓRICO (sem baixa)",IF(AND(ISNUMBER(R3543),R3543&lt;TODAY()),"🔴 PRAZO VENCIDO",IF(AND(OR(N3543="PENDENTE",N3543="PARCIAL"),D3543&lt;TODAY()-1),"🔴 EMBARQUE ATRASADO",IF(AND(N3543="REALIZADO",M3543="PENDENTE"),"🟡 EMBARCADO SEM FATURAR",IF(AND(P3543&lt;&gt;"",S3543="",OR(Q3543="",R3543="")),"🟡 PENDÊNCIA SEM RESPONSÁVEL/PRAZO",IF(AND(ISNUMBER(R3543),R3543=TODAY()),"🟡 VENCE HOJE",IF(AND(P3543&lt;&gt;"",S3543=""),"🟡 PENDÊNCIA ABERTA",IF(AND(N(J3543)&gt;0,N(K3543)&lt;J3543),"🟡 FALTA EXECUTAR",IF(OR(M3543="PENDENTE",M3543="PARCIAL"),"🟡 FATURAMENTO PENDENTE","🟡 EMBARQUE PENDENTE")))))))))))</f>
        <v/>
      </c>
      <c r="D3543" s="4" t="n"/>
      <c r="E3543" s="5" t="n"/>
      <c r="F3543" s="5" t="n"/>
      <c r="G3543" s="5" t="n"/>
      <c r="H3543" s="5" t="n"/>
      <c r="I3543" s="5" t="n"/>
      <c r="J3543" s="6" t="n"/>
      <c r="K3543" s="6" t="n"/>
      <c r="L3543" s="7">
        <f>IF(OR(D3543="",N(J3543)=0),"",MIN(1,N(K3543)/J3543))</f>
        <v/>
      </c>
      <c r="M3543" s="5" t="n"/>
      <c r="N3543" s="5" t="n"/>
      <c r="O3543" s="5" t="n"/>
      <c r="P3543" s="5" t="n"/>
      <c r="Q3543" s="5" t="n"/>
      <c r="R3543" s="4" t="n"/>
      <c r="S3543" s="4" t="n"/>
      <c r="T3543" s="5" t="n"/>
      <c r="U3543" s="8">
        <f>IF(AND(V3543=1,D3543&lt;&gt;""),IF(D3543&gt;=corte,TODAY()-D3543,""),"")</f>
        <v/>
      </c>
      <c r="V3543" s="8">
        <f>IF(D3543="",0,IF(OR(AND(P3543&lt;&gt;"",S3543=""),AND(N(J3543)&gt;0,N(K3543)&lt;J3543),OR(M3543="PENDENTE",M3543="PARCIAL"),OR(N3543="PENDENTE",N3543="PARCIAL")),1,0))</f>
        <v/>
      </c>
      <c r="W3543" s="8">
        <f>IF(AND(V3543=1,D3543&lt;&gt;""),IF(D3543&gt;=corte,(B3543="CRÍTICO")*1E9+(100000-D3543)*10000+10000-ROW(),""),"")</f>
        <v/>
      </c>
      <c r="X3543" s="8">
        <f>IF(AND(V3543=1,D3543=pas_data,E3543=pas_turno),10000-ROW(),"")</f>
        <v/>
      </c>
    </row>
    <row r="3544">
      <c r="A3544" s="3">
        <f>IF(D3544="","","TT-"&amp;TEXT(ROW()-1,"00000"))</f>
        <v/>
      </c>
      <c r="B3544" s="3">
        <f>IF(D3544="","",IF(V3544=0,"CONCLUÍDO",IF(D3544&lt;corte,"HISTÓRICO",IF(OR(AND(ISNUMBER(R3544),R3544&lt;TODAY()),AND(OR(N3544="PENDENTE",N3544="PARCIAL"),D3544&lt;TODAY()-1)),"CRÍTICO",IF(OR(AND(P3544&lt;&gt;"",S3544=""),AND(N3544="REALIZADO",M3544="PENDENTE"),AND(ISNUMBER(R3544),R3544=TODAY())),"ATENÇÃO",IF(N(K3544)=0,"PENDENTE","EM ANDAMENTO"))))))</f>
        <v/>
      </c>
      <c r="C3544" s="3">
        <f>IF(D3544="","",IF(V3544=0,"🟢 OK",IF(D3544&lt;corte,"⚪ HISTÓRICO (sem baixa)",IF(AND(ISNUMBER(R3544),R3544&lt;TODAY()),"🔴 PRAZO VENCIDO",IF(AND(OR(N3544="PENDENTE",N3544="PARCIAL"),D3544&lt;TODAY()-1),"🔴 EMBARQUE ATRASADO",IF(AND(N3544="REALIZADO",M3544="PENDENTE"),"🟡 EMBARCADO SEM FATURAR",IF(AND(P3544&lt;&gt;"",S3544="",OR(Q3544="",R3544="")),"🟡 PENDÊNCIA SEM RESPONSÁVEL/PRAZO",IF(AND(ISNUMBER(R3544),R3544=TODAY()),"🟡 VENCE HOJE",IF(AND(P3544&lt;&gt;"",S3544=""),"🟡 PENDÊNCIA ABERTA",IF(AND(N(J3544)&gt;0,N(K3544)&lt;J3544),"🟡 FALTA EXECUTAR",IF(OR(M3544="PENDENTE",M3544="PARCIAL"),"🟡 FATURAMENTO PENDENTE","🟡 EMBARQUE PENDENTE")))))))))))</f>
        <v/>
      </c>
      <c r="D3544" s="4" t="n"/>
      <c r="E3544" s="5" t="n"/>
      <c r="F3544" s="5" t="n"/>
      <c r="G3544" s="5" t="n"/>
      <c r="H3544" s="5" t="n"/>
      <c r="I3544" s="5" t="n"/>
      <c r="J3544" s="6" t="n"/>
      <c r="K3544" s="6" t="n"/>
      <c r="L3544" s="7">
        <f>IF(OR(D3544="",N(J3544)=0),"",MIN(1,N(K3544)/J3544))</f>
        <v/>
      </c>
      <c r="M3544" s="5" t="n"/>
      <c r="N3544" s="5" t="n"/>
      <c r="O3544" s="5" t="n"/>
      <c r="P3544" s="5" t="n"/>
      <c r="Q3544" s="5" t="n"/>
      <c r="R3544" s="4" t="n"/>
      <c r="S3544" s="4" t="n"/>
      <c r="T3544" s="5" t="n"/>
      <c r="U3544" s="8">
        <f>IF(AND(V3544=1,D3544&lt;&gt;""),IF(D3544&gt;=corte,TODAY()-D3544,""),"")</f>
        <v/>
      </c>
      <c r="V3544" s="8">
        <f>IF(D3544="",0,IF(OR(AND(P3544&lt;&gt;"",S3544=""),AND(N(J3544)&gt;0,N(K3544)&lt;J3544),OR(M3544="PENDENTE",M3544="PARCIAL"),OR(N3544="PENDENTE",N3544="PARCIAL")),1,0))</f>
        <v/>
      </c>
      <c r="W3544" s="8">
        <f>IF(AND(V3544=1,D3544&lt;&gt;""),IF(D3544&gt;=corte,(B3544="CRÍTICO")*1E9+(100000-D3544)*10000+10000-ROW(),""),"")</f>
        <v/>
      </c>
      <c r="X3544" s="8">
        <f>IF(AND(V3544=1,D3544=pas_data,E3544=pas_turno),10000-ROW(),"")</f>
        <v/>
      </c>
    </row>
    <row r="3545">
      <c r="A3545" s="3">
        <f>IF(D3545="","","TT-"&amp;TEXT(ROW()-1,"00000"))</f>
        <v/>
      </c>
      <c r="B3545" s="3">
        <f>IF(D3545="","",IF(V3545=0,"CONCLUÍDO",IF(D3545&lt;corte,"HISTÓRICO",IF(OR(AND(ISNUMBER(R3545),R3545&lt;TODAY()),AND(OR(N3545="PENDENTE",N3545="PARCIAL"),D3545&lt;TODAY()-1)),"CRÍTICO",IF(OR(AND(P3545&lt;&gt;"",S3545=""),AND(N3545="REALIZADO",M3545="PENDENTE"),AND(ISNUMBER(R3545),R3545=TODAY())),"ATENÇÃO",IF(N(K3545)=0,"PENDENTE","EM ANDAMENTO"))))))</f>
        <v/>
      </c>
      <c r="C3545" s="3">
        <f>IF(D3545="","",IF(V3545=0,"🟢 OK",IF(D3545&lt;corte,"⚪ HISTÓRICO (sem baixa)",IF(AND(ISNUMBER(R3545),R3545&lt;TODAY()),"🔴 PRAZO VENCIDO",IF(AND(OR(N3545="PENDENTE",N3545="PARCIAL"),D3545&lt;TODAY()-1),"🔴 EMBARQUE ATRASADO",IF(AND(N3545="REALIZADO",M3545="PENDENTE"),"🟡 EMBARCADO SEM FATURAR",IF(AND(P3545&lt;&gt;"",S3545="",OR(Q3545="",R3545="")),"🟡 PENDÊNCIA SEM RESPONSÁVEL/PRAZO",IF(AND(ISNUMBER(R3545),R3545=TODAY()),"🟡 VENCE HOJE",IF(AND(P3545&lt;&gt;"",S3545=""),"🟡 PENDÊNCIA ABERTA",IF(AND(N(J3545)&gt;0,N(K3545)&lt;J3545),"🟡 FALTA EXECUTAR",IF(OR(M3545="PENDENTE",M3545="PARCIAL"),"🟡 FATURAMENTO PENDENTE","🟡 EMBARQUE PENDENTE")))))))))))</f>
        <v/>
      </c>
      <c r="D3545" s="4" t="n"/>
      <c r="E3545" s="5" t="n"/>
      <c r="F3545" s="5" t="n"/>
      <c r="G3545" s="5" t="n"/>
      <c r="H3545" s="5" t="n"/>
      <c r="I3545" s="5" t="n"/>
      <c r="J3545" s="6" t="n"/>
      <c r="K3545" s="6" t="n"/>
      <c r="L3545" s="7">
        <f>IF(OR(D3545="",N(J3545)=0),"",MIN(1,N(K3545)/J3545))</f>
        <v/>
      </c>
      <c r="M3545" s="5" t="n"/>
      <c r="N3545" s="5" t="n"/>
      <c r="O3545" s="5" t="n"/>
      <c r="P3545" s="5" t="n"/>
      <c r="Q3545" s="5" t="n"/>
      <c r="R3545" s="4" t="n"/>
      <c r="S3545" s="4" t="n"/>
      <c r="T3545" s="5" t="n"/>
      <c r="U3545" s="8">
        <f>IF(AND(V3545=1,D3545&lt;&gt;""),IF(D3545&gt;=corte,TODAY()-D3545,""),"")</f>
        <v/>
      </c>
      <c r="V3545" s="8">
        <f>IF(D3545="",0,IF(OR(AND(P3545&lt;&gt;"",S3545=""),AND(N(J3545)&gt;0,N(K3545)&lt;J3545),OR(M3545="PENDENTE",M3545="PARCIAL"),OR(N3545="PENDENTE",N3545="PARCIAL")),1,0))</f>
        <v/>
      </c>
      <c r="W3545" s="8">
        <f>IF(AND(V3545=1,D3545&lt;&gt;""),IF(D3545&gt;=corte,(B3545="CRÍTICO")*1E9+(100000-D3545)*10000+10000-ROW(),""),"")</f>
        <v/>
      </c>
      <c r="X3545" s="8">
        <f>IF(AND(V3545=1,D3545=pas_data,E3545=pas_turno),10000-ROW(),"")</f>
        <v/>
      </c>
    </row>
    <row r="3546">
      <c r="A3546" s="3">
        <f>IF(D3546="","","TT-"&amp;TEXT(ROW()-1,"00000"))</f>
        <v/>
      </c>
      <c r="B3546" s="3">
        <f>IF(D3546="","",IF(V3546=0,"CONCLUÍDO",IF(D3546&lt;corte,"HISTÓRICO",IF(OR(AND(ISNUMBER(R3546),R3546&lt;TODAY()),AND(OR(N3546="PENDENTE",N3546="PARCIAL"),D3546&lt;TODAY()-1)),"CRÍTICO",IF(OR(AND(P3546&lt;&gt;"",S3546=""),AND(N3546="REALIZADO",M3546="PENDENTE"),AND(ISNUMBER(R3546),R3546=TODAY())),"ATENÇÃO",IF(N(K3546)=0,"PENDENTE","EM ANDAMENTO"))))))</f>
        <v/>
      </c>
      <c r="C3546" s="3">
        <f>IF(D3546="","",IF(V3546=0,"🟢 OK",IF(D3546&lt;corte,"⚪ HISTÓRICO (sem baixa)",IF(AND(ISNUMBER(R3546),R3546&lt;TODAY()),"🔴 PRAZO VENCIDO",IF(AND(OR(N3546="PENDENTE",N3546="PARCIAL"),D3546&lt;TODAY()-1),"🔴 EMBARQUE ATRASADO",IF(AND(N3546="REALIZADO",M3546="PENDENTE"),"🟡 EMBARCADO SEM FATURAR",IF(AND(P3546&lt;&gt;"",S3546="",OR(Q3546="",R3546="")),"🟡 PENDÊNCIA SEM RESPONSÁVEL/PRAZO",IF(AND(ISNUMBER(R3546),R3546=TODAY()),"🟡 VENCE HOJE",IF(AND(P3546&lt;&gt;"",S3546=""),"🟡 PENDÊNCIA ABERTA",IF(AND(N(J3546)&gt;0,N(K3546)&lt;J3546),"🟡 FALTA EXECUTAR",IF(OR(M3546="PENDENTE",M3546="PARCIAL"),"🟡 FATURAMENTO PENDENTE","🟡 EMBARQUE PENDENTE")))))))))))</f>
        <v/>
      </c>
      <c r="D3546" s="4" t="n"/>
      <c r="E3546" s="5" t="n"/>
      <c r="F3546" s="5" t="n"/>
      <c r="G3546" s="5" t="n"/>
      <c r="H3546" s="5" t="n"/>
      <c r="I3546" s="5" t="n"/>
      <c r="J3546" s="6" t="n"/>
      <c r="K3546" s="6" t="n"/>
      <c r="L3546" s="7">
        <f>IF(OR(D3546="",N(J3546)=0),"",MIN(1,N(K3546)/J3546))</f>
        <v/>
      </c>
      <c r="M3546" s="5" t="n"/>
      <c r="N3546" s="5" t="n"/>
      <c r="O3546" s="5" t="n"/>
      <c r="P3546" s="5" t="n"/>
      <c r="Q3546" s="5" t="n"/>
      <c r="R3546" s="4" t="n"/>
      <c r="S3546" s="4" t="n"/>
      <c r="T3546" s="5" t="n"/>
      <c r="U3546" s="8">
        <f>IF(AND(V3546=1,D3546&lt;&gt;""),IF(D3546&gt;=corte,TODAY()-D3546,""),"")</f>
        <v/>
      </c>
      <c r="V3546" s="8">
        <f>IF(D3546="",0,IF(OR(AND(P3546&lt;&gt;"",S3546=""),AND(N(J3546)&gt;0,N(K3546)&lt;J3546),OR(M3546="PENDENTE",M3546="PARCIAL"),OR(N3546="PENDENTE",N3546="PARCIAL")),1,0))</f>
        <v/>
      </c>
      <c r="W3546" s="8">
        <f>IF(AND(V3546=1,D3546&lt;&gt;""),IF(D3546&gt;=corte,(B3546="CRÍTICO")*1E9+(100000-D3546)*10000+10000-ROW(),""),"")</f>
        <v/>
      </c>
      <c r="X3546" s="8">
        <f>IF(AND(V3546=1,D3546=pas_data,E3546=pas_turno),10000-ROW(),"")</f>
        <v/>
      </c>
    </row>
    <row r="3547">
      <c r="A3547" s="3">
        <f>IF(D3547="","","TT-"&amp;TEXT(ROW()-1,"00000"))</f>
        <v/>
      </c>
      <c r="B3547" s="3">
        <f>IF(D3547="","",IF(V3547=0,"CONCLUÍDO",IF(D3547&lt;corte,"HISTÓRICO",IF(OR(AND(ISNUMBER(R3547),R3547&lt;TODAY()),AND(OR(N3547="PENDENTE",N3547="PARCIAL"),D3547&lt;TODAY()-1)),"CRÍTICO",IF(OR(AND(P3547&lt;&gt;"",S3547=""),AND(N3547="REALIZADO",M3547="PENDENTE"),AND(ISNUMBER(R3547),R3547=TODAY())),"ATENÇÃO",IF(N(K3547)=0,"PENDENTE","EM ANDAMENTO"))))))</f>
        <v/>
      </c>
      <c r="C3547" s="3">
        <f>IF(D3547="","",IF(V3547=0,"🟢 OK",IF(D3547&lt;corte,"⚪ HISTÓRICO (sem baixa)",IF(AND(ISNUMBER(R3547),R3547&lt;TODAY()),"🔴 PRAZO VENCIDO",IF(AND(OR(N3547="PENDENTE",N3547="PARCIAL"),D3547&lt;TODAY()-1),"🔴 EMBARQUE ATRASADO",IF(AND(N3547="REALIZADO",M3547="PENDENTE"),"🟡 EMBARCADO SEM FATURAR",IF(AND(P3547&lt;&gt;"",S3547="",OR(Q3547="",R3547="")),"🟡 PENDÊNCIA SEM RESPONSÁVEL/PRAZO",IF(AND(ISNUMBER(R3547),R3547=TODAY()),"🟡 VENCE HOJE",IF(AND(P3547&lt;&gt;"",S3547=""),"🟡 PENDÊNCIA ABERTA",IF(AND(N(J3547)&gt;0,N(K3547)&lt;J3547),"🟡 FALTA EXECUTAR",IF(OR(M3547="PENDENTE",M3547="PARCIAL"),"🟡 FATURAMENTO PENDENTE","🟡 EMBARQUE PENDENTE")))))))))))</f>
        <v/>
      </c>
      <c r="D3547" s="4" t="n"/>
      <c r="E3547" s="5" t="n"/>
      <c r="F3547" s="5" t="n"/>
      <c r="G3547" s="5" t="n"/>
      <c r="H3547" s="5" t="n"/>
      <c r="I3547" s="5" t="n"/>
      <c r="J3547" s="6" t="n"/>
      <c r="K3547" s="6" t="n"/>
      <c r="L3547" s="7">
        <f>IF(OR(D3547="",N(J3547)=0),"",MIN(1,N(K3547)/J3547))</f>
        <v/>
      </c>
      <c r="M3547" s="5" t="n"/>
      <c r="N3547" s="5" t="n"/>
      <c r="O3547" s="5" t="n"/>
      <c r="P3547" s="5" t="n"/>
      <c r="Q3547" s="5" t="n"/>
      <c r="R3547" s="4" t="n"/>
      <c r="S3547" s="4" t="n"/>
      <c r="T3547" s="5" t="n"/>
      <c r="U3547" s="8">
        <f>IF(AND(V3547=1,D3547&lt;&gt;""),IF(D3547&gt;=corte,TODAY()-D3547,""),"")</f>
        <v/>
      </c>
      <c r="V3547" s="8">
        <f>IF(D3547="",0,IF(OR(AND(P3547&lt;&gt;"",S3547=""),AND(N(J3547)&gt;0,N(K3547)&lt;J3547),OR(M3547="PENDENTE",M3547="PARCIAL"),OR(N3547="PENDENTE",N3547="PARCIAL")),1,0))</f>
        <v/>
      </c>
      <c r="W3547" s="8">
        <f>IF(AND(V3547=1,D3547&lt;&gt;""),IF(D3547&gt;=corte,(B3547="CRÍTICO")*1E9+(100000-D3547)*10000+10000-ROW(),""),"")</f>
        <v/>
      </c>
      <c r="X3547" s="8">
        <f>IF(AND(V3547=1,D3547=pas_data,E3547=pas_turno),10000-ROW(),"")</f>
        <v/>
      </c>
    </row>
    <row r="3548">
      <c r="A3548" s="3">
        <f>IF(D3548="","","TT-"&amp;TEXT(ROW()-1,"00000"))</f>
        <v/>
      </c>
      <c r="B3548" s="3">
        <f>IF(D3548="","",IF(V3548=0,"CONCLUÍDO",IF(D3548&lt;corte,"HISTÓRICO",IF(OR(AND(ISNUMBER(R3548),R3548&lt;TODAY()),AND(OR(N3548="PENDENTE",N3548="PARCIAL"),D3548&lt;TODAY()-1)),"CRÍTICO",IF(OR(AND(P3548&lt;&gt;"",S3548=""),AND(N3548="REALIZADO",M3548="PENDENTE"),AND(ISNUMBER(R3548),R3548=TODAY())),"ATENÇÃO",IF(N(K3548)=0,"PENDENTE","EM ANDAMENTO"))))))</f>
        <v/>
      </c>
      <c r="C3548" s="3">
        <f>IF(D3548="","",IF(V3548=0,"🟢 OK",IF(D3548&lt;corte,"⚪ HISTÓRICO (sem baixa)",IF(AND(ISNUMBER(R3548),R3548&lt;TODAY()),"🔴 PRAZO VENCIDO",IF(AND(OR(N3548="PENDENTE",N3548="PARCIAL"),D3548&lt;TODAY()-1),"🔴 EMBARQUE ATRASADO",IF(AND(N3548="REALIZADO",M3548="PENDENTE"),"🟡 EMBARCADO SEM FATURAR",IF(AND(P3548&lt;&gt;"",S3548="",OR(Q3548="",R3548="")),"🟡 PENDÊNCIA SEM RESPONSÁVEL/PRAZO",IF(AND(ISNUMBER(R3548),R3548=TODAY()),"🟡 VENCE HOJE",IF(AND(P3548&lt;&gt;"",S3548=""),"🟡 PENDÊNCIA ABERTA",IF(AND(N(J3548)&gt;0,N(K3548)&lt;J3548),"🟡 FALTA EXECUTAR",IF(OR(M3548="PENDENTE",M3548="PARCIAL"),"🟡 FATURAMENTO PENDENTE","🟡 EMBARQUE PENDENTE")))))))))))</f>
        <v/>
      </c>
      <c r="D3548" s="4" t="n"/>
      <c r="E3548" s="5" t="n"/>
      <c r="F3548" s="5" t="n"/>
      <c r="G3548" s="5" t="n"/>
      <c r="H3548" s="5" t="n"/>
      <c r="I3548" s="5" t="n"/>
      <c r="J3548" s="6" t="n"/>
      <c r="K3548" s="6" t="n"/>
      <c r="L3548" s="7">
        <f>IF(OR(D3548="",N(J3548)=0),"",MIN(1,N(K3548)/J3548))</f>
        <v/>
      </c>
      <c r="M3548" s="5" t="n"/>
      <c r="N3548" s="5" t="n"/>
      <c r="O3548" s="5" t="n"/>
      <c r="P3548" s="5" t="n"/>
      <c r="Q3548" s="5" t="n"/>
      <c r="R3548" s="4" t="n"/>
      <c r="S3548" s="4" t="n"/>
      <c r="T3548" s="5" t="n"/>
      <c r="U3548" s="8">
        <f>IF(AND(V3548=1,D3548&lt;&gt;""),IF(D3548&gt;=corte,TODAY()-D3548,""),"")</f>
        <v/>
      </c>
      <c r="V3548" s="8">
        <f>IF(D3548="",0,IF(OR(AND(P3548&lt;&gt;"",S3548=""),AND(N(J3548)&gt;0,N(K3548)&lt;J3548),OR(M3548="PENDENTE",M3548="PARCIAL"),OR(N3548="PENDENTE",N3548="PARCIAL")),1,0))</f>
        <v/>
      </c>
      <c r="W3548" s="8">
        <f>IF(AND(V3548=1,D3548&lt;&gt;""),IF(D3548&gt;=corte,(B3548="CRÍTICO")*1E9+(100000-D3548)*10000+10000-ROW(),""),"")</f>
        <v/>
      </c>
      <c r="X3548" s="8">
        <f>IF(AND(V3548=1,D3548=pas_data,E3548=pas_turno),10000-ROW(),"")</f>
        <v/>
      </c>
    </row>
    <row r="3549">
      <c r="A3549" s="3">
        <f>IF(D3549="","","TT-"&amp;TEXT(ROW()-1,"00000"))</f>
        <v/>
      </c>
      <c r="B3549" s="3">
        <f>IF(D3549="","",IF(V3549=0,"CONCLUÍDO",IF(D3549&lt;corte,"HISTÓRICO",IF(OR(AND(ISNUMBER(R3549),R3549&lt;TODAY()),AND(OR(N3549="PENDENTE",N3549="PARCIAL"),D3549&lt;TODAY()-1)),"CRÍTICO",IF(OR(AND(P3549&lt;&gt;"",S3549=""),AND(N3549="REALIZADO",M3549="PENDENTE"),AND(ISNUMBER(R3549),R3549=TODAY())),"ATENÇÃO",IF(N(K3549)=0,"PENDENTE","EM ANDAMENTO"))))))</f>
        <v/>
      </c>
      <c r="C3549" s="3">
        <f>IF(D3549="","",IF(V3549=0,"🟢 OK",IF(D3549&lt;corte,"⚪ HISTÓRICO (sem baixa)",IF(AND(ISNUMBER(R3549),R3549&lt;TODAY()),"🔴 PRAZO VENCIDO",IF(AND(OR(N3549="PENDENTE",N3549="PARCIAL"),D3549&lt;TODAY()-1),"🔴 EMBARQUE ATRASADO",IF(AND(N3549="REALIZADO",M3549="PENDENTE"),"🟡 EMBARCADO SEM FATURAR",IF(AND(P3549&lt;&gt;"",S3549="",OR(Q3549="",R3549="")),"🟡 PENDÊNCIA SEM RESPONSÁVEL/PRAZO",IF(AND(ISNUMBER(R3549),R3549=TODAY()),"🟡 VENCE HOJE",IF(AND(P3549&lt;&gt;"",S3549=""),"🟡 PENDÊNCIA ABERTA",IF(AND(N(J3549)&gt;0,N(K3549)&lt;J3549),"🟡 FALTA EXECUTAR",IF(OR(M3549="PENDENTE",M3549="PARCIAL"),"🟡 FATURAMENTO PENDENTE","🟡 EMBARQUE PENDENTE")))))))))))</f>
        <v/>
      </c>
      <c r="D3549" s="4" t="n"/>
      <c r="E3549" s="5" t="n"/>
      <c r="F3549" s="5" t="n"/>
      <c r="G3549" s="5" t="n"/>
      <c r="H3549" s="5" t="n"/>
      <c r="I3549" s="5" t="n"/>
      <c r="J3549" s="6" t="n"/>
      <c r="K3549" s="6" t="n"/>
      <c r="L3549" s="7">
        <f>IF(OR(D3549="",N(J3549)=0),"",MIN(1,N(K3549)/J3549))</f>
        <v/>
      </c>
      <c r="M3549" s="5" t="n"/>
      <c r="N3549" s="5" t="n"/>
      <c r="O3549" s="5" t="n"/>
      <c r="P3549" s="5" t="n"/>
      <c r="Q3549" s="5" t="n"/>
      <c r="R3549" s="4" t="n"/>
      <c r="S3549" s="4" t="n"/>
      <c r="T3549" s="5" t="n"/>
      <c r="U3549" s="8">
        <f>IF(AND(V3549=1,D3549&lt;&gt;""),IF(D3549&gt;=corte,TODAY()-D3549,""),"")</f>
        <v/>
      </c>
      <c r="V3549" s="8">
        <f>IF(D3549="",0,IF(OR(AND(P3549&lt;&gt;"",S3549=""),AND(N(J3549)&gt;0,N(K3549)&lt;J3549),OR(M3549="PENDENTE",M3549="PARCIAL"),OR(N3549="PENDENTE",N3549="PARCIAL")),1,0))</f>
        <v/>
      </c>
      <c r="W3549" s="8">
        <f>IF(AND(V3549=1,D3549&lt;&gt;""),IF(D3549&gt;=corte,(B3549="CRÍTICO")*1E9+(100000-D3549)*10000+10000-ROW(),""),"")</f>
        <v/>
      </c>
      <c r="X3549" s="8">
        <f>IF(AND(V3549=1,D3549=pas_data,E3549=pas_turno),10000-ROW(),"")</f>
        <v/>
      </c>
    </row>
    <row r="3550">
      <c r="A3550" s="3">
        <f>IF(D3550="","","TT-"&amp;TEXT(ROW()-1,"00000"))</f>
        <v/>
      </c>
      <c r="B3550" s="3">
        <f>IF(D3550="","",IF(V3550=0,"CONCLUÍDO",IF(D3550&lt;corte,"HISTÓRICO",IF(OR(AND(ISNUMBER(R3550),R3550&lt;TODAY()),AND(OR(N3550="PENDENTE",N3550="PARCIAL"),D3550&lt;TODAY()-1)),"CRÍTICO",IF(OR(AND(P3550&lt;&gt;"",S3550=""),AND(N3550="REALIZADO",M3550="PENDENTE"),AND(ISNUMBER(R3550),R3550=TODAY())),"ATENÇÃO",IF(N(K3550)=0,"PENDENTE","EM ANDAMENTO"))))))</f>
        <v/>
      </c>
      <c r="C3550" s="3">
        <f>IF(D3550="","",IF(V3550=0,"🟢 OK",IF(D3550&lt;corte,"⚪ HISTÓRICO (sem baixa)",IF(AND(ISNUMBER(R3550),R3550&lt;TODAY()),"🔴 PRAZO VENCIDO",IF(AND(OR(N3550="PENDENTE",N3550="PARCIAL"),D3550&lt;TODAY()-1),"🔴 EMBARQUE ATRASADO",IF(AND(N3550="REALIZADO",M3550="PENDENTE"),"🟡 EMBARCADO SEM FATURAR",IF(AND(P3550&lt;&gt;"",S3550="",OR(Q3550="",R3550="")),"🟡 PENDÊNCIA SEM RESPONSÁVEL/PRAZO",IF(AND(ISNUMBER(R3550),R3550=TODAY()),"🟡 VENCE HOJE",IF(AND(P3550&lt;&gt;"",S3550=""),"🟡 PENDÊNCIA ABERTA",IF(AND(N(J3550)&gt;0,N(K3550)&lt;J3550),"🟡 FALTA EXECUTAR",IF(OR(M3550="PENDENTE",M3550="PARCIAL"),"🟡 FATURAMENTO PENDENTE","🟡 EMBARQUE PENDENTE")))))))))))</f>
        <v/>
      </c>
      <c r="D3550" s="4" t="n"/>
      <c r="E3550" s="5" t="n"/>
      <c r="F3550" s="5" t="n"/>
      <c r="G3550" s="5" t="n"/>
      <c r="H3550" s="5" t="n"/>
      <c r="I3550" s="5" t="n"/>
      <c r="J3550" s="6" t="n"/>
      <c r="K3550" s="6" t="n"/>
      <c r="L3550" s="7">
        <f>IF(OR(D3550="",N(J3550)=0),"",MIN(1,N(K3550)/J3550))</f>
        <v/>
      </c>
      <c r="M3550" s="5" t="n"/>
      <c r="N3550" s="5" t="n"/>
      <c r="O3550" s="5" t="n"/>
      <c r="P3550" s="5" t="n"/>
      <c r="Q3550" s="5" t="n"/>
      <c r="R3550" s="4" t="n"/>
      <c r="S3550" s="4" t="n"/>
      <c r="T3550" s="5" t="n"/>
      <c r="U3550" s="8">
        <f>IF(AND(V3550=1,D3550&lt;&gt;""),IF(D3550&gt;=corte,TODAY()-D3550,""),"")</f>
        <v/>
      </c>
      <c r="V3550" s="8">
        <f>IF(D3550="",0,IF(OR(AND(P3550&lt;&gt;"",S3550=""),AND(N(J3550)&gt;0,N(K3550)&lt;J3550),OR(M3550="PENDENTE",M3550="PARCIAL"),OR(N3550="PENDENTE",N3550="PARCIAL")),1,0))</f>
        <v/>
      </c>
      <c r="W3550" s="8">
        <f>IF(AND(V3550=1,D3550&lt;&gt;""),IF(D3550&gt;=corte,(B3550="CRÍTICO")*1E9+(100000-D3550)*10000+10000-ROW(),""),"")</f>
        <v/>
      </c>
      <c r="X3550" s="8">
        <f>IF(AND(V3550=1,D3550=pas_data,E3550=pas_turno),10000-ROW(),"")</f>
        <v/>
      </c>
    </row>
    <row r="3551">
      <c r="A3551" s="3">
        <f>IF(D3551="","","TT-"&amp;TEXT(ROW()-1,"00000"))</f>
        <v/>
      </c>
      <c r="B3551" s="3">
        <f>IF(D3551="","",IF(V3551=0,"CONCLUÍDO",IF(D3551&lt;corte,"HISTÓRICO",IF(OR(AND(ISNUMBER(R3551),R3551&lt;TODAY()),AND(OR(N3551="PENDENTE",N3551="PARCIAL"),D3551&lt;TODAY()-1)),"CRÍTICO",IF(OR(AND(P3551&lt;&gt;"",S3551=""),AND(N3551="REALIZADO",M3551="PENDENTE"),AND(ISNUMBER(R3551),R3551=TODAY())),"ATENÇÃO",IF(N(K3551)=0,"PENDENTE","EM ANDAMENTO"))))))</f>
        <v/>
      </c>
      <c r="C3551" s="3">
        <f>IF(D3551="","",IF(V3551=0,"🟢 OK",IF(D3551&lt;corte,"⚪ HISTÓRICO (sem baixa)",IF(AND(ISNUMBER(R3551),R3551&lt;TODAY()),"🔴 PRAZO VENCIDO",IF(AND(OR(N3551="PENDENTE",N3551="PARCIAL"),D3551&lt;TODAY()-1),"🔴 EMBARQUE ATRASADO",IF(AND(N3551="REALIZADO",M3551="PENDENTE"),"🟡 EMBARCADO SEM FATURAR",IF(AND(P3551&lt;&gt;"",S3551="",OR(Q3551="",R3551="")),"🟡 PENDÊNCIA SEM RESPONSÁVEL/PRAZO",IF(AND(ISNUMBER(R3551),R3551=TODAY()),"🟡 VENCE HOJE",IF(AND(P3551&lt;&gt;"",S3551=""),"🟡 PENDÊNCIA ABERTA",IF(AND(N(J3551)&gt;0,N(K3551)&lt;J3551),"🟡 FALTA EXECUTAR",IF(OR(M3551="PENDENTE",M3551="PARCIAL"),"🟡 FATURAMENTO PENDENTE","🟡 EMBARQUE PENDENTE")))))))))))</f>
        <v/>
      </c>
      <c r="D3551" s="4" t="n"/>
      <c r="E3551" s="5" t="n"/>
      <c r="F3551" s="5" t="n"/>
      <c r="G3551" s="5" t="n"/>
      <c r="H3551" s="5" t="n"/>
      <c r="I3551" s="5" t="n"/>
      <c r="J3551" s="6" t="n"/>
      <c r="K3551" s="6" t="n"/>
      <c r="L3551" s="7">
        <f>IF(OR(D3551="",N(J3551)=0),"",MIN(1,N(K3551)/J3551))</f>
        <v/>
      </c>
      <c r="M3551" s="5" t="n"/>
      <c r="N3551" s="5" t="n"/>
      <c r="O3551" s="5" t="n"/>
      <c r="P3551" s="5" t="n"/>
      <c r="Q3551" s="5" t="n"/>
      <c r="R3551" s="4" t="n"/>
      <c r="S3551" s="4" t="n"/>
      <c r="T3551" s="5" t="n"/>
      <c r="U3551" s="8">
        <f>IF(AND(V3551=1,D3551&lt;&gt;""),IF(D3551&gt;=corte,TODAY()-D3551,""),"")</f>
        <v/>
      </c>
      <c r="V3551" s="8">
        <f>IF(D3551="",0,IF(OR(AND(P3551&lt;&gt;"",S3551=""),AND(N(J3551)&gt;0,N(K3551)&lt;J3551),OR(M3551="PENDENTE",M3551="PARCIAL"),OR(N3551="PENDENTE",N3551="PARCIAL")),1,0))</f>
        <v/>
      </c>
      <c r="W3551" s="8">
        <f>IF(AND(V3551=1,D3551&lt;&gt;""),IF(D3551&gt;=corte,(B3551="CRÍTICO")*1E9+(100000-D3551)*10000+10000-ROW(),""),"")</f>
        <v/>
      </c>
      <c r="X3551" s="8">
        <f>IF(AND(V3551=1,D3551=pas_data,E3551=pas_turno),10000-ROW(),"")</f>
        <v/>
      </c>
    </row>
    <row r="3552">
      <c r="A3552" s="3">
        <f>IF(D3552="","","TT-"&amp;TEXT(ROW()-1,"00000"))</f>
        <v/>
      </c>
      <c r="B3552" s="3">
        <f>IF(D3552="","",IF(V3552=0,"CONCLUÍDO",IF(D3552&lt;corte,"HISTÓRICO",IF(OR(AND(ISNUMBER(R3552),R3552&lt;TODAY()),AND(OR(N3552="PENDENTE",N3552="PARCIAL"),D3552&lt;TODAY()-1)),"CRÍTICO",IF(OR(AND(P3552&lt;&gt;"",S3552=""),AND(N3552="REALIZADO",M3552="PENDENTE"),AND(ISNUMBER(R3552),R3552=TODAY())),"ATENÇÃO",IF(N(K3552)=0,"PENDENTE","EM ANDAMENTO"))))))</f>
        <v/>
      </c>
      <c r="C3552" s="3">
        <f>IF(D3552="","",IF(V3552=0,"🟢 OK",IF(D3552&lt;corte,"⚪ HISTÓRICO (sem baixa)",IF(AND(ISNUMBER(R3552),R3552&lt;TODAY()),"🔴 PRAZO VENCIDO",IF(AND(OR(N3552="PENDENTE",N3552="PARCIAL"),D3552&lt;TODAY()-1),"🔴 EMBARQUE ATRASADO",IF(AND(N3552="REALIZADO",M3552="PENDENTE"),"🟡 EMBARCADO SEM FATURAR",IF(AND(P3552&lt;&gt;"",S3552="",OR(Q3552="",R3552="")),"🟡 PENDÊNCIA SEM RESPONSÁVEL/PRAZO",IF(AND(ISNUMBER(R3552),R3552=TODAY()),"🟡 VENCE HOJE",IF(AND(P3552&lt;&gt;"",S3552=""),"🟡 PENDÊNCIA ABERTA",IF(AND(N(J3552)&gt;0,N(K3552)&lt;J3552),"🟡 FALTA EXECUTAR",IF(OR(M3552="PENDENTE",M3552="PARCIAL"),"🟡 FATURAMENTO PENDENTE","🟡 EMBARQUE PENDENTE")))))))))))</f>
        <v/>
      </c>
      <c r="D3552" s="4" t="n"/>
      <c r="E3552" s="5" t="n"/>
      <c r="F3552" s="5" t="n"/>
      <c r="G3552" s="5" t="n"/>
      <c r="H3552" s="5" t="n"/>
      <c r="I3552" s="5" t="n"/>
      <c r="J3552" s="6" t="n"/>
      <c r="K3552" s="6" t="n"/>
      <c r="L3552" s="7">
        <f>IF(OR(D3552="",N(J3552)=0),"",MIN(1,N(K3552)/J3552))</f>
        <v/>
      </c>
      <c r="M3552" s="5" t="n"/>
      <c r="N3552" s="5" t="n"/>
      <c r="O3552" s="5" t="n"/>
      <c r="P3552" s="5" t="n"/>
      <c r="Q3552" s="5" t="n"/>
      <c r="R3552" s="4" t="n"/>
      <c r="S3552" s="4" t="n"/>
      <c r="T3552" s="5" t="n"/>
      <c r="U3552" s="8">
        <f>IF(AND(V3552=1,D3552&lt;&gt;""),IF(D3552&gt;=corte,TODAY()-D3552,""),"")</f>
        <v/>
      </c>
      <c r="V3552" s="8">
        <f>IF(D3552="",0,IF(OR(AND(P3552&lt;&gt;"",S3552=""),AND(N(J3552)&gt;0,N(K3552)&lt;J3552),OR(M3552="PENDENTE",M3552="PARCIAL"),OR(N3552="PENDENTE",N3552="PARCIAL")),1,0))</f>
        <v/>
      </c>
      <c r="W3552" s="8">
        <f>IF(AND(V3552=1,D3552&lt;&gt;""),IF(D3552&gt;=corte,(B3552="CRÍTICO")*1E9+(100000-D3552)*10000+10000-ROW(),""),"")</f>
        <v/>
      </c>
      <c r="X3552" s="8">
        <f>IF(AND(V3552=1,D3552=pas_data,E3552=pas_turno),10000-ROW(),"")</f>
        <v/>
      </c>
    </row>
    <row r="3553">
      <c r="A3553" s="3">
        <f>IF(D3553="","","TT-"&amp;TEXT(ROW()-1,"00000"))</f>
        <v/>
      </c>
      <c r="B3553" s="3">
        <f>IF(D3553="","",IF(V3553=0,"CONCLUÍDO",IF(D3553&lt;corte,"HISTÓRICO",IF(OR(AND(ISNUMBER(R3553),R3553&lt;TODAY()),AND(OR(N3553="PENDENTE",N3553="PARCIAL"),D3553&lt;TODAY()-1)),"CRÍTICO",IF(OR(AND(P3553&lt;&gt;"",S3553=""),AND(N3553="REALIZADO",M3553="PENDENTE"),AND(ISNUMBER(R3553),R3553=TODAY())),"ATENÇÃO",IF(N(K3553)=0,"PENDENTE","EM ANDAMENTO"))))))</f>
        <v/>
      </c>
      <c r="C3553" s="3">
        <f>IF(D3553="","",IF(V3553=0,"🟢 OK",IF(D3553&lt;corte,"⚪ HISTÓRICO (sem baixa)",IF(AND(ISNUMBER(R3553),R3553&lt;TODAY()),"🔴 PRAZO VENCIDO",IF(AND(OR(N3553="PENDENTE",N3553="PARCIAL"),D3553&lt;TODAY()-1),"🔴 EMBARQUE ATRASADO",IF(AND(N3553="REALIZADO",M3553="PENDENTE"),"🟡 EMBARCADO SEM FATURAR",IF(AND(P3553&lt;&gt;"",S3553="",OR(Q3553="",R3553="")),"🟡 PENDÊNCIA SEM RESPONSÁVEL/PRAZO",IF(AND(ISNUMBER(R3553),R3553=TODAY()),"🟡 VENCE HOJE",IF(AND(P3553&lt;&gt;"",S3553=""),"🟡 PENDÊNCIA ABERTA",IF(AND(N(J3553)&gt;0,N(K3553)&lt;J3553),"🟡 FALTA EXECUTAR",IF(OR(M3553="PENDENTE",M3553="PARCIAL"),"🟡 FATURAMENTO PENDENTE","🟡 EMBARQUE PENDENTE")))))))))))</f>
        <v/>
      </c>
      <c r="D3553" s="4" t="n"/>
      <c r="E3553" s="5" t="n"/>
      <c r="F3553" s="5" t="n"/>
      <c r="G3553" s="5" t="n"/>
      <c r="H3553" s="5" t="n"/>
      <c r="I3553" s="5" t="n"/>
      <c r="J3553" s="6" t="n"/>
      <c r="K3553" s="6" t="n"/>
      <c r="L3553" s="7">
        <f>IF(OR(D3553="",N(J3553)=0),"",MIN(1,N(K3553)/J3553))</f>
        <v/>
      </c>
      <c r="M3553" s="5" t="n"/>
      <c r="N3553" s="5" t="n"/>
      <c r="O3553" s="5" t="n"/>
      <c r="P3553" s="5" t="n"/>
      <c r="Q3553" s="5" t="n"/>
      <c r="R3553" s="4" t="n"/>
      <c r="S3553" s="4" t="n"/>
      <c r="T3553" s="5" t="n"/>
      <c r="U3553" s="8">
        <f>IF(AND(V3553=1,D3553&lt;&gt;""),IF(D3553&gt;=corte,TODAY()-D3553,""),"")</f>
        <v/>
      </c>
      <c r="V3553" s="8">
        <f>IF(D3553="",0,IF(OR(AND(P3553&lt;&gt;"",S3553=""),AND(N(J3553)&gt;0,N(K3553)&lt;J3553),OR(M3553="PENDENTE",M3553="PARCIAL"),OR(N3553="PENDENTE",N3553="PARCIAL")),1,0))</f>
        <v/>
      </c>
      <c r="W3553" s="8">
        <f>IF(AND(V3553=1,D3553&lt;&gt;""),IF(D3553&gt;=corte,(B3553="CRÍTICO")*1E9+(100000-D3553)*10000+10000-ROW(),""),"")</f>
        <v/>
      </c>
      <c r="X3553" s="8">
        <f>IF(AND(V3553=1,D3553=pas_data,E3553=pas_turno),10000-ROW(),"")</f>
        <v/>
      </c>
    </row>
    <row r="3554">
      <c r="A3554" s="3">
        <f>IF(D3554="","","TT-"&amp;TEXT(ROW()-1,"00000"))</f>
        <v/>
      </c>
      <c r="B3554" s="3">
        <f>IF(D3554="","",IF(V3554=0,"CONCLUÍDO",IF(D3554&lt;corte,"HISTÓRICO",IF(OR(AND(ISNUMBER(R3554),R3554&lt;TODAY()),AND(OR(N3554="PENDENTE",N3554="PARCIAL"),D3554&lt;TODAY()-1)),"CRÍTICO",IF(OR(AND(P3554&lt;&gt;"",S3554=""),AND(N3554="REALIZADO",M3554="PENDENTE"),AND(ISNUMBER(R3554),R3554=TODAY())),"ATENÇÃO",IF(N(K3554)=0,"PENDENTE","EM ANDAMENTO"))))))</f>
        <v/>
      </c>
      <c r="C3554" s="3">
        <f>IF(D3554="","",IF(V3554=0,"🟢 OK",IF(D3554&lt;corte,"⚪ HISTÓRICO (sem baixa)",IF(AND(ISNUMBER(R3554),R3554&lt;TODAY()),"🔴 PRAZO VENCIDO",IF(AND(OR(N3554="PENDENTE",N3554="PARCIAL"),D3554&lt;TODAY()-1),"🔴 EMBARQUE ATRASADO",IF(AND(N3554="REALIZADO",M3554="PENDENTE"),"🟡 EMBARCADO SEM FATURAR",IF(AND(P3554&lt;&gt;"",S3554="",OR(Q3554="",R3554="")),"🟡 PENDÊNCIA SEM RESPONSÁVEL/PRAZO",IF(AND(ISNUMBER(R3554),R3554=TODAY()),"🟡 VENCE HOJE",IF(AND(P3554&lt;&gt;"",S3554=""),"🟡 PENDÊNCIA ABERTA",IF(AND(N(J3554)&gt;0,N(K3554)&lt;J3554),"🟡 FALTA EXECUTAR",IF(OR(M3554="PENDENTE",M3554="PARCIAL"),"🟡 FATURAMENTO PENDENTE","🟡 EMBARQUE PENDENTE")))))))))))</f>
        <v/>
      </c>
      <c r="D3554" s="4" t="n"/>
      <c r="E3554" s="5" t="n"/>
      <c r="F3554" s="5" t="n"/>
      <c r="G3554" s="5" t="n"/>
      <c r="H3554" s="5" t="n"/>
      <c r="I3554" s="5" t="n"/>
      <c r="J3554" s="6" t="n"/>
      <c r="K3554" s="6" t="n"/>
      <c r="L3554" s="7">
        <f>IF(OR(D3554="",N(J3554)=0),"",MIN(1,N(K3554)/J3554))</f>
        <v/>
      </c>
      <c r="M3554" s="5" t="n"/>
      <c r="N3554" s="5" t="n"/>
      <c r="O3554" s="5" t="n"/>
      <c r="P3554" s="5" t="n"/>
      <c r="Q3554" s="5" t="n"/>
      <c r="R3554" s="4" t="n"/>
      <c r="S3554" s="4" t="n"/>
      <c r="T3554" s="5" t="n"/>
      <c r="U3554" s="8">
        <f>IF(AND(V3554=1,D3554&lt;&gt;""),IF(D3554&gt;=corte,TODAY()-D3554,""),"")</f>
        <v/>
      </c>
      <c r="V3554" s="8">
        <f>IF(D3554="",0,IF(OR(AND(P3554&lt;&gt;"",S3554=""),AND(N(J3554)&gt;0,N(K3554)&lt;J3554),OR(M3554="PENDENTE",M3554="PARCIAL"),OR(N3554="PENDENTE",N3554="PARCIAL")),1,0))</f>
        <v/>
      </c>
      <c r="W3554" s="8">
        <f>IF(AND(V3554=1,D3554&lt;&gt;""),IF(D3554&gt;=corte,(B3554="CRÍTICO")*1E9+(100000-D3554)*10000+10000-ROW(),""),"")</f>
        <v/>
      </c>
      <c r="X3554" s="8">
        <f>IF(AND(V3554=1,D3554=pas_data,E3554=pas_turno),10000-ROW(),"")</f>
        <v/>
      </c>
    </row>
    <row r="3555">
      <c r="A3555" s="3">
        <f>IF(D3555="","","TT-"&amp;TEXT(ROW()-1,"00000"))</f>
        <v/>
      </c>
      <c r="B3555" s="3">
        <f>IF(D3555="","",IF(V3555=0,"CONCLUÍDO",IF(D3555&lt;corte,"HISTÓRICO",IF(OR(AND(ISNUMBER(R3555),R3555&lt;TODAY()),AND(OR(N3555="PENDENTE",N3555="PARCIAL"),D3555&lt;TODAY()-1)),"CRÍTICO",IF(OR(AND(P3555&lt;&gt;"",S3555=""),AND(N3555="REALIZADO",M3555="PENDENTE"),AND(ISNUMBER(R3555),R3555=TODAY())),"ATENÇÃO",IF(N(K3555)=0,"PENDENTE","EM ANDAMENTO"))))))</f>
        <v/>
      </c>
      <c r="C3555" s="3">
        <f>IF(D3555="","",IF(V3555=0,"🟢 OK",IF(D3555&lt;corte,"⚪ HISTÓRICO (sem baixa)",IF(AND(ISNUMBER(R3555),R3555&lt;TODAY()),"🔴 PRAZO VENCIDO",IF(AND(OR(N3555="PENDENTE",N3555="PARCIAL"),D3555&lt;TODAY()-1),"🔴 EMBARQUE ATRASADO",IF(AND(N3555="REALIZADO",M3555="PENDENTE"),"🟡 EMBARCADO SEM FATURAR",IF(AND(P3555&lt;&gt;"",S3555="",OR(Q3555="",R3555="")),"🟡 PENDÊNCIA SEM RESPONSÁVEL/PRAZO",IF(AND(ISNUMBER(R3555),R3555=TODAY()),"🟡 VENCE HOJE",IF(AND(P3555&lt;&gt;"",S3555=""),"🟡 PENDÊNCIA ABERTA",IF(AND(N(J3555)&gt;0,N(K3555)&lt;J3555),"🟡 FALTA EXECUTAR",IF(OR(M3555="PENDENTE",M3555="PARCIAL"),"🟡 FATURAMENTO PENDENTE","🟡 EMBARQUE PENDENTE")))))))))))</f>
        <v/>
      </c>
      <c r="D3555" s="4" t="n"/>
      <c r="E3555" s="5" t="n"/>
      <c r="F3555" s="5" t="n"/>
      <c r="G3555" s="5" t="n"/>
      <c r="H3555" s="5" t="n"/>
      <c r="I3555" s="5" t="n"/>
      <c r="J3555" s="6" t="n"/>
      <c r="K3555" s="6" t="n"/>
      <c r="L3555" s="7">
        <f>IF(OR(D3555="",N(J3555)=0),"",MIN(1,N(K3555)/J3555))</f>
        <v/>
      </c>
      <c r="M3555" s="5" t="n"/>
      <c r="N3555" s="5" t="n"/>
      <c r="O3555" s="5" t="n"/>
      <c r="P3555" s="5" t="n"/>
      <c r="Q3555" s="5" t="n"/>
      <c r="R3555" s="4" t="n"/>
      <c r="S3555" s="4" t="n"/>
      <c r="T3555" s="5" t="n"/>
      <c r="U3555" s="8">
        <f>IF(AND(V3555=1,D3555&lt;&gt;""),IF(D3555&gt;=corte,TODAY()-D3555,""),"")</f>
        <v/>
      </c>
      <c r="V3555" s="8">
        <f>IF(D3555="",0,IF(OR(AND(P3555&lt;&gt;"",S3555=""),AND(N(J3555)&gt;0,N(K3555)&lt;J3555),OR(M3555="PENDENTE",M3555="PARCIAL"),OR(N3555="PENDENTE",N3555="PARCIAL")),1,0))</f>
        <v/>
      </c>
      <c r="W3555" s="8">
        <f>IF(AND(V3555=1,D3555&lt;&gt;""),IF(D3555&gt;=corte,(B3555="CRÍTICO")*1E9+(100000-D3555)*10000+10000-ROW(),""),"")</f>
        <v/>
      </c>
      <c r="X3555" s="8">
        <f>IF(AND(V3555=1,D3555=pas_data,E3555=pas_turno),10000-ROW(),"")</f>
        <v/>
      </c>
    </row>
    <row r="3556">
      <c r="A3556" s="3">
        <f>IF(D3556="","","TT-"&amp;TEXT(ROW()-1,"00000"))</f>
        <v/>
      </c>
      <c r="B3556" s="3">
        <f>IF(D3556="","",IF(V3556=0,"CONCLUÍDO",IF(D3556&lt;corte,"HISTÓRICO",IF(OR(AND(ISNUMBER(R3556),R3556&lt;TODAY()),AND(OR(N3556="PENDENTE",N3556="PARCIAL"),D3556&lt;TODAY()-1)),"CRÍTICO",IF(OR(AND(P3556&lt;&gt;"",S3556=""),AND(N3556="REALIZADO",M3556="PENDENTE"),AND(ISNUMBER(R3556),R3556=TODAY())),"ATENÇÃO",IF(N(K3556)=0,"PENDENTE","EM ANDAMENTO"))))))</f>
        <v/>
      </c>
      <c r="C3556" s="3">
        <f>IF(D3556="","",IF(V3556=0,"🟢 OK",IF(D3556&lt;corte,"⚪ HISTÓRICO (sem baixa)",IF(AND(ISNUMBER(R3556),R3556&lt;TODAY()),"🔴 PRAZO VENCIDO",IF(AND(OR(N3556="PENDENTE",N3556="PARCIAL"),D3556&lt;TODAY()-1),"🔴 EMBARQUE ATRASADO",IF(AND(N3556="REALIZADO",M3556="PENDENTE"),"🟡 EMBARCADO SEM FATURAR",IF(AND(P3556&lt;&gt;"",S3556="",OR(Q3556="",R3556="")),"🟡 PENDÊNCIA SEM RESPONSÁVEL/PRAZO",IF(AND(ISNUMBER(R3556),R3556=TODAY()),"🟡 VENCE HOJE",IF(AND(P3556&lt;&gt;"",S3556=""),"🟡 PENDÊNCIA ABERTA",IF(AND(N(J3556)&gt;0,N(K3556)&lt;J3556),"🟡 FALTA EXECUTAR",IF(OR(M3556="PENDENTE",M3556="PARCIAL"),"🟡 FATURAMENTO PENDENTE","🟡 EMBARQUE PENDENTE")))))))))))</f>
        <v/>
      </c>
      <c r="D3556" s="4" t="n"/>
      <c r="E3556" s="5" t="n"/>
      <c r="F3556" s="5" t="n"/>
      <c r="G3556" s="5" t="n"/>
      <c r="H3556" s="5" t="n"/>
      <c r="I3556" s="5" t="n"/>
      <c r="J3556" s="6" t="n"/>
      <c r="K3556" s="6" t="n"/>
      <c r="L3556" s="7">
        <f>IF(OR(D3556="",N(J3556)=0),"",MIN(1,N(K3556)/J3556))</f>
        <v/>
      </c>
      <c r="M3556" s="5" t="n"/>
      <c r="N3556" s="5" t="n"/>
      <c r="O3556" s="5" t="n"/>
      <c r="P3556" s="5" t="n"/>
      <c r="Q3556" s="5" t="n"/>
      <c r="R3556" s="4" t="n"/>
      <c r="S3556" s="4" t="n"/>
      <c r="T3556" s="5" t="n"/>
      <c r="U3556" s="8">
        <f>IF(AND(V3556=1,D3556&lt;&gt;""),IF(D3556&gt;=corte,TODAY()-D3556,""),"")</f>
        <v/>
      </c>
      <c r="V3556" s="8">
        <f>IF(D3556="",0,IF(OR(AND(P3556&lt;&gt;"",S3556=""),AND(N(J3556)&gt;0,N(K3556)&lt;J3556),OR(M3556="PENDENTE",M3556="PARCIAL"),OR(N3556="PENDENTE",N3556="PARCIAL")),1,0))</f>
        <v/>
      </c>
      <c r="W3556" s="8">
        <f>IF(AND(V3556=1,D3556&lt;&gt;""),IF(D3556&gt;=corte,(B3556="CRÍTICO")*1E9+(100000-D3556)*10000+10000-ROW(),""),"")</f>
        <v/>
      </c>
      <c r="X3556" s="8">
        <f>IF(AND(V3556=1,D3556=pas_data,E3556=pas_turno),10000-ROW(),"")</f>
        <v/>
      </c>
    </row>
    <row r="3557">
      <c r="A3557" s="3">
        <f>IF(D3557="","","TT-"&amp;TEXT(ROW()-1,"00000"))</f>
        <v/>
      </c>
      <c r="B3557" s="3">
        <f>IF(D3557="","",IF(V3557=0,"CONCLUÍDO",IF(D3557&lt;corte,"HISTÓRICO",IF(OR(AND(ISNUMBER(R3557),R3557&lt;TODAY()),AND(OR(N3557="PENDENTE",N3557="PARCIAL"),D3557&lt;TODAY()-1)),"CRÍTICO",IF(OR(AND(P3557&lt;&gt;"",S3557=""),AND(N3557="REALIZADO",M3557="PENDENTE"),AND(ISNUMBER(R3557),R3557=TODAY())),"ATENÇÃO",IF(N(K3557)=0,"PENDENTE","EM ANDAMENTO"))))))</f>
        <v/>
      </c>
      <c r="C3557" s="3">
        <f>IF(D3557="","",IF(V3557=0,"🟢 OK",IF(D3557&lt;corte,"⚪ HISTÓRICO (sem baixa)",IF(AND(ISNUMBER(R3557),R3557&lt;TODAY()),"🔴 PRAZO VENCIDO",IF(AND(OR(N3557="PENDENTE",N3557="PARCIAL"),D3557&lt;TODAY()-1),"🔴 EMBARQUE ATRASADO",IF(AND(N3557="REALIZADO",M3557="PENDENTE"),"🟡 EMBARCADO SEM FATURAR",IF(AND(P3557&lt;&gt;"",S3557="",OR(Q3557="",R3557="")),"🟡 PENDÊNCIA SEM RESPONSÁVEL/PRAZO",IF(AND(ISNUMBER(R3557),R3557=TODAY()),"🟡 VENCE HOJE",IF(AND(P3557&lt;&gt;"",S3557=""),"🟡 PENDÊNCIA ABERTA",IF(AND(N(J3557)&gt;0,N(K3557)&lt;J3557),"🟡 FALTA EXECUTAR",IF(OR(M3557="PENDENTE",M3557="PARCIAL"),"🟡 FATURAMENTO PENDENTE","🟡 EMBARQUE PENDENTE")))))))))))</f>
        <v/>
      </c>
      <c r="D3557" s="4" t="n"/>
      <c r="E3557" s="5" t="n"/>
      <c r="F3557" s="5" t="n"/>
      <c r="G3557" s="5" t="n"/>
      <c r="H3557" s="5" t="n"/>
      <c r="I3557" s="5" t="n"/>
      <c r="J3557" s="6" t="n"/>
      <c r="K3557" s="6" t="n"/>
      <c r="L3557" s="7">
        <f>IF(OR(D3557="",N(J3557)=0),"",MIN(1,N(K3557)/J3557))</f>
        <v/>
      </c>
      <c r="M3557" s="5" t="n"/>
      <c r="N3557" s="5" t="n"/>
      <c r="O3557" s="5" t="n"/>
      <c r="P3557" s="5" t="n"/>
      <c r="Q3557" s="5" t="n"/>
      <c r="R3557" s="4" t="n"/>
      <c r="S3557" s="4" t="n"/>
      <c r="T3557" s="5" t="n"/>
      <c r="U3557" s="8">
        <f>IF(AND(V3557=1,D3557&lt;&gt;""),IF(D3557&gt;=corte,TODAY()-D3557,""),"")</f>
        <v/>
      </c>
      <c r="V3557" s="8">
        <f>IF(D3557="",0,IF(OR(AND(P3557&lt;&gt;"",S3557=""),AND(N(J3557)&gt;0,N(K3557)&lt;J3557),OR(M3557="PENDENTE",M3557="PARCIAL"),OR(N3557="PENDENTE",N3557="PARCIAL")),1,0))</f>
        <v/>
      </c>
      <c r="W3557" s="8">
        <f>IF(AND(V3557=1,D3557&lt;&gt;""),IF(D3557&gt;=corte,(B3557="CRÍTICO")*1E9+(100000-D3557)*10000+10000-ROW(),""),"")</f>
        <v/>
      </c>
      <c r="X3557" s="8">
        <f>IF(AND(V3557=1,D3557=pas_data,E3557=pas_turno),10000-ROW(),"")</f>
        <v/>
      </c>
    </row>
    <row r="3558">
      <c r="A3558" s="3">
        <f>IF(D3558="","","TT-"&amp;TEXT(ROW()-1,"00000"))</f>
        <v/>
      </c>
      <c r="B3558" s="3">
        <f>IF(D3558="","",IF(V3558=0,"CONCLUÍDO",IF(D3558&lt;corte,"HISTÓRICO",IF(OR(AND(ISNUMBER(R3558),R3558&lt;TODAY()),AND(OR(N3558="PENDENTE",N3558="PARCIAL"),D3558&lt;TODAY()-1)),"CRÍTICO",IF(OR(AND(P3558&lt;&gt;"",S3558=""),AND(N3558="REALIZADO",M3558="PENDENTE"),AND(ISNUMBER(R3558),R3558=TODAY())),"ATENÇÃO",IF(N(K3558)=0,"PENDENTE","EM ANDAMENTO"))))))</f>
        <v/>
      </c>
      <c r="C3558" s="3">
        <f>IF(D3558="","",IF(V3558=0,"🟢 OK",IF(D3558&lt;corte,"⚪ HISTÓRICO (sem baixa)",IF(AND(ISNUMBER(R3558),R3558&lt;TODAY()),"🔴 PRAZO VENCIDO",IF(AND(OR(N3558="PENDENTE",N3558="PARCIAL"),D3558&lt;TODAY()-1),"🔴 EMBARQUE ATRASADO",IF(AND(N3558="REALIZADO",M3558="PENDENTE"),"🟡 EMBARCADO SEM FATURAR",IF(AND(P3558&lt;&gt;"",S3558="",OR(Q3558="",R3558="")),"🟡 PENDÊNCIA SEM RESPONSÁVEL/PRAZO",IF(AND(ISNUMBER(R3558),R3558=TODAY()),"🟡 VENCE HOJE",IF(AND(P3558&lt;&gt;"",S3558=""),"🟡 PENDÊNCIA ABERTA",IF(AND(N(J3558)&gt;0,N(K3558)&lt;J3558),"🟡 FALTA EXECUTAR",IF(OR(M3558="PENDENTE",M3558="PARCIAL"),"🟡 FATURAMENTO PENDENTE","🟡 EMBARQUE PENDENTE")))))))))))</f>
        <v/>
      </c>
      <c r="D3558" s="4" t="n"/>
      <c r="E3558" s="5" t="n"/>
      <c r="F3558" s="5" t="n"/>
      <c r="G3558" s="5" t="n"/>
      <c r="H3558" s="5" t="n"/>
      <c r="I3558" s="5" t="n"/>
      <c r="J3558" s="6" t="n"/>
      <c r="K3558" s="6" t="n"/>
      <c r="L3558" s="7">
        <f>IF(OR(D3558="",N(J3558)=0),"",MIN(1,N(K3558)/J3558))</f>
        <v/>
      </c>
      <c r="M3558" s="5" t="n"/>
      <c r="N3558" s="5" t="n"/>
      <c r="O3558" s="5" t="n"/>
      <c r="P3558" s="5" t="n"/>
      <c r="Q3558" s="5" t="n"/>
      <c r="R3558" s="4" t="n"/>
      <c r="S3558" s="4" t="n"/>
      <c r="T3558" s="5" t="n"/>
      <c r="U3558" s="8">
        <f>IF(AND(V3558=1,D3558&lt;&gt;""),IF(D3558&gt;=corte,TODAY()-D3558,""),"")</f>
        <v/>
      </c>
      <c r="V3558" s="8">
        <f>IF(D3558="",0,IF(OR(AND(P3558&lt;&gt;"",S3558=""),AND(N(J3558)&gt;0,N(K3558)&lt;J3558),OR(M3558="PENDENTE",M3558="PARCIAL"),OR(N3558="PENDENTE",N3558="PARCIAL")),1,0))</f>
        <v/>
      </c>
      <c r="W3558" s="8">
        <f>IF(AND(V3558=1,D3558&lt;&gt;""),IF(D3558&gt;=corte,(B3558="CRÍTICO")*1E9+(100000-D3558)*10000+10000-ROW(),""),"")</f>
        <v/>
      </c>
      <c r="X3558" s="8">
        <f>IF(AND(V3558=1,D3558=pas_data,E3558=pas_turno),10000-ROW(),"")</f>
        <v/>
      </c>
    </row>
    <row r="3559">
      <c r="A3559" s="3">
        <f>IF(D3559="","","TT-"&amp;TEXT(ROW()-1,"00000"))</f>
        <v/>
      </c>
      <c r="B3559" s="3">
        <f>IF(D3559="","",IF(V3559=0,"CONCLUÍDO",IF(D3559&lt;corte,"HISTÓRICO",IF(OR(AND(ISNUMBER(R3559),R3559&lt;TODAY()),AND(OR(N3559="PENDENTE",N3559="PARCIAL"),D3559&lt;TODAY()-1)),"CRÍTICO",IF(OR(AND(P3559&lt;&gt;"",S3559=""),AND(N3559="REALIZADO",M3559="PENDENTE"),AND(ISNUMBER(R3559),R3559=TODAY())),"ATENÇÃO",IF(N(K3559)=0,"PENDENTE","EM ANDAMENTO"))))))</f>
        <v/>
      </c>
      <c r="C3559" s="3">
        <f>IF(D3559="","",IF(V3559=0,"🟢 OK",IF(D3559&lt;corte,"⚪ HISTÓRICO (sem baixa)",IF(AND(ISNUMBER(R3559),R3559&lt;TODAY()),"🔴 PRAZO VENCIDO",IF(AND(OR(N3559="PENDENTE",N3559="PARCIAL"),D3559&lt;TODAY()-1),"🔴 EMBARQUE ATRASADO",IF(AND(N3559="REALIZADO",M3559="PENDENTE"),"🟡 EMBARCADO SEM FATURAR",IF(AND(P3559&lt;&gt;"",S3559="",OR(Q3559="",R3559="")),"🟡 PENDÊNCIA SEM RESPONSÁVEL/PRAZO",IF(AND(ISNUMBER(R3559),R3559=TODAY()),"🟡 VENCE HOJE",IF(AND(P3559&lt;&gt;"",S3559=""),"🟡 PENDÊNCIA ABERTA",IF(AND(N(J3559)&gt;0,N(K3559)&lt;J3559),"🟡 FALTA EXECUTAR",IF(OR(M3559="PENDENTE",M3559="PARCIAL"),"🟡 FATURAMENTO PENDENTE","🟡 EMBARQUE PENDENTE")))))))))))</f>
        <v/>
      </c>
      <c r="D3559" s="4" t="n"/>
      <c r="E3559" s="5" t="n"/>
      <c r="F3559" s="5" t="n"/>
      <c r="G3559" s="5" t="n"/>
      <c r="H3559" s="5" t="n"/>
      <c r="I3559" s="5" t="n"/>
      <c r="J3559" s="6" t="n"/>
      <c r="K3559" s="6" t="n"/>
      <c r="L3559" s="7">
        <f>IF(OR(D3559="",N(J3559)=0),"",MIN(1,N(K3559)/J3559))</f>
        <v/>
      </c>
      <c r="M3559" s="5" t="n"/>
      <c r="N3559" s="5" t="n"/>
      <c r="O3559" s="5" t="n"/>
      <c r="P3559" s="5" t="n"/>
      <c r="Q3559" s="5" t="n"/>
      <c r="R3559" s="4" t="n"/>
      <c r="S3559" s="4" t="n"/>
      <c r="T3559" s="5" t="n"/>
      <c r="U3559" s="8">
        <f>IF(AND(V3559=1,D3559&lt;&gt;""),IF(D3559&gt;=corte,TODAY()-D3559,""),"")</f>
        <v/>
      </c>
      <c r="V3559" s="8">
        <f>IF(D3559="",0,IF(OR(AND(P3559&lt;&gt;"",S3559=""),AND(N(J3559)&gt;0,N(K3559)&lt;J3559),OR(M3559="PENDENTE",M3559="PARCIAL"),OR(N3559="PENDENTE",N3559="PARCIAL")),1,0))</f>
        <v/>
      </c>
      <c r="W3559" s="8">
        <f>IF(AND(V3559=1,D3559&lt;&gt;""),IF(D3559&gt;=corte,(B3559="CRÍTICO")*1E9+(100000-D3559)*10000+10000-ROW(),""),"")</f>
        <v/>
      </c>
      <c r="X3559" s="8">
        <f>IF(AND(V3559=1,D3559=pas_data,E3559=pas_turno),10000-ROW(),"")</f>
        <v/>
      </c>
    </row>
    <row r="3560">
      <c r="A3560" s="3">
        <f>IF(D3560="","","TT-"&amp;TEXT(ROW()-1,"00000"))</f>
        <v/>
      </c>
      <c r="B3560" s="3">
        <f>IF(D3560="","",IF(V3560=0,"CONCLUÍDO",IF(D3560&lt;corte,"HISTÓRICO",IF(OR(AND(ISNUMBER(R3560),R3560&lt;TODAY()),AND(OR(N3560="PENDENTE",N3560="PARCIAL"),D3560&lt;TODAY()-1)),"CRÍTICO",IF(OR(AND(P3560&lt;&gt;"",S3560=""),AND(N3560="REALIZADO",M3560="PENDENTE"),AND(ISNUMBER(R3560),R3560=TODAY())),"ATENÇÃO",IF(N(K3560)=0,"PENDENTE","EM ANDAMENTO"))))))</f>
        <v/>
      </c>
      <c r="C3560" s="3">
        <f>IF(D3560="","",IF(V3560=0,"🟢 OK",IF(D3560&lt;corte,"⚪ HISTÓRICO (sem baixa)",IF(AND(ISNUMBER(R3560),R3560&lt;TODAY()),"🔴 PRAZO VENCIDO",IF(AND(OR(N3560="PENDENTE",N3560="PARCIAL"),D3560&lt;TODAY()-1),"🔴 EMBARQUE ATRASADO",IF(AND(N3560="REALIZADO",M3560="PENDENTE"),"🟡 EMBARCADO SEM FATURAR",IF(AND(P3560&lt;&gt;"",S3560="",OR(Q3560="",R3560="")),"🟡 PENDÊNCIA SEM RESPONSÁVEL/PRAZO",IF(AND(ISNUMBER(R3560),R3560=TODAY()),"🟡 VENCE HOJE",IF(AND(P3560&lt;&gt;"",S3560=""),"🟡 PENDÊNCIA ABERTA",IF(AND(N(J3560)&gt;0,N(K3560)&lt;J3560),"🟡 FALTA EXECUTAR",IF(OR(M3560="PENDENTE",M3560="PARCIAL"),"🟡 FATURAMENTO PENDENTE","🟡 EMBARQUE PENDENTE")))))))))))</f>
        <v/>
      </c>
      <c r="D3560" s="4" t="n"/>
      <c r="E3560" s="5" t="n"/>
      <c r="F3560" s="5" t="n"/>
      <c r="G3560" s="5" t="n"/>
      <c r="H3560" s="5" t="n"/>
      <c r="I3560" s="5" t="n"/>
      <c r="J3560" s="6" t="n"/>
      <c r="K3560" s="6" t="n"/>
      <c r="L3560" s="7">
        <f>IF(OR(D3560="",N(J3560)=0),"",MIN(1,N(K3560)/J3560))</f>
        <v/>
      </c>
      <c r="M3560" s="5" t="n"/>
      <c r="N3560" s="5" t="n"/>
      <c r="O3560" s="5" t="n"/>
      <c r="P3560" s="5" t="n"/>
      <c r="Q3560" s="5" t="n"/>
      <c r="R3560" s="4" t="n"/>
      <c r="S3560" s="4" t="n"/>
      <c r="T3560" s="5" t="n"/>
      <c r="U3560" s="8">
        <f>IF(AND(V3560=1,D3560&lt;&gt;""),IF(D3560&gt;=corte,TODAY()-D3560,""),"")</f>
        <v/>
      </c>
      <c r="V3560" s="8">
        <f>IF(D3560="",0,IF(OR(AND(P3560&lt;&gt;"",S3560=""),AND(N(J3560)&gt;0,N(K3560)&lt;J3560),OR(M3560="PENDENTE",M3560="PARCIAL"),OR(N3560="PENDENTE",N3560="PARCIAL")),1,0))</f>
        <v/>
      </c>
      <c r="W3560" s="8">
        <f>IF(AND(V3560=1,D3560&lt;&gt;""),IF(D3560&gt;=corte,(B3560="CRÍTICO")*1E9+(100000-D3560)*10000+10000-ROW(),""),"")</f>
        <v/>
      </c>
      <c r="X3560" s="8">
        <f>IF(AND(V3560=1,D3560=pas_data,E3560=pas_turno),10000-ROW(),"")</f>
        <v/>
      </c>
    </row>
    <row r="3561">
      <c r="A3561" s="3">
        <f>IF(D3561="","","TT-"&amp;TEXT(ROW()-1,"00000"))</f>
        <v/>
      </c>
      <c r="B3561" s="3">
        <f>IF(D3561="","",IF(V3561=0,"CONCLUÍDO",IF(D3561&lt;corte,"HISTÓRICO",IF(OR(AND(ISNUMBER(R3561),R3561&lt;TODAY()),AND(OR(N3561="PENDENTE",N3561="PARCIAL"),D3561&lt;TODAY()-1)),"CRÍTICO",IF(OR(AND(P3561&lt;&gt;"",S3561=""),AND(N3561="REALIZADO",M3561="PENDENTE"),AND(ISNUMBER(R3561),R3561=TODAY())),"ATENÇÃO",IF(N(K3561)=0,"PENDENTE","EM ANDAMENTO"))))))</f>
        <v/>
      </c>
      <c r="C3561" s="3">
        <f>IF(D3561="","",IF(V3561=0,"🟢 OK",IF(D3561&lt;corte,"⚪ HISTÓRICO (sem baixa)",IF(AND(ISNUMBER(R3561),R3561&lt;TODAY()),"🔴 PRAZO VENCIDO",IF(AND(OR(N3561="PENDENTE",N3561="PARCIAL"),D3561&lt;TODAY()-1),"🔴 EMBARQUE ATRASADO",IF(AND(N3561="REALIZADO",M3561="PENDENTE"),"🟡 EMBARCADO SEM FATURAR",IF(AND(P3561&lt;&gt;"",S3561="",OR(Q3561="",R3561="")),"🟡 PENDÊNCIA SEM RESPONSÁVEL/PRAZO",IF(AND(ISNUMBER(R3561),R3561=TODAY()),"🟡 VENCE HOJE",IF(AND(P3561&lt;&gt;"",S3561=""),"🟡 PENDÊNCIA ABERTA",IF(AND(N(J3561)&gt;0,N(K3561)&lt;J3561),"🟡 FALTA EXECUTAR",IF(OR(M3561="PENDENTE",M3561="PARCIAL"),"🟡 FATURAMENTO PENDENTE","🟡 EMBARQUE PENDENTE")))))))))))</f>
        <v/>
      </c>
      <c r="D3561" s="4" t="n"/>
      <c r="E3561" s="5" t="n"/>
      <c r="F3561" s="5" t="n"/>
      <c r="G3561" s="5" t="n"/>
      <c r="H3561" s="5" t="n"/>
      <c r="I3561" s="5" t="n"/>
      <c r="J3561" s="6" t="n"/>
      <c r="K3561" s="6" t="n"/>
      <c r="L3561" s="7">
        <f>IF(OR(D3561="",N(J3561)=0),"",MIN(1,N(K3561)/J3561))</f>
        <v/>
      </c>
      <c r="M3561" s="5" t="n"/>
      <c r="N3561" s="5" t="n"/>
      <c r="O3561" s="5" t="n"/>
      <c r="P3561" s="5" t="n"/>
      <c r="Q3561" s="5" t="n"/>
      <c r="R3561" s="4" t="n"/>
      <c r="S3561" s="4" t="n"/>
      <c r="T3561" s="5" t="n"/>
      <c r="U3561" s="8">
        <f>IF(AND(V3561=1,D3561&lt;&gt;""),IF(D3561&gt;=corte,TODAY()-D3561,""),"")</f>
        <v/>
      </c>
      <c r="V3561" s="8">
        <f>IF(D3561="",0,IF(OR(AND(P3561&lt;&gt;"",S3561=""),AND(N(J3561)&gt;0,N(K3561)&lt;J3561),OR(M3561="PENDENTE",M3561="PARCIAL"),OR(N3561="PENDENTE",N3561="PARCIAL")),1,0))</f>
        <v/>
      </c>
      <c r="W3561" s="8">
        <f>IF(AND(V3561=1,D3561&lt;&gt;""),IF(D3561&gt;=corte,(B3561="CRÍTICO")*1E9+(100000-D3561)*10000+10000-ROW(),""),"")</f>
        <v/>
      </c>
      <c r="X3561" s="8">
        <f>IF(AND(V3561=1,D3561=pas_data,E3561=pas_turno),10000-ROW(),"")</f>
        <v/>
      </c>
    </row>
    <row r="3562">
      <c r="A3562" s="3">
        <f>IF(D3562="","","TT-"&amp;TEXT(ROW()-1,"00000"))</f>
        <v/>
      </c>
      <c r="B3562" s="3">
        <f>IF(D3562="","",IF(V3562=0,"CONCLUÍDO",IF(D3562&lt;corte,"HISTÓRICO",IF(OR(AND(ISNUMBER(R3562),R3562&lt;TODAY()),AND(OR(N3562="PENDENTE",N3562="PARCIAL"),D3562&lt;TODAY()-1)),"CRÍTICO",IF(OR(AND(P3562&lt;&gt;"",S3562=""),AND(N3562="REALIZADO",M3562="PENDENTE"),AND(ISNUMBER(R3562),R3562=TODAY())),"ATENÇÃO",IF(N(K3562)=0,"PENDENTE","EM ANDAMENTO"))))))</f>
        <v/>
      </c>
      <c r="C3562" s="3">
        <f>IF(D3562="","",IF(V3562=0,"🟢 OK",IF(D3562&lt;corte,"⚪ HISTÓRICO (sem baixa)",IF(AND(ISNUMBER(R3562),R3562&lt;TODAY()),"🔴 PRAZO VENCIDO",IF(AND(OR(N3562="PENDENTE",N3562="PARCIAL"),D3562&lt;TODAY()-1),"🔴 EMBARQUE ATRASADO",IF(AND(N3562="REALIZADO",M3562="PENDENTE"),"🟡 EMBARCADO SEM FATURAR",IF(AND(P3562&lt;&gt;"",S3562="",OR(Q3562="",R3562="")),"🟡 PENDÊNCIA SEM RESPONSÁVEL/PRAZO",IF(AND(ISNUMBER(R3562),R3562=TODAY()),"🟡 VENCE HOJE",IF(AND(P3562&lt;&gt;"",S3562=""),"🟡 PENDÊNCIA ABERTA",IF(AND(N(J3562)&gt;0,N(K3562)&lt;J3562),"🟡 FALTA EXECUTAR",IF(OR(M3562="PENDENTE",M3562="PARCIAL"),"🟡 FATURAMENTO PENDENTE","🟡 EMBARQUE PENDENTE")))))))))))</f>
        <v/>
      </c>
      <c r="D3562" s="4" t="n"/>
      <c r="E3562" s="5" t="n"/>
      <c r="F3562" s="5" t="n"/>
      <c r="G3562" s="5" t="n"/>
      <c r="H3562" s="5" t="n"/>
      <c r="I3562" s="5" t="n"/>
      <c r="J3562" s="6" t="n"/>
      <c r="K3562" s="6" t="n"/>
      <c r="L3562" s="7">
        <f>IF(OR(D3562="",N(J3562)=0),"",MIN(1,N(K3562)/J3562))</f>
        <v/>
      </c>
      <c r="M3562" s="5" t="n"/>
      <c r="N3562" s="5" t="n"/>
      <c r="O3562" s="5" t="n"/>
      <c r="P3562" s="5" t="n"/>
      <c r="Q3562" s="5" t="n"/>
      <c r="R3562" s="4" t="n"/>
      <c r="S3562" s="4" t="n"/>
      <c r="T3562" s="5" t="n"/>
      <c r="U3562" s="8">
        <f>IF(AND(V3562=1,D3562&lt;&gt;""),IF(D3562&gt;=corte,TODAY()-D3562,""),"")</f>
        <v/>
      </c>
      <c r="V3562" s="8">
        <f>IF(D3562="",0,IF(OR(AND(P3562&lt;&gt;"",S3562=""),AND(N(J3562)&gt;0,N(K3562)&lt;J3562),OR(M3562="PENDENTE",M3562="PARCIAL"),OR(N3562="PENDENTE",N3562="PARCIAL")),1,0))</f>
        <v/>
      </c>
      <c r="W3562" s="8">
        <f>IF(AND(V3562=1,D3562&lt;&gt;""),IF(D3562&gt;=corte,(B3562="CRÍTICO")*1E9+(100000-D3562)*10000+10000-ROW(),""),"")</f>
        <v/>
      </c>
      <c r="X3562" s="8">
        <f>IF(AND(V3562=1,D3562=pas_data,E3562=pas_turno),10000-ROW(),"")</f>
        <v/>
      </c>
    </row>
    <row r="3563">
      <c r="A3563" s="3">
        <f>IF(D3563="","","TT-"&amp;TEXT(ROW()-1,"00000"))</f>
        <v/>
      </c>
      <c r="B3563" s="3">
        <f>IF(D3563="","",IF(V3563=0,"CONCLUÍDO",IF(D3563&lt;corte,"HISTÓRICO",IF(OR(AND(ISNUMBER(R3563),R3563&lt;TODAY()),AND(OR(N3563="PENDENTE",N3563="PARCIAL"),D3563&lt;TODAY()-1)),"CRÍTICO",IF(OR(AND(P3563&lt;&gt;"",S3563=""),AND(N3563="REALIZADO",M3563="PENDENTE"),AND(ISNUMBER(R3563),R3563=TODAY())),"ATENÇÃO",IF(N(K3563)=0,"PENDENTE","EM ANDAMENTO"))))))</f>
        <v/>
      </c>
      <c r="C3563" s="3">
        <f>IF(D3563="","",IF(V3563=0,"🟢 OK",IF(D3563&lt;corte,"⚪ HISTÓRICO (sem baixa)",IF(AND(ISNUMBER(R3563),R3563&lt;TODAY()),"🔴 PRAZO VENCIDO",IF(AND(OR(N3563="PENDENTE",N3563="PARCIAL"),D3563&lt;TODAY()-1),"🔴 EMBARQUE ATRASADO",IF(AND(N3563="REALIZADO",M3563="PENDENTE"),"🟡 EMBARCADO SEM FATURAR",IF(AND(P3563&lt;&gt;"",S3563="",OR(Q3563="",R3563="")),"🟡 PENDÊNCIA SEM RESPONSÁVEL/PRAZO",IF(AND(ISNUMBER(R3563),R3563=TODAY()),"🟡 VENCE HOJE",IF(AND(P3563&lt;&gt;"",S3563=""),"🟡 PENDÊNCIA ABERTA",IF(AND(N(J3563)&gt;0,N(K3563)&lt;J3563),"🟡 FALTA EXECUTAR",IF(OR(M3563="PENDENTE",M3563="PARCIAL"),"🟡 FATURAMENTO PENDENTE","🟡 EMBARQUE PENDENTE")))))))))))</f>
        <v/>
      </c>
      <c r="D3563" s="4" t="n"/>
      <c r="E3563" s="5" t="n"/>
      <c r="F3563" s="5" t="n"/>
      <c r="G3563" s="5" t="n"/>
      <c r="H3563" s="5" t="n"/>
      <c r="I3563" s="5" t="n"/>
      <c r="J3563" s="6" t="n"/>
      <c r="K3563" s="6" t="n"/>
      <c r="L3563" s="7">
        <f>IF(OR(D3563="",N(J3563)=0),"",MIN(1,N(K3563)/J3563))</f>
        <v/>
      </c>
      <c r="M3563" s="5" t="n"/>
      <c r="N3563" s="5" t="n"/>
      <c r="O3563" s="5" t="n"/>
      <c r="P3563" s="5" t="n"/>
      <c r="Q3563" s="5" t="n"/>
      <c r="R3563" s="4" t="n"/>
      <c r="S3563" s="4" t="n"/>
      <c r="T3563" s="5" t="n"/>
      <c r="U3563" s="8">
        <f>IF(AND(V3563=1,D3563&lt;&gt;""),IF(D3563&gt;=corte,TODAY()-D3563,""),"")</f>
        <v/>
      </c>
      <c r="V3563" s="8">
        <f>IF(D3563="",0,IF(OR(AND(P3563&lt;&gt;"",S3563=""),AND(N(J3563)&gt;0,N(K3563)&lt;J3563),OR(M3563="PENDENTE",M3563="PARCIAL"),OR(N3563="PENDENTE",N3563="PARCIAL")),1,0))</f>
        <v/>
      </c>
      <c r="W3563" s="8">
        <f>IF(AND(V3563=1,D3563&lt;&gt;""),IF(D3563&gt;=corte,(B3563="CRÍTICO")*1E9+(100000-D3563)*10000+10000-ROW(),""),"")</f>
        <v/>
      </c>
      <c r="X3563" s="8">
        <f>IF(AND(V3563=1,D3563=pas_data,E3563=pas_turno),10000-ROW(),"")</f>
        <v/>
      </c>
    </row>
    <row r="3564">
      <c r="A3564" s="3">
        <f>IF(D3564="","","TT-"&amp;TEXT(ROW()-1,"00000"))</f>
        <v/>
      </c>
      <c r="B3564" s="3">
        <f>IF(D3564="","",IF(V3564=0,"CONCLUÍDO",IF(D3564&lt;corte,"HISTÓRICO",IF(OR(AND(ISNUMBER(R3564),R3564&lt;TODAY()),AND(OR(N3564="PENDENTE",N3564="PARCIAL"),D3564&lt;TODAY()-1)),"CRÍTICO",IF(OR(AND(P3564&lt;&gt;"",S3564=""),AND(N3564="REALIZADO",M3564="PENDENTE"),AND(ISNUMBER(R3564),R3564=TODAY())),"ATENÇÃO",IF(N(K3564)=0,"PENDENTE","EM ANDAMENTO"))))))</f>
        <v/>
      </c>
      <c r="C3564" s="3">
        <f>IF(D3564="","",IF(V3564=0,"🟢 OK",IF(D3564&lt;corte,"⚪ HISTÓRICO (sem baixa)",IF(AND(ISNUMBER(R3564),R3564&lt;TODAY()),"🔴 PRAZO VENCIDO",IF(AND(OR(N3564="PENDENTE",N3564="PARCIAL"),D3564&lt;TODAY()-1),"🔴 EMBARQUE ATRASADO",IF(AND(N3564="REALIZADO",M3564="PENDENTE"),"🟡 EMBARCADO SEM FATURAR",IF(AND(P3564&lt;&gt;"",S3564="",OR(Q3564="",R3564="")),"🟡 PENDÊNCIA SEM RESPONSÁVEL/PRAZO",IF(AND(ISNUMBER(R3564),R3564=TODAY()),"🟡 VENCE HOJE",IF(AND(P3564&lt;&gt;"",S3564=""),"🟡 PENDÊNCIA ABERTA",IF(AND(N(J3564)&gt;0,N(K3564)&lt;J3564),"🟡 FALTA EXECUTAR",IF(OR(M3564="PENDENTE",M3564="PARCIAL"),"🟡 FATURAMENTO PENDENTE","🟡 EMBARQUE PENDENTE")))))))))))</f>
        <v/>
      </c>
      <c r="D3564" s="4" t="n"/>
      <c r="E3564" s="5" t="n"/>
      <c r="F3564" s="5" t="n"/>
      <c r="G3564" s="5" t="n"/>
      <c r="H3564" s="5" t="n"/>
      <c r="I3564" s="5" t="n"/>
      <c r="J3564" s="6" t="n"/>
      <c r="K3564" s="6" t="n"/>
      <c r="L3564" s="7">
        <f>IF(OR(D3564="",N(J3564)=0),"",MIN(1,N(K3564)/J3564))</f>
        <v/>
      </c>
      <c r="M3564" s="5" t="n"/>
      <c r="N3564" s="5" t="n"/>
      <c r="O3564" s="5" t="n"/>
      <c r="P3564" s="5" t="n"/>
      <c r="Q3564" s="5" t="n"/>
      <c r="R3564" s="4" t="n"/>
      <c r="S3564" s="4" t="n"/>
      <c r="T3564" s="5" t="n"/>
      <c r="U3564" s="8">
        <f>IF(AND(V3564=1,D3564&lt;&gt;""),IF(D3564&gt;=corte,TODAY()-D3564,""),"")</f>
        <v/>
      </c>
      <c r="V3564" s="8">
        <f>IF(D3564="",0,IF(OR(AND(P3564&lt;&gt;"",S3564=""),AND(N(J3564)&gt;0,N(K3564)&lt;J3564),OR(M3564="PENDENTE",M3564="PARCIAL"),OR(N3564="PENDENTE",N3564="PARCIAL")),1,0))</f>
        <v/>
      </c>
      <c r="W3564" s="8">
        <f>IF(AND(V3564=1,D3564&lt;&gt;""),IF(D3564&gt;=corte,(B3564="CRÍTICO")*1E9+(100000-D3564)*10000+10000-ROW(),""),"")</f>
        <v/>
      </c>
      <c r="X3564" s="8">
        <f>IF(AND(V3564=1,D3564=pas_data,E3564=pas_turno),10000-ROW(),"")</f>
        <v/>
      </c>
    </row>
    <row r="3565">
      <c r="A3565" s="3">
        <f>IF(D3565="","","TT-"&amp;TEXT(ROW()-1,"00000"))</f>
        <v/>
      </c>
      <c r="B3565" s="3">
        <f>IF(D3565="","",IF(V3565=0,"CONCLUÍDO",IF(D3565&lt;corte,"HISTÓRICO",IF(OR(AND(ISNUMBER(R3565),R3565&lt;TODAY()),AND(OR(N3565="PENDENTE",N3565="PARCIAL"),D3565&lt;TODAY()-1)),"CRÍTICO",IF(OR(AND(P3565&lt;&gt;"",S3565=""),AND(N3565="REALIZADO",M3565="PENDENTE"),AND(ISNUMBER(R3565),R3565=TODAY())),"ATENÇÃO",IF(N(K3565)=0,"PENDENTE","EM ANDAMENTO"))))))</f>
        <v/>
      </c>
      <c r="C3565" s="3">
        <f>IF(D3565="","",IF(V3565=0,"🟢 OK",IF(D3565&lt;corte,"⚪ HISTÓRICO (sem baixa)",IF(AND(ISNUMBER(R3565),R3565&lt;TODAY()),"🔴 PRAZO VENCIDO",IF(AND(OR(N3565="PENDENTE",N3565="PARCIAL"),D3565&lt;TODAY()-1),"🔴 EMBARQUE ATRASADO",IF(AND(N3565="REALIZADO",M3565="PENDENTE"),"🟡 EMBARCADO SEM FATURAR",IF(AND(P3565&lt;&gt;"",S3565="",OR(Q3565="",R3565="")),"🟡 PENDÊNCIA SEM RESPONSÁVEL/PRAZO",IF(AND(ISNUMBER(R3565),R3565=TODAY()),"🟡 VENCE HOJE",IF(AND(P3565&lt;&gt;"",S3565=""),"🟡 PENDÊNCIA ABERTA",IF(AND(N(J3565)&gt;0,N(K3565)&lt;J3565),"🟡 FALTA EXECUTAR",IF(OR(M3565="PENDENTE",M3565="PARCIAL"),"🟡 FATURAMENTO PENDENTE","🟡 EMBARQUE PENDENTE")))))))))))</f>
        <v/>
      </c>
      <c r="D3565" s="4" t="n"/>
      <c r="E3565" s="5" t="n"/>
      <c r="F3565" s="5" t="n"/>
      <c r="G3565" s="5" t="n"/>
      <c r="H3565" s="5" t="n"/>
      <c r="I3565" s="5" t="n"/>
      <c r="J3565" s="6" t="n"/>
      <c r="K3565" s="6" t="n"/>
      <c r="L3565" s="7">
        <f>IF(OR(D3565="",N(J3565)=0),"",MIN(1,N(K3565)/J3565))</f>
        <v/>
      </c>
      <c r="M3565" s="5" t="n"/>
      <c r="N3565" s="5" t="n"/>
      <c r="O3565" s="5" t="n"/>
      <c r="P3565" s="5" t="n"/>
      <c r="Q3565" s="5" t="n"/>
      <c r="R3565" s="4" t="n"/>
      <c r="S3565" s="4" t="n"/>
      <c r="T3565" s="5" t="n"/>
      <c r="U3565" s="8">
        <f>IF(AND(V3565=1,D3565&lt;&gt;""),IF(D3565&gt;=corte,TODAY()-D3565,""),"")</f>
        <v/>
      </c>
      <c r="V3565" s="8">
        <f>IF(D3565="",0,IF(OR(AND(P3565&lt;&gt;"",S3565=""),AND(N(J3565)&gt;0,N(K3565)&lt;J3565),OR(M3565="PENDENTE",M3565="PARCIAL"),OR(N3565="PENDENTE",N3565="PARCIAL")),1,0))</f>
        <v/>
      </c>
      <c r="W3565" s="8">
        <f>IF(AND(V3565=1,D3565&lt;&gt;""),IF(D3565&gt;=corte,(B3565="CRÍTICO")*1E9+(100000-D3565)*10000+10000-ROW(),""),"")</f>
        <v/>
      </c>
      <c r="X3565" s="8">
        <f>IF(AND(V3565=1,D3565=pas_data,E3565=pas_turno),10000-ROW(),"")</f>
        <v/>
      </c>
    </row>
    <row r="3566">
      <c r="A3566" s="3">
        <f>IF(D3566="","","TT-"&amp;TEXT(ROW()-1,"00000"))</f>
        <v/>
      </c>
      <c r="B3566" s="3">
        <f>IF(D3566="","",IF(V3566=0,"CONCLUÍDO",IF(D3566&lt;corte,"HISTÓRICO",IF(OR(AND(ISNUMBER(R3566),R3566&lt;TODAY()),AND(OR(N3566="PENDENTE",N3566="PARCIAL"),D3566&lt;TODAY()-1)),"CRÍTICO",IF(OR(AND(P3566&lt;&gt;"",S3566=""),AND(N3566="REALIZADO",M3566="PENDENTE"),AND(ISNUMBER(R3566),R3566=TODAY())),"ATENÇÃO",IF(N(K3566)=0,"PENDENTE","EM ANDAMENTO"))))))</f>
        <v/>
      </c>
      <c r="C3566" s="3">
        <f>IF(D3566="","",IF(V3566=0,"🟢 OK",IF(D3566&lt;corte,"⚪ HISTÓRICO (sem baixa)",IF(AND(ISNUMBER(R3566),R3566&lt;TODAY()),"🔴 PRAZO VENCIDO",IF(AND(OR(N3566="PENDENTE",N3566="PARCIAL"),D3566&lt;TODAY()-1),"🔴 EMBARQUE ATRASADO",IF(AND(N3566="REALIZADO",M3566="PENDENTE"),"🟡 EMBARCADO SEM FATURAR",IF(AND(P3566&lt;&gt;"",S3566="",OR(Q3566="",R3566="")),"🟡 PENDÊNCIA SEM RESPONSÁVEL/PRAZO",IF(AND(ISNUMBER(R3566),R3566=TODAY()),"🟡 VENCE HOJE",IF(AND(P3566&lt;&gt;"",S3566=""),"🟡 PENDÊNCIA ABERTA",IF(AND(N(J3566)&gt;0,N(K3566)&lt;J3566),"🟡 FALTA EXECUTAR",IF(OR(M3566="PENDENTE",M3566="PARCIAL"),"🟡 FATURAMENTO PENDENTE","🟡 EMBARQUE PENDENTE")))))))))))</f>
        <v/>
      </c>
      <c r="D3566" s="4" t="n"/>
      <c r="E3566" s="5" t="n"/>
      <c r="F3566" s="5" t="n"/>
      <c r="G3566" s="5" t="n"/>
      <c r="H3566" s="5" t="n"/>
      <c r="I3566" s="5" t="n"/>
      <c r="J3566" s="6" t="n"/>
      <c r="K3566" s="6" t="n"/>
      <c r="L3566" s="7">
        <f>IF(OR(D3566="",N(J3566)=0),"",MIN(1,N(K3566)/J3566))</f>
        <v/>
      </c>
      <c r="M3566" s="5" t="n"/>
      <c r="N3566" s="5" t="n"/>
      <c r="O3566" s="5" t="n"/>
      <c r="P3566" s="5" t="n"/>
      <c r="Q3566" s="5" t="n"/>
      <c r="R3566" s="4" t="n"/>
      <c r="S3566" s="4" t="n"/>
      <c r="T3566" s="5" t="n"/>
      <c r="U3566" s="8">
        <f>IF(AND(V3566=1,D3566&lt;&gt;""),IF(D3566&gt;=corte,TODAY()-D3566,""),"")</f>
        <v/>
      </c>
      <c r="V3566" s="8">
        <f>IF(D3566="",0,IF(OR(AND(P3566&lt;&gt;"",S3566=""),AND(N(J3566)&gt;0,N(K3566)&lt;J3566),OR(M3566="PENDENTE",M3566="PARCIAL"),OR(N3566="PENDENTE",N3566="PARCIAL")),1,0))</f>
        <v/>
      </c>
      <c r="W3566" s="8">
        <f>IF(AND(V3566=1,D3566&lt;&gt;""),IF(D3566&gt;=corte,(B3566="CRÍTICO")*1E9+(100000-D3566)*10000+10000-ROW(),""),"")</f>
        <v/>
      </c>
      <c r="X3566" s="8">
        <f>IF(AND(V3566=1,D3566=pas_data,E3566=pas_turno),10000-ROW(),"")</f>
        <v/>
      </c>
    </row>
    <row r="3567">
      <c r="A3567" s="3">
        <f>IF(D3567="","","TT-"&amp;TEXT(ROW()-1,"00000"))</f>
        <v/>
      </c>
      <c r="B3567" s="3">
        <f>IF(D3567="","",IF(V3567=0,"CONCLUÍDO",IF(D3567&lt;corte,"HISTÓRICO",IF(OR(AND(ISNUMBER(R3567),R3567&lt;TODAY()),AND(OR(N3567="PENDENTE",N3567="PARCIAL"),D3567&lt;TODAY()-1)),"CRÍTICO",IF(OR(AND(P3567&lt;&gt;"",S3567=""),AND(N3567="REALIZADO",M3567="PENDENTE"),AND(ISNUMBER(R3567),R3567=TODAY())),"ATENÇÃO",IF(N(K3567)=0,"PENDENTE","EM ANDAMENTO"))))))</f>
        <v/>
      </c>
      <c r="C3567" s="3">
        <f>IF(D3567="","",IF(V3567=0,"🟢 OK",IF(D3567&lt;corte,"⚪ HISTÓRICO (sem baixa)",IF(AND(ISNUMBER(R3567),R3567&lt;TODAY()),"🔴 PRAZO VENCIDO",IF(AND(OR(N3567="PENDENTE",N3567="PARCIAL"),D3567&lt;TODAY()-1),"🔴 EMBARQUE ATRASADO",IF(AND(N3567="REALIZADO",M3567="PENDENTE"),"🟡 EMBARCADO SEM FATURAR",IF(AND(P3567&lt;&gt;"",S3567="",OR(Q3567="",R3567="")),"🟡 PENDÊNCIA SEM RESPONSÁVEL/PRAZO",IF(AND(ISNUMBER(R3567),R3567=TODAY()),"🟡 VENCE HOJE",IF(AND(P3567&lt;&gt;"",S3567=""),"🟡 PENDÊNCIA ABERTA",IF(AND(N(J3567)&gt;0,N(K3567)&lt;J3567),"🟡 FALTA EXECUTAR",IF(OR(M3567="PENDENTE",M3567="PARCIAL"),"🟡 FATURAMENTO PENDENTE","🟡 EMBARQUE PENDENTE")))))))))))</f>
        <v/>
      </c>
      <c r="D3567" s="4" t="n"/>
      <c r="E3567" s="5" t="n"/>
      <c r="F3567" s="5" t="n"/>
      <c r="G3567" s="5" t="n"/>
      <c r="H3567" s="5" t="n"/>
      <c r="I3567" s="5" t="n"/>
      <c r="J3567" s="6" t="n"/>
      <c r="K3567" s="6" t="n"/>
      <c r="L3567" s="7">
        <f>IF(OR(D3567="",N(J3567)=0),"",MIN(1,N(K3567)/J3567))</f>
        <v/>
      </c>
      <c r="M3567" s="5" t="n"/>
      <c r="N3567" s="5" t="n"/>
      <c r="O3567" s="5" t="n"/>
      <c r="P3567" s="5" t="n"/>
      <c r="Q3567" s="5" t="n"/>
      <c r="R3567" s="4" t="n"/>
      <c r="S3567" s="4" t="n"/>
      <c r="T3567" s="5" t="n"/>
      <c r="U3567" s="8">
        <f>IF(AND(V3567=1,D3567&lt;&gt;""),IF(D3567&gt;=corte,TODAY()-D3567,""),"")</f>
        <v/>
      </c>
      <c r="V3567" s="8">
        <f>IF(D3567="",0,IF(OR(AND(P3567&lt;&gt;"",S3567=""),AND(N(J3567)&gt;0,N(K3567)&lt;J3567),OR(M3567="PENDENTE",M3567="PARCIAL"),OR(N3567="PENDENTE",N3567="PARCIAL")),1,0))</f>
        <v/>
      </c>
      <c r="W3567" s="8">
        <f>IF(AND(V3567=1,D3567&lt;&gt;""),IF(D3567&gt;=corte,(B3567="CRÍTICO")*1E9+(100000-D3567)*10000+10000-ROW(),""),"")</f>
        <v/>
      </c>
      <c r="X3567" s="8">
        <f>IF(AND(V3567=1,D3567=pas_data,E3567=pas_turno),10000-ROW(),"")</f>
        <v/>
      </c>
    </row>
    <row r="3568">
      <c r="A3568" s="3">
        <f>IF(D3568="","","TT-"&amp;TEXT(ROW()-1,"00000"))</f>
        <v/>
      </c>
      <c r="B3568" s="3">
        <f>IF(D3568="","",IF(V3568=0,"CONCLUÍDO",IF(D3568&lt;corte,"HISTÓRICO",IF(OR(AND(ISNUMBER(R3568),R3568&lt;TODAY()),AND(OR(N3568="PENDENTE",N3568="PARCIAL"),D3568&lt;TODAY()-1)),"CRÍTICO",IF(OR(AND(P3568&lt;&gt;"",S3568=""),AND(N3568="REALIZADO",M3568="PENDENTE"),AND(ISNUMBER(R3568),R3568=TODAY())),"ATENÇÃO",IF(N(K3568)=0,"PENDENTE","EM ANDAMENTO"))))))</f>
        <v/>
      </c>
      <c r="C3568" s="3">
        <f>IF(D3568="","",IF(V3568=0,"🟢 OK",IF(D3568&lt;corte,"⚪ HISTÓRICO (sem baixa)",IF(AND(ISNUMBER(R3568),R3568&lt;TODAY()),"🔴 PRAZO VENCIDO",IF(AND(OR(N3568="PENDENTE",N3568="PARCIAL"),D3568&lt;TODAY()-1),"🔴 EMBARQUE ATRASADO",IF(AND(N3568="REALIZADO",M3568="PENDENTE"),"🟡 EMBARCADO SEM FATURAR",IF(AND(P3568&lt;&gt;"",S3568="",OR(Q3568="",R3568="")),"🟡 PENDÊNCIA SEM RESPONSÁVEL/PRAZO",IF(AND(ISNUMBER(R3568),R3568=TODAY()),"🟡 VENCE HOJE",IF(AND(P3568&lt;&gt;"",S3568=""),"🟡 PENDÊNCIA ABERTA",IF(AND(N(J3568)&gt;0,N(K3568)&lt;J3568),"🟡 FALTA EXECUTAR",IF(OR(M3568="PENDENTE",M3568="PARCIAL"),"🟡 FATURAMENTO PENDENTE","🟡 EMBARQUE PENDENTE")))))))))))</f>
        <v/>
      </c>
      <c r="D3568" s="4" t="n"/>
      <c r="E3568" s="5" t="n"/>
      <c r="F3568" s="5" t="n"/>
      <c r="G3568" s="5" t="n"/>
      <c r="H3568" s="5" t="n"/>
      <c r="I3568" s="5" t="n"/>
      <c r="J3568" s="6" t="n"/>
      <c r="K3568" s="6" t="n"/>
      <c r="L3568" s="7">
        <f>IF(OR(D3568="",N(J3568)=0),"",MIN(1,N(K3568)/J3568))</f>
        <v/>
      </c>
      <c r="M3568" s="5" t="n"/>
      <c r="N3568" s="5" t="n"/>
      <c r="O3568" s="5" t="n"/>
      <c r="P3568" s="5" t="n"/>
      <c r="Q3568" s="5" t="n"/>
      <c r="R3568" s="4" t="n"/>
      <c r="S3568" s="4" t="n"/>
      <c r="T3568" s="5" t="n"/>
      <c r="U3568" s="8">
        <f>IF(AND(V3568=1,D3568&lt;&gt;""),IF(D3568&gt;=corte,TODAY()-D3568,""),"")</f>
        <v/>
      </c>
      <c r="V3568" s="8">
        <f>IF(D3568="",0,IF(OR(AND(P3568&lt;&gt;"",S3568=""),AND(N(J3568)&gt;0,N(K3568)&lt;J3568),OR(M3568="PENDENTE",M3568="PARCIAL"),OR(N3568="PENDENTE",N3568="PARCIAL")),1,0))</f>
        <v/>
      </c>
      <c r="W3568" s="8">
        <f>IF(AND(V3568=1,D3568&lt;&gt;""),IF(D3568&gt;=corte,(B3568="CRÍTICO")*1E9+(100000-D3568)*10000+10000-ROW(),""),"")</f>
        <v/>
      </c>
      <c r="X3568" s="8">
        <f>IF(AND(V3568=1,D3568=pas_data,E3568=pas_turno),10000-ROW(),"")</f>
        <v/>
      </c>
    </row>
    <row r="3569">
      <c r="A3569" s="3">
        <f>IF(D3569="","","TT-"&amp;TEXT(ROW()-1,"00000"))</f>
        <v/>
      </c>
      <c r="B3569" s="3">
        <f>IF(D3569="","",IF(V3569=0,"CONCLUÍDO",IF(D3569&lt;corte,"HISTÓRICO",IF(OR(AND(ISNUMBER(R3569),R3569&lt;TODAY()),AND(OR(N3569="PENDENTE",N3569="PARCIAL"),D3569&lt;TODAY()-1)),"CRÍTICO",IF(OR(AND(P3569&lt;&gt;"",S3569=""),AND(N3569="REALIZADO",M3569="PENDENTE"),AND(ISNUMBER(R3569),R3569=TODAY())),"ATENÇÃO",IF(N(K3569)=0,"PENDENTE","EM ANDAMENTO"))))))</f>
        <v/>
      </c>
      <c r="C3569" s="3">
        <f>IF(D3569="","",IF(V3569=0,"🟢 OK",IF(D3569&lt;corte,"⚪ HISTÓRICO (sem baixa)",IF(AND(ISNUMBER(R3569),R3569&lt;TODAY()),"🔴 PRAZO VENCIDO",IF(AND(OR(N3569="PENDENTE",N3569="PARCIAL"),D3569&lt;TODAY()-1),"🔴 EMBARQUE ATRASADO",IF(AND(N3569="REALIZADO",M3569="PENDENTE"),"🟡 EMBARCADO SEM FATURAR",IF(AND(P3569&lt;&gt;"",S3569="",OR(Q3569="",R3569="")),"🟡 PENDÊNCIA SEM RESPONSÁVEL/PRAZO",IF(AND(ISNUMBER(R3569),R3569=TODAY()),"🟡 VENCE HOJE",IF(AND(P3569&lt;&gt;"",S3569=""),"🟡 PENDÊNCIA ABERTA",IF(AND(N(J3569)&gt;0,N(K3569)&lt;J3569),"🟡 FALTA EXECUTAR",IF(OR(M3569="PENDENTE",M3569="PARCIAL"),"🟡 FATURAMENTO PENDENTE","🟡 EMBARQUE PENDENTE")))))))))))</f>
        <v/>
      </c>
      <c r="D3569" s="4" t="n"/>
      <c r="E3569" s="5" t="n"/>
      <c r="F3569" s="5" t="n"/>
      <c r="G3569" s="5" t="n"/>
      <c r="H3569" s="5" t="n"/>
      <c r="I3569" s="5" t="n"/>
      <c r="J3569" s="6" t="n"/>
      <c r="K3569" s="6" t="n"/>
      <c r="L3569" s="7">
        <f>IF(OR(D3569="",N(J3569)=0),"",MIN(1,N(K3569)/J3569))</f>
        <v/>
      </c>
      <c r="M3569" s="5" t="n"/>
      <c r="N3569" s="5" t="n"/>
      <c r="O3569" s="5" t="n"/>
      <c r="P3569" s="5" t="n"/>
      <c r="Q3569" s="5" t="n"/>
      <c r="R3569" s="4" t="n"/>
      <c r="S3569" s="4" t="n"/>
      <c r="T3569" s="5" t="n"/>
      <c r="U3569" s="8">
        <f>IF(AND(V3569=1,D3569&lt;&gt;""),IF(D3569&gt;=corte,TODAY()-D3569,""),"")</f>
        <v/>
      </c>
      <c r="V3569" s="8">
        <f>IF(D3569="",0,IF(OR(AND(P3569&lt;&gt;"",S3569=""),AND(N(J3569)&gt;0,N(K3569)&lt;J3569),OR(M3569="PENDENTE",M3569="PARCIAL"),OR(N3569="PENDENTE",N3569="PARCIAL")),1,0))</f>
        <v/>
      </c>
      <c r="W3569" s="8">
        <f>IF(AND(V3569=1,D3569&lt;&gt;""),IF(D3569&gt;=corte,(B3569="CRÍTICO")*1E9+(100000-D3569)*10000+10000-ROW(),""),"")</f>
        <v/>
      </c>
      <c r="X3569" s="8">
        <f>IF(AND(V3569=1,D3569=pas_data,E3569=pas_turno),10000-ROW(),"")</f>
        <v/>
      </c>
    </row>
    <row r="3570">
      <c r="A3570" s="3">
        <f>IF(D3570="","","TT-"&amp;TEXT(ROW()-1,"00000"))</f>
        <v/>
      </c>
      <c r="B3570" s="3">
        <f>IF(D3570="","",IF(V3570=0,"CONCLUÍDO",IF(D3570&lt;corte,"HISTÓRICO",IF(OR(AND(ISNUMBER(R3570),R3570&lt;TODAY()),AND(OR(N3570="PENDENTE",N3570="PARCIAL"),D3570&lt;TODAY()-1)),"CRÍTICO",IF(OR(AND(P3570&lt;&gt;"",S3570=""),AND(N3570="REALIZADO",M3570="PENDENTE"),AND(ISNUMBER(R3570),R3570=TODAY())),"ATENÇÃO",IF(N(K3570)=0,"PENDENTE","EM ANDAMENTO"))))))</f>
        <v/>
      </c>
      <c r="C3570" s="3">
        <f>IF(D3570="","",IF(V3570=0,"🟢 OK",IF(D3570&lt;corte,"⚪ HISTÓRICO (sem baixa)",IF(AND(ISNUMBER(R3570),R3570&lt;TODAY()),"🔴 PRAZO VENCIDO",IF(AND(OR(N3570="PENDENTE",N3570="PARCIAL"),D3570&lt;TODAY()-1),"🔴 EMBARQUE ATRASADO",IF(AND(N3570="REALIZADO",M3570="PENDENTE"),"🟡 EMBARCADO SEM FATURAR",IF(AND(P3570&lt;&gt;"",S3570="",OR(Q3570="",R3570="")),"🟡 PENDÊNCIA SEM RESPONSÁVEL/PRAZO",IF(AND(ISNUMBER(R3570),R3570=TODAY()),"🟡 VENCE HOJE",IF(AND(P3570&lt;&gt;"",S3570=""),"🟡 PENDÊNCIA ABERTA",IF(AND(N(J3570)&gt;0,N(K3570)&lt;J3570),"🟡 FALTA EXECUTAR",IF(OR(M3570="PENDENTE",M3570="PARCIAL"),"🟡 FATURAMENTO PENDENTE","🟡 EMBARQUE PENDENTE")))))))))))</f>
        <v/>
      </c>
      <c r="D3570" s="4" t="n"/>
      <c r="E3570" s="5" t="n"/>
      <c r="F3570" s="5" t="n"/>
      <c r="G3570" s="5" t="n"/>
      <c r="H3570" s="5" t="n"/>
      <c r="I3570" s="5" t="n"/>
      <c r="J3570" s="6" t="n"/>
      <c r="K3570" s="6" t="n"/>
      <c r="L3570" s="7">
        <f>IF(OR(D3570="",N(J3570)=0),"",MIN(1,N(K3570)/J3570))</f>
        <v/>
      </c>
      <c r="M3570" s="5" t="n"/>
      <c r="N3570" s="5" t="n"/>
      <c r="O3570" s="5" t="n"/>
      <c r="P3570" s="5" t="n"/>
      <c r="Q3570" s="5" t="n"/>
      <c r="R3570" s="4" t="n"/>
      <c r="S3570" s="4" t="n"/>
      <c r="T3570" s="5" t="n"/>
      <c r="U3570" s="8">
        <f>IF(AND(V3570=1,D3570&lt;&gt;""),IF(D3570&gt;=corte,TODAY()-D3570,""),"")</f>
        <v/>
      </c>
      <c r="V3570" s="8">
        <f>IF(D3570="",0,IF(OR(AND(P3570&lt;&gt;"",S3570=""),AND(N(J3570)&gt;0,N(K3570)&lt;J3570),OR(M3570="PENDENTE",M3570="PARCIAL"),OR(N3570="PENDENTE",N3570="PARCIAL")),1,0))</f>
        <v/>
      </c>
      <c r="W3570" s="8">
        <f>IF(AND(V3570=1,D3570&lt;&gt;""),IF(D3570&gt;=corte,(B3570="CRÍTICO")*1E9+(100000-D3570)*10000+10000-ROW(),""),"")</f>
        <v/>
      </c>
      <c r="X3570" s="8">
        <f>IF(AND(V3570=1,D3570=pas_data,E3570=pas_turno),10000-ROW(),"")</f>
        <v/>
      </c>
    </row>
    <row r="3571">
      <c r="A3571" s="3">
        <f>IF(D3571="","","TT-"&amp;TEXT(ROW()-1,"00000"))</f>
        <v/>
      </c>
      <c r="B3571" s="3">
        <f>IF(D3571="","",IF(V3571=0,"CONCLUÍDO",IF(D3571&lt;corte,"HISTÓRICO",IF(OR(AND(ISNUMBER(R3571),R3571&lt;TODAY()),AND(OR(N3571="PENDENTE",N3571="PARCIAL"),D3571&lt;TODAY()-1)),"CRÍTICO",IF(OR(AND(P3571&lt;&gt;"",S3571=""),AND(N3571="REALIZADO",M3571="PENDENTE"),AND(ISNUMBER(R3571),R3571=TODAY())),"ATENÇÃO",IF(N(K3571)=0,"PENDENTE","EM ANDAMENTO"))))))</f>
        <v/>
      </c>
      <c r="C3571" s="3">
        <f>IF(D3571="","",IF(V3571=0,"🟢 OK",IF(D3571&lt;corte,"⚪ HISTÓRICO (sem baixa)",IF(AND(ISNUMBER(R3571),R3571&lt;TODAY()),"🔴 PRAZO VENCIDO",IF(AND(OR(N3571="PENDENTE",N3571="PARCIAL"),D3571&lt;TODAY()-1),"🔴 EMBARQUE ATRASADO",IF(AND(N3571="REALIZADO",M3571="PENDENTE"),"🟡 EMBARCADO SEM FATURAR",IF(AND(P3571&lt;&gt;"",S3571="",OR(Q3571="",R3571="")),"🟡 PENDÊNCIA SEM RESPONSÁVEL/PRAZO",IF(AND(ISNUMBER(R3571),R3571=TODAY()),"🟡 VENCE HOJE",IF(AND(P3571&lt;&gt;"",S3571=""),"🟡 PENDÊNCIA ABERTA",IF(AND(N(J3571)&gt;0,N(K3571)&lt;J3571),"🟡 FALTA EXECUTAR",IF(OR(M3571="PENDENTE",M3571="PARCIAL"),"🟡 FATURAMENTO PENDENTE","🟡 EMBARQUE PENDENTE")))))))))))</f>
        <v/>
      </c>
      <c r="D3571" s="4" t="n"/>
      <c r="E3571" s="5" t="n"/>
      <c r="F3571" s="5" t="n"/>
      <c r="G3571" s="5" t="n"/>
      <c r="H3571" s="5" t="n"/>
      <c r="I3571" s="5" t="n"/>
      <c r="J3571" s="6" t="n"/>
      <c r="K3571" s="6" t="n"/>
      <c r="L3571" s="7">
        <f>IF(OR(D3571="",N(J3571)=0),"",MIN(1,N(K3571)/J3571))</f>
        <v/>
      </c>
      <c r="M3571" s="5" t="n"/>
      <c r="N3571" s="5" t="n"/>
      <c r="O3571" s="5" t="n"/>
      <c r="P3571" s="5" t="n"/>
      <c r="Q3571" s="5" t="n"/>
      <c r="R3571" s="4" t="n"/>
      <c r="S3571" s="4" t="n"/>
      <c r="T3571" s="5" t="n"/>
      <c r="U3571" s="8">
        <f>IF(AND(V3571=1,D3571&lt;&gt;""),IF(D3571&gt;=corte,TODAY()-D3571,""),"")</f>
        <v/>
      </c>
      <c r="V3571" s="8">
        <f>IF(D3571="",0,IF(OR(AND(P3571&lt;&gt;"",S3571=""),AND(N(J3571)&gt;0,N(K3571)&lt;J3571),OR(M3571="PENDENTE",M3571="PARCIAL"),OR(N3571="PENDENTE",N3571="PARCIAL")),1,0))</f>
        <v/>
      </c>
      <c r="W3571" s="8">
        <f>IF(AND(V3571=1,D3571&lt;&gt;""),IF(D3571&gt;=corte,(B3571="CRÍTICO")*1E9+(100000-D3571)*10000+10000-ROW(),""),"")</f>
        <v/>
      </c>
      <c r="X3571" s="8">
        <f>IF(AND(V3571=1,D3571=pas_data,E3571=pas_turno),10000-ROW(),"")</f>
        <v/>
      </c>
    </row>
    <row r="3572">
      <c r="A3572" s="3">
        <f>IF(D3572="","","TT-"&amp;TEXT(ROW()-1,"00000"))</f>
        <v/>
      </c>
      <c r="B3572" s="3">
        <f>IF(D3572="","",IF(V3572=0,"CONCLUÍDO",IF(D3572&lt;corte,"HISTÓRICO",IF(OR(AND(ISNUMBER(R3572),R3572&lt;TODAY()),AND(OR(N3572="PENDENTE",N3572="PARCIAL"),D3572&lt;TODAY()-1)),"CRÍTICO",IF(OR(AND(P3572&lt;&gt;"",S3572=""),AND(N3572="REALIZADO",M3572="PENDENTE"),AND(ISNUMBER(R3572),R3572=TODAY())),"ATENÇÃO",IF(N(K3572)=0,"PENDENTE","EM ANDAMENTO"))))))</f>
        <v/>
      </c>
      <c r="C3572" s="3">
        <f>IF(D3572="","",IF(V3572=0,"🟢 OK",IF(D3572&lt;corte,"⚪ HISTÓRICO (sem baixa)",IF(AND(ISNUMBER(R3572),R3572&lt;TODAY()),"🔴 PRAZO VENCIDO",IF(AND(OR(N3572="PENDENTE",N3572="PARCIAL"),D3572&lt;TODAY()-1),"🔴 EMBARQUE ATRASADO",IF(AND(N3572="REALIZADO",M3572="PENDENTE"),"🟡 EMBARCADO SEM FATURAR",IF(AND(P3572&lt;&gt;"",S3572="",OR(Q3572="",R3572="")),"🟡 PENDÊNCIA SEM RESPONSÁVEL/PRAZO",IF(AND(ISNUMBER(R3572),R3572=TODAY()),"🟡 VENCE HOJE",IF(AND(P3572&lt;&gt;"",S3572=""),"🟡 PENDÊNCIA ABERTA",IF(AND(N(J3572)&gt;0,N(K3572)&lt;J3572),"🟡 FALTA EXECUTAR",IF(OR(M3572="PENDENTE",M3572="PARCIAL"),"🟡 FATURAMENTO PENDENTE","🟡 EMBARQUE PENDENTE")))))))))))</f>
        <v/>
      </c>
      <c r="D3572" s="4" t="n"/>
      <c r="E3572" s="5" t="n"/>
      <c r="F3572" s="5" t="n"/>
      <c r="G3572" s="5" t="n"/>
      <c r="H3572" s="5" t="n"/>
      <c r="I3572" s="5" t="n"/>
      <c r="J3572" s="6" t="n"/>
      <c r="K3572" s="6" t="n"/>
      <c r="L3572" s="7">
        <f>IF(OR(D3572="",N(J3572)=0),"",MIN(1,N(K3572)/J3572))</f>
        <v/>
      </c>
      <c r="M3572" s="5" t="n"/>
      <c r="N3572" s="5" t="n"/>
      <c r="O3572" s="5" t="n"/>
      <c r="P3572" s="5" t="n"/>
      <c r="Q3572" s="5" t="n"/>
      <c r="R3572" s="4" t="n"/>
      <c r="S3572" s="4" t="n"/>
      <c r="T3572" s="5" t="n"/>
      <c r="U3572" s="8">
        <f>IF(AND(V3572=1,D3572&lt;&gt;""),IF(D3572&gt;=corte,TODAY()-D3572,""),"")</f>
        <v/>
      </c>
      <c r="V3572" s="8">
        <f>IF(D3572="",0,IF(OR(AND(P3572&lt;&gt;"",S3572=""),AND(N(J3572)&gt;0,N(K3572)&lt;J3572),OR(M3572="PENDENTE",M3572="PARCIAL"),OR(N3572="PENDENTE",N3572="PARCIAL")),1,0))</f>
        <v/>
      </c>
      <c r="W3572" s="8">
        <f>IF(AND(V3572=1,D3572&lt;&gt;""),IF(D3572&gt;=corte,(B3572="CRÍTICO")*1E9+(100000-D3572)*10000+10000-ROW(),""),"")</f>
        <v/>
      </c>
      <c r="X3572" s="8">
        <f>IF(AND(V3572=1,D3572=pas_data,E3572=pas_turno),10000-ROW(),"")</f>
        <v/>
      </c>
    </row>
    <row r="3573">
      <c r="A3573" s="3">
        <f>IF(D3573="","","TT-"&amp;TEXT(ROW()-1,"00000"))</f>
        <v/>
      </c>
      <c r="B3573" s="3">
        <f>IF(D3573="","",IF(V3573=0,"CONCLUÍDO",IF(D3573&lt;corte,"HISTÓRICO",IF(OR(AND(ISNUMBER(R3573),R3573&lt;TODAY()),AND(OR(N3573="PENDENTE",N3573="PARCIAL"),D3573&lt;TODAY()-1)),"CRÍTICO",IF(OR(AND(P3573&lt;&gt;"",S3573=""),AND(N3573="REALIZADO",M3573="PENDENTE"),AND(ISNUMBER(R3573),R3573=TODAY())),"ATENÇÃO",IF(N(K3573)=0,"PENDENTE","EM ANDAMENTO"))))))</f>
        <v/>
      </c>
      <c r="C3573" s="3">
        <f>IF(D3573="","",IF(V3573=0,"🟢 OK",IF(D3573&lt;corte,"⚪ HISTÓRICO (sem baixa)",IF(AND(ISNUMBER(R3573),R3573&lt;TODAY()),"🔴 PRAZO VENCIDO",IF(AND(OR(N3573="PENDENTE",N3573="PARCIAL"),D3573&lt;TODAY()-1),"🔴 EMBARQUE ATRASADO",IF(AND(N3573="REALIZADO",M3573="PENDENTE"),"🟡 EMBARCADO SEM FATURAR",IF(AND(P3573&lt;&gt;"",S3573="",OR(Q3573="",R3573="")),"🟡 PENDÊNCIA SEM RESPONSÁVEL/PRAZO",IF(AND(ISNUMBER(R3573),R3573=TODAY()),"🟡 VENCE HOJE",IF(AND(P3573&lt;&gt;"",S3573=""),"🟡 PENDÊNCIA ABERTA",IF(AND(N(J3573)&gt;0,N(K3573)&lt;J3573),"🟡 FALTA EXECUTAR",IF(OR(M3573="PENDENTE",M3573="PARCIAL"),"🟡 FATURAMENTO PENDENTE","🟡 EMBARQUE PENDENTE")))))))))))</f>
        <v/>
      </c>
      <c r="D3573" s="4" t="n"/>
      <c r="E3573" s="5" t="n"/>
      <c r="F3573" s="5" t="n"/>
      <c r="G3573" s="5" t="n"/>
      <c r="H3573" s="5" t="n"/>
      <c r="I3573" s="5" t="n"/>
      <c r="J3573" s="6" t="n"/>
      <c r="K3573" s="6" t="n"/>
      <c r="L3573" s="7">
        <f>IF(OR(D3573="",N(J3573)=0),"",MIN(1,N(K3573)/J3573))</f>
        <v/>
      </c>
      <c r="M3573" s="5" t="n"/>
      <c r="N3573" s="5" t="n"/>
      <c r="O3573" s="5" t="n"/>
      <c r="P3573" s="5" t="n"/>
      <c r="Q3573" s="5" t="n"/>
      <c r="R3573" s="4" t="n"/>
      <c r="S3573" s="4" t="n"/>
      <c r="T3573" s="5" t="n"/>
      <c r="U3573" s="8">
        <f>IF(AND(V3573=1,D3573&lt;&gt;""),IF(D3573&gt;=corte,TODAY()-D3573,""),"")</f>
        <v/>
      </c>
      <c r="V3573" s="8">
        <f>IF(D3573="",0,IF(OR(AND(P3573&lt;&gt;"",S3573=""),AND(N(J3573)&gt;0,N(K3573)&lt;J3573),OR(M3573="PENDENTE",M3573="PARCIAL"),OR(N3573="PENDENTE",N3573="PARCIAL")),1,0))</f>
        <v/>
      </c>
      <c r="W3573" s="8">
        <f>IF(AND(V3573=1,D3573&lt;&gt;""),IF(D3573&gt;=corte,(B3573="CRÍTICO")*1E9+(100000-D3573)*10000+10000-ROW(),""),"")</f>
        <v/>
      </c>
      <c r="X3573" s="8">
        <f>IF(AND(V3573=1,D3573=pas_data,E3573=pas_turno),10000-ROW(),"")</f>
        <v/>
      </c>
    </row>
    <row r="3574">
      <c r="A3574" s="3">
        <f>IF(D3574="","","TT-"&amp;TEXT(ROW()-1,"00000"))</f>
        <v/>
      </c>
      <c r="B3574" s="3">
        <f>IF(D3574="","",IF(V3574=0,"CONCLUÍDO",IF(D3574&lt;corte,"HISTÓRICO",IF(OR(AND(ISNUMBER(R3574),R3574&lt;TODAY()),AND(OR(N3574="PENDENTE",N3574="PARCIAL"),D3574&lt;TODAY()-1)),"CRÍTICO",IF(OR(AND(P3574&lt;&gt;"",S3574=""),AND(N3574="REALIZADO",M3574="PENDENTE"),AND(ISNUMBER(R3574),R3574=TODAY())),"ATENÇÃO",IF(N(K3574)=0,"PENDENTE","EM ANDAMENTO"))))))</f>
        <v/>
      </c>
      <c r="C3574" s="3">
        <f>IF(D3574="","",IF(V3574=0,"🟢 OK",IF(D3574&lt;corte,"⚪ HISTÓRICO (sem baixa)",IF(AND(ISNUMBER(R3574),R3574&lt;TODAY()),"🔴 PRAZO VENCIDO",IF(AND(OR(N3574="PENDENTE",N3574="PARCIAL"),D3574&lt;TODAY()-1),"🔴 EMBARQUE ATRASADO",IF(AND(N3574="REALIZADO",M3574="PENDENTE"),"🟡 EMBARCADO SEM FATURAR",IF(AND(P3574&lt;&gt;"",S3574="",OR(Q3574="",R3574="")),"🟡 PENDÊNCIA SEM RESPONSÁVEL/PRAZO",IF(AND(ISNUMBER(R3574),R3574=TODAY()),"🟡 VENCE HOJE",IF(AND(P3574&lt;&gt;"",S3574=""),"🟡 PENDÊNCIA ABERTA",IF(AND(N(J3574)&gt;0,N(K3574)&lt;J3574),"🟡 FALTA EXECUTAR",IF(OR(M3574="PENDENTE",M3574="PARCIAL"),"🟡 FATURAMENTO PENDENTE","🟡 EMBARQUE PENDENTE")))))))))))</f>
        <v/>
      </c>
      <c r="D3574" s="4" t="n"/>
      <c r="E3574" s="5" t="n"/>
      <c r="F3574" s="5" t="n"/>
      <c r="G3574" s="5" t="n"/>
      <c r="H3574" s="5" t="n"/>
      <c r="I3574" s="5" t="n"/>
      <c r="J3574" s="6" t="n"/>
      <c r="K3574" s="6" t="n"/>
      <c r="L3574" s="7">
        <f>IF(OR(D3574="",N(J3574)=0),"",MIN(1,N(K3574)/J3574))</f>
        <v/>
      </c>
      <c r="M3574" s="5" t="n"/>
      <c r="N3574" s="5" t="n"/>
      <c r="O3574" s="5" t="n"/>
      <c r="P3574" s="5" t="n"/>
      <c r="Q3574" s="5" t="n"/>
      <c r="R3574" s="4" t="n"/>
      <c r="S3574" s="4" t="n"/>
      <c r="T3574" s="5" t="n"/>
      <c r="U3574" s="8">
        <f>IF(AND(V3574=1,D3574&lt;&gt;""),IF(D3574&gt;=corte,TODAY()-D3574,""),"")</f>
        <v/>
      </c>
      <c r="V3574" s="8">
        <f>IF(D3574="",0,IF(OR(AND(P3574&lt;&gt;"",S3574=""),AND(N(J3574)&gt;0,N(K3574)&lt;J3574),OR(M3574="PENDENTE",M3574="PARCIAL"),OR(N3574="PENDENTE",N3574="PARCIAL")),1,0))</f>
        <v/>
      </c>
      <c r="W3574" s="8">
        <f>IF(AND(V3574=1,D3574&lt;&gt;""),IF(D3574&gt;=corte,(B3574="CRÍTICO")*1E9+(100000-D3574)*10000+10000-ROW(),""),"")</f>
        <v/>
      </c>
      <c r="X3574" s="8">
        <f>IF(AND(V3574=1,D3574=pas_data,E3574=pas_turno),10000-ROW(),"")</f>
        <v/>
      </c>
    </row>
    <row r="3575">
      <c r="A3575" s="3">
        <f>IF(D3575="","","TT-"&amp;TEXT(ROW()-1,"00000"))</f>
        <v/>
      </c>
      <c r="B3575" s="3">
        <f>IF(D3575="","",IF(V3575=0,"CONCLUÍDO",IF(D3575&lt;corte,"HISTÓRICO",IF(OR(AND(ISNUMBER(R3575),R3575&lt;TODAY()),AND(OR(N3575="PENDENTE",N3575="PARCIAL"),D3575&lt;TODAY()-1)),"CRÍTICO",IF(OR(AND(P3575&lt;&gt;"",S3575=""),AND(N3575="REALIZADO",M3575="PENDENTE"),AND(ISNUMBER(R3575),R3575=TODAY())),"ATENÇÃO",IF(N(K3575)=0,"PENDENTE","EM ANDAMENTO"))))))</f>
        <v/>
      </c>
      <c r="C3575" s="3">
        <f>IF(D3575="","",IF(V3575=0,"🟢 OK",IF(D3575&lt;corte,"⚪ HISTÓRICO (sem baixa)",IF(AND(ISNUMBER(R3575),R3575&lt;TODAY()),"🔴 PRAZO VENCIDO",IF(AND(OR(N3575="PENDENTE",N3575="PARCIAL"),D3575&lt;TODAY()-1),"🔴 EMBARQUE ATRASADO",IF(AND(N3575="REALIZADO",M3575="PENDENTE"),"🟡 EMBARCADO SEM FATURAR",IF(AND(P3575&lt;&gt;"",S3575="",OR(Q3575="",R3575="")),"🟡 PENDÊNCIA SEM RESPONSÁVEL/PRAZO",IF(AND(ISNUMBER(R3575),R3575=TODAY()),"🟡 VENCE HOJE",IF(AND(P3575&lt;&gt;"",S3575=""),"🟡 PENDÊNCIA ABERTA",IF(AND(N(J3575)&gt;0,N(K3575)&lt;J3575),"🟡 FALTA EXECUTAR",IF(OR(M3575="PENDENTE",M3575="PARCIAL"),"🟡 FATURAMENTO PENDENTE","🟡 EMBARQUE PENDENTE")))))))))))</f>
        <v/>
      </c>
      <c r="D3575" s="4" t="n"/>
      <c r="E3575" s="5" t="n"/>
      <c r="F3575" s="5" t="n"/>
      <c r="G3575" s="5" t="n"/>
      <c r="H3575" s="5" t="n"/>
      <c r="I3575" s="5" t="n"/>
      <c r="J3575" s="6" t="n"/>
      <c r="K3575" s="6" t="n"/>
      <c r="L3575" s="7">
        <f>IF(OR(D3575="",N(J3575)=0),"",MIN(1,N(K3575)/J3575))</f>
        <v/>
      </c>
      <c r="M3575" s="5" t="n"/>
      <c r="N3575" s="5" t="n"/>
      <c r="O3575" s="5" t="n"/>
      <c r="P3575" s="5" t="n"/>
      <c r="Q3575" s="5" t="n"/>
      <c r="R3575" s="4" t="n"/>
      <c r="S3575" s="4" t="n"/>
      <c r="T3575" s="5" t="n"/>
      <c r="U3575" s="8">
        <f>IF(AND(V3575=1,D3575&lt;&gt;""),IF(D3575&gt;=corte,TODAY()-D3575,""),"")</f>
        <v/>
      </c>
      <c r="V3575" s="8">
        <f>IF(D3575="",0,IF(OR(AND(P3575&lt;&gt;"",S3575=""),AND(N(J3575)&gt;0,N(K3575)&lt;J3575),OR(M3575="PENDENTE",M3575="PARCIAL"),OR(N3575="PENDENTE",N3575="PARCIAL")),1,0))</f>
        <v/>
      </c>
      <c r="W3575" s="8">
        <f>IF(AND(V3575=1,D3575&lt;&gt;""),IF(D3575&gt;=corte,(B3575="CRÍTICO")*1E9+(100000-D3575)*10000+10000-ROW(),""),"")</f>
        <v/>
      </c>
      <c r="X3575" s="8">
        <f>IF(AND(V3575=1,D3575=pas_data,E3575=pas_turno),10000-ROW(),"")</f>
        <v/>
      </c>
    </row>
    <row r="3576">
      <c r="A3576" s="3">
        <f>IF(D3576="","","TT-"&amp;TEXT(ROW()-1,"00000"))</f>
        <v/>
      </c>
      <c r="B3576" s="3">
        <f>IF(D3576="","",IF(V3576=0,"CONCLUÍDO",IF(D3576&lt;corte,"HISTÓRICO",IF(OR(AND(ISNUMBER(R3576),R3576&lt;TODAY()),AND(OR(N3576="PENDENTE",N3576="PARCIAL"),D3576&lt;TODAY()-1)),"CRÍTICO",IF(OR(AND(P3576&lt;&gt;"",S3576=""),AND(N3576="REALIZADO",M3576="PENDENTE"),AND(ISNUMBER(R3576),R3576=TODAY())),"ATENÇÃO",IF(N(K3576)=0,"PENDENTE","EM ANDAMENTO"))))))</f>
        <v/>
      </c>
      <c r="C3576" s="3">
        <f>IF(D3576="","",IF(V3576=0,"🟢 OK",IF(D3576&lt;corte,"⚪ HISTÓRICO (sem baixa)",IF(AND(ISNUMBER(R3576),R3576&lt;TODAY()),"🔴 PRAZO VENCIDO",IF(AND(OR(N3576="PENDENTE",N3576="PARCIAL"),D3576&lt;TODAY()-1),"🔴 EMBARQUE ATRASADO",IF(AND(N3576="REALIZADO",M3576="PENDENTE"),"🟡 EMBARCADO SEM FATURAR",IF(AND(P3576&lt;&gt;"",S3576="",OR(Q3576="",R3576="")),"🟡 PENDÊNCIA SEM RESPONSÁVEL/PRAZO",IF(AND(ISNUMBER(R3576),R3576=TODAY()),"🟡 VENCE HOJE",IF(AND(P3576&lt;&gt;"",S3576=""),"🟡 PENDÊNCIA ABERTA",IF(AND(N(J3576)&gt;0,N(K3576)&lt;J3576),"🟡 FALTA EXECUTAR",IF(OR(M3576="PENDENTE",M3576="PARCIAL"),"🟡 FATURAMENTO PENDENTE","🟡 EMBARQUE PENDENTE")))))))))))</f>
        <v/>
      </c>
      <c r="D3576" s="4" t="n"/>
      <c r="E3576" s="5" t="n"/>
      <c r="F3576" s="5" t="n"/>
      <c r="G3576" s="5" t="n"/>
      <c r="H3576" s="5" t="n"/>
      <c r="I3576" s="5" t="n"/>
      <c r="J3576" s="6" t="n"/>
      <c r="K3576" s="6" t="n"/>
      <c r="L3576" s="7">
        <f>IF(OR(D3576="",N(J3576)=0),"",MIN(1,N(K3576)/J3576))</f>
        <v/>
      </c>
      <c r="M3576" s="5" t="n"/>
      <c r="N3576" s="5" t="n"/>
      <c r="O3576" s="5" t="n"/>
      <c r="P3576" s="5" t="n"/>
      <c r="Q3576" s="5" t="n"/>
      <c r="R3576" s="4" t="n"/>
      <c r="S3576" s="4" t="n"/>
      <c r="T3576" s="5" t="n"/>
      <c r="U3576" s="8">
        <f>IF(AND(V3576=1,D3576&lt;&gt;""),IF(D3576&gt;=corte,TODAY()-D3576,""),"")</f>
        <v/>
      </c>
      <c r="V3576" s="8">
        <f>IF(D3576="",0,IF(OR(AND(P3576&lt;&gt;"",S3576=""),AND(N(J3576)&gt;0,N(K3576)&lt;J3576),OR(M3576="PENDENTE",M3576="PARCIAL"),OR(N3576="PENDENTE",N3576="PARCIAL")),1,0))</f>
        <v/>
      </c>
      <c r="W3576" s="8">
        <f>IF(AND(V3576=1,D3576&lt;&gt;""),IF(D3576&gt;=corte,(B3576="CRÍTICO")*1E9+(100000-D3576)*10000+10000-ROW(),""),"")</f>
        <v/>
      </c>
      <c r="X3576" s="8">
        <f>IF(AND(V3576=1,D3576=pas_data,E3576=pas_turno),10000-ROW(),"")</f>
        <v/>
      </c>
    </row>
    <row r="3577">
      <c r="A3577" s="3">
        <f>IF(D3577="","","TT-"&amp;TEXT(ROW()-1,"00000"))</f>
        <v/>
      </c>
      <c r="B3577" s="3">
        <f>IF(D3577="","",IF(V3577=0,"CONCLUÍDO",IF(D3577&lt;corte,"HISTÓRICO",IF(OR(AND(ISNUMBER(R3577),R3577&lt;TODAY()),AND(OR(N3577="PENDENTE",N3577="PARCIAL"),D3577&lt;TODAY()-1)),"CRÍTICO",IF(OR(AND(P3577&lt;&gt;"",S3577=""),AND(N3577="REALIZADO",M3577="PENDENTE"),AND(ISNUMBER(R3577),R3577=TODAY())),"ATENÇÃO",IF(N(K3577)=0,"PENDENTE","EM ANDAMENTO"))))))</f>
        <v/>
      </c>
      <c r="C3577" s="3">
        <f>IF(D3577="","",IF(V3577=0,"🟢 OK",IF(D3577&lt;corte,"⚪ HISTÓRICO (sem baixa)",IF(AND(ISNUMBER(R3577),R3577&lt;TODAY()),"🔴 PRAZO VENCIDO",IF(AND(OR(N3577="PENDENTE",N3577="PARCIAL"),D3577&lt;TODAY()-1),"🔴 EMBARQUE ATRASADO",IF(AND(N3577="REALIZADO",M3577="PENDENTE"),"🟡 EMBARCADO SEM FATURAR",IF(AND(P3577&lt;&gt;"",S3577="",OR(Q3577="",R3577="")),"🟡 PENDÊNCIA SEM RESPONSÁVEL/PRAZO",IF(AND(ISNUMBER(R3577),R3577=TODAY()),"🟡 VENCE HOJE",IF(AND(P3577&lt;&gt;"",S3577=""),"🟡 PENDÊNCIA ABERTA",IF(AND(N(J3577)&gt;0,N(K3577)&lt;J3577),"🟡 FALTA EXECUTAR",IF(OR(M3577="PENDENTE",M3577="PARCIAL"),"🟡 FATURAMENTO PENDENTE","🟡 EMBARQUE PENDENTE")))))))))))</f>
        <v/>
      </c>
      <c r="D3577" s="4" t="n"/>
      <c r="E3577" s="5" t="n"/>
      <c r="F3577" s="5" t="n"/>
      <c r="G3577" s="5" t="n"/>
      <c r="H3577" s="5" t="n"/>
      <c r="I3577" s="5" t="n"/>
      <c r="J3577" s="6" t="n"/>
      <c r="K3577" s="6" t="n"/>
      <c r="L3577" s="7">
        <f>IF(OR(D3577="",N(J3577)=0),"",MIN(1,N(K3577)/J3577))</f>
        <v/>
      </c>
      <c r="M3577" s="5" t="n"/>
      <c r="N3577" s="5" t="n"/>
      <c r="O3577" s="5" t="n"/>
      <c r="P3577" s="5" t="n"/>
      <c r="Q3577" s="5" t="n"/>
      <c r="R3577" s="4" t="n"/>
      <c r="S3577" s="4" t="n"/>
      <c r="T3577" s="5" t="n"/>
      <c r="U3577" s="8">
        <f>IF(AND(V3577=1,D3577&lt;&gt;""),IF(D3577&gt;=corte,TODAY()-D3577,""),"")</f>
        <v/>
      </c>
      <c r="V3577" s="8">
        <f>IF(D3577="",0,IF(OR(AND(P3577&lt;&gt;"",S3577=""),AND(N(J3577)&gt;0,N(K3577)&lt;J3577),OR(M3577="PENDENTE",M3577="PARCIAL"),OR(N3577="PENDENTE",N3577="PARCIAL")),1,0))</f>
        <v/>
      </c>
      <c r="W3577" s="8">
        <f>IF(AND(V3577=1,D3577&lt;&gt;""),IF(D3577&gt;=corte,(B3577="CRÍTICO")*1E9+(100000-D3577)*10000+10000-ROW(),""),"")</f>
        <v/>
      </c>
      <c r="X3577" s="8">
        <f>IF(AND(V3577=1,D3577=pas_data,E3577=pas_turno),10000-ROW(),"")</f>
        <v/>
      </c>
    </row>
    <row r="3578">
      <c r="A3578" s="3">
        <f>IF(D3578="","","TT-"&amp;TEXT(ROW()-1,"00000"))</f>
        <v/>
      </c>
      <c r="B3578" s="3">
        <f>IF(D3578="","",IF(V3578=0,"CONCLUÍDO",IF(D3578&lt;corte,"HISTÓRICO",IF(OR(AND(ISNUMBER(R3578),R3578&lt;TODAY()),AND(OR(N3578="PENDENTE",N3578="PARCIAL"),D3578&lt;TODAY()-1)),"CRÍTICO",IF(OR(AND(P3578&lt;&gt;"",S3578=""),AND(N3578="REALIZADO",M3578="PENDENTE"),AND(ISNUMBER(R3578),R3578=TODAY())),"ATENÇÃO",IF(N(K3578)=0,"PENDENTE","EM ANDAMENTO"))))))</f>
        <v/>
      </c>
      <c r="C3578" s="3">
        <f>IF(D3578="","",IF(V3578=0,"🟢 OK",IF(D3578&lt;corte,"⚪ HISTÓRICO (sem baixa)",IF(AND(ISNUMBER(R3578),R3578&lt;TODAY()),"🔴 PRAZO VENCIDO",IF(AND(OR(N3578="PENDENTE",N3578="PARCIAL"),D3578&lt;TODAY()-1),"🔴 EMBARQUE ATRASADO",IF(AND(N3578="REALIZADO",M3578="PENDENTE"),"🟡 EMBARCADO SEM FATURAR",IF(AND(P3578&lt;&gt;"",S3578="",OR(Q3578="",R3578="")),"🟡 PENDÊNCIA SEM RESPONSÁVEL/PRAZO",IF(AND(ISNUMBER(R3578),R3578=TODAY()),"🟡 VENCE HOJE",IF(AND(P3578&lt;&gt;"",S3578=""),"🟡 PENDÊNCIA ABERTA",IF(AND(N(J3578)&gt;0,N(K3578)&lt;J3578),"🟡 FALTA EXECUTAR",IF(OR(M3578="PENDENTE",M3578="PARCIAL"),"🟡 FATURAMENTO PENDENTE","🟡 EMBARQUE PENDENTE")))))))))))</f>
        <v/>
      </c>
      <c r="D3578" s="4" t="n"/>
      <c r="E3578" s="5" t="n"/>
      <c r="F3578" s="5" t="n"/>
      <c r="G3578" s="5" t="n"/>
      <c r="H3578" s="5" t="n"/>
      <c r="I3578" s="5" t="n"/>
      <c r="J3578" s="6" t="n"/>
      <c r="K3578" s="6" t="n"/>
      <c r="L3578" s="7">
        <f>IF(OR(D3578="",N(J3578)=0),"",MIN(1,N(K3578)/J3578))</f>
        <v/>
      </c>
      <c r="M3578" s="5" t="n"/>
      <c r="N3578" s="5" t="n"/>
      <c r="O3578" s="5" t="n"/>
      <c r="P3578" s="5" t="n"/>
      <c r="Q3578" s="5" t="n"/>
      <c r="R3578" s="4" t="n"/>
      <c r="S3578" s="4" t="n"/>
      <c r="T3578" s="5" t="n"/>
      <c r="U3578" s="8">
        <f>IF(AND(V3578=1,D3578&lt;&gt;""),IF(D3578&gt;=corte,TODAY()-D3578,""),"")</f>
        <v/>
      </c>
      <c r="V3578" s="8">
        <f>IF(D3578="",0,IF(OR(AND(P3578&lt;&gt;"",S3578=""),AND(N(J3578)&gt;0,N(K3578)&lt;J3578),OR(M3578="PENDENTE",M3578="PARCIAL"),OR(N3578="PENDENTE",N3578="PARCIAL")),1,0))</f>
        <v/>
      </c>
      <c r="W3578" s="8">
        <f>IF(AND(V3578=1,D3578&lt;&gt;""),IF(D3578&gt;=corte,(B3578="CRÍTICO")*1E9+(100000-D3578)*10000+10000-ROW(),""),"")</f>
        <v/>
      </c>
      <c r="X3578" s="8">
        <f>IF(AND(V3578=1,D3578=pas_data,E3578=pas_turno),10000-ROW(),"")</f>
        <v/>
      </c>
    </row>
    <row r="3579">
      <c r="A3579" s="3">
        <f>IF(D3579="","","TT-"&amp;TEXT(ROW()-1,"00000"))</f>
        <v/>
      </c>
      <c r="B3579" s="3">
        <f>IF(D3579="","",IF(V3579=0,"CONCLUÍDO",IF(D3579&lt;corte,"HISTÓRICO",IF(OR(AND(ISNUMBER(R3579),R3579&lt;TODAY()),AND(OR(N3579="PENDENTE",N3579="PARCIAL"),D3579&lt;TODAY()-1)),"CRÍTICO",IF(OR(AND(P3579&lt;&gt;"",S3579=""),AND(N3579="REALIZADO",M3579="PENDENTE"),AND(ISNUMBER(R3579),R3579=TODAY())),"ATENÇÃO",IF(N(K3579)=0,"PENDENTE","EM ANDAMENTO"))))))</f>
        <v/>
      </c>
      <c r="C3579" s="3">
        <f>IF(D3579="","",IF(V3579=0,"🟢 OK",IF(D3579&lt;corte,"⚪ HISTÓRICO (sem baixa)",IF(AND(ISNUMBER(R3579),R3579&lt;TODAY()),"🔴 PRAZO VENCIDO",IF(AND(OR(N3579="PENDENTE",N3579="PARCIAL"),D3579&lt;TODAY()-1),"🔴 EMBARQUE ATRASADO",IF(AND(N3579="REALIZADO",M3579="PENDENTE"),"🟡 EMBARCADO SEM FATURAR",IF(AND(P3579&lt;&gt;"",S3579="",OR(Q3579="",R3579="")),"🟡 PENDÊNCIA SEM RESPONSÁVEL/PRAZO",IF(AND(ISNUMBER(R3579),R3579=TODAY()),"🟡 VENCE HOJE",IF(AND(P3579&lt;&gt;"",S3579=""),"🟡 PENDÊNCIA ABERTA",IF(AND(N(J3579)&gt;0,N(K3579)&lt;J3579),"🟡 FALTA EXECUTAR",IF(OR(M3579="PENDENTE",M3579="PARCIAL"),"🟡 FATURAMENTO PENDENTE","🟡 EMBARQUE PENDENTE")))))))))))</f>
        <v/>
      </c>
      <c r="D3579" s="4" t="n"/>
      <c r="E3579" s="5" t="n"/>
      <c r="F3579" s="5" t="n"/>
      <c r="G3579" s="5" t="n"/>
      <c r="H3579" s="5" t="n"/>
      <c r="I3579" s="5" t="n"/>
      <c r="J3579" s="6" t="n"/>
      <c r="K3579" s="6" t="n"/>
      <c r="L3579" s="7">
        <f>IF(OR(D3579="",N(J3579)=0),"",MIN(1,N(K3579)/J3579))</f>
        <v/>
      </c>
      <c r="M3579" s="5" t="n"/>
      <c r="N3579" s="5" t="n"/>
      <c r="O3579" s="5" t="n"/>
      <c r="P3579" s="5" t="n"/>
      <c r="Q3579" s="5" t="n"/>
      <c r="R3579" s="4" t="n"/>
      <c r="S3579" s="4" t="n"/>
      <c r="T3579" s="5" t="n"/>
      <c r="U3579" s="8">
        <f>IF(AND(V3579=1,D3579&lt;&gt;""),IF(D3579&gt;=corte,TODAY()-D3579,""),"")</f>
        <v/>
      </c>
      <c r="V3579" s="8">
        <f>IF(D3579="",0,IF(OR(AND(P3579&lt;&gt;"",S3579=""),AND(N(J3579)&gt;0,N(K3579)&lt;J3579),OR(M3579="PENDENTE",M3579="PARCIAL"),OR(N3579="PENDENTE",N3579="PARCIAL")),1,0))</f>
        <v/>
      </c>
      <c r="W3579" s="8">
        <f>IF(AND(V3579=1,D3579&lt;&gt;""),IF(D3579&gt;=corte,(B3579="CRÍTICO")*1E9+(100000-D3579)*10000+10000-ROW(),""),"")</f>
        <v/>
      </c>
      <c r="X3579" s="8">
        <f>IF(AND(V3579=1,D3579=pas_data,E3579=pas_turno),10000-ROW(),"")</f>
        <v/>
      </c>
    </row>
    <row r="3580">
      <c r="A3580" s="3">
        <f>IF(D3580="","","TT-"&amp;TEXT(ROW()-1,"00000"))</f>
        <v/>
      </c>
      <c r="B3580" s="3">
        <f>IF(D3580="","",IF(V3580=0,"CONCLUÍDO",IF(D3580&lt;corte,"HISTÓRICO",IF(OR(AND(ISNUMBER(R3580),R3580&lt;TODAY()),AND(OR(N3580="PENDENTE",N3580="PARCIAL"),D3580&lt;TODAY()-1)),"CRÍTICO",IF(OR(AND(P3580&lt;&gt;"",S3580=""),AND(N3580="REALIZADO",M3580="PENDENTE"),AND(ISNUMBER(R3580),R3580=TODAY())),"ATENÇÃO",IF(N(K3580)=0,"PENDENTE","EM ANDAMENTO"))))))</f>
        <v/>
      </c>
      <c r="C3580" s="3">
        <f>IF(D3580="","",IF(V3580=0,"🟢 OK",IF(D3580&lt;corte,"⚪ HISTÓRICO (sem baixa)",IF(AND(ISNUMBER(R3580),R3580&lt;TODAY()),"🔴 PRAZO VENCIDO",IF(AND(OR(N3580="PENDENTE",N3580="PARCIAL"),D3580&lt;TODAY()-1),"🔴 EMBARQUE ATRASADO",IF(AND(N3580="REALIZADO",M3580="PENDENTE"),"🟡 EMBARCADO SEM FATURAR",IF(AND(P3580&lt;&gt;"",S3580="",OR(Q3580="",R3580="")),"🟡 PENDÊNCIA SEM RESPONSÁVEL/PRAZO",IF(AND(ISNUMBER(R3580),R3580=TODAY()),"🟡 VENCE HOJE",IF(AND(P3580&lt;&gt;"",S3580=""),"🟡 PENDÊNCIA ABERTA",IF(AND(N(J3580)&gt;0,N(K3580)&lt;J3580),"🟡 FALTA EXECUTAR",IF(OR(M3580="PENDENTE",M3580="PARCIAL"),"🟡 FATURAMENTO PENDENTE","🟡 EMBARQUE PENDENTE")))))))))))</f>
        <v/>
      </c>
      <c r="D3580" s="4" t="n"/>
      <c r="E3580" s="5" t="n"/>
      <c r="F3580" s="5" t="n"/>
      <c r="G3580" s="5" t="n"/>
      <c r="H3580" s="5" t="n"/>
      <c r="I3580" s="5" t="n"/>
      <c r="J3580" s="6" t="n"/>
      <c r="K3580" s="6" t="n"/>
      <c r="L3580" s="7">
        <f>IF(OR(D3580="",N(J3580)=0),"",MIN(1,N(K3580)/J3580))</f>
        <v/>
      </c>
      <c r="M3580" s="5" t="n"/>
      <c r="N3580" s="5" t="n"/>
      <c r="O3580" s="5" t="n"/>
      <c r="P3580" s="5" t="n"/>
      <c r="Q3580" s="5" t="n"/>
      <c r="R3580" s="4" t="n"/>
      <c r="S3580" s="4" t="n"/>
      <c r="T3580" s="5" t="n"/>
      <c r="U3580" s="8">
        <f>IF(AND(V3580=1,D3580&lt;&gt;""),IF(D3580&gt;=corte,TODAY()-D3580,""),"")</f>
        <v/>
      </c>
      <c r="V3580" s="8">
        <f>IF(D3580="",0,IF(OR(AND(P3580&lt;&gt;"",S3580=""),AND(N(J3580)&gt;0,N(K3580)&lt;J3580),OR(M3580="PENDENTE",M3580="PARCIAL"),OR(N3580="PENDENTE",N3580="PARCIAL")),1,0))</f>
        <v/>
      </c>
      <c r="W3580" s="8">
        <f>IF(AND(V3580=1,D3580&lt;&gt;""),IF(D3580&gt;=corte,(B3580="CRÍTICO")*1E9+(100000-D3580)*10000+10000-ROW(),""),"")</f>
        <v/>
      </c>
      <c r="X3580" s="8">
        <f>IF(AND(V3580=1,D3580=pas_data,E3580=pas_turno),10000-ROW(),"")</f>
        <v/>
      </c>
    </row>
    <row r="3581">
      <c r="A3581" s="3">
        <f>IF(D3581="","","TT-"&amp;TEXT(ROW()-1,"00000"))</f>
        <v/>
      </c>
      <c r="B3581" s="3">
        <f>IF(D3581="","",IF(V3581=0,"CONCLUÍDO",IF(D3581&lt;corte,"HISTÓRICO",IF(OR(AND(ISNUMBER(R3581),R3581&lt;TODAY()),AND(OR(N3581="PENDENTE",N3581="PARCIAL"),D3581&lt;TODAY()-1)),"CRÍTICO",IF(OR(AND(P3581&lt;&gt;"",S3581=""),AND(N3581="REALIZADO",M3581="PENDENTE"),AND(ISNUMBER(R3581),R3581=TODAY())),"ATENÇÃO",IF(N(K3581)=0,"PENDENTE","EM ANDAMENTO"))))))</f>
        <v/>
      </c>
      <c r="C3581" s="3">
        <f>IF(D3581="","",IF(V3581=0,"🟢 OK",IF(D3581&lt;corte,"⚪ HISTÓRICO (sem baixa)",IF(AND(ISNUMBER(R3581),R3581&lt;TODAY()),"🔴 PRAZO VENCIDO",IF(AND(OR(N3581="PENDENTE",N3581="PARCIAL"),D3581&lt;TODAY()-1),"🔴 EMBARQUE ATRASADO",IF(AND(N3581="REALIZADO",M3581="PENDENTE"),"🟡 EMBARCADO SEM FATURAR",IF(AND(P3581&lt;&gt;"",S3581="",OR(Q3581="",R3581="")),"🟡 PENDÊNCIA SEM RESPONSÁVEL/PRAZO",IF(AND(ISNUMBER(R3581),R3581=TODAY()),"🟡 VENCE HOJE",IF(AND(P3581&lt;&gt;"",S3581=""),"🟡 PENDÊNCIA ABERTA",IF(AND(N(J3581)&gt;0,N(K3581)&lt;J3581),"🟡 FALTA EXECUTAR",IF(OR(M3581="PENDENTE",M3581="PARCIAL"),"🟡 FATURAMENTO PENDENTE","🟡 EMBARQUE PENDENTE")))))))))))</f>
        <v/>
      </c>
      <c r="D3581" s="4" t="n"/>
      <c r="E3581" s="5" t="n"/>
      <c r="F3581" s="5" t="n"/>
      <c r="G3581" s="5" t="n"/>
      <c r="H3581" s="5" t="n"/>
      <c r="I3581" s="5" t="n"/>
      <c r="J3581" s="6" t="n"/>
      <c r="K3581" s="6" t="n"/>
      <c r="L3581" s="7">
        <f>IF(OR(D3581="",N(J3581)=0),"",MIN(1,N(K3581)/J3581))</f>
        <v/>
      </c>
      <c r="M3581" s="5" t="n"/>
      <c r="N3581" s="5" t="n"/>
      <c r="O3581" s="5" t="n"/>
      <c r="P3581" s="5" t="n"/>
      <c r="Q3581" s="5" t="n"/>
      <c r="R3581" s="4" t="n"/>
      <c r="S3581" s="4" t="n"/>
      <c r="T3581" s="5" t="n"/>
      <c r="U3581" s="8">
        <f>IF(AND(V3581=1,D3581&lt;&gt;""),IF(D3581&gt;=corte,TODAY()-D3581,""),"")</f>
        <v/>
      </c>
      <c r="V3581" s="8">
        <f>IF(D3581="",0,IF(OR(AND(P3581&lt;&gt;"",S3581=""),AND(N(J3581)&gt;0,N(K3581)&lt;J3581),OR(M3581="PENDENTE",M3581="PARCIAL"),OR(N3581="PENDENTE",N3581="PARCIAL")),1,0))</f>
        <v/>
      </c>
      <c r="W3581" s="8">
        <f>IF(AND(V3581=1,D3581&lt;&gt;""),IF(D3581&gt;=corte,(B3581="CRÍTICO")*1E9+(100000-D3581)*10000+10000-ROW(),""),"")</f>
        <v/>
      </c>
      <c r="X3581" s="8">
        <f>IF(AND(V3581=1,D3581=pas_data,E3581=pas_turno),10000-ROW(),"")</f>
        <v/>
      </c>
    </row>
    <row r="3582">
      <c r="A3582" s="3">
        <f>IF(D3582="","","TT-"&amp;TEXT(ROW()-1,"00000"))</f>
        <v/>
      </c>
      <c r="B3582" s="3">
        <f>IF(D3582="","",IF(V3582=0,"CONCLUÍDO",IF(D3582&lt;corte,"HISTÓRICO",IF(OR(AND(ISNUMBER(R3582),R3582&lt;TODAY()),AND(OR(N3582="PENDENTE",N3582="PARCIAL"),D3582&lt;TODAY()-1)),"CRÍTICO",IF(OR(AND(P3582&lt;&gt;"",S3582=""),AND(N3582="REALIZADO",M3582="PENDENTE"),AND(ISNUMBER(R3582),R3582=TODAY())),"ATENÇÃO",IF(N(K3582)=0,"PENDENTE","EM ANDAMENTO"))))))</f>
        <v/>
      </c>
      <c r="C3582" s="3">
        <f>IF(D3582="","",IF(V3582=0,"🟢 OK",IF(D3582&lt;corte,"⚪ HISTÓRICO (sem baixa)",IF(AND(ISNUMBER(R3582),R3582&lt;TODAY()),"🔴 PRAZO VENCIDO",IF(AND(OR(N3582="PENDENTE",N3582="PARCIAL"),D3582&lt;TODAY()-1),"🔴 EMBARQUE ATRASADO",IF(AND(N3582="REALIZADO",M3582="PENDENTE"),"🟡 EMBARCADO SEM FATURAR",IF(AND(P3582&lt;&gt;"",S3582="",OR(Q3582="",R3582="")),"🟡 PENDÊNCIA SEM RESPONSÁVEL/PRAZO",IF(AND(ISNUMBER(R3582),R3582=TODAY()),"🟡 VENCE HOJE",IF(AND(P3582&lt;&gt;"",S3582=""),"🟡 PENDÊNCIA ABERTA",IF(AND(N(J3582)&gt;0,N(K3582)&lt;J3582),"🟡 FALTA EXECUTAR",IF(OR(M3582="PENDENTE",M3582="PARCIAL"),"🟡 FATURAMENTO PENDENTE","🟡 EMBARQUE PENDENTE")))))))))))</f>
        <v/>
      </c>
      <c r="D3582" s="4" t="n"/>
      <c r="E3582" s="5" t="n"/>
      <c r="F3582" s="5" t="n"/>
      <c r="G3582" s="5" t="n"/>
      <c r="H3582" s="5" t="n"/>
      <c r="I3582" s="5" t="n"/>
      <c r="J3582" s="6" t="n"/>
      <c r="K3582" s="6" t="n"/>
      <c r="L3582" s="7">
        <f>IF(OR(D3582="",N(J3582)=0),"",MIN(1,N(K3582)/J3582))</f>
        <v/>
      </c>
      <c r="M3582" s="5" t="n"/>
      <c r="N3582" s="5" t="n"/>
      <c r="O3582" s="5" t="n"/>
      <c r="P3582" s="5" t="n"/>
      <c r="Q3582" s="5" t="n"/>
      <c r="R3582" s="4" t="n"/>
      <c r="S3582" s="4" t="n"/>
      <c r="T3582" s="5" t="n"/>
      <c r="U3582" s="8">
        <f>IF(AND(V3582=1,D3582&lt;&gt;""),IF(D3582&gt;=corte,TODAY()-D3582,""),"")</f>
        <v/>
      </c>
      <c r="V3582" s="8">
        <f>IF(D3582="",0,IF(OR(AND(P3582&lt;&gt;"",S3582=""),AND(N(J3582)&gt;0,N(K3582)&lt;J3582),OR(M3582="PENDENTE",M3582="PARCIAL"),OR(N3582="PENDENTE",N3582="PARCIAL")),1,0))</f>
        <v/>
      </c>
      <c r="W3582" s="8">
        <f>IF(AND(V3582=1,D3582&lt;&gt;""),IF(D3582&gt;=corte,(B3582="CRÍTICO")*1E9+(100000-D3582)*10000+10000-ROW(),""),"")</f>
        <v/>
      </c>
      <c r="X3582" s="8">
        <f>IF(AND(V3582=1,D3582=pas_data,E3582=pas_turno),10000-ROW(),"")</f>
        <v/>
      </c>
    </row>
    <row r="3583">
      <c r="A3583" s="3">
        <f>IF(D3583="","","TT-"&amp;TEXT(ROW()-1,"00000"))</f>
        <v/>
      </c>
      <c r="B3583" s="3">
        <f>IF(D3583="","",IF(V3583=0,"CONCLUÍDO",IF(D3583&lt;corte,"HISTÓRICO",IF(OR(AND(ISNUMBER(R3583),R3583&lt;TODAY()),AND(OR(N3583="PENDENTE",N3583="PARCIAL"),D3583&lt;TODAY()-1)),"CRÍTICO",IF(OR(AND(P3583&lt;&gt;"",S3583=""),AND(N3583="REALIZADO",M3583="PENDENTE"),AND(ISNUMBER(R3583),R3583=TODAY())),"ATENÇÃO",IF(N(K3583)=0,"PENDENTE","EM ANDAMENTO"))))))</f>
        <v/>
      </c>
      <c r="C3583" s="3">
        <f>IF(D3583="","",IF(V3583=0,"🟢 OK",IF(D3583&lt;corte,"⚪ HISTÓRICO (sem baixa)",IF(AND(ISNUMBER(R3583),R3583&lt;TODAY()),"🔴 PRAZO VENCIDO",IF(AND(OR(N3583="PENDENTE",N3583="PARCIAL"),D3583&lt;TODAY()-1),"🔴 EMBARQUE ATRASADO",IF(AND(N3583="REALIZADO",M3583="PENDENTE"),"🟡 EMBARCADO SEM FATURAR",IF(AND(P3583&lt;&gt;"",S3583="",OR(Q3583="",R3583="")),"🟡 PENDÊNCIA SEM RESPONSÁVEL/PRAZO",IF(AND(ISNUMBER(R3583),R3583=TODAY()),"🟡 VENCE HOJE",IF(AND(P3583&lt;&gt;"",S3583=""),"🟡 PENDÊNCIA ABERTA",IF(AND(N(J3583)&gt;0,N(K3583)&lt;J3583),"🟡 FALTA EXECUTAR",IF(OR(M3583="PENDENTE",M3583="PARCIAL"),"🟡 FATURAMENTO PENDENTE","🟡 EMBARQUE PENDENTE")))))))))))</f>
        <v/>
      </c>
      <c r="D3583" s="4" t="n"/>
      <c r="E3583" s="5" t="n"/>
      <c r="F3583" s="5" t="n"/>
      <c r="G3583" s="5" t="n"/>
      <c r="H3583" s="5" t="n"/>
      <c r="I3583" s="5" t="n"/>
      <c r="J3583" s="6" t="n"/>
      <c r="K3583" s="6" t="n"/>
      <c r="L3583" s="7">
        <f>IF(OR(D3583="",N(J3583)=0),"",MIN(1,N(K3583)/J3583))</f>
        <v/>
      </c>
      <c r="M3583" s="5" t="n"/>
      <c r="N3583" s="5" t="n"/>
      <c r="O3583" s="5" t="n"/>
      <c r="P3583" s="5" t="n"/>
      <c r="Q3583" s="5" t="n"/>
      <c r="R3583" s="4" t="n"/>
      <c r="S3583" s="4" t="n"/>
      <c r="T3583" s="5" t="n"/>
      <c r="U3583" s="8">
        <f>IF(AND(V3583=1,D3583&lt;&gt;""),IF(D3583&gt;=corte,TODAY()-D3583,""),"")</f>
        <v/>
      </c>
      <c r="V3583" s="8">
        <f>IF(D3583="",0,IF(OR(AND(P3583&lt;&gt;"",S3583=""),AND(N(J3583)&gt;0,N(K3583)&lt;J3583),OR(M3583="PENDENTE",M3583="PARCIAL"),OR(N3583="PENDENTE",N3583="PARCIAL")),1,0))</f>
        <v/>
      </c>
      <c r="W3583" s="8">
        <f>IF(AND(V3583=1,D3583&lt;&gt;""),IF(D3583&gt;=corte,(B3583="CRÍTICO")*1E9+(100000-D3583)*10000+10000-ROW(),""),"")</f>
        <v/>
      </c>
      <c r="X3583" s="8">
        <f>IF(AND(V3583=1,D3583=pas_data,E3583=pas_turno),10000-ROW(),"")</f>
        <v/>
      </c>
    </row>
    <row r="3584">
      <c r="A3584" s="3">
        <f>IF(D3584="","","TT-"&amp;TEXT(ROW()-1,"00000"))</f>
        <v/>
      </c>
      <c r="B3584" s="3">
        <f>IF(D3584="","",IF(V3584=0,"CONCLUÍDO",IF(D3584&lt;corte,"HISTÓRICO",IF(OR(AND(ISNUMBER(R3584),R3584&lt;TODAY()),AND(OR(N3584="PENDENTE",N3584="PARCIAL"),D3584&lt;TODAY()-1)),"CRÍTICO",IF(OR(AND(P3584&lt;&gt;"",S3584=""),AND(N3584="REALIZADO",M3584="PENDENTE"),AND(ISNUMBER(R3584),R3584=TODAY())),"ATENÇÃO",IF(N(K3584)=0,"PENDENTE","EM ANDAMENTO"))))))</f>
        <v/>
      </c>
      <c r="C3584" s="3">
        <f>IF(D3584="","",IF(V3584=0,"🟢 OK",IF(D3584&lt;corte,"⚪ HISTÓRICO (sem baixa)",IF(AND(ISNUMBER(R3584),R3584&lt;TODAY()),"🔴 PRAZO VENCIDO",IF(AND(OR(N3584="PENDENTE",N3584="PARCIAL"),D3584&lt;TODAY()-1),"🔴 EMBARQUE ATRASADO",IF(AND(N3584="REALIZADO",M3584="PENDENTE"),"🟡 EMBARCADO SEM FATURAR",IF(AND(P3584&lt;&gt;"",S3584="",OR(Q3584="",R3584="")),"🟡 PENDÊNCIA SEM RESPONSÁVEL/PRAZO",IF(AND(ISNUMBER(R3584),R3584=TODAY()),"🟡 VENCE HOJE",IF(AND(P3584&lt;&gt;"",S3584=""),"🟡 PENDÊNCIA ABERTA",IF(AND(N(J3584)&gt;0,N(K3584)&lt;J3584),"🟡 FALTA EXECUTAR",IF(OR(M3584="PENDENTE",M3584="PARCIAL"),"🟡 FATURAMENTO PENDENTE","🟡 EMBARQUE PENDENTE")))))))))))</f>
        <v/>
      </c>
      <c r="D3584" s="4" t="n"/>
      <c r="E3584" s="5" t="n"/>
      <c r="F3584" s="5" t="n"/>
      <c r="G3584" s="5" t="n"/>
      <c r="H3584" s="5" t="n"/>
      <c r="I3584" s="5" t="n"/>
      <c r="J3584" s="6" t="n"/>
      <c r="K3584" s="6" t="n"/>
      <c r="L3584" s="7">
        <f>IF(OR(D3584="",N(J3584)=0),"",MIN(1,N(K3584)/J3584))</f>
        <v/>
      </c>
      <c r="M3584" s="5" t="n"/>
      <c r="N3584" s="5" t="n"/>
      <c r="O3584" s="5" t="n"/>
      <c r="P3584" s="5" t="n"/>
      <c r="Q3584" s="5" t="n"/>
      <c r="R3584" s="4" t="n"/>
      <c r="S3584" s="4" t="n"/>
      <c r="T3584" s="5" t="n"/>
      <c r="U3584" s="8">
        <f>IF(AND(V3584=1,D3584&lt;&gt;""),IF(D3584&gt;=corte,TODAY()-D3584,""),"")</f>
        <v/>
      </c>
      <c r="V3584" s="8">
        <f>IF(D3584="",0,IF(OR(AND(P3584&lt;&gt;"",S3584=""),AND(N(J3584)&gt;0,N(K3584)&lt;J3584),OR(M3584="PENDENTE",M3584="PARCIAL"),OR(N3584="PENDENTE",N3584="PARCIAL")),1,0))</f>
        <v/>
      </c>
      <c r="W3584" s="8">
        <f>IF(AND(V3584=1,D3584&lt;&gt;""),IF(D3584&gt;=corte,(B3584="CRÍTICO")*1E9+(100000-D3584)*10000+10000-ROW(),""),"")</f>
        <v/>
      </c>
      <c r="X3584" s="8">
        <f>IF(AND(V3584=1,D3584=pas_data,E3584=pas_turno),10000-ROW(),"")</f>
        <v/>
      </c>
    </row>
    <row r="3585">
      <c r="A3585" s="3">
        <f>IF(D3585="","","TT-"&amp;TEXT(ROW()-1,"00000"))</f>
        <v/>
      </c>
      <c r="B3585" s="3">
        <f>IF(D3585="","",IF(V3585=0,"CONCLUÍDO",IF(D3585&lt;corte,"HISTÓRICO",IF(OR(AND(ISNUMBER(R3585),R3585&lt;TODAY()),AND(OR(N3585="PENDENTE",N3585="PARCIAL"),D3585&lt;TODAY()-1)),"CRÍTICO",IF(OR(AND(P3585&lt;&gt;"",S3585=""),AND(N3585="REALIZADO",M3585="PENDENTE"),AND(ISNUMBER(R3585),R3585=TODAY())),"ATENÇÃO",IF(N(K3585)=0,"PENDENTE","EM ANDAMENTO"))))))</f>
        <v/>
      </c>
      <c r="C3585" s="3">
        <f>IF(D3585="","",IF(V3585=0,"🟢 OK",IF(D3585&lt;corte,"⚪ HISTÓRICO (sem baixa)",IF(AND(ISNUMBER(R3585),R3585&lt;TODAY()),"🔴 PRAZO VENCIDO",IF(AND(OR(N3585="PENDENTE",N3585="PARCIAL"),D3585&lt;TODAY()-1),"🔴 EMBARQUE ATRASADO",IF(AND(N3585="REALIZADO",M3585="PENDENTE"),"🟡 EMBARCADO SEM FATURAR",IF(AND(P3585&lt;&gt;"",S3585="",OR(Q3585="",R3585="")),"🟡 PENDÊNCIA SEM RESPONSÁVEL/PRAZO",IF(AND(ISNUMBER(R3585),R3585=TODAY()),"🟡 VENCE HOJE",IF(AND(P3585&lt;&gt;"",S3585=""),"🟡 PENDÊNCIA ABERTA",IF(AND(N(J3585)&gt;0,N(K3585)&lt;J3585),"🟡 FALTA EXECUTAR",IF(OR(M3585="PENDENTE",M3585="PARCIAL"),"🟡 FATURAMENTO PENDENTE","🟡 EMBARQUE PENDENTE")))))))))))</f>
        <v/>
      </c>
      <c r="D3585" s="4" t="n"/>
      <c r="E3585" s="5" t="n"/>
      <c r="F3585" s="5" t="n"/>
      <c r="G3585" s="5" t="n"/>
      <c r="H3585" s="5" t="n"/>
      <c r="I3585" s="5" t="n"/>
      <c r="J3585" s="6" t="n"/>
      <c r="K3585" s="6" t="n"/>
      <c r="L3585" s="7">
        <f>IF(OR(D3585="",N(J3585)=0),"",MIN(1,N(K3585)/J3585))</f>
        <v/>
      </c>
      <c r="M3585" s="5" t="n"/>
      <c r="N3585" s="5" t="n"/>
      <c r="O3585" s="5" t="n"/>
      <c r="P3585" s="5" t="n"/>
      <c r="Q3585" s="5" t="n"/>
      <c r="R3585" s="4" t="n"/>
      <c r="S3585" s="4" t="n"/>
      <c r="T3585" s="5" t="n"/>
      <c r="U3585" s="8">
        <f>IF(AND(V3585=1,D3585&lt;&gt;""),IF(D3585&gt;=corte,TODAY()-D3585,""),"")</f>
        <v/>
      </c>
      <c r="V3585" s="8">
        <f>IF(D3585="",0,IF(OR(AND(P3585&lt;&gt;"",S3585=""),AND(N(J3585)&gt;0,N(K3585)&lt;J3585),OR(M3585="PENDENTE",M3585="PARCIAL"),OR(N3585="PENDENTE",N3585="PARCIAL")),1,0))</f>
        <v/>
      </c>
      <c r="W3585" s="8">
        <f>IF(AND(V3585=1,D3585&lt;&gt;""),IF(D3585&gt;=corte,(B3585="CRÍTICO")*1E9+(100000-D3585)*10000+10000-ROW(),""),"")</f>
        <v/>
      </c>
      <c r="X3585" s="8">
        <f>IF(AND(V3585=1,D3585=pas_data,E3585=pas_turno),10000-ROW(),"")</f>
        <v/>
      </c>
    </row>
    <row r="3586">
      <c r="A3586" s="3">
        <f>IF(D3586="","","TT-"&amp;TEXT(ROW()-1,"00000"))</f>
        <v/>
      </c>
      <c r="B3586" s="3">
        <f>IF(D3586="","",IF(V3586=0,"CONCLUÍDO",IF(D3586&lt;corte,"HISTÓRICO",IF(OR(AND(ISNUMBER(R3586),R3586&lt;TODAY()),AND(OR(N3586="PENDENTE",N3586="PARCIAL"),D3586&lt;TODAY()-1)),"CRÍTICO",IF(OR(AND(P3586&lt;&gt;"",S3586=""),AND(N3586="REALIZADO",M3586="PENDENTE"),AND(ISNUMBER(R3586),R3586=TODAY())),"ATENÇÃO",IF(N(K3586)=0,"PENDENTE","EM ANDAMENTO"))))))</f>
        <v/>
      </c>
      <c r="C3586" s="3">
        <f>IF(D3586="","",IF(V3586=0,"🟢 OK",IF(D3586&lt;corte,"⚪ HISTÓRICO (sem baixa)",IF(AND(ISNUMBER(R3586),R3586&lt;TODAY()),"🔴 PRAZO VENCIDO",IF(AND(OR(N3586="PENDENTE",N3586="PARCIAL"),D3586&lt;TODAY()-1),"🔴 EMBARQUE ATRASADO",IF(AND(N3586="REALIZADO",M3586="PENDENTE"),"🟡 EMBARCADO SEM FATURAR",IF(AND(P3586&lt;&gt;"",S3586="",OR(Q3586="",R3586="")),"🟡 PENDÊNCIA SEM RESPONSÁVEL/PRAZO",IF(AND(ISNUMBER(R3586),R3586=TODAY()),"🟡 VENCE HOJE",IF(AND(P3586&lt;&gt;"",S3586=""),"🟡 PENDÊNCIA ABERTA",IF(AND(N(J3586)&gt;0,N(K3586)&lt;J3586),"🟡 FALTA EXECUTAR",IF(OR(M3586="PENDENTE",M3586="PARCIAL"),"🟡 FATURAMENTO PENDENTE","🟡 EMBARQUE PENDENTE")))))))))))</f>
        <v/>
      </c>
      <c r="D3586" s="4" t="n"/>
      <c r="E3586" s="5" t="n"/>
      <c r="F3586" s="5" t="n"/>
      <c r="G3586" s="5" t="n"/>
      <c r="H3586" s="5" t="n"/>
      <c r="I3586" s="5" t="n"/>
      <c r="J3586" s="6" t="n"/>
      <c r="K3586" s="6" t="n"/>
      <c r="L3586" s="7">
        <f>IF(OR(D3586="",N(J3586)=0),"",MIN(1,N(K3586)/J3586))</f>
        <v/>
      </c>
      <c r="M3586" s="5" t="n"/>
      <c r="N3586" s="5" t="n"/>
      <c r="O3586" s="5" t="n"/>
      <c r="P3586" s="5" t="n"/>
      <c r="Q3586" s="5" t="n"/>
      <c r="R3586" s="4" t="n"/>
      <c r="S3586" s="4" t="n"/>
      <c r="T3586" s="5" t="n"/>
      <c r="U3586" s="8">
        <f>IF(AND(V3586=1,D3586&lt;&gt;""),IF(D3586&gt;=corte,TODAY()-D3586,""),"")</f>
        <v/>
      </c>
      <c r="V3586" s="8">
        <f>IF(D3586="",0,IF(OR(AND(P3586&lt;&gt;"",S3586=""),AND(N(J3586)&gt;0,N(K3586)&lt;J3586),OR(M3586="PENDENTE",M3586="PARCIAL"),OR(N3586="PENDENTE",N3586="PARCIAL")),1,0))</f>
        <v/>
      </c>
      <c r="W3586" s="8">
        <f>IF(AND(V3586=1,D3586&lt;&gt;""),IF(D3586&gt;=corte,(B3586="CRÍTICO")*1E9+(100000-D3586)*10000+10000-ROW(),""),"")</f>
        <v/>
      </c>
      <c r="X3586" s="8">
        <f>IF(AND(V3586=1,D3586=pas_data,E3586=pas_turno),10000-ROW(),"")</f>
        <v/>
      </c>
    </row>
    <row r="3587">
      <c r="A3587" s="3">
        <f>IF(D3587="","","TT-"&amp;TEXT(ROW()-1,"00000"))</f>
        <v/>
      </c>
      <c r="B3587" s="3">
        <f>IF(D3587="","",IF(V3587=0,"CONCLUÍDO",IF(D3587&lt;corte,"HISTÓRICO",IF(OR(AND(ISNUMBER(R3587),R3587&lt;TODAY()),AND(OR(N3587="PENDENTE",N3587="PARCIAL"),D3587&lt;TODAY()-1)),"CRÍTICO",IF(OR(AND(P3587&lt;&gt;"",S3587=""),AND(N3587="REALIZADO",M3587="PENDENTE"),AND(ISNUMBER(R3587),R3587=TODAY())),"ATENÇÃO",IF(N(K3587)=0,"PENDENTE","EM ANDAMENTO"))))))</f>
        <v/>
      </c>
      <c r="C3587" s="3">
        <f>IF(D3587="","",IF(V3587=0,"🟢 OK",IF(D3587&lt;corte,"⚪ HISTÓRICO (sem baixa)",IF(AND(ISNUMBER(R3587),R3587&lt;TODAY()),"🔴 PRAZO VENCIDO",IF(AND(OR(N3587="PENDENTE",N3587="PARCIAL"),D3587&lt;TODAY()-1),"🔴 EMBARQUE ATRASADO",IF(AND(N3587="REALIZADO",M3587="PENDENTE"),"🟡 EMBARCADO SEM FATURAR",IF(AND(P3587&lt;&gt;"",S3587="",OR(Q3587="",R3587="")),"🟡 PENDÊNCIA SEM RESPONSÁVEL/PRAZO",IF(AND(ISNUMBER(R3587),R3587=TODAY()),"🟡 VENCE HOJE",IF(AND(P3587&lt;&gt;"",S3587=""),"🟡 PENDÊNCIA ABERTA",IF(AND(N(J3587)&gt;0,N(K3587)&lt;J3587),"🟡 FALTA EXECUTAR",IF(OR(M3587="PENDENTE",M3587="PARCIAL"),"🟡 FATURAMENTO PENDENTE","🟡 EMBARQUE PENDENTE")))))))))))</f>
        <v/>
      </c>
      <c r="D3587" s="4" t="n"/>
      <c r="E3587" s="5" t="n"/>
      <c r="F3587" s="5" t="n"/>
      <c r="G3587" s="5" t="n"/>
      <c r="H3587" s="5" t="n"/>
      <c r="I3587" s="5" t="n"/>
      <c r="J3587" s="6" t="n"/>
      <c r="K3587" s="6" t="n"/>
      <c r="L3587" s="7">
        <f>IF(OR(D3587="",N(J3587)=0),"",MIN(1,N(K3587)/J3587))</f>
        <v/>
      </c>
      <c r="M3587" s="5" t="n"/>
      <c r="N3587" s="5" t="n"/>
      <c r="O3587" s="5" t="n"/>
      <c r="P3587" s="5" t="n"/>
      <c r="Q3587" s="5" t="n"/>
      <c r="R3587" s="4" t="n"/>
      <c r="S3587" s="4" t="n"/>
      <c r="T3587" s="5" t="n"/>
      <c r="U3587" s="8">
        <f>IF(AND(V3587=1,D3587&lt;&gt;""),IF(D3587&gt;=corte,TODAY()-D3587,""),"")</f>
        <v/>
      </c>
      <c r="V3587" s="8">
        <f>IF(D3587="",0,IF(OR(AND(P3587&lt;&gt;"",S3587=""),AND(N(J3587)&gt;0,N(K3587)&lt;J3587),OR(M3587="PENDENTE",M3587="PARCIAL"),OR(N3587="PENDENTE",N3587="PARCIAL")),1,0))</f>
        <v/>
      </c>
      <c r="W3587" s="8">
        <f>IF(AND(V3587=1,D3587&lt;&gt;""),IF(D3587&gt;=corte,(B3587="CRÍTICO")*1E9+(100000-D3587)*10000+10000-ROW(),""),"")</f>
        <v/>
      </c>
      <c r="X3587" s="8">
        <f>IF(AND(V3587=1,D3587=pas_data,E3587=pas_turno),10000-ROW(),"")</f>
        <v/>
      </c>
    </row>
    <row r="3588">
      <c r="A3588" s="3">
        <f>IF(D3588="","","TT-"&amp;TEXT(ROW()-1,"00000"))</f>
        <v/>
      </c>
      <c r="B3588" s="3">
        <f>IF(D3588="","",IF(V3588=0,"CONCLUÍDO",IF(D3588&lt;corte,"HISTÓRICO",IF(OR(AND(ISNUMBER(R3588),R3588&lt;TODAY()),AND(OR(N3588="PENDENTE",N3588="PARCIAL"),D3588&lt;TODAY()-1)),"CRÍTICO",IF(OR(AND(P3588&lt;&gt;"",S3588=""),AND(N3588="REALIZADO",M3588="PENDENTE"),AND(ISNUMBER(R3588),R3588=TODAY())),"ATENÇÃO",IF(N(K3588)=0,"PENDENTE","EM ANDAMENTO"))))))</f>
        <v/>
      </c>
      <c r="C3588" s="3">
        <f>IF(D3588="","",IF(V3588=0,"🟢 OK",IF(D3588&lt;corte,"⚪ HISTÓRICO (sem baixa)",IF(AND(ISNUMBER(R3588),R3588&lt;TODAY()),"🔴 PRAZO VENCIDO",IF(AND(OR(N3588="PENDENTE",N3588="PARCIAL"),D3588&lt;TODAY()-1),"🔴 EMBARQUE ATRASADO",IF(AND(N3588="REALIZADO",M3588="PENDENTE"),"🟡 EMBARCADO SEM FATURAR",IF(AND(P3588&lt;&gt;"",S3588="",OR(Q3588="",R3588="")),"🟡 PENDÊNCIA SEM RESPONSÁVEL/PRAZO",IF(AND(ISNUMBER(R3588),R3588=TODAY()),"🟡 VENCE HOJE",IF(AND(P3588&lt;&gt;"",S3588=""),"🟡 PENDÊNCIA ABERTA",IF(AND(N(J3588)&gt;0,N(K3588)&lt;J3588),"🟡 FALTA EXECUTAR",IF(OR(M3588="PENDENTE",M3588="PARCIAL"),"🟡 FATURAMENTO PENDENTE","🟡 EMBARQUE PENDENTE")))))))))))</f>
        <v/>
      </c>
      <c r="D3588" s="4" t="n"/>
      <c r="E3588" s="5" t="n"/>
      <c r="F3588" s="5" t="n"/>
      <c r="G3588" s="5" t="n"/>
      <c r="H3588" s="5" t="n"/>
      <c r="I3588" s="5" t="n"/>
      <c r="J3588" s="6" t="n"/>
      <c r="K3588" s="6" t="n"/>
      <c r="L3588" s="7">
        <f>IF(OR(D3588="",N(J3588)=0),"",MIN(1,N(K3588)/J3588))</f>
        <v/>
      </c>
      <c r="M3588" s="5" t="n"/>
      <c r="N3588" s="5" t="n"/>
      <c r="O3588" s="5" t="n"/>
      <c r="P3588" s="5" t="n"/>
      <c r="Q3588" s="5" t="n"/>
      <c r="R3588" s="4" t="n"/>
      <c r="S3588" s="4" t="n"/>
      <c r="T3588" s="5" t="n"/>
      <c r="U3588" s="8">
        <f>IF(AND(V3588=1,D3588&lt;&gt;""),IF(D3588&gt;=corte,TODAY()-D3588,""),"")</f>
        <v/>
      </c>
      <c r="V3588" s="8">
        <f>IF(D3588="",0,IF(OR(AND(P3588&lt;&gt;"",S3588=""),AND(N(J3588)&gt;0,N(K3588)&lt;J3588),OR(M3588="PENDENTE",M3588="PARCIAL"),OR(N3588="PENDENTE",N3588="PARCIAL")),1,0))</f>
        <v/>
      </c>
      <c r="W3588" s="8">
        <f>IF(AND(V3588=1,D3588&lt;&gt;""),IF(D3588&gt;=corte,(B3588="CRÍTICO")*1E9+(100000-D3588)*10000+10000-ROW(),""),"")</f>
        <v/>
      </c>
      <c r="X3588" s="8">
        <f>IF(AND(V3588=1,D3588=pas_data,E3588=pas_turno),10000-ROW(),"")</f>
        <v/>
      </c>
    </row>
    <row r="3589">
      <c r="A3589" s="3">
        <f>IF(D3589="","","TT-"&amp;TEXT(ROW()-1,"00000"))</f>
        <v/>
      </c>
      <c r="B3589" s="3">
        <f>IF(D3589="","",IF(V3589=0,"CONCLUÍDO",IF(D3589&lt;corte,"HISTÓRICO",IF(OR(AND(ISNUMBER(R3589),R3589&lt;TODAY()),AND(OR(N3589="PENDENTE",N3589="PARCIAL"),D3589&lt;TODAY()-1)),"CRÍTICO",IF(OR(AND(P3589&lt;&gt;"",S3589=""),AND(N3589="REALIZADO",M3589="PENDENTE"),AND(ISNUMBER(R3589),R3589=TODAY())),"ATENÇÃO",IF(N(K3589)=0,"PENDENTE","EM ANDAMENTO"))))))</f>
        <v/>
      </c>
      <c r="C3589" s="3">
        <f>IF(D3589="","",IF(V3589=0,"🟢 OK",IF(D3589&lt;corte,"⚪ HISTÓRICO (sem baixa)",IF(AND(ISNUMBER(R3589),R3589&lt;TODAY()),"🔴 PRAZO VENCIDO",IF(AND(OR(N3589="PENDENTE",N3589="PARCIAL"),D3589&lt;TODAY()-1),"🔴 EMBARQUE ATRASADO",IF(AND(N3589="REALIZADO",M3589="PENDENTE"),"🟡 EMBARCADO SEM FATURAR",IF(AND(P3589&lt;&gt;"",S3589="",OR(Q3589="",R3589="")),"🟡 PENDÊNCIA SEM RESPONSÁVEL/PRAZO",IF(AND(ISNUMBER(R3589),R3589=TODAY()),"🟡 VENCE HOJE",IF(AND(P3589&lt;&gt;"",S3589=""),"🟡 PENDÊNCIA ABERTA",IF(AND(N(J3589)&gt;0,N(K3589)&lt;J3589),"🟡 FALTA EXECUTAR",IF(OR(M3589="PENDENTE",M3589="PARCIAL"),"🟡 FATURAMENTO PENDENTE","🟡 EMBARQUE PENDENTE")))))))))))</f>
        <v/>
      </c>
      <c r="D3589" s="4" t="n"/>
      <c r="E3589" s="5" t="n"/>
      <c r="F3589" s="5" t="n"/>
      <c r="G3589" s="5" t="n"/>
      <c r="H3589" s="5" t="n"/>
      <c r="I3589" s="5" t="n"/>
      <c r="J3589" s="6" t="n"/>
      <c r="K3589" s="6" t="n"/>
      <c r="L3589" s="7">
        <f>IF(OR(D3589="",N(J3589)=0),"",MIN(1,N(K3589)/J3589))</f>
        <v/>
      </c>
      <c r="M3589" s="5" t="n"/>
      <c r="N3589" s="5" t="n"/>
      <c r="O3589" s="5" t="n"/>
      <c r="P3589" s="5" t="n"/>
      <c r="Q3589" s="5" t="n"/>
      <c r="R3589" s="4" t="n"/>
      <c r="S3589" s="4" t="n"/>
      <c r="T3589" s="5" t="n"/>
      <c r="U3589" s="8">
        <f>IF(AND(V3589=1,D3589&lt;&gt;""),IF(D3589&gt;=corte,TODAY()-D3589,""),"")</f>
        <v/>
      </c>
      <c r="V3589" s="8">
        <f>IF(D3589="",0,IF(OR(AND(P3589&lt;&gt;"",S3589=""),AND(N(J3589)&gt;0,N(K3589)&lt;J3589),OR(M3589="PENDENTE",M3589="PARCIAL"),OR(N3589="PENDENTE",N3589="PARCIAL")),1,0))</f>
        <v/>
      </c>
      <c r="W3589" s="8">
        <f>IF(AND(V3589=1,D3589&lt;&gt;""),IF(D3589&gt;=corte,(B3589="CRÍTICO")*1E9+(100000-D3589)*10000+10000-ROW(),""),"")</f>
        <v/>
      </c>
      <c r="X3589" s="8">
        <f>IF(AND(V3589=1,D3589=pas_data,E3589=pas_turno),10000-ROW(),"")</f>
        <v/>
      </c>
    </row>
    <row r="3590">
      <c r="A3590" s="3">
        <f>IF(D3590="","","TT-"&amp;TEXT(ROW()-1,"00000"))</f>
        <v/>
      </c>
      <c r="B3590" s="3">
        <f>IF(D3590="","",IF(V3590=0,"CONCLUÍDO",IF(D3590&lt;corte,"HISTÓRICO",IF(OR(AND(ISNUMBER(R3590),R3590&lt;TODAY()),AND(OR(N3590="PENDENTE",N3590="PARCIAL"),D3590&lt;TODAY()-1)),"CRÍTICO",IF(OR(AND(P3590&lt;&gt;"",S3590=""),AND(N3590="REALIZADO",M3590="PENDENTE"),AND(ISNUMBER(R3590),R3590=TODAY())),"ATENÇÃO",IF(N(K3590)=0,"PENDENTE","EM ANDAMENTO"))))))</f>
        <v/>
      </c>
      <c r="C3590" s="3">
        <f>IF(D3590="","",IF(V3590=0,"🟢 OK",IF(D3590&lt;corte,"⚪ HISTÓRICO (sem baixa)",IF(AND(ISNUMBER(R3590),R3590&lt;TODAY()),"🔴 PRAZO VENCIDO",IF(AND(OR(N3590="PENDENTE",N3590="PARCIAL"),D3590&lt;TODAY()-1),"🔴 EMBARQUE ATRASADO",IF(AND(N3590="REALIZADO",M3590="PENDENTE"),"🟡 EMBARCADO SEM FATURAR",IF(AND(P3590&lt;&gt;"",S3590="",OR(Q3590="",R3590="")),"🟡 PENDÊNCIA SEM RESPONSÁVEL/PRAZO",IF(AND(ISNUMBER(R3590),R3590=TODAY()),"🟡 VENCE HOJE",IF(AND(P3590&lt;&gt;"",S3590=""),"🟡 PENDÊNCIA ABERTA",IF(AND(N(J3590)&gt;0,N(K3590)&lt;J3590),"🟡 FALTA EXECUTAR",IF(OR(M3590="PENDENTE",M3590="PARCIAL"),"🟡 FATURAMENTO PENDENTE","🟡 EMBARQUE PENDENTE")))))))))))</f>
        <v/>
      </c>
      <c r="D3590" s="4" t="n"/>
      <c r="E3590" s="5" t="n"/>
      <c r="F3590" s="5" t="n"/>
      <c r="G3590" s="5" t="n"/>
      <c r="H3590" s="5" t="n"/>
      <c r="I3590" s="5" t="n"/>
      <c r="J3590" s="6" t="n"/>
      <c r="K3590" s="6" t="n"/>
      <c r="L3590" s="7">
        <f>IF(OR(D3590="",N(J3590)=0),"",MIN(1,N(K3590)/J3590))</f>
        <v/>
      </c>
      <c r="M3590" s="5" t="n"/>
      <c r="N3590" s="5" t="n"/>
      <c r="O3590" s="5" t="n"/>
      <c r="P3590" s="5" t="n"/>
      <c r="Q3590" s="5" t="n"/>
      <c r="R3590" s="4" t="n"/>
      <c r="S3590" s="4" t="n"/>
      <c r="T3590" s="5" t="n"/>
      <c r="U3590" s="8">
        <f>IF(AND(V3590=1,D3590&lt;&gt;""),IF(D3590&gt;=corte,TODAY()-D3590,""),"")</f>
        <v/>
      </c>
      <c r="V3590" s="8">
        <f>IF(D3590="",0,IF(OR(AND(P3590&lt;&gt;"",S3590=""),AND(N(J3590)&gt;0,N(K3590)&lt;J3590),OR(M3590="PENDENTE",M3590="PARCIAL"),OR(N3590="PENDENTE",N3590="PARCIAL")),1,0))</f>
        <v/>
      </c>
      <c r="W3590" s="8">
        <f>IF(AND(V3590=1,D3590&lt;&gt;""),IF(D3590&gt;=corte,(B3590="CRÍTICO")*1E9+(100000-D3590)*10000+10000-ROW(),""),"")</f>
        <v/>
      </c>
      <c r="X3590" s="8">
        <f>IF(AND(V3590=1,D3590=pas_data,E3590=pas_turno),10000-ROW(),"")</f>
        <v/>
      </c>
    </row>
    <row r="3591">
      <c r="A3591" s="3">
        <f>IF(D3591="","","TT-"&amp;TEXT(ROW()-1,"00000"))</f>
        <v/>
      </c>
      <c r="B3591" s="3">
        <f>IF(D3591="","",IF(V3591=0,"CONCLUÍDO",IF(D3591&lt;corte,"HISTÓRICO",IF(OR(AND(ISNUMBER(R3591),R3591&lt;TODAY()),AND(OR(N3591="PENDENTE",N3591="PARCIAL"),D3591&lt;TODAY()-1)),"CRÍTICO",IF(OR(AND(P3591&lt;&gt;"",S3591=""),AND(N3591="REALIZADO",M3591="PENDENTE"),AND(ISNUMBER(R3591),R3591=TODAY())),"ATENÇÃO",IF(N(K3591)=0,"PENDENTE","EM ANDAMENTO"))))))</f>
        <v/>
      </c>
      <c r="C3591" s="3">
        <f>IF(D3591="","",IF(V3591=0,"🟢 OK",IF(D3591&lt;corte,"⚪ HISTÓRICO (sem baixa)",IF(AND(ISNUMBER(R3591),R3591&lt;TODAY()),"🔴 PRAZO VENCIDO",IF(AND(OR(N3591="PENDENTE",N3591="PARCIAL"),D3591&lt;TODAY()-1),"🔴 EMBARQUE ATRASADO",IF(AND(N3591="REALIZADO",M3591="PENDENTE"),"🟡 EMBARCADO SEM FATURAR",IF(AND(P3591&lt;&gt;"",S3591="",OR(Q3591="",R3591="")),"🟡 PENDÊNCIA SEM RESPONSÁVEL/PRAZO",IF(AND(ISNUMBER(R3591),R3591=TODAY()),"🟡 VENCE HOJE",IF(AND(P3591&lt;&gt;"",S3591=""),"🟡 PENDÊNCIA ABERTA",IF(AND(N(J3591)&gt;0,N(K3591)&lt;J3591),"🟡 FALTA EXECUTAR",IF(OR(M3591="PENDENTE",M3591="PARCIAL"),"🟡 FATURAMENTO PENDENTE","🟡 EMBARQUE PENDENTE")))))))))))</f>
        <v/>
      </c>
      <c r="D3591" s="4" t="n"/>
      <c r="E3591" s="5" t="n"/>
      <c r="F3591" s="5" t="n"/>
      <c r="G3591" s="5" t="n"/>
      <c r="H3591" s="5" t="n"/>
      <c r="I3591" s="5" t="n"/>
      <c r="J3591" s="6" t="n"/>
      <c r="K3591" s="6" t="n"/>
      <c r="L3591" s="7">
        <f>IF(OR(D3591="",N(J3591)=0),"",MIN(1,N(K3591)/J3591))</f>
        <v/>
      </c>
      <c r="M3591" s="5" t="n"/>
      <c r="N3591" s="5" t="n"/>
      <c r="O3591" s="5" t="n"/>
      <c r="P3591" s="5" t="n"/>
      <c r="Q3591" s="5" t="n"/>
      <c r="R3591" s="4" t="n"/>
      <c r="S3591" s="4" t="n"/>
      <c r="T3591" s="5" t="n"/>
      <c r="U3591" s="8">
        <f>IF(AND(V3591=1,D3591&lt;&gt;""),IF(D3591&gt;=corte,TODAY()-D3591,""),"")</f>
        <v/>
      </c>
      <c r="V3591" s="8">
        <f>IF(D3591="",0,IF(OR(AND(P3591&lt;&gt;"",S3591=""),AND(N(J3591)&gt;0,N(K3591)&lt;J3591),OR(M3591="PENDENTE",M3591="PARCIAL"),OR(N3591="PENDENTE",N3591="PARCIAL")),1,0))</f>
        <v/>
      </c>
      <c r="W3591" s="8">
        <f>IF(AND(V3591=1,D3591&lt;&gt;""),IF(D3591&gt;=corte,(B3591="CRÍTICO")*1E9+(100000-D3591)*10000+10000-ROW(),""),"")</f>
        <v/>
      </c>
      <c r="X3591" s="8">
        <f>IF(AND(V3591=1,D3591=pas_data,E3591=pas_turno),10000-ROW(),"")</f>
        <v/>
      </c>
    </row>
    <row r="3592">
      <c r="A3592" s="3">
        <f>IF(D3592="","","TT-"&amp;TEXT(ROW()-1,"00000"))</f>
        <v/>
      </c>
      <c r="B3592" s="3">
        <f>IF(D3592="","",IF(V3592=0,"CONCLUÍDO",IF(D3592&lt;corte,"HISTÓRICO",IF(OR(AND(ISNUMBER(R3592),R3592&lt;TODAY()),AND(OR(N3592="PENDENTE",N3592="PARCIAL"),D3592&lt;TODAY()-1)),"CRÍTICO",IF(OR(AND(P3592&lt;&gt;"",S3592=""),AND(N3592="REALIZADO",M3592="PENDENTE"),AND(ISNUMBER(R3592),R3592=TODAY())),"ATENÇÃO",IF(N(K3592)=0,"PENDENTE","EM ANDAMENTO"))))))</f>
        <v/>
      </c>
      <c r="C3592" s="3">
        <f>IF(D3592="","",IF(V3592=0,"🟢 OK",IF(D3592&lt;corte,"⚪ HISTÓRICO (sem baixa)",IF(AND(ISNUMBER(R3592),R3592&lt;TODAY()),"🔴 PRAZO VENCIDO",IF(AND(OR(N3592="PENDENTE",N3592="PARCIAL"),D3592&lt;TODAY()-1),"🔴 EMBARQUE ATRASADO",IF(AND(N3592="REALIZADO",M3592="PENDENTE"),"🟡 EMBARCADO SEM FATURAR",IF(AND(P3592&lt;&gt;"",S3592="",OR(Q3592="",R3592="")),"🟡 PENDÊNCIA SEM RESPONSÁVEL/PRAZO",IF(AND(ISNUMBER(R3592),R3592=TODAY()),"🟡 VENCE HOJE",IF(AND(P3592&lt;&gt;"",S3592=""),"🟡 PENDÊNCIA ABERTA",IF(AND(N(J3592)&gt;0,N(K3592)&lt;J3592),"🟡 FALTA EXECUTAR",IF(OR(M3592="PENDENTE",M3592="PARCIAL"),"🟡 FATURAMENTO PENDENTE","🟡 EMBARQUE PENDENTE")))))))))))</f>
        <v/>
      </c>
      <c r="D3592" s="4" t="n"/>
      <c r="E3592" s="5" t="n"/>
      <c r="F3592" s="5" t="n"/>
      <c r="G3592" s="5" t="n"/>
      <c r="H3592" s="5" t="n"/>
      <c r="I3592" s="5" t="n"/>
      <c r="J3592" s="6" t="n"/>
      <c r="K3592" s="6" t="n"/>
      <c r="L3592" s="7">
        <f>IF(OR(D3592="",N(J3592)=0),"",MIN(1,N(K3592)/J3592))</f>
        <v/>
      </c>
      <c r="M3592" s="5" t="n"/>
      <c r="N3592" s="5" t="n"/>
      <c r="O3592" s="5" t="n"/>
      <c r="P3592" s="5" t="n"/>
      <c r="Q3592" s="5" t="n"/>
      <c r="R3592" s="4" t="n"/>
      <c r="S3592" s="4" t="n"/>
      <c r="T3592" s="5" t="n"/>
      <c r="U3592" s="8">
        <f>IF(AND(V3592=1,D3592&lt;&gt;""),IF(D3592&gt;=corte,TODAY()-D3592,""),"")</f>
        <v/>
      </c>
      <c r="V3592" s="8">
        <f>IF(D3592="",0,IF(OR(AND(P3592&lt;&gt;"",S3592=""),AND(N(J3592)&gt;0,N(K3592)&lt;J3592),OR(M3592="PENDENTE",M3592="PARCIAL"),OR(N3592="PENDENTE",N3592="PARCIAL")),1,0))</f>
        <v/>
      </c>
      <c r="W3592" s="8">
        <f>IF(AND(V3592=1,D3592&lt;&gt;""),IF(D3592&gt;=corte,(B3592="CRÍTICO")*1E9+(100000-D3592)*10000+10000-ROW(),""),"")</f>
        <v/>
      </c>
      <c r="X3592" s="8">
        <f>IF(AND(V3592=1,D3592=pas_data,E3592=pas_turno),10000-ROW(),"")</f>
        <v/>
      </c>
    </row>
    <row r="3593">
      <c r="A3593" s="3">
        <f>IF(D3593="","","TT-"&amp;TEXT(ROW()-1,"00000"))</f>
        <v/>
      </c>
      <c r="B3593" s="3">
        <f>IF(D3593="","",IF(V3593=0,"CONCLUÍDO",IF(D3593&lt;corte,"HISTÓRICO",IF(OR(AND(ISNUMBER(R3593),R3593&lt;TODAY()),AND(OR(N3593="PENDENTE",N3593="PARCIAL"),D3593&lt;TODAY()-1)),"CRÍTICO",IF(OR(AND(P3593&lt;&gt;"",S3593=""),AND(N3593="REALIZADO",M3593="PENDENTE"),AND(ISNUMBER(R3593),R3593=TODAY())),"ATENÇÃO",IF(N(K3593)=0,"PENDENTE","EM ANDAMENTO"))))))</f>
        <v/>
      </c>
      <c r="C3593" s="3">
        <f>IF(D3593="","",IF(V3593=0,"🟢 OK",IF(D3593&lt;corte,"⚪ HISTÓRICO (sem baixa)",IF(AND(ISNUMBER(R3593),R3593&lt;TODAY()),"🔴 PRAZO VENCIDO",IF(AND(OR(N3593="PENDENTE",N3593="PARCIAL"),D3593&lt;TODAY()-1),"🔴 EMBARQUE ATRASADO",IF(AND(N3593="REALIZADO",M3593="PENDENTE"),"🟡 EMBARCADO SEM FATURAR",IF(AND(P3593&lt;&gt;"",S3593="",OR(Q3593="",R3593="")),"🟡 PENDÊNCIA SEM RESPONSÁVEL/PRAZO",IF(AND(ISNUMBER(R3593),R3593=TODAY()),"🟡 VENCE HOJE",IF(AND(P3593&lt;&gt;"",S3593=""),"🟡 PENDÊNCIA ABERTA",IF(AND(N(J3593)&gt;0,N(K3593)&lt;J3593),"🟡 FALTA EXECUTAR",IF(OR(M3593="PENDENTE",M3593="PARCIAL"),"🟡 FATURAMENTO PENDENTE","🟡 EMBARQUE PENDENTE")))))))))))</f>
        <v/>
      </c>
      <c r="D3593" s="4" t="n"/>
      <c r="E3593" s="5" t="n"/>
      <c r="F3593" s="5" t="n"/>
      <c r="G3593" s="5" t="n"/>
      <c r="H3593" s="5" t="n"/>
      <c r="I3593" s="5" t="n"/>
      <c r="J3593" s="6" t="n"/>
      <c r="K3593" s="6" t="n"/>
      <c r="L3593" s="7">
        <f>IF(OR(D3593="",N(J3593)=0),"",MIN(1,N(K3593)/J3593))</f>
        <v/>
      </c>
      <c r="M3593" s="5" t="n"/>
      <c r="N3593" s="5" t="n"/>
      <c r="O3593" s="5" t="n"/>
      <c r="P3593" s="5" t="n"/>
      <c r="Q3593" s="5" t="n"/>
      <c r="R3593" s="4" t="n"/>
      <c r="S3593" s="4" t="n"/>
      <c r="T3593" s="5" t="n"/>
      <c r="U3593" s="8">
        <f>IF(AND(V3593=1,D3593&lt;&gt;""),IF(D3593&gt;=corte,TODAY()-D3593,""),"")</f>
        <v/>
      </c>
      <c r="V3593" s="8">
        <f>IF(D3593="",0,IF(OR(AND(P3593&lt;&gt;"",S3593=""),AND(N(J3593)&gt;0,N(K3593)&lt;J3593),OR(M3593="PENDENTE",M3593="PARCIAL"),OR(N3593="PENDENTE",N3593="PARCIAL")),1,0))</f>
        <v/>
      </c>
      <c r="W3593" s="8">
        <f>IF(AND(V3593=1,D3593&lt;&gt;""),IF(D3593&gt;=corte,(B3593="CRÍTICO")*1E9+(100000-D3593)*10000+10000-ROW(),""),"")</f>
        <v/>
      </c>
      <c r="X3593" s="8">
        <f>IF(AND(V3593=1,D3593=pas_data,E3593=pas_turno),10000-ROW(),"")</f>
        <v/>
      </c>
    </row>
    <row r="3594">
      <c r="A3594" s="3">
        <f>IF(D3594="","","TT-"&amp;TEXT(ROW()-1,"00000"))</f>
        <v/>
      </c>
      <c r="B3594" s="3">
        <f>IF(D3594="","",IF(V3594=0,"CONCLUÍDO",IF(D3594&lt;corte,"HISTÓRICO",IF(OR(AND(ISNUMBER(R3594),R3594&lt;TODAY()),AND(OR(N3594="PENDENTE",N3594="PARCIAL"),D3594&lt;TODAY()-1)),"CRÍTICO",IF(OR(AND(P3594&lt;&gt;"",S3594=""),AND(N3594="REALIZADO",M3594="PENDENTE"),AND(ISNUMBER(R3594),R3594=TODAY())),"ATENÇÃO",IF(N(K3594)=0,"PENDENTE","EM ANDAMENTO"))))))</f>
        <v/>
      </c>
      <c r="C3594" s="3">
        <f>IF(D3594="","",IF(V3594=0,"🟢 OK",IF(D3594&lt;corte,"⚪ HISTÓRICO (sem baixa)",IF(AND(ISNUMBER(R3594),R3594&lt;TODAY()),"🔴 PRAZO VENCIDO",IF(AND(OR(N3594="PENDENTE",N3594="PARCIAL"),D3594&lt;TODAY()-1),"🔴 EMBARQUE ATRASADO",IF(AND(N3594="REALIZADO",M3594="PENDENTE"),"🟡 EMBARCADO SEM FATURAR",IF(AND(P3594&lt;&gt;"",S3594="",OR(Q3594="",R3594="")),"🟡 PENDÊNCIA SEM RESPONSÁVEL/PRAZO",IF(AND(ISNUMBER(R3594),R3594=TODAY()),"🟡 VENCE HOJE",IF(AND(P3594&lt;&gt;"",S3594=""),"🟡 PENDÊNCIA ABERTA",IF(AND(N(J3594)&gt;0,N(K3594)&lt;J3594),"🟡 FALTA EXECUTAR",IF(OR(M3594="PENDENTE",M3594="PARCIAL"),"🟡 FATURAMENTO PENDENTE","🟡 EMBARQUE PENDENTE")))))))))))</f>
        <v/>
      </c>
      <c r="D3594" s="4" t="n"/>
      <c r="E3594" s="5" t="n"/>
      <c r="F3594" s="5" t="n"/>
      <c r="G3594" s="5" t="n"/>
      <c r="H3594" s="5" t="n"/>
      <c r="I3594" s="5" t="n"/>
      <c r="J3594" s="6" t="n"/>
      <c r="K3594" s="6" t="n"/>
      <c r="L3594" s="7">
        <f>IF(OR(D3594="",N(J3594)=0),"",MIN(1,N(K3594)/J3594))</f>
        <v/>
      </c>
      <c r="M3594" s="5" t="n"/>
      <c r="N3594" s="5" t="n"/>
      <c r="O3594" s="5" t="n"/>
      <c r="P3594" s="5" t="n"/>
      <c r="Q3594" s="5" t="n"/>
      <c r="R3594" s="4" t="n"/>
      <c r="S3594" s="4" t="n"/>
      <c r="T3594" s="5" t="n"/>
      <c r="U3594" s="8">
        <f>IF(AND(V3594=1,D3594&lt;&gt;""),IF(D3594&gt;=corte,TODAY()-D3594,""),"")</f>
        <v/>
      </c>
      <c r="V3594" s="8">
        <f>IF(D3594="",0,IF(OR(AND(P3594&lt;&gt;"",S3594=""),AND(N(J3594)&gt;0,N(K3594)&lt;J3594),OR(M3594="PENDENTE",M3594="PARCIAL"),OR(N3594="PENDENTE",N3594="PARCIAL")),1,0))</f>
        <v/>
      </c>
      <c r="W3594" s="8">
        <f>IF(AND(V3594=1,D3594&lt;&gt;""),IF(D3594&gt;=corte,(B3594="CRÍTICO")*1E9+(100000-D3594)*10000+10000-ROW(),""),"")</f>
        <v/>
      </c>
      <c r="X3594" s="8">
        <f>IF(AND(V3594=1,D3594=pas_data,E3594=pas_turno),10000-ROW(),"")</f>
        <v/>
      </c>
    </row>
    <row r="3595">
      <c r="A3595" s="3">
        <f>IF(D3595="","","TT-"&amp;TEXT(ROW()-1,"00000"))</f>
        <v/>
      </c>
      <c r="B3595" s="3">
        <f>IF(D3595="","",IF(V3595=0,"CONCLUÍDO",IF(D3595&lt;corte,"HISTÓRICO",IF(OR(AND(ISNUMBER(R3595),R3595&lt;TODAY()),AND(OR(N3595="PENDENTE",N3595="PARCIAL"),D3595&lt;TODAY()-1)),"CRÍTICO",IF(OR(AND(P3595&lt;&gt;"",S3595=""),AND(N3595="REALIZADO",M3595="PENDENTE"),AND(ISNUMBER(R3595),R3595=TODAY())),"ATENÇÃO",IF(N(K3595)=0,"PENDENTE","EM ANDAMENTO"))))))</f>
        <v/>
      </c>
      <c r="C3595" s="3">
        <f>IF(D3595="","",IF(V3595=0,"🟢 OK",IF(D3595&lt;corte,"⚪ HISTÓRICO (sem baixa)",IF(AND(ISNUMBER(R3595),R3595&lt;TODAY()),"🔴 PRAZO VENCIDO",IF(AND(OR(N3595="PENDENTE",N3595="PARCIAL"),D3595&lt;TODAY()-1),"🔴 EMBARQUE ATRASADO",IF(AND(N3595="REALIZADO",M3595="PENDENTE"),"🟡 EMBARCADO SEM FATURAR",IF(AND(P3595&lt;&gt;"",S3595="",OR(Q3595="",R3595="")),"🟡 PENDÊNCIA SEM RESPONSÁVEL/PRAZO",IF(AND(ISNUMBER(R3595),R3595=TODAY()),"🟡 VENCE HOJE",IF(AND(P3595&lt;&gt;"",S3595=""),"🟡 PENDÊNCIA ABERTA",IF(AND(N(J3595)&gt;0,N(K3595)&lt;J3595),"🟡 FALTA EXECUTAR",IF(OR(M3595="PENDENTE",M3595="PARCIAL"),"🟡 FATURAMENTO PENDENTE","🟡 EMBARQUE PENDENTE")))))))))))</f>
        <v/>
      </c>
      <c r="D3595" s="4" t="n"/>
      <c r="E3595" s="5" t="n"/>
      <c r="F3595" s="5" t="n"/>
      <c r="G3595" s="5" t="n"/>
      <c r="H3595" s="5" t="n"/>
      <c r="I3595" s="5" t="n"/>
      <c r="J3595" s="6" t="n"/>
      <c r="K3595" s="6" t="n"/>
      <c r="L3595" s="7">
        <f>IF(OR(D3595="",N(J3595)=0),"",MIN(1,N(K3595)/J3595))</f>
        <v/>
      </c>
      <c r="M3595" s="5" t="n"/>
      <c r="N3595" s="5" t="n"/>
      <c r="O3595" s="5" t="n"/>
      <c r="P3595" s="5" t="n"/>
      <c r="Q3595" s="5" t="n"/>
      <c r="R3595" s="4" t="n"/>
      <c r="S3595" s="4" t="n"/>
      <c r="T3595" s="5" t="n"/>
      <c r="U3595" s="8">
        <f>IF(AND(V3595=1,D3595&lt;&gt;""),IF(D3595&gt;=corte,TODAY()-D3595,""),"")</f>
        <v/>
      </c>
      <c r="V3595" s="8">
        <f>IF(D3595="",0,IF(OR(AND(P3595&lt;&gt;"",S3595=""),AND(N(J3595)&gt;0,N(K3595)&lt;J3595),OR(M3595="PENDENTE",M3595="PARCIAL"),OR(N3595="PENDENTE",N3595="PARCIAL")),1,0))</f>
        <v/>
      </c>
      <c r="W3595" s="8">
        <f>IF(AND(V3595=1,D3595&lt;&gt;""),IF(D3595&gt;=corte,(B3595="CRÍTICO")*1E9+(100000-D3595)*10000+10000-ROW(),""),"")</f>
        <v/>
      </c>
      <c r="X3595" s="8">
        <f>IF(AND(V3595=1,D3595=pas_data,E3595=pas_turno),10000-ROW(),"")</f>
        <v/>
      </c>
    </row>
    <row r="3596">
      <c r="A3596" s="3">
        <f>IF(D3596="","","TT-"&amp;TEXT(ROW()-1,"00000"))</f>
        <v/>
      </c>
      <c r="B3596" s="3">
        <f>IF(D3596="","",IF(V3596=0,"CONCLUÍDO",IF(D3596&lt;corte,"HISTÓRICO",IF(OR(AND(ISNUMBER(R3596),R3596&lt;TODAY()),AND(OR(N3596="PENDENTE",N3596="PARCIAL"),D3596&lt;TODAY()-1)),"CRÍTICO",IF(OR(AND(P3596&lt;&gt;"",S3596=""),AND(N3596="REALIZADO",M3596="PENDENTE"),AND(ISNUMBER(R3596),R3596=TODAY())),"ATENÇÃO",IF(N(K3596)=0,"PENDENTE","EM ANDAMENTO"))))))</f>
        <v/>
      </c>
      <c r="C3596" s="3">
        <f>IF(D3596="","",IF(V3596=0,"🟢 OK",IF(D3596&lt;corte,"⚪ HISTÓRICO (sem baixa)",IF(AND(ISNUMBER(R3596),R3596&lt;TODAY()),"🔴 PRAZO VENCIDO",IF(AND(OR(N3596="PENDENTE",N3596="PARCIAL"),D3596&lt;TODAY()-1),"🔴 EMBARQUE ATRASADO",IF(AND(N3596="REALIZADO",M3596="PENDENTE"),"🟡 EMBARCADO SEM FATURAR",IF(AND(P3596&lt;&gt;"",S3596="",OR(Q3596="",R3596="")),"🟡 PENDÊNCIA SEM RESPONSÁVEL/PRAZO",IF(AND(ISNUMBER(R3596),R3596=TODAY()),"🟡 VENCE HOJE",IF(AND(P3596&lt;&gt;"",S3596=""),"🟡 PENDÊNCIA ABERTA",IF(AND(N(J3596)&gt;0,N(K3596)&lt;J3596),"🟡 FALTA EXECUTAR",IF(OR(M3596="PENDENTE",M3596="PARCIAL"),"🟡 FATURAMENTO PENDENTE","🟡 EMBARQUE PENDENTE")))))))))))</f>
        <v/>
      </c>
      <c r="D3596" s="4" t="n"/>
      <c r="E3596" s="5" t="n"/>
      <c r="F3596" s="5" t="n"/>
      <c r="G3596" s="5" t="n"/>
      <c r="H3596" s="5" t="n"/>
      <c r="I3596" s="5" t="n"/>
      <c r="J3596" s="6" t="n"/>
      <c r="K3596" s="6" t="n"/>
      <c r="L3596" s="7">
        <f>IF(OR(D3596="",N(J3596)=0),"",MIN(1,N(K3596)/J3596))</f>
        <v/>
      </c>
      <c r="M3596" s="5" t="n"/>
      <c r="N3596" s="5" t="n"/>
      <c r="O3596" s="5" t="n"/>
      <c r="P3596" s="5" t="n"/>
      <c r="Q3596" s="5" t="n"/>
      <c r="R3596" s="4" t="n"/>
      <c r="S3596" s="4" t="n"/>
      <c r="T3596" s="5" t="n"/>
      <c r="U3596" s="8">
        <f>IF(AND(V3596=1,D3596&lt;&gt;""),IF(D3596&gt;=corte,TODAY()-D3596,""),"")</f>
        <v/>
      </c>
      <c r="V3596" s="8">
        <f>IF(D3596="",0,IF(OR(AND(P3596&lt;&gt;"",S3596=""),AND(N(J3596)&gt;0,N(K3596)&lt;J3596),OR(M3596="PENDENTE",M3596="PARCIAL"),OR(N3596="PENDENTE",N3596="PARCIAL")),1,0))</f>
        <v/>
      </c>
      <c r="W3596" s="8">
        <f>IF(AND(V3596=1,D3596&lt;&gt;""),IF(D3596&gt;=corte,(B3596="CRÍTICO")*1E9+(100000-D3596)*10000+10000-ROW(),""),"")</f>
        <v/>
      </c>
      <c r="X3596" s="8">
        <f>IF(AND(V3596=1,D3596=pas_data,E3596=pas_turno),10000-ROW(),"")</f>
        <v/>
      </c>
    </row>
    <row r="3597">
      <c r="A3597" s="3">
        <f>IF(D3597="","","TT-"&amp;TEXT(ROW()-1,"00000"))</f>
        <v/>
      </c>
      <c r="B3597" s="3">
        <f>IF(D3597="","",IF(V3597=0,"CONCLUÍDO",IF(D3597&lt;corte,"HISTÓRICO",IF(OR(AND(ISNUMBER(R3597),R3597&lt;TODAY()),AND(OR(N3597="PENDENTE",N3597="PARCIAL"),D3597&lt;TODAY()-1)),"CRÍTICO",IF(OR(AND(P3597&lt;&gt;"",S3597=""),AND(N3597="REALIZADO",M3597="PENDENTE"),AND(ISNUMBER(R3597),R3597=TODAY())),"ATENÇÃO",IF(N(K3597)=0,"PENDENTE","EM ANDAMENTO"))))))</f>
        <v/>
      </c>
      <c r="C3597" s="3">
        <f>IF(D3597="","",IF(V3597=0,"🟢 OK",IF(D3597&lt;corte,"⚪ HISTÓRICO (sem baixa)",IF(AND(ISNUMBER(R3597),R3597&lt;TODAY()),"🔴 PRAZO VENCIDO",IF(AND(OR(N3597="PENDENTE",N3597="PARCIAL"),D3597&lt;TODAY()-1),"🔴 EMBARQUE ATRASADO",IF(AND(N3597="REALIZADO",M3597="PENDENTE"),"🟡 EMBARCADO SEM FATURAR",IF(AND(P3597&lt;&gt;"",S3597="",OR(Q3597="",R3597="")),"🟡 PENDÊNCIA SEM RESPONSÁVEL/PRAZO",IF(AND(ISNUMBER(R3597),R3597=TODAY()),"🟡 VENCE HOJE",IF(AND(P3597&lt;&gt;"",S3597=""),"🟡 PENDÊNCIA ABERTA",IF(AND(N(J3597)&gt;0,N(K3597)&lt;J3597),"🟡 FALTA EXECUTAR",IF(OR(M3597="PENDENTE",M3597="PARCIAL"),"🟡 FATURAMENTO PENDENTE","🟡 EMBARQUE PENDENTE")))))))))))</f>
        <v/>
      </c>
      <c r="D3597" s="4" t="n"/>
      <c r="E3597" s="5" t="n"/>
      <c r="F3597" s="5" t="n"/>
      <c r="G3597" s="5" t="n"/>
      <c r="H3597" s="5" t="n"/>
      <c r="I3597" s="5" t="n"/>
      <c r="J3597" s="6" t="n"/>
      <c r="K3597" s="6" t="n"/>
      <c r="L3597" s="7">
        <f>IF(OR(D3597="",N(J3597)=0),"",MIN(1,N(K3597)/J3597))</f>
        <v/>
      </c>
      <c r="M3597" s="5" t="n"/>
      <c r="N3597" s="5" t="n"/>
      <c r="O3597" s="5" t="n"/>
      <c r="P3597" s="5" t="n"/>
      <c r="Q3597" s="5" t="n"/>
      <c r="R3597" s="4" t="n"/>
      <c r="S3597" s="4" t="n"/>
      <c r="T3597" s="5" t="n"/>
      <c r="U3597" s="8">
        <f>IF(AND(V3597=1,D3597&lt;&gt;""),IF(D3597&gt;=corte,TODAY()-D3597,""),"")</f>
        <v/>
      </c>
      <c r="V3597" s="8">
        <f>IF(D3597="",0,IF(OR(AND(P3597&lt;&gt;"",S3597=""),AND(N(J3597)&gt;0,N(K3597)&lt;J3597),OR(M3597="PENDENTE",M3597="PARCIAL"),OR(N3597="PENDENTE",N3597="PARCIAL")),1,0))</f>
        <v/>
      </c>
      <c r="W3597" s="8">
        <f>IF(AND(V3597=1,D3597&lt;&gt;""),IF(D3597&gt;=corte,(B3597="CRÍTICO")*1E9+(100000-D3597)*10000+10000-ROW(),""),"")</f>
        <v/>
      </c>
      <c r="X3597" s="8">
        <f>IF(AND(V3597=1,D3597=pas_data,E3597=pas_turno),10000-ROW(),"")</f>
        <v/>
      </c>
    </row>
    <row r="3598">
      <c r="A3598" s="3">
        <f>IF(D3598="","","TT-"&amp;TEXT(ROW()-1,"00000"))</f>
        <v/>
      </c>
      <c r="B3598" s="3">
        <f>IF(D3598="","",IF(V3598=0,"CONCLUÍDO",IF(D3598&lt;corte,"HISTÓRICO",IF(OR(AND(ISNUMBER(R3598),R3598&lt;TODAY()),AND(OR(N3598="PENDENTE",N3598="PARCIAL"),D3598&lt;TODAY()-1)),"CRÍTICO",IF(OR(AND(P3598&lt;&gt;"",S3598=""),AND(N3598="REALIZADO",M3598="PENDENTE"),AND(ISNUMBER(R3598),R3598=TODAY())),"ATENÇÃO",IF(N(K3598)=0,"PENDENTE","EM ANDAMENTO"))))))</f>
        <v/>
      </c>
      <c r="C3598" s="3">
        <f>IF(D3598="","",IF(V3598=0,"🟢 OK",IF(D3598&lt;corte,"⚪ HISTÓRICO (sem baixa)",IF(AND(ISNUMBER(R3598),R3598&lt;TODAY()),"🔴 PRAZO VENCIDO",IF(AND(OR(N3598="PENDENTE",N3598="PARCIAL"),D3598&lt;TODAY()-1),"🔴 EMBARQUE ATRASADO",IF(AND(N3598="REALIZADO",M3598="PENDENTE"),"🟡 EMBARCADO SEM FATURAR",IF(AND(P3598&lt;&gt;"",S3598="",OR(Q3598="",R3598="")),"🟡 PENDÊNCIA SEM RESPONSÁVEL/PRAZO",IF(AND(ISNUMBER(R3598),R3598=TODAY()),"🟡 VENCE HOJE",IF(AND(P3598&lt;&gt;"",S3598=""),"🟡 PENDÊNCIA ABERTA",IF(AND(N(J3598)&gt;0,N(K3598)&lt;J3598),"🟡 FALTA EXECUTAR",IF(OR(M3598="PENDENTE",M3598="PARCIAL"),"🟡 FATURAMENTO PENDENTE","🟡 EMBARQUE PENDENTE")))))))))))</f>
        <v/>
      </c>
      <c r="D3598" s="4" t="n"/>
      <c r="E3598" s="5" t="n"/>
      <c r="F3598" s="5" t="n"/>
      <c r="G3598" s="5" t="n"/>
      <c r="H3598" s="5" t="n"/>
      <c r="I3598" s="5" t="n"/>
      <c r="J3598" s="6" t="n"/>
      <c r="K3598" s="6" t="n"/>
      <c r="L3598" s="7">
        <f>IF(OR(D3598="",N(J3598)=0),"",MIN(1,N(K3598)/J3598))</f>
        <v/>
      </c>
      <c r="M3598" s="5" t="n"/>
      <c r="N3598" s="5" t="n"/>
      <c r="O3598" s="5" t="n"/>
      <c r="P3598" s="5" t="n"/>
      <c r="Q3598" s="5" t="n"/>
      <c r="R3598" s="4" t="n"/>
      <c r="S3598" s="4" t="n"/>
      <c r="T3598" s="5" t="n"/>
      <c r="U3598" s="8">
        <f>IF(AND(V3598=1,D3598&lt;&gt;""),IF(D3598&gt;=corte,TODAY()-D3598,""),"")</f>
        <v/>
      </c>
      <c r="V3598" s="8">
        <f>IF(D3598="",0,IF(OR(AND(P3598&lt;&gt;"",S3598=""),AND(N(J3598)&gt;0,N(K3598)&lt;J3598),OR(M3598="PENDENTE",M3598="PARCIAL"),OR(N3598="PENDENTE",N3598="PARCIAL")),1,0))</f>
        <v/>
      </c>
      <c r="W3598" s="8">
        <f>IF(AND(V3598=1,D3598&lt;&gt;""),IF(D3598&gt;=corte,(B3598="CRÍTICO")*1E9+(100000-D3598)*10000+10000-ROW(),""),"")</f>
        <v/>
      </c>
      <c r="X3598" s="8">
        <f>IF(AND(V3598=1,D3598=pas_data,E3598=pas_turno),10000-ROW(),"")</f>
        <v/>
      </c>
    </row>
    <row r="3599">
      <c r="A3599" s="3">
        <f>IF(D3599="","","TT-"&amp;TEXT(ROW()-1,"00000"))</f>
        <v/>
      </c>
      <c r="B3599" s="3">
        <f>IF(D3599="","",IF(V3599=0,"CONCLUÍDO",IF(D3599&lt;corte,"HISTÓRICO",IF(OR(AND(ISNUMBER(R3599),R3599&lt;TODAY()),AND(OR(N3599="PENDENTE",N3599="PARCIAL"),D3599&lt;TODAY()-1)),"CRÍTICO",IF(OR(AND(P3599&lt;&gt;"",S3599=""),AND(N3599="REALIZADO",M3599="PENDENTE"),AND(ISNUMBER(R3599),R3599=TODAY())),"ATENÇÃO",IF(N(K3599)=0,"PENDENTE","EM ANDAMENTO"))))))</f>
        <v/>
      </c>
      <c r="C3599" s="3">
        <f>IF(D3599="","",IF(V3599=0,"🟢 OK",IF(D3599&lt;corte,"⚪ HISTÓRICO (sem baixa)",IF(AND(ISNUMBER(R3599),R3599&lt;TODAY()),"🔴 PRAZO VENCIDO",IF(AND(OR(N3599="PENDENTE",N3599="PARCIAL"),D3599&lt;TODAY()-1),"🔴 EMBARQUE ATRASADO",IF(AND(N3599="REALIZADO",M3599="PENDENTE"),"🟡 EMBARCADO SEM FATURAR",IF(AND(P3599&lt;&gt;"",S3599="",OR(Q3599="",R3599="")),"🟡 PENDÊNCIA SEM RESPONSÁVEL/PRAZO",IF(AND(ISNUMBER(R3599),R3599=TODAY()),"🟡 VENCE HOJE",IF(AND(P3599&lt;&gt;"",S3599=""),"🟡 PENDÊNCIA ABERTA",IF(AND(N(J3599)&gt;0,N(K3599)&lt;J3599),"🟡 FALTA EXECUTAR",IF(OR(M3599="PENDENTE",M3599="PARCIAL"),"🟡 FATURAMENTO PENDENTE","🟡 EMBARQUE PENDENTE")))))))))))</f>
        <v/>
      </c>
      <c r="D3599" s="4" t="n"/>
      <c r="E3599" s="5" t="n"/>
      <c r="F3599" s="5" t="n"/>
      <c r="G3599" s="5" t="n"/>
      <c r="H3599" s="5" t="n"/>
      <c r="I3599" s="5" t="n"/>
      <c r="J3599" s="6" t="n"/>
      <c r="K3599" s="6" t="n"/>
      <c r="L3599" s="7">
        <f>IF(OR(D3599="",N(J3599)=0),"",MIN(1,N(K3599)/J3599))</f>
        <v/>
      </c>
      <c r="M3599" s="5" t="n"/>
      <c r="N3599" s="5" t="n"/>
      <c r="O3599" s="5" t="n"/>
      <c r="P3599" s="5" t="n"/>
      <c r="Q3599" s="5" t="n"/>
      <c r="R3599" s="4" t="n"/>
      <c r="S3599" s="4" t="n"/>
      <c r="T3599" s="5" t="n"/>
      <c r="U3599" s="8">
        <f>IF(AND(V3599=1,D3599&lt;&gt;""),IF(D3599&gt;=corte,TODAY()-D3599,""),"")</f>
        <v/>
      </c>
      <c r="V3599" s="8">
        <f>IF(D3599="",0,IF(OR(AND(P3599&lt;&gt;"",S3599=""),AND(N(J3599)&gt;0,N(K3599)&lt;J3599),OR(M3599="PENDENTE",M3599="PARCIAL"),OR(N3599="PENDENTE",N3599="PARCIAL")),1,0))</f>
        <v/>
      </c>
      <c r="W3599" s="8">
        <f>IF(AND(V3599=1,D3599&lt;&gt;""),IF(D3599&gt;=corte,(B3599="CRÍTICO")*1E9+(100000-D3599)*10000+10000-ROW(),""),"")</f>
        <v/>
      </c>
      <c r="X3599" s="8">
        <f>IF(AND(V3599=1,D3599=pas_data,E3599=pas_turno),10000-ROW(),"")</f>
        <v/>
      </c>
    </row>
    <row r="3600">
      <c r="A3600" s="3">
        <f>IF(D3600="","","TT-"&amp;TEXT(ROW()-1,"00000"))</f>
        <v/>
      </c>
      <c r="B3600" s="3">
        <f>IF(D3600="","",IF(V3600=0,"CONCLUÍDO",IF(D3600&lt;corte,"HISTÓRICO",IF(OR(AND(ISNUMBER(R3600),R3600&lt;TODAY()),AND(OR(N3600="PENDENTE",N3600="PARCIAL"),D3600&lt;TODAY()-1)),"CRÍTICO",IF(OR(AND(P3600&lt;&gt;"",S3600=""),AND(N3600="REALIZADO",M3600="PENDENTE"),AND(ISNUMBER(R3600),R3600=TODAY())),"ATENÇÃO",IF(N(K3600)=0,"PENDENTE","EM ANDAMENTO"))))))</f>
        <v/>
      </c>
      <c r="C3600" s="3">
        <f>IF(D3600="","",IF(V3600=0,"🟢 OK",IF(D3600&lt;corte,"⚪ HISTÓRICO (sem baixa)",IF(AND(ISNUMBER(R3600),R3600&lt;TODAY()),"🔴 PRAZO VENCIDO",IF(AND(OR(N3600="PENDENTE",N3600="PARCIAL"),D3600&lt;TODAY()-1),"🔴 EMBARQUE ATRASADO",IF(AND(N3600="REALIZADO",M3600="PENDENTE"),"🟡 EMBARCADO SEM FATURAR",IF(AND(P3600&lt;&gt;"",S3600="",OR(Q3600="",R3600="")),"🟡 PENDÊNCIA SEM RESPONSÁVEL/PRAZO",IF(AND(ISNUMBER(R3600),R3600=TODAY()),"🟡 VENCE HOJE",IF(AND(P3600&lt;&gt;"",S3600=""),"🟡 PENDÊNCIA ABERTA",IF(AND(N(J3600)&gt;0,N(K3600)&lt;J3600),"🟡 FALTA EXECUTAR",IF(OR(M3600="PENDENTE",M3600="PARCIAL"),"🟡 FATURAMENTO PENDENTE","🟡 EMBARQUE PENDENTE")))))))))))</f>
        <v/>
      </c>
      <c r="D3600" s="4" t="n"/>
      <c r="E3600" s="5" t="n"/>
      <c r="F3600" s="5" t="n"/>
      <c r="G3600" s="5" t="n"/>
      <c r="H3600" s="5" t="n"/>
      <c r="I3600" s="5" t="n"/>
      <c r="J3600" s="6" t="n"/>
      <c r="K3600" s="6" t="n"/>
      <c r="L3600" s="7">
        <f>IF(OR(D3600="",N(J3600)=0),"",MIN(1,N(K3600)/J3600))</f>
        <v/>
      </c>
      <c r="M3600" s="5" t="n"/>
      <c r="N3600" s="5" t="n"/>
      <c r="O3600" s="5" t="n"/>
      <c r="P3600" s="5" t="n"/>
      <c r="Q3600" s="5" t="n"/>
      <c r="R3600" s="4" t="n"/>
      <c r="S3600" s="4" t="n"/>
      <c r="T3600" s="5" t="n"/>
      <c r="U3600" s="8">
        <f>IF(AND(V3600=1,D3600&lt;&gt;""),IF(D3600&gt;=corte,TODAY()-D3600,""),"")</f>
        <v/>
      </c>
      <c r="V3600" s="8">
        <f>IF(D3600="",0,IF(OR(AND(P3600&lt;&gt;"",S3600=""),AND(N(J3600)&gt;0,N(K3600)&lt;J3600),OR(M3600="PENDENTE",M3600="PARCIAL"),OR(N3600="PENDENTE",N3600="PARCIAL")),1,0))</f>
        <v/>
      </c>
      <c r="W3600" s="8">
        <f>IF(AND(V3600=1,D3600&lt;&gt;""),IF(D3600&gt;=corte,(B3600="CRÍTICO")*1E9+(100000-D3600)*10000+10000-ROW(),""),"")</f>
        <v/>
      </c>
      <c r="X3600" s="8">
        <f>IF(AND(V3600=1,D3600=pas_data,E3600=pas_turno),10000-ROW(),"")</f>
        <v/>
      </c>
    </row>
    <row r="3601">
      <c r="A3601" s="3">
        <f>IF(D3601="","","TT-"&amp;TEXT(ROW()-1,"00000"))</f>
        <v/>
      </c>
      <c r="B3601" s="3">
        <f>IF(D3601="","",IF(V3601=0,"CONCLUÍDO",IF(D3601&lt;corte,"HISTÓRICO",IF(OR(AND(ISNUMBER(R3601),R3601&lt;TODAY()),AND(OR(N3601="PENDENTE",N3601="PARCIAL"),D3601&lt;TODAY()-1)),"CRÍTICO",IF(OR(AND(P3601&lt;&gt;"",S3601=""),AND(N3601="REALIZADO",M3601="PENDENTE"),AND(ISNUMBER(R3601),R3601=TODAY())),"ATENÇÃO",IF(N(K3601)=0,"PENDENTE","EM ANDAMENTO"))))))</f>
        <v/>
      </c>
      <c r="C3601" s="3">
        <f>IF(D3601="","",IF(V3601=0,"🟢 OK",IF(D3601&lt;corte,"⚪ HISTÓRICO (sem baixa)",IF(AND(ISNUMBER(R3601),R3601&lt;TODAY()),"🔴 PRAZO VENCIDO",IF(AND(OR(N3601="PENDENTE",N3601="PARCIAL"),D3601&lt;TODAY()-1),"🔴 EMBARQUE ATRASADO",IF(AND(N3601="REALIZADO",M3601="PENDENTE"),"🟡 EMBARCADO SEM FATURAR",IF(AND(P3601&lt;&gt;"",S3601="",OR(Q3601="",R3601="")),"🟡 PENDÊNCIA SEM RESPONSÁVEL/PRAZO",IF(AND(ISNUMBER(R3601),R3601=TODAY()),"🟡 VENCE HOJE",IF(AND(P3601&lt;&gt;"",S3601=""),"🟡 PENDÊNCIA ABERTA",IF(AND(N(J3601)&gt;0,N(K3601)&lt;J3601),"🟡 FALTA EXECUTAR",IF(OR(M3601="PENDENTE",M3601="PARCIAL"),"🟡 FATURAMENTO PENDENTE","🟡 EMBARQUE PENDENTE")))))))))))</f>
        <v/>
      </c>
      <c r="D3601" s="4" t="n"/>
      <c r="E3601" s="5" t="n"/>
      <c r="F3601" s="5" t="n"/>
      <c r="G3601" s="5" t="n"/>
      <c r="H3601" s="5" t="n"/>
      <c r="I3601" s="5" t="n"/>
      <c r="J3601" s="6" t="n"/>
      <c r="K3601" s="6" t="n"/>
      <c r="L3601" s="7">
        <f>IF(OR(D3601="",N(J3601)=0),"",MIN(1,N(K3601)/J3601))</f>
        <v/>
      </c>
      <c r="M3601" s="5" t="n"/>
      <c r="N3601" s="5" t="n"/>
      <c r="O3601" s="5" t="n"/>
      <c r="P3601" s="5" t="n"/>
      <c r="Q3601" s="5" t="n"/>
      <c r="R3601" s="4" t="n"/>
      <c r="S3601" s="4" t="n"/>
      <c r="T3601" s="5" t="n"/>
      <c r="U3601" s="8">
        <f>IF(AND(V3601=1,D3601&lt;&gt;""),IF(D3601&gt;=corte,TODAY()-D3601,""),"")</f>
        <v/>
      </c>
      <c r="V3601" s="8">
        <f>IF(D3601="",0,IF(OR(AND(P3601&lt;&gt;"",S3601=""),AND(N(J3601)&gt;0,N(K3601)&lt;J3601),OR(M3601="PENDENTE",M3601="PARCIAL"),OR(N3601="PENDENTE",N3601="PARCIAL")),1,0))</f>
        <v/>
      </c>
      <c r="W3601" s="8">
        <f>IF(AND(V3601=1,D3601&lt;&gt;""),IF(D3601&gt;=corte,(B3601="CRÍTICO")*1E9+(100000-D3601)*10000+10000-ROW(),""),"")</f>
        <v/>
      </c>
      <c r="X3601" s="8">
        <f>IF(AND(V3601=1,D3601=pas_data,E3601=pas_turno),10000-ROW(),"")</f>
        <v/>
      </c>
    </row>
    <row r="3602">
      <c r="A3602" s="3">
        <f>IF(D3602="","","TT-"&amp;TEXT(ROW()-1,"00000"))</f>
        <v/>
      </c>
      <c r="B3602" s="3">
        <f>IF(D3602="","",IF(V3602=0,"CONCLUÍDO",IF(D3602&lt;corte,"HISTÓRICO",IF(OR(AND(ISNUMBER(R3602),R3602&lt;TODAY()),AND(OR(N3602="PENDENTE",N3602="PARCIAL"),D3602&lt;TODAY()-1)),"CRÍTICO",IF(OR(AND(P3602&lt;&gt;"",S3602=""),AND(N3602="REALIZADO",M3602="PENDENTE"),AND(ISNUMBER(R3602),R3602=TODAY())),"ATENÇÃO",IF(N(K3602)=0,"PENDENTE","EM ANDAMENTO"))))))</f>
        <v/>
      </c>
      <c r="C3602" s="3">
        <f>IF(D3602="","",IF(V3602=0,"🟢 OK",IF(D3602&lt;corte,"⚪ HISTÓRICO (sem baixa)",IF(AND(ISNUMBER(R3602),R3602&lt;TODAY()),"🔴 PRAZO VENCIDO",IF(AND(OR(N3602="PENDENTE",N3602="PARCIAL"),D3602&lt;TODAY()-1),"🔴 EMBARQUE ATRASADO",IF(AND(N3602="REALIZADO",M3602="PENDENTE"),"🟡 EMBARCADO SEM FATURAR",IF(AND(P3602&lt;&gt;"",S3602="",OR(Q3602="",R3602="")),"🟡 PENDÊNCIA SEM RESPONSÁVEL/PRAZO",IF(AND(ISNUMBER(R3602),R3602=TODAY()),"🟡 VENCE HOJE",IF(AND(P3602&lt;&gt;"",S3602=""),"🟡 PENDÊNCIA ABERTA",IF(AND(N(J3602)&gt;0,N(K3602)&lt;J3602),"🟡 FALTA EXECUTAR",IF(OR(M3602="PENDENTE",M3602="PARCIAL"),"🟡 FATURAMENTO PENDENTE","🟡 EMBARQUE PENDENTE")))))))))))</f>
        <v/>
      </c>
      <c r="D3602" s="4" t="n"/>
      <c r="E3602" s="5" t="n"/>
      <c r="F3602" s="5" t="n"/>
      <c r="G3602" s="5" t="n"/>
      <c r="H3602" s="5" t="n"/>
      <c r="I3602" s="5" t="n"/>
      <c r="J3602" s="6" t="n"/>
      <c r="K3602" s="6" t="n"/>
      <c r="L3602" s="7">
        <f>IF(OR(D3602="",N(J3602)=0),"",MIN(1,N(K3602)/J3602))</f>
        <v/>
      </c>
      <c r="M3602" s="5" t="n"/>
      <c r="N3602" s="5" t="n"/>
      <c r="O3602" s="5" t="n"/>
      <c r="P3602" s="5" t="n"/>
      <c r="Q3602" s="5" t="n"/>
      <c r="R3602" s="4" t="n"/>
      <c r="S3602" s="4" t="n"/>
      <c r="T3602" s="5" t="n"/>
      <c r="U3602" s="8">
        <f>IF(AND(V3602=1,D3602&lt;&gt;""),IF(D3602&gt;=corte,TODAY()-D3602,""),"")</f>
        <v/>
      </c>
      <c r="V3602" s="8">
        <f>IF(D3602="",0,IF(OR(AND(P3602&lt;&gt;"",S3602=""),AND(N(J3602)&gt;0,N(K3602)&lt;J3602),OR(M3602="PENDENTE",M3602="PARCIAL"),OR(N3602="PENDENTE",N3602="PARCIAL")),1,0))</f>
        <v/>
      </c>
      <c r="W3602" s="8">
        <f>IF(AND(V3602=1,D3602&lt;&gt;""),IF(D3602&gt;=corte,(B3602="CRÍTICO")*1E9+(100000-D3602)*10000+10000-ROW(),""),"")</f>
        <v/>
      </c>
      <c r="X3602" s="8">
        <f>IF(AND(V3602=1,D3602=pas_data,E3602=pas_turno),10000-ROW(),"")</f>
        <v/>
      </c>
    </row>
    <row r="3603">
      <c r="A3603" s="3">
        <f>IF(D3603="","","TT-"&amp;TEXT(ROW()-1,"00000"))</f>
        <v/>
      </c>
      <c r="B3603" s="3">
        <f>IF(D3603="","",IF(V3603=0,"CONCLUÍDO",IF(D3603&lt;corte,"HISTÓRICO",IF(OR(AND(ISNUMBER(R3603),R3603&lt;TODAY()),AND(OR(N3603="PENDENTE",N3603="PARCIAL"),D3603&lt;TODAY()-1)),"CRÍTICO",IF(OR(AND(P3603&lt;&gt;"",S3603=""),AND(N3603="REALIZADO",M3603="PENDENTE"),AND(ISNUMBER(R3603),R3603=TODAY())),"ATENÇÃO",IF(N(K3603)=0,"PENDENTE","EM ANDAMENTO"))))))</f>
        <v/>
      </c>
      <c r="C3603" s="3">
        <f>IF(D3603="","",IF(V3603=0,"🟢 OK",IF(D3603&lt;corte,"⚪ HISTÓRICO (sem baixa)",IF(AND(ISNUMBER(R3603),R3603&lt;TODAY()),"🔴 PRAZO VENCIDO",IF(AND(OR(N3603="PENDENTE",N3603="PARCIAL"),D3603&lt;TODAY()-1),"🔴 EMBARQUE ATRASADO",IF(AND(N3603="REALIZADO",M3603="PENDENTE"),"🟡 EMBARCADO SEM FATURAR",IF(AND(P3603&lt;&gt;"",S3603="",OR(Q3603="",R3603="")),"🟡 PENDÊNCIA SEM RESPONSÁVEL/PRAZO",IF(AND(ISNUMBER(R3603),R3603=TODAY()),"🟡 VENCE HOJE",IF(AND(P3603&lt;&gt;"",S3603=""),"🟡 PENDÊNCIA ABERTA",IF(AND(N(J3603)&gt;0,N(K3603)&lt;J3603),"🟡 FALTA EXECUTAR",IF(OR(M3603="PENDENTE",M3603="PARCIAL"),"🟡 FATURAMENTO PENDENTE","🟡 EMBARQUE PENDENTE")))))))))))</f>
        <v/>
      </c>
      <c r="D3603" s="4" t="n"/>
      <c r="E3603" s="5" t="n"/>
      <c r="F3603" s="5" t="n"/>
      <c r="G3603" s="5" t="n"/>
      <c r="H3603" s="5" t="n"/>
      <c r="I3603" s="5" t="n"/>
      <c r="J3603" s="6" t="n"/>
      <c r="K3603" s="6" t="n"/>
      <c r="L3603" s="7">
        <f>IF(OR(D3603="",N(J3603)=0),"",MIN(1,N(K3603)/J3603))</f>
        <v/>
      </c>
      <c r="M3603" s="5" t="n"/>
      <c r="N3603" s="5" t="n"/>
      <c r="O3603" s="5" t="n"/>
      <c r="P3603" s="5" t="n"/>
      <c r="Q3603" s="5" t="n"/>
      <c r="R3603" s="4" t="n"/>
      <c r="S3603" s="4" t="n"/>
      <c r="T3603" s="5" t="n"/>
      <c r="U3603" s="8">
        <f>IF(AND(V3603=1,D3603&lt;&gt;""),IF(D3603&gt;=corte,TODAY()-D3603,""),"")</f>
        <v/>
      </c>
      <c r="V3603" s="8">
        <f>IF(D3603="",0,IF(OR(AND(P3603&lt;&gt;"",S3603=""),AND(N(J3603)&gt;0,N(K3603)&lt;J3603),OR(M3603="PENDENTE",M3603="PARCIAL"),OR(N3603="PENDENTE",N3603="PARCIAL")),1,0))</f>
        <v/>
      </c>
      <c r="W3603" s="8">
        <f>IF(AND(V3603=1,D3603&lt;&gt;""),IF(D3603&gt;=corte,(B3603="CRÍTICO")*1E9+(100000-D3603)*10000+10000-ROW(),""),"")</f>
        <v/>
      </c>
      <c r="X3603" s="8">
        <f>IF(AND(V3603=1,D3603=pas_data,E3603=pas_turno),10000-ROW(),"")</f>
        <v/>
      </c>
    </row>
    <row r="3604">
      <c r="A3604" s="3">
        <f>IF(D3604="","","TT-"&amp;TEXT(ROW()-1,"00000"))</f>
        <v/>
      </c>
      <c r="B3604" s="3">
        <f>IF(D3604="","",IF(V3604=0,"CONCLUÍDO",IF(D3604&lt;corte,"HISTÓRICO",IF(OR(AND(ISNUMBER(R3604),R3604&lt;TODAY()),AND(OR(N3604="PENDENTE",N3604="PARCIAL"),D3604&lt;TODAY()-1)),"CRÍTICO",IF(OR(AND(P3604&lt;&gt;"",S3604=""),AND(N3604="REALIZADO",M3604="PENDENTE"),AND(ISNUMBER(R3604),R3604=TODAY())),"ATENÇÃO",IF(N(K3604)=0,"PENDENTE","EM ANDAMENTO"))))))</f>
        <v/>
      </c>
      <c r="C3604" s="3">
        <f>IF(D3604="","",IF(V3604=0,"🟢 OK",IF(D3604&lt;corte,"⚪ HISTÓRICO (sem baixa)",IF(AND(ISNUMBER(R3604),R3604&lt;TODAY()),"🔴 PRAZO VENCIDO",IF(AND(OR(N3604="PENDENTE",N3604="PARCIAL"),D3604&lt;TODAY()-1),"🔴 EMBARQUE ATRASADO",IF(AND(N3604="REALIZADO",M3604="PENDENTE"),"🟡 EMBARCADO SEM FATURAR",IF(AND(P3604&lt;&gt;"",S3604="",OR(Q3604="",R3604="")),"🟡 PENDÊNCIA SEM RESPONSÁVEL/PRAZO",IF(AND(ISNUMBER(R3604),R3604=TODAY()),"🟡 VENCE HOJE",IF(AND(P3604&lt;&gt;"",S3604=""),"🟡 PENDÊNCIA ABERTA",IF(AND(N(J3604)&gt;0,N(K3604)&lt;J3604),"🟡 FALTA EXECUTAR",IF(OR(M3604="PENDENTE",M3604="PARCIAL"),"🟡 FATURAMENTO PENDENTE","🟡 EMBARQUE PENDENTE")))))))))))</f>
        <v/>
      </c>
      <c r="D3604" s="4" t="n"/>
      <c r="E3604" s="5" t="n"/>
      <c r="F3604" s="5" t="n"/>
      <c r="G3604" s="5" t="n"/>
      <c r="H3604" s="5" t="n"/>
      <c r="I3604" s="5" t="n"/>
      <c r="J3604" s="6" t="n"/>
      <c r="K3604" s="6" t="n"/>
      <c r="L3604" s="7">
        <f>IF(OR(D3604="",N(J3604)=0),"",MIN(1,N(K3604)/J3604))</f>
        <v/>
      </c>
      <c r="M3604" s="5" t="n"/>
      <c r="N3604" s="5" t="n"/>
      <c r="O3604" s="5" t="n"/>
      <c r="P3604" s="5" t="n"/>
      <c r="Q3604" s="5" t="n"/>
      <c r="R3604" s="4" t="n"/>
      <c r="S3604" s="4" t="n"/>
      <c r="T3604" s="5" t="n"/>
      <c r="U3604" s="8">
        <f>IF(AND(V3604=1,D3604&lt;&gt;""),IF(D3604&gt;=corte,TODAY()-D3604,""),"")</f>
        <v/>
      </c>
      <c r="V3604" s="8">
        <f>IF(D3604="",0,IF(OR(AND(P3604&lt;&gt;"",S3604=""),AND(N(J3604)&gt;0,N(K3604)&lt;J3604),OR(M3604="PENDENTE",M3604="PARCIAL"),OR(N3604="PENDENTE",N3604="PARCIAL")),1,0))</f>
        <v/>
      </c>
      <c r="W3604" s="8">
        <f>IF(AND(V3604=1,D3604&lt;&gt;""),IF(D3604&gt;=corte,(B3604="CRÍTICO")*1E9+(100000-D3604)*10000+10000-ROW(),""),"")</f>
        <v/>
      </c>
      <c r="X3604" s="8">
        <f>IF(AND(V3604=1,D3604=pas_data,E3604=pas_turno),10000-ROW(),"")</f>
        <v/>
      </c>
    </row>
    <row r="3605">
      <c r="A3605" s="3">
        <f>IF(D3605="","","TT-"&amp;TEXT(ROW()-1,"00000"))</f>
        <v/>
      </c>
      <c r="B3605" s="3">
        <f>IF(D3605="","",IF(V3605=0,"CONCLUÍDO",IF(D3605&lt;corte,"HISTÓRICO",IF(OR(AND(ISNUMBER(R3605),R3605&lt;TODAY()),AND(OR(N3605="PENDENTE",N3605="PARCIAL"),D3605&lt;TODAY()-1)),"CRÍTICO",IF(OR(AND(P3605&lt;&gt;"",S3605=""),AND(N3605="REALIZADO",M3605="PENDENTE"),AND(ISNUMBER(R3605),R3605=TODAY())),"ATENÇÃO",IF(N(K3605)=0,"PENDENTE","EM ANDAMENTO"))))))</f>
        <v/>
      </c>
      <c r="C3605" s="3">
        <f>IF(D3605="","",IF(V3605=0,"🟢 OK",IF(D3605&lt;corte,"⚪ HISTÓRICO (sem baixa)",IF(AND(ISNUMBER(R3605),R3605&lt;TODAY()),"🔴 PRAZO VENCIDO",IF(AND(OR(N3605="PENDENTE",N3605="PARCIAL"),D3605&lt;TODAY()-1),"🔴 EMBARQUE ATRASADO",IF(AND(N3605="REALIZADO",M3605="PENDENTE"),"🟡 EMBARCADO SEM FATURAR",IF(AND(P3605&lt;&gt;"",S3605="",OR(Q3605="",R3605="")),"🟡 PENDÊNCIA SEM RESPONSÁVEL/PRAZO",IF(AND(ISNUMBER(R3605),R3605=TODAY()),"🟡 VENCE HOJE",IF(AND(P3605&lt;&gt;"",S3605=""),"🟡 PENDÊNCIA ABERTA",IF(AND(N(J3605)&gt;0,N(K3605)&lt;J3605),"🟡 FALTA EXECUTAR",IF(OR(M3605="PENDENTE",M3605="PARCIAL"),"🟡 FATURAMENTO PENDENTE","🟡 EMBARQUE PENDENTE")))))))))))</f>
        <v/>
      </c>
      <c r="D3605" s="4" t="n"/>
      <c r="E3605" s="5" t="n"/>
      <c r="F3605" s="5" t="n"/>
      <c r="G3605" s="5" t="n"/>
      <c r="H3605" s="5" t="n"/>
      <c r="I3605" s="5" t="n"/>
      <c r="J3605" s="6" t="n"/>
      <c r="K3605" s="6" t="n"/>
      <c r="L3605" s="7">
        <f>IF(OR(D3605="",N(J3605)=0),"",MIN(1,N(K3605)/J3605))</f>
        <v/>
      </c>
      <c r="M3605" s="5" t="n"/>
      <c r="N3605" s="5" t="n"/>
      <c r="O3605" s="5" t="n"/>
      <c r="P3605" s="5" t="n"/>
      <c r="Q3605" s="5" t="n"/>
      <c r="R3605" s="4" t="n"/>
      <c r="S3605" s="4" t="n"/>
      <c r="T3605" s="5" t="n"/>
      <c r="U3605" s="8">
        <f>IF(AND(V3605=1,D3605&lt;&gt;""),IF(D3605&gt;=corte,TODAY()-D3605,""),"")</f>
        <v/>
      </c>
      <c r="V3605" s="8">
        <f>IF(D3605="",0,IF(OR(AND(P3605&lt;&gt;"",S3605=""),AND(N(J3605)&gt;0,N(K3605)&lt;J3605),OR(M3605="PENDENTE",M3605="PARCIAL"),OR(N3605="PENDENTE",N3605="PARCIAL")),1,0))</f>
        <v/>
      </c>
      <c r="W3605" s="8">
        <f>IF(AND(V3605=1,D3605&lt;&gt;""),IF(D3605&gt;=corte,(B3605="CRÍTICO")*1E9+(100000-D3605)*10000+10000-ROW(),""),"")</f>
        <v/>
      </c>
      <c r="X3605" s="8">
        <f>IF(AND(V3605=1,D3605=pas_data,E3605=pas_turno),10000-ROW(),"")</f>
        <v/>
      </c>
    </row>
    <row r="3606">
      <c r="A3606" s="3">
        <f>IF(D3606="","","TT-"&amp;TEXT(ROW()-1,"00000"))</f>
        <v/>
      </c>
      <c r="B3606" s="3">
        <f>IF(D3606="","",IF(V3606=0,"CONCLUÍDO",IF(D3606&lt;corte,"HISTÓRICO",IF(OR(AND(ISNUMBER(R3606),R3606&lt;TODAY()),AND(OR(N3606="PENDENTE",N3606="PARCIAL"),D3606&lt;TODAY()-1)),"CRÍTICO",IF(OR(AND(P3606&lt;&gt;"",S3606=""),AND(N3606="REALIZADO",M3606="PENDENTE"),AND(ISNUMBER(R3606),R3606=TODAY())),"ATENÇÃO",IF(N(K3606)=0,"PENDENTE","EM ANDAMENTO"))))))</f>
        <v/>
      </c>
      <c r="C3606" s="3">
        <f>IF(D3606="","",IF(V3606=0,"🟢 OK",IF(D3606&lt;corte,"⚪ HISTÓRICO (sem baixa)",IF(AND(ISNUMBER(R3606),R3606&lt;TODAY()),"🔴 PRAZO VENCIDO",IF(AND(OR(N3606="PENDENTE",N3606="PARCIAL"),D3606&lt;TODAY()-1),"🔴 EMBARQUE ATRASADO",IF(AND(N3606="REALIZADO",M3606="PENDENTE"),"🟡 EMBARCADO SEM FATURAR",IF(AND(P3606&lt;&gt;"",S3606="",OR(Q3606="",R3606="")),"🟡 PENDÊNCIA SEM RESPONSÁVEL/PRAZO",IF(AND(ISNUMBER(R3606),R3606=TODAY()),"🟡 VENCE HOJE",IF(AND(P3606&lt;&gt;"",S3606=""),"🟡 PENDÊNCIA ABERTA",IF(AND(N(J3606)&gt;0,N(K3606)&lt;J3606),"🟡 FALTA EXECUTAR",IF(OR(M3606="PENDENTE",M3606="PARCIAL"),"🟡 FATURAMENTO PENDENTE","🟡 EMBARQUE PENDENTE")))))))))))</f>
        <v/>
      </c>
      <c r="D3606" s="4" t="n"/>
      <c r="E3606" s="5" t="n"/>
      <c r="F3606" s="5" t="n"/>
      <c r="G3606" s="5" t="n"/>
      <c r="H3606" s="5" t="n"/>
      <c r="I3606" s="5" t="n"/>
      <c r="J3606" s="6" t="n"/>
      <c r="K3606" s="6" t="n"/>
      <c r="L3606" s="7">
        <f>IF(OR(D3606="",N(J3606)=0),"",MIN(1,N(K3606)/J3606))</f>
        <v/>
      </c>
      <c r="M3606" s="5" t="n"/>
      <c r="N3606" s="5" t="n"/>
      <c r="O3606" s="5" t="n"/>
      <c r="P3606" s="5" t="n"/>
      <c r="Q3606" s="5" t="n"/>
      <c r="R3606" s="4" t="n"/>
      <c r="S3606" s="4" t="n"/>
      <c r="T3606" s="5" t="n"/>
      <c r="U3606" s="8">
        <f>IF(AND(V3606=1,D3606&lt;&gt;""),IF(D3606&gt;=corte,TODAY()-D3606,""),"")</f>
        <v/>
      </c>
      <c r="V3606" s="8">
        <f>IF(D3606="",0,IF(OR(AND(P3606&lt;&gt;"",S3606=""),AND(N(J3606)&gt;0,N(K3606)&lt;J3606),OR(M3606="PENDENTE",M3606="PARCIAL"),OR(N3606="PENDENTE",N3606="PARCIAL")),1,0))</f>
        <v/>
      </c>
      <c r="W3606" s="8">
        <f>IF(AND(V3606=1,D3606&lt;&gt;""),IF(D3606&gt;=corte,(B3606="CRÍTICO")*1E9+(100000-D3606)*10000+10000-ROW(),""),"")</f>
        <v/>
      </c>
      <c r="X3606" s="8">
        <f>IF(AND(V3606=1,D3606=pas_data,E3606=pas_turno),10000-ROW(),"")</f>
        <v/>
      </c>
    </row>
    <row r="3607">
      <c r="A3607" s="3">
        <f>IF(D3607="","","TT-"&amp;TEXT(ROW()-1,"00000"))</f>
        <v/>
      </c>
      <c r="B3607" s="3">
        <f>IF(D3607="","",IF(V3607=0,"CONCLUÍDO",IF(D3607&lt;corte,"HISTÓRICO",IF(OR(AND(ISNUMBER(R3607),R3607&lt;TODAY()),AND(OR(N3607="PENDENTE",N3607="PARCIAL"),D3607&lt;TODAY()-1)),"CRÍTICO",IF(OR(AND(P3607&lt;&gt;"",S3607=""),AND(N3607="REALIZADO",M3607="PENDENTE"),AND(ISNUMBER(R3607),R3607=TODAY())),"ATENÇÃO",IF(N(K3607)=0,"PENDENTE","EM ANDAMENTO"))))))</f>
        <v/>
      </c>
      <c r="C3607" s="3">
        <f>IF(D3607="","",IF(V3607=0,"🟢 OK",IF(D3607&lt;corte,"⚪ HISTÓRICO (sem baixa)",IF(AND(ISNUMBER(R3607),R3607&lt;TODAY()),"🔴 PRAZO VENCIDO",IF(AND(OR(N3607="PENDENTE",N3607="PARCIAL"),D3607&lt;TODAY()-1),"🔴 EMBARQUE ATRASADO",IF(AND(N3607="REALIZADO",M3607="PENDENTE"),"🟡 EMBARCADO SEM FATURAR",IF(AND(P3607&lt;&gt;"",S3607="",OR(Q3607="",R3607="")),"🟡 PENDÊNCIA SEM RESPONSÁVEL/PRAZO",IF(AND(ISNUMBER(R3607),R3607=TODAY()),"🟡 VENCE HOJE",IF(AND(P3607&lt;&gt;"",S3607=""),"🟡 PENDÊNCIA ABERTA",IF(AND(N(J3607)&gt;0,N(K3607)&lt;J3607),"🟡 FALTA EXECUTAR",IF(OR(M3607="PENDENTE",M3607="PARCIAL"),"🟡 FATURAMENTO PENDENTE","🟡 EMBARQUE PENDENTE")))))))))))</f>
        <v/>
      </c>
      <c r="D3607" s="4" t="n"/>
      <c r="E3607" s="5" t="n"/>
      <c r="F3607" s="5" t="n"/>
      <c r="G3607" s="5" t="n"/>
      <c r="H3607" s="5" t="n"/>
      <c r="I3607" s="5" t="n"/>
      <c r="J3607" s="6" t="n"/>
      <c r="K3607" s="6" t="n"/>
      <c r="L3607" s="7">
        <f>IF(OR(D3607="",N(J3607)=0),"",MIN(1,N(K3607)/J3607))</f>
        <v/>
      </c>
      <c r="M3607" s="5" t="n"/>
      <c r="N3607" s="5" t="n"/>
      <c r="O3607" s="5" t="n"/>
      <c r="P3607" s="5" t="n"/>
      <c r="Q3607" s="5" t="n"/>
      <c r="R3607" s="4" t="n"/>
      <c r="S3607" s="4" t="n"/>
      <c r="T3607" s="5" t="n"/>
      <c r="U3607" s="8">
        <f>IF(AND(V3607=1,D3607&lt;&gt;""),IF(D3607&gt;=corte,TODAY()-D3607,""),"")</f>
        <v/>
      </c>
      <c r="V3607" s="8">
        <f>IF(D3607="",0,IF(OR(AND(P3607&lt;&gt;"",S3607=""),AND(N(J3607)&gt;0,N(K3607)&lt;J3607),OR(M3607="PENDENTE",M3607="PARCIAL"),OR(N3607="PENDENTE",N3607="PARCIAL")),1,0))</f>
        <v/>
      </c>
      <c r="W3607" s="8">
        <f>IF(AND(V3607=1,D3607&lt;&gt;""),IF(D3607&gt;=corte,(B3607="CRÍTICO")*1E9+(100000-D3607)*10000+10000-ROW(),""),"")</f>
        <v/>
      </c>
      <c r="X3607" s="8">
        <f>IF(AND(V3607=1,D3607=pas_data,E3607=pas_turno),10000-ROW(),"")</f>
        <v/>
      </c>
    </row>
    <row r="3608">
      <c r="A3608" s="3">
        <f>IF(D3608="","","TT-"&amp;TEXT(ROW()-1,"00000"))</f>
        <v/>
      </c>
      <c r="B3608" s="3">
        <f>IF(D3608="","",IF(V3608=0,"CONCLUÍDO",IF(D3608&lt;corte,"HISTÓRICO",IF(OR(AND(ISNUMBER(R3608),R3608&lt;TODAY()),AND(OR(N3608="PENDENTE",N3608="PARCIAL"),D3608&lt;TODAY()-1)),"CRÍTICO",IF(OR(AND(P3608&lt;&gt;"",S3608=""),AND(N3608="REALIZADO",M3608="PENDENTE"),AND(ISNUMBER(R3608),R3608=TODAY())),"ATENÇÃO",IF(N(K3608)=0,"PENDENTE","EM ANDAMENTO"))))))</f>
        <v/>
      </c>
      <c r="C3608" s="3">
        <f>IF(D3608="","",IF(V3608=0,"🟢 OK",IF(D3608&lt;corte,"⚪ HISTÓRICO (sem baixa)",IF(AND(ISNUMBER(R3608),R3608&lt;TODAY()),"🔴 PRAZO VENCIDO",IF(AND(OR(N3608="PENDENTE",N3608="PARCIAL"),D3608&lt;TODAY()-1),"🔴 EMBARQUE ATRASADO",IF(AND(N3608="REALIZADO",M3608="PENDENTE"),"🟡 EMBARCADO SEM FATURAR",IF(AND(P3608&lt;&gt;"",S3608="",OR(Q3608="",R3608="")),"🟡 PENDÊNCIA SEM RESPONSÁVEL/PRAZO",IF(AND(ISNUMBER(R3608),R3608=TODAY()),"🟡 VENCE HOJE",IF(AND(P3608&lt;&gt;"",S3608=""),"🟡 PENDÊNCIA ABERTA",IF(AND(N(J3608)&gt;0,N(K3608)&lt;J3608),"🟡 FALTA EXECUTAR",IF(OR(M3608="PENDENTE",M3608="PARCIAL"),"🟡 FATURAMENTO PENDENTE","🟡 EMBARQUE PENDENTE")))))))))))</f>
        <v/>
      </c>
      <c r="D3608" s="4" t="n"/>
      <c r="E3608" s="5" t="n"/>
      <c r="F3608" s="5" t="n"/>
      <c r="G3608" s="5" t="n"/>
      <c r="H3608" s="5" t="n"/>
      <c r="I3608" s="5" t="n"/>
      <c r="J3608" s="6" t="n"/>
      <c r="K3608" s="6" t="n"/>
      <c r="L3608" s="7">
        <f>IF(OR(D3608="",N(J3608)=0),"",MIN(1,N(K3608)/J3608))</f>
        <v/>
      </c>
      <c r="M3608" s="5" t="n"/>
      <c r="N3608" s="5" t="n"/>
      <c r="O3608" s="5" t="n"/>
      <c r="P3608" s="5" t="n"/>
      <c r="Q3608" s="5" t="n"/>
      <c r="R3608" s="4" t="n"/>
      <c r="S3608" s="4" t="n"/>
      <c r="T3608" s="5" t="n"/>
      <c r="U3608" s="8">
        <f>IF(AND(V3608=1,D3608&lt;&gt;""),IF(D3608&gt;=corte,TODAY()-D3608,""),"")</f>
        <v/>
      </c>
      <c r="V3608" s="8">
        <f>IF(D3608="",0,IF(OR(AND(P3608&lt;&gt;"",S3608=""),AND(N(J3608)&gt;0,N(K3608)&lt;J3608),OR(M3608="PENDENTE",M3608="PARCIAL"),OR(N3608="PENDENTE",N3608="PARCIAL")),1,0))</f>
        <v/>
      </c>
      <c r="W3608" s="8">
        <f>IF(AND(V3608=1,D3608&lt;&gt;""),IF(D3608&gt;=corte,(B3608="CRÍTICO")*1E9+(100000-D3608)*10000+10000-ROW(),""),"")</f>
        <v/>
      </c>
      <c r="X3608" s="8">
        <f>IF(AND(V3608=1,D3608=pas_data,E3608=pas_turno),10000-ROW(),"")</f>
        <v/>
      </c>
    </row>
    <row r="3609">
      <c r="A3609" s="3">
        <f>IF(D3609="","","TT-"&amp;TEXT(ROW()-1,"00000"))</f>
        <v/>
      </c>
      <c r="B3609" s="3">
        <f>IF(D3609="","",IF(V3609=0,"CONCLUÍDO",IF(D3609&lt;corte,"HISTÓRICO",IF(OR(AND(ISNUMBER(R3609),R3609&lt;TODAY()),AND(OR(N3609="PENDENTE",N3609="PARCIAL"),D3609&lt;TODAY()-1)),"CRÍTICO",IF(OR(AND(P3609&lt;&gt;"",S3609=""),AND(N3609="REALIZADO",M3609="PENDENTE"),AND(ISNUMBER(R3609),R3609=TODAY())),"ATENÇÃO",IF(N(K3609)=0,"PENDENTE","EM ANDAMENTO"))))))</f>
        <v/>
      </c>
      <c r="C3609" s="3">
        <f>IF(D3609="","",IF(V3609=0,"🟢 OK",IF(D3609&lt;corte,"⚪ HISTÓRICO (sem baixa)",IF(AND(ISNUMBER(R3609),R3609&lt;TODAY()),"🔴 PRAZO VENCIDO",IF(AND(OR(N3609="PENDENTE",N3609="PARCIAL"),D3609&lt;TODAY()-1),"🔴 EMBARQUE ATRASADO",IF(AND(N3609="REALIZADO",M3609="PENDENTE"),"🟡 EMBARCADO SEM FATURAR",IF(AND(P3609&lt;&gt;"",S3609="",OR(Q3609="",R3609="")),"🟡 PENDÊNCIA SEM RESPONSÁVEL/PRAZO",IF(AND(ISNUMBER(R3609),R3609=TODAY()),"🟡 VENCE HOJE",IF(AND(P3609&lt;&gt;"",S3609=""),"🟡 PENDÊNCIA ABERTA",IF(AND(N(J3609)&gt;0,N(K3609)&lt;J3609),"🟡 FALTA EXECUTAR",IF(OR(M3609="PENDENTE",M3609="PARCIAL"),"🟡 FATURAMENTO PENDENTE","🟡 EMBARQUE PENDENTE")))))))))))</f>
        <v/>
      </c>
      <c r="D3609" s="4" t="n"/>
      <c r="E3609" s="5" t="n"/>
      <c r="F3609" s="5" t="n"/>
      <c r="G3609" s="5" t="n"/>
      <c r="H3609" s="5" t="n"/>
      <c r="I3609" s="5" t="n"/>
      <c r="J3609" s="6" t="n"/>
      <c r="K3609" s="6" t="n"/>
      <c r="L3609" s="7">
        <f>IF(OR(D3609="",N(J3609)=0),"",MIN(1,N(K3609)/J3609))</f>
        <v/>
      </c>
      <c r="M3609" s="5" t="n"/>
      <c r="N3609" s="5" t="n"/>
      <c r="O3609" s="5" t="n"/>
      <c r="P3609" s="5" t="n"/>
      <c r="Q3609" s="5" t="n"/>
      <c r="R3609" s="4" t="n"/>
      <c r="S3609" s="4" t="n"/>
      <c r="T3609" s="5" t="n"/>
      <c r="U3609" s="8">
        <f>IF(AND(V3609=1,D3609&lt;&gt;""),IF(D3609&gt;=corte,TODAY()-D3609,""),"")</f>
        <v/>
      </c>
      <c r="V3609" s="8">
        <f>IF(D3609="",0,IF(OR(AND(P3609&lt;&gt;"",S3609=""),AND(N(J3609)&gt;0,N(K3609)&lt;J3609),OR(M3609="PENDENTE",M3609="PARCIAL"),OR(N3609="PENDENTE",N3609="PARCIAL")),1,0))</f>
        <v/>
      </c>
      <c r="W3609" s="8">
        <f>IF(AND(V3609=1,D3609&lt;&gt;""),IF(D3609&gt;=corte,(B3609="CRÍTICO")*1E9+(100000-D3609)*10000+10000-ROW(),""),"")</f>
        <v/>
      </c>
      <c r="X3609" s="8">
        <f>IF(AND(V3609=1,D3609=pas_data,E3609=pas_turno),10000-ROW(),"")</f>
        <v/>
      </c>
    </row>
    <row r="3610">
      <c r="A3610" s="3">
        <f>IF(D3610="","","TT-"&amp;TEXT(ROW()-1,"00000"))</f>
        <v/>
      </c>
      <c r="B3610" s="3">
        <f>IF(D3610="","",IF(V3610=0,"CONCLUÍDO",IF(D3610&lt;corte,"HISTÓRICO",IF(OR(AND(ISNUMBER(R3610),R3610&lt;TODAY()),AND(OR(N3610="PENDENTE",N3610="PARCIAL"),D3610&lt;TODAY()-1)),"CRÍTICO",IF(OR(AND(P3610&lt;&gt;"",S3610=""),AND(N3610="REALIZADO",M3610="PENDENTE"),AND(ISNUMBER(R3610),R3610=TODAY())),"ATENÇÃO",IF(N(K3610)=0,"PENDENTE","EM ANDAMENTO"))))))</f>
        <v/>
      </c>
      <c r="C3610" s="3">
        <f>IF(D3610="","",IF(V3610=0,"🟢 OK",IF(D3610&lt;corte,"⚪ HISTÓRICO (sem baixa)",IF(AND(ISNUMBER(R3610),R3610&lt;TODAY()),"🔴 PRAZO VENCIDO",IF(AND(OR(N3610="PENDENTE",N3610="PARCIAL"),D3610&lt;TODAY()-1),"🔴 EMBARQUE ATRASADO",IF(AND(N3610="REALIZADO",M3610="PENDENTE"),"🟡 EMBARCADO SEM FATURAR",IF(AND(P3610&lt;&gt;"",S3610="",OR(Q3610="",R3610="")),"🟡 PENDÊNCIA SEM RESPONSÁVEL/PRAZO",IF(AND(ISNUMBER(R3610),R3610=TODAY()),"🟡 VENCE HOJE",IF(AND(P3610&lt;&gt;"",S3610=""),"🟡 PENDÊNCIA ABERTA",IF(AND(N(J3610)&gt;0,N(K3610)&lt;J3610),"🟡 FALTA EXECUTAR",IF(OR(M3610="PENDENTE",M3610="PARCIAL"),"🟡 FATURAMENTO PENDENTE","🟡 EMBARQUE PENDENTE")))))))))))</f>
        <v/>
      </c>
      <c r="D3610" s="4" t="n"/>
      <c r="E3610" s="5" t="n"/>
      <c r="F3610" s="5" t="n"/>
      <c r="G3610" s="5" t="n"/>
      <c r="H3610" s="5" t="n"/>
      <c r="I3610" s="5" t="n"/>
      <c r="J3610" s="6" t="n"/>
      <c r="K3610" s="6" t="n"/>
      <c r="L3610" s="7">
        <f>IF(OR(D3610="",N(J3610)=0),"",MIN(1,N(K3610)/J3610))</f>
        <v/>
      </c>
      <c r="M3610" s="5" t="n"/>
      <c r="N3610" s="5" t="n"/>
      <c r="O3610" s="5" t="n"/>
      <c r="P3610" s="5" t="n"/>
      <c r="Q3610" s="5" t="n"/>
      <c r="R3610" s="4" t="n"/>
      <c r="S3610" s="4" t="n"/>
      <c r="T3610" s="5" t="n"/>
      <c r="U3610" s="8">
        <f>IF(AND(V3610=1,D3610&lt;&gt;""),IF(D3610&gt;=corte,TODAY()-D3610,""),"")</f>
        <v/>
      </c>
      <c r="V3610" s="8">
        <f>IF(D3610="",0,IF(OR(AND(P3610&lt;&gt;"",S3610=""),AND(N(J3610)&gt;0,N(K3610)&lt;J3610),OR(M3610="PENDENTE",M3610="PARCIAL"),OR(N3610="PENDENTE",N3610="PARCIAL")),1,0))</f>
        <v/>
      </c>
      <c r="W3610" s="8">
        <f>IF(AND(V3610=1,D3610&lt;&gt;""),IF(D3610&gt;=corte,(B3610="CRÍTICO")*1E9+(100000-D3610)*10000+10000-ROW(),""),"")</f>
        <v/>
      </c>
      <c r="X3610" s="8">
        <f>IF(AND(V3610=1,D3610=pas_data,E3610=pas_turno),10000-ROW(),"")</f>
        <v/>
      </c>
    </row>
    <row r="3611">
      <c r="A3611" s="3">
        <f>IF(D3611="","","TT-"&amp;TEXT(ROW()-1,"00000"))</f>
        <v/>
      </c>
      <c r="B3611" s="3">
        <f>IF(D3611="","",IF(V3611=0,"CONCLUÍDO",IF(D3611&lt;corte,"HISTÓRICO",IF(OR(AND(ISNUMBER(R3611),R3611&lt;TODAY()),AND(OR(N3611="PENDENTE",N3611="PARCIAL"),D3611&lt;TODAY()-1)),"CRÍTICO",IF(OR(AND(P3611&lt;&gt;"",S3611=""),AND(N3611="REALIZADO",M3611="PENDENTE"),AND(ISNUMBER(R3611),R3611=TODAY())),"ATENÇÃO",IF(N(K3611)=0,"PENDENTE","EM ANDAMENTO"))))))</f>
        <v/>
      </c>
      <c r="C3611" s="3">
        <f>IF(D3611="","",IF(V3611=0,"🟢 OK",IF(D3611&lt;corte,"⚪ HISTÓRICO (sem baixa)",IF(AND(ISNUMBER(R3611),R3611&lt;TODAY()),"🔴 PRAZO VENCIDO",IF(AND(OR(N3611="PENDENTE",N3611="PARCIAL"),D3611&lt;TODAY()-1),"🔴 EMBARQUE ATRASADO",IF(AND(N3611="REALIZADO",M3611="PENDENTE"),"🟡 EMBARCADO SEM FATURAR",IF(AND(P3611&lt;&gt;"",S3611="",OR(Q3611="",R3611="")),"🟡 PENDÊNCIA SEM RESPONSÁVEL/PRAZO",IF(AND(ISNUMBER(R3611),R3611=TODAY()),"🟡 VENCE HOJE",IF(AND(P3611&lt;&gt;"",S3611=""),"🟡 PENDÊNCIA ABERTA",IF(AND(N(J3611)&gt;0,N(K3611)&lt;J3611),"🟡 FALTA EXECUTAR",IF(OR(M3611="PENDENTE",M3611="PARCIAL"),"🟡 FATURAMENTO PENDENTE","🟡 EMBARQUE PENDENTE")))))))))))</f>
        <v/>
      </c>
      <c r="D3611" s="4" t="n"/>
      <c r="E3611" s="5" t="n"/>
      <c r="F3611" s="5" t="n"/>
      <c r="G3611" s="5" t="n"/>
      <c r="H3611" s="5" t="n"/>
      <c r="I3611" s="5" t="n"/>
      <c r="J3611" s="6" t="n"/>
      <c r="K3611" s="6" t="n"/>
      <c r="L3611" s="7">
        <f>IF(OR(D3611="",N(J3611)=0),"",MIN(1,N(K3611)/J3611))</f>
        <v/>
      </c>
      <c r="M3611" s="5" t="n"/>
      <c r="N3611" s="5" t="n"/>
      <c r="O3611" s="5" t="n"/>
      <c r="P3611" s="5" t="n"/>
      <c r="Q3611" s="5" t="n"/>
      <c r="R3611" s="4" t="n"/>
      <c r="S3611" s="4" t="n"/>
      <c r="T3611" s="5" t="n"/>
      <c r="U3611" s="8">
        <f>IF(AND(V3611=1,D3611&lt;&gt;""),IF(D3611&gt;=corte,TODAY()-D3611,""),"")</f>
        <v/>
      </c>
      <c r="V3611" s="8">
        <f>IF(D3611="",0,IF(OR(AND(P3611&lt;&gt;"",S3611=""),AND(N(J3611)&gt;0,N(K3611)&lt;J3611),OR(M3611="PENDENTE",M3611="PARCIAL"),OR(N3611="PENDENTE",N3611="PARCIAL")),1,0))</f>
        <v/>
      </c>
      <c r="W3611" s="8">
        <f>IF(AND(V3611=1,D3611&lt;&gt;""),IF(D3611&gt;=corte,(B3611="CRÍTICO")*1E9+(100000-D3611)*10000+10000-ROW(),""),"")</f>
        <v/>
      </c>
      <c r="X3611" s="8">
        <f>IF(AND(V3611=1,D3611=pas_data,E3611=pas_turno),10000-ROW(),"")</f>
        <v/>
      </c>
    </row>
    <row r="3612">
      <c r="A3612" s="3">
        <f>IF(D3612="","","TT-"&amp;TEXT(ROW()-1,"00000"))</f>
        <v/>
      </c>
      <c r="B3612" s="3">
        <f>IF(D3612="","",IF(V3612=0,"CONCLUÍDO",IF(D3612&lt;corte,"HISTÓRICO",IF(OR(AND(ISNUMBER(R3612),R3612&lt;TODAY()),AND(OR(N3612="PENDENTE",N3612="PARCIAL"),D3612&lt;TODAY()-1)),"CRÍTICO",IF(OR(AND(P3612&lt;&gt;"",S3612=""),AND(N3612="REALIZADO",M3612="PENDENTE"),AND(ISNUMBER(R3612),R3612=TODAY())),"ATENÇÃO",IF(N(K3612)=0,"PENDENTE","EM ANDAMENTO"))))))</f>
        <v/>
      </c>
      <c r="C3612" s="3">
        <f>IF(D3612="","",IF(V3612=0,"🟢 OK",IF(D3612&lt;corte,"⚪ HISTÓRICO (sem baixa)",IF(AND(ISNUMBER(R3612),R3612&lt;TODAY()),"🔴 PRAZO VENCIDO",IF(AND(OR(N3612="PENDENTE",N3612="PARCIAL"),D3612&lt;TODAY()-1),"🔴 EMBARQUE ATRASADO",IF(AND(N3612="REALIZADO",M3612="PENDENTE"),"🟡 EMBARCADO SEM FATURAR",IF(AND(P3612&lt;&gt;"",S3612="",OR(Q3612="",R3612="")),"🟡 PENDÊNCIA SEM RESPONSÁVEL/PRAZO",IF(AND(ISNUMBER(R3612),R3612=TODAY()),"🟡 VENCE HOJE",IF(AND(P3612&lt;&gt;"",S3612=""),"🟡 PENDÊNCIA ABERTA",IF(AND(N(J3612)&gt;0,N(K3612)&lt;J3612),"🟡 FALTA EXECUTAR",IF(OR(M3612="PENDENTE",M3612="PARCIAL"),"🟡 FATURAMENTO PENDENTE","🟡 EMBARQUE PENDENTE")))))))))))</f>
        <v/>
      </c>
      <c r="D3612" s="4" t="n"/>
      <c r="E3612" s="5" t="n"/>
      <c r="F3612" s="5" t="n"/>
      <c r="G3612" s="5" t="n"/>
      <c r="H3612" s="5" t="n"/>
      <c r="I3612" s="5" t="n"/>
      <c r="J3612" s="6" t="n"/>
      <c r="K3612" s="6" t="n"/>
      <c r="L3612" s="7">
        <f>IF(OR(D3612="",N(J3612)=0),"",MIN(1,N(K3612)/J3612))</f>
        <v/>
      </c>
      <c r="M3612" s="5" t="n"/>
      <c r="N3612" s="5" t="n"/>
      <c r="O3612" s="5" t="n"/>
      <c r="P3612" s="5" t="n"/>
      <c r="Q3612" s="5" t="n"/>
      <c r="R3612" s="4" t="n"/>
      <c r="S3612" s="4" t="n"/>
      <c r="T3612" s="5" t="n"/>
      <c r="U3612" s="8">
        <f>IF(AND(V3612=1,D3612&lt;&gt;""),IF(D3612&gt;=corte,TODAY()-D3612,""),"")</f>
        <v/>
      </c>
      <c r="V3612" s="8">
        <f>IF(D3612="",0,IF(OR(AND(P3612&lt;&gt;"",S3612=""),AND(N(J3612)&gt;0,N(K3612)&lt;J3612),OR(M3612="PENDENTE",M3612="PARCIAL"),OR(N3612="PENDENTE",N3612="PARCIAL")),1,0))</f>
        <v/>
      </c>
      <c r="W3612" s="8">
        <f>IF(AND(V3612=1,D3612&lt;&gt;""),IF(D3612&gt;=corte,(B3612="CRÍTICO")*1E9+(100000-D3612)*10000+10000-ROW(),""),"")</f>
        <v/>
      </c>
      <c r="X3612" s="8">
        <f>IF(AND(V3612=1,D3612=pas_data,E3612=pas_turno),10000-ROW(),"")</f>
        <v/>
      </c>
    </row>
    <row r="3613">
      <c r="A3613" s="3">
        <f>IF(D3613="","","TT-"&amp;TEXT(ROW()-1,"00000"))</f>
        <v/>
      </c>
      <c r="B3613" s="3">
        <f>IF(D3613="","",IF(V3613=0,"CONCLUÍDO",IF(D3613&lt;corte,"HISTÓRICO",IF(OR(AND(ISNUMBER(R3613),R3613&lt;TODAY()),AND(OR(N3613="PENDENTE",N3613="PARCIAL"),D3613&lt;TODAY()-1)),"CRÍTICO",IF(OR(AND(P3613&lt;&gt;"",S3613=""),AND(N3613="REALIZADO",M3613="PENDENTE"),AND(ISNUMBER(R3613),R3613=TODAY())),"ATENÇÃO",IF(N(K3613)=0,"PENDENTE","EM ANDAMENTO"))))))</f>
        <v/>
      </c>
      <c r="C3613" s="3">
        <f>IF(D3613="","",IF(V3613=0,"🟢 OK",IF(D3613&lt;corte,"⚪ HISTÓRICO (sem baixa)",IF(AND(ISNUMBER(R3613),R3613&lt;TODAY()),"🔴 PRAZO VENCIDO",IF(AND(OR(N3613="PENDENTE",N3613="PARCIAL"),D3613&lt;TODAY()-1),"🔴 EMBARQUE ATRASADO",IF(AND(N3613="REALIZADO",M3613="PENDENTE"),"🟡 EMBARCADO SEM FATURAR",IF(AND(P3613&lt;&gt;"",S3613="",OR(Q3613="",R3613="")),"🟡 PENDÊNCIA SEM RESPONSÁVEL/PRAZO",IF(AND(ISNUMBER(R3613),R3613=TODAY()),"🟡 VENCE HOJE",IF(AND(P3613&lt;&gt;"",S3613=""),"🟡 PENDÊNCIA ABERTA",IF(AND(N(J3613)&gt;0,N(K3613)&lt;J3613),"🟡 FALTA EXECUTAR",IF(OR(M3613="PENDENTE",M3613="PARCIAL"),"🟡 FATURAMENTO PENDENTE","🟡 EMBARQUE PENDENTE")))))))))))</f>
        <v/>
      </c>
      <c r="D3613" s="4" t="n"/>
      <c r="E3613" s="5" t="n"/>
      <c r="F3613" s="5" t="n"/>
      <c r="G3613" s="5" t="n"/>
      <c r="H3613" s="5" t="n"/>
      <c r="I3613" s="5" t="n"/>
      <c r="J3613" s="6" t="n"/>
      <c r="K3613" s="6" t="n"/>
      <c r="L3613" s="7">
        <f>IF(OR(D3613="",N(J3613)=0),"",MIN(1,N(K3613)/J3613))</f>
        <v/>
      </c>
      <c r="M3613" s="5" t="n"/>
      <c r="N3613" s="5" t="n"/>
      <c r="O3613" s="5" t="n"/>
      <c r="P3613" s="5" t="n"/>
      <c r="Q3613" s="5" t="n"/>
      <c r="R3613" s="4" t="n"/>
      <c r="S3613" s="4" t="n"/>
      <c r="T3613" s="5" t="n"/>
      <c r="U3613" s="8">
        <f>IF(AND(V3613=1,D3613&lt;&gt;""),IF(D3613&gt;=corte,TODAY()-D3613,""),"")</f>
        <v/>
      </c>
      <c r="V3613" s="8">
        <f>IF(D3613="",0,IF(OR(AND(P3613&lt;&gt;"",S3613=""),AND(N(J3613)&gt;0,N(K3613)&lt;J3613),OR(M3613="PENDENTE",M3613="PARCIAL"),OR(N3613="PENDENTE",N3613="PARCIAL")),1,0))</f>
        <v/>
      </c>
      <c r="W3613" s="8">
        <f>IF(AND(V3613=1,D3613&lt;&gt;""),IF(D3613&gt;=corte,(B3613="CRÍTICO")*1E9+(100000-D3613)*10000+10000-ROW(),""),"")</f>
        <v/>
      </c>
      <c r="X3613" s="8">
        <f>IF(AND(V3613=1,D3613=pas_data,E3613=pas_turno),10000-ROW(),"")</f>
        <v/>
      </c>
    </row>
    <row r="3614">
      <c r="A3614" s="3">
        <f>IF(D3614="","","TT-"&amp;TEXT(ROW()-1,"00000"))</f>
        <v/>
      </c>
      <c r="B3614" s="3">
        <f>IF(D3614="","",IF(V3614=0,"CONCLUÍDO",IF(D3614&lt;corte,"HISTÓRICO",IF(OR(AND(ISNUMBER(R3614),R3614&lt;TODAY()),AND(OR(N3614="PENDENTE",N3614="PARCIAL"),D3614&lt;TODAY()-1)),"CRÍTICO",IF(OR(AND(P3614&lt;&gt;"",S3614=""),AND(N3614="REALIZADO",M3614="PENDENTE"),AND(ISNUMBER(R3614),R3614=TODAY())),"ATENÇÃO",IF(N(K3614)=0,"PENDENTE","EM ANDAMENTO"))))))</f>
        <v/>
      </c>
      <c r="C3614" s="3">
        <f>IF(D3614="","",IF(V3614=0,"🟢 OK",IF(D3614&lt;corte,"⚪ HISTÓRICO (sem baixa)",IF(AND(ISNUMBER(R3614),R3614&lt;TODAY()),"🔴 PRAZO VENCIDO",IF(AND(OR(N3614="PENDENTE",N3614="PARCIAL"),D3614&lt;TODAY()-1),"🔴 EMBARQUE ATRASADO",IF(AND(N3614="REALIZADO",M3614="PENDENTE"),"🟡 EMBARCADO SEM FATURAR",IF(AND(P3614&lt;&gt;"",S3614="",OR(Q3614="",R3614="")),"🟡 PENDÊNCIA SEM RESPONSÁVEL/PRAZO",IF(AND(ISNUMBER(R3614),R3614=TODAY()),"🟡 VENCE HOJE",IF(AND(P3614&lt;&gt;"",S3614=""),"🟡 PENDÊNCIA ABERTA",IF(AND(N(J3614)&gt;0,N(K3614)&lt;J3614),"🟡 FALTA EXECUTAR",IF(OR(M3614="PENDENTE",M3614="PARCIAL"),"🟡 FATURAMENTO PENDENTE","🟡 EMBARQUE PENDENTE")))))))))))</f>
        <v/>
      </c>
      <c r="D3614" s="4" t="n"/>
      <c r="E3614" s="5" t="n"/>
      <c r="F3614" s="5" t="n"/>
      <c r="G3614" s="5" t="n"/>
      <c r="H3614" s="5" t="n"/>
      <c r="I3614" s="5" t="n"/>
      <c r="J3614" s="6" t="n"/>
      <c r="K3614" s="6" t="n"/>
      <c r="L3614" s="7">
        <f>IF(OR(D3614="",N(J3614)=0),"",MIN(1,N(K3614)/J3614))</f>
        <v/>
      </c>
      <c r="M3614" s="5" t="n"/>
      <c r="N3614" s="5" t="n"/>
      <c r="O3614" s="5" t="n"/>
      <c r="P3614" s="5" t="n"/>
      <c r="Q3614" s="5" t="n"/>
      <c r="R3614" s="4" t="n"/>
      <c r="S3614" s="4" t="n"/>
      <c r="T3614" s="5" t="n"/>
      <c r="U3614" s="8">
        <f>IF(AND(V3614=1,D3614&lt;&gt;""),IF(D3614&gt;=corte,TODAY()-D3614,""),"")</f>
        <v/>
      </c>
      <c r="V3614" s="8">
        <f>IF(D3614="",0,IF(OR(AND(P3614&lt;&gt;"",S3614=""),AND(N(J3614)&gt;0,N(K3614)&lt;J3614),OR(M3614="PENDENTE",M3614="PARCIAL"),OR(N3614="PENDENTE",N3614="PARCIAL")),1,0))</f>
        <v/>
      </c>
      <c r="W3614" s="8">
        <f>IF(AND(V3614=1,D3614&lt;&gt;""),IF(D3614&gt;=corte,(B3614="CRÍTICO")*1E9+(100000-D3614)*10000+10000-ROW(),""),"")</f>
        <v/>
      </c>
      <c r="X3614" s="8">
        <f>IF(AND(V3614=1,D3614=pas_data,E3614=pas_turno),10000-ROW(),"")</f>
        <v/>
      </c>
    </row>
    <row r="3615">
      <c r="A3615" s="3">
        <f>IF(D3615="","","TT-"&amp;TEXT(ROW()-1,"00000"))</f>
        <v/>
      </c>
      <c r="B3615" s="3">
        <f>IF(D3615="","",IF(V3615=0,"CONCLUÍDO",IF(D3615&lt;corte,"HISTÓRICO",IF(OR(AND(ISNUMBER(R3615),R3615&lt;TODAY()),AND(OR(N3615="PENDENTE",N3615="PARCIAL"),D3615&lt;TODAY()-1)),"CRÍTICO",IF(OR(AND(P3615&lt;&gt;"",S3615=""),AND(N3615="REALIZADO",M3615="PENDENTE"),AND(ISNUMBER(R3615),R3615=TODAY())),"ATENÇÃO",IF(N(K3615)=0,"PENDENTE","EM ANDAMENTO"))))))</f>
        <v/>
      </c>
      <c r="C3615" s="3">
        <f>IF(D3615="","",IF(V3615=0,"🟢 OK",IF(D3615&lt;corte,"⚪ HISTÓRICO (sem baixa)",IF(AND(ISNUMBER(R3615),R3615&lt;TODAY()),"🔴 PRAZO VENCIDO",IF(AND(OR(N3615="PENDENTE",N3615="PARCIAL"),D3615&lt;TODAY()-1),"🔴 EMBARQUE ATRASADO",IF(AND(N3615="REALIZADO",M3615="PENDENTE"),"🟡 EMBARCADO SEM FATURAR",IF(AND(P3615&lt;&gt;"",S3615="",OR(Q3615="",R3615="")),"🟡 PENDÊNCIA SEM RESPONSÁVEL/PRAZO",IF(AND(ISNUMBER(R3615),R3615=TODAY()),"🟡 VENCE HOJE",IF(AND(P3615&lt;&gt;"",S3615=""),"🟡 PENDÊNCIA ABERTA",IF(AND(N(J3615)&gt;0,N(K3615)&lt;J3615),"🟡 FALTA EXECUTAR",IF(OR(M3615="PENDENTE",M3615="PARCIAL"),"🟡 FATURAMENTO PENDENTE","🟡 EMBARQUE PENDENTE")))))))))))</f>
        <v/>
      </c>
      <c r="D3615" s="4" t="n"/>
      <c r="E3615" s="5" t="n"/>
      <c r="F3615" s="5" t="n"/>
      <c r="G3615" s="5" t="n"/>
      <c r="H3615" s="5" t="n"/>
      <c r="I3615" s="5" t="n"/>
      <c r="J3615" s="6" t="n"/>
      <c r="K3615" s="6" t="n"/>
      <c r="L3615" s="7">
        <f>IF(OR(D3615="",N(J3615)=0),"",MIN(1,N(K3615)/J3615))</f>
        <v/>
      </c>
      <c r="M3615" s="5" t="n"/>
      <c r="N3615" s="5" t="n"/>
      <c r="O3615" s="5" t="n"/>
      <c r="P3615" s="5" t="n"/>
      <c r="Q3615" s="5" t="n"/>
      <c r="R3615" s="4" t="n"/>
      <c r="S3615" s="4" t="n"/>
      <c r="T3615" s="5" t="n"/>
      <c r="U3615" s="8">
        <f>IF(AND(V3615=1,D3615&lt;&gt;""),IF(D3615&gt;=corte,TODAY()-D3615,""),"")</f>
        <v/>
      </c>
      <c r="V3615" s="8">
        <f>IF(D3615="",0,IF(OR(AND(P3615&lt;&gt;"",S3615=""),AND(N(J3615)&gt;0,N(K3615)&lt;J3615),OR(M3615="PENDENTE",M3615="PARCIAL"),OR(N3615="PENDENTE",N3615="PARCIAL")),1,0))</f>
        <v/>
      </c>
      <c r="W3615" s="8">
        <f>IF(AND(V3615=1,D3615&lt;&gt;""),IF(D3615&gt;=corte,(B3615="CRÍTICO")*1E9+(100000-D3615)*10000+10000-ROW(),""),"")</f>
        <v/>
      </c>
      <c r="X3615" s="8">
        <f>IF(AND(V3615=1,D3615=pas_data,E3615=pas_turno),10000-ROW(),"")</f>
        <v/>
      </c>
    </row>
    <row r="3616">
      <c r="A3616" s="3">
        <f>IF(D3616="","","TT-"&amp;TEXT(ROW()-1,"00000"))</f>
        <v/>
      </c>
      <c r="B3616" s="3">
        <f>IF(D3616="","",IF(V3616=0,"CONCLUÍDO",IF(D3616&lt;corte,"HISTÓRICO",IF(OR(AND(ISNUMBER(R3616),R3616&lt;TODAY()),AND(OR(N3616="PENDENTE",N3616="PARCIAL"),D3616&lt;TODAY()-1)),"CRÍTICO",IF(OR(AND(P3616&lt;&gt;"",S3616=""),AND(N3616="REALIZADO",M3616="PENDENTE"),AND(ISNUMBER(R3616),R3616=TODAY())),"ATENÇÃO",IF(N(K3616)=0,"PENDENTE","EM ANDAMENTO"))))))</f>
        <v/>
      </c>
      <c r="C3616" s="3">
        <f>IF(D3616="","",IF(V3616=0,"🟢 OK",IF(D3616&lt;corte,"⚪ HISTÓRICO (sem baixa)",IF(AND(ISNUMBER(R3616),R3616&lt;TODAY()),"🔴 PRAZO VENCIDO",IF(AND(OR(N3616="PENDENTE",N3616="PARCIAL"),D3616&lt;TODAY()-1),"🔴 EMBARQUE ATRASADO",IF(AND(N3616="REALIZADO",M3616="PENDENTE"),"🟡 EMBARCADO SEM FATURAR",IF(AND(P3616&lt;&gt;"",S3616="",OR(Q3616="",R3616="")),"🟡 PENDÊNCIA SEM RESPONSÁVEL/PRAZO",IF(AND(ISNUMBER(R3616),R3616=TODAY()),"🟡 VENCE HOJE",IF(AND(P3616&lt;&gt;"",S3616=""),"🟡 PENDÊNCIA ABERTA",IF(AND(N(J3616)&gt;0,N(K3616)&lt;J3616),"🟡 FALTA EXECUTAR",IF(OR(M3616="PENDENTE",M3616="PARCIAL"),"🟡 FATURAMENTO PENDENTE","🟡 EMBARQUE PENDENTE")))))))))))</f>
        <v/>
      </c>
      <c r="D3616" s="4" t="n"/>
      <c r="E3616" s="5" t="n"/>
      <c r="F3616" s="5" t="n"/>
      <c r="G3616" s="5" t="n"/>
      <c r="H3616" s="5" t="n"/>
      <c r="I3616" s="5" t="n"/>
      <c r="J3616" s="6" t="n"/>
      <c r="K3616" s="6" t="n"/>
      <c r="L3616" s="7">
        <f>IF(OR(D3616="",N(J3616)=0),"",MIN(1,N(K3616)/J3616))</f>
        <v/>
      </c>
      <c r="M3616" s="5" t="n"/>
      <c r="N3616" s="5" t="n"/>
      <c r="O3616" s="5" t="n"/>
      <c r="P3616" s="5" t="n"/>
      <c r="Q3616" s="5" t="n"/>
      <c r="R3616" s="4" t="n"/>
      <c r="S3616" s="4" t="n"/>
      <c r="T3616" s="5" t="n"/>
      <c r="U3616" s="8">
        <f>IF(AND(V3616=1,D3616&lt;&gt;""),IF(D3616&gt;=corte,TODAY()-D3616,""),"")</f>
        <v/>
      </c>
      <c r="V3616" s="8">
        <f>IF(D3616="",0,IF(OR(AND(P3616&lt;&gt;"",S3616=""),AND(N(J3616)&gt;0,N(K3616)&lt;J3616),OR(M3616="PENDENTE",M3616="PARCIAL"),OR(N3616="PENDENTE",N3616="PARCIAL")),1,0))</f>
        <v/>
      </c>
      <c r="W3616" s="8">
        <f>IF(AND(V3616=1,D3616&lt;&gt;""),IF(D3616&gt;=corte,(B3616="CRÍTICO")*1E9+(100000-D3616)*10000+10000-ROW(),""),"")</f>
        <v/>
      </c>
      <c r="X3616" s="8">
        <f>IF(AND(V3616=1,D3616=pas_data,E3616=pas_turno),10000-ROW(),"")</f>
        <v/>
      </c>
    </row>
    <row r="3617">
      <c r="A3617" s="3">
        <f>IF(D3617="","","TT-"&amp;TEXT(ROW()-1,"00000"))</f>
        <v/>
      </c>
      <c r="B3617" s="3">
        <f>IF(D3617="","",IF(V3617=0,"CONCLUÍDO",IF(D3617&lt;corte,"HISTÓRICO",IF(OR(AND(ISNUMBER(R3617),R3617&lt;TODAY()),AND(OR(N3617="PENDENTE",N3617="PARCIAL"),D3617&lt;TODAY()-1)),"CRÍTICO",IF(OR(AND(P3617&lt;&gt;"",S3617=""),AND(N3617="REALIZADO",M3617="PENDENTE"),AND(ISNUMBER(R3617),R3617=TODAY())),"ATENÇÃO",IF(N(K3617)=0,"PENDENTE","EM ANDAMENTO"))))))</f>
        <v/>
      </c>
      <c r="C3617" s="3">
        <f>IF(D3617="","",IF(V3617=0,"🟢 OK",IF(D3617&lt;corte,"⚪ HISTÓRICO (sem baixa)",IF(AND(ISNUMBER(R3617),R3617&lt;TODAY()),"🔴 PRAZO VENCIDO",IF(AND(OR(N3617="PENDENTE",N3617="PARCIAL"),D3617&lt;TODAY()-1),"🔴 EMBARQUE ATRASADO",IF(AND(N3617="REALIZADO",M3617="PENDENTE"),"🟡 EMBARCADO SEM FATURAR",IF(AND(P3617&lt;&gt;"",S3617="",OR(Q3617="",R3617="")),"🟡 PENDÊNCIA SEM RESPONSÁVEL/PRAZO",IF(AND(ISNUMBER(R3617),R3617=TODAY()),"🟡 VENCE HOJE",IF(AND(P3617&lt;&gt;"",S3617=""),"🟡 PENDÊNCIA ABERTA",IF(AND(N(J3617)&gt;0,N(K3617)&lt;J3617),"🟡 FALTA EXECUTAR",IF(OR(M3617="PENDENTE",M3617="PARCIAL"),"🟡 FATURAMENTO PENDENTE","🟡 EMBARQUE PENDENTE")))))))))))</f>
        <v/>
      </c>
      <c r="D3617" s="4" t="n"/>
      <c r="E3617" s="5" t="n"/>
      <c r="F3617" s="5" t="n"/>
      <c r="G3617" s="5" t="n"/>
      <c r="H3617" s="5" t="n"/>
      <c r="I3617" s="5" t="n"/>
      <c r="J3617" s="6" t="n"/>
      <c r="K3617" s="6" t="n"/>
      <c r="L3617" s="7">
        <f>IF(OR(D3617="",N(J3617)=0),"",MIN(1,N(K3617)/J3617))</f>
        <v/>
      </c>
      <c r="M3617" s="5" t="n"/>
      <c r="N3617" s="5" t="n"/>
      <c r="O3617" s="5" t="n"/>
      <c r="P3617" s="5" t="n"/>
      <c r="Q3617" s="5" t="n"/>
      <c r="R3617" s="4" t="n"/>
      <c r="S3617" s="4" t="n"/>
      <c r="T3617" s="5" t="n"/>
      <c r="U3617" s="8">
        <f>IF(AND(V3617=1,D3617&lt;&gt;""),IF(D3617&gt;=corte,TODAY()-D3617,""),"")</f>
        <v/>
      </c>
      <c r="V3617" s="8">
        <f>IF(D3617="",0,IF(OR(AND(P3617&lt;&gt;"",S3617=""),AND(N(J3617)&gt;0,N(K3617)&lt;J3617),OR(M3617="PENDENTE",M3617="PARCIAL"),OR(N3617="PENDENTE",N3617="PARCIAL")),1,0))</f>
        <v/>
      </c>
      <c r="W3617" s="8">
        <f>IF(AND(V3617=1,D3617&lt;&gt;""),IF(D3617&gt;=corte,(B3617="CRÍTICO")*1E9+(100000-D3617)*10000+10000-ROW(),""),"")</f>
        <v/>
      </c>
      <c r="X3617" s="8">
        <f>IF(AND(V3617=1,D3617=pas_data,E3617=pas_turno),10000-ROW(),"")</f>
        <v/>
      </c>
    </row>
    <row r="3618">
      <c r="A3618" s="3">
        <f>IF(D3618="","","TT-"&amp;TEXT(ROW()-1,"00000"))</f>
        <v/>
      </c>
      <c r="B3618" s="3">
        <f>IF(D3618="","",IF(V3618=0,"CONCLUÍDO",IF(D3618&lt;corte,"HISTÓRICO",IF(OR(AND(ISNUMBER(R3618),R3618&lt;TODAY()),AND(OR(N3618="PENDENTE",N3618="PARCIAL"),D3618&lt;TODAY()-1)),"CRÍTICO",IF(OR(AND(P3618&lt;&gt;"",S3618=""),AND(N3618="REALIZADO",M3618="PENDENTE"),AND(ISNUMBER(R3618),R3618=TODAY())),"ATENÇÃO",IF(N(K3618)=0,"PENDENTE","EM ANDAMENTO"))))))</f>
        <v/>
      </c>
      <c r="C3618" s="3">
        <f>IF(D3618="","",IF(V3618=0,"🟢 OK",IF(D3618&lt;corte,"⚪ HISTÓRICO (sem baixa)",IF(AND(ISNUMBER(R3618),R3618&lt;TODAY()),"🔴 PRAZO VENCIDO",IF(AND(OR(N3618="PENDENTE",N3618="PARCIAL"),D3618&lt;TODAY()-1),"🔴 EMBARQUE ATRASADO",IF(AND(N3618="REALIZADO",M3618="PENDENTE"),"🟡 EMBARCADO SEM FATURAR",IF(AND(P3618&lt;&gt;"",S3618="",OR(Q3618="",R3618="")),"🟡 PENDÊNCIA SEM RESPONSÁVEL/PRAZO",IF(AND(ISNUMBER(R3618),R3618=TODAY()),"🟡 VENCE HOJE",IF(AND(P3618&lt;&gt;"",S3618=""),"🟡 PENDÊNCIA ABERTA",IF(AND(N(J3618)&gt;0,N(K3618)&lt;J3618),"🟡 FALTA EXECUTAR",IF(OR(M3618="PENDENTE",M3618="PARCIAL"),"🟡 FATURAMENTO PENDENTE","🟡 EMBARQUE PENDENTE")))))))))))</f>
        <v/>
      </c>
      <c r="D3618" s="4" t="n"/>
      <c r="E3618" s="5" t="n"/>
      <c r="F3618" s="5" t="n"/>
      <c r="G3618" s="5" t="n"/>
      <c r="H3618" s="5" t="n"/>
      <c r="I3618" s="5" t="n"/>
      <c r="J3618" s="6" t="n"/>
      <c r="K3618" s="6" t="n"/>
      <c r="L3618" s="7">
        <f>IF(OR(D3618="",N(J3618)=0),"",MIN(1,N(K3618)/J3618))</f>
        <v/>
      </c>
      <c r="M3618" s="5" t="n"/>
      <c r="N3618" s="5" t="n"/>
      <c r="O3618" s="5" t="n"/>
      <c r="P3618" s="5" t="n"/>
      <c r="Q3618" s="5" t="n"/>
      <c r="R3618" s="4" t="n"/>
      <c r="S3618" s="4" t="n"/>
      <c r="T3618" s="5" t="n"/>
      <c r="U3618" s="8">
        <f>IF(AND(V3618=1,D3618&lt;&gt;""),IF(D3618&gt;=corte,TODAY()-D3618,""),"")</f>
        <v/>
      </c>
      <c r="V3618" s="8">
        <f>IF(D3618="",0,IF(OR(AND(P3618&lt;&gt;"",S3618=""),AND(N(J3618)&gt;0,N(K3618)&lt;J3618),OR(M3618="PENDENTE",M3618="PARCIAL"),OR(N3618="PENDENTE",N3618="PARCIAL")),1,0))</f>
        <v/>
      </c>
      <c r="W3618" s="8">
        <f>IF(AND(V3618=1,D3618&lt;&gt;""),IF(D3618&gt;=corte,(B3618="CRÍTICO")*1E9+(100000-D3618)*10000+10000-ROW(),""),"")</f>
        <v/>
      </c>
      <c r="X3618" s="8">
        <f>IF(AND(V3618=1,D3618=pas_data,E3618=pas_turno),10000-ROW(),"")</f>
        <v/>
      </c>
    </row>
    <row r="3619">
      <c r="A3619" s="3">
        <f>IF(D3619="","","TT-"&amp;TEXT(ROW()-1,"00000"))</f>
        <v/>
      </c>
      <c r="B3619" s="3">
        <f>IF(D3619="","",IF(V3619=0,"CONCLUÍDO",IF(D3619&lt;corte,"HISTÓRICO",IF(OR(AND(ISNUMBER(R3619),R3619&lt;TODAY()),AND(OR(N3619="PENDENTE",N3619="PARCIAL"),D3619&lt;TODAY()-1)),"CRÍTICO",IF(OR(AND(P3619&lt;&gt;"",S3619=""),AND(N3619="REALIZADO",M3619="PENDENTE"),AND(ISNUMBER(R3619),R3619=TODAY())),"ATENÇÃO",IF(N(K3619)=0,"PENDENTE","EM ANDAMENTO"))))))</f>
        <v/>
      </c>
      <c r="C3619" s="3">
        <f>IF(D3619="","",IF(V3619=0,"🟢 OK",IF(D3619&lt;corte,"⚪ HISTÓRICO (sem baixa)",IF(AND(ISNUMBER(R3619),R3619&lt;TODAY()),"🔴 PRAZO VENCIDO",IF(AND(OR(N3619="PENDENTE",N3619="PARCIAL"),D3619&lt;TODAY()-1),"🔴 EMBARQUE ATRASADO",IF(AND(N3619="REALIZADO",M3619="PENDENTE"),"🟡 EMBARCADO SEM FATURAR",IF(AND(P3619&lt;&gt;"",S3619="",OR(Q3619="",R3619="")),"🟡 PENDÊNCIA SEM RESPONSÁVEL/PRAZO",IF(AND(ISNUMBER(R3619),R3619=TODAY()),"🟡 VENCE HOJE",IF(AND(P3619&lt;&gt;"",S3619=""),"🟡 PENDÊNCIA ABERTA",IF(AND(N(J3619)&gt;0,N(K3619)&lt;J3619),"🟡 FALTA EXECUTAR",IF(OR(M3619="PENDENTE",M3619="PARCIAL"),"🟡 FATURAMENTO PENDENTE","🟡 EMBARQUE PENDENTE")))))))))))</f>
        <v/>
      </c>
      <c r="D3619" s="4" t="n"/>
      <c r="E3619" s="5" t="n"/>
      <c r="F3619" s="5" t="n"/>
      <c r="G3619" s="5" t="n"/>
      <c r="H3619" s="5" t="n"/>
      <c r="I3619" s="5" t="n"/>
      <c r="J3619" s="6" t="n"/>
      <c r="K3619" s="6" t="n"/>
      <c r="L3619" s="7">
        <f>IF(OR(D3619="",N(J3619)=0),"",MIN(1,N(K3619)/J3619))</f>
        <v/>
      </c>
      <c r="M3619" s="5" t="n"/>
      <c r="N3619" s="5" t="n"/>
      <c r="O3619" s="5" t="n"/>
      <c r="P3619" s="5" t="n"/>
      <c r="Q3619" s="5" t="n"/>
      <c r="R3619" s="4" t="n"/>
      <c r="S3619" s="4" t="n"/>
      <c r="T3619" s="5" t="n"/>
      <c r="U3619" s="8">
        <f>IF(AND(V3619=1,D3619&lt;&gt;""),IF(D3619&gt;=corte,TODAY()-D3619,""),"")</f>
        <v/>
      </c>
      <c r="V3619" s="8">
        <f>IF(D3619="",0,IF(OR(AND(P3619&lt;&gt;"",S3619=""),AND(N(J3619)&gt;0,N(K3619)&lt;J3619),OR(M3619="PENDENTE",M3619="PARCIAL"),OR(N3619="PENDENTE",N3619="PARCIAL")),1,0))</f>
        <v/>
      </c>
      <c r="W3619" s="8">
        <f>IF(AND(V3619=1,D3619&lt;&gt;""),IF(D3619&gt;=corte,(B3619="CRÍTICO")*1E9+(100000-D3619)*10000+10000-ROW(),""),"")</f>
        <v/>
      </c>
      <c r="X3619" s="8">
        <f>IF(AND(V3619=1,D3619=pas_data,E3619=pas_turno),10000-ROW(),"")</f>
        <v/>
      </c>
    </row>
    <row r="3620">
      <c r="A3620" s="3">
        <f>IF(D3620="","","TT-"&amp;TEXT(ROW()-1,"00000"))</f>
        <v/>
      </c>
      <c r="B3620" s="3">
        <f>IF(D3620="","",IF(V3620=0,"CONCLUÍDO",IF(D3620&lt;corte,"HISTÓRICO",IF(OR(AND(ISNUMBER(R3620),R3620&lt;TODAY()),AND(OR(N3620="PENDENTE",N3620="PARCIAL"),D3620&lt;TODAY()-1)),"CRÍTICO",IF(OR(AND(P3620&lt;&gt;"",S3620=""),AND(N3620="REALIZADO",M3620="PENDENTE"),AND(ISNUMBER(R3620),R3620=TODAY())),"ATENÇÃO",IF(N(K3620)=0,"PENDENTE","EM ANDAMENTO"))))))</f>
        <v/>
      </c>
      <c r="C3620" s="3">
        <f>IF(D3620="","",IF(V3620=0,"🟢 OK",IF(D3620&lt;corte,"⚪ HISTÓRICO (sem baixa)",IF(AND(ISNUMBER(R3620),R3620&lt;TODAY()),"🔴 PRAZO VENCIDO",IF(AND(OR(N3620="PENDENTE",N3620="PARCIAL"),D3620&lt;TODAY()-1),"🔴 EMBARQUE ATRASADO",IF(AND(N3620="REALIZADO",M3620="PENDENTE"),"🟡 EMBARCADO SEM FATURAR",IF(AND(P3620&lt;&gt;"",S3620="",OR(Q3620="",R3620="")),"🟡 PENDÊNCIA SEM RESPONSÁVEL/PRAZO",IF(AND(ISNUMBER(R3620),R3620=TODAY()),"🟡 VENCE HOJE",IF(AND(P3620&lt;&gt;"",S3620=""),"🟡 PENDÊNCIA ABERTA",IF(AND(N(J3620)&gt;0,N(K3620)&lt;J3620),"🟡 FALTA EXECUTAR",IF(OR(M3620="PENDENTE",M3620="PARCIAL"),"🟡 FATURAMENTO PENDENTE","🟡 EMBARQUE PENDENTE")))))))))))</f>
        <v/>
      </c>
      <c r="D3620" s="4" t="n"/>
      <c r="E3620" s="5" t="n"/>
      <c r="F3620" s="5" t="n"/>
      <c r="G3620" s="5" t="n"/>
      <c r="H3620" s="5" t="n"/>
      <c r="I3620" s="5" t="n"/>
      <c r="J3620" s="6" t="n"/>
      <c r="K3620" s="6" t="n"/>
      <c r="L3620" s="7">
        <f>IF(OR(D3620="",N(J3620)=0),"",MIN(1,N(K3620)/J3620))</f>
        <v/>
      </c>
      <c r="M3620" s="5" t="n"/>
      <c r="N3620" s="5" t="n"/>
      <c r="O3620" s="5" t="n"/>
      <c r="P3620" s="5" t="n"/>
      <c r="Q3620" s="5" t="n"/>
      <c r="R3620" s="4" t="n"/>
      <c r="S3620" s="4" t="n"/>
      <c r="T3620" s="5" t="n"/>
      <c r="U3620" s="8">
        <f>IF(AND(V3620=1,D3620&lt;&gt;""),IF(D3620&gt;=corte,TODAY()-D3620,""),"")</f>
        <v/>
      </c>
      <c r="V3620" s="8">
        <f>IF(D3620="",0,IF(OR(AND(P3620&lt;&gt;"",S3620=""),AND(N(J3620)&gt;0,N(K3620)&lt;J3620),OR(M3620="PENDENTE",M3620="PARCIAL"),OR(N3620="PENDENTE",N3620="PARCIAL")),1,0))</f>
        <v/>
      </c>
      <c r="W3620" s="8">
        <f>IF(AND(V3620=1,D3620&lt;&gt;""),IF(D3620&gt;=corte,(B3620="CRÍTICO")*1E9+(100000-D3620)*10000+10000-ROW(),""),"")</f>
        <v/>
      </c>
      <c r="X3620" s="8">
        <f>IF(AND(V3620=1,D3620=pas_data,E3620=pas_turno),10000-ROW(),"")</f>
        <v/>
      </c>
    </row>
    <row r="3621">
      <c r="A3621" s="3">
        <f>IF(D3621="","","TT-"&amp;TEXT(ROW()-1,"00000"))</f>
        <v/>
      </c>
      <c r="B3621" s="3">
        <f>IF(D3621="","",IF(V3621=0,"CONCLUÍDO",IF(D3621&lt;corte,"HISTÓRICO",IF(OR(AND(ISNUMBER(R3621),R3621&lt;TODAY()),AND(OR(N3621="PENDENTE",N3621="PARCIAL"),D3621&lt;TODAY()-1)),"CRÍTICO",IF(OR(AND(P3621&lt;&gt;"",S3621=""),AND(N3621="REALIZADO",M3621="PENDENTE"),AND(ISNUMBER(R3621),R3621=TODAY())),"ATENÇÃO",IF(N(K3621)=0,"PENDENTE","EM ANDAMENTO"))))))</f>
        <v/>
      </c>
      <c r="C3621" s="3">
        <f>IF(D3621="","",IF(V3621=0,"🟢 OK",IF(D3621&lt;corte,"⚪ HISTÓRICO (sem baixa)",IF(AND(ISNUMBER(R3621),R3621&lt;TODAY()),"🔴 PRAZO VENCIDO",IF(AND(OR(N3621="PENDENTE",N3621="PARCIAL"),D3621&lt;TODAY()-1),"🔴 EMBARQUE ATRASADO",IF(AND(N3621="REALIZADO",M3621="PENDENTE"),"🟡 EMBARCADO SEM FATURAR",IF(AND(P3621&lt;&gt;"",S3621="",OR(Q3621="",R3621="")),"🟡 PENDÊNCIA SEM RESPONSÁVEL/PRAZO",IF(AND(ISNUMBER(R3621),R3621=TODAY()),"🟡 VENCE HOJE",IF(AND(P3621&lt;&gt;"",S3621=""),"🟡 PENDÊNCIA ABERTA",IF(AND(N(J3621)&gt;0,N(K3621)&lt;J3621),"🟡 FALTA EXECUTAR",IF(OR(M3621="PENDENTE",M3621="PARCIAL"),"🟡 FATURAMENTO PENDENTE","🟡 EMBARQUE PENDENTE")))))))))))</f>
        <v/>
      </c>
      <c r="D3621" s="4" t="n"/>
      <c r="E3621" s="5" t="n"/>
      <c r="F3621" s="5" t="n"/>
      <c r="G3621" s="5" t="n"/>
      <c r="H3621" s="5" t="n"/>
      <c r="I3621" s="5" t="n"/>
      <c r="J3621" s="6" t="n"/>
      <c r="K3621" s="6" t="n"/>
      <c r="L3621" s="7">
        <f>IF(OR(D3621="",N(J3621)=0),"",MIN(1,N(K3621)/J3621))</f>
        <v/>
      </c>
      <c r="M3621" s="5" t="n"/>
      <c r="N3621" s="5" t="n"/>
      <c r="O3621" s="5" t="n"/>
      <c r="P3621" s="5" t="n"/>
      <c r="Q3621" s="5" t="n"/>
      <c r="R3621" s="4" t="n"/>
      <c r="S3621" s="4" t="n"/>
      <c r="T3621" s="5" t="n"/>
      <c r="U3621" s="8">
        <f>IF(AND(V3621=1,D3621&lt;&gt;""),IF(D3621&gt;=corte,TODAY()-D3621,""),"")</f>
        <v/>
      </c>
      <c r="V3621" s="8">
        <f>IF(D3621="",0,IF(OR(AND(P3621&lt;&gt;"",S3621=""),AND(N(J3621)&gt;0,N(K3621)&lt;J3621),OR(M3621="PENDENTE",M3621="PARCIAL"),OR(N3621="PENDENTE",N3621="PARCIAL")),1,0))</f>
        <v/>
      </c>
      <c r="W3621" s="8">
        <f>IF(AND(V3621=1,D3621&lt;&gt;""),IF(D3621&gt;=corte,(B3621="CRÍTICO")*1E9+(100000-D3621)*10000+10000-ROW(),""),"")</f>
        <v/>
      </c>
      <c r="X3621" s="8">
        <f>IF(AND(V3621=1,D3621=pas_data,E3621=pas_turno),10000-ROW(),"")</f>
        <v/>
      </c>
    </row>
    <row r="3622">
      <c r="A3622" s="3">
        <f>IF(D3622="","","TT-"&amp;TEXT(ROW()-1,"00000"))</f>
        <v/>
      </c>
      <c r="B3622" s="3">
        <f>IF(D3622="","",IF(V3622=0,"CONCLUÍDO",IF(D3622&lt;corte,"HISTÓRICO",IF(OR(AND(ISNUMBER(R3622),R3622&lt;TODAY()),AND(OR(N3622="PENDENTE",N3622="PARCIAL"),D3622&lt;TODAY()-1)),"CRÍTICO",IF(OR(AND(P3622&lt;&gt;"",S3622=""),AND(N3622="REALIZADO",M3622="PENDENTE"),AND(ISNUMBER(R3622),R3622=TODAY())),"ATENÇÃO",IF(N(K3622)=0,"PENDENTE","EM ANDAMENTO"))))))</f>
        <v/>
      </c>
      <c r="C3622" s="3">
        <f>IF(D3622="","",IF(V3622=0,"🟢 OK",IF(D3622&lt;corte,"⚪ HISTÓRICO (sem baixa)",IF(AND(ISNUMBER(R3622),R3622&lt;TODAY()),"🔴 PRAZO VENCIDO",IF(AND(OR(N3622="PENDENTE",N3622="PARCIAL"),D3622&lt;TODAY()-1),"🔴 EMBARQUE ATRASADO",IF(AND(N3622="REALIZADO",M3622="PENDENTE"),"🟡 EMBARCADO SEM FATURAR",IF(AND(P3622&lt;&gt;"",S3622="",OR(Q3622="",R3622="")),"🟡 PENDÊNCIA SEM RESPONSÁVEL/PRAZO",IF(AND(ISNUMBER(R3622),R3622=TODAY()),"🟡 VENCE HOJE",IF(AND(P3622&lt;&gt;"",S3622=""),"🟡 PENDÊNCIA ABERTA",IF(AND(N(J3622)&gt;0,N(K3622)&lt;J3622),"🟡 FALTA EXECUTAR",IF(OR(M3622="PENDENTE",M3622="PARCIAL"),"🟡 FATURAMENTO PENDENTE","🟡 EMBARQUE PENDENTE")))))))))))</f>
        <v/>
      </c>
      <c r="D3622" s="4" t="n"/>
      <c r="E3622" s="5" t="n"/>
      <c r="F3622" s="5" t="n"/>
      <c r="G3622" s="5" t="n"/>
      <c r="H3622" s="5" t="n"/>
      <c r="I3622" s="5" t="n"/>
      <c r="J3622" s="6" t="n"/>
      <c r="K3622" s="6" t="n"/>
      <c r="L3622" s="7">
        <f>IF(OR(D3622="",N(J3622)=0),"",MIN(1,N(K3622)/J3622))</f>
        <v/>
      </c>
      <c r="M3622" s="5" t="n"/>
      <c r="N3622" s="5" t="n"/>
      <c r="O3622" s="5" t="n"/>
      <c r="P3622" s="5" t="n"/>
      <c r="Q3622" s="5" t="n"/>
      <c r="R3622" s="4" t="n"/>
      <c r="S3622" s="4" t="n"/>
      <c r="T3622" s="5" t="n"/>
      <c r="U3622" s="8">
        <f>IF(AND(V3622=1,D3622&lt;&gt;""),IF(D3622&gt;=corte,TODAY()-D3622,""),"")</f>
        <v/>
      </c>
      <c r="V3622" s="8">
        <f>IF(D3622="",0,IF(OR(AND(P3622&lt;&gt;"",S3622=""),AND(N(J3622)&gt;0,N(K3622)&lt;J3622),OR(M3622="PENDENTE",M3622="PARCIAL"),OR(N3622="PENDENTE",N3622="PARCIAL")),1,0))</f>
        <v/>
      </c>
      <c r="W3622" s="8">
        <f>IF(AND(V3622=1,D3622&lt;&gt;""),IF(D3622&gt;=corte,(B3622="CRÍTICO")*1E9+(100000-D3622)*10000+10000-ROW(),""),"")</f>
        <v/>
      </c>
      <c r="X3622" s="8">
        <f>IF(AND(V3622=1,D3622=pas_data,E3622=pas_turno),10000-ROW(),"")</f>
        <v/>
      </c>
    </row>
    <row r="3623">
      <c r="A3623" s="3">
        <f>IF(D3623="","","TT-"&amp;TEXT(ROW()-1,"00000"))</f>
        <v/>
      </c>
      <c r="B3623" s="3">
        <f>IF(D3623="","",IF(V3623=0,"CONCLUÍDO",IF(D3623&lt;corte,"HISTÓRICO",IF(OR(AND(ISNUMBER(R3623),R3623&lt;TODAY()),AND(OR(N3623="PENDENTE",N3623="PARCIAL"),D3623&lt;TODAY()-1)),"CRÍTICO",IF(OR(AND(P3623&lt;&gt;"",S3623=""),AND(N3623="REALIZADO",M3623="PENDENTE"),AND(ISNUMBER(R3623),R3623=TODAY())),"ATENÇÃO",IF(N(K3623)=0,"PENDENTE","EM ANDAMENTO"))))))</f>
        <v/>
      </c>
      <c r="C3623" s="3">
        <f>IF(D3623="","",IF(V3623=0,"🟢 OK",IF(D3623&lt;corte,"⚪ HISTÓRICO (sem baixa)",IF(AND(ISNUMBER(R3623),R3623&lt;TODAY()),"🔴 PRAZO VENCIDO",IF(AND(OR(N3623="PENDENTE",N3623="PARCIAL"),D3623&lt;TODAY()-1),"🔴 EMBARQUE ATRASADO",IF(AND(N3623="REALIZADO",M3623="PENDENTE"),"🟡 EMBARCADO SEM FATURAR",IF(AND(P3623&lt;&gt;"",S3623="",OR(Q3623="",R3623="")),"🟡 PENDÊNCIA SEM RESPONSÁVEL/PRAZO",IF(AND(ISNUMBER(R3623),R3623=TODAY()),"🟡 VENCE HOJE",IF(AND(P3623&lt;&gt;"",S3623=""),"🟡 PENDÊNCIA ABERTA",IF(AND(N(J3623)&gt;0,N(K3623)&lt;J3623),"🟡 FALTA EXECUTAR",IF(OR(M3623="PENDENTE",M3623="PARCIAL"),"🟡 FATURAMENTO PENDENTE","🟡 EMBARQUE PENDENTE")))))))))))</f>
        <v/>
      </c>
      <c r="D3623" s="4" t="n"/>
      <c r="E3623" s="5" t="n"/>
      <c r="F3623" s="5" t="n"/>
      <c r="G3623" s="5" t="n"/>
      <c r="H3623" s="5" t="n"/>
      <c r="I3623" s="5" t="n"/>
      <c r="J3623" s="6" t="n"/>
      <c r="K3623" s="6" t="n"/>
      <c r="L3623" s="7">
        <f>IF(OR(D3623="",N(J3623)=0),"",MIN(1,N(K3623)/J3623))</f>
        <v/>
      </c>
      <c r="M3623" s="5" t="n"/>
      <c r="N3623" s="5" t="n"/>
      <c r="O3623" s="5" t="n"/>
      <c r="P3623" s="5" t="n"/>
      <c r="Q3623" s="5" t="n"/>
      <c r="R3623" s="4" t="n"/>
      <c r="S3623" s="4" t="n"/>
      <c r="T3623" s="5" t="n"/>
      <c r="U3623" s="8">
        <f>IF(AND(V3623=1,D3623&lt;&gt;""),IF(D3623&gt;=corte,TODAY()-D3623,""),"")</f>
        <v/>
      </c>
      <c r="V3623" s="8">
        <f>IF(D3623="",0,IF(OR(AND(P3623&lt;&gt;"",S3623=""),AND(N(J3623)&gt;0,N(K3623)&lt;J3623),OR(M3623="PENDENTE",M3623="PARCIAL"),OR(N3623="PENDENTE",N3623="PARCIAL")),1,0))</f>
        <v/>
      </c>
      <c r="W3623" s="8">
        <f>IF(AND(V3623=1,D3623&lt;&gt;""),IF(D3623&gt;=corte,(B3623="CRÍTICO")*1E9+(100000-D3623)*10000+10000-ROW(),""),"")</f>
        <v/>
      </c>
      <c r="X3623" s="8">
        <f>IF(AND(V3623=1,D3623=pas_data,E3623=pas_turno),10000-ROW(),"")</f>
        <v/>
      </c>
    </row>
    <row r="3624">
      <c r="A3624" s="3">
        <f>IF(D3624="","","TT-"&amp;TEXT(ROW()-1,"00000"))</f>
        <v/>
      </c>
      <c r="B3624" s="3">
        <f>IF(D3624="","",IF(V3624=0,"CONCLUÍDO",IF(D3624&lt;corte,"HISTÓRICO",IF(OR(AND(ISNUMBER(R3624),R3624&lt;TODAY()),AND(OR(N3624="PENDENTE",N3624="PARCIAL"),D3624&lt;TODAY()-1)),"CRÍTICO",IF(OR(AND(P3624&lt;&gt;"",S3624=""),AND(N3624="REALIZADO",M3624="PENDENTE"),AND(ISNUMBER(R3624),R3624=TODAY())),"ATENÇÃO",IF(N(K3624)=0,"PENDENTE","EM ANDAMENTO"))))))</f>
        <v/>
      </c>
      <c r="C3624" s="3">
        <f>IF(D3624="","",IF(V3624=0,"🟢 OK",IF(D3624&lt;corte,"⚪ HISTÓRICO (sem baixa)",IF(AND(ISNUMBER(R3624),R3624&lt;TODAY()),"🔴 PRAZO VENCIDO",IF(AND(OR(N3624="PENDENTE",N3624="PARCIAL"),D3624&lt;TODAY()-1),"🔴 EMBARQUE ATRASADO",IF(AND(N3624="REALIZADO",M3624="PENDENTE"),"🟡 EMBARCADO SEM FATURAR",IF(AND(P3624&lt;&gt;"",S3624="",OR(Q3624="",R3624="")),"🟡 PENDÊNCIA SEM RESPONSÁVEL/PRAZO",IF(AND(ISNUMBER(R3624),R3624=TODAY()),"🟡 VENCE HOJE",IF(AND(P3624&lt;&gt;"",S3624=""),"🟡 PENDÊNCIA ABERTA",IF(AND(N(J3624)&gt;0,N(K3624)&lt;J3624),"🟡 FALTA EXECUTAR",IF(OR(M3624="PENDENTE",M3624="PARCIAL"),"🟡 FATURAMENTO PENDENTE","🟡 EMBARQUE PENDENTE")))))))))))</f>
        <v/>
      </c>
      <c r="D3624" s="4" t="n"/>
      <c r="E3624" s="5" t="n"/>
      <c r="F3624" s="5" t="n"/>
      <c r="G3624" s="5" t="n"/>
      <c r="H3624" s="5" t="n"/>
      <c r="I3624" s="5" t="n"/>
      <c r="J3624" s="6" t="n"/>
      <c r="K3624" s="6" t="n"/>
      <c r="L3624" s="7">
        <f>IF(OR(D3624="",N(J3624)=0),"",MIN(1,N(K3624)/J3624))</f>
        <v/>
      </c>
      <c r="M3624" s="5" t="n"/>
      <c r="N3624" s="5" t="n"/>
      <c r="O3624" s="5" t="n"/>
      <c r="P3624" s="5" t="n"/>
      <c r="Q3624" s="5" t="n"/>
      <c r="R3624" s="4" t="n"/>
      <c r="S3624" s="4" t="n"/>
      <c r="T3624" s="5" t="n"/>
      <c r="U3624" s="8">
        <f>IF(AND(V3624=1,D3624&lt;&gt;""),IF(D3624&gt;=corte,TODAY()-D3624,""),"")</f>
        <v/>
      </c>
      <c r="V3624" s="8">
        <f>IF(D3624="",0,IF(OR(AND(P3624&lt;&gt;"",S3624=""),AND(N(J3624)&gt;0,N(K3624)&lt;J3624),OR(M3624="PENDENTE",M3624="PARCIAL"),OR(N3624="PENDENTE",N3624="PARCIAL")),1,0))</f>
        <v/>
      </c>
      <c r="W3624" s="8">
        <f>IF(AND(V3624=1,D3624&lt;&gt;""),IF(D3624&gt;=corte,(B3624="CRÍTICO")*1E9+(100000-D3624)*10000+10000-ROW(),""),"")</f>
        <v/>
      </c>
      <c r="X3624" s="8">
        <f>IF(AND(V3624=1,D3624=pas_data,E3624=pas_turno),10000-ROW(),"")</f>
        <v/>
      </c>
    </row>
    <row r="3625">
      <c r="A3625" s="3">
        <f>IF(D3625="","","TT-"&amp;TEXT(ROW()-1,"00000"))</f>
        <v/>
      </c>
      <c r="B3625" s="3">
        <f>IF(D3625="","",IF(V3625=0,"CONCLUÍDO",IF(D3625&lt;corte,"HISTÓRICO",IF(OR(AND(ISNUMBER(R3625),R3625&lt;TODAY()),AND(OR(N3625="PENDENTE",N3625="PARCIAL"),D3625&lt;TODAY()-1)),"CRÍTICO",IF(OR(AND(P3625&lt;&gt;"",S3625=""),AND(N3625="REALIZADO",M3625="PENDENTE"),AND(ISNUMBER(R3625),R3625=TODAY())),"ATENÇÃO",IF(N(K3625)=0,"PENDENTE","EM ANDAMENTO"))))))</f>
        <v/>
      </c>
      <c r="C3625" s="3">
        <f>IF(D3625="","",IF(V3625=0,"🟢 OK",IF(D3625&lt;corte,"⚪ HISTÓRICO (sem baixa)",IF(AND(ISNUMBER(R3625),R3625&lt;TODAY()),"🔴 PRAZO VENCIDO",IF(AND(OR(N3625="PENDENTE",N3625="PARCIAL"),D3625&lt;TODAY()-1),"🔴 EMBARQUE ATRASADO",IF(AND(N3625="REALIZADO",M3625="PENDENTE"),"🟡 EMBARCADO SEM FATURAR",IF(AND(P3625&lt;&gt;"",S3625="",OR(Q3625="",R3625="")),"🟡 PENDÊNCIA SEM RESPONSÁVEL/PRAZO",IF(AND(ISNUMBER(R3625),R3625=TODAY()),"🟡 VENCE HOJE",IF(AND(P3625&lt;&gt;"",S3625=""),"🟡 PENDÊNCIA ABERTA",IF(AND(N(J3625)&gt;0,N(K3625)&lt;J3625),"🟡 FALTA EXECUTAR",IF(OR(M3625="PENDENTE",M3625="PARCIAL"),"🟡 FATURAMENTO PENDENTE","🟡 EMBARQUE PENDENTE")))))))))))</f>
        <v/>
      </c>
      <c r="D3625" s="4" t="n"/>
      <c r="E3625" s="5" t="n"/>
      <c r="F3625" s="5" t="n"/>
      <c r="G3625" s="5" t="n"/>
      <c r="H3625" s="5" t="n"/>
      <c r="I3625" s="5" t="n"/>
      <c r="J3625" s="6" t="n"/>
      <c r="K3625" s="6" t="n"/>
      <c r="L3625" s="7">
        <f>IF(OR(D3625="",N(J3625)=0),"",MIN(1,N(K3625)/J3625))</f>
        <v/>
      </c>
      <c r="M3625" s="5" t="n"/>
      <c r="N3625" s="5" t="n"/>
      <c r="O3625" s="5" t="n"/>
      <c r="P3625" s="5" t="n"/>
      <c r="Q3625" s="5" t="n"/>
      <c r="R3625" s="4" t="n"/>
      <c r="S3625" s="4" t="n"/>
      <c r="T3625" s="5" t="n"/>
      <c r="U3625" s="8">
        <f>IF(AND(V3625=1,D3625&lt;&gt;""),IF(D3625&gt;=corte,TODAY()-D3625,""),"")</f>
        <v/>
      </c>
      <c r="V3625" s="8">
        <f>IF(D3625="",0,IF(OR(AND(P3625&lt;&gt;"",S3625=""),AND(N(J3625)&gt;0,N(K3625)&lt;J3625),OR(M3625="PENDENTE",M3625="PARCIAL"),OR(N3625="PENDENTE",N3625="PARCIAL")),1,0))</f>
        <v/>
      </c>
      <c r="W3625" s="8">
        <f>IF(AND(V3625=1,D3625&lt;&gt;""),IF(D3625&gt;=corte,(B3625="CRÍTICO")*1E9+(100000-D3625)*10000+10000-ROW(),""),"")</f>
        <v/>
      </c>
      <c r="X3625" s="8">
        <f>IF(AND(V3625=1,D3625=pas_data,E3625=pas_turno),10000-ROW(),"")</f>
        <v/>
      </c>
    </row>
    <row r="3626">
      <c r="A3626" s="3">
        <f>IF(D3626="","","TT-"&amp;TEXT(ROW()-1,"00000"))</f>
        <v/>
      </c>
      <c r="B3626" s="3">
        <f>IF(D3626="","",IF(V3626=0,"CONCLUÍDO",IF(D3626&lt;corte,"HISTÓRICO",IF(OR(AND(ISNUMBER(R3626),R3626&lt;TODAY()),AND(OR(N3626="PENDENTE",N3626="PARCIAL"),D3626&lt;TODAY()-1)),"CRÍTICO",IF(OR(AND(P3626&lt;&gt;"",S3626=""),AND(N3626="REALIZADO",M3626="PENDENTE"),AND(ISNUMBER(R3626),R3626=TODAY())),"ATENÇÃO",IF(N(K3626)=0,"PENDENTE","EM ANDAMENTO"))))))</f>
        <v/>
      </c>
      <c r="C3626" s="3">
        <f>IF(D3626="","",IF(V3626=0,"🟢 OK",IF(D3626&lt;corte,"⚪ HISTÓRICO (sem baixa)",IF(AND(ISNUMBER(R3626),R3626&lt;TODAY()),"🔴 PRAZO VENCIDO",IF(AND(OR(N3626="PENDENTE",N3626="PARCIAL"),D3626&lt;TODAY()-1),"🔴 EMBARQUE ATRASADO",IF(AND(N3626="REALIZADO",M3626="PENDENTE"),"🟡 EMBARCADO SEM FATURAR",IF(AND(P3626&lt;&gt;"",S3626="",OR(Q3626="",R3626="")),"🟡 PENDÊNCIA SEM RESPONSÁVEL/PRAZO",IF(AND(ISNUMBER(R3626),R3626=TODAY()),"🟡 VENCE HOJE",IF(AND(P3626&lt;&gt;"",S3626=""),"🟡 PENDÊNCIA ABERTA",IF(AND(N(J3626)&gt;0,N(K3626)&lt;J3626),"🟡 FALTA EXECUTAR",IF(OR(M3626="PENDENTE",M3626="PARCIAL"),"🟡 FATURAMENTO PENDENTE","🟡 EMBARQUE PENDENTE")))))))))))</f>
        <v/>
      </c>
      <c r="D3626" s="4" t="n"/>
      <c r="E3626" s="5" t="n"/>
      <c r="F3626" s="5" t="n"/>
      <c r="G3626" s="5" t="n"/>
      <c r="H3626" s="5" t="n"/>
      <c r="I3626" s="5" t="n"/>
      <c r="J3626" s="6" t="n"/>
      <c r="K3626" s="6" t="n"/>
      <c r="L3626" s="7">
        <f>IF(OR(D3626="",N(J3626)=0),"",MIN(1,N(K3626)/J3626))</f>
        <v/>
      </c>
      <c r="M3626" s="5" t="n"/>
      <c r="N3626" s="5" t="n"/>
      <c r="O3626" s="5" t="n"/>
      <c r="P3626" s="5" t="n"/>
      <c r="Q3626" s="5" t="n"/>
      <c r="R3626" s="4" t="n"/>
      <c r="S3626" s="4" t="n"/>
      <c r="T3626" s="5" t="n"/>
      <c r="U3626" s="8">
        <f>IF(AND(V3626=1,D3626&lt;&gt;""),IF(D3626&gt;=corte,TODAY()-D3626,""),"")</f>
        <v/>
      </c>
      <c r="V3626" s="8">
        <f>IF(D3626="",0,IF(OR(AND(P3626&lt;&gt;"",S3626=""),AND(N(J3626)&gt;0,N(K3626)&lt;J3626),OR(M3626="PENDENTE",M3626="PARCIAL"),OR(N3626="PENDENTE",N3626="PARCIAL")),1,0))</f>
        <v/>
      </c>
      <c r="W3626" s="8">
        <f>IF(AND(V3626=1,D3626&lt;&gt;""),IF(D3626&gt;=corte,(B3626="CRÍTICO")*1E9+(100000-D3626)*10000+10000-ROW(),""),"")</f>
        <v/>
      </c>
      <c r="X3626" s="8">
        <f>IF(AND(V3626=1,D3626=pas_data,E3626=pas_turno),10000-ROW(),"")</f>
        <v/>
      </c>
    </row>
    <row r="3627">
      <c r="A3627" s="3">
        <f>IF(D3627="","","TT-"&amp;TEXT(ROW()-1,"00000"))</f>
        <v/>
      </c>
      <c r="B3627" s="3">
        <f>IF(D3627="","",IF(V3627=0,"CONCLUÍDO",IF(D3627&lt;corte,"HISTÓRICO",IF(OR(AND(ISNUMBER(R3627),R3627&lt;TODAY()),AND(OR(N3627="PENDENTE",N3627="PARCIAL"),D3627&lt;TODAY()-1)),"CRÍTICO",IF(OR(AND(P3627&lt;&gt;"",S3627=""),AND(N3627="REALIZADO",M3627="PENDENTE"),AND(ISNUMBER(R3627),R3627=TODAY())),"ATENÇÃO",IF(N(K3627)=0,"PENDENTE","EM ANDAMENTO"))))))</f>
        <v/>
      </c>
      <c r="C3627" s="3">
        <f>IF(D3627="","",IF(V3627=0,"🟢 OK",IF(D3627&lt;corte,"⚪ HISTÓRICO (sem baixa)",IF(AND(ISNUMBER(R3627),R3627&lt;TODAY()),"🔴 PRAZO VENCIDO",IF(AND(OR(N3627="PENDENTE",N3627="PARCIAL"),D3627&lt;TODAY()-1),"🔴 EMBARQUE ATRASADO",IF(AND(N3627="REALIZADO",M3627="PENDENTE"),"🟡 EMBARCADO SEM FATURAR",IF(AND(P3627&lt;&gt;"",S3627="",OR(Q3627="",R3627="")),"🟡 PENDÊNCIA SEM RESPONSÁVEL/PRAZO",IF(AND(ISNUMBER(R3627),R3627=TODAY()),"🟡 VENCE HOJE",IF(AND(P3627&lt;&gt;"",S3627=""),"🟡 PENDÊNCIA ABERTA",IF(AND(N(J3627)&gt;0,N(K3627)&lt;J3627),"🟡 FALTA EXECUTAR",IF(OR(M3627="PENDENTE",M3627="PARCIAL"),"🟡 FATURAMENTO PENDENTE","🟡 EMBARQUE PENDENTE")))))))))))</f>
        <v/>
      </c>
      <c r="D3627" s="4" t="n"/>
      <c r="E3627" s="5" t="n"/>
      <c r="F3627" s="5" t="n"/>
      <c r="G3627" s="5" t="n"/>
      <c r="H3627" s="5" t="n"/>
      <c r="I3627" s="5" t="n"/>
      <c r="J3627" s="6" t="n"/>
      <c r="K3627" s="6" t="n"/>
      <c r="L3627" s="7">
        <f>IF(OR(D3627="",N(J3627)=0),"",MIN(1,N(K3627)/J3627))</f>
        <v/>
      </c>
      <c r="M3627" s="5" t="n"/>
      <c r="N3627" s="5" t="n"/>
      <c r="O3627" s="5" t="n"/>
      <c r="P3627" s="5" t="n"/>
      <c r="Q3627" s="5" t="n"/>
      <c r="R3627" s="4" t="n"/>
      <c r="S3627" s="4" t="n"/>
      <c r="T3627" s="5" t="n"/>
      <c r="U3627" s="8">
        <f>IF(AND(V3627=1,D3627&lt;&gt;""),IF(D3627&gt;=corte,TODAY()-D3627,""),"")</f>
        <v/>
      </c>
      <c r="V3627" s="8">
        <f>IF(D3627="",0,IF(OR(AND(P3627&lt;&gt;"",S3627=""),AND(N(J3627)&gt;0,N(K3627)&lt;J3627),OR(M3627="PENDENTE",M3627="PARCIAL"),OR(N3627="PENDENTE",N3627="PARCIAL")),1,0))</f>
        <v/>
      </c>
      <c r="W3627" s="8">
        <f>IF(AND(V3627=1,D3627&lt;&gt;""),IF(D3627&gt;=corte,(B3627="CRÍTICO")*1E9+(100000-D3627)*10000+10000-ROW(),""),"")</f>
        <v/>
      </c>
      <c r="X3627" s="8">
        <f>IF(AND(V3627=1,D3627=pas_data,E3627=pas_turno),10000-ROW(),"")</f>
        <v/>
      </c>
    </row>
    <row r="3628">
      <c r="A3628" s="3">
        <f>IF(D3628="","","TT-"&amp;TEXT(ROW()-1,"00000"))</f>
        <v/>
      </c>
      <c r="B3628" s="3">
        <f>IF(D3628="","",IF(V3628=0,"CONCLUÍDO",IF(D3628&lt;corte,"HISTÓRICO",IF(OR(AND(ISNUMBER(R3628),R3628&lt;TODAY()),AND(OR(N3628="PENDENTE",N3628="PARCIAL"),D3628&lt;TODAY()-1)),"CRÍTICO",IF(OR(AND(P3628&lt;&gt;"",S3628=""),AND(N3628="REALIZADO",M3628="PENDENTE"),AND(ISNUMBER(R3628),R3628=TODAY())),"ATENÇÃO",IF(N(K3628)=0,"PENDENTE","EM ANDAMENTO"))))))</f>
        <v/>
      </c>
      <c r="C3628" s="3">
        <f>IF(D3628="","",IF(V3628=0,"🟢 OK",IF(D3628&lt;corte,"⚪ HISTÓRICO (sem baixa)",IF(AND(ISNUMBER(R3628),R3628&lt;TODAY()),"🔴 PRAZO VENCIDO",IF(AND(OR(N3628="PENDENTE",N3628="PARCIAL"),D3628&lt;TODAY()-1),"🔴 EMBARQUE ATRASADO",IF(AND(N3628="REALIZADO",M3628="PENDENTE"),"🟡 EMBARCADO SEM FATURAR",IF(AND(P3628&lt;&gt;"",S3628="",OR(Q3628="",R3628="")),"🟡 PENDÊNCIA SEM RESPONSÁVEL/PRAZO",IF(AND(ISNUMBER(R3628),R3628=TODAY()),"🟡 VENCE HOJE",IF(AND(P3628&lt;&gt;"",S3628=""),"🟡 PENDÊNCIA ABERTA",IF(AND(N(J3628)&gt;0,N(K3628)&lt;J3628),"🟡 FALTA EXECUTAR",IF(OR(M3628="PENDENTE",M3628="PARCIAL"),"🟡 FATURAMENTO PENDENTE","🟡 EMBARQUE PENDENTE")))))))))))</f>
        <v/>
      </c>
      <c r="D3628" s="4" t="n"/>
      <c r="E3628" s="5" t="n"/>
      <c r="F3628" s="5" t="n"/>
      <c r="G3628" s="5" t="n"/>
      <c r="H3628" s="5" t="n"/>
      <c r="I3628" s="5" t="n"/>
      <c r="J3628" s="6" t="n"/>
      <c r="K3628" s="6" t="n"/>
      <c r="L3628" s="7">
        <f>IF(OR(D3628="",N(J3628)=0),"",MIN(1,N(K3628)/J3628))</f>
        <v/>
      </c>
      <c r="M3628" s="5" t="n"/>
      <c r="N3628" s="5" t="n"/>
      <c r="O3628" s="5" t="n"/>
      <c r="P3628" s="5" t="n"/>
      <c r="Q3628" s="5" t="n"/>
      <c r="R3628" s="4" t="n"/>
      <c r="S3628" s="4" t="n"/>
      <c r="T3628" s="5" t="n"/>
      <c r="U3628" s="8">
        <f>IF(AND(V3628=1,D3628&lt;&gt;""),IF(D3628&gt;=corte,TODAY()-D3628,""),"")</f>
        <v/>
      </c>
      <c r="V3628" s="8">
        <f>IF(D3628="",0,IF(OR(AND(P3628&lt;&gt;"",S3628=""),AND(N(J3628)&gt;0,N(K3628)&lt;J3628),OR(M3628="PENDENTE",M3628="PARCIAL"),OR(N3628="PENDENTE",N3628="PARCIAL")),1,0))</f>
        <v/>
      </c>
      <c r="W3628" s="8">
        <f>IF(AND(V3628=1,D3628&lt;&gt;""),IF(D3628&gt;=corte,(B3628="CRÍTICO")*1E9+(100000-D3628)*10000+10000-ROW(),""),"")</f>
        <v/>
      </c>
      <c r="X3628" s="8">
        <f>IF(AND(V3628=1,D3628=pas_data,E3628=pas_turno),10000-ROW(),"")</f>
        <v/>
      </c>
    </row>
    <row r="3629">
      <c r="A3629" s="3">
        <f>IF(D3629="","","TT-"&amp;TEXT(ROW()-1,"00000"))</f>
        <v/>
      </c>
      <c r="B3629" s="3">
        <f>IF(D3629="","",IF(V3629=0,"CONCLUÍDO",IF(D3629&lt;corte,"HISTÓRICO",IF(OR(AND(ISNUMBER(R3629),R3629&lt;TODAY()),AND(OR(N3629="PENDENTE",N3629="PARCIAL"),D3629&lt;TODAY()-1)),"CRÍTICO",IF(OR(AND(P3629&lt;&gt;"",S3629=""),AND(N3629="REALIZADO",M3629="PENDENTE"),AND(ISNUMBER(R3629),R3629=TODAY())),"ATENÇÃO",IF(N(K3629)=0,"PENDENTE","EM ANDAMENTO"))))))</f>
        <v/>
      </c>
      <c r="C3629" s="3">
        <f>IF(D3629="","",IF(V3629=0,"🟢 OK",IF(D3629&lt;corte,"⚪ HISTÓRICO (sem baixa)",IF(AND(ISNUMBER(R3629),R3629&lt;TODAY()),"🔴 PRAZO VENCIDO",IF(AND(OR(N3629="PENDENTE",N3629="PARCIAL"),D3629&lt;TODAY()-1),"🔴 EMBARQUE ATRASADO",IF(AND(N3629="REALIZADO",M3629="PENDENTE"),"🟡 EMBARCADO SEM FATURAR",IF(AND(P3629&lt;&gt;"",S3629="",OR(Q3629="",R3629="")),"🟡 PENDÊNCIA SEM RESPONSÁVEL/PRAZO",IF(AND(ISNUMBER(R3629),R3629=TODAY()),"🟡 VENCE HOJE",IF(AND(P3629&lt;&gt;"",S3629=""),"🟡 PENDÊNCIA ABERTA",IF(AND(N(J3629)&gt;0,N(K3629)&lt;J3629),"🟡 FALTA EXECUTAR",IF(OR(M3629="PENDENTE",M3629="PARCIAL"),"🟡 FATURAMENTO PENDENTE","🟡 EMBARQUE PENDENTE")))))))))))</f>
        <v/>
      </c>
      <c r="D3629" s="4" t="n"/>
      <c r="E3629" s="5" t="n"/>
      <c r="F3629" s="5" t="n"/>
      <c r="G3629" s="5" t="n"/>
      <c r="H3629" s="5" t="n"/>
      <c r="I3629" s="5" t="n"/>
      <c r="J3629" s="6" t="n"/>
      <c r="K3629" s="6" t="n"/>
      <c r="L3629" s="7">
        <f>IF(OR(D3629="",N(J3629)=0),"",MIN(1,N(K3629)/J3629))</f>
        <v/>
      </c>
      <c r="M3629" s="5" t="n"/>
      <c r="N3629" s="5" t="n"/>
      <c r="O3629" s="5" t="n"/>
      <c r="P3629" s="5" t="n"/>
      <c r="Q3629" s="5" t="n"/>
      <c r="R3629" s="4" t="n"/>
      <c r="S3629" s="4" t="n"/>
      <c r="T3629" s="5" t="n"/>
      <c r="U3629" s="8">
        <f>IF(AND(V3629=1,D3629&lt;&gt;""),IF(D3629&gt;=corte,TODAY()-D3629,""),"")</f>
        <v/>
      </c>
      <c r="V3629" s="8">
        <f>IF(D3629="",0,IF(OR(AND(P3629&lt;&gt;"",S3629=""),AND(N(J3629)&gt;0,N(K3629)&lt;J3629),OR(M3629="PENDENTE",M3629="PARCIAL"),OR(N3629="PENDENTE",N3629="PARCIAL")),1,0))</f>
        <v/>
      </c>
      <c r="W3629" s="8">
        <f>IF(AND(V3629=1,D3629&lt;&gt;""),IF(D3629&gt;=corte,(B3629="CRÍTICO")*1E9+(100000-D3629)*10000+10000-ROW(),""),"")</f>
        <v/>
      </c>
      <c r="X3629" s="8">
        <f>IF(AND(V3629=1,D3629=pas_data,E3629=pas_turno),10000-ROW(),"")</f>
        <v/>
      </c>
    </row>
    <row r="3630">
      <c r="A3630" s="3">
        <f>IF(D3630="","","TT-"&amp;TEXT(ROW()-1,"00000"))</f>
        <v/>
      </c>
      <c r="B3630" s="3">
        <f>IF(D3630="","",IF(V3630=0,"CONCLUÍDO",IF(D3630&lt;corte,"HISTÓRICO",IF(OR(AND(ISNUMBER(R3630),R3630&lt;TODAY()),AND(OR(N3630="PENDENTE",N3630="PARCIAL"),D3630&lt;TODAY()-1)),"CRÍTICO",IF(OR(AND(P3630&lt;&gt;"",S3630=""),AND(N3630="REALIZADO",M3630="PENDENTE"),AND(ISNUMBER(R3630),R3630=TODAY())),"ATENÇÃO",IF(N(K3630)=0,"PENDENTE","EM ANDAMENTO"))))))</f>
        <v/>
      </c>
      <c r="C3630" s="3">
        <f>IF(D3630="","",IF(V3630=0,"🟢 OK",IF(D3630&lt;corte,"⚪ HISTÓRICO (sem baixa)",IF(AND(ISNUMBER(R3630),R3630&lt;TODAY()),"🔴 PRAZO VENCIDO",IF(AND(OR(N3630="PENDENTE",N3630="PARCIAL"),D3630&lt;TODAY()-1),"🔴 EMBARQUE ATRASADO",IF(AND(N3630="REALIZADO",M3630="PENDENTE"),"🟡 EMBARCADO SEM FATURAR",IF(AND(P3630&lt;&gt;"",S3630="",OR(Q3630="",R3630="")),"🟡 PENDÊNCIA SEM RESPONSÁVEL/PRAZO",IF(AND(ISNUMBER(R3630),R3630=TODAY()),"🟡 VENCE HOJE",IF(AND(P3630&lt;&gt;"",S3630=""),"🟡 PENDÊNCIA ABERTA",IF(AND(N(J3630)&gt;0,N(K3630)&lt;J3630),"🟡 FALTA EXECUTAR",IF(OR(M3630="PENDENTE",M3630="PARCIAL"),"🟡 FATURAMENTO PENDENTE","🟡 EMBARQUE PENDENTE")))))))))))</f>
        <v/>
      </c>
      <c r="D3630" s="4" t="n"/>
      <c r="E3630" s="5" t="n"/>
      <c r="F3630" s="5" t="n"/>
      <c r="G3630" s="5" t="n"/>
      <c r="H3630" s="5" t="n"/>
      <c r="I3630" s="5" t="n"/>
      <c r="J3630" s="6" t="n"/>
      <c r="K3630" s="6" t="n"/>
      <c r="L3630" s="7">
        <f>IF(OR(D3630="",N(J3630)=0),"",MIN(1,N(K3630)/J3630))</f>
        <v/>
      </c>
      <c r="M3630" s="5" t="n"/>
      <c r="N3630" s="5" t="n"/>
      <c r="O3630" s="5" t="n"/>
      <c r="P3630" s="5" t="n"/>
      <c r="Q3630" s="5" t="n"/>
      <c r="R3630" s="4" t="n"/>
      <c r="S3630" s="4" t="n"/>
      <c r="T3630" s="5" t="n"/>
      <c r="U3630" s="8">
        <f>IF(AND(V3630=1,D3630&lt;&gt;""),IF(D3630&gt;=corte,TODAY()-D3630,""),"")</f>
        <v/>
      </c>
      <c r="V3630" s="8">
        <f>IF(D3630="",0,IF(OR(AND(P3630&lt;&gt;"",S3630=""),AND(N(J3630)&gt;0,N(K3630)&lt;J3630),OR(M3630="PENDENTE",M3630="PARCIAL"),OR(N3630="PENDENTE",N3630="PARCIAL")),1,0))</f>
        <v/>
      </c>
      <c r="W3630" s="8">
        <f>IF(AND(V3630=1,D3630&lt;&gt;""),IF(D3630&gt;=corte,(B3630="CRÍTICO")*1E9+(100000-D3630)*10000+10000-ROW(),""),"")</f>
        <v/>
      </c>
      <c r="X3630" s="8">
        <f>IF(AND(V3630=1,D3630=pas_data,E3630=pas_turno),10000-ROW(),"")</f>
        <v/>
      </c>
    </row>
    <row r="3631">
      <c r="A3631" s="3">
        <f>IF(D3631="","","TT-"&amp;TEXT(ROW()-1,"00000"))</f>
        <v/>
      </c>
      <c r="B3631" s="3">
        <f>IF(D3631="","",IF(V3631=0,"CONCLUÍDO",IF(D3631&lt;corte,"HISTÓRICO",IF(OR(AND(ISNUMBER(R3631),R3631&lt;TODAY()),AND(OR(N3631="PENDENTE",N3631="PARCIAL"),D3631&lt;TODAY()-1)),"CRÍTICO",IF(OR(AND(P3631&lt;&gt;"",S3631=""),AND(N3631="REALIZADO",M3631="PENDENTE"),AND(ISNUMBER(R3631),R3631=TODAY())),"ATENÇÃO",IF(N(K3631)=0,"PENDENTE","EM ANDAMENTO"))))))</f>
        <v/>
      </c>
      <c r="C3631" s="3">
        <f>IF(D3631="","",IF(V3631=0,"🟢 OK",IF(D3631&lt;corte,"⚪ HISTÓRICO (sem baixa)",IF(AND(ISNUMBER(R3631),R3631&lt;TODAY()),"🔴 PRAZO VENCIDO",IF(AND(OR(N3631="PENDENTE",N3631="PARCIAL"),D3631&lt;TODAY()-1),"🔴 EMBARQUE ATRASADO",IF(AND(N3631="REALIZADO",M3631="PENDENTE"),"🟡 EMBARCADO SEM FATURAR",IF(AND(P3631&lt;&gt;"",S3631="",OR(Q3631="",R3631="")),"🟡 PENDÊNCIA SEM RESPONSÁVEL/PRAZO",IF(AND(ISNUMBER(R3631),R3631=TODAY()),"🟡 VENCE HOJE",IF(AND(P3631&lt;&gt;"",S3631=""),"🟡 PENDÊNCIA ABERTA",IF(AND(N(J3631)&gt;0,N(K3631)&lt;J3631),"🟡 FALTA EXECUTAR",IF(OR(M3631="PENDENTE",M3631="PARCIAL"),"🟡 FATURAMENTO PENDENTE","🟡 EMBARQUE PENDENTE")))))))))))</f>
        <v/>
      </c>
      <c r="D3631" s="4" t="n"/>
      <c r="E3631" s="5" t="n"/>
      <c r="F3631" s="5" t="n"/>
      <c r="G3631" s="5" t="n"/>
      <c r="H3631" s="5" t="n"/>
      <c r="I3631" s="5" t="n"/>
      <c r="J3631" s="6" t="n"/>
      <c r="K3631" s="6" t="n"/>
      <c r="L3631" s="7">
        <f>IF(OR(D3631="",N(J3631)=0),"",MIN(1,N(K3631)/J3631))</f>
        <v/>
      </c>
      <c r="M3631" s="5" t="n"/>
      <c r="N3631" s="5" t="n"/>
      <c r="O3631" s="5" t="n"/>
      <c r="P3631" s="5" t="n"/>
      <c r="Q3631" s="5" t="n"/>
      <c r="R3631" s="4" t="n"/>
      <c r="S3631" s="4" t="n"/>
      <c r="T3631" s="5" t="n"/>
      <c r="U3631" s="8">
        <f>IF(AND(V3631=1,D3631&lt;&gt;""),IF(D3631&gt;=corte,TODAY()-D3631,""),"")</f>
        <v/>
      </c>
      <c r="V3631" s="8">
        <f>IF(D3631="",0,IF(OR(AND(P3631&lt;&gt;"",S3631=""),AND(N(J3631)&gt;0,N(K3631)&lt;J3631),OR(M3631="PENDENTE",M3631="PARCIAL"),OR(N3631="PENDENTE",N3631="PARCIAL")),1,0))</f>
        <v/>
      </c>
      <c r="W3631" s="8">
        <f>IF(AND(V3631=1,D3631&lt;&gt;""),IF(D3631&gt;=corte,(B3631="CRÍTICO")*1E9+(100000-D3631)*10000+10000-ROW(),""),"")</f>
        <v/>
      </c>
      <c r="X3631" s="8">
        <f>IF(AND(V3631=1,D3631=pas_data,E3631=pas_turno),10000-ROW(),"")</f>
        <v/>
      </c>
    </row>
    <row r="3632">
      <c r="A3632" s="3">
        <f>IF(D3632="","","TT-"&amp;TEXT(ROW()-1,"00000"))</f>
        <v/>
      </c>
      <c r="B3632" s="3">
        <f>IF(D3632="","",IF(V3632=0,"CONCLUÍDO",IF(D3632&lt;corte,"HISTÓRICO",IF(OR(AND(ISNUMBER(R3632),R3632&lt;TODAY()),AND(OR(N3632="PENDENTE",N3632="PARCIAL"),D3632&lt;TODAY()-1)),"CRÍTICO",IF(OR(AND(P3632&lt;&gt;"",S3632=""),AND(N3632="REALIZADO",M3632="PENDENTE"),AND(ISNUMBER(R3632),R3632=TODAY())),"ATENÇÃO",IF(N(K3632)=0,"PENDENTE","EM ANDAMENTO"))))))</f>
        <v/>
      </c>
      <c r="C3632" s="3">
        <f>IF(D3632="","",IF(V3632=0,"🟢 OK",IF(D3632&lt;corte,"⚪ HISTÓRICO (sem baixa)",IF(AND(ISNUMBER(R3632),R3632&lt;TODAY()),"🔴 PRAZO VENCIDO",IF(AND(OR(N3632="PENDENTE",N3632="PARCIAL"),D3632&lt;TODAY()-1),"🔴 EMBARQUE ATRASADO",IF(AND(N3632="REALIZADO",M3632="PENDENTE"),"🟡 EMBARCADO SEM FATURAR",IF(AND(P3632&lt;&gt;"",S3632="",OR(Q3632="",R3632="")),"🟡 PENDÊNCIA SEM RESPONSÁVEL/PRAZO",IF(AND(ISNUMBER(R3632),R3632=TODAY()),"🟡 VENCE HOJE",IF(AND(P3632&lt;&gt;"",S3632=""),"🟡 PENDÊNCIA ABERTA",IF(AND(N(J3632)&gt;0,N(K3632)&lt;J3632),"🟡 FALTA EXECUTAR",IF(OR(M3632="PENDENTE",M3632="PARCIAL"),"🟡 FATURAMENTO PENDENTE","🟡 EMBARQUE PENDENTE")))))))))))</f>
        <v/>
      </c>
      <c r="D3632" s="4" t="n"/>
      <c r="E3632" s="5" t="n"/>
      <c r="F3632" s="5" t="n"/>
      <c r="G3632" s="5" t="n"/>
      <c r="H3632" s="5" t="n"/>
      <c r="I3632" s="5" t="n"/>
      <c r="J3632" s="6" t="n"/>
      <c r="K3632" s="6" t="n"/>
      <c r="L3632" s="7">
        <f>IF(OR(D3632="",N(J3632)=0),"",MIN(1,N(K3632)/J3632))</f>
        <v/>
      </c>
      <c r="M3632" s="5" t="n"/>
      <c r="N3632" s="5" t="n"/>
      <c r="O3632" s="5" t="n"/>
      <c r="P3632" s="5" t="n"/>
      <c r="Q3632" s="5" t="n"/>
      <c r="R3632" s="4" t="n"/>
      <c r="S3632" s="4" t="n"/>
      <c r="T3632" s="5" t="n"/>
      <c r="U3632" s="8">
        <f>IF(AND(V3632=1,D3632&lt;&gt;""),IF(D3632&gt;=corte,TODAY()-D3632,""),"")</f>
        <v/>
      </c>
      <c r="V3632" s="8">
        <f>IF(D3632="",0,IF(OR(AND(P3632&lt;&gt;"",S3632=""),AND(N(J3632)&gt;0,N(K3632)&lt;J3632),OR(M3632="PENDENTE",M3632="PARCIAL"),OR(N3632="PENDENTE",N3632="PARCIAL")),1,0))</f>
        <v/>
      </c>
      <c r="W3632" s="8">
        <f>IF(AND(V3632=1,D3632&lt;&gt;""),IF(D3632&gt;=corte,(B3632="CRÍTICO")*1E9+(100000-D3632)*10000+10000-ROW(),""),"")</f>
        <v/>
      </c>
      <c r="X3632" s="8">
        <f>IF(AND(V3632=1,D3632=pas_data,E3632=pas_turno),10000-ROW(),"")</f>
        <v/>
      </c>
    </row>
    <row r="3633">
      <c r="A3633" s="3">
        <f>IF(D3633="","","TT-"&amp;TEXT(ROW()-1,"00000"))</f>
        <v/>
      </c>
      <c r="B3633" s="3">
        <f>IF(D3633="","",IF(V3633=0,"CONCLUÍDO",IF(D3633&lt;corte,"HISTÓRICO",IF(OR(AND(ISNUMBER(R3633),R3633&lt;TODAY()),AND(OR(N3633="PENDENTE",N3633="PARCIAL"),D3633&lt;TODAY()-1)),"CRÍTICO",IF(OR(AND(P3633&lt;&gt;"",S3633=""),AND(N3633="REALIZADO",M3633="PENDENTE"),AND(ISNUMBER(R3633),R3633=TODAY())),"ATENÇÃO",IF(N(K3633)=0,"PENDENTE","EM ANDAMENTO"))))))</f>
        <v/>
      </c>
      <c r="C3633" s="3">
        <f>IF(D3633="","",IF(V3633=0,"🟢 OK",IF(D3633&lt;corte,"⚪ HISTÓRICO (sem baixa)",IF(AND(ISNUMBER(R3633),R3633&lt;TODAY()),"🔴 PRAZO VENCIDO",IF(AND(OR(N3633="PENDENTE",N3633="PARCIAL"),D3633&lt;TODAY()-1),"🔴 EMBARQUE ATRASADO",IF(AND(N3633="REALIZADO",M3633="PENDENTE"),"🟡 EMBARCADO SEM FATURAR",IF(AND(P3633&lt;&gt;"",S3633="",OR(Q3633="",R3633="")),"🟡 PENDÊNCIA SEM RESPONSÁVEL/PRAZO",IF(AND(ISNUMBER(R3633),R3633=TODAY()),"🟡 VENCE HOJE",IF(AND(P3633&lt;&gt;"",S3633=""),"🟡 PENDÊNCIA ABERTA",IF(AND(N(J3633)&gt;0,N(K3633)&lt;J3633),"🟡 FALTA EXECUTAR",IF(OR(M3633="PENDENTE",M3633="PARCIAL"),"🟡 FATURAMENTO PENDENTE","🟡 EMBARQUE PENDENTE")))))))))))</f>
        <v/>
      </c>
      <c r="D3633" s="4" t="n"/>
      <c r="E3633" s="5" t="n"/>
      <c r="F3633" s="5" t="n"/>
      <c r="G3633" s="5" t="n"/>
      <c r="H3633" s="5" t="n"/>
      <c r="I3633" s="5" t="n"/>
      <c r="J3633" s="6" t="n"/>
      <c r="K3633" s="6" t="n"/>
      <c r="L3633" s="7">
        <f>IF(OR(D3633="",N(J3633)=0),"",MIN(1,N(K3633)/J3633))</f>
        <v/>
      </c>
      <c r="M3633" s="5" t="n"/>
      <c r="N3633" s="5" t="n"/>
      <c r="O3633" s="5" t="n"/>
      <c r="P3633" s="5" t="n"/>
      <c r="Q3633" s="5" t="n"/>
      <c r="R3633" s="4" t="n"/>
      <c r="S3633" s="4" t="n"/>
      <c r="T3633" s="5" t="n"/>
      <c r="U3633" s="8">
        <f>IF(AND(V3633=1,D3633&lt;&gt;""),IF(D3633&gt;=corte,TODAY()-D3633,""),"")</f>
        <v/>
      </c>
      <c r="V3633" s="8">
        <f>IF(D3633="",0,IF(OR(AND(P3633&lt;&gt;"",S3633=""),AND(N(J3633)&gt;0,N(K3633)&lt;J3633),OR(M3633="PENDENTE",M3633="PARCIAL"),OR(N3633="PENDENTE",N3633="PARCIAL")),1,0))</f>
        <v/>
      </c>
      <c r="W3633" s="8">
        <f>IF(AND(V3633=1,D3633&lt;&gt;""),IF(D3633&gt;=corte,(B3633="CRÍTICO")*1E9+(100000-D3633)*10000+10000-ROW(),""),"")</f>
        <v/>
      </c>
      <c r="X3633" s="8">
        <f>IF(AND(V3633=1,D3633=pas_data,E3633=pas_turno),10000-ROW(),"")</f>
        <v/>
      </c>
    </row>
    <row r="3634">
      <c r="A3634" s="3">
        <f>IF(D3634="","","TT-"&amp;TEXT(ROW()-1,"00000"))</f>
        <v/>
      </c>
      <c r="B3634" s="3">
        <f>IF(D3634="","",IF(V3634=0,"CONCLUÍDO",IF(D3634&lt;corte,"HISTÓRICO",IF(OR(AND(ISNUMBER(R3634),R3634&lt;TODAY()),AND(OR(N3634="PENDENTE",N3634="PARCIAL"),D3634&lt;TODAY()-1)),"CRÍTICO",IF(OR(AND(P3634&lt;&gt;"",S3634=""),AND(N3634="REALIZADO",M3634="PENDENTE"),AND(ISNUMBER(R3634),R3634=TODAY())),"ATENÇÃO",IF(N(K3634)=0,"PENDENTE","EM ANDAMENTO"))))))</f>
        <v/>
      </c>
      <c r="C3634" s="3">
        <f>IF(D3634="","",IF(V3634=0,"🟢 OK",IF(D3634&lt;corte,"⚪ HISTÓRICO (sem baixa)",IF(AND(ISNUMBER(R3634),R3634&lt;TODAY()),"🔴 PRAZO VENCIDO",IF(AND(OR(N3634="PENDENTE",N3634="PARCIAL"),D3634&lt;TODAY()-1),"🔴 EMBARQUE ATRASADO",IF(AND(N3634="REALIZADO",M3634="PENDENTE"),"🟡 EMBARCADO SEM FATURAR",IF(AND(P3634&lt;&gt;"",S3634="",OR(Q3634="",R3634="")),"🟡 PENDÊNCIA SEM RESPONSÁVEL/PRAZO",IF(AND(ISNUMBER(R3634),R3634=TODAY()),"🟡 VENCE HOJE",IF(AND(P3634&lt;&gt;"",S3634=""),"🟡 PENDÊNCIA ABERTA",IF(AND(N(J3634)&gt;0,N(K3634)&lt;J3634),"🟡 FALTA EXECUTAR",IF(OR(M3634="PENDENTE",M3634="PARCIAL"),"🟡 FATURAMENTO PENDENTE","🟡 EMBARQUE PENDENTE")))))))))))</f>
        <v/>
      </c>
      <c r="D3634" s="4" t="n"/>
      <c r="E3634" s="5" t="n"/>
      <c r="F3634" s="5" t="n"/>
      <c r="G3634" s="5" t="n"/>
      <c r="H3634" s="5" t="n"/>
      <c r="I3634" s="5" t="n"/>
      <c r="J3634" s="6" t="n"/>
      <c r="K3634" s="6" t="n"/>
      <c r="L3634" s="7">
        <f>IF(OR(D3634="",N(J3634)=0),"",MIN(1,N(K3634)/J3634))</f>
        <v/>
      </c>
      <c r="M3634" s="5" t="n"/>
      <c r="N3634" s="5" t="n"/>
      <c r="O3634" s="5" t="n"/>
      <c r="P3634" s="5" t="n"/>
      <c r="Q3634" s="5" t="n"/>
      <c r="R3634" s="4" t="n"/>
      <c r="S3634" s="4" t="n"/>
      <c r="T3634" s="5" t="n"/>
      <c r="U3634" s="8">
        <f>IF(AND(V3634=1,D3634&lt;&gt;""),IF(D3634&gt;=corte,TODAY()-D3634,""),"")</f>
        <v/>
      </c>
      <c r="V3634" s="8">
        <f>IF(D3634="",0,IF(OR(AND(P3634&lt;&gt;"",S3634=""),AND(N(J3634)&gt;0,N(K3634)&lt;J3634),OR(M3634="PENDENTE",M3634="PARCIAL"),OR(N3634="PENDENTE",N3634="PARCIAL")),1,0))</f>
        <v/>
      </c>
      <c r="W3634" s="8">
        <f>IF(AND(V3634=1,D3634&lt;&gt;""),IF(D3634&gt;=corte,(B3634="CRÍTICO")*1E9+(100000-D3634)*10000+10000-ROW(),""),"")</f>
        <v/>
      </c>
      <c r="X3634" s="8">
        <f>IF(AND(V3634=1,D3634=pas_data,E3634=pas_turno),10000-ROW(),"")</f>
        <v/>
      </c>
    </row>
    <row r="3635">
      <c r="A3635" s="3">
        <f>IF(D3635="","","TT-"&amp;TEXT(ROW()-1,"00000"))</f>
        <v/>
      </c>
      <c r="B3635" s="3">
        <f>IF(D3635="","",IF(V3635=0,"CONCLUÍDO",IF(D3635&lt;corte,"HISTÓRICO",IF(OR(AND(ISNUMBER(R3635),R3635&lt;TODAY()),AND(OR(N3635="PENDENTE",N3635="PARCIAL"),D3635&lt;TODAY()-1)),"CRÍTICO",IF(OR(AND(P3635&lt;&gt;"",S3635=""),AND(N3635="REALIZADO",M3635="PENDENTE"),AND(ISNUMBER(R3635),R3635=TODAY())),"ATENÇÃO",IF(N(K3635)=0,"PENDENTE","EM ANDAMENTO"))))))</f>
        <v/>
      </c>
      <c r="C3635" s="3">
        <f>IF(D3635="","",IF(V3635=0,"🟢 OK",IF(D3635&lt;corte,"⚪ HISTÓRICO (sem baixa)",IF(AND(ISNUMBER(R3635),R3635&lt;TODAY()),"🔴 PRAZO VENCIDO",IF(AND(OR(N3635="PENDENTE",N3635="PARCIAL"),D3635&lt;TODAY()-1),"🔴 EMBARQUE ATRASADO",IF(AND(N3635="REALIZADO",M3635="PENDENTE"),"🟡 EMBARCADO SEM FATURAR",IF(AND(P3635&lt;&gt;"",S3635="",OR(Q3635="",R3635="")),"🟡 PENDÊNCIA SEM RESPONSÁVEL/PRAZO",IF(AND(ISNUMBER(R3635),R3635=TODAY()),"🟡 VENCE HOJE",IF(AND(P3635&lt;&gt;"",S3635=""),"🟡 PENDÊNCIA ABERTA",IF(AND(N(J3635)&gt;0,N(K3635)&lt;J3635),"🟡 FALTA EXECUTAR",IF(OR(M3635="PENDENTE",M3635="PARCIAL"),"🟡 FATURAMENTO PENDENTE","🟡 EMBARQUE PENDENTE")))))))))))</f>
        <v/>
      </c>
      <c r="D3635" s="4" t="n"/>
      <c r="E3635" s="5" t="n"/>
      <c r="F3635" s="5" t="n"/>
      <c r="G3635" s="5" t="n"/>
      <c r="H3635" s="5" t="n"/>
      <c r="I3635" s="5" t="n"/>
      <c r="J3635" s="6" t="n"/>
      <c r="K3635" s="6" t="n"/>
      <c r="L3635" s="7">
        <f>IF(OR(D3635="",N(J3635)=0),"",MIN(1,N(K3635)/J3635))</f>
        <v/>
      </c>
      <c r="M3635" s="5" t="n"/>
      <c r="N3635" s="5" t="n"/>
      <c r="O3635" s="5" t="n"/>
      <c r="P3635" s="5" t="n"/>
      <c r="Q3635" s="5" t="n"/>
      <c r="R3635" s="4" t="n"/>
      <c r="S3635" s="4" t="n"/>
      <c r="T3635" s="5" t="n"/>
      <c r="U3635" s="8">
        <f>IF(AND(V3635=1,D3635&lt;&gt;""),IF(D3635&gt;=corte,TODAY()-D3635,""),"")</f>
        <v/>
      </c>
      <c r="V3635" s="8">
        <f>IF(D3635="",0,IF(OR(AND(P3635&lt;&gt;"",S3635=""),AND(N(J3635)&gt;0,N(K3635)&lt;J3635),OR(M3635="PENDENTE",M3635="PARCIAL"),OR(N3635="PENDENTE",N3635="PARCIAL")),1,0))</f>
        <v/>
      </c>
      <c r="W3635" s="8">
        <f>IF(AND(V3635=1,D3635&lt;&gt;""),IF(D3635&gt;=corte,(B3635="CRÍTICO")*1E9+(100000-D3635)*10000+10000-ROW(),""),"")</f>
        <v/>
      </c>
      <c r="X3635" s="8">
        <f>IF(AND(V3635=1,D3635=pas_data,E3635=pas_turno),10000-ROW(),"")</f>
        <v/>
      </c>
    </row>
    <row r="3636">
      <c r="A3636" s="3">
        <f>IF(D3636="","","TT-"&amp;TEXT(ROW()-1,"00000"))</f>
        <v/>
      </c>
      <c r="B3636" s="3">
        <f>IF(D3636="","",IF(V3636=0,"CONCLUÍDO",IF(D3636&lt;corte,"HISTÓRICO",IF(OR(AND(ISNUMBER(R3636),R3636&lt;TODAY()),AND(OR(N3636="PENDENTE",N3636="PARCIAL"),D3636&lt;TODAY()-1)),"CRÍTICO",IF(OR(AND(P3636&lt;&gt;"",S3636=""),AND(N3636="REALIZADO",M3636="PENDENTE"),AND(ISNUMBER(R3636),R3636=TODAY())),"ATENÇÃO",IF(N(K3636)=0,"PENDENTE","EM ANDAMENTO"))))))</f>
        <v/>
      </c>
      <c r="C3636" s="3">
        <f>IF(D3636="","",IF(V3636=0,"🟢 OK",IF(D3636&lt;corte,"⚪ HISTÓRICO (sem baixa)",IF(AND(ISNUMBER(R3636),R3636&lt;TODAY()),"🔴 PRAZO VENCIDO",IF(AND(OR(N3636="PENDENTE",N3636="PARCIAL"),D3636&lt;TODAY()-1),"🔴 EMBARQUE ATRASADO",IF(AND(N3636="REALIZADO",M3636="PENDENTE"),"🟡 EMBARCADO SEM FATURAR",IF(AND(P3636&lt;&gt;"",S3636="",OR(Q3636="",R3636="")),"🟡 PENDÊNCIA SEM RESPONSÁVEL/PRAZO",IF(AND(ISNUMBER(R3636),R3636=TODAY()),"🟡 VENCE HOJE",IF(AND(P3636&lt;&gt;"",S3636=""),"🟡 PENDÊNCIA ABERTA",IF(AND(N(J3636)&gt;0,N(K3636)&lt;J3636),"🟡 FALTA EXECUTAR",IF(OR(M3636="PENDENTE",M3636="PARCIAL"),"🟡 FATURAMENTO PENDENTE","🟡 EMBARQUE PENDENTE")))))))))))</f>
        <v/>
      </c>
      <c r="D3636" s="4" t="n"/>
      <c r="E3636" s="5" t="n"/>
      <c r="F3636" s="5" t="n"/>
      <c r="G3636" s="5" t="n"/>
      <c r="H3636" s="5" t="n"/>
      <c r="I3636" s="5" t="n"/>
      <c r="J3636" s="6" t="n"/>
      <c r="K3636" s="6" t="n"/>
      <c r="L3636" s="7">
        <f>IF(OR(D3636="",N(J3636)=0),"",MIN(1,N(K3636)/J3636))</f>
        <v/>
      </c>
      <c r="M3636" s="5" t="n"/>
      <c r="N3636" s="5" t="n"/>
      <c r="O3636" s="5" t="n"/>
      <c r="P3636" s="5" t="n"/>
      <c r="Q3636" s="5" t="n"/>
      <c r="R3636" s="4" t="n"/>
      <c r="S3636" s="4" t="n"/>
      <c r="T3636" s="5" t="n"/>
      <c r="U3636" s="8">
        <f>IF(AND(V3636=1,D3636&lt;&gt;""),IF(D3636&gt;=corte,TODAY()-D3636,""),"")</f>
        <v/>
      </c>
      <c r="V3636" s="8">
        <f>IF(D3636="",0,IF(OR(AND(P3636&lt;&gt;"",S3636=""),AND(N(J3636)&gt;0,N(K3636)&lt;J3636),OR(M3636="PENDENTE",M3636="PARCIAL"),OR(N3636="PENDENTE",N3636="PARCIAL")),1,0))</f>
        <v/>
      </c>
      <c r="W3636" s="8">
        <f>IF(AND(V3636=1,D3636&lt;&gt;""),IF(D3636&gt;=corte,(B3636="CRÍTICO")*1E9+(100000-D3636)*10000+10000-ROW(),""),"")</f>
        <v/>
      </c>
      <c r="X3636" s="8">
        <f>IF(AND(V3636=1,D3636=pas_data,E3636=pas_turno),10000-ROW(),"")</f>
        <v/>
      </c>
    </row>
    <row r="3637">
      <c r="A3637" s="3">
        <f>IF(D3637="","","TT-"&amp;TEXT(ROW()-1,"00000"))</f>
        <v/>
      </c>
      <c r="B3637" s="3">
        <f>IF(D3637="","",IF(V3637=0,"CONCLUÍDO",IF(D3637&lt;corte,"HISTÓRICO",IF(OR(AND(ISNUMBER(R3637),R3637&lt;TODAY()),AND(OR(N3637="PENDENTE",N3637="PARCIAL"),D3637&lt;TODAY()-1)),"CRÍTICO",IF(OR(AND(P3637&lt;&gt;"",S3637=""),AND(N3637="REALIZADO",M3637="PENDENTE"),AND(ISNUMBER(R3637),R3637=TODAY())),"ATENÇÃO",IF(N(K3637)=0,"PENDENTE","EM ANDAMENTO"))))))</f>
        <v/>
      </c>
      <c r="C3637" s="3">
        <f>IF(D3637="","",IF(V3637=0,"🟢 OK",IF(D3637&lt;corte,"⚪ HISTÓRICO (sem baixa)",IF(AND(ISNUMBER(R3637),R3637&lt;TODAY()),"🔴 PRAZO VENCIDO",IF(AND(OR(N3637="PENDENTE",N3637="PARCIAL"),D3637&lt;TODAY()-1),"🔴 EMBARQUE ATRASADO",IF(AND(N3637="REALIZADO",M3637="PENDENTE"),"🟡 EMBARCADO SEM FATURAR",IF(AND(P3637&lt;&gt;"",S3637="",OR(Q3637="",R3637="")),"🟡 PENDÊNCIA SEM RESPONSÁVEL/PRAZO",IF(AND(ISNUMBER(R3637),R3637=TODAY()),"🟡 VENCE HOJE",IF(AND(P3637&lt;&gt;"",S3637=""),"🟡 PENDÊNCIA ABERTA",IF(AND(N(J3637)&gt;0,N(K3637)&lt;J3637),"🟡 FALTA EXECUTAR",IF(OR(M3637="PENDENTE",M3637="PARCIAL"),"🟡 FATURAMENTO PENDENTE","🟡 EMBARQUE PENDENTE")))))))))))</f>
        <v/>
      </c>
      <c r="D3637" s="4" t="n"/>
      <c r="E3637" s="5" t="n"/>
      <c r="F3637" s="5" t="n"/>
      <c r="G3637" s="5" t="n"/>
      <c r="H3637" s="5" t="n"/>
      <c r="I3637" s="5" t="n"/>
      <c r="J3637" s="6" t="n"/>
      <c r="K3637" s="6" t="n"/>
      <c r="L3637" s="7">
        <f>IF(OR(D3637="",N(J3637)=0),"",MIN(1,N(K3637)/J3637))</f>
        <v/>
      </c>
      <c r="M3637" s="5" t="n"/>
      <c r="N3637" s="5" t="n"/>
      <c r="O3637" s="5" t="n"/>
      <c r="P3637" s="5" t="n"/>
      <c r="Q3637" s="5" t="n"/>
      <c r="R3637" s="4" t="n"/>
      <c r="S3637" s="4" t="n"/>
      <c r="T3637" s="5" t="n"/>
      <c r="U3637" s="8">
        <f>IF(AND(V3637=1,D3637&lt;&gt;""),IF(D3637&gt;=corte,TODAY()-D3637,""),"")</f>
        <v/>
      </c>
      <c r="V3637" s="8">
        <f>IF(D3637="",0,IF(OR(AND(P3637&lt;&gt;"",S3637=""),AND(N(J3637)&gt;0,N(K3637)&lt;J3637),OR(M3637="PENDENTE",M3637="PARCIAL"),OR(N3637="PENDENTE",N3637="PARCIAL")),1,0))</f>
        <v/>
      </c>
      <c r="W3637" s="8">
        <f>IF(AND(V3637=1,D3637&lt;&gt;""),IF(D3637&gt;=corte,(B3637="CRÍTICO")*1E9+(100000-D3637)*10000+10000-ROW(),""),"")</f>
        <v/>
      </c>
      <c r="X3637" s="8">
        <f>IF(AND(V3637=1,D3637=pas_data,E3637=pas_turno),10000-ROW(),"")</f>
        <v/>
      </c>
    </row>
    <row r="3638">
      <c r="A3638" s="3">
        <f>IF(D3638="","","TT-"&amp;TEXT(ROW()-1,"00000"))</f>
        <v/>
      </c>
      <c r="B3638" s="3">
        <f>IF(D3638="","",IF(V3638=0,"CONCLUÍDO",IF(D3638&lt;corte,"HISTÓRICO",IF(OR(AND(ISNUMBER(R3638),R3638&lt;TODAY()),AND(OR(N3638="PENDENTE",N3638="PARCIAL"),D3638&lt;TODAY()-1)),"CRÍTICO",IF(OR(AND(P3638&lt;&gt;"",S3638=""),AND(N3638="REALIZADO",M3638="PENDENTE"),AND(ISNUMBER(R3638),R3638=TODAY())),"ATENÇÃO",IF(N(K3638)=0,"PENDENTE","EM ANDAMENTO"))))))</f>
        <v/>
      </c>
      <c r="C3638" s="3">
        <f>IF(D3638="","",IF(V3638=0,"🟢 OK",IF(D3638&lt;corte,"⚪ HISTÓRICO (sem baixa)",IF(AND(ISNUMBER(R3638),R3638&lt;TODAY()),"🔴 PRAZO VENCIDO",IF(AND(OR(N3638="PENDENTE",N3638="PARCIAL"),D3638&lt;TODAY()-1),"🔴 EMBARQUE ATRASADO",IF(AND(N3638="REALIZADO",M3638="PENDENTE"),"🟡 EMBARCADO SEM FATURAR",IF(AND(P3638&lt;&gt;"",S3638="",OR(Q3638="",R3638="")),"🟡 PENDÊNCIA SEM RESPONSÁVEL/PRAZO",IF(AND(ISNUMBER(R3638),R3638=TODAY()),"🟡 VENCE HOJE",IF(AND(P3638&lt;&gt;"",S3638=""),"🟡 PENDÊNCIA ABERTA",IF(AND(N(J3638)&gt;0,N(K3638)&lt;J3638),"🟡 FALTA EXECUTAR",IF(OR(M3638="PENDENTE",M3638="PARCIAL"),"🟡 FATURAMENTO PENDENTE","🟡 EMBARQUE PENDENTE")))))))))))</f>
        <v/>
      </c>
      <c r="D3638" s="4" t="n"/>
      <c r="E3638" s="5" t="n"/>
      <c r="F3638" s="5" t="n"/>
      <c r="G3638" s="5" t="n"/>
      <c r="H3638" s="5" t="n"/>
      <c r="I3638" s="5" t="n"/>
      <c r="J3638" s="6" t="n"/>
      <c r="K3638" s="6" t="n"/>
      <c r="L3638" s="7">
        <f>IF(OR(D3638="",N(J3638)=0),"",MIN(1,N(K3638)/J3638))</f>
        <v/>
      </c>
      <c r="M3638" s="5" t="n"/>
      <c r="N3638" s="5" t="n"/>
      <c r="O3638" s="5" t="n"/>
      <c r="P3638" s="5" t="n"/>
      <c r="Q3638" s="5" t="n"/>
      <c r="R3638" s="4" t="n"/>
      <c r="S3638" s="4" t="n"/>
      <c r="T3638" s="5" t="n"/>
      <c r="U3638" s="8">
        <f>IF(AND(V3638=1,D3638&lt;&gt;""),IF(D3638&gt;=corte,TODAY()-D3638,""),"")</f>
        <v/>
      </c>
      <c r="V3638" s="8">
        <f>IF(D3638="",0,IF(OR(AND(P3638&lt;&gt;"",S3638=""),AND(N(J3638)&gt;0,N(K3638)&lt;J3638),OR(M3638="PENDENTE",M3638="PARCIAL"),OR(N3638="PENDENTE",N3638="PARCIAL")),1,0))</f>
        <v/>
      </c>
      <c r="W3638" s="8">
        <f>IF(AND(V3638=1,D3638&lt;&gt;""),IF(D3638&gt;=corte,(B3638="CRÍTICO")*1E9+(100000-D3638)*10000+10000-ROW(),""),"")</f>
        <v/>
      </c>
      <c r="X3638" s="8">
        <f>IF(AND(V3638=1,D3638=pas_data,E3638=pas_turno),10000-ROW(),"")</f>
        <v/>
      </c>
    </row>
    <row r="3639">
      <c r="A3639" s="3">
        <f>IF(D3639="","","TT-"&amp;TEXT(ROW()-1,"00000"))</f>
        <v/>
      </c>
      <c r="B3639" s="3">
        <f>IF(D3639="","",IF(V3639=0,"CONCLUÍDO",IF(D3639&lt;corte,"HISTÓRICO",IF(OR(AND(ISNUMBER(R3639),R3639&lt;TODAY()),AND(OR(N3639="PENDENTE",N3639="PARCIAL"),D3639&lt;TODAY()-1)),"CRÍTICO",IF(OR(AND(P3639&lt;&gt;"",S3639=""),AND(N3639="REALIZADO",M3639="PENDENTE"),AND(ISNUMBER(R3639),R3639=TODAY())),"ATENÇÃO",IF(N(K3639)=0,"PENDENTE","EM ANDAMENTO"))))))</f>
        <v/>
      </c>
      <c r="C3639" s="3">
        <f>IF(D3639="","",IF(V3639=0,"🟢 OK",IF(D3639&lt;corte,"⚪ HISTÓRICO (sem baixa)",IF(AND(ISNUMBER(R3639),R3639&lt;TODAY()),"🔴 PRAZO VENCIDO",IF(AND(OR(N3639="PENDENTE",N3639="PARCIAL"),D3639&lt;TODAY()-1),"🔴 EMBARQUE ATRASADO",IF(AND(N3639="REALIZADO",M3639="PENDENTE"),"🟡 EMBARCADO SEM FATURAR",IF(AND(P3639&lt;&gt;"",S3639="",OR(Q3639="",R3639="")),"🟡 PENDÊNCIA SEM RESPONSÁVEL/PRAZO",IF(AND(ISNUMBER(R3639),R3639=TODAY()),"🟡 VENCE HOJE",IF(AND(P3639&lt;&gt;"",S3639=""),"🟡 PENDÊNCIA ABERTA",IF(AND(N(J3639)&gt;0,N(K3639)&lt;J3639),"🟡 FALTA EXECUTAR",IF(OR(M3639="PENDENTE",M3639="PARCIAL"),"🟡 FATURAMENTO PENDENTE","🟡 EMBARQUE PENDENTE")))))))))))</f>
        <v/>
      </c>
      <c r="D3639" s="4" t="n"/>
      <c r="E3639" s="5" t="n"/>
      <c r="F3639" s="5" t="n"/>
      <c r="G3639" s="5" t="n"/>
      <c r="H3639" s="5" t="n"/>
      <c r="I3639" s="5" t="n"/>
      <c r="J3639" s="6" t="n"/>
      <c r="K3639" s="6" t="n"/>
      <c r="L3639" s="7">
        <f>IF(OR(D3639="",N(J3639)=0),"",MIN(1,N(K3639)/J3639))</f>
        <v/>
      </c>
      <c r="M3639" s="5" t="n"/>
      <c r="N3639" s="5" t="n"/>
      <c r="O3639" s="5" t="n"/>
      <c r="P3639" s="5" t="n"/>
      <c r="Q3639" s="5" t="n"/>
      <c r="R3639" s="4" t="n"/>
      <c r="S3639" s="4" t="n"/>
      <c r="T3639" s="5" t="n"/>
      <c r="U3639" s="8">
        <f>IF(AND(V3639=1,D3639&lt;&gt;""),IF(D3639&gt;=corte,TODAY()-D3639,""),"")</f>
        <v/>
      </c>
      <c r="V3639" s="8">
        <f>IF(D3639="",0,IF(OR(AND(P3639&lt;&gt;"",S3639=""),AND(N(J3639)&gt;0,N(K3639)&lt;J3639),OR(M3639="PENDENTE",M3639="PARCIAL"),OR(N3639="PENDENTE",N3639="PARCIAL")),1,0))</f>
        <v/>
      </c>
      <c r="W3639" s="8">
        <f>IF(AND(V3639=1,D3639&lt;&gt;""),IF(D3639&gt;=corte,(B3639="CRÍTICO")*1E9+(100000-D3639)*10000+10000-ROW(),""),"")</f>
        <v/>
      </c>
      <c r="X3639" s="8">
        <f>IF(AND(V3639=1,D3639=pas_data,E3639=pas_turno),10000-ROW(),"")</f>
        <v/>
      </c>
    </row>
    <row r="3640">
      <c r="A3640" s="3">
        <f>IF(D3640="","","TT-"&amp;TEXT(ROW()-1,"00000"))</f>
        <v/>
      </c>
      <c r="B3640" s="3">
        <f>IF(D3640="","",IF(V3640=0,"CONCLUÍDO",IF(D3640&lt;corte,"HISTÓRICO",IF(OR(AND(ISNUMBER(R3640),R3640&lt;TODAY()),AND(OR(N3640="PENDENTE",N3640="PARCIAL"),D3640&lt;TODAY()-1)),"CRÍTICO",IF(OR(AND(P3640&lt;&gt;"",S3640=""),AND(N3640="REALIZADO",M3640="PENDENTE"),AND(ISNUMBER(R3640),R3640=TODAY())),"ATENÇÃO",IF(N(K3640)=0,"PENDENTE","EM ANDAMENTO"))))))</f>
        <v/>
      </c>
      <c r="C3640" s="3">
        <f>IF(D3640="","",IF(V3640=0,"🟢 OK",IF(D3640&lt;corte,"⚪ HISTÓRICO (sem baixa)",IF(AND(ISNUMBER(R3640),R3640&lt;TODAY()),"🔴 PRAZO VENCIDO",IF(AND(OR(N3640="PENDENTE",N3640="PARCIAL"),D3640&lt;TODAY()-1),"🔴 EMBARQUE ATRASADO",IF(AND(N3640="REALIZADO",M3640="PENDENTE"),"🟡 EMBARCADO SEM FATURAR",IF(AND(P3640&lt;&gt;"",S3640="",OR(Q3640="",R3640="")),"🟡 PENDÊNCIA SEM RESPONSÁVEL/PRAZO",IF(AND(ISNUMBER(R3640),R3640=TODAY()),"🟡 VENCE HOJE",IF(AND(P3640&lt;&gt;"",S3640=""),"🟡 PENDÊNCIA ABERTA",IF(AND(N(J3640)&gt;0,N(K3640)&lt;J3640),"🟡 FALTA EXECUTAR",IF(OR(M3640="PENDENTE",M3640="PARCIAL"),"🟡 FATURAMENTO PENDENTE","🟡 EMBARQUE PENDENTE")))))))))))</f>
        <v/>
      </c>
      <c r="D3640" s="4" t="n"/>
      <c r="E3640" s="5" t="n"/>
      <c r="F3640" s="5" t="n"/>
      <c r="G3640" s="5" t="n"/>
      <c r="H3640" s="5" t="n"/>
      <c r="I3640" s="5" t="n"/>
      <c r="J3640" s="6" t="n"/>
      <c r="K3640" s="6" t="n"/>
      <c r="L3640" s="7">
        <f>IF(OR(D3640="",N(J3640)=0),"",MIN(1,N(K3640)/J3640))</f>
        <v/>
      </c>
      <c r="M3640" s="5" t="n"/>
      <c r="N3640" s="5" t="n"/>
      <c r="O3640" s="5" t="n"/>
      <c r="P3640" s="5" t="n"/>
      <c r="Q3640" s="5" t="n"/>
      <c r="R3640" s="4" t="n"/>
      <c r="S3640" s="4" t="n"/>
      <c r="T3640" s="5" t="n"/>
      <c r="U3640" s="8">
        <f>IF(AND(V3640=1,D3640&lt;&gt;""),IF(D3640&gt;=corte,TODAY()-D3640,""),"")</f>
        <v/>
      </c>
      <c r="V3640" s="8">
        <f>IF(D3640="",0,IF(OR(AND(P3640&lt;&gt;"",S3640=""),AND(N(J3640)&gt;0,N(K3640)&lt;J3640),OR(M3640="PENDENTE",M3640="PARCIAL"),OR(N3640="PENDENTE",N3640="PARCIAL")),1,0))</f>
        <v/>
      </c>
      <c r="W3640" s="8">
        <f>IF(AND(V3640=1,D3640&lt;&gt;""),IF(D3640&gt;=corte,(B3640="CRÍTICO")*1E9+(100000-D3640)*10000+10000-ROW(),""),"")</f>
        <v/>
      </c>
      <c r="X3640" s="8">
        <f>IF(AND(V3640=1,D3640=pas_data,E3640=pas_turno),10000-ROW(),"")</f>
        <v/>
      </c>
    </row>
    <row r="3641">
      <c r="A3641" s="3">
        <f>IF(D3641="","","TT-"&amp;TEXT(ROW()-1,"00000"))</f>
        <v/>
      </c>
      <c r="B3641" s="3">
        <f>IF(D3641="","",IF(V3641=0,"CONCLUÍDO",IF(D3641&lt;corte,"HISTÓRICO",IF(OR(AND(ISNUMBER(R3641),R3641&lt;TODAY()),AND(OR(N3641="PENDENTE",N3641="PARCIAL"),D3641&lt;TODAY()-1)),"CRÍTICO",IF(OR(AND(P3641&lt;&gt;"",S3641=""),AND(N3641="REALIZADO",M3641="PENDENTE"),AND(ISNUMBER(R3641),R3641=TODAY())),"ATENÇÃO",IF(N(K3641)=0,"PENDENTE","EM ANDAMENTO"))))))</f>
        <v/>
      </c>
      <c r="C3641" s="3">
        <f>IF(D3641="","",IF(V3641=0,"🟢 OK",IF(D3641&lt;corte,"⚪ HISTÓRICO (sem baixa)",IF(AND(ISNUMBER(R3641),R3641&lt;TODAY()),"🔴 PRAZO VENCIDO",IF(AND(OR(N3641="PENDENTE",N3641="PARCIAL"),D3641&lt;TODAY()-1),"🔴 EMBARQUE ATRASADO",IF(AND(N3641="REALIZADO",M3641="PENDENTE"),"🟡 EMBARCADO SEM FATURAR",IF(AND(P3641&lt;&gt;"",S3641="",OR(Q3641="",R3641="")),"🟡 PENDÊNCIA SEM RESPONSÁVEL/PRAZO",IF(AND(ISNUMBER(R3641),R3641=TODAY()),"🟡 VENCE HOJE",IF(AND(P3641&lt;&gt;"",S3641=""),"🟡 PENDÊNCIA ABERTA",IF(AND(N(J3641)&gt;0,N(K3641)&lt;J3641),"🟡 FALTA EXECUTAR",IF(OR(M3641="PENDENTE",M3641="PARCIAL"),"🟡 FATURAMENTO PENDENTE","🟡 EMBARQUE PENDENTE")))))))))))</f>
        <v/>
      </c>
      <c r="D3641" s="4" t="n"/>
      <c r="E3641" s="5" t="n"/>
      <c r="F3641" s="5" t="n"/>
      <c r="G3641" s="5" t="n"/>
      <c r="H3641" s="5" t="n"/>
      <c r="I3641" s="5" t="n"/>
      <c r="J3641" s="6" t="n"/>
      <c r="K3641" s="6" t="n"/>
      <c r="L3641" s="7">
        <f>IF(OR(D3641="",N(J3641)=0),"",MIN(1,N(K3641)/J3641))</f>
        <v/>
      </c>
      <c r="M3641" s="5" t="n"/>
      <c r="N3641" s="5" t="n"/>
      <c r="O3641" s="5" t="n"/>
      <c r="P3641" s="5" t="n"/>
      <c r="Q3641" s="5" t="n"/>
      <c r="R3641" s="4" t="n"/>
      <c r="S3641" s="4" t="n"/>
      <c r="T3641" s="5" t="n"/>
      <c r="U3641" s="8">
        <f>IF(AND(V3641=1,D3641&lt;&gt;""),IF(D3641&gt;=corte,TODAY()-D3641,""),"")</f>
        <v/>
      </c>
      <c r="V3641" s="8">
        <f>IF(D3641="",0,IF(OR(AND(P3641&lt;&gt;"",S3641=""),AND(N(J3641)&gt;0,N(K3641)&lt;J3641),OR(M3641="PENDENTE",M3641="PARCIAL"),OR(N3641="PENDENTE",N3641="PARCIAL")),1,0))</f>
        <v/>
      </c>
      <c r="W3641" s="8">
        <f>IF(AND(V3641=1,D3641&lt;&gt;""),IF(D3641&gt;=corte,(B3641="CRÍTICO")*1E9+(100000-D3641)*10000+10000-ROW(),""),"")</f>
        <v/>
      </c>
      <c r="X3641" s="8">
        <f>IF(AND(V3641=1,D3641=pas_data,E3641=pas_turno),10000-ROW(),"")</f>
        <v/>
      </c>
    </row>
    <row r="3642">
      <c r="A3642" s="3">
        <f>IF(D3642="","","TT-"&amp;TEXT(ROW()-1,"00000"))</f>
        <v/>
      </c>
      <c r="B3642" s="3">
        <f>IF(D3642="","",IF(V3642=0,"CONCLUÍDO",IF(D3642&lt;corte,"HISTÓRICO",IF(OR(AND(ISNUMBER(R3642),R3642&lt;TODAY()),AND(OR(N3642="PENDENTE",N3642="PARCIAL"),D3642&lt;TODAY()-1)),"CRÍTICO",IF(OR(AND(P3642&lt;&gt;"",S3642=""),AND(N3642="REALIZADO",M3642="PENDENTE"),AND(ISNUMBER(R3642),R3642=TODAY())),"ATENÇÃO",IF(N(K3642)=0,"PENDENTE","EM ANDAMENTO"))))))</f>
        <v/>
      </c>
      <c r="C3642" s="3">
        <f>IF(D3642="","",IF(V3642=0,"🟢 OK",IF(D3642&lt;corte,"⚪ HISTÓRICO (sem baixa)",IF(AND(ISNUMBER(R3642),R3642&lt;TODAY()),"🔴 PRAZO VENCIDO",IF(AND(OR(N3642="PENDENTE",N3642="PARCIAL"),D3642&lt;TODAY()-1),"🔴 EMBARQUE ATRASADO",IF(AND(N3642="REALIZADO",M3642="PENDENTE"),"🟡 EMBARCADO SEM FATURAR",IF(AND(P3642&lt;&gt;"",S3642="",OR(Q3642="",R3642="")),"🟡 PENDÊNCIA SEM RESPONSÁVEL/PRAZO",IF(AND(ISNUMBER(R3642),R3642=TODAY()),"🟡 VENCE HOJE",IF(AND(P3642&lt;&gt;"",S3642=""),"🟡 PENDÊNCIA ABERTA",IF(AND(N(J3642)&gt;0,N(K3642)&lt;J3642),"🟡 FALTA EXECUTAR",IF(OR(M3642="PENDENTE",M3642="PARCIAL"),"🟡 FATURAMENTO PENDENTE","🟡 EMBARQUE PENDENTE")))))))))))</f>
        <v/>
      </c>
      <c r="D3642" s="4" t="n"/>
      <c r="E3642" s="5" t="n"/>
      <c r="F3642" s="5" t="n"/>
      <c r="G3642" s="5" t="n"/>
      <c r="H3642" s="5" t="n"/>
      <c r="I3642" s="5" t="n"/>
      <c r="J3642" s="6" t="n"/>
      <c r="K3642" s="6" t="n"/>
      <c r="L3642" s="7">
        <f>IF(OR(D3642="",N(J3642)=0),"",MIN(1,N(K3642)/J3642))</f>
        <v/>
      </c>
      <c r="M3642" s="5" t="n"/>
      <c r="N3642" s="5" t="n"/>
      <c r="O3642" s="5" t="n"/>
      <c r="P3642" s="5" t="n"/>
      <c r="Q3642" s="5" t="n"/>
      <c r="R3642" s="4" t="n"/>
      <c r="S3642" s="4" t="n"/>
      <c r="T3642" s="5" t="n"/>
      <c r="U3642" s="8">
        <f>IF(AND(V3642=1,D3642&lt;&gt;""),IF(D3642&gt;=corte,TODAY()-D3642,""),"")</f>
        <v/>
      </c>
      <c r="V3642" s="8">
        <f>IF(D3642="",0,IF(OR(AND(P3642&lt;&gt;"",S3642=""),AND(N(J3642)&gt;0,N(K3642)&lt;J3642),OR(M3642="PENDENTE",M3642="PARCIAL"),OR(N3642="PENDENTE",N3642="PARCIAL")),1,0))</f>
        <v/>
      </c>
      <c r="W3642" s="8">
        <f>IF(AND(V3642=1,D3642&lt;&gt;""),IF(D3642&gt;=corte,(B3642="CRÍTICO")*1E9+(100000-D3642)*10000+10000-ROW(),""),"")</f>
        <v/>
      </c>
      <c r="X3642" s="8">
        <f>IF(AND(V3642=1,D3642=pas_data,E3642=pas_turno),10000-ROW(),"")</f>
        <v/>
      </c>
    </row>
    <row r="3643">
      <c r="A3643" s="3">
        <f>IF(D3643="","","TT-"&amp;TEXT(ROW()-1,"00000"))</f>
        <v/>
      </c>
      <c r="B3643" s="3">
        <f>IF(D3643="","",IF(V3643=0,"CONCLUÍDO",IF(D3643&lt;corte,"HISTÓRICO",IF(OR(AND(ISNUMBER(R3643),R3643&lt;TODAY()),AND(OR(N3643="PENDENTE",N3643="PARCIAL"),D3643&lt;TODAY()-1)),"CRÍTICO",IF(OR(AND(P3643&lt;&gt;"",S3643=""),AND(N3643="REALIZADO",M3643="PENDENTE"),AND(ISNUMBER(R3643),R3643=TODAY())),"ATENÇÃO",IF(N(K3643)=0,"PENDENTE","EM ANDAMENTO"))))))</f>
        <v/>
      </c>
      <c r="C3643" s="3">
        <f>IF(D3643="","",IF(V3643=0,"🟢 OK",IF(D3643&lt;corte,"⚪ HISTÓRICO (sem baixa)",IF(AND(ISNUMBER(R3643),R3643&lt;TODAY()),"🔴 PRAZO VENCIDO",IF(AND(OR(N3643="PENDENTE",N3643="PARCIAL"),D3643&lt;TODAY()-1),"🔴 EMBARQUE ATRASADO",IF(AND(N3643="REALIZADO",M3643="PENDENTE"),"🟡 EMBARCADO SEM FATURAR",IF(AND(P3643&lt;&gt;"",S3643="",OR(Q3643="",R3643="")),"🟡 PENDÊNCIA SEM RESPONSÁVEL/PRAZO",IF(AND(ISNUMBER(R3643),R3643=TODAY()),"🟡 VENCE HOJE",IF(AND(P3643&lt;&gt;"",S3643=""),"🟡 PENDÊNCIA ABERTA",IF(AND(N(J3643)&gt;0,N(K3643)&lt;J3643),"🟡 FALTA EXECUTAR",IF(OR(M3643="PENDENTE",M3643="PARCIAL"),"🟡 FATURAMENTO PENDENTE","🟡 EMBARQUE PENDENTE")))))))))))</f>
        <v/>
      </c>
      <c r="D3643" s="4" t="n"/>
      <c r="E3643" s="5" t="n"/>
      <c r="F3643" s="5" t="n"/>
      <c r="G3643" s="5" t="n"/>
      <c r="H3643" s="5" t="n"/>
      <c r="I3643" s="5" t="n"/>
      <c r="J3643" s="6" t="n"/>
      <c r="K3643" s="6" t="n"/>
      <c r="L3643" s="7">
        <f>IF(OR(D3643="",N(J3643)=0),"",MIN(1,N(K3643)/J3643))</f>
        <v/>
      </c>
      <c r="M3643" s="5" t="n"/>
      <c r="N3643" s="5" t="n"/>
      <c r="O3643" s="5" t="n"/>
      <c r="P3643" s="5" t="n"/>
      <c r="Q3643" s="5" t="n"/>
      <c r="R3643" s="4" t="n"/>
      <c r="S3643" s="4" t="n"/>
      <c r="T3643" s="5" t="n"/>
      <c r="U3643" s="8">
        <f>IF(AND(V3643=1,D3643&lt;&gt;""),IF(D3643&gt;=corte,TODAY()-D3643,""),"")</f>
        <v/>
      </c>
      <c r="V3643" s="8">
        <f>IF(D3643="",0,IF(OR(AND(P3643&lt;&gt;"",S3643=""),AND(N(J3643)&gt;0,N(K3643)&lt;J3643),OR(M3643="PENDENTE",M3643="PARCIAL"),OR(N3643="PENDENTE",N3643="PARCIAL")),1,0))</f>
        <v/>
      </c>
      <c r="W3643" s="8">
        <f>IF(AND(V3643=1,D3643&lt;&gt;""),IF(D3643&gt;=corte,(B3643="CRÍTICO")*1E9+(100000-D3643)*10000+10000-ROW(),""),"")</f>
        <v/>
      </c>
      <c r="X3643" s="8">
        <f>IF(AND(V3643=1,D3643=pas_data,E3643=pas_turno),10000-ROW(),"")</f>
        <v/>
      </c>
    </row>
    <row r="3644">
      <c r="A3644" s="3">
        <f>IF(D3644="","","TT-"&amp;TEXT(ROW()-1,"00000"))</f>
        <v/>
      </c>
      <c r="B3644" s="3">
        <f>IF(D3644="","",IF(V3644=0,"CONCLUÍDO",IF(D3644&lt;corte,"HISTÓRICO",IF(OR(AND(ISNUMBER(R3644),R3644&lt;TODAY()),AND(OR(N3644="PENDENTE",N3644="PARCIAL"),D3644&lt;TODAY()-1)),"CRÍTICO",IF(OR(AND(P3644&lt;&gt;"",S3644=""),AND(N3644="REALIZADO",M3644="PENDENTE"),AND(ISNUMBER(R3644),R3644=TODAY())),"ATENÇÃO",IF(N(K3644)=0,"PENDENTE","EM ANDAMENTO"))))))</f>
        <v/>
      </c>
      <c r="C3644" s="3">
        <f>IF(D3644="","",IF(V3644=0,"🟢 OK",IF(D3644&lt;corte,"⚪ HISTÓRICO (sem baixa)",IF(AND(ISNUMBER(R3644),R3644&lt;TODAY()),"🔴 PRAZO VENCIDO",IF(AND(OR(N3644="PENDENTE",N3644="PARCIAL"),D3644&lt;TODAY()-1),"🔴 EMBARQUE ATRASADO",IF(AND(N3644="REALIZADO",M3644="PENDENTE"),"🟡 EMBARCADO SEM FATURAR",IF(AND(P3644&lt;&gt;"",S3644="",OR(Q3644="",R3644="")),"🟡 PENDÊNCIA SEM RESPONSÁVEL/PRAZO",IF(AND(ISNUMBER(R3644),R3644=TODAY()),"🟡 VENCE HOJE",IF(AND(P3644&lt;&gt;"",S3644=""),"🟡 PENDÊNCIA ABERTA",IF(AND(N(J3644)&gt;0,N(K3644)&lt;J3644),"🟡 FALTA EXECUTAR",IF(OR(M3644="PENDENTE",M3644="PARCIAL"),"🟡 FATURAMENTO PENDENTE","🟡 EMBARQUE PENDENTE")))))))))))</f>
        <v/>
      </c>
      <c r="D3644" s="4" t="n"/>
      <c r="E3644" s="5" t="n"/>
      <c r="F3644" s="5" t="n"/>
      <c r="G3644" s="5" t="n"/>
      <c r="H3644" s="5" t="n"/>
      <c r="I3644" s="5" t="n"/>
      <c r="J3644" s="6" t="n"/>
      <c r="K3644" s="6" t="n"/>
      <c r="L3644" s="7">
        <f>IF(OR(D3644="",N(J3644)=0),"",MIN(1,N(K3644)/J3644))</f>
        <v/>
      </c>
      <c r="M3644" s="5" t="n"/>
      <c r="N3644" s="5" t="n"/>
      <c r="O3644" s="5" t="n"/>
      <c r="P3644" s="5" t="n"/>
      <c r="Q3644" s="5" t="n"/>
      <c r="R3644" s="4" t="n"/>
      <c r="S3644" s="4" t="n"/>
      <c r="T3644" s="5" t="n"/>
      <c r="U3644" s="8">
        <f>IF(AND(V3644=1,D3644&lt;&gt;""),IF(D3644&gt;=corte,TODAY()-D3644,""),"")</f>
        <v/>
      </c>
      <c r="V3644" s="8">
        <f>IF(D3644="",0,IF(OR(AND(P3644&lt;&gt;"",S3644=""),AND(N(J3644)&gt;0,N(K3644)&lt;J3644),OR(M3644="PENDENTE",M3644="PARCIAL"),OR(N3644="PENDENTE",N3644="PARCIAL")),1,0))</f>
        <v/>
      </c>
      <c r="W3644" s="8">
        <f>IF(AND(V3644=1,D3644&lt;&gt;""),IF(D3644&gt;=corte,(B3644="CRÍTICO")*1E9+(100000-D3644)*10000+10000-ROW(),""),"")</f>
        <v/>
      </c>
      <c r="X3644" s="8">
        <f>IF(AND(V3644=1,D3644=pas_data,E3644=pas_turno),10000-ROW(),"")</f>
        <v/>
      </c>
    </row>
    <row r="3645">
      <c r="A3645" s="3">
        <f>IF(D3645="","","TT-"&amp;TEXT(ROW()-1,"00000"))</f>
        <v/>
      </c>
      <c r="B3645" s="3">
        <f>IF(D3645="","",IF(V3645=0,"CONCLUÍDO",IF(D3645&lt;corte,"HISTÓRICO",IF(OR(AND(ISNUMBER(R3645),R3645&lt;TODAY()),AND(OR(N3645="PENDENTE",N3645="PARCIAL"),D3645&lt;TODAY()-1)),"CRÍTICO",IF(OR(AND(P3645&lt;&gt;"",S3645=""),AND(N3645="REALIZADO",M3645="PENDENTE"),AND(ISNUMBER(R3645),R3645=TODAY())),"ATENÇÃO",IF(N(K3645)=0,"PENDENTE","EM ANDAMENTO"))))))</f>
        <v/>
      </c>
      <c r="C3645" s="3">
        <f>IF(D3645="","",IF(V3645=0,"🟢 OK",IF(D3645&lt;corte,"⚪ HISTÓRICO (sem baixa)",IF(AND(ISNUMBER(R3645),R3645&lt;TODAY()),"🔴 PRAZO VENCIDO",IF(AND(OR(N3645="PENDENTE",N3645="PARCIAL"),D3645&lt;TODAY()-1),"🔴 EMBARQUE ATRASADO",IF(AND(N3645="REALIZADO",M3645="PENDENTE"),"🟡 EMBARCADO SEM FATURAR",IF(AND(P3645&lt;&gt;"",S3645="",OR(Q3645="",R3645="")),"🟡 PENDÊNCIA SEM RESPONSÁVEL/PRAZO",IF(AND(ISNUMBER(R3645),R3645=TODAY()),"🟡 VENCE HOJE",IF(AND(P3645&lt;&gt;"",S3645=""),"🟡 PENDÊNCIA ABERTA",IF(AND(N(J3645)&gt;0,N(K3645)&lt;J3645),"🟡 FALTA EXECUTAR",IF(OR(M3645="PENDENTE",M3645="PARCIAL"),"🟡 FATURAMENTO PENDENTE","🟡 EMBARQUE PENDENTE")))))))))))</f>
        <v/>
      </c>
      <c r="D3645" s="4" t="n"/>
      <c r="E3645" s="5" t="n"/>
      <c r="F3645" s="5" t="n"/>
      <c r="G3645" s="5" t="n"/>
      <c r="H3645" s="5" t="n"/>
      <c r="I3645" s="5" t="n"/>
      <c r="J3645" s="6" t="n"/>
      <c r="K3645" s="6" t="n"/>
      <c r="L3645" s="7">
        <f>IF(OR(D3645="",N(J3645)=0),"",MIN(1,N(K3645)/J3645))</f>
        <v/>
      </c>
      <c r="M3645" s="5" t="n"/>
      <c r="N3645" s="5" t="n"/>
      <c r="O3645" s="5" t="n"/>
      <c r="P3645" s="5" t="n"/>
      <c r="Q3645" s="5" t="n"/>
      <c r="R3645" s="4" t="n"/>
      <c r="S3645" s="4" t="n"/>
      <c r="T3645" s="5" t="n"/>
      <c r="U3645" s="8">
        <f>IF(AND(V3645=1,D3645&lt;&gt;""),IF(D3645&gt;=corte,TODAY()-D3645,""),"")</f>
        <v/>
      </c>
      <c r="V3645" s="8">
        <f>IF(D3645="",0,IF(OR(AND(P3645&lt;&gt;"",S3645=""),AND(N(J3645)&gt;0,N(K3645)&lt;J3645),OR(M3645="PENDENTE",M3645="PARCIAL"),OR(N3645="PENDENTE",N3645="PARCIAL")),1,0))</f>
        <v/>
      </c>
      <c r="W3645" s="8">
        <f>IF(AND(V3645=1,D3645&lt;&gt;""),IF(D3645&gt;=corte,(B3645="CRÍTICO")*1E9+(100000-D3645)*10000+10000-ROW(),""),"")</f>
        <v/>
      </c>
      <c r="X3645" s="8">
        <f>IF(AND(V3645=1,D3645=pas_data,E3645=pas_turno),10000-ROW(),"")</f>
        <v/>
      </c>
    </row>
    <row r="3646">
      <c r="A3646" s="3">
        <f>IF(D3646="","","TT-"&amp;TEXT(ROW()-1,"00000"))</f>
        <v/>
      </c>
      <c r="B3646" s="3">
        <f>IF(D3646="","",IF(V3646=0,"CONCLUÍDO",IF(D3646&lt;corte,"HISTÓRICO",IF(OR(AND(ISNUMBER(R3646),R3646&lt;TODAY()),AND(OR(N3646="PENDENTE",N3646="PARCIAL"),D3646&lt;TODAY()-1)),"CRÍTICO",IF(OR(AND(P3646&lt;&gt;"",S3646=""),AND(N3646="REALIZADO",M3646="PENDENTE"),AND(ISNUMBER(R3646),R3646=TODAY())),"ATENÇÃO",IF(N(K3646)=0,"PENDENTE","EM ANDAMENTO"))))))</f>
        <v/>
      </c>
      <c r="C3646" s="3">
        <f>IF(D3646="","",IF(V3646=0,"🟢 OK",IF(D3646&lt;corte,"⚪ HISTÓRICO (sem baixa)",IF(AND(ISNUMBER(R3646),R3646&lt;TODAY()),"🔴 PRAZO VENCIDO",IF(AND(OR(N3646="PENDENTE",N3646="PARCIAL"),D3646&lt;TODAY()-1),"🔴 EMBARQUE ATRASADO",IF(AND(N3646="REALIZADO",M3646="PENDENTE"),"🟡 EMBARCADO SEM FATURAR",IF(AND(P3646&lt;&gt;"",S3646="",OR(Q3646="",R3646="")),"🟡 PENDÊNCIA SEM RESPONSÁVEL/PRAZO",IF(AND(ISNUMBER(R3646),R3646=TODAY()),"🟡 VENCE HOJE",IF(AND(P3646&lt;&gt;"",S3646=""),"🟡 PENDÊNCIA ABERTA",IF(AND(N(J3646)&gt;0,N(K3646)&lt;J3646),"🟡 FALTA EXECUTAR",IF(OR(M3646="PENDENTE",M3646="PARCIAL"),"🟡 FATURAMENTO PENDENTE","🟡 EMBARQUE PENDENTE")))))))))))</f>
        <v/>
      </c>
      <c r="D3646" s="4" t="n"/>
      <c r="E3646" s="5" t="n"/>
      <c r="F3646" s="5" t="n"/>
      <c r="G3646" s="5" t="n"/>
      <c r="H3646" s="5" t="n"/>
      <c r="I3646" s="5" t="n"/>
      <c r="J3646" s="6" t="n"/>
      <c r="K3646" s="6" t="n"/>
      <c r="L3646" s="7">
        <f>IF(OR(D3646="",N(J3646)=0),"",MIN(1,N(K3646)/J3646))</f>
        <v/>
      </c>
      <c r="M3646" s="5" t="n"/>
      <c r="N3646" s="5" t="n"/>
      <c r="O3646" s="5" t="n"/>
      <c r="P3646" s="5" t="n"/>
      <c r="Q3646" s="5" t="n"/>
      <c r="R3646" s="4" t="n"/>
      <c r="S3646" s="4" t="n"/>
      <c r="T3646" s="5" t="n"/>
      <c r="U3646" s="8">
        <f>IF(AND(V3646=1,D3646&lt;&gt;""),IF(D3646&gt;=corte,TODAY()-D3646,""),"")</f>
        <v/>
      </c>
      <c r="V3646" s="8">
        <f>IF(D3646="",0,IF(OR(AND(P3646&lt;&gt;"",S3646=""),AND(N(J3646)&gt;0,N(K3646)&lt;J3646),OR(M3646="PENDENTE",M3646="PARCIAL"),OR(N3646="PENDENTE",N3646="PARCIAL")),1,0))</f>
        <v/>
      </c>
      <c r="W3646" s="8">
        <f>IF(AND(V3646=1,D3646&lt;&gt;""),IF(D3646&gt;=corte,(B3646="CRÍTICO")*1E9+(100000-D3646)*10000+10000-ROW(),""),"")</f>
        <v/>
      </c>
      <c r="X3646" s="8">
        <f>IF(AND(V3646=1,D3646=pas_data,E3646=pas_turno),10000-ROW(),"")</f>
        <v/>
      </c>
    </row>
    <row r="3647">
      <c r="A3647" s="3">
        <f>IF(D3647="","","TT-"&amp;TEXT(ROW()-1,"00000"))</f>
        <v/>
      </c>
      <c r="B3647" s="3">
        <f>IF(D3647="","",IF(V3647=0,"CONCLUÍDO",IF(D3647&lt;corte,"HISTÓRICO",IF(OR(AND(ISNUMBER(R3647),R3647&lt;TODAY()),AND(OR(N3647="PENDENTE",N3647="PARCIAL"),D3647&lt;TODAY()-1)),"CRÍTICO",IF(OR(AND(P3647&lt;&gt;"",S3647=""),AND(N3647="REALIZADO",M3647="PENDENTE"),AND(ISNUMBER(R3647),R3647=TODAY())),"ATENÇÃO",IF(N(K3647)=0,"PENDENTE","EM ANDAMENTO"))))))</f>
        <v/>
      </c>
      <c r="C3647" s="3">
        <f>IF(D3647="","",IF(V3647=0,"🟢 OK",IF(D3647&lt;corte,"⚪ HISTÓRICO (sem baixa)",IF(AND(ISNUMBER(R3647),R3647&lt;TODAY()),"🔴 PRAZO VENCIDO",IF(AND(OR(N3647="PENDENTE",N3647="PARCIAL"),D3647&lt;TODAY()-1),"🔴 EMBARQUE ATRASADO",IF(AND(N3647="REALIZADO",M3647="PENDENTE"),"🟡 EMBARCADO SEM FATURAR",IF(AND(P3647&lt;&gt;"",S3647="",OR(Q3647="",R3647="")),"🟡 PENDÊNCIA SEM RESPONSÁVEL/PRAZO",IF(AND(ISNUMBER(R3647),R3647=TODAY()),"🟡 VENCE HOJE",IF(AND(P3647&lt;&gt;"",S3647=""),"🟡 PENDÊNCIA ABERTA",IF(AND(N(J3647)&gt;0,N(K3647)&lt;J3647),"🟡 FALTA EXECUTAR",IF(OR(M3647="PENDENTE",M3647="PARCIAL"),"🟡 FATURAMENTO PENDENTE","🟡 EMBARQUE PENDENTE")))))))))))</f>
        <v/>
      </c>
      <c r="D3647" s="4" t="n"/>
      <c r="E3647" s="5" t="n"/>
      <c r="F3647" s="5" t="n"/>
      <c r="G3647" s="5" t="n"/>
      <c r="H3647" s="5" t="n"/>
      <c r="I3647" s="5" t="n"/>
      <c r="J3647" s="6" t="n"/>
      <c r="K3647" s="6" t="n"/>
      <c r="L3647" s="7">
        <f>IF(OR(D3647="",N(J3647)=0),"",MIN(1,N(K3647)/J3647))</f>
        <v/>
      </c>
      <c r="M3647" s="5" t="n"/>
      <c r="N3647" s="5" t="n"/>
      <c r="O3647" s="5" t="n"/>
      <c r="P3647" s="5" t="n"/>
      <c r="Q3647" s="5" t="n"/>
      <c r="R3647" s="4" t="n"/>
      <c r="S3647" s="4" t="n"/>
      <c r="T3647" s="5" t="n"/>
      <c r="U3647" s="8">
        <f>IF(AND(V3647=1,D3647&lt;&gt;""),IF(D3647&gt;=corte,TODAY()-D3647,""),"")</f>
        <v/>
      </c>
      <c r="V3647" s="8">
        <f>IF(D3647="",0,IF(OR(AND(P3647&lt;&gt;"",S3647=""),AND(N(J3647)&gt;0,N(K3647)&lt;J3647),OR(M3647="PENDENTE",M3647="PARCIAL"),OR(N3647="PENDENTE",N3647="PARCIAL")),1,0))</f>
        <v/>
      </c>
      <c r="W3647" s="8">
        <f>IF(AND(V3647=1,D3647&lt;&gt;""),IF(D3647&gt;=corte,(B3647="CRÍTICO")*1E9+(100000-D3647)*10000+10000-ROW(),""),"")</f>
        <v/>
      </c>
      <c r="X3647" s="8">
        <f>IF(AND(V3647=1,D3647=pas_data,E3647=pas_turno),10000-ROW(),"")</f>
        <v/>
      </c>
    </row>
    <row r="3648">
      <c r="A3648" s="3">
        <f>IF(D3648="","","TT-"&amp;TEXT(ROW()-1,"00000"))</f>
        <v/>
      </c>
      <c r="B3648" s="3">
        <f>IF(D3648="","",IF(V3648=0,"CONCLUÍDO",IF(D3648&lt;corte,"HISTÓRICO",IF(OR(AND(ISNUMBER(R3648),R3648&lt;TODAY()),AND(OR(N3648="PENDENTE",N3648="PARCIAL"),D3648&lt;TODAY()-1)),"CRÍTICO",IF(OR(AND(P3648&lt;&gt;"",S3648=""),AND(N3648="REALIZADO",M3648="PENDENTE"),AND(ISNUMBER(R3648),R3648=TODAY())),"ATENÇÃO",IF(N(K3648)=0,"PENDENTE","EM ANDAMENTO"))))))</f>
        <v/>
      </c>
      <c r="C3648" s="3">
        <f>IF(D3648="","",IF(V3648=0,"🟢 OK",IF(D3648&lt;corte,"⚪ HISTÓRICO (sem baixa)",IF(AND(ISNUMBER(R3648),R3648&lt;TODAY()),"🔴 PRAZO VENCIDO",IF(AND(OR(N3648="PENDENTE",N3648="PARCIAL"),D3648&lt;TODAY()-1),"🔴 EMBARQUE ATRASADO",IF(AND(N3648="REALIZADO",M3648="PENDENTE"),"🟡 EMBARCADO SEM FATURAR",IF(AND(P3648&lt;&gt;"",S3648="",OR(Q3648="",R3648="")),"🟡 PENDÊNCIA SEM RESPONSÁVEL/PRAZO",IF(AND(ISNUMBER(R3648),R3648=TODAY()),"🟡 VENCE HOJE",IF(AND(P3648&lt;&gt;"",S3648=""),"🟡 PENDÊNCIA ABERTA",IF(AND(N(J3648)&gt;0,N(K3648)&lt;J3648),"🟡 FALTA EXECUTAR",IF(OR(M3648="PENDENTE",M3648="PARCIAL"),"🟡 FATURAMENTO PENDENTE","🟡 EMBARQUE PENDENTE")))))))))))</f>
        <v/>
      </c>
      <c r="D3648" s="4" t="n"/>
      <c r="E3648" s="5" t="n"/>
      <c r="F3648" s="5" t="n"/>
      <c r="G3648" s="5" t="n"/>
      <c r="H3648" s="5" t="n"/>
      <c r="I3648" s="5" t="n"/>
      <c r="J3648" s="6" t="n"/>
      <c r="K3648" s="6" t="n"/>
      <c r="L3648" s="7">
        <f>IF(OR(D3648="",N(J3648)=0),"",MIN(1,N(K3648)/J3648))</f>
        <v/>
      </c>
      <c r="M3648" s="5" t="n"/>
      <c r="N3648" s="5" t="n"/>
      <c r="O3648" s="5" t="n"/>
      <c r="P3648" s="5" t="n"/>
      <c r="Q3648" s="5" t="n"/>
      <c r="R3648" s="4" t="n"/>
      <c r="S3648" s="4" t="n"/>
      <c r="T3648" s="5" t="n"/>
      <c r="U3648" s="8">
        <f>IF(AND(V3648=1,D3648&lt;&gt;""),IF(D3648&gt;=corte,TODAY()-D3648,""),"")</f>
        <v/>
      </c>
      <c r="V3648" s="8">
        <f>IF(D3648="",0,IF(OR(AND(P3648&lt;&gt;"",S3648=""),AND(N(J3648)&gt;0,N(K3648)&lt;J3648),OR(M3648="PENDENTE",M3648="PARCIAL"),OR(N3648="PENDENTE",N3648="PARCIAL")),1,0))</f>
        <v/>
      </c>
      <c r="W3648" s="8">
        <f>IF(AND(V3648=1,D3648&lt;&gt;""),IF(D3648&gt;=corte,(B3648="CRÍTICO")*1E9+(100000-D3648)*10000+10000-ROW(),""),"")</f>
        <v/>
      </c>
      <c r="X3648" s="8">
        <f>IF(AND(V3648=1,D3648=pas_data,E3648=pas_turno),10000-ROW(),"")</f>
        <v/>
      </c>
    </row>
    <row r="3649">
      <c r="A3649" s="3">
        <f>IF(D3649="","","TT-"&amp;TEXT(ROW()-1,"00000"))</f>
        <v/>
      </c>
      <c r="B3649" s="3">
        <f>IF(D3649="","",IF(V3649=0,"CONCLUÍDO",IF(D3649&lt;corte,"HISTÓRICO",IF(OR(AND(ISNUMBER(R3649),R3649&lt;TODAY()),AND(OR(N3649="PENDENTE",N3649="PARCIAL"),D3649&lt;TODAY()-1)),"CRÍTICO",IF(OR(AND(P3649&lt;&gt;"",S3649=""),AND(N3649="REALIZADO",M3649="PENDENTE"),AND(ISNUMBER(R3649),R3649=TODAY())),"ATENÇÃO",IF(N(K3649)=0,"PENDENTE","EM ANDAMENTO"))))))</f>
        <v/>
      </c>
      <c r="C3649" s="3">
        <f>IF(D3649="","",IF(V3649=0,"🟢 OK",IF(D3649&lt;corte,"⚪ HISTÓRICO (sem baixa)",IF(AND(ISNUMBER(R3649),R3649&lt;TODAY()),"🔴 PRAZO VENCIDO",IF(AND(OR(N3649="PENDENTE",N3649="PARCIAL"),D3649&lt;TODAY()-1),"🔴 EMBARQUE ATRASADO",IF(AND(N3649="REALIZADO",M3649="PENDENTE"),"🟡 EMBARCADO SEM FATURAR",IF(AND(P3649&lt;&gt;"",S3649="",OR(Q3649="",R3649="")),"🟡 PENDÊNCIA SEM RESPONSÁVEL/PRAZO",IF(AND(ISNUMBER(R3649),R3649=TODAY()),"🟡 VENCE HOJE",IF(AND(P3649&lt;&gt;"",S3649=""),"🟡 PENDÊNCIA ABERTA",IF(AND(N(J3649)&gt;0,N(K3649)&lt;J3649),"🟡 FALTA EXECUTAR",IF(OR(M3649="PENDENTE",M3649="PARCIAL"),"🟡 FATURAMENTO PENDENTE","🟡 EMBARQUE PENDENTE")))))))))))</f>
        <v/>
      </c>
      <c r="D3649" s="4" t="n"/>
      <c r="E3649" s="5" t="n"/>
      <c r="F3649" s="5" t="n"/>
      <c r="G3649" s="5" t="n"/>
      <c r="H3649" s="5" t="n"/>
      <c r="I3649" s="5" t="n"/>
      <c r="J3649" s="6" t="n"/>
      <c r="K3649" s="6" t="n"/>
      <c r="L3649" s="7">
        <f>IF(OR(D3649="",N(J3649)=0),"",MIN(1,N(K3649)/J3649))</f>
        <v/>
      </c>
      <c r="M3649" s="5" t="n"/>
      <c r="N3649" s="5" t="n"/>
      <c r="O3649" s="5" t="n"/>
      <c r="P3649" s="5" t="n"/>
      <c r="Q3649" s="5" t="n"/>
      <c r="R3649" s="4" t="n"/>
      <c r="S3649" s="4" t="n"/>
      <c r="T3649" s="5" t="n"/>
      <c r="U3649" s="8">
        <f>IF(AND(V3649=1,D3649&lt;&gt;""),IF(D3649&gt;=corte,TODAY()-D3649,""),"")</f>
        <v/>
      </c>
      <c r="V3649" s="8">
        <f>IF(D3649="",0,IF(OR(AND(P3649&lt;&gt;"",S3649=""),AND(N(J3649)&gt;0,N(K3649)&lt;J3649),OR(M3649="PENDENTE",M3649="PARCIAL"),OR(N3649="PENDENTE",N3649="PARCIAL")),1,0))</f>
        <v/>
      </c>
      <c r="W3649" s="8">
        <f>IF(AND(V3649=1,D3649&lt;&gt;""),IF(D3649&gt;=corte,(B3649="CRÍTICO")*1E9+(100000-D3649)*10000+10000-ROW(),""),"")</f>
        <v/>
      </c>
      <c r="X3649" s="8">
        <f>IF(AND(V3649=1,D3649=pas_data,E3649=pas_turno),10000-ROW(),"")</f>
        <v/>
      </c>
    </row>
    <row r="3650">
      <c r="A3650" s="3">
        <f>IF(D3650="","","TT-"&amp;TEXT(ROW()-1,"00000"))</f>
        <v/>
      </c>
      <c r="B3650" s="3">
        <f>IF(D3650="","",IF(V3650=0,"CONCLUÍDO",IF(D3650&lt;corte,"HISTÓRICO",IF(OR(AND(ISNUMBER(R3650),R3650&lt;TODAY()),AND(OR(N3650="PENDENTE",N3650="PARCIAL"),D3650&lt;TODAY()-1)),"CRÍTICO",IF(OR(AND(P3650&lt;&gt;"",S3650=""),AND(N3650="REALIZADO",M3650="PENDENTE"),AND(ISNUMBER(R3650),R3650=TODAY())),"ATENÇÃO",IF(N(K3650)=0,"PENDENTE","EM ANDAMENTO"))))))</f>
        <v/>
      </c>
      <c r="C3650" s="3">
        <f>IF(D3650="","",IF(V3650=0,"🟢 OK",IF(D3650&lt;corte,"⚪ HISTÓRICO (sem baixa)",IF(AND(ISNUMBER(R3650),R3650&lt;TODAY()),"🔴 PRAZO VENCIDO",IF(AND(OR(N3650="PENDENTE",N3650="PARCIAL"),D3650&lt;TODAY()-1),"🔴 EMBARQUE ATRASADO",IF(AND(N3650="REALIZADO",M3650="PENDENTE"),"🟡 EMBARCADO SEM FATURAR",IF(AND(P3650&lt;&gt;"",S3650="",OR(Q3650="",R3650="")),"🟡 PENDÊNCIA SEM RESPONSÁVEL/PRAZO",IF(AND(ISNUMBER(R3650),R3650=TODAY()),"🟡 VENCE HOJE",IF(AND(P3650&lt;&gt;"",S3650=""),"🟡 PENDÊNCIA ABERTA",IF(AND(N(J3650)&gt;0,N(K3650)&lt;J3650),"🟡 FALTA EXECUTAR",IF(OR(M3650="PENDENTE",M3650="PARCIAL"),"🟡 FATURAMENTO PENDENTE","🟡 EMBARQUE PENDENTE")))))))))))</f>
        <v/>
      </c>
      <c r="D3650" s="4" t="n"/>
      <c r="E3650" s="5" t="n"/>
      <c r="F3650" s="5" t="n"/>
      <c r="G3650" s="5" t="n"/>
      <c r="H3650" s="5" t="n"/>
      <c r="I3650" s="5" t="n"/>
      <c r="J3650" s="6" t="n"/>
      <c r="K3650" s="6" t="n"/>
      <c r="L3650" s="7">
        <f>IF(OR(D3650="",N(J3650)=0),"",MIN(1,N(K3650)/J3650))</f>
        <v/>
      </c>
      <c r="M3650" s="5" t="n"/>
      <c r="N3650" s="5" t="n"/>
      <c r="O3650" s="5" t="n"/>
      <c r="P3650" s="5" t="n"/>
      <c r="Q3650" s="5" t="n"/>
      <c r="R3650" s="4" t="n"/>
      <c r="S3650" s="4" t="n"/>
      <c r="T3650" s="5" t="n"/>
      <c r="U3650" s="8">
        <f>IF(AND(V3650=1,D3650&lt;&gt;""),IF(D3650&gt;=corte,TODAY()-D3650,""),"")</f>
        <v/>
      </c>
      <c r="V3650" s="8">
        <f>IF(D3650="",0,IF(OR(AND(P3650&lt;&gt;"",S3650=""),AND(N(J3650)&gt;0,N(K3650)&lt;J3650),OR(M3650="PENDENTE",M3650="PARCIAL"),OR(N3650="PENDENTE",N3650="PARCIAL")),1,0))</f>
        <v/>
      </c>
      <c r="W3650" s="8">
        <f>IF(AND(V3650=1,D3650&lt;&gt;""),IF(D3650&gt;=corte,(B3650="CRÍTICO")*1E9+(100000-D3650)*10000+10000-ROW(),""),"")</f>
        <v/>
      </c>
      <c r="X3650" s="8">
        <f>IF(AND(V3650=1,D3650=pas_data,E3650=pas_turno),10000-ROW(),"")</f>
        <v/>
      </c>
    </row>
    <row r="3651">
      <c r="A3651" s="3">
        <f>IF(D3651="","","TT-"&amp;TEXT(ROW()-1,"00000"))</f>
        <v/>
      </c>
      <c r="B3651" s="3">
        <f>IF(D3651="","",IF(V3651=0,"CONCLUÍDO",IF(D3651&lt;corte,"HISTÓRICO",IF(OR(AND(ISNUMBER(R3651),R3651&lt;TODAY()),AND(OR(N3651="PENDENTE",N3651="PARCIAL"),D3651&lt;TODAY()-1)),"CRÍTICO",IF(OR(AND(P3651&lt;&gt;"",S3651=""),AND(N3651="REALIZADO",M3651="PENDENTE"),AND(ISNUMBER(R3651),R3651=TODAY())),"ATENÇÃO",IF(N(K3651)=0,"PENDENTE","EM ANDAMENTO"))))))</f>
        <v/>
      </c>
      <c r="C3651" s="3">
        <f>IF(D3651="","",IF(V3651=0,"🟢 OK",IF(D3651&lt;corte,"⚪ HISTÓRICO (sem baixa)",IF(AND(ISNUMBER(R3651),R3651&lt;TODAY()),"🔴 PRAZO VENCIDO",IF(AND(OR(N3651="PENDENTE",N3651="PARCIAL"),D3651&lt;TODAY()-1),"🔴 EMBARQUE ATRASADO",IF(AND(N3651="REALIZADO",M3651="PENDENTE"),"🟡 EMBARCADO SEM FATURAR",IF(AND(P3651&lt;&gt;"",S3651="",OR(Q3651="",R3651="")),"🟡 PENDÊNCIA SEM RESPONSÁVEL/PRAZO",IF(AND(ISNUMBER(R3651),R3651=TODAY()),"🟡 VENCE HOJE",IF(AND(P3651&lt;&gt;"",S3651=""),"🟡 PENDÊNCIA ABERTA",IF(AND(N(J3651)&gt;0,N(K3651)&lt;J3651),"🟡 FALTA EXECUTAR",IF(OR(M3651="PENDENTE",M3651="PARCIAL"),"🟡 FATURAMENTO PENDENTE","🟡 EMBARQUE PENDENTE")))))))))))</f>
        <v/>
      </c>
      <c r="D3651" s="4" t="n"/>
      <c r="E3651" s="5" t="n"/>
      <c r="F3651" s="5" t="n"/>
      <c r="G3651" s="5" t="n"/>
      <c r="H3651" s="5" t="n"/>
      <c r="I3651" s="5" t="n"/>
      <c r="J3651" s="6" t="n"/>
      <c r="K3651" s="6" t="n"/>
      <c r="L3651" s="7">
        <f>IF(OR(D3651="",N(J3651)=0),"",MIN(1,N(K3651)/J3651))</f>
        <v/>
      </c>
      <c r="M3651" s="5" t="n"/>
      <c r="N3651" s="5" t="n"/>
      <c r="O3651" s="5" t="n"/>
      <c r="P3651" s="5" t="n"/>
      <c r="Q3651" s="5" t="n"/>
      <c r="R3651" s="4" t="n"/>
      <c r="S3651" s="4" t="n"/>
      <c r="T3651" s="5" t="n"/>
      <c r="U3651" s="8">
        <f>IF(AND(V3651=1,D3651&lt;&gt;""),IF(D3651&gt;=corte,TODAY()-D3651,""),"")</f>
        <v/>
      </c>
      <c r="V3651" s="8">
        <f>IF(D3651="",0,IF(OR(AND(P3651&lt;&gt;"",S3651=""),AND(N(J3651)&gt;0,N(K3651)&lt;J3651),OR(M3651="PENDENTE",M3651="PARCIAL"),OR(N3651="PENDENTE",N3651="PARCIAL")),1,0))</f>
        <v/>
      </c>
      <c r="W3651" s="8">
        <f>IF(AND(V3651=1,D3651&lt;&gt;""),IF(D3651&gt;=corte,(B3651="CRÍTICO")*1E9+(100000-D3651)*10000+10000-ROW(),""),"")</f>
        <v/>
      </c>
      <c r="X3651" s="8">
        <f>IF(AND(V3651=1,D3651=pas_data,E3651=pas_turno),10000-ROW(),"")</f>
        <v/>
      </c>
    </row>
    <row r="3652">
      <c r="A3652" s="3">
        <f>IF(D3652="","","TT-"&amp;TEXT(ROW()-1,"00000"))</f>
        <v/>
      </c>
      <c r="B3652" s="3">
        <f>IF(D3652="","",IF(V3652=0,"CONCLUÍDO",IF(D3652&lt;corte,"HISTÓRICO",IF(OR(AND(ISNUMBER(R3652),R3652&lt;TODAY()),AND(OR(N3652="PENDENTE",N3652="PARCIAL"),D3652&lt;TODAY()-1)),"CRÍTICO",IF(OR(AND(P3652&lt;&gt;"",S3652=""),AND(N3652="REALIZADO",M3652="PENDENTE"),AND(ISNUMBER(R3652),R3652=TODAY())),"ATENÇÃO",IF(N(K3652)=0,"PENDENTE","EM ANDAMENTO"))))))</f>
        <v/>
      </c>
      <c r="C3652" s="3">
        <f>IF(D3652="","",IF(V3652=0,"🟢 OK",IF(D3652&lt;corte,"⚪ HISTÓRICO (sem baixa)",IF(AND(ISNUMBER(R3652),R3652&lt;TODAY()),"🔴 PRAZO VENCIDO",IF(AND(OR(N3652="PENDENTE",N3652="PARCIAL"),D3652&lt;TODAY()-1),"🔴 EMBARQUE ATRASADO",IF(AND(N3652="REALIZADO",M3652="PENDENTE"),"🟡 EMBARCADO SEM FATURAR",IF(AND(P3652&lt;&gt;"",S3652="",OR(Q3652="",R3652="")),"🟡 PENDÊNCIA SEM RESPONSÁVEL/PRAZO",IF(AND(ISNUMBER(R3652),R3652=TODAY()),"🟡 VENCE HOJE",IF(AND(P3652&lt;&gt;"",S3652=""),"🟡 PENDÊNCIA ABERTA",IF(AND(N(J3652)&gt;0,N(K3652)&lt;J3652),"🟡 FALTA EXECUTAR",IF(OR(M3652="PENDENTE",M3652="PARCIAL"),"🟡 FATURAMENTO PENDENTE","🟡 EMBARQUE PENDENTE")))))))))))</f>
        <v/>
      </c>
      <c r="D3652" s="4" t="n"/>
      <c r="E3652" s="5" t="n"/>
      <c r="F3652" s="5" t="n"/>
      <c r="G3652" s="5" t="n"/>
      <c r="H3652" s="5" t="n"/>
      <c r="I3652" s="5" t="n"/>
      <c r="J3652" s="6" t="n"/>
      <c r="K3652" s="6" t="n"/>
      <c r="L3652" s="7">
        <f>IF(OR(D3652="",N(J3652)=0),"",MIN(1,N(K3652)/J3652))</f>
        <v/>
      </c>
      <c r="M3652" s="5" t="n"/>
      <c r="N3652" s="5" t="n"/>
      <c r="O3652" s="5" t="n"/>
      <c r="P3652" s="5" t="n"/>
      <c r="Q3652" s="5" t="n"/>
      <c r="R3652" s="4" t="n"/>
      <c r="S3652" s="4" t="n"/>
      <c r="T3652" s="5" t="n"/>
      <c r="U3652" s="8">
        <f>IF(AND(V3652=1,D3652&lt;&gt;""),IF(D3652&gt;=corte,TODAY()-D3652,""),"")</f>
        <v/>
      </c>
      <c r="V3652" s="8">
        <f>IF(D3652="",0,IF(OR(AND(P3652&lt;&gt;"",S3652=""),AND(N(J3652)&gt;0,N(K3652)&lt;J3652),OR(M3652="PENDENTE",M3652="PARCIAL"),OR(N3652="PENDENTE",N3652="PARCIAL")),1,0))</f>
        <v/>
      </c>
      <c r="W3652" s="8">
        <f>IF(AND(V3652=1,D3652&lt;&gt;""),IF(D3652&gt;=corte,(B3652="CRÍTICO")*1E9+(100000-D3652)*10000+10000-ROW(),""),"")</f>
        <v/>
      </c>
      <c r="X3652" s="8">
        <f>IF(AND(V3652=1,D3652=pas_data,E3652=pas_turno),10000-ROW(),"")</f>
        <v/>
      </c>
    </row>
    <row r="3653">
      <c r="A3653" s="3">
        <f>IF(D3653="","","TT-"&amp;TEXT(ROW()-1,"00000"))</f>
        <v/>
      </c>
      <c r="B3653" s="3">
        <f>IF(D3653="","",IF(V3653=0,"CONCLUÍDO",IF(D3653&lt;corte,"HISTÓRICO",IF(OR(AND(ISNUMBER(R3653),R3653&lt;TODAY()),AND(OR(N3653="PENDENTE",N3653="PARCIAL"),D3653&lt;TODAY()-1)),"CRÍTICO",IF(OR(AND(P3653&lt;&gt;"",S3653=""),AND(N3653="REALIZADO",M3653="PENDENTE"),AND(ISNUMBER(R3653),R3653=TODAY())),"ATENÇÃO",IF(N(K3653)=0,"PENDENTE","EM ANDAMENTO"))))))</f>
        <v/>
      </c>
      <c r="C3653" s="3">
        <f>IF(D3653="","",IF(V3653=0,"🟢 OK",IF(D3653&lt;corte,"⚪ HISTÓRICO (sem baixa)",IF(AND(ISNUMBER(R3653),R3653&lt;TODAY()),"🔴 PRAZO VENCIDO",IF(AND(OR(N3653="PENDENTE",N3653="PARCIAL"),D3653&lt;TODAY()-1),"🔴 EMBARQUE ATRASADO",IF(AND(N3653="REALIZADO",M3653="PENDENTE"),"🟡 EMBARCADO SEM FATURAR",IF(AND(P3653&lt;&gt;"",S3653="",OR(Q3653="",R3653="")),"🟡 PENDÊNCIA SEM RESPONSÁVEL/PRAZO",IF(AND(ISNUMBER(R3653),R3653=TODAY()),"🟡 VENCE HOJE",IF(AND(P3653&lt;&gt;"",S3653=""),"🟡 PENDÊNCIA ABERTA",IF(AND(N(J3653)&gt;0,N(K3653)&lt;J3653),"🟡 FALTA EXECUTAR",IF(OR(M3653="PENDENTE",M3653="PARCIAL"),"🟡 FATURAMENTO PENDENTE","🟡 EMBARQUE PENDENTE")))))))))))</f>
        <v/>
      </c>
      <c r="D3653" s="4" t="n"/>
      <c r="E3653" s="5" t="n"/>
      <c r="F3653" s="5" t="n"/>
      <c r="G3653" s="5" t="n"/>
      <c r="H3653" s="5" t="n"/>
      <c r="I3653" s="5" t="n"/>
      <c r="J3653" s="6" t="n"/>
      <c r="K3653" s="6" t="n"/>
      <c r="L3653" s="7">
        <f>IF(OR(D3653="",N(J3653)=0),"",MIN(1,N(K3653)/J3653))</f>
        <v/>
      </c>
      <c r="M3653" s="5" t="n"/>
      <c r="N3653" s="5" t="n"/>
      <c r="O3653" s="5" t="n"/>
      <c r="P3653" s="5" t="n"/>
      <c r="Q3653" s="5" t="n"/>
      <c r="R3653" s="4" t="n"/>
      <c r="S3653" s="4" t="n"/>
      <c r="T3653" s="5" t="n"/>
      <c r="U3653" s="8">
        <f>IF(AND(V3653=1,D3653&lt;&gt;""),IF(D3653&gt;=corte,TODAY()-D3653,""),"")</f>
        <v/>
      </c>
      <c r="V3653" s="8">
        <f>IF(D3653="",0,IF(OR(AND(P3653&lt;&gt;"",S3653=""),AND(N(J3653)&gt;0,N(K3653)&lt;J3653),OR(M3653="PENDENTE",M3653="PARCIAL"),OR(N3653="PENDENTE",N3653="PARCIAL")),1,0))</f>
        <v/>
      </c>
      <c r="W3653" s="8">
        <f>IF(AND(V3653=1,D3653&lt;&gt;""),IF(D3653&gt;=corte,(B3653="CRÍTICO")*1E9+(100000-D3653)*10000+10000-ROW(),""),"")</f>
        <v/>
      </c>
      <c r="X3653" s="8">
        <f>IF(AND(V3653=1,D3653=pas_data,E3653=pas_turno),10000-ROW(),"")</f>
        <v/>
      </c>
    </row>
    <row r="3654">
      <c r="A3654" s="3">
        <f>IF(D3654="","","TT-"&amp;TEXT(ROW()-1,"00000"))</f>
        <v/>
      </c>
      <c r="B3654" s="3">
        <f>IF(D3654="","",IF(V3654=0,"CONCLUÍDO",IF(D3654&lt;corte,"HISTÓRICO",IF(OR(AND(ISNUMBER(R3654),R3654&lt;TODAY()),AND(OR(N3654="PENDENTE",N3654="PARCIAL"),D3654&lt;TODAY()-1)),"CRÍTICO",IF(OR(AND(P3654&lt;&gt;"",S3654=""),AND(N3654="REALIZADO",M3654="PENDENTE"),AND(ISNUMBER(R3654),R3654=TODAY())),"ATENÇÃO",IF(N(K3654)=0,"PENDENTE","EM ANDAMENTO"))))))</f>
        <v/>
      </c>
      <c r="C3654" s="3">
        <f>IF(D3654="","",IF(V3654=0,"🟢 OK",IF(D3654&lt;corte,"⚪ HISTÓRICO (sem baixa)",IF(AND(ISNUMBER(R3654),R3654&lt;TODAY()),"🔴 PRAZO VENCIDO",IF(AND(OR(N3654="PENDENTE",N3654="PARCIAL"),D3654&lt;TODAY()-1),"🔴 EMBARQUE ATRASADO",IF(AND(N3654="REALIZADO",M3654="PENDENTE"),"🟡 EMBARCADO SEM FATURAR",IF(AND(P3654&lt;&gt;"",S3654="",OR(Q3654="",R3654="")),"🟡 PENDÊNCIA SEM RESPONSÁVEL/PRAZO",IF(AND(ISNUMBER(R3654),R3654=TODAY()),"🟡 VENCE HOJE",IF(AND(P3654&lt;&gt;"",S3654=""),"🟡 PENDÊNCIA ABERTA",IF(AND(N(J3654)&gt;0,N(K3654)&lt;J3654),"🟡 FALTA EXECUTAR",IF(OR(M3654="PENDENTE",M3654="PARCIAL"),"🟡 FATURAMENTO PENDENTE","🟡 EMBARQUE PENDENTE")))))))))))</f>
        <v/>
      </c>
      <c r="D3654" s="4" t="n"/>
      <c r="E3654" s="5" t="n"/>
      <c r="F3654" s="5" t="n"/>
      <c r="G3654" s="5" t="n"/>
      <c r="H3654" s="5" t="n"/>
      <c r="I3654" s="5" t="n"/>
      <c r="J3654" s="6" t="n"/>
      <c r="K3654" s="6" t="n"/>
      <c r="L3654" s="7">
        <f>IF(OR(D3654="",N(J3654)=0),"",MIN(1,N(K3654)/J3654))</f>
        <v/>
      </c>
      <c r="M3654" s="5" t="n"/>
      <c r="N3654" s="5" t="n"/>
      <c r="O3654" s="5" t="n"/>
      <c r="P3654" s="5" t="n"/>
      <c r="Q3654" s="5" t="n"/>
      <c r="R3654" s="4" t="n"/>
      <c r="S3654" s="4" t="n"/>
      <c r="T3654" s="5" t="n"/>
      <c r="U3654" s="8">
        <f>IF(AND(V3654=1,D3654&lt;&gt;""),IF(D3654&gt;=corte,TODAY()-D3654,""),"")</f>
        <v/>
      </c>
      <c r="V3654" s="8">
        <f>IF(D3654="",0,IF(OR(AND(P3654&lt;&gt;"",S3654=""),AND(N(J3654)&gt;0,N(K3654)&lt;J3654),OR(M3654="PENDENTE",M3654="PARCIAL"),OR(N3654="PENDENTE",N3654="PARCIAL")),1,0))</f>
        <v/>
      </c>
      <c r="W3654" s="8">
        <f>IF(AND(V3654=1,D3654&lt;&gt;""),IF(D3654&gt;=corte,(B3654="CRÍTICO")*1E9+(100000-D3654)*10000+10000-ROW(),""),"")</f>
        <v/>
      </c>
      <c r="X3654" s="8">
        <f>IF(AND(V3654=1,D3654=pas_data,E3654=pas_turno),10000-ROW(),"")</f>
        <v/>
      </c>
    </row>
    <row r="3655">
      <c r="A3655" s="3">
        <f>IF(D3655="","","TT-"&amp;TEXT(ROW()-1,"00000"))</f>
        <v/>
      </c>
      <c r="B3655" s="3">
        <f>IF(D3655="","",IF(V3655=0,"CONCLUÍDO",IF(D3655&lt;corte,"HISTÓRICO",IF(OR(AND(ISNUMBER(R3655),R3655&lt;TODAY()),AND(OR(N3655="PENDENTE",N3655="PARCIAL"),D3655&lt;TODAY()-1)),"CRÍTICO",IF(OR(AND(P3655&lt;&gt;"",S3655=""),AND(N3655="REALIZADO",M3655="PENDENTE"),AND(ISNUMBER(R3655),R3655=TODAY())),"ATENÇÃO",IF(N(K3655)=0,"PENDENTE","EM ANDAMENTO"))))))</f>
        <v/>
      </c>
      <c r="C3655" s="3">
        <f>IF(D3655="","",IF(V3655=0,"🟢 OK",IF(D3655&lt;corte,"⚪ HISTÓRICO (sem baixa)",IF(AND(ISNUMBER(R3655),R3655&lt;TODAY()),"🔴 PRAZO VENCIDO",IF(AND(OR(N3655="PENDENTE",N3655="PARCIAL"),D3655&lt;TODAY()-1),"🔴 EMBARQUE ATRASADO",IF(AND(N3655="REALIZADO",M3655="PENDENTE"),"🟡 EMBARCADO SEM FATURAR",IF(AND(P3655&lt;&gt;"",S3655="",OR(Q3655="",R3655="")),"🟡 PENDÊNCIA SEM RESPONSÁVEL/PRAZO",IF(AND(ISNUMBER(R3655),R3655=TODAY()),"🟡 VENCE HOJE",IF(AND(P3655&lt;&gt;"",S3655=""),"🟡 PENDÊNCIA ABERTA",IF(AND(N(J3655)&gt;0,N(K3655)&lt;J3655),"🟡 FALTA EXECUTAR",IF(OR(M3655="PENDENTE",M3655="PARCIAL"),"🟡 FATURAMENTO PENDENTE","🟡 EMBARQUE PENDENTE")))))))))))</f>
        <v/>
      </c>
      <c r="D3655" s="4" t="n"/>
      <c r="E3655" s="5" t="n"/>
      <c r="F3655" s="5" t="n"/>
      <c r="G3655" s="5" t="n"/>
      <c r="H3655" s="5" t="n"/>
      <c r="I3655" s="5" t="n"/>
      <c r="J3655" s="6" t="n"/>
      <c r="K3655" s="6" t="n"/>
      <c r="L3655" s="7">
        <f>IF(OR(D3655="",N(J3655)=0),"",MIN(1,N(K3655)/J3655))</f>
        <v/>
      </c>
      <c r="M3655" s="5" t="n"/>
      <c r="N3655" s="5" t="n"/>
      <c r="O3655" s="5" t="n"/>
      <c r="P3655" s="5" t="n"/>
      <c r="Q3655" s="5" t="n"/>
      <c r="R3655" s="4" t="n"/>
      <c r="S3655" s="4" t="n"/>
      <c r="T3655" s="5" t="n"/>
      <c r="U3655" s="8">
        <f>IF(AND(V3655=1,D3655&lt;&gt;""),IF(D3655&gt;=corte,TODAY()-D3655,""),"")</f>
        <v/>
      </c>
      <c r="V3655" s="8">
        <f>IF(D3655="",0,IF(OR(AND(P3655&lt;&gt;"",S3655=""),AND(N(J3655)&gt;0,N(K3655)&lt;J3655),OR(M3655="PENDENTE",M3655="PARCIAL"),OR(N3655="PENDENTE",N3655="PARCIAL")),1,0))</f>
        <v/>
      </c>
      <c r="W3655" s="8">
        <f>IF(AND(V3655=1,D3655&lt;&gt;""),IF(D3655&gt;=corte,(B3655="CRÍTICO")*1E9+(100000-D3655)*10000+10000-ROW(),""),"")</f>
        <v/>
      </c>
      <c r="X3655" s="8">
        <f>IF(AND(V3655=1,D3655=pas_data,E3655=pas_turno),10000-ROW(),"")</f>
        <v/>
      </c>
    </row>
    <row r="3656">
      <c r="A3656" s="3">
        <f>IF(D3656="","","TT-"&amp;TEXT(ROW()-1,"00000"))</f>
        <v/>
      </c>
      <c r="B3656" s="3">
        <f>IF(D3656="","",IF(V3656=0,"CONCLUÍDO",IF(D3656&lt;corte,"HISTÓRICO",IF(OR(AND(ISNUMBER(R3656),R3656&lt;TODAY()),AND(OR(N3656="PENDENTE",N3656="PARCIAL"),D3656&lt;TODAY()-1)),"CRÍTICO",IF(OR(AND(P3656&lt;&gt;"",S3656=""),AND(N3656="REALIZADO",M3656="PENDENTE"),AND(ISNUMBER(R3656),R3656=TODAY())),"ATENÇÃO",IF(N(K3656)=0,"PENDENTE","EM ANDAMENTO"))))))</f>
        <v/>
      </c>
      <c r="C3656" s="3">
        <f>IF(D3656="","",IF(V3656=0,"🟢 OK",IF(D3656&lt;corte,"⚪ HISTÓRICO (sem baixa)",IF(AND(ISNUMBER(R3656),R3656&lt;TODAY()),"🔴 PRAZO VENCIDO",IF(AND(OR(N3656="PENDENTE",N3656="PARCIAL"),D3656&lt;TODAY()-1),"🔴 EMBARQUE ATRASADO",IF(AND(N3656="REALIZADO",M3656="PENDENTE"),"🟡 EMBARCADO SEM FATURAR",IF(AND(P3656&lt;&gt;"",S3656="",OR(Q3656="",R3656="")),"🟡 PENDÊNCIA SEM RESPONSÁVEL/PRAZO",IF(AND(ISNUMBER(R3656),R3656=TODAY()),"🟡 VENCE HOJE",IF(AND(P3656&lt;&gt;"",S3656=""),"🟡 PENDÊNCIA ABERTA",IF(AND(N(J3656)&gt;0,N(K3656)&lt;J3656),"🟡 FALTA EXECUTAR",IF(OR(M3656="PENDENTE",M3656="PARCIAL"),"🟡 FATURAMENTO PENDENTE","🟡 EMBARQUE PENDENTE")))))))))))</f>
        <v/>
      </c>
      <c r="D3656" s="4" t="n"/>
      <c r="E3656" s="5" t="n"/>
      <c r="F3656" s="5" t="n"/>
      <c r="G3656" s="5" t="n"/>
      <c r="H3656" s="5" t="n"/>
      <c r="I3656" s="5" t="n"/>
      <c r="J3656" s="6" t="n"/>
      <c r="K3656" s="6" t="n"/>
      <c r="L3656" s="7">
        <f>IF(OR(D3656="",N(J3656)=0),"",MIN(1,N(K3656)/J3656))</f>
        <v/>
      </c>
      <c r="M3656" s="5" t="n"/>
      <c r="N3656" s="5" t="n"/>
      <c r="O3656" s="5" t="n"/>
      <c r="P3656" s="5" t="n"/>
      <c r="Q3656" s="5" t="n"/>
      <c r="R3656" s="4" t="n"/>
      <c r="S3656" s="4" t="n"/>
      <c r="T3656" s="5" t="n"/>
      <c r="U3656" s="8">
        <f>IF(AND(V3656=1,D3656&lt;&gt;""),IF(D3656&gt;=corte,TODAY()-D3656,""),"")</f>
        <v/>
      </c>
      <c r="V3656" s="8">
        <f>IF(D3656="",0,IF(OR(AND(P3656&lt;&gt;"",S3656=""),AND(N(J3656)&gt;0,N(K3656)&lt;J3656),OR(M3656="PENDENTE",M3656="PARCIAL"),OR(N3656="PENDENTE",N3656="PARCIAL")),1,0))</f>
        <v/>
      </c>
      <c r="W3656" s="8">
        <f>IF(AND(V3656=1,D3656&lt;&gt;""),IF(D3656&gt;=corte,(B3656="CRÍTICO")*1E9+(100000-D3656)*10000+10000-ROW(),""),"")</f>
        <v/>
      </c>
      <c r="X3656" s="8">
        <f>IF(AND(V3656=1,D3656=pas_data,E3656=pas_turno),10000-ROW(),"")</f>
        <v/>
      </c>
    </row>
    <row r="3657">
      <c r="A3657" s="3">
        <f>IF(D3657="","","TT-"&amp;TEXT(ROW()-1,"00000"))</f>
        <v/>
      </c>
      <c r="B3657" s="3">
        <f>IF(D3657="","",IF(V3657=0,"CONCLUÍDO",IF(D3657&lt;corte,"HISTÓRICO",IF(OR(AND(ISNUMBER(R3657),R3657&lt;TODAY()),AND(OR(N3657="PENDENTE",N3657="PARCIAL"),D3657&lt;TODAY()-1)),"CRÍTICO",IF(OR(AND(P3657&lt;&gt;"",S3657=""),AND(N3657="REALIZADO",M3657="PENDENTE"),AND(ISNUMBER(R3657),R3657=TODAY())),"ATENÇÃO",IF(N(K3657)=0,"PENDENTE","EM ANDAMENTO"))))))</f>
        <v/>
      </c>
      <c r="C3657" s="3">
        <f>IF(D3657="","",IF(V3657=0,"🟢 OK",IF(D3657&lt;corte,"⚪ HISTÓRICO (sem baixa)",IF(AND(ISNUMBER(R3657),R3657&lt;TODAY()),"🔴 PRAZO VENCIDO",IF(AND(OR(N3657="PENDENTE",N3657="PARCIAL"),D3657&lt;TODAY()-1),"🔴 EMBARQUE ATRASADO",IF(AND(N3657="REALIZADO",M3657="PENDENTE"),"🟡 EMBARCADO SEM FATURAR",IF(AND(P3657&lt;&gt;"",S3657="",OR(Q3657="",R3657="")),"🟡 PENDÊNCIA SEM RESPONSÁVEL/PRAZO",IF(AND(ISNUMBER(R3657),R3657=TODAY()),"🟡 VENCE HOJE",IF(AND(P3657&lt;&gt;"",S3657=""),"🟡 PENDÊNCIA ABERTA",IF(AND(N(J3657)&gt;0,N(K3657)&lt;J3657),"🟡 FALTA EXECUTAR",IF(OR(M3657="PENDENTE",M3657="PARCIAL"),"🟡 FATURAMENTO PENDENTE","🟡 EMBARQUE PENDENTE")))))))))))</f>
        <v/>
      </c>
      <c r="D3657" s="4" t="n"/>
      <c r="E3657" s="5" t="n"/>
      <c r="F3657" s="5" t="n"/>
      <c r="G3657" s="5" t="n"/>
      <c r="H3657" s="5" t="n"/>
      <c r="I3657" s="5" t="n"/>
      <c r="J3657" s="6" t="n"/>
      <c r="K3657" s="6" t="n"/>
      <c r="L3657" s="7">
        <f>IF(OR(D3657="",N(J3657)=0),"",MIN(1,N(K3657)/J3657))</f>
        <v/>
      </c>
      <c r="M3657" s="5" t="n"/>
      <c r="N3657" s="5" t="n"/>
      <c r="O3657" s="5" t="n"/>
      <c r="P3657" s="5" t="n"/>
      <c r="Q3657" s="5" t="n"/>
      <c r="R3657" s="4" t="n"/>
      <c r="S3657" s="4" t="n"/>
      <c r="T3657" s="5" t="n"/>
      <c r="U3657" s="8">
        <f>IF(AND(V3657=1,D3657&lt;&gt;""),IF(D3657&gt;=corte,TODAY()-D3657,""),"")</f>
        <v/>
      </c>
      <c r="V3657" s="8">
        <f>IF(D3657="",0,IF(OR(AND(P3657&lt;&gt;"",S3657=""),AND(N(J3657)&gt;0,N(K3657)&lt;J3657),OR(M3657="PENDENTE",M3657="PARCIAL"),OR(N3657="PENDENTE",N3657="PARCIAL")),1,0))</f>
        <v/>
      </c>
      <c r="W3657" s="8">
        <f>IF(AND(V3657=1,D3657&lt;&gt;""),IF(D3657&gt;=corte,(B3657="CRÍTICO")*1E9+(100000-D3657)*10000+10000-ROW(),""),"")</f>
        <v/>
      </c>
      <c r="X3657" s="8">
        <f>IF(AND(V3657=1,D3657=pas_data,E3657=pas_turno),10000-ROW(),"")</f>
        <v/>
      </c>
    </row>
    <row r="3658">
      <c r="A3658" s="3">
        <f>IF(D3658="","","TT-"&amp;TEXT(ROW()-1,"00000"))</f>
        <v/>
      </c>
      <c r="B3658" s="3">
        <f>IF(D3658="","",IF(V3658=0,"CONCLUÍDO",IF(D3658&lt;corte,"HISTÓRICO",IF(OR(AND(ISNUMBER(R3658),R3658&lt;TODAY()),AND(OR(N3658="PENDENTE",N3658="PARCIAL"),D3658&lt;TODAY()-1)),"CRÍTICO",IF(OR(AND(P3658&lt;&gt;"",S3658=""),AND(N3658="REALIZADO",M3658="PENDENTE"),AND(ISNUMBER(R3658),R3658=TODAY())),"ATENÇÃO",IF(N(K3658)=0,"PENDENTE","EM ANDAMENTO"))))))</f>
        <v/>
      </c>
      <c r="C3658" s="3">
        <f>IF(D3658="","",IF(V3658=0,"🟢 OK",IF(D3658&lt;corte,"⚪ HISTÓRICO (sem baixa)",IF(AND(ISNUMBER(R3658),R3658&lt;TODAY()),"🔴 PRAZO VENCIDO",IF(AND(OR(N3658="PENDENTE",N3658="PARCIAL"),D3658&lt;TODAY()-1),"🔴 EMBARQUE ATRASADO",IF(AND(N3658="REALIZADO",M3658="PENDENTE"),"🟡 EMBARCADO SEM FATURAR",IF(AND(P3658&lt;&gt;"",S3658="",OR(Q3658="",R3658="")),"🟡 PENDÊNCIA SEM RESPONSÁVEL/PRAZO",IF(AND(ISNUMBER(R3658),R3658=TODAY()),"🟡 VENCE HOJE",IF(AND(P3658&lt;&gt;"",S3658=""),"🟡 PENDÊNCIA ABERTA",IF(AND(N(J3658)&gt;0,N(K3658)&lt;J3658),"🟡 FALTA EXECUTAR",IF(OR(M3658="PENDENTE",M3658="PARCIAL"),"🟡 FATURAMENTO PENDENTE","🟡 EMBARQUE PENDENTE")))))))))))</f>
        <v/>
      </c>
      <c r="D3658" s="4" t="n"/>
      <c r="E3658" s="5" t="n"/>
      <c r="F3658" s="5" t="n"/>
      <c r="G3658" s="5" t="n"/>
      <c r="H3658" s="5" t="n"/>
      <c r="I3658" s="5" t="n"/>
      <c r="J3658" s="6" t="n"/>
      <c r="K3658" s="6" t="n"/>
      <c r="L3658" s="7">
        <f>IF(OR(D3658="",N(J3658)=0),"",MIN(1,N(K3658)/J3658))</f>
        <v/>
      </c>
      <c r="M3658" s="5" t="n"/>
      <c r="N3658" s="5" t="n"/>
      <c r="O3658" s="5" t="n"/>
      <c r="P3658" s="5" t="n"/>
      <c r="Q3658" s="5" t="n"/>
      <c r="R3658" s="4" t="n"/>
      <c r="S3658" s="4" t="n"/>
      <c r="T3658" s="5" t="n"/>
      <c r="U3658" s="8">
        <f>IF(AND(V3658=1,D3658&lt;&gt;""),IF(D3658&gt;=corte,TODAY()-D3658,""),"")</f>
        <v/>
      </c>
      <c r="V3658" s="8">
        <f>IF(D3658="",0,IF(OR(AND(P3658&lt;&gt;"",S3658=""),AND(N(J3658)&gt;0,N(K3658)&lt;J3658),OR(M3658="PENDENTE",M3658="PARCIAL"),OR(N3658="PENDENTE",N3658="PARCIAL")),1,0))</f>
        <v/>
      </c>
      <c r="W3658" s="8">
        <f>IF(AND(V3658=1,D3658&lt;&gt;""),IF(D3658&gt;=corte,(B3658="CRÍTICO")*1E9+(100000-D3658)*10000+10000-ROW(),""),"")</f>
        <v/>
      </c>
      <c r="X3658" s="8">
        <f>IF(AND(V3658=1,D3658=pas_data,E3658=pas_turno),10000-ROW(),"")</f>
        <v/>
      </c>
    </row>
    <row r="3659">
      <c r="A3659" s="3">
        <f>IF(D3659="","","TT-"&amp;TEXT(ROW()-1,"00000"))</f>
        <v/>
      </c>
      <c r="B3659" s="3">
        <f>IF(D3659="","",IF(V3659=0,"CONCLUÍDO",IF(D3659&lt;corte,"HISTÓRICO",IF(OR(AND(ISNUMBER(R3659),R3659&lt;TODAY()),AND(OR(N3659="PENDENTE",N3659="PARCIAL"),D3659&lt;TODAY()-1)),"CRÍTICO",IF(OR(AND(P3659&lt;&gt;"",S3659=""),AND(N3659="REALIZADO",M3659="PENDENTE"),AND(ISNUMBER(R3659),R3659=TODAY())),"ATENÇÃO",IF(N(K3659)=0,"PENDENTE","EM ANDAMENTO"))))))</f>
        <v/>
      </c>
      <c r="C3659" s="3">
        <f>IF(D3659="","",IF(V3659=0,"🟢 OK",IF(D3659&lt;corte,"⚪ HISTÓRICO (sem baixa)",IF(AND(ISNUMBER(R3659),R3659&lt;TODAY()),"🔴 PRAZO VENCIDO",IF(AND(OR(N3659="PENDENTE",N3659="PARCIAL"),D3659&lt;TODAY()-1),"🔴 EMBARQUE ATRASADO",IF(AND(N3659="REALIZADO",M3659="PENDENTE"),"🟡 EMBARCADO SEM FATURAR",IF(AND(P3659&lt;&gt;"",S3659="",OR(Q3659="",R3659="")),"🟡 PENDÊNCIA SEM RESPONSÁVEL/PRAZO",IF(AND(ISNUMBER(R3659),R3659=TODAY()),"🟡 VENCE HOJE",IF(AND(P3659&lt;&gt;"",S3659=""),"🟡 PENDÊNCIA ABERTA",IF(AND(N(J3659)&gt;0,N(K3659)&lt;J3659),"🟡 FALTA EXECUTAR",IF(OR(M3659="PENDENTE",M3659="PARCIAL"),"🟡 FATURAMENTO PENDENTE","🟡 EMBARQUE PENDENTE")))))))))))</f>
        <v/>
      </c>
      <c r="D3659" s="4" t="n"/>
      <c r="E3659" s="5" t="n"/>
      <c r="F3659" s="5" t="n"/>
      <c r="G3659" s="5" t="n"/>
      <c r="H3659" s="5" t="n"/>
      <c r="I3659" s="5" t="n"/>
      <c r="J3659" s="6" t="n"/>
      <c r="K3659" s="6" t="n"/>
      <c r="L3659" s="7">
        <f>IF(OR(D3659="",N(J3659)=0),"",MIN(1,N(K3659)/J3659))</f>
        <v/>
      </c>
      <c r="M3659" s="5" t="n"/>
      <c r="N3659" s="5" t="n"/>
      <c r="O3659" s="5" t="n"/>
      <c r="P3659" s="5" t="n"/>
      <c r="Q3659" s="5" t="n"/>
      <c r="R3659" s="4" t="n"/>
      <c r="S3659" s="4" t="n"/>
      <c r="T3659" s="5" t="n"/>
      <c r="U3659" s="8">
        <f>IF(AND(V3659=1,D3659&lt;&gt;""),IF(D3659&gt;=corte,TODAY()-D3659,""),"")</f>
        <v/>
      </c>
      <c r="V3659" s="8">
        <f>IF(D3659="",0,IF(OR(AND(P3659&lt;&gt;"",S3659=""),AND(N(J3659)&gt;0,N(K3659)&lt;J3659),OR(M3659="PENDENTE",M3659="PARCIAL"),OR(N3659="PENDENTE",N3659="PARCIAL")),1,0))</f>
        <v/>
      </c>
      <c r="W3659" s="8">
        <f>IF(AND(V3659=1,D3659&lt;&gt;""),IF(D3659&gt;=corte,(B3659="CRÍTICO")*1E9+(100000-D3659)*10000+10000-ROW(),""),"")</f>
        <v/>
      </c>
      <c r="X3659" s="8">
        <f>IF(AND(V3659=1,D3659=pas_data,E3659=pas_turno),10000-ROW(),"")</f>
        <v/>
      </c>
    </row>
    <row r="3660">
      <c r="A3660" s="3">
        <f>IF(D3660="","","TT-"&amp;TEXT(ROW()-1,"00000"))</f>
        <v/>
      </c>
      <c r="B3660" s="3">
        <f>IF(D3660="","",IF(V3660=0,"CONCLUÍDO",IF(D3660&lt;corte,"HISTÓRICO",IF(OR(AND(ISNUMBER(R3660),R3660&lt;TODAY()),AND(OR(N3660="PENDENTE",N3660="PARCIAL"),D3660&lt;TODAY()-1)),"CRÍTICO",IF(OR(AND(P3660&lt;&gt;"",S3660=""),AND(N3660="REALIZADO",M3660="PENDENTE"),AND(ISNUMBER(R3660),R3660=TODAY())),"ATENÇÃO",IF(N(K3660)=0,"PENDENTE","EM ANDAMENTO"))))))</f>
        <v/>
      </c>
      <c r="C3660" s="3">
        <f>IF(D3660="","",IF(V3660=0,"🟢 OK",IF(D3660&lt;corte,"⚪ HISTÓRICO (sem baixa)",IF(AND(ISNUMBER(R3660),R3660&lt;TODAY()),"🔴 PRAZO VENCIDO",IF(AND(OR(N3660="PENDENTE",N3660="PARCIAL"),D3660&lt;TODAY()-1),"🔴 EMBARQUE ATRASADO",IF(AND(N3660="REALIZADO",M3660="PENDENTE"),"🟡 EMBARCADO SEM FATURAR",IF(AND(P3660&lt;&gt;"",S3660="",OR(Q3660="",R3660="")),"🟡 PENDÊNCIA SEM RESPONSÁVEL/PRAZO",IF(AND(ISNUMBER(R3660),R3660=TODAY()),"🟡 VENCE HOJE",IF(AND(P3660&lt;&gt;"",S3660=""),"🟡 PENDÊNCIA ABERTA",IF(AND(N(J3660)&gt;0,N(K3660)&lt;J3660),"🟡 FALTA EXECUTAR",IF(OR(M3660="PENDENTE",M3660="PARCIAL"),"🟡 FATURAMENTO PENDENTE","🟡 EMBARQUE PENDENTE")))))))))))</f>
        <v/>
      </c>
      <c r="D3660" s="4" t="n"/>
      <c r="E3660" s="5" t="n"/>
      <c r="F3660" s="5" t="n"/>
      <c r="G3660" s="5" t="n"/>
      <c r="H3660" s="5" t="n"/>
      <c r="I3660" s="5" t="n"/>
      <c r="J3660" s="6" t="n"/>
      <c r="K3660" s="6" t="n"/>
      <c r="L3660" s="7">
        <f>IF(OR(D3660="",N(J3660)=0),"",MIN(1,N(K3660)/J3660))</f>
        <v/>
      </c>
      <c r="M3660" s="5" t="n"/>
      <c r="N3660" s="5" t="n"/>
      <c r="O3660" s="5" t="n"/>
      <c r="P3660" s="5" t="n"/>
      <c r="Q3660" s="5" t="n"/>
      <c r="R3660" s="4" t="n"/>
      <c r="S3660" s="4" t="n"/>
      <c r="T3660" s="5" t="n"/>
      <c r="U3660" s="8">
        <f>IF(AND(V3660=1,D3660&lt;&gt;""),IF(D3660&gt;=corte,TODAY()-D3660,""),"")</f>
        <v/>
      </c>
      <c r="V3660" s="8">
        <f>IF(D3660="",0,IF(OR(AND(P3660&lt;&gt;"",S3660=""),AND(N(J3660)&gt;0,N(K3660)&lt;J3660),OR(M3660="PENDENTE",M3660="PARCIAL"),OR(N3660="PENDENTE",N3660="PARCIAL")),1,0))</f>
        <v/>
      </c>
      <c r="W3660" s="8">
        <f>IF(AND(V3660=1,D3660&lt;&gt;""),IF(D3660&gt;=corte,(B3660="CRÍTICO")*1E9+(100000-D3660)*10000+10000-ROW(),""),"")</f>
        <v/>
      </c>
      <c r="X3660" s="8">
        <f>IF(AND(V3660=1,D3660=pas_data,E3660=pas_turno),10000-ROW(),"")</f>
        <v/>
      </c>
    </row>
    <row r="3661">
      <c r="A3661" s="3">
        <f>IF(D3661="","","TT-"&amp;TEXT(ROW()-1,"00000"))</f>
        <v/>
      </c>
      <c r="B3661" s="3">
        <f>IF(D3661="","",IF(V3661=0,"CONCLUÍDO",IF(D3661&lt;corte,"HISTÓRICO",IF(OR(AND(ISNUMBER(R3661),R3661&lt;TODAY()),AND(OR(N3661="PENDENTE",N3661="PARCIAL"),D3661&lt;TODAY()-1)),"CRÍTICO",IF(OR(AND(P3661&lt;&gt;"",S3661=""),AND(N3661="REALIZADO",M3661="PENDENTE"),AND(ISNUMBER(R3661),R3661=TODAY())),"ATENÇÃO",IF(N(K3661)=0,"PENDENTE","EM ANDAMENTO"))))))</f>
        <v/>
      </c>
      <c r="C3661" s="3">
        <f>IF(D3661="","",IF(V3661=0,"🟢 OK",IF(D3661&lt;corte,"⚪ HISTÓRICO (sem baixa)",IF(AND(ISNUMBER(R3661),R3661&lt;TODAY()),"🔴 PRAZO VENCIDO",IF(AND(OR(N3661="PENDENTE",N3661="PARCIAL"),D3661&lt;TODAY()-1),"🔴 EMBARQUE ATRASADO",IF(AND(N3661="REALIZADO",M3661="PENDENTE"),"🟡 EMBARCADO SEM FATURAR",IF(AND(P3661&lt;&gt;"",S3661="",OR(Q3661="",R3661="")),"🟡 PENDÊNCIA SEM RESPONSÁVEL/PRAZO",IF(AND(ISNUMBER(R3661),R3661=TODAY()),"🟡 VENCE HOJE",IF(AND(P3661&lt;&gt;"",S3661=""),"🟡 PENDÊNCIA ABERTA",IF(AND(N(J3661)&gt;0,N(K3661)&lt;J3661),"🟡 FALTA EXECUTAR",IF(OR(M3661="PENDENTE",M3661="PARCIAL"),"🟡 FATURAMENTO PENDENTE","🟡 EMBARQUE PENDENTE")))))))))))</f>
        <v/>
      </c>
      <c r="D3661" s="4" t="n"/>
      <c r="E3661" s="5" t="n"/>
      <c r="F3661" s="5" t="n"/>
      <c r="G3661" s="5" t="n"/>
      <c r="H3661" s="5" t="n"/>
      <c r="I3661" s="5" t="n"/>
      <c r="J3661" s="6" t="n"/>
      <c r="K3661" s="6" t="n"/>
      <c r="L3661" s="7">
        <f>IF(OR(D3661="",N(J3661)=0),"",MIN(1,N(K3661)/J3661))</f>
        <v/>
      </c>
      <c r="M3661" s="5" t="n"/>
      <c r="N3661" s="5" t="n"/>
      <c r="O3661" s="5" t="n"/>
      <c r="P3661" s="5" t="n"/>
      <c r="Q3661" s="5" t="n"/>
      <c r="R3661" s="4" t="n"/>
      <c r="S3661" s="4" t="n"/>
      <c r="T3661" s="5" t="n"/>
      <c r="U3661" s="8">
        <f>IF(AND(V3661=1,D3661&lt;&gt;""),IF(D3661&gt;=corte,TODAY()-D3661,""),"")</f>
        <v/>
      </c>
      <c r="V3661" s="8">
        <f>IF(D3661="",0,IF(OR(AND(P3661&lt;&gt;"",S3661=""),AND(N(J3661)&gt;0,N(K3661)&lt;J3661),OR(M3661="PENDENTE",M3661="PARCIAL"),OR(N3661="PENDENTE",N3661="PARCIAL")),1,0))</f>
        <v/>
      </c>
      <c r="W3661" s="8">
        <f>IF(AND(V3661=1,D3661&lt;&gt;""),IF(D3661&gt;=corte,(B3661="CRÍTICO")*1E9+(100000-D3661)*10000+10000-ROW(),""),"")</f>
        <v/>
      </c>
      <c r="X3661" s="8">
        <f>IF(AND(V3661=1,D3661=pas_data,E3661=pas_turno),10000-ROW(),"")</f>
        <v/>
      </c>
    </row>
    <row r="3662">
      <c r="A3662" s="3">
        <f>IF(D3662="","","TT-"&amp;TEXT(ROW()-1,"00000"))</f>
        <v/>
      </c>
      <c r="B3662" s="3">
        <f>IF(D3662="","",IF(V3662=0,"CONCLUÍDO",IF(D3662&lt;corte,"HISTÓRICO",IF(OR(AND(ISNUMBER(R3662),R3662&lt;TODAY()),AND(OR(N3662="PENDENTE",N3662="PARCIAL"),D3662&lt;TODAY()-1)),"CRÍTICO",IF(OR(AND(P3662&lt;&gt;"",S3662=""),AND(N3662="REALIZADO",M3662="PENDENTE"),AND(ISNUMBER(R3662),R3662=TODAY())),"ATENÇÃO",IF(N(K3662)=0,"PENDENTE","EM ANDAMENTO"))))))</f>
        <v/>
      </c>
      <c r="C3662" s="3">
        <f>IF(D3662="","",IF(V3662=0,"🟢 OK",IF(D3662&lt;corte,"⚪ HISTÓRICO (sem baixa)",IF(AND(ISNUMBER(R3662),R3662&lt;TODAY()),"🔴 PRAZO VENCIDO",IF(AND(OR(N3662="PENDENTE",N3662="PARCIAL"),D3662&lt;TODAY()-1),"🔴 EMBARQUE ATRASADO",IF(AND(N3662="REALIZADO",M3662="PENDENTE"),"🟡 EMBARCADO SEM FATURAR",IF(AND(P3662&lt;&gt;"",S3662="",OR(Q3662="",R3662="")),"🟡 PENDÊNCIA SEM RESPONSÁVEL/PRAZO",IF(AND(ISNUMBER(R3662),R3662=TODAY()),"🟡 VENCE HOJE",IF(AND(P3662&lt;&gt;"",S3662=""),"🟡 PENDÊNCIA ABERTA",IF(AND(N(J3662)&gt;0,N(K3662)&lt;J3662),"🟡 FALTA EXECUTAR",IF(OR(M3662="PENDENTE",M3662="PARCIAL"),"🟡 FATURAMENTO PENDENTE","🟡 EMBARQUE PENDENTE")))))))))))</f>
        <v/>
      </c>
      <c r="D3662" s="4" t="n"/>
      <c r="E3662" s="5" t="n"/>
      <c r="F3662" s="5" t="n"/>
      <c r="G3662" s="5" t="n"/>
      <c r="H3662" s="5" t="n"/>
      <c r="I3662" s="5" t="n"/>
      <c r="J3662" s="6" t="n"/>
      <c r="K3662" s="6" t="n"/>
      <c r="L3662" s="7">
        <f>IF(OR(D3662="",N(J3662)=0),"",MIN(1,N(K3662)/J3662))</f>
        <v/>
      </c>
      <c r="M3662" s="5" t="n"/>
      <c r="N3662" s="5" t="n"/>
      <c r="O3662" s="5" t="n"/>
      <c r="P3662" s="5" t="n"/>
      <c r="Q3662" s="5" t="n"/>
      <c r="R3662" s="4" t="n"/>
      <c r="S3662" s="4" t="n"/>
      <c r="T3662" s="5" t="n"/>
      <c r="U3662" s="8">
        <f>IF(AND(V3662=1,D3662&lt;&gt;""),IF(D3662&gt;=corte,TODAY()-D3662,""),"")</f>
        <v/>
      </c>
      <c r="V3662" s="8">
        <f>IF(D3662="",0,IF(OR(AND(P3662&lt;&gt;"",S3662=""),AND(N(J3662)&gt;0,N(K3662)&lt;J3662),OR(M3662="PENDENTE",M3662="PARCIAL"),OR(N3662="PENDENTE",N3662="PARCIAL")),1,0))</f>
        <v/>
      </c>
      <c r="W3662" s="8">
        <f>IF(AND(V3662=1,D3662&lt;&gt;""),IF(D3662&gt;=corte,(B3662="CRÍTICO")*1E9+(100000-D3662)*10000+10000-ROW(),""),"")</f>
        <v/>
      </c>
      <c r="X3662" s="8">
        <f>IF(AND(V3662=1,D3662=pas_data,E3662=pas_turno),10000-ROW(),"")</f>
        <v/>
      </c>
    </row>
    <row r="3663">
      <c r="A3663" s="3">
        <f>IF(D3663="","","TT-"&amp;TEXT(ROW()-1,"00000"))</f>
        <v/>
      </c>
      <c r="B3663" s="3">
        <f>IF(D3663="","",IF(V3663=0,"CONCLUÍDO",IF(D3663&lt;corte,"HISTÓRICO",IF(OR(AND(ISNUMBER(R3663),R3663&lt;TODAY()),AND(OR(N3663="PENDENTE",N3663="PARCIAL"),D3663&lt;TODAY()-1)),"CRÍTICO",IF(OR(AND(P3663&lt;&gt;"",S3663=""),AND(N3663="REALIZADO",M3663="PENDENTE"),AND(ISNUMBER(R3663),R3663=TODAY())),"ATENÇÃO",IF(N(K3663)=0,"PENDENTE","EM ANDAMENTO"))))))</f>
        <v/>
      </c>
      <c r="C3663" s="3">
        <f>IF(D3663="","",IF(V3663=0,"🟢 OK",IF(D3663&lt;corte,"⚪ HISTÓRICO (sem baixa)",IF(AND(ISNUMBER(R3663),R3663&lt;TODAY()),"🔴 PRAZO VENCIDO",IF(AND(OR(N3663="PENDENTE",N3663="PARCIAL"),D3663&lt;TODAY()-1),"🔴 EMBARQUE ATRASADO",IF(AND(N3663="REALIZADO",M3663="PENDENTE"),"🟡 EMBARCADO SEM FATURAR",IF(AND(P3663&lt;&gt;"",S3663="",OR(Q3663="",R3663="")),"🟡 PENDÊNCIA SEM RESPONSÁVEL/PRAZO",IF(AND(ISNUMBER(R3663),R3663=TODAY()),"🟡 VENCE HOJE",IF(AND(P3663&lt;&gt;"",S3663=""),"🟡 PENDÊNCIA ABERTA",IF(AND(N(J3663)&gt;0,N(K3663)&lt;J3663),"🟡 FALTA EXECUTAR",IF(OR(M3663="PENDENTE",M3663="PARCIAL"),"🟡 FATURAMENTO PENDENTE","🟡 EMBARQUE PENDENTE")))))))))))</f>
        <v/>
      </c>
      <c r="D3663" s="4" t="n"/>
      <c r="E3663" s="5" t="n"/>
      <c r="F3663" s="5" t="n"/>
      <c r="G3663" s="5" t="n"/>
      <c r="H3663" s="5" t="n"/>
      <c r="I3663" s="5" t="n"/>
      <c r="J3663" s="6" t="n"/>
      <c r="K3663" s="6" t="n"/>
      <c r="L3663" s="7">
        <f>IF(OR(D3663="",N(J3663)=0),"",MIN(1,N(K3663)/J3663))</f>
        <v/>
      </c>
      <c r="M3663" s="5" t="n"/>
      <c r="N3663" s="5" t="n"/>
      <c r="O3663" s="5" t="n"/>
      <c r="P3663" s="5" t="n"/>
      <c r="Q3663" s="5" t="n"/>
      <c r="R3663" s="4" t="n"/>
      <c r="S3663" s="4" t="n"/>
      <c r="T3663" s="5" t="n"/>
      <c r="U3663" s="8">
        <f>IF(AND(V3663=1,D3663&lt;&gt;""),IF(D3663&gt;=corte,TODAY()-D3663,""),"")</f>
        <v/>
      </c>
      <c r="V3663" s="8">
        <f>IF(D3663="",0,IF(OR(AND(P3663&lt;&gt;"",S3663=""),AND(N(J3663)&gt;0,N(K3663)&lt;J3663),OR(M3663="PENDENTE",M3663="PARCIAL"),OR(N3663="PENDENTE",N3663="PARCIAL")),1,0))</f>
        <v/>
      </c>
      <c r="W3663" s="8">
        <f>IF(AND(V3663=1,D3663&lt;&gt;""),IF(D3663&gt;=corte,(B3663="CRÍTICO")*1E9+(100000-D3663)*10000+10000-ROW(),""),"")</f>
        <v/>
      </c>
      <c r="X3663" s="8">
        <f>IF(AND(V3663=1,D3663=pas_data,E3663=pas_turno),10000-ROW(),"")</f>
        <v/>
      </c>
    </row>
    <row r="3664">
      <c r="A3664" s="3">
        <f>IF(D3664="","","TT-"&amp;TEXT(ROW()-1,"00000"))</f>
        <v/>
      </c>
      <c r="B3664" s="3">
        <f>IF(D3664="","",IF(V3664=0,"CONCLUÍDO",IF(D3664&lt;corte,"HISTÓRICO",IF(OR(AND(ISNUMBER(R3664),R3664&lt;TODAY()),AND(OR(N3664="PENDENTE",N3664="PARCIAL"),D3664&lt;TODAY()-1)),"CRÍTICO",IF(OR(AND(P3664&lt;&gt;"",S3664=""),AND(N3664="REALIZADO",M3664="PENDENTE"),AND(ISNUMBER(R3664),R3664=TODAY())),"ATENÇÃO",IF(N(K3664)=0,"PENDENTE","EM ANDAMENTO"))))))</f>
        <v/>
      </c>
      <c r="C3664" s="3">
        <f>IF(D3664="","",IF(V3664=0,"🟢 OK",IF(D3664&lt;corte,"⚪ HISTÓRICO (sem baixa)",IF(AND(ISNUMBER(R3664),R3664&lt;TODAY()),"🔴 PRAZO VENCIDO",IF(AND(OR(N3664="PENDENTE",N3664="PARCIAL"),D3664&lt;TODAY()-1),"🔴 EMBARQUE ATRASADO",IF(AND(N3664="REALIZADO",M3664="PENDENTE"),"🟡 EMBARCADO SEM FATURAR",IF(AND(P3664&lt;&gt;"",S3664="",OR(Q3664="",R3664="")),"🟡 PENDÊNCIA SEM RESPONSÁVEL/PRAZO",IF(AND(ISNUMBER(R3664),R3664=TODAY()),"🟡 VENCE HOJE",IF(AND(P3664&lt;&gt;"",S3664=""),"🟡 PENDÊNCIA ABERTA",IF(AND(N(J3664)&gt;0,N(K3664)&lt;J3664),"🟡 FALTA EXECUTAR",IF(OR(M3664="PENDENTE",M3664="PARCIAL"),"🟡 FATURAMENTO PENDENTE","🟡 EMBARQUE PENDENTE")))))))))))</f>
        <v/>
      </c>
      <c r="D3664" s="4" t="n"/>
      <c r="E3664" s="5" t="n"/>
      <c r="F3664" s="5" t="n"/>
      <c r="G3664" s="5" t="n"/>
      <c r="H3664" s="5" t="n"/>
      <c r="I3664" s="5" t="n"/>
      <c r="J3664" s="6" t="n"/>
      <c r="K3664" s="6" t="n"/>
      <c r="L3664" s="7">
        <f>IF(OR(D3664="",N(J3664)=0),"",MIN(1,N(K3664)/J3664))</f>
        <v/>
      </c>
      <c r="M3664" s="5" t="n"/>
      <c r="N3664" s="5" t="n"/>
      <c r="O3664" s="5" t="n"/>
      <c r="P3664" s="5" t="n"/>
      <c r="Q3664" s="5" t="n"/>
      <c r="R3664" s="4" t="n"/>
      <c r="S3664" s="4" t="n"/>
      <c r="T3664" s="5" t="n"/>
      <c r="U3664" s="8">
        <f>IF(AND(V3664=1,D3664&lt;&gt;""),IF(D3664&gt;=corte,TODAY()-D3664,""),"")</f>
        <v/>
      </c>
      <c r="V3664" s="8">
        <f>IF(D3664="",0,IF(OR(AND(P3664&lt;&gt;"",S3664=""),AND(N(J3664)&gt;0,N(K3664)&lt;J3664),OR(M3664="PENDENTE",M3664="PARCIAL"),OR(N3664="PENDENTE",N3664="PARCIAL")),1,0))</f>
        <v/>
      </c>
      <c r="W3664" s="8">
        <f>IF(AND(V3664=1,D3664&lt;&gt;""),IF(D3664&gt;=corte,(B3664="CRÍTICO")*1E9+(100000-D3664)*10000+10000-ROW(),""),"")</f>
        <v/>
      </c>
      <c r="X3664" s="8">
        <f>IF(AND(V3664=1,D3664=pas_data,E3664=pas_turno),10000-ROW(),"")</f>
        <v/>
      </c>
    </row>
    <row r="3665">
      <c r="A3665" s="3">
        <f>IF(D3665="","","TT-"&amp;TEXT(ROW()-1,"00000"))</f>
        <v/>
      </c>
      <c r="B3665" s="3">
        <f>IF(D3665="","",IF(V3665=0,"CONCLUÍDO",IF(D3665&lt;corte,"HISTÓRICO",IF(OR(AND(ISNUMBER(R3665),R3665&lt;TODAY()),AND(OR(N3665="PENDENTE",N3665="PARCIAL"),D3665&lt;TODAY()-1)),"CRÍTICO",IF(OR(AND(P3665&lt;&gt;"",S3665=""),AND(N3665="REALIZADO",M3665="PENDENTE"),AND(ISNUMBER(R3665),R3665=TODAY())),"ATENÇÃO",IF(N(K3665)=0,"PENDENTE","EM ANDAMENTO"))))))</f>
        <v/>
      </c>
      <c r="C3665" s="3">
        <f>IF(D3665="","",IF(V3665=0,"🟢 OK",IF(D3665&lt;corte,"⚪ HISTÓRICO (sem baixa)",IF(AND(ISNUMBER(R3665),R3665&lt;TODAY()),"🔴 PRAZO VENCIDO",IF(AND(OR(N3665="PENDENTE",N3665="PARCIAL"),D3665&lt;TODAY()-1),"🔴 EMBARQUE ATRASADO",IF(AND(N3665="REALIZADO",M3665="PENDENTE"),"🟡 EMBARCADO SEM FATURAR",IF(AND(P3665&lt;&gt;"",S3665="",OR(Q3665="",R3665="")),"🟡 PENDÊNCIA SEM RESPONSÁVEL/PRAZO",IF(AND(ISNUMBER(R3665),R3665=TODAY()),"🟡 VENCE HOJE",IF(AND(P3665&lt;&gt;"",S3665=""),"🟡 PENDÊNCIA ABERTA",IF(AND(N(J3665)&gt;0,N(K3665)&lt;J3665),"🟡 FALTA EXECUTAR",IF(OR(M3665="PENDENTE",M3665="PARCIAL"),"🟡 FATURAMENTO PENDENTE","🟡 EMBARQUE PENDENTE")))))))))))</f>
        <v/>
      </c>
      <c r="D3665" s="4" t="n"/>
      <c r="E3665" s="5" t="n"/>
      <c r="F3665" s="5" t="n"/>
      <c r="G3665" s="5" t="n"/>
      <c r="H3665" s="5" t="n"/>
      <c r="I3665" s="5" t="n"/>
      <c r="J3665" s="6" t="n"/>
      <c r="K3665" s="6" t="n"/>
      <c r="L3665" s="7">
        <f>IF(OR(D3665="",N(J3665)=0),"",MIN(1,N(K3665)/J3665))</f>
        <v/>
      </c>
      <c r="M3665" s="5" t="n"/>
      <c r="N3665" s="5" t="n"/>
      <c r="O3665" s="5" t="n"/>
      <c r="P3665" s="5" t="n"/>
      <c r="Q3665" s="5" t="n"/>
      <c r="R3665" s="4" t="n"/>
      <c r="S3665" s="4" t="n"/>
      <c r="T3665" s="5" t="n"/>
      <c r="U3665" s="8">
        <f>IF(AND(V3665=1,D3665&lt;&gt;""),IF(D3665&gt;=corte,TODAY()-D3665,""),"")</f>
        <v/>
      </c>
      <c r="V3665" s="8">
        <f>IF(D3665="",0,IF(OR(AND(P3665&lt;&gt;"",S3665=""),AND(N(J3665)&gt;0,N(K3665)&lt;J3665),OR(M3665="PENDENTE",M3665="PARCIAL"),OR(N3665="PENDENTE",N3665="PARCIAL")),1,0))</f>
        <v/>
      </c>
      <c r="W3665" s="8">
        <f>IF(AND(V3665=1,D3665&lt;&gt;""),IF(D3665&gt;=corte,(B3665="CRÍTICO")*1E9+(100000-D3665)*10000+10000-ROW(),""),"")</f>
        <v/>
      </c>
      <c r="X3665" s="8">
        <f>IF(AND(V3665=1,D3665=pas_data,E3665=pas_turno),10000-ROW(),"")</f>
        <v/>
      </c>
    </row>
    <row r="3666">
      <c r="A3666" s="3">
        <f>IF(D3666="","","TT-"&amp;TEXT(ROW()-1,"00000"))</f>
        <v/>
      </c>
      <c r="B3666" s="3">
        <f>IF(D3666="","",IF(V3666=0,"CONCLUÍDO",IF(D3666&lt;corte,"HISTÓRICO",IF(OR(AND(ISNUMBER(R3666),R3666&lt;TODAY()),AND(OR(N3666="PENDENTE",N3666="PARCIAL"),D3666&lt;TODAY()-1)),"CRÍTICO",IF(OR(AND(P3666&lt;&gt;"",S3666=""),AND(N3666="REALIZADO",M3666="PENDENTE"),AND(ISNUMBER(R3666),R3666=TODAY())),"ATENÇÃO",IF(N(K3666)=0,"PENDENTE","EM ANDAMENTO"))))))</f>
        <v/>
      </c>
      <c r="C3666" s="3">
        <f>IF(D3666="","",IF(V3666=0,"🟢 OK",IF(D3666&lt;corte,"⚪ HISTÓRICO (sem baixa)",IF(AND(ISNUMBER(R3666),R3666&lt;TODAY()),"🔴 PRAZO VENCIDO",IF(AND(OR(N3666="PENDENTE",N3666="PARCIAL"),D3666&lt;TODAY()-1),"🔴 EMBARQUE ATRASADO",IF(AND(N3666="REALIZADO",M3666="PENDENTE"),"🟡 EMBARCADO SEM FATURAR",IF(AND(P3666&lt;&gt;"",S3666="",OR(Q3666="",R3666="")),"🟡 PENDÊNCIA SEM RESPONSÁVEL/PRAZO",IF(AND(ISNUMBER(R3666),R3666=TODAY()),"🟡 VENCE HOJE",IF(AND(P3666&lt;&gt;"",S3666=""),"🟡 PENDÊNCIA ABERTA",IF(AND(N(J3666)&gt;0,N(K3666)&lt;J3666),"🟡 FALTA EXECUTAR",IF(OR(M3666="PENDENTE",M3666="PARCIAL"),"🟡 FATURAMENTO PENDENTE","🟡 EMBARQUE PENDENTE")))))))))))</f>
        <v/>
      </c>
      <c r="D3666" s="4" t="n"/>
      <c r="E3666" s="5" t="n"/>
      <c r="F3666" s="5" t="n"/>
      <c r="G3666" s="5" t="n"/>
      <c r="H3666" s="5" t="n"/>
      <c r="I3666" s="5" t="n"/>
      <c r="J3666" s="6" t="n"/>
      <c r="K3666" s="6" t="n"/>
      <c r="L3666" s="7">
        <f>IF(OR(D3666="",N(J3666)=0),"",MIN(1,N(K3666)/J3666))</f>
        <v/>
      </c>
      <c r="M3666" s="5" t="n"/>
      <c r="N3666" s="5" t="n"/>
      <c r="O3666" s="5" t="n"/>
      <c r="P3666" s="5" t="n"/>
      <c r="Q3666" s="5" t="n"/>
      <c r="R3666" s="4" t="n"/>
      <c r="S3666" s="4" t="n"/>
      <c r="T3666" s="5" t="n"/>
      <c r="U3666" s="8">
        <f>IF(AND(V3666=1,D3666&lt;&gt;""),IF(D3666&gt;=corte,TODAY()-D3666,""),"")</f>
        <v/>
      </c>
      <c r="V3666" s="8">
        <f>IF(D3666="",0,IF(OR(AND(P3666&lt;&gt;"",S3666=""),AND(N(J3666)&gt;0,N(K3666)&lt;J3666),OR(M3666="PENDENTE",M3666="PARCIAL"),OR(N3666="PENDENTE",N3666="PARCIAL")),1,0))</f>
        <v/>
      </c>
      <c r="W3666" s="8">
        <f>IF(AND(V3666=1,D3666&lt;&gt;""),IF(D3666&gt;=corte,(B3666="CRÍTICO")*1E9+(100000-D3666)*10000+10000-ROW(),""),"")</f>
        <v/>
      </c>
      <c r="X3666" s="8">
        <f>IF(AND(V3666=1,D3666=pas_data,E3666=pas_turno),10000-ROW(),"")</f>
        <v/>
      </c>
    </row>
    <row r="3667">
      <c r="A3667" s="3">
        <f>IF(D3667="","","TT-"&amp;TEXT(ROW()-1,"00000"))</f>
        <v/>
      </c>
      <c r="B3667" s="3">
        <f>IF(D3667="","",IF(V3667=0,"CONCLUÍDO",IF(D3667&lt;corte,"HISTÓRICO",IF(OR(AND(ISNUMBER(R3667),R3667&lt;TODAY()),AND(OR(N3667="PENDENTE",N3667="PARCIAL"),D3667&lt;TODAY()-1)),"CRÍTICO",IF(OR(AND(P3667&lt;&gt;"",S3667=""),AND(N3667="REALIZADO",M3667="PENDENTE"),AND(ISNUMBER(R3667),R3667=TODAY())),"ATENÇÃO",IF(N(K3667)=0,"PENDENTE","EM ANDAMENTO"))))))</f>
        <v/>
      </c>
      <c r="C3667" s="3">
        <f>IF(D3667="","",IF(V3667=0,"🟢 OK",IF(D3667&lt;corte,"⚪ HISTÓRICO (sem baixa)",IF(AND(ISNUMBER(R3667),R3667&lt;TODAY()),"🔴 PRAZO VENCIDO",IF(AND(OR(N3667="PENDENTE",N3667="PARCIAL"),D3667&lt;TODAY()-1),"🔴 EMBARQUE ATRASADO",IF(AND(N3667="REALIZADO",M3667="PENDENTE"),"🟡 EMBARCADO SEM FATURAR",IF(AND(P3667&lt;&gt;"",S3667="",OR(Q3667="",R3667="")),"🟡 PENDÊNCIA SEM RESPONSÁVEL/PRAZO",IF(AND(ISNUMBER(R3667),R3667=TODAY()),"🟡 VENCE HOJE",IF(AND(P3667&lt;&gt;"",S3667=""),"🟡 PENDÊNCIA ABERTA",IF(AND(N(J3667)&gt;0,N(K3667)&lt;J3667),"🟡 FALTA EXECUTAR",IF(OR(M3667="PENDENTE",M3667="PARCIAL"),"🟡 FATURAMENTO PENDENTE","🟡 EMBARQUE PENDENTE")))))))))))</f>
        <v/>
      </c>
      <c r="D3667" s="4" t="n"/>
      <c r="E3667" s="5" t="n"/>
      <c r="F3667" s="5" t="n"/>
      <c r="G3667" s="5" t="n"/>
      <c r="H3667" s="5" t="n"/>
      <c r="I3667" s="5" t="n"/>
      <c r="J3667" s="6" t="n"/>
      <c r="K3667" s="6" t="n"/>
      <c r="L3667" s="7">
        <f>IF(OR(D3667="",N(J3667)=0),"",MIN(1,N(K3667)/J3667))</f>
        <v/>
      </c>
      <c r="M3667" s="5" t="n"/>
      <c r="N3667" s="5" t="n"/>
      <c r="O3667" s="5" t="n"/>
      <c r="P3667" s="5" t="n"/>
      <c r="Q3667" s="5" t="n"/>
      <c r="R3667" s="4" t="n"/>
      <c r="S3667" s="4" t="n"/>
      <c r="T3667" s="5" t="n"/>
      <c r="U3667" s="8">
        <f>IF(AND(V3667=1,D3667&lt;&gt;""),IF(D3667&gt;=corte,TODAY()-D3667,""),"")</f>
        <v/>
      </c>
      <c r="V3667" s="8">
        <f>IF(D3667="",0,IF(OR(AND(P3667&lt;&gt;"",S3667=""),AND(N(J3667)&gt;0,N(K3667)&lt;J3667),OR(M3667="PENDENTE",M3667="PARCIAL"),OR(N3667="PENDENTE",N3667="PARCIAL")),1,0))</f>
        <v/>
      </c>
      <c r="W3667" s="8">
        <f>IF(AND(V3667=1,D3667&lt;&gt;""),IF(D3667&gt;=corte,(B3667="CRÍTICO")*1E9+(100000-D3667)*10000+10000-ROW(),""),"")</f>
        <v/>
      </c>
      <c r="X3667" s="8">
        <f>IF(AND(V3667=1,D3667=pas_data,E3667=pas_turno),10000-ROW(),"")</f>
        <v/>
      </c>
    </row>
    <row r="3668">
      <c r="A3668" s="3">
        <f>IF(D3668="","","TT-"&amp;TEXT(ROW()-1,"00000"))</f>
        <v/>
      </c>
      <c r="B3668" s="3">
        <f>IF(D3668="","",IF(V3668=0,"CONCLUÍDO",IF(D3668&lt;corte,"HISTÓRICO",IF(OR(AND(ISNUMBER(R3668),R3668&lt;TODAY()),AND(OR(N3668="PENDENTE",N3668="PARCIAL"),D3668&lt;TODAY()-1)),"CRÍTICO",IF(OR(AND(P3668&lt;&gt;"",S3668=""),AND(N3668="REALIZADO",M3668="PENDENTE"),AND(ISNUMBER(R3668),R3668=TODAY())),"ATENÇÃO",IF(N(K3668)=0,"PENDENTE","EM ANDAMENTO"))))))</f>
        <v/>
      </c>
      <c r="C3668" s="3">
        <f>IF(D3668="","",IF(V3668=0,"🟢 OK",IF(D3668&lt;corte,"⚪ HISTÓRICO (sem baixa)",IF(AND(ISNUMBER(R3668),R3668&lt;TODAY()),"🔴 PRAZO VENCIDO",IF(AND(OR(N3668="PENDENTE",N3668="PARCIAL"),D3668&lt;TODAY()-1),"🔴 EMBARQUE ATRASADO",IF(AND(N3668="REALIZADO",M3668="PENDENTE"),"🟡 EMBARCADO SEM FATURAR",IF(AND(P3668&lt;&gt;"",S3668="",OR(Q3668="",R3668="")),"🟡 PENDÊNCIA SEM RESPONSÁVEL/PRAZO",IF(AND(ISNUMBER(R3668),R3668=TODAY()),"🟡 VENCE HOJE",IF(AND(P3668&lt;&gt;"",S3668=""),"🟡 PENDÊNCIA ABERTA",IF(AND(N(J3668)&gt;0,N(K3668)&lt;J3668),"🟡 FALTA EXECUTAR",IF(OR(M3668="PENDENTE",M3668="PARCIAL"),"🟡 FATURAMENTO PENDENTE","🟡 EMBARQUE PENDENTE")))))))))))</f>
        <v/>
      </c>
      <c r="D3668" s="4" t="n"/>
      <c r="E3668" s="5" t="n"/>
      <c r="F3668" s="5" t="n"/>
      <c r="G3668" s="5" t="n"/>
      <c r="H3668" s="5" t="n"/>
      <c r="I3668" s="5" t="n"/>
      <c r="J3668" s="6" t="n"/>
      <c r="K3668" s="6" t="n"/>
      <c r="L3668" s="7">
        <f>IF(OR(D3668="",N(J3668)=0),"",MIN(1,N(K3668)/J3668))</f>
        <v/>
      </c>
      <c r="M3668" s="5" t="n"/>
      <c r="N3668" s="5" t="n"/>
      <c r="O3668" s="5" t="n"/>
      <c r="P3668" s="5" t="n"/>
      <c r="Q3668" s="5" t="n"/>
      <c r="R3668" s="4" t="n"/>
      <c r="S3668" s="4" t="n"/>
      <c r="T3668" s="5" t="n"/>
      <c r="U3668" s="8">
        <f>IF(AND(V3668=1,D3668&lt;&gt;""),IF(D3668&gt;=corte,TODAY()-D3668,""),"")</f>
        <v/>
      </c>
      <c r="V3668" s="8">
        <f>IF(D3668="",0,IF(OR(AND(P3668&lt;&gt;"",S3668=""),AND(N(J3668)&gt;0,N(K3668)&lt;J3668),OR(M3668="PENDENTE",M3668="PARCIAL"),OR(N3668="PENDENTE",N3668="PARCIAL")),1,0))</f>
        <v/>
      </c>
      <c r="W3668" s="8">
        <f>IF(AND(V3668=1,D3668&lt;&gt;""),IF(D3668&gt;=corte,(B3668="CRÍTICO")*1E9+(100000-D3668)*10000+10000-ROW(),""),"")</f>
        <v/>
      </c>
      <c r="X3668" s="8">
        <f>IF(AND(V3668=1,D3668=pas_data,E3668=pas_turno),10000-ROW(),"")</f>
        <v/>
      </c>
    </row>
    <row r="3669">
      <c r="A3669" s="3">
        <f>IF(D3669="","","TT-"&amp;TEXT(ROW()-1,"00000"))</f>
        <v/>
      </c>
      <c r="B3669" s="3">
        <f>IF(D3669="","",IF(V3669=0,"CONCLUÍDO",IF(D3669&lt;corte,"HISTÓRICO",IF(OR(AND(ISNUMBER(R3669),R3669&lt;TODAY()),AND(OR(N3669="PENDENTE",N3669="PARCIAL"),D3669&lt;TODAY()-1)),"CRÍTICO",IF(OR(AND(P3669&lt;&gt;"",S3669=""),AND(N3669="REALIZADO",M3669="PENDENTE"),AND(ISNUMBER(R3669),R3669=TODAY())),"ATENÇÃO",IF(N(K3669)=0,"PENDENTE","EM ANDAMENTO"))))))</f>
        <v/>
      </c>
      <c r="C3669" s="3">
        <f>IF(D3669="","",IF(V3669=0,"🟢 OK",IF(D3669&lt;corte,"⚪ HISTÓRICO (sem baixa)",IF(AND(ISNUMBER(R3669),R3669&lt;TODAY()),"🔴 PRAZO VENCIDO",IF(AND(OR(N3669="PENDENTE",N3669="PARCIAL"),D3669&lt;TODAY()-1),"🔴 EMBARQUE ATRASADO",IF(AND(N3669="REALIZADO",M3669="PENDENTE"),"🟡 EMBARCADO SEM FATURAR",IF(AND(P3669&lt;&gt;"",S3669="",OR(Q3669="",R3669="")),"🟡 PENDÊNCIA SEM RESPONSÁVEL/PRAZO",IF(AND(ISNUMBER(R3669),R3669=TODAY()),"🟡 VENCE HOJE",IF(AND(P3669&lt;&gt;"",S3669=""),"🟡 PENDÊNCIA ABERTA",IF(AND(N(J3669)&gt;0,N(K3669)&lt;J3669),"🟡 FALTA EXECUTAR",IF(OR(M3669="PENDENTE",M3669="PARCIAL"),"🟡 FATURAMENTO PENDENTE","🟡 EMBARQUE PENDENTE")))))))))))</f>
        <v/>
      </c>
      <c r="D3669" s="4" t="n"/>
      <c r="E3669" s="5" t="n"/>
      <c r="F3669" s="5" t="n"/>
      <c r="G3669" s="5" t="n"/>
      <c r="H3669" s="5" t="n"/>
      <c r="I3669" s="5" t="n"/>
      <c r="J3669" s="6" t="n"/>
      <c r="K3669" s="6" t="n"/>
      <c r="L3669" s="7">
        <f>IF(OR(D3669="",N(J3669)=0),"",MIN(1,N(K3669)/J3669))</f>
        <v/>
      </c>
      <c r="M3669" s="5" t="n"/>
      <c r="N3669" s="5" t="n"/>
      <c r="O3669" s="5" t="n"/>
      <c r="P3669" s="5" t="n"/>
      <c r="Q3669" s="5" t="n"/>
      <c r="R3669" s="4" t="n"/>
      <c r="S3669" s="4" t="n"/>
      <c r="T3669" s="5" t="n"/>
      <c r="U3669" s="8">
        <f>IF(AND(V3669=1,D3669&lt;&gt;""),IF(D3669&gt;=corte,TODAY()-D3669,""),"")</f>
        <v/>
      </c>
      <c r="V3669" s="8">
        <f>IF(D3669="",0,IF(OR(AND(P3669&lt;&gt;"",S3669=""),AND(N(J3669)&gt;0,N(K3669)&lt;J3669),OR(M3669="PENDENTE",M3669="PARCIAL"),OR(N3669="PENDENTE",N3669="PARCIAL")),1,0))</f>
        <v/>
      </c>
      <c r="W3669" s="8">
        <f>IF(AND(V3669=1,D3669&lt;&gt;""),IF(D3669&gt;=corte,(B3669="CRÍTICO")*1E9+(100000-D3669)*10000+10000-ROW(),""),"")</f>
        <v/>
      </c>
      <c r="X3669" s="8">
        <f>IF(AND(V3669=1,D3669=pas_data,E3669=pas_turno),10000-ROW(),"")</f>
        <v/>
      </c>
    </row>
    <row r="3670">
      <c r="A3670" s="3">
        <f>IF(D3670="","","TT-"&amp;TEXT(ROW()-1,"00000"))</f>
        <v/>
      </c>
      <c r="B3670" s="3">
        <f>IF(D3670="","",IF(V3670=0,"CONCLUÍDO",IF(D3670&lt;corte,"HISTÓRICO",IF(OR(AND(ISNUMBER(R3670),R3670&lt;TODAY()),AND(OR(N3670="PENDENTE",N3670="PARCIAL"),D3670&lt;TODAY()-1)),"CRÍTICO",IF(OR(AND(P3670&lt;&gt;"",S3670=""),AND(N3670="REALIZADO",M3670="PENDENTE"),AND(ISNUMBER(R3670),R3670=TODAY())),"ATENÇÃO",IF(N(K3670)=0,"PENDENTE","EM ANDAMENTO"))))))</f>
        <v/>
      </c>
      <c r="C3670" s="3">
        <f>IF(D3670="","",IF(V3670=0,"🟢 OK",IF(D3670&lt;corte,"⚪ HISTÓRICO (sem baixa)",IF(AND(ISNUMBER(R3670),R3670&lt;TODAY()),"🔴 PRAZO VENCIDO",IF(AND(OR(N3670="PENDENTE",N3670="PARCIAL"),D3670&lt;TODAY()-1),"🔴 EMBARQUE ATRASADO",IF(AND(N3670="REALIZADO",M3670="PENDENTE"),"🟡 EMBARCADO SEM FATURAR",IF(AND(P3670&lt;&gt;"",S3670="",OR(Q3670="",R3670="")),"🟡 PENDÊNCIA SEM RESPONSÁVEL/PRAZO",IF(AND(ISNUMBER(R3670),R3670=TODAY()),"🟡 VENCE HOJE",IF(AND(P3670&lt;&gt;"",S3670=""),"🟡 PENDÊNCIA ABERTA",IF(AND(N(J3670)&gt;0,N(K3670)&lt;J3670),"🟡 FALTA EXECUTAR",IF(OR(M3670="PENDENTE",M3670="PARCIAL"),"🟡 FATURAMENTO PENDENTE","🟡 EMBARQUE PENDENTE")))))))))))</f>
        <v/>
      </c>
      <c r="D3670" s="4" t="n"/>
      <c r="E3670" s="5" t="n"/>
      <c r="F3670" s="5" t="n"/>
      <c r="G3670" s="5" t="n"/>
      <c r="H3670" s="5" t="n"/>
      <c r="I3670" s="5" t="n"/>
      <c r="J3670" s="6" t="n"/>
      <c r="K3670" s="6" t="n"/>
      <c r="L3670" s="7">
        <f>IF(OR(D3670="",N(J3670)=0),"",MIN(1,N(K3670)/J3670))</f>
        <v/>
      </c>
      <c r="M3670" s="5" t="n"/>
      <c r="N3670" s="5" t="n"/>
      <c r="O3670" s="5" t="n"/>
      <c r="P3670" s="5" t="n"/>
      <c r="Q3670" s="5" t="n"/>
      <c r="R3670" s="4" t="n"/>
      <c r="S3670" s="4" t="n"/>
      <c r="T3670" s="5" t="n"/>
      <c r="U3670" s="8">
        <f>IF(AND(V3670=1,D3670&lt;&gt;""),IF(D3670&gt;=corte,TODAY()-D3670,""),"")</f>
        <v/>
      </c>
      <c r="V3670" s="8">
        <f>IF(D3670="",0,IF(OR(AND(P3670&lt;&gt;"",S3670=""),AND(N(J3670)&gt;0,N(K3670)&lt;J3670),OR(M3670="PENDENTE",M3670="PARCIAL"),OR(N3670="PENDENTE",N3670="PARCIAL")),1,0))</f>
        <v/>
      </c>
      <c r="W3670" s="8">
        <f>IF(AND(V3670=1,D3670&lt;&gt;""),IF(D3670&gt;=corte,(B3670="CRÍTICO")*1E9+(100000-D3670)*10000+10000-ROW(),""),"")</f>
        <v/>
      </c>
      <c r="X3670" s="8">
        <f>IF(AND(V3670=1,D3670=pas_data,E3670=pas_turno),10000-ROW(),"")</f>
        <v/>
      </c>
    </row>
    <row r="3671">
      <c r="A3671" s="3">
        <f>IF(D3671="","","TT-"&amp;TEXT(ROW()-1,"00000"))</f>
        <v/>
      </c>
      <c r="B3671" s="3">
        <f>IF(D3671="","",IF(V3671=0,"CONCLUÍDO",IF(D3671&lt;corte,"HISTÓRICO",IF(OR(AND(ISNUMBER(R3671),R3671&lt;TODAY()),AND(OR(N3671="PENDENTE",N3671="PARCIAL"),D3671&lt;TODAY()-1)),"CRÍTICO",IF(OR(AND(P3671&lt;&gt;"",S3671=""),AND(N3671="REALIZADO",M3671="PENDENTE"),AND(ISNUMBER(R3671),R3671=TODAY())),"ATENÇÃO",IF(N(K3671)=0,"PENDENTE","EM ANDAMENTO"))))))</f>
        <v/>
      </c>
      <c r="C3671" s="3">
        <f>IF(D3671="","",IF(V3671=0,"🟢 OK",IF(D3671&lt;corte,"⚪ HISTÓRICO (sem baixa)",IF(AND(ISNUMBER(R3671),R3671&lt;TODAY()),"🔴 PRAZO VENCIDO",IF(AND(OR(N3671="PENDENTE",N3671="PARCIAL"),D3671&lt;TODAY()-1),"🔴 EMBARQUE ATRASADO",IF(AND(N3671="REALIZADO",M3671="PENDENTE"),"🟡 EMBARCADO SEM FATURAR",IF(AND(P3671&lt;&gt;"",S3671="",OR(Q3671="",R3671="")),"🟡 PENDÊNCIA SEM RESPONSÁVEL/PRAZO",IF(AND(ISNUMBER(R3671),R3671=TODAY()),"🟡 VENCE HOJE",IF(AND(P3671&lt;&gt;"",S3671=""),"🟡 PENDÊNCIA ABERTA",IF(AND(N(J3671)&gt;0,N(K3671)&lt;J3671),"🟡 FALTA EXECUTAR",IF(OR(M3671="PENDENTE",M3671="PARCIAL"),"🟡 FATURAMENTO PENDENTE","🟡 EMBARQUE PENDENTE")))))))))))</f>
        <v/>
      </c>
      <c r="D3671" s="4" t="n"/>
      <c r="E3671" s="5" t="n"/>
      <c r="F3671" s="5" t="n"/>
      <c r="G3671" s="5" t="n"/>
      <c r="H3671" s="5" t="n"/>
      <c r="I3671" s="5" t="n"/>
      <c r="J3671" s="6" t="n"/>
      <c r="K3671" s="6" t="n"/>
      <c r="L3671" s="7">
        <f>IF(OR(D3671="",N(J3671)=0),"",MIN(1,N(K3671)/J3671))</f>
        <v/>
      </c>
      <c r="M3671" s="5" t="n"/>
      <c r="N3671" s="5" t="n"/>
      <c r="O3671" s="5" t="n"/>
      <c r="P3671" s="5" t="n"/>
      <c r="Q3671" s="5" t="n"/>
      <c r="R3671" s="4" t="n"/>
      <c r="S3671" s="4" t="n"/>
      <c r="T3671" s="5" t="n"/>
      <c r="U3671" s="8">
        <f>IF(AND(V3671=1,D3671&lt;&gt;""),IF(D3671&gt;=corte,TODAY()-D3671,""),"")</f>
        <v/>
      </c>
      <c r="V3671" s="8">
        <f>IF(D3671="",0,IF(OR(AND(P3671&lt;&gt;"",S3671=""),AND(N(J3671)&gt;0,N(K3671)&lt;J3671),OR(M3671="PENDENTE",M3671="PARCIAL"),OR(N3671="PENDENTE",N3671="PARCIAL")),1,0))</f>
        <v/>
      </c>
      <c r="W3671" s="8">
        <f>IF(AND(V3671=1,D3671&lt;&gt;""),IF(D3671&gt;=corte,(B3671="CRÍTICO")*1E9+(100000-D3671)*10000+10000-ROW(),""),"")</f>
        <v/>
      </c>
      <c r="X3671" s="8">
        <f>IF(AND(V3671=1,D3671=pas_data,E3671=pas_turno),10000-ROW(),"")</f>
        <v/>
      </c>
    </row>
    <row r="3672">
      <c r="A3672" s="3">
        <f>IF(D3672="","","TT-"&amp;TEXT(ROW()-1,"00000"))</f>
        <v/>
      </c>
      <c r="B3672" s="3">
        <f>IF(D3672="","",IF(V3672=0,"CONCLUÍDO",IF(D3672&lt;corte,"HISTÓRICO",IF(OR(AND(ISNUMBER(R3672),R3672&lt;TODAY()),AND(OR(N3672="PENDENTE",N3672="PARCIAL"),D3672&lt;TODAY()-1)),"CRÍTICO",IF(OR(AND(P3672&lt;&gt;"",S3672=""),AND(N3672="REALIZADO",M3672="PENDENTE"),AND(ISNUMBER(R3672),R3672=TODAY())),"ATENÇÃO",IF(N(K3672)=0,"PENDENTE","EM ANDAMENTO"))))))</f>
        <v/>
      </c>
      <c r="C3672" s="3">
        <f>IF(D3672="","",IF(V3672=0,"🟢 OK",IF(D3672&lt;corte,"⚪ HISTÓRICO (sem baixa)",IF(AND(ISNUMBER(R3672),R3672&lt;TODAY()),"🔴 PRAZO VENCIDO",IF(AND(OR(N3672="PENDENTE",N3672="PARCIAL"),D3672&lt;TODAY()-1),"🔴 EMBARQUE ATRASADO",IF(AND(N3672="REALIZADO",M3672="PENDENTE"),"🟡 EMBARCADO SEM FATURAR",IF(AND(P3672&lt;&gt;"",S3672="",OR(Q3672="",R3672="")),"🟡 PENDÊNCIA SEM RESPONSÁVEL/PRAZO",IF(AND(ISNUMBER(R3672),R3672=TODAY()),"🟡 VENCE HOJE",IF(AND(P3672&lt;&gt;"",S3672=""),"🟡 PENDÊNCIA ABERTA",IF(AND(N(J3672)&gt;0,N(K3672)&lt;J3672),"🟡 FALTA EXECUTAR",IF(OR(M3672="PENDENTE",M3672="PARCIAL"),"🟡 FATURAMENTO PENDENTE","🟡 EMBARQUE PENDENTE")))))))))))</f>
        <v/>
      </c>
      <c r="D3672" s="4" t="n"/>
      <c r="E3672" s="5" t="n"/>
      <c r="F3672" s="5" t="n"/>
      <c r="G3672" s="5" t="n"/>
      <c r="H3672" s="5" t="n"/>
      <c r="I3672" s="5" t="n"/>
      <c r="J3672" s="6" t="n"/>
      <c r="K3672" s="6" t="n"/>
      <c r="L3672" s="7">
        <f>IF(OR(D3672="",N(J3672)=0),"",MIN(1,N(K3672)/J3672))</f>
        <v/>
      </c>
      <c r="M3672" s="5" t="n"/>
      <c r="N3672" s="5" t="n"/>
      <c r="O3672" s="5" t="n"/>
      <c r="P3672" s="5" t="n"/>
      <c r="Q3672" s="5" t="n"/>
      <c r="R3672" s="4" t="n"/>
      <c r="S3672" s="4" t="n"/>
      <c r="T3672" s="5" t="n"/>
      <c r="U3672" s="8">
        <f>IF(AND(V3672=1,D3672&lt;&gt;""),IF(D3672&gt;=corte,TODAY()-D3672,""),"")</f>
        <v/>
      </c>
      <c r="V3672" s="8">
        <f>IF(D3672="",0,IF(OR(AND(P3672&lt;&gt;"",S3672=""),AND(N(J3672)&gt;0,N(K3672)&lt;J3672),OR(M3672="PENDENTE",M3672="PARCIAL"),OR(N3672="PENDENTE",N3672="PARCIAL")),1,0))</f>
        <v/>
      </c>
      <c r="W3672" s="8">
        <f>IF(AND(V3672=1,D3672&lt;&gt;""),IF(D3672&gt;=corte,(B3672="CRÍTICO")*1E9+(100000-D3672)*10000+10000-ROW(),""),"")</f>
        <v/>
      </c>
      <c r="X3672" s="8">
        <f>IF(AND(V3672=1,D3672=pas_data,E3672=pas_turno),10000-ROW(),"")</f>
        <v/>
      </c>
    </row>
    <row r="3673">
      <c r="A3673" s="3">
        <f>IF(D3673="","","TT-"&amp;TEXT(ROW()-1,"00000"))</f>
        <v/>
      </c>
      <c r="B3673" s="3">
        <f>IF(D3673="","",IF(V3673=0,"CONCLUÍDO",IF(D3673&lt;corte,"HISTÓRICO",IF(OR(AND(ISNUMBER(R3673),R3673&lt;TODAY()),AND(OR(N3673="PENDENTE",N3673="PARCIAL"),D3673&lt;TODAY()-1)),"CRÍTICO",IF(OR(AND(P3673&lt;&gt;"",S3673=""),AND(N3673="REALIZADO",M3673="PENDENTE"),AND(ISNUMBER(R3673),R3673=TODAY())),"ATENÇÃO",IF(N(K3673)=0,"PENDENTE","EM ANDAMENTO"))))))</f>
        <v/>
      </c>
      <c r="C3673" s="3">
        <f>IF(D3673="","",IF(V3673=0,"🟢 OK",IF(D3673&lt;corte,"⚪ HISTÓRICO (sem baixa)",IF(AND(ISNUMBER(R3673),R3673&lt;TODAY()),"🔴 PRAZO VENCIDO",IF(AND(OR(N3673="PENDENTE",N3673="PARCIAL"),D3673&lt;TODAY()-1),"🔴 EMBARQUE ATRASADO",IF(AND(N3673="REALIZADO",M3673="PENDENTE"),"🟡 EMBARCADO SEM FATURAR",IF(AND(P3673&lt;&gt;"",S3673="",OR(Q3673="",R3673="")),"🟡 PENDÊNCIA SEM RESPONSÁVEL/PRAZO",IF(AND(ISNUMBER(R3673),R3673=TODAY()),"🟡 VENCE HOJE",IF(AND(P3673&lt;&gt;"",S3673=""),"🟡 PENDÊNCIA ABERTA",IF(AND(N(J3673)&gt;0,N(K3673)&lt;J3673),"🟡 FALTA EXECUTAR",IF(OR(M3673="PENDENTE",M3673="PARCIAL"),"🟡 FATURAMENTO PENDENTE","🟡 EMBARQUE PENDENTE")))))))))))</f>
        <v/>
      </c>
      <c r="D3673" s="4" t="n"/>
      <c r="E3673" s="5" t="n"/>
      <c r="F3673" s="5" t="n"/>
      <c r="G3673" s="5" t="n"/>
      <c r="H3673" s="5" t="n"/>
      <c r="I3673" s="5" t="n"/>
      <c r="J3673" s="6" t="n"/>
      <c r="K3673" s="6" t="n"/>
      <c r="L3673" s="7">
        <f>IF(OR(D3673="",N(J3673)=0),"",MIN(1,N(K3673)/J3673))</f>
        <v/>
      </c>
      <c r="M3673" s="5" t="n"/>
      <c r="N3673" s="5" t="n"/>
      <c r="O3673" s="5" t="n"/>
      <c r="P3673" s="5" t="n"/>
      <c r="Q3673" s="5" t="n"/>
      <c r="R3673" s="4" t="n"/>
      <c r="S3673" s="4" t="n"/>
      <c r="T3673" s="5" t="n"/>
      <c r="U3673" s="8">
        <f>IF(AND(V3673=1,D3673&lt;&gt;""),IF(D3673&gt;=corte,TODAY()-D3673,""),"")</f>
        <v/>
      </c>
      <c r="V3673" s="8">
        <f>IF(D3673="",0,IF(OR(AND(P3673&lt;&gt;"",S3673=""),AND(N(J3673)&gt;0,N(K3673)&lt;J3673),OR(M3673="PENDENTE",M3673="PARCIAL"),OR(N3673="PENDENTE",N3673="PARCIAL")),1,0))</f>
        <v/>
      </c>
      <c r="W3673" s="8">
        <f>IF(AND(V3673=1,D3673&lt;&gt;""),IF(D3673&gt;=corte,(B3673="CRÍTICO")*1E9+(100000-D3673)*10000+10000-ROW(),""),"")</f>
        <v/>
      </c>
      <c r="X3673" s="8">
        <f>IF(AND(V3673=1,D3673=pas_data,E3673=pas_turno),10000-ROW(),"")</f>
        <v/>
      </c>
    </row>
    <row r="3674">
      <c r="A3674" s="3">
        <f>IF(D3674="","","TT-"&amp;TEXT(ROW()-1,"00000"))</f>
        <v/>
      </c>
      <c r="B3674" s="3">
        <f>IF(D3674="","",IF(V3674=0,"CONCLUÍDO",IF(D3674&lt;corte,"HISTÓRICO",IF(OR(AND(ISNUMBER(R3674),R3674&lt;TODAY()),AND(OR(N3674="PENDENTE",N3674="PARCIAL"),D3674&lt;TODAY()-1)),"CRÍTICO",IF(OR(AND(P3674&lt;&gt;"",S3674=""),AND(N3674="REALIZADO",M3674="PENDENTE"),AND(ISNUMBER(R3674),R3674=TODAY())),"ATENÇÃO",IF(N(K3674)=0,"PENDENTE","EM ANDAMENTO"))))))</f>
        <v/>
      </c>
      <c r="C3674" s="3">
        <f>IF(D3674="","",IF(V3674=0,"🟢 OK",IF(D3674&lt;corte,"⚪ HISTÓRICO (sem baixa)",IF(AND(ISNUMBER(R3674),R3674&lt;TODAY()),"🔴 PRAZO VENCIDO",IF(AND(OR(N3674="PENDENTE",N3674="PARCIAL"),D3674&lt;TODAY()-1),"🔴 EMBARQUE ATRASADO",IF(AND(N3674="REALIZADO",M3674="PENDENTE"),"🟡 EMBARCADO SEM FATURAR",IF(AND(P3674&lt;&gt;"",S3674="",OR(Q3674="",R3674="")),"🟡 PENDÊNCIA SEM RESPONSÁVEL/PRAZO",IF(AND(ISNUMBER(R3674),R3674=TODAY()),"🟡 VENCE HOJE",IF(AND(P3674&lt;&gt;"",S3674=""),"🟡 PENDÊNCIA ABERTA",IF(AND(N(J3674)&gt;0,N(K3674)&lt;J3674),"🟡 FALTA EXECUTAR",IF(OR(M3674="PENDENTE",M3674="PARCIAL"),"🟡 FATURAMENTO PENDENTE","🟡 EMBARQUE PENDENTE")))))))))))</f>
        <v/>
      </c>
      <c r="D3674" s="4" t="n"/>
      <c r="E3674" s="5" t="n"/>
      <c r="F3674" s="5" t="n"/>
      <c r="G3674" s="5" t="n"/>
      <c r="H3674" s="5" t="n"/>
      <c r="I3674" s="5" t="n"/>
      <c r="J3674" s="6" t="n"/>
      <c r="K3674" s="6" t="n"/>
      <c r="L3674" s="7">
        <f>IF(OR(D3674="",N(J3674)=0),"",MIN(1,N(K3674)/J3674))</f>
        <v/>
      </c>
      <c r="M3674" s="5" t="n"/>
      <c r="N3674" s="5" t="n"/>
      <c r="O3674" s="5" t="n"/>
      <c r="P3674" s="5" t="n"/>
      <c r="Q3674" s="5" t="n"/>
      <c r="R3674" s="4" t="n"/>
      <c r="S3674" s="4" t="n"/>
      <c r="T3674" s="5" t="n"/>
      <c r="U3674" s="8">
        <f>IF(AND(V3674=1,D3674&lt;&gt;""),IF(D3674&gt;=corte,TODAY()-D3674,""),"")</f>
        <v/>
      </c>
      <c r="V3674" s="8">
        <f>IF(D3674="",0,IF(OR(AND(P3674&lt;&gt;"",S3674=""),AND(N(J3674)&gt;0,N(K3674)&lt;J3674),OR(M3674="PENDENTE",M3674="PARCIAL"),OR(N3674="PENDENTE",N3674="PARCIAL")),1,0))</f>
        <v/>
      </c>
      <c r="W3674" s="8">
        <f>IF(AND(V3674=1,D3674&lt;&gt;""),IF(D3674&gt;=corte,(B3674="CRÍTICO")*1E9+(100000-D3674)*10000+10000-ROW(),""),"")</f>
        <v/>
      </c>
      <c r="X3674" s="8">
        <f>IF(AND(V3674=1,D3674=pas_data,E3674=pas_turno),10000-ROW(),"")</f>
        <v/>
      </c>
    </row>
    <row r="3675">
      <c r="A3675" s="3">
        <f>IF(D3675="","","TT-"&amp;TEXT(ROW()-1,"00000"))</f>
        <v/>
      </c>
      <c r="B3675" s="3">
        <f>IF(D3675="","",IF(V3675=0,"CONCLUÍDO",IF(D3675&lt;corte,"HISTÓRICO",IF(OR(AND(ISNUMBER(R3675),R3675&lt;TODAY()),AND(OR(N3675="PENDENTE",N3675="PARCIAL"),D3675&lt;TODAY()-1)),"CRÍTICO",IF(OR(AND(P3675&lt;&gt;"",S3675=""),AND(N3675="REALIZADO",M3675="PENDENTE"),AND(ISNUMBER(R3675),R3675=TODAY())),"ATENÇÃO",IF(N(K3675)=0,"PENDENTE","EM ANDAMENTO"))))))</f>
        <v/>
      </c>
      <c r="C3675" s="3">
        <f>IF(D3675="","",IF(V3675=0,"🟢 OK",IF(D3675&lt;corte,"⚪ HISTÓRICO (sem baixa)",IF(AND(ISNUMBER(R3675),R3675&lt;TODAY()),"🔴 PRAZO VENCIDO",IF(AND(OR(N3675="PENDENTE",N3675="PARCIAL"),D3675&lt;TODAY()-1),"🔴 EMBARQUE ATRASADO",IF(AND(N3675="REALIZADO",M3675="PENDENTE"),"🟡 EMBARCADO SEM FATURAR",IF(AND(P3675&lt;&gt;"",S3675="",OR(Q3675="",R3675="")),"🟡 PENDÊNCIA SEM RESPONSÁVEL/PRAZO",IF(AND(ISNUMBER(R3675),R3675=TODAY()),"🟡 VENCE HOJE",IF(AND(P3675&lt;&gt;"",S3675=""),"🟡 PENDÊNCIA ABERTA",IF(AND(N(J3675)&gt;0,N(K3675)&lt;J3675),"🟡 FALTA EXECUTAR",IF(OR(M3675="PENDENTE",M3675="PARCIAL"),"🟡 FATURAMENTO PENDENTE","🟡 EMBARQUE PENDENTE")))))))))))</f>
        <v/>
      </c>
      <c r="D3675" s="4" t="n"/>
      <c r="E3675" s="5" t="n"/>
      <c r="F3675" s="5" t="n"/>
      <c r="G3675" s="5" t="n"/>
      <c r="H3675" s="5" t="n"/>
      <c r="I3675" s="5" t="n"/>
      <c r="J3675" s="6" t="n"/>
      <c r="K3675" s="6" t="n"/>
      <c r="L3675" s="7">
        <f>IF(OR(D3675="",N(J3675)=0),"",MIN(1,N(K3675)/J3675))</f>
        <v/>
      </c>
      <c r="M3675" s="5" t="n"/>
      <c r="N3675" s="5" t="n"/>
      <c r="O3675" s="5" t="n"/>
      <c r="P3675" s="5" t="n"/>
      <c r="Q3675" s="5" t="n"/>
      <c r="R3675" s="4" t="n"/>
      <c r="S3675" s="4" t="n"/>
      <c r="T3675" s="5" t="n"/>
      <c r="U3675" s="8">
        <f>IF(AND(V3675=1,D3675&lt;&gt;""),IF(D3675&gt;=corte,TODAY()-D3675,""),"")</f>
        <v/>
      </c>
      <c r="V3675" s="8">
        <f>IF(D3675="",0,IF(OR(AND(P3675&lt;&gt;"",S3675=""),AND(N(J3675)&gt;0,N(K3675)&lt;J3675),OR(M3675="PENDENTE",M3675="PARCIAL"),OR(N3675="PENDENTE",N3675="PARCIAL")),1,0))</f>
        <v/>
      </c>
      <c r="W3675" s="8">
        <f>IF(AND(V3675=1,D3675&lt;&gt;""),IF(D3675&gt;=corte,(B3675="CRÍTICO")*1E9+(100000-D3675)*10000+10000-ROW(),""),"")</f>
        <v/>
      </c>
      <c r="X3675" s="8">
        <f>IF(AND(V3675=1,D3675=pas_data,E3675=pas_turno),10000-ROW(),"")</f>
        <v/>
      </c>
    </row>
    <row r="3676">
      <c r="A3676" s="3">
        <f>IF(D3676="","","TT-"&amp;TEXT(ROW()-1,"00000"))</f>
        <v/>
      </c>
      <c r="B3676" s="3">
        <f>IF(D3676="","",IF(V3676=0,"CONCLUÍDO",IF(D3676&lt;corte,"HISTÓRICO",IF(OR(AND(ISNUMBER(R3676),R3676&lt;TODAY()),AND(OR(N3676="PENDENTE",N3676="PARCIAL"),D3676&lt;TODAY()-1)),"CRÍTICO",IF(OR(AND(P3676&lt;&gt;"",S3676=""),AND(N3676="REALIZADO",M3676="PENDENTE"),AND(ISNUMBER(R3676),R3676=TODAY())),"ATENÇÃO",IF(N(K3676)=0,"PENDENTE","EM ANDAMENTO"))))))</f>
        <v/>
      </c>
      <c r="C3676" s="3">
        <f>IF(D3676="","",IF(V3676=0,"🟢 OK",IF(D3676&lt;corte,"⚪ HISTÓRICO (sem baixa)",IF(AND(ISNUMBER(R3676),R3676&lt;TODAY()),"🔴 PRAZO VENCIDO",IF(AND(OR(N3676="PENDENTE",N3676="PARCIAL"),D3676&lt;TODAY()-1),"🔴 EMBARQUE ATRASADO",IF(AND(N3676="REALIZADO",M3676="PENDENTE"),"🟡 EMBARCADO SEM FATURAR",IF(AND(P3676&lt;&gt;"",S3676="",OR(Q3676="",R3676="")),"🟡 PENDÊNCIA SEM RESPONSÁVEL/PRAZO",IF(AND(ISNUMBER(R3676),R3676=TODAY()),"🟡 VENCE HOJE",IF(AND(P3676&lt;&gt;"",S3676=""),"🟡 PENDÊNCIA ABERTA",IF(AND(N(J3676)&gt;0,N(K3676)&lt;J3676),"🟡 FALTA EXECUTAR",IF(OR(M3676="PENDENTE",M3676="PARCIAL"),"🟡 FATURAMENTO PENDENTE","🟡 EMBARQUE PENDENTE")))))))))))</f>
        <v/>
      </c>
      <c r="D3676" s="4" t="n"/>
      <c r="E3676" s="5" t="n"/>
      <c r="F3676" s="5" t="n"/>
      <c r="G3676" s="5" t="n"/>
      <c r="H3676" s="5" t="n"/>
      <c r="I3676" s="5" t="n"/>
      <c r="J3676" s="6" t="n"/>
      <c r="K3676" s="6" t="n"/>
      <c r="L3676" s="7">
        <f>IF(OR(D3676="",N(J3676)=0),"",MIN(1,N(K3676)/J3676))</f>
        <v/>
      </c>
      <c r="M3676" s="5" t="n"/>
      <c r="N3676" s="5" t="n"/>
      <c r="O3676" s="5" t="n"/>
      <c r="P3676" s="5" t="n"/>
      <c r="Q3676" s="5" t="n"/>
      <c r="R3676" s="4" t="n"/>
      <c r="S3676" s="4" t="n"/>
      <c r="T3676" s="5" t="n"/>
      <c r="U3676" s="8">
        <f>IF(AND(V3676=1,D3676&lt;&gt;""),IF(D3676&gt;=corte,TODAY()-D3676,""),"")</f>
        <v/>
      </c>
      <c r="V3676" s="8">
        <f>IF(D3676="",0,IF(OR(AND(P3676&lt;&gt;"",S3676=""),AND(N(J3676)&gt;0,N(K3676)&lt;J3676),OR(M3676="PENDENTE",M3676="PARCIAL"),OR(N3676="PENDENTE",N3676="PARCIAL")),1,0))</f>
        <v/>
      </c>
      <c r="W3676" s="8">
        <f>IF(AND(V3676=1,D3676&lt;&gt;""),IF(D3676&gt;=corte,(B3676="CRÍTICO")*1E9+(100000-D3676)*10000+10000-ROW(),""),"")</f>
        <v/>
      </c>
      <c r="X3676" s="8">
        <f>IF(AND(V3676=1,D3676=pas_data,E3676=pas_turno),10000-ROW(),"")</f>
        <v/>
      </c>
    </row>
    <row r="3677">
      <c r="A3677" s="3">
        <f>IF(D3677="","","TT-"&amp;TEXT(ROW()-1,"00000"))</f>
        <v/>
      </c>
      <c r="B3677" s="3">
        <f>IF(D3677="","",IF(V3677=0,"CONCLUÍDO",IF(D3677&lt;corte,"HISTÓRICO",IF(OR(AND(ISNUMBER(R3677),R3677&lt;TODAY()),AND(OR(N3677="PENDENTE",N3677="PARCIAL"),D3677&lt;TODAY()-1)),"CRÍTICO",IF(OR(AND(P3677&lt;&gt;"",S3677=""),AND(N3677="REALIZADO",M3677="PENDENTE"),AND(ISNUMBER(R3677),R3677=TODAY())),"ATENÇÃO",IF(N(K3677)=0,"PENDENTE","EM ANDAMENTO"))))))</f>
        <v/>
      </c>
      <c r="C3677" s="3">
        <f>IF(D3677="","",IF(V3677=0,"🟢 OK",IF(D3677&lt;corte,"⚪ HISTÓRICO (sem baixa)",IF(AND(ISNUMBER(R3677),R3677&lt;TODAY()),"🔴 PRAZO VENCIDO",IF(AND(OR(N3677="PENDENTE",N3677="PARCIAL"),D3677&lt;TODAY()-1),"🔴 EMBARQUE ATRASADO",IF(AND(N3677="REALIZADO",M3677="PENDENTE"),"🟡 EMBARCADO SEM FATURAR",IF(AND(P3677&lt;&gt;"",S3677="",OR(Q3677="",R3677="")),"🟡 PENDÊNCIA SEM RESPONSÁVEL/PRAZO",IF(AND(ISNUMBER(R3677),R3677=TODAY()),"🟡 VENCE HOJE",IF(AND(P3677&lt;&gt;"",S3677=""),"🟡 PENDÊNCIA ABERTA",IF(AND(N(J3677)&gt;0,N(K3677)&lt;J3677),"🟡 FALTA EXECUTAR",IF(OR(M3677="PENDENTE",M3677="PARCIAL"),"🟡 FATURAMENTO PENDENTE","🟡 EMBARQUE PENDENTE")))))))))))</f>
        <v/>
      </c>
      <c r="D3677" s="4" t="n"/>
      <c r="E3677" s="5" t="n"/>
      <c r="F3677" s="5" t="n"/>
      <c r="G3677" s="5" t="n"/>
      <c r="H3677" s="5" t="n"/>
      <c r="I3677" s="5" t="n"/>
      <c r="J3677" s="6" t="n"/>
      <c r="K3677" s="6" t="n"/>
      <c r="L3677" s="7">
        <f>IF(OR(D3677="",N(J3677)=0),"",MIN(1,N(K3677)/J3677))</f>
        <v/>
      </c>
      <c r="M3677" s="5" t="n"/>
      <c r="N3677" s="5" t="n"/>
      <c r="O3677" s="5" t="n"/>
      <c r="P3677" s="5" t="n"/>
      <c r="Q3677" s="5" t="n"/>
      <c r="R3677" s="4" t="n"/>
      <c r="S3677" s="4" t="n"/>
      <c r="T3677" s="5" t="n"/>
      <c r="U3677" s="8">
        <f>IF(AND(V3677=1,D3677&lt;&gt;""),IF(D3677&gt;=corte,TODAY()-D3677,""),"")</f>
        <v/>
      </c>
      <c r="V3677" s="8">
        <f>IF(D3677="",0,IF(OR(AND(P3677&lt;&gt;"",S3677=""),AND(N(J3677)&gt;0,N(K3677)&lt;J3677),OR(M3677="PENDENTE",M3677="PARCIAL"),OR(N3677="PENDENTE",N3677="PARCIAL")),1,0))</f>
        <v/>
      </c>
      <c r="W3677" s="8">
        <f>IF(AND(V3677=1,D3677&lt;&gt;""),IF(D3677&gt;=corte,(B3677="CRÍTICO")*1E9+(100000-D3677)*10000+10000-ROW(),""),"")</f>
        <v/>
      </c>
      <c r="X3677" s="8">
        <f>IF(AND(V3677=1,D3677=pas_data,E3677=pas_turno),10000-ROW(),"")</f>
        <v/>
      </c>
    </row>
    <row r="3678">
      <c r="A3678" s="3">
        <f>IF(D3678="","","TT-"&amp;TEXT(ROW()-1,"00000"))</f>
        <v/>
      </c>
      <c r="B3678" s="3">
        <f>IF(D3678="","",IF(V3678=0,"CONCLUÍDO",IF(D3678&lt;corte,"HISTÓRICO",IF(OR(AND(ISNUMBER(R3678),R3678&lt;TODAY()),AND(OR(N3678="PENDENTE",N3678="PARCIAL"),D3678&lt;TODAY()-1)),"CRÍTICO",IF(OR(AND(P3678&lt;&gt;"",S3678=""),AND(N3678="REALIZADO",M3678="PENDENTE"),AND(ISNUMBER(R3678),R3678=TODAY())),"ATENÇÃO",IF(N(K3678)=0,"PENDENTE","EM ANDAMENTO"))))))</f>
        <v/>
      </c>
      <c r="C3678" s="3">
        <f>IF(D3678="","",IF(V3678=0,"🟢 OK",IF(D3678&lt;corte,"⚪ HISTÓRICO (sem baixa)",IF(AND(ISNUMBER(R3678),R3678&lt;TODAY()),"🔴 PRAZO VENCIDO",IF(AND(OR(N3678="PENDENTE",N3678="PARCIAL"),D3678&lt;TODAY()-1),"🔴 EMBARQUE ATRASADO",IF(AND(N3678="REALIZADO",M3678="PENDENTE"),"🟡 EMBARCADO SEM FATURAR",IF(AND(P3678&lt;&gt;"",S3678="",OR(Q3678="",R3678="")),"🟡 PENDÊNCIA SEM RESPONSÁVEL/PRAZO",IF(AND(ISNUMBER(R3678),R3678=TODAY()),"🟡 VENCE HOJE",IF(AND(P3678&lt;&gt;"",S3678=""),"🟡 PENDÊNCIA ABERTA",IF(AND(N(J3678)&gt;0,N(K3678)&lt;J3678),"🟡 FALTA EXECUTAR",IF(OR(M3678="PENDENTE",M3678="PARCIAL"),"🟡 FATURAMENTO PENDENTE","🟡 EMBARQUE PENDENTE")))))))))))</f>
        <v/>
      </c>
      <c r="D3678" s="4" t="n"/>
      <c r="E3678" s="5" t="n"/>
      <c r="F3678" s="5" t="n"/>
      <c r="G3678" s="5" t="n"/>
      <c r="H3678" s="5" t="n"/>
      <c r="I3678" s="5" t="n"/>
      <c r="J3678" s="6" t="n"/>
      <c r="K3678" s="6" t="n"/>
      <c r="L3678" s="7">
        <f>IF(OR(D3678="",N(J3678)=0),"",MIN(1,N(K3678)/J3678))</f>
        <v/>
      </c>
      <c r="M3678" s="5" t="n"/>
      <c r="N3678" s="5" t="n"/>
      <c r="O3678" s="5" t="n"/>
      <c r="P3678" s="5" t="n"/>
      <c r="Q3678" s="5" t="n"/>
      <c r="R3678" s="4" t="n"/>
      <c r="S3678" s="4" t="n"/>
      <c r="T3678" s="5" t="n"/>
      <c r="U3678" s="8">
        <f>IF(AND(V3678=1,D3678&lt;&gt;""),IF(D3678&gt;=corte,TODAY()-D3678,""),"")</f>
        <v/>
      </c>
      <c r="V3678" s="8">
        <f>IF(D3678="",0,IF(OR(AND(P3678&lt;&gt;"",S3678=""),AND(N(J3678)&gt;0,N(K3678)&lt;J3678),OR(M3678="PENDENTE",M3678="PARCIAL"),OR(N3678="PENDENTE",N3678="PARCIAL")),1,0))</f>
        <v/>
      </c>
      <c r="W3678" s="8">
        <f>IF(AND(V3678=1,D3678&lt;&gt;""),IF(D3678&gt;=corte,(B3678="CRÍTICO")*1E9+(100000-D3678)*10000+10000-ROW(),""),"")</f>
        <v/>
      </c>
      <c r="X3678" s="8">
        <f>IF(AND(V3678=1,D3678=pas_data,E3678=pas_turno),10000-ROW(),"")</f>
        <v/>
      </c>
    </row>
    <row r="3679">
      <c r="A3679" s="3">
        <f>IF(D3679="","","TT-"&amp;TEXT(ROW()-1,"00000"))</f>
        <v/>
      </c>
      <c r="B3679" s="3">
        <f>IF(D3679="","",IF(V3679=0,"CONCLUÍDO",IF(D3679&lt;corte,"HISTÓRICO",IF(OR(AND(ISNUMBER(R3679),R3679&lt;TODAY()),AND(OR(N3679="PENDENTE",N3679="PARCIAL"),D3679&lt;TODAY()-1)),"CRÍTICO",IF(OR(AND(P3679&lt;&gt;"",S3679=""),AND(N3679="REALIZADO",M3679="PENDENTE"),AND(ISNUMBER(R3679),R3679=TODAY())),"ATENÇÃO",IF(N(K3679)=0,"PENDENTE","EM ANDAMENTO"))))))</f>
        <v/>
      </c>
      <c r="C3679" s="3">
        <f>IF(D3679="","",IF(V3679=0,"🟢 OK",IF(D3679&lt;corte,"⚪ HISTÓRICO (sem baixa)",IF(AND(ISNUMBER(R3679),R3679&lt;TODAY()),"🔴 PRAZO VENCIDO",IF(AND(OR(N3679="PENDENTE",N3679="PARCIAL"),D3679&lt;TODAY()-1),"🔴 EMBARQUE ATRASADO",IF(AND(N3679="REALIZADO",M3679="PENDENTE"),"🟡 EMBARCADO SEM FATURAR",IF(AND(P3679&lt;&gt;"",S3679="",OR(Q3679="",R3679="")),"🟡 PENDÊNCIA SEM RESPONSÁVEL/PRAZO",IF(AND(ISNUMBER(R3679),R3679=TODAY()),"🟡 VENCE HOJE",IF(AND(P3679&lt;&gt;"",S3679=""),"🟡 PENDÊNCIA ABERTA",IF(AND(N(J3679)&gt;0,N(K3679)&lt;J3679),"🟡 FALTA EXECUTAR",IF(OR(M3679="PENDENTE",M3679="PARCIAL"),"🟡 FATURAMENTO PENDENTE","🟡 EMBARQUE PENDENTE")))))))))))</f>
        <v/>
      </c>
      <c r="D3679" s="4" t="n"/>
      <c r="E3679" s="5" t="n"/>
      <c r="F3679" s="5" t="n"/>
      <c r="G3679" s="5" t="n"/>
      <c r="H3679" s="5" t="n"/>
      <c r="I3679" s="5" t="n"/>
      <c r="J3679" s="6" t="n"/>
      <c r="K3679" s="6" t="n"/>
      <c r="L3679" s="7">
        <f>IF(OR(D3679="",N(J3679)=0),"",MIN(1,N(K3679)/J3679))</f>
        <v/>
      </c>
      <c r="M3679" s="5" t="n"/>
      <c r="N3679" s="5" t="n"/>
      <c r="O3679" s="5" t="n"/>
      <c r="P3679" s="5" t="n"/>
      <c r="Q3679" s="5" t="n"/>
      <c r="R3679" s="4" t="n"/>
      <c r="S3679" s="4" t="n"/>
      <c r="T3679" s="5" t="n"/>
      <c r="U3679" s="8">
        <f>IF(AND(V3679=1,D3679&lt;&gt;""),IF(D3679&gt;=corte,TODAY()-D3679,""),"")</f>
        <v/>
      </c>
      <c r="V3679" s="8">
        <f>IF(D3679="",0,IF(OR(AND(P3679&lt;&gt;"",S3679=""),AND(N(J3679)&gt;0,N(K3679)&lt;J3679),OR(M3679="PENDENTE",M3679="PARCIAL"),OR(N3679="PENDENTE",N3679="PARCIAL")),1,0))</f>
        <v/>
      </c>
      <c r="W3679" s="8">
        <f>IF(AND(V3679=1,D3679&lt;&gt;""),IF(D3679&gt;=corte,(B3679="CRÍTICO")*1E9+(100000-D3679)*10000+10000-ROW(),""),"")</f>
        <v/>
      </c>
      <c r="X3679" s="8">
        <f>IF(AND(V3679=1,D3679=pas_data,E3679=pas_turno),10000-ROW(),"")</f>
        <v/>
      </c>
    </row>
    <row r="3680">
      <c r="A3680" s="3">
        <f>IF(D3680="","","TT-"&amp;TEXT(ROW()-1,"00000"))</f>
        <v/>
      </c>
      <c r="B3680" s="3">
        <f>IF(D3680="","",IF(V3680=0,"CONCLUÍDO",IF(D3680&lt;corte,"HISTÓRICO",IF(OR(AND(ISNUMBER(R3680),R3680&lt;TODAY()),AND(OR(N3680="PENDENTE",N3680="PARCIAL"),D3680&lt;TODAY()-1)),"CRÍTICO",IF(OR(AND(P3680&lt;&gt;"",S3680=""),AND(N3680="REALIZADO",M3680="PENDENTE"),AND(ISNUMBER(R3680),R3680=TODAY())),"ATENÇÃO",IF(N(K3680)=0,"PENDENTE","EM ANDAMENTO"))))))</f>
        <v/>
      </c>
      <c r="C3680" s="3">
        <f>IF(D3680="","",IF(V3680=0,"🟢 OK",IF(D3680&lt;corte,"⚪ HISTÓRICO (sem baixa)",IF(AND(ISNUMBER(R3680),R3680&lt;TODAY()),"🔴 PRAZO VENCIDO",IF(AND(OR(N3680="PENDENTE",N3680="PARCIAL"),D3680&lt;TODAY()-1),"🔴 EMBARQUE ATRASADO",IF(AND(N3680="REALIZADO",M3680="PENDENTE"),"🟡 EMBARCADO SEM FATURAR",IF(AND(P3680&lt;&gt;"",S3680="",OR(Q3680="",R3680="")),"🟡 PENDÊNCIA SEM RESPONSÁVEL/PRAZO",IF(AND(ISNUMBER(R3680),R3680=TODAY()),"🟡 VENCE HOJE",IF(AND(P3680&lt;&gt;"",S3680=""),"🟡 PENDÊNCIA ABERTA",IF(AND(N(J3680)&gt;0,N(K3680)&lt;J3680),"🟡 FALTA EXECUTAR",IF(OR(M3680="PENDENTE",M3680="PARCIAL"),"🟡 FATURAMENTO PENDENTE","🟡 EMBARQUE PENDENTE")))))))))))</f>
        <v/>
      </c>
      <c r="D3680" s="4" t="n"/>
      <c r="E3680" s="5" t="n"/>
      <c r="F3680" s="5" t="n"/>
      <c r="G3680" s="5" t="n"/>
      <c r="H3680" s="5" t="n"/>
      <c r="I3680" s="5" t="n"/>
      <c r="J3680" s="6" t="n"/>
      <c r="K3680" s="6" t="n"/>
      <c r="L3680" s="7">
        <f>IF(OR(D3680="",N(J3680)=0),"",MIN(1,N(K3680)/J3680))</f>
        <v/>
      </c>
      <c r="M3680" s="5" t="n"/>
      <c r="N3680" s="5" t="n"/>
      <c r="O3680" s="5" t="n"/>
      <c r="P3680" s="5" t="n"/>
      <c r="Q3680" s="5" t="n"/>
      <c r="R3680" s="4" t="n"/>
      <c r="S3680" s="4" t="n"/>
      <c r="T3680" s="5" t="n"/>
      <c r="U3680" s="8">
        <f>IF(AND(V3680=1,D3680&lt;&gt;""),IF(D3680&gt;=corte,TODAY()-D3680,""),"")</f>
        <v/>
      </c>
      <c r="V3680" s="8">
        <f>IF(D3680="",0,IF(OR(AND(P3680&lt;&gt;"",S3680=""),AND(N(J3680)&gt;0,N(K3680)&lt;J3680),OR(M3680="PENDENTE",M3680="PARCIAL"),OR(N3680="PENDENTE",N3680="PARCIAL")),1,0))</f>
        <v/>
      </c>
      <c r="W3680" s="8">
        <f>IF(AND(V3680=1,D3680&lt;&gt;""),IF(D3680&gt;=corte,(B3680="CRÍTICO")*1E9+(100000-D3680)*10000+10000-ROW(),""),"")</f>
        <v/>
      </c>
      <c r="X3680" s="8">
        <f>IF(AND(V3680=1,D3680=pas_data,E3680=pas_turno),10000-ROW(),"")</f>
        <v/>
      </c>
    </row>
    <row r="3681">
      <c r="A3681" s="3">
        <f>IF(D3681="","","TT-"&amp;TEXT(ROW()-1,"00000"))</f>
        <v/>
      </c>
      <c r="B3681" s="3">
        <f>IF(D3681="","",IF(V3681=0,"CONCLUÍDO",IF(D3681&lt;corte,"HISTÓRICO",IF(OR(AND(ISNUMBER(R3681),R3681&lt;TODAY()),AND(OR(N3681="PENDENTE",N3681="PARCIAL"),D3681&lt;TODAY()-1)),"CRÍTICO",IF(OR(AND(P3681&lt;&gt;"",S3681=""),AND(N3681="REALIZADO",M3681="PENDENTE"),AND(ISNUMBER(R3681),R3681=TODAY())),"ATENÇÃO",IF(N(K3681)=0,"PENDENTE","EM ANDAMENTO"))))))</f>
        <v/>
      </c>
      <c r="C3681" s="3">
        <f>IF(D3681="","",IF(V3681=0,"🟢 OK",IF(D3681&lt;corte,"⚪ HISTÓRICO (sem baixa)",IF(AND(ISNUMBER(R3681),R3681&lt;TODAY()),"🔴 PRAZO VENCIDO",IF(AND(OR(N3681="PENDENTE",N3681="PARCIAL"),D3681&lt;TODAY()-1),"🔴 EMBARQUE ATRASADO",IF(AND(N3681="REALIZADO",M3681="PENDENTE"),"🟡 EMBARCADO SEM FATURAR",IF(AND(P3681&lt;&gt;"",S3681="",OR(Q3681="",R3681="")),"🟡 PENDÊNCIA SEM RESPONSÁVEL/PRAZO",IF(AND(ISNUMBER(R3681),R3681=TODAY()),"🟡 VENCE HOJE",IF(AND(P3681&lt;&gt;"",S3681=""),"🟡 PENDÊNCIA ABERTA",IF(AND(N(J3681)&gt;0,N(K3681)&lt;J3681),"🟡 FALTA EXECUTAR",IF(OR(M3681="PENDENTE",M3681="PARCIAL"),"🟡 FATURAMENTO PENDENTE","🟡 EMBARQUE PENDENTE")))))))))))</f>
        <v/>
      </c>
      <c r="D3681" s="4" t="n"/>
      <c r="E3681" s="5" t="n"/>
      <c r="F3681" s="5" t="n"/>
      <c r="G3681" s="5" t="n"/>
      <c r="H3681" s="5" t="n"/>
      <c r="I3681" s="5" t="n"/>
      <c r="J3681" s="6" t="n"/>
      <c r="K3681" s="6" t="n"/>
      <c r="L3681" s="7">
        <f>IF(OR(D3681="",N(J3681)=0),"",MIN(1,N(K3681)/J3681))</f>
        <v/>
      </c>
      <c r="M3681" s="5" t="n"/>
      <c r="N3681" s="5" t="n"/>
      <c r="O3681" s="5" t="n"/>
      <c r="P3681" s="5" t="n"/>
      <c r="Q3681" s="5" t="n"/>
      <c r="R3681" s="4" t="n"/>
      <c r="S3681" s="4" t="n"/>
      <c r="T3681" s="5" t="n"/>
      <c r="U3681" s="8">
        <f>IF(AND(V3681=1,D3681&lt;&gt;""),IF(D3681&gt;=corte,TODAY()-D3681,""),"")</f>
        <v/>
      </c>
      <c r="V3681" s="8">
        <f>IF(D3681="",0,IF(OR(AND(P3681&lt;&gt;"",S3681=""),AND(N(J3681)&gt;0,N(K3681)&lt;J3681),OR(M3681="PENDENTE",M3681="PARCIAL"),OR(N3681="PENDENTE",N3681="PARCIAL")),1,0))</f>
        <v/>
      </c>
      <c r="W3681" s="8">
        <f>IF(AND(V3681=1,D3681&lt;&gt;""),IF(D3681&gt;=corte,(B3681="CRÍTICO")*1E9+(100000-D3681)*10000+10000-ROW(),""),"")</f>
        <v/>
      </c>
      <c r="X3681" s="8">
        <f>IF(AND(V3681=1,D3681=pas_data,E3681=pas_turno),10000-ROW(),"")</f>
        <v/>
      </c>
    </row>
    <row r="3682">
      <c r="A3682" s="3">
        <f>IF(D3682="","","TT-"&amp;TEXT(ROW()-1,"00000"))</f>
        <v/>
      </c>
      <c r="B3682" s="3">
        <f>IF(D3682="","",IF(V3682=0,"CONCLUÍDO",IF(D3682&lt;corte,"HISTÓRICO",IF(OR(AND(ISNUMBER(R3682),R3682&lt;TODAY()),AND(OR(N3682="PENDENTE",N3682="PARCIAL"),D3682&lt;TODAY()-1)),"CRÍTICO",IF(OR(AND(P3682&lt;&gt;"",S3682=""),AND(N3682="REALIZADO",M3682="PENDENTE"),AND(ISNUMBER(R3682),R3682=TODAY())),"ATENÇÃO",IF(N(K3682)=0,"PENDENTE","EM ANDAMENTO"))))))</f>
        <v/>
      </c>
      <c r="C3682" s="3">
        <f>IF(D3682="","",IF(V3682=0,"🟢 OK",IF(D3682&lt;corte,"⚪ HISTÓRICO (sem baixa)",IF(AND(ISNUMBER(R3682),R3682&lt;TODAY()),"🔴 PRAZO VENCIDO",IF(AND(OR(N3682="PENDENTE",N3682="PARCIAL"),D3682&lt;TODAY()-1),"🔴 EMBARQUE ATRASADO",IF(AND(N3682="REALIZADO",M3682="PENDENTE"),"🟡 EMBARCADO SEM FATURAR",IF(AND(P3682&lt;&gt;"",S3682="",OR(Q3682="",R3682="")),"🟡 PENDÊNCIA SEM RESPONSÁVEL/PRAZO",IF(AND(ISNUMBER(R3682),R3682=TODAY()),"🟡 VENCE HOJE",IF(AND(P3682&lt;&gt;"",S3682=""),"🟡 PENDÊNCIA ABERTA",IF(AND(N(J3682)&gt;0,N(K3682)&lt;J3682),"🟡 FALTA EXECUTAR",IF(OR(M3682="PENDENTE",M3682="PARCIAL"),"🟡 FATURAMENTO PENDENTE","🟡 EMBARQUE PENDENTE")))))))))))</f>
        <v/>
      </c>
      <c r="D3682" s="4" t="n"/>
      <c r="E3682" s="5" t="n"/>
      <c r="F3682" s="5" t="n"/>
      <c r="G3682" s="5" t="n"/>
      <c r="H3682" s="5" t="n"/>
      <c r="I3682" s="5" t="n"/>
      <c r="J3682" s="6" t="n"/>
      <c r="K3682" s="6" t="n"/>
      <c r="L3682" s="7">
        <f>IF(OR(D3682="",N(J3682)=0),"",MIN(1,N(K3682)/J3682))</f>
        <v/>
      </c>
      <c r="M3682" s="5" t="n"/>
      <c r="N3682" s="5" t="n"/>
      <c r="O3682" s="5" t="n"/>
      <c r="P3682" s="5" t="n"/>
      <c r="Q3682" s="5" t="n"/>
      <c r="R3682" s="4" t="n"/>
      <c r="S3682" s="4" t="n"/>
      <c r="T3682" s="5" t="n"/>
      <c r="U3682" s="8">
        <f>IF(AND(V3682=1,D3682&lt;&gt;""),IF(D3682&gt;=corte,TODAY()-D3682,""),"")</f>
        <v/>
      </c>
      <c r="V3682" s="8">
        <f>IF(D3682="",0,IF(OR(AND(P3682&lt;&gt;"",S3682=""),AND(N(J3682)&gt;0,N(K3682)&lt;J3682),OR(M3682="PENDENTE",M3682="PARCIAL"),OR(N3682="PENDENTE",N3682="PARCIAL")),1,0))</f>
        <v/>
      </c>
      <c r="W3682" s="8">
        <f>IF(AND(V3682=1,D3682&lt;&gt;""),IF(D3682&gt;=corte,(B3682="CRÍTICO")*1E9+(100000-D3682)*10000+10000-ROW(),""),"")</f>
        <v/>
      </c>
      <c r="X3682" s="8">
        <f>IF(AND(V3682=1,D3682=pas_data,E3682=pas_turno),10000-ROW(),"")</f>
        <v/>
      </c>
    </row>
    <row r="3683">
      <c r="A3683" s="3">
        <f>IF(D3683="","","TT-"&amp;TEXT(ROW()-1,"00000"))</f>
        <v/>
      </c>
      <c r="B3683" s="3">
        <f>IF(D3683="","",IF(V3683=0,"CONCLUÍDO",IF(D3683&lt;corte,"HISTÓRICO",IF(OR(AND(ISNUMBER(R3683),R3683&lt;TODAY()),AND(OR(N3683="PENDENTE",N3683="PARCIAL"),D3683&lt;TODAY()-1)),"CRÍTICO",IF(OR(AND(P3683&lt;&gt;"",S3683=""),AND(N3683="REALIZADO",M3683="PENDENTE"),AND(ISNUMBER(R3683),R3683=TODAY())),"ATENÇÃO",IF(N(K3683)=0,"PENDENTE","EM ANDAMENTO"))))))</f>
        <v/>
      </c>
      <c r="C3683" s="3">
        <f>IF(D3683="","",IF(V3683=0,"🟢 OK",IF(D3683&lt;corte,"⚪ HISTÓRICO (sem baixa)",IF(AND(ISNUMBER(R3683),R3683&lt;TODAY()),"🔴 PRAZO VENCIDO",IF(AND(OR(N3683="PENDENTE",N3683="PARCIAL"),D3683&lt;TODAY()-1),"🔴 EMBARQUE ATRASADO",IF(AND(N3683="REALIZADO",M3683="PENDENTE"),"🟡 EMBARCADO SEM FATURAR",IF(AND(P3683&lt;&gt;"",S3683="",OR(Q3683="",R3683="")),"🟡 PENDÊNCIA SEM RESPONSÁVEL/PRAZO",IF(AND(ISNUMBER(R3683),R3683=TODAY()),"🟡 VENCE HOJE",IF(AND(P3683&lt;&gt;"",S3683=""),"🟡 PENDÊNCIA ABERTA",IF(AND(N(J3683)&gt;0,N(K3683)&lt;J3683),"🟡 FALTA EXECUTAR",IF(OR(M3683="PENDENTE",M3683="PARCIAL"),"🟡 FATURAMENTO PENDENTE","🟡 EMBARQUE PENDENTE")))))))))))</f>
        <v/>
      </c>
      <c r="D3683" s="4" t="n"/>
      <c r="E3683" s="5" t="n"/>
      <c r="F3683" s="5" t="n"/>
      <c r="G3683" s="5" t="n"/>
      <c r="H3683" s="5" t="n"/>
      <c r="I3683" s="5" t="n"/>
      <c r="J3683" s="6" t="n"/>
      <c r="K3683" s="6" t="n"/>
      <c r="L3683" s="7">
        <f>IF(OR(D3683="",N(J3683)=0),"",MIN(1,N(K3683)/J3683))</f>
        <v/>
      </c>
      <c r="M3683" s="5" t="n"/>
      <c r="N3683" s="5" t="n"/>
      <c r="O3683" s="5" t="n"/>
      <c r="P3683" s="5" t="n"/>
      <c r="Q3683" s="5" t="n"/>
      <c r="R3683" s="4" t="n"/>
      <c r="S3683" s="4" t="n"/>
      <c r="T3683" s="5" t="n"/>
      <c r="U3683" s="8">
        <f>IF(AND(V3683=1,D3683&lt;&gt;""),IF(D3683&gt;=corte,TODAY()-D3683,""),"")</f>
        <v/>
      </c>
      <c r="V3683" s="8">
        <f>IF(D3683="",0,IF(OR(AND(P3683&lt;&gt;"",S3683=""),AND(N(J3683)&gt;0,N(K3683)&lt;J3683),OR(M3683="PENDENTE",M3683="PARCIAL"),OR(N3683="PENDENTE",N3683="PARCIAL")),1,0))</f>
        <v/>
      </c>
      <c r="W3683" s="8">
        <f>IF(AND(V3683=1,D3683&lt;&gt;""),IF(D3683&gt;=corte,(B3683="CRÍTICO")*1E9+(100000-D3683)*10000+10000-ROW(),""),"")</f>
        <v/>
      </c>
      <c r="X3683" s="8">
        <f>IF(AND(V3683=1,D3683=pas_data,E3683=pas_turno),10000-ROW(),"")</f>
        <v/>
      </c>
    </row>
    <row r="3684">
      <c r="A3684" s="3">
        <f>IF(D3684="","","TT-"&amp;TEXT(ROW()-1,"00000"))</f>
        <v/>
      </c>
      <c r="B3684" s="3">
        <f>IF(D3684="","",IF(V3684=0,"CONCLUÍDO",IF(D3684&lt;corte,"HISTÓRICO",IF(OR(AND(ISNUMBER(R3684),R3684&lt;TODAY()),AND(OR(N3684="PENDENTE",N3684="PARCIAL"),D3684&lt;TODAY()-1)),"CRÍTICO",IF(OR(AND(P3684&lt;&gt;"",S3684=""),AND(N3684="REALIZADO",M3684="PENDENTE"),AND(ISNUMBER(R3684),R3684=TODAY())),"ATENÇÃO",IF(N(K3684)=0,"PENDENTE","EM ANDAMENTO"))))))</f>
        <v/>
      </c>
      <c r="C3684" s="3">
        <f>IF(D3684="","",IF(V3684=0,"🟢 OK",IF(D3684&lt;corte,"⚪ HISTÓRICO (sem baixa)",IF(AND(ISNUMBER(R3684),R3684&lt;TODAY()),"🔴 PRAZO VENCIDO",IF(AND(OR(N3684="PENDENTE",N3684="PARCIAL"),D3684&lt;TODAY()-1),"🔴 EMBARQUE ATRASADO",IF(AND(N3684="REALIZADO",M3684="PENDENTE"),"🟡 EMBARCADO SEM FATURAR",IF(AND(P3684&lt;&gt;"",S3684="",OR(Q3684="",R3684="")),"🟡 PENDÊNCIA SEM RESPONSÁVEL/PRAZO",IF(AND(ISNUMBER(R3684),R3684=TODAY()),"🟡 VENCE HOJE",IF(AND(P3684&lt;&gt;"",S3684=""),"🟡 PENDÊNCIA ABERTA",IF(AND(N(J3684)&gt;0,N(K3684)&lt;J3684),"🟡 FALTA EXECUTAR",IF(OR(M3684="PENDENTE",M3684="PARCIAL"),"🟡 FATURAMENTO PENDENTE","🟡 EMBARQUE PENDENTE")))))))))))</f>
        <v/>
      </c>
      <c r="D3684" s="4" t="n"/>
      <c r="E3684" s="5" t="n"/>
      <c r="F3684" s="5" t="n"/>
      <c r="G3684" s="5" t="n"/>
      <c r="H3684" s="5" t="n"/>
      <c r="I3684" s="5" t="n"/>
      <c r="J3684" s="6" t="n"/>
      <c r="K3684" s="6" t="n"/>
      <c r="L3684" s="7">
        <f>IF(OR(D3684="",N(J3684)=0),"",MIN(1,N(K3684)/J3684))</f>
        <v/>
      </c>
      <c r="M3684" s="5" t="n"/>
      <c r="N3684" s="5" t="n"/>
      <c r="O3684" s="5" t="n"/>
      <c r="P3684" s="5" t="n"/>
      <c r="Q3684" s="5" t="n"/>
      <c r="R3684" s="4" t="n"/>
      <c r="S3684" s="4" t="n"/>
      <c r="T3684" s="5" t="n"/>
      <c r="U3684" s="8">
        <f>IF(AND(V3684=1,D3684&lt;&gt;""),IF(D3684&gt;=corte,TODAY()-D3684,""),"")</f>
        <v/>
      </c>
      <c r="V3684" s="8">
        <f>IF(D3684="",0,IF(OR(AND(P3684&lt;&gt;"",S3684=""),AND(N(J3684)&gt;0,N(K3684)&lt;J3684),OR(M3684="PENDENTE",M3684="PARCIAL"),OR(N3684="PENDENTE",N3684="PARCIAL")),1,0))</f>
        <v/>
      </c>
      <c r="W3684" s="8">
        <f>IF(AND(V3684=1,D3684&lt;&gt;""),IF(D3684&gt;=corte,(B3684="CRÍTICO")*1E9+(100000-D3684)*10000+10000-ROW(),""),"")</f>
        <v/>
      </c>
      <c r="X3684" s="8">
        <f>IF(AND(V3684=1,D3684=pas_data,E3684=pas_turno),10000-ROW(),"")</f>
        <v/>
      </c>
    </row>
    <row r="3685">
      <c r="A3685" s="3">
        <f>IF(D3685="","","TT-"&amp;TEXT(ROW()-1,"00000"))</f>
        <v/>
      </c>
      <c r="B3685" s="3">
        <f>IF(D3685="","",IF(V3685=0,"CONCLUÍDO",IF(D3685&lt;corte,"HISTÓRICO",IF(OR(AND(ISNUMBER(R3685),R3685&lt;TODAY()),AND(OR(N3685="PENDENTE",N3685="PARCIAL"),D3685&lt;TODAY()-1)),"CRÍTICO",IF(OR(AND(P3685&lt;&gt;"",S3685=""),AND(N3685="REALIZADO",M3685="PENDENTE"),AND(ISNUMBER(R3685),R3685=TODAY())),"ATENÇÃO",IF(N(K3685)=0,"PENDENTE","EM ANDAMENTO"))))))</f>
        <v/>
      </c>
      <c r="C3685" s="3">
        <f>IF(D3685="","",IF(V3685=0,"🟢 OK",IF(D3685&lt;corte,"⚪ HISTÓRICO (sem baixa)",IF(AND(ISNUMBER(R3685),R3685&lt;TODAY()),"🔴 PRAZO VENCIDO",IF(AND(OR(N3685="PENDENTE",N3685="PARCIAL"),D3685&lt;TODAY()-1),"🔴 EMBARQUE ATRASADO",IF(AND(N3685="REALIZADO",M3685="PENDENTE"),"🟡 EMBARCADO SEM FATURAR",IF(AND(P3685&lt;&gt;"",S3685="",OR(Q3685="",R3685="")),"🟡 PENDÊNCIA SEM RESPONSÁVEL/PRAZO",IF(AND(ISNUMBER(R3685),R3685=TODAY()),"🟡 VENCE HOJE",IF(AND(P3685&lt;&gt;"",S3685=""),"🟡 PENDÊNCIA ABERTA",IF(AND(N(J3685)&gt;0,N(K3685)&lt;J3685),"🟡 FALTA EXECUTAR",IF(OR(M3685="PENDENTE",M3685="PARCIAL"),"🟡 FATURAMENTO PENDENTE","🟡 EMBARQUE PENDENTE")))))))))))</f>
        <v/>
      </c>
      <c r="D3685" s="4" t="n"/>
      <c r="E3685" s="5" t="n"/>
      <c r="F3685" s="5" t="n"/>
      <c r="G3685" s="5" t="n"/>
      <c r="H3685" s="5" t="n"/>
      <c r="I3685" s="5" t="n"/>
      <c r="J3685" s="6" t="n"/>
      <c r="K3685" s="6" t="n"/>
      <c r="L3685" s="7">
        <f>IF(OR(D3685="",N(J3685)=0),"",MIN(1,N(K3685)/J3685))</f>
        <v/>
      </c>
      <c r="M3685" s="5" t="n"/>
      <c r="N3685" s="5" t="n"/>
      <c r="O3685" s="5" t="n"/>
      <c r="P3685" s="5" t="n"/>
      <c r="Q3685" s="5" t="n"/>
      <c r="R3685" s="4" t="n"/>
      <c r="S3685" s="4" t="n"/>
      <c r="T3685" s="5" t="n"/>
      <c r="U3685" s="8">
        <f>IF(AND(V3685=1,D3685&lt;&gt;""),IF(D3685&gt;=corte,TODAY()-D3685,""),"")</f>
        <v/>
      </c>
      <c r="V3685" s="8">
        <f>IF(D3685="",0,IF(OR(AND(P3685&lt;&gt;"",S3685=""),AND(N(J3685)&gt;0,N(K3685)&lt;J3685),OR(M3685="PENDENTE",M3685="PARCIAL"),OR(N3685="PENDENTE",N3685="PARCIAL")),1,0))</f>
        <v/>
      </c>
      <c r="W3685" s="8">
        <f>IF(AND(V3685=1,D3685&lt;&gt;""),IF(D3685&gt;=corte,(B3685="CRÍTICO")*1E9+(100000-D3685)*10000+10000-ROW(),""),"")</f>
        <v/>
      </c>
      <c r="X3685" s="8">
        <f>IF(AND(V3685=1,D3685=pas_data,E3685=pas_turno),10000-ROW(),"")</f>
        <v/>
      </c>
    </row>
    <row r="3686">
      <c r="A3686" s="3">
        <f>IF(D3686="","","TT-"&amp;TEXT(ROW()-1,"00000"))</f>
        <v/>
      </c>
      <c r="B3686" s="3">
        <f>IF(D3686="","",IF(V3686=0,"CONCLUÍDO",IF(D3686&lt;corte,"HISTÓRICO",IF(OR(AND(ISNUMBER(R3686),R3686&lt;TODAY()),AND(OR(N3686="PENDENTE",N3686="PARCIAL"),D3686&lt;TODAY()-1)),"CRÍTICO",IF(OR(AND(P3686&lt;&gt;"",S3686=""),AND(N3686="REALIZADO",M3686="PENDENTE"),AND(ISNUMBER(R3686),R3686=TODAY())),"ATENÇÃO",IF(N(K3686)=0,"PENDENTE","EM ANDAMENTO"))))))</f>
        <v/>
      </c>
      <c r="C3686" s="3">
        <f>IF(D3686="","",IF(V3686=0,"🟢 OK",IF(D3686&lt;corte,"⚪ HISTÓRICO (sem baixa)",IF(AND(ISNUMBER(R3686),R3686&lt;TODAY()),"🔴 PRAZO VENCIDO",IF(AND(OR(N3686="PENDENTE",N3686="PARCIAL"),D3686&lt;TODAY()-1),"🔴 EMBARQUE ATRASADO",IF(AND(N3686="REALIZADO",M3686="PENDENTE"),"🟡 EMBARCADO SEM FATURAR",IF(AND(P3686&lt;&gt;"",S3686="",OR(Q3686="",R3686="")),"🟡 PENDÊNCIA SEM RESPONSÁVEL/PRAZO",IF(AND(ISNUMBER(R3686),R3686=TODAY()),"🟡 VENCE HOJE",IF(AND(P3686&lt;&gt;"",S3686=""),"🟡 PENDÊNCIA ABERTA",IF(AND(N(J3686)&gt;0,N(K3686)&lt;J3686),"🟡 FALTA EXECUTAR",IF(OR(M3686="PENDENTE",M3686="PARCIAL"),"🟡 FATURAMENTO PENDENTE","🟡 EMBARQUE PENDENTE")))))))))))</f>
        <v/>
      </c>
      <c r="D3686" s="4" t="n"/>
      <c r="E3686" s="5" t="n"/>
      <c r="F3686" s="5" t="n"/>
      <c r="G3686" s="5" t="n"/>
      <c r="H3686" s="5" t="n"/>
      <c r="I3686" s="5" t="n"/>
      <c r="J3686" s="6" t="n"/>
      <c r="K3686" s="6" t="n"/>
      <c r="L3686" s="7">
        <f>IF(OR(D3686="",N(J3686)=0),"",MIN(1,N(K3686)/J3686))</f>
        <v/>
      </c>
      <c r="M3686" s="5" t="n"/>
      <c r="N3686" s="5" t="n"/>
      <c r="O3686" s="5" t="n"/>
      <c r="P3686" s="5" t="n"/>
      <c r="Q3686" s="5" t="n"/>
      <c r="R3686" s="4" t="n"/>
      <c r="S3686" s="4" t="n"/>
      <c r="T3686" s="5" t="n"/>
      <c r="U3686" s="8">
        <f>IF(AND(V3686=1,D3686&lt;&gt;""),IF(D3686&gt;=corte,TODAY()-D3686,""),"")</f>
        <v/>
      </c>
      <c r="V3686" s="8">
        <f>IF(D3686="",0,IF(OR(AND(P3686&lt;&gt;"",S3686=""),AND(N(J3686)&gt;0,N(K3686)&lt;J3686),OR(M3686="PENDENTE",M3686="PARCIAL"),OR(N3686="PENDENTE",N3686="PARCIAL")),1,0))</f>
        <v/>
      </c>
      <c r="W3686" s="8">
        <f>IF(AND(V3686=1,D3686&lt;&gt;""),IF(D3686&gt;=corte,(B3686="CRÍTICO")*1E9+(100000-D3686)*10000+10000-ROW(),""),"")</f>
        <v/>
      </c>
      <c r="X3686" s="8">
        <f>IF(AND(V3686=1,D3686=pas_data,E3686=pas_turno),10000-ROW(),"")</f>
        <v/>
      </c>
    </row>
    <row r="3687">
      <c r="A3687" s="3">
        <f>IF(D3687="","","TT-"&amp;TEXT(ROW()-1,"00000"))</f>
        <v/>
      </c>
      <c r="B3687" s="3">
        <f>IF(D3687="","",IF(V3687=0,"CONCLUÍDO",IF(D3687&lt;corte,"HISTÓRICO",IF(OR(AND(ISNUMBER(R3687),R3687&lt;TODAY()),AND(OR(N3687="PENDENTE",N3687="PARCIAL"),D3687&lt;TODAY()-1)),"CRÍTICO",IF(OR(AND(P3687&lt;&gt;"",S3687=""),AND(N3687="REALIZADO",M3687="PENDENTE"),AND(ISNUMBER(R3687),R3687=TODAY())),"ATENÇÃO",IF(N(K3687)=0,"PENDENTE","EM ANDAMENTO"))))))</f>
        <v/>
      </c>
      <c r="C3687" s="3">
        <f>IF(D3687="","",IF(V3687=0,"🟢 OK",IF(D3687&lt;corte,"⚪ HISTÓRICO (sem baixa)",IF(AND(ISNUMBER(R3687),R3687&lt;TODAY()),"🔴 PRAZO VENCIDO",IF(AND(OR(N3687="PENDENTE",N3687="PARCIAL"),D3687&lt;TODAY()-1),"🔴 EMBARQUE ATRASADO",IF(AND(N3687="REALIZADO",M3687="PENDENTE"),"🟡 EMBARCADO SEM FATURAR",IF(AND(P3687&lt;&gt;"",S3687="",OR(Q3687="",R3687="")),"🟡 PENDÊNCIA SEM RESPONSÁVEL/PRAZO",IF(AND(ISNUMBER(R3687),R3687=TODAY()),"🟡 VENCE HOJE",IF(AND(P3687&lt;&gt;"",S3687=""),"🟡 PENDÊNCIA ABERTA",IF(AND(N(J3687)&gt;0,N(K3687)&lt;J3687),"🟡 FALTA EXECUTAR",IF(OR(M3687="PENDENTE",M3687="PARCIAL"),"🟡 FATURAMENTO PENDENTE","🟡 EMBARQUE PENDENTE")))))))))))</f>
        <v/>
      </c>
      <c r="D3687" s="4" t="n"/>
      <c r="E3687" s="5" t="n"/>
      <c r="F3687" s="5" t="n"/>
      <c r="G3687" s="5" t="n"/>
      <c r="H3687" s="5" t="n"/>
      <c r="I3687" s="5" t="n"/>
      <c r="J3687" s="6" t="n"/>
      <c r="K3687" s="6" t="n"/>
      <c r="L3687" s="7">
        <f>IF(OR(D3687="",N(J3687)=0),"",MIN(1,N(K3687)/J3687))</f>
        <v/>
      </c>
      <c r="M3687" s="5" t="n"/>
      <c r="N3687" s="5" t="n"/>
      <c r="O3687" s="5" t="n"/>
      <c r="P3687" s="5" t="n"/>
      <c r="Q3687" s="5" t="n"/>
      <c r="R3687" s="4" t="n"/>
      <c r="S3687" s="4" t="n"/>
      <c r="T3687" s="5" t="n"/>
      <c r="U3687" s="8">
        <f>IF(AND(V3687=1,D3687&lt;&gt;""),IF(D3687&gt;=corte,TODAY()-D3687,""),"")</f>
        <v/>
      </c>
      <c r="V3687" s="8">
        <f>IF(D3687="",0,IF(OR(AND(P3687&lt;&gt;"",S3687=""),AND(N(J3687)&gt;0,N(K3687)&lt;J3687),OR(M3687="PENDENTE",M3687="PARCIAL"),OR(N3687="PENDENTE",N3687="PARCIAL")),1,0))</f>
        <v/>
      </c>
      <c r="W3687" s="8">
        <f>IF(AND(V3687=1,D3687&lt;&gt;""),IF(D3687&gt;=corte,(B3687="CRÍTICO")*1E9+(100000-D3687)*10000+10000-ROW(),""),"")</f>
        <v/>
      </c>
      <c r="X3687" s="8">
        <f>IF(AND(V3687=1,D3687=pas_data,E3687=pas_turno),10000-ROW(),"")</f>
        <v/>
      </c>
    </row>
    <row r="3688">
      <c r="A3688" s="3">
        <f>IF(D3688="","","TT-"&amp;TEXT(ROW()-1,"00000"))</f>
        <v/>
      </c>
      <c r="B3688" s="3">
        <f>IF(D3688="","",IF(V3688=0,"CONCLUÍDO",IF(D3688&lt;corte,"HISTÓRICO",IF(OR(AND(ISNUMBER(R3688),R3688&lt;TODAY()),AND(OR(N3688="PENDENTE",N3688="PARCIAL"),D3688&lt;TODAY()-1)),"CRÍTICO",IF(OR(AND(P3688&lt;&gt;"",S3688=""),AND(N3688="REALIZADO",M3688="PENDENTE"),AND(ISNUMBER(R3688),R3688=TODAY())),"ATENÇÃO",IF(N(K3688)=0,"PENDENTE","EM ANDAMENTO"))))))</f>
        <v/>
      </c>
      <c r="C3688" s="3">
        <f>IF(D3688="","",IF(V3688=0,"🟢 OK",IF(D3688&lt;corte,"⚪ HISTÓRICO (sem baixa)",IF(AND(ISNUMBER(R3688),R3688&lt;TODAY()),"🔴 PRAZO VENCIDO",IF(AND(OR(N3688="PENDENTE",N3688="PARCIAL"),D3688&lt;TODAY()-1),"🔴 EMBARQUE ATRASADO",IF(AND(N3688="REALIZADO",M3688="PENDENTE"),"🟡 EMBARCADO SEM FATURAR",IF(AND(P3688&lt;&gt;"",S3688="",OR(Q3688="",R3688="")),"🟡 PENDÊNCIA SEM RESPONSÁVEL/PRAZO",IF(AND(ISNUMBER(R3688),R3688=TODAY()),"🟡 VENCE HOJE",IF(AND(P3688&lt;&gt;"",S3688=""),"🟡 PENDÊNCIA ABERTA",IF(AND(N(J3688)&gt;0,N(K3688)&lt;J3688),"🟡 FALTA EXECUTAR",IF(OR(M3688="PENDENTE",M3688="PARCIAL"),"🟡 FATURAMENTO PENDENTE","🟡 EMBARQUE PENDENTE")))))))))))</f>
        <v/>
      </c>
      <c r="D3688" s="4" t="n"/>
      <c r="E3688" s="5" t="n"/>
      <c r="F3688" s="5" t="n"/>
      <c r="G3688" s="5" t="n"/>
      <c r="H3688" s="5" t="n"/>
      <c r="I3688" s="5" t="n"/>
      <c r="J3688" s="6" t="n"/>
      <c r="K3688" s="6" t="n"/>
      <c r="L3688" s="7">
        <f>IF(OR(D3688="",N(J3688)=0),"",MIN(1,N(K3688)/J3688))</f>
        <v/>
      </c>
      <c r="M3688" s="5" t="n"/>
      <c r="N3688" s="5" t="n"/>
      <c r="O3688" s="5" t="n"/>
      <c r="P3688" s="5" t="n"/>
      <c r="Q3688" s="5" t="n"/>
      <c r="R3688" s="4" t="n"/>
      <c r="S3688" s="4" t="n"/>
      <c r="T3688" s="5" t="n"/>
      <c r="U3688" s="8">
        <f>IF(AND(V3688=1,D3688&lt;&gt;""),IF(D3688&gt;=corte,TODAY()-D3688,""),"")</f>
        <v/>
      </c>
      <c r="V3688" s="8">
        <f>IF(D3688="",0,IF(OR(AND(P3688&lt;&gt;"",S3688=""),AND(N(J3688)&gt;0,N(K3688)&lt;J3688),OR(M3688="PENDENTE",M3688="PARCIAL"),OR(N3688="PENDENTE",N3688="PARCIAL")),1,0))</f>
        <v/>
      </c>
      <c r="W3688" s="8">
        <f>IF(AND(V3688=1,D3688&lt;&gt;""),IF(D3688&gt;=corte,(B3688="CRÍTICO")*1E9+(100000-D3688)*10000+10000-ROW(),""),"")</f>
        <v/>
      </c>
      <c r="X3688" s="8">
        <f>IF(AND(V3688=1,D3688=pas_data,E3688=pas_turno),10000-ROW(),"")</f>
        <v/>
      </c>
    </row>
    <row r="3689">
      <c r="A3689" s="3">
        <f>IF(D3689="","","TT-"&amp;TEXT(ROW()-1,"00000"))</f>
        <v/>
      </c>
      <c r="B3689" s="3">
        <f>IF(D3689="","",IF(V3689=0,"CONCLUÍDO",IF(D3689&lt;corte,"HISTÓRICO",IF(OR(AND(ISNUMBER(R3689),R3689&lt;TODAY()),AND(OR(N3689="PENDENTE",N3689="PARCIAL"),D3689&lt;TODAY()-1)),"CRÍTICO",IF(OR(AND(P3689&lt;&gt;"",S3689=""),AND(N3689="REALIZADO",M3689="PENDENTE"),AND(ISNUMBER(R3689),R3689=TODAY())),"ATENÇÃO",IF(N(K3689)=0,"PENDENTE","EM ANDAMENTO"))))))</f>
        <v/>
      </c>
      <c r="C3689" s="3">
        <f>IF(D3689="","",IF(V3689=0,"🟢 OK",IF(D3689&lt;corte,"⚪ HISTÓRICO (sem baixa)",IF(AND(ISNUMBER(R3689),R3689&lt;TODAY()),"🔴 PRAZO VENCIDO",IF(AND(OR(N3689="PENDENTE",N3689="PARCIAL"),D3689&lt;TODAY()-1),"🔴 EMBARQUE ATRASADO",IF(AND(N3689="REALIZADO",M3689="PENDENTE"),"🟡 EMBARCADO SEM FATURAR",IF(AND(P3689&lt;&gt;"",S3689="",OR(Q3689="",R3689="")),"🟡 PENDÊNCIA SEM RESPONSÁVEL/PRAZO",IF(AND(ISNUMBER(R3689),R3689=TODAY()),"🟡 VENCE HOJE",IF(AND(P3689&lt;&gt;"",S3689=""),"🟡 PENDÊNCIA ABERTA",IF(AND(N(J3689)&gt;0,N(K3689)&lt;J3689),"🟡 FALTA EXECUTAR",IF(OR(M3689="PENDENTE",M3689="PARCIAL"),"🟡 FATURAMENTO PENDENTE","🟡 EMBARQUE PENDENTE")))))))))))</f>
        <v/>
      </c>
      <c r="D3689" s="4" t="n"/>
      <c r="E3689" s="5" t="n"/>
      <c r="F3689" s="5" t="n"/>
      <c r="G3689" s="5" t="n"/>
      <c r="H3689" s="5" t="n"/>
      <c r="I3689" s="5" t="n"/>
      <c r="J3689" s="6" t="n"/>
      <c r="K3689" s="6" t="n"/>
      <c r="L3689" s="7">
        <f>IF(OR(D3689="",N(J3689)=0),"",MIN(1,N(K3689)/J3689))</f>
        <v/>
      </c>
      <c r="M3689" s="5" t="n"/>
      <c r="N3689" s="5" t="n"/>
      <c r="O3689" s="5" t="n"/>
      <c r="P3689" s="5" t="n"/>
      <c r="Q3689" s="5" t="n"/>
      <c r="R3689" s="4" t="n"/>
      <c r="S3689" s="4" t="n"/>
      <c r="T3689" s="5" t="n"/>
      <c r="U3689" s="8">
        <f>IF(AND(V3689=1,D3689&lt;&gt;""),IF(D3689&gt;=corte,TODAY()-D3689,""),"")</f>
        <v/>
      </c>
      <c r="V3689" s="8">
        <f>IF(D3689="",0,IF(OR(AND(P3689&lt;&gt;"",S3689=""),AND(N(J3689)&gt;0,N(K3689)&lt;J3689),OR(M3689="PENDENTE",M3689="PARCIAL"),OR(N3689="PENDENTE",N3689="PARCIAL")),1,0))</f>
        <v/>
      </c>
      <c r="W3689" s="8">
        <f>IF(AND(V3689=1,D3689&lt;&gt;""),IF(D3689&gt;=corte,(B3689="CRÍTICO")*1E9+(100000-D3689)*10000+10000-ROW(),""),"")</f>
        <v/>
      </c>
      <c r="X3689" s="8">
        <f>IF(AND(V3689=1,D3689=pas_data,E3689=pas_turno),10000-ROW(),"")</f>
        <v/>
      </c>
    </row>
    <row r="3690">
      <c r="A3690" s="3">
        <f>IF(D3690="","","TT-"&amp;TEXT(ROW()-1,"00000"))</f>
        <v/>
      </c>
      <c r="B3690" s="3">
        <f>IF(D3690="","",IF(V3690=0,"CONCLUÍDO",IF(D3690&lt;corte,"HISTÓRICO",IF(OR(AND(ISNUMBER(R3690),R3690&lt;TODAY()),AND(OR(N3690="PENDENTE",N3690="PARCIAL"),D3690&lt;TODAY()-1)),"CRÍTICO",IF(OR(AND(P3690&lt;&gt;"",S3690=""),AND(N3690="REALIZADO",M3690="PENDENTE"),AND(ISNUMBER(R3690),R3690=TODAY())),"ATENÇÃO",IF(N(K3690)=0,"PENDENTE","EM ANDAMENTO"))))))</f>
        <v/>
      </c>
      <c r="C3690" s="3">
        <f>IF(D3690="","",IF(V3690=0,"🟢 OK",IF(D3690&lt;corte,"⚪ HISTÓRICO (sem baixa)",IF(AND(ISNUMBER(R3690),R3690&lt;TODAY()),"🔴 PRAZO VENCIDO",IF(AND(OR(N3690="PENDENTE",N3690="PARCIAL"),D3690&lt;TODAY()-1),"🔴 EMBARQUE ATRASADO",IF(AND(N3690="REALIZADO",M3690="PENDENTE"),"🟡 EMBARCADO SEM FATURAR",IF(AND(P3690&lt;&gt;"",S3690="",OR(Q3690="",R3690="")),"🟡 PENDÊNCIA SEM RESPONSÁVEL/PRAZO",IF(AND(ISNUMBER(R3690),R3690=TODAY()),"🟡 VENCE HOJE",IF(AND(P3690&lt;&gt;"",S3690=""),"🟡 PENDÊNCIA ABERTA",IF(AND(N(J3690)&gt;0,N(K3690)&lt;J3690),"🟡 FALTA EXECUTAR",IF(OR(M3690="PENDENTE",M3690="PARCIAL"),"🟡 FATURAMENTO PENDENTE","🟡 EMBARQUE PENDENTE")))))))))))</f>
        <v/>
      </c>
      <c r="D3690" s="4" t="n"/>
      <c r="E3690" s="5" t="n"/>
      <c r="F3690" s="5" t="n"/>
      <c r="G3690" s="5" t="n"/>
      <c r="H3690" s="5" t="n"/>
      <c r="I3690" s="5" t="n"/>
      <c r="J3690" s="6" t="n"/>
      <c r="K3690" s="6" t="n"/>
      <c r="L3690" s="7">
        <f>IF(OR(D3690="",N(J3690)=0),"",MIN(1,N(K3690)/J3690))</f>
        <v/>
      </c>
      <c r="M3690" s="5" t="n"/>
      <c r="N3690" s="5" t="n"/>
      <c r="O3690" s="5" t="n"/>
      <c r="P3690" s="5" t="n"/>
      <c r="Q3690" s="5" t="n"/>
      <c r="R3690" s="4" t="n"/>
      <c r="S3690" s="4" t="n"/>
      <c r="T3690" s="5" t="n"/>
      <c r="U3690" s="8">
        <f>IF(AND(V3690=1,D3690&lt;&gt;""),IF(D3690&gt;=corte,TODAY()-D3690,""),"")</f>
        <v/>
      </c>
      <c r="V3690" s="8">
        <f>IF(D3690="",0,IF(OR(AND(P3690&lt;&gt;"",S3690=""),AND(N(J3690)&gt;0,N(K3690)&lt;J3690),OR(M3690="PENDENTE",M3690="PARCIAL"),OR(N3690="PENDENTE",N3690="PARCIAL")),1,0))</f>
        <v/>
      </c>
      <c r="W3690" s="8">
        <f>IF(AND(V3690=1,D3690&lt;&gt;""),IF(D3690&gt;=corte,(B3690="CRÍTICO")*1E9+(100000-D3690)*10000+10000-ROW(),""),"")</f>
        <v/>
      </c>
      <c r="X3690" s="8">
        <f>IF(AND(V3690=1,D3690=pas_data,E3690=pas_turno),10000-ROW(),"")</f>
        <v/>
      </c>
    </row>
    <row r="3691">
      <c r="A3691" s="3">
        <f>IF(D3691="","","TT-"&amp;TEXT(ROW()-1,"00000"))</f>
        <v/>
      </c>
      <c r="B3691" s="3">
        <f>IF(D3691="","",IF(V3691=0,"CONCLUÍDO",IF(D3691&lt;corte,"HISTÓRICO",IF(OR(AND(ISNUMBER(R3691),R3691&lt;TODAY()),AND(OR(N3691="PENDENTE",N3691="PARCIAL"),D3691&lt;TODAY()-1)),"CRÍTICO",IF(OR(AND(P3691&lt;&gt;"",S3691=""),AND(N3691="REALIZADO",M3691="PENDENTE"),AND(ISNUMBER(R3691),R3691=TODAY())),"ATENÇÃO",IF(N(K3691)=0,"PENDENTE","EM ANDAMENTO"))))))</f>
        <v/>
      </c>
      <c r="C3691" s="3">
        <f>IF(D3691="","",IF(V3691=0,"🟢 OK",IF(D3691&lt;corte,"⚪ HISTÓRICO (sem baixa)",IF(AND(ISNUMBER(R3691),R3691&lt;TODAY()),"🔴 PRAZO VENCIDO",IF(AND(OR(N3691="PENDENTE",N3691="PARCIAL"),D3691&lt;TODAY()-1),"🔴 EMBARQUE ATRASADO",IF(AND(N3691="REALIZADO",M3691="PENDENTE"),"🟡 EMBARCADO SEM FATURAR",IF(AND(P3691&lt;&gt;"",S3691="",OR(Q3691="",R3691="")),"🟡 PENDÊNCIA SEM RESPONSÁVEL/PRAZO",IF(AND(ISNUMBER(R3691),R3691=TODAY()),"🟡 VENCE HOJE",IF(AND(P3691&lt;&gt;"",S3691=""),"🟡 PENDÊNCIA ABERTA",IF(AND(N(J3691)&gt;0,N(K3691)&lt;J3691),"🟡 FALTA EXECUTAR",IF(OR(M3691="PENDENTE",M3691="PARCIAL"),"🟡 FATURAMENTO PENDENTE","🟡 EMBARQUE PENDENTE")))))))))))</f>
        <v/>
      </c>
      <c r="D3691" s="4" t="n"/>
      <c r="E3691" s="5" t="n"/>
      <c r="F3691" s="5" t="n"/>
      <c r="G3691" s="5" t="n"/>
      <c r="H3691" s="5" t="n"/>
      <c r="I3691" s="5" t="n"/>
      <c r="J3691" s="6" t="n"/>
      <c r="K3691" s="6" t="n"/>
      <c r="L3691" s="7">
        <f>IF(OR(D3691="",N(J3691)=0),"",MIN(1,N(K3691)/J3691))</f>
        <v/>
      </c>
      <c r="M3691" s="5" t="n"/>
      <c r="N3691" s="5" t="n"/>
      <c r="O3691" s="5" t="n"/>
      <c r="P3691" s="5" t="n"/>
      <c r="Q3691" s="5" t="n"/>
      <c r="R3691" s="4" t="n"/>
      <c r="S3691" s="4" t="n"/>
      <c r="T3691" s="5" t="n"/>
      <c r="U3691" s="8">
        <f>IF(AND(V3691=1,D3691&lt;&gt;""),IF(D3691&gt;=corte,TODAY()-D3691,""),"")</f>
        <v/>
      </c>
      <c r="V3691" s="8">
        <f>IF(D3691="",0,IF(OR(AND(P3691&lt;&gt;"",S3691=""),AND(N(J3691)&gt;0,N(K3691)&lt;J3691),OR(M3691="PENDENTE",M3691="PARCIAL"),OR(N3691="PENDENTE",N3691="PARCIAL")),1,0))</f>
        <v/>
      </c>
      <c r="W3691" s="8">
        <f>IF(AND(V3691=1,D3691&lt;&gt;""),IF(D3691&gt;=corte,(B3691="CRÍTICO")*1E9+(100000-D3691)*10000+10000-ROW(),""),"")</f>
        <v/>
      </c>
      <c r="X3691" s="8">
        <f>IF(AND(V3691=1,D3691=pas_data,E3691=pas_turno),10000-ROW(),"")</f>
        <v/>
      </c>
    </row>
    <row r="3692">
      <c r="A3692" s="3">
        <f>IF(D3692="","","TT-"&amp;TEXT(ROW()-1,"00000"))</f>
        <v/>
      </c>
      <c r="B3692" s="3">
        <f>IF(D3692="","",IF(V3692=0,"CONCLUÍDO",IF(D3692&lt;corte,"HISTÓRICO",IF(OR(AND(ISNUMBER(R3692),R3692&lt;TODAY()),AND(OR(N3692="PENDENTE",N3692="PARCIAL"),D3692&lt;TODAY()-1)),"CRÍTICO",IF(OR(AND(P3692&lt;&gt;"",S3692=""),AND(N3692="REALIZADO",M3692="PENDENTE"),AND(ISNUMBER(R3692),R3692=TODAY())),"ATENÇÃO",IF(N(K3692)=0,"PENDENTE","EM ANDAMENTO"))))))</f>
        <v/>
      </c>
      <c r="C3692" s="3">
        <f>IF(D3692="","",IF(V3692=0,"🟢 OK",IF(D3692&lt;corte,"⚪ HISTÓRICO (sem baixa)",IF(AND(ISNUMBER(R3692),R3692&lt;TODAY()),"🔴 PRAZO VENCIDO",IF(AND(OR(N3692="PENDENTE",N3692="PARCIAL"),D3692&lt;TODAY()-1),"🔴 EMBARQUE ATRASADO",IF(AND(N3692="REALIZADO",M3692="PENDENTE"),"🟡 EMBARCADO SEM FATURAR",IF(AND(P3692&lt;&gt;"",S3692="",OR(Q3692="",R3692="")),"🟡 PENDÊNCIA SEM RESPONSÁVEL/PRAZO",IF(AND(ISNUMBER(R3692),R3692=TODAY()),"🟡 VENCE HOJE",IF(AND(P3692&lt;&gt;"",S3692=""),"🟡 PENDÊNCIA ABERTA",IF(AND(N(J3692)&gt;0,N(K3692)&lt;J3692),"🟡 FALTA EXECUTAR",IF(OR(M3692="PENDENTE",M3692="PARCIAL"),"🟡 FATURAMENTO PENDENTE","🟡 EMBARQUE PENDENTE")))))))))))</f>
        <v/>
      </c>
      <c r="D3692" s="4" t="n"/>
      <c r="E3692" s="5" t="n"/>
      <c r="F3692" s="5" t="n"/>
      <c r="G3692" s="5" t="n"/>
      <c r="H3692" s="5" t="n"/>
      <c r="I3692" s="5" t="n"/>
      <c r="J3692" s="6" t="n"/>
      <c r="K3692" s="6" t="n"/>
      <c r="L3692" s="7">
        <f>IF(OR(D3692="",N(J3692)=0),"",MIN(1,N(K3692)/J3692))</f>
        <v/>
      </c>
      <c r="M3692" s="5" t="n"/>
      <c r="N3692" s="5" t="n"/>
      <c r="O3692" s="5" t="n"/>
      <c r="P3692" s="5" t="n"/>
      <c r="Q3692" s="5" t="n"/>
      <c r="R3692" s="4" t="n"/>
      <c r="S3692" s="4" t="n"/>
      <c r="T3692" s="5" t="n"/>
      <c r="U3692" s="8">
        <f>IF(AND(V3692=1,D3692&lt;&gt;""),IF(D3692&gt;=corte,TODAY()-D3692,""),"")</f>
        <v/>
      </c>
      <c r="V3692" s="8">
        <f>IF(D3692="",0,IF(OR(AND(P3692&lt;&gt;"",S3692=""),AND(N(J3692)&gt;0,N(K3692)&lt;J3692),OR(M3692="PENDENTE",M3692="PARCIAL"),OR(N3692="PENDENTE",N3692="PARCIAL")),1,0))</f>
        <v/>
      </c>
      <c r="W3692" s="8">
        <f>IF(AND(V3692=1,D3692&lt;&gt;""),IF(D3692&gt;=corte,(B3692="CRÍTICO")*1E9+(100000-D3692)*10000+10000-ROW(),""),"")</f>
        <v/>
      </c>
      <c r="X3692" s="8">
        <f>IF(AND(V3692=1,D3692=pas_data,E3692=pas_turno),10000-ROW(),"")</f>
        <v/>
      </c>
    </row>
    <row r="3693">
      <c r="A3693" s="3">
        <f>IF(D3693="","","TT-"&amp;TEXT(ROW()-1,"00000"))</f>
        <v/>
      </c>
      <c r="B3693" s="3">
        <f>IF(D3693="","",IF(V3693=0,"CONCLUÍDO",IF(D3693&lt;corte,"HISTÓRICO",IF(OR(AND(ISNUMBER(R3693),R3693&lt;TODAY()),AND(OR(N3693="PENDENTE",N3693="PARCIAL"),D3693&lt;TODAY()-1)),"CRÍTICO",IF(OR(AND(P3693&lt;&gt;"",S3693=""),AND(N3693="REALIZADO",M3693="PENDENTE"),AND(ISNUMBER(R3693),R3693=TODAY())),"ATENÇÃO",IF(N(K3693)=0,"PENDENTE","EM ANDAMENTO"))))))</f>
        <v/>
      </c>
      <c r="C3693" s="3">
        <f>IF(D3693="","",IF(V3693=0,"🟢 OK",IF(D3693&lt;corte,"⚪ HISTÓRICO (sem baixa)",IF(AND(ISNUMBER(R3693),R3693&lt;TODAY()),"🔴 PRAZO VENCIDO",IF(AND(OR(N3693="PENDENTE",N3693="PARCIAL"),D3693&lt;TODAY()-1),"🔴 EMBARQUE ATRASADO",IF(AND(N3693="REALIZADO",M3693="PENDENTE"),"🟡 EMBARCADO SEM FATURAR",IF(AND(P3693&lt;&gt;"",S3693="",OR(Q3693="",R3693="")),"🟡 PENDÊNCIA SEM RESPONSÁVEL/PRAZO",IF(AND(ISNUMBER(R3693),R3693=TODAY()),"🟡 VENCE HOJE",IF(AND(P3693&lt;&gt;"",S3693=""),"🟡 PENDÊNCIA ABERTA",IF(AND(N(J3693)&gt;0,N(K3693)&lt;J3693),"🟡 FALTA EXECUTAR",IF(OR(M3693="PENDENTE",M3693="PARCIAL"),"🟡 FATURAMENTO PENDENTE","🟡 EMBARQUE PENDENTE")))))))))))</f>
        <v/>
      </c>
      <c r="D3693" s="4" t="n"/>
      <c r="E3693" s="5" t="n"/>
      <c r="F3693" s="5" t="n"/>
      <c r="G3693" s="5" t="n"/>
      <c r="H3693" s="5" t="n"/>
      <c r="I3693" s="5" t="n"/>
      <c r="J3693" s="6" t="n"/>
      <c r="K3693" s="6" t="n"/>
      <c r="L3693" s="7">
        <f>IF(OR(D3693="",N(J3693)=0),"",MIN(1,N(K3693)/J3693))</f>
        <v/>
      </c>
      <c r="M3693" s="5" t="n"/>
      <c r="N3693" s="5" t="n"/>
      <c r="O3693" s="5" t="n"/>
      <c r="P3693" s="5" t="n"/>
      <c r="Q3693" s="5" t="n"/>
      <c r="R3693" s="4" t="n"/>
      <c r="S3693" s="4" t="n"/>
      <c r="T3693" s="5" t="n"/>
      <c r="U3693" s="8">
        <f>IF(AND(V3693=1,D3693&lt;&gt;""),IF(D3693&gt;=corte,TODAY()-D3693,""),"")</f>
        <v/>
      </c>
      <c r="V3693" s="8">
        <f>IF(D3693="",0,IF(OR(AND(P3693&lt;&gt;"",S3693=""),AND(N(J3693)&gt;0,N(K3693)&lt;J3693),OR(M3693="PENDENTE",M3693="PARCIAL"),OR(N3693="PENDENTE",N3693="PARCIAL")),1,0))</f>
        <v/>
      </c>
      <c r="W3693" s="8">
        <f>IF(AND(V3693=1,D3693&lt;&gt;""),IF(D3693&gt;=corte,(B3693="CRÍTICO")*1E9+(100000-D3693)*10000+10000-ROW(),""),"")</f>
        <v/>
      </c>
      <c r="X3693" s="8">
        <f>IF(AND(V3693=1,D3693=pas_data,E3693=pas_turno),10000-ROW(),"")</f>
        <v/>
      </c>
    </row>
    <row r="3694">
      <c r="A3694" s="3">
        <f>IF(D3694="","","TT-"&amp;TEXT(ROW()-1,"00000"))</f>
        <v/>
      </c>
      <c r="B3694" s="3">
        <f>IF(D3694="","",IF(V3694=0,"CONCLUÍDO",IF(D3694&lt;corte,"HISTÓRICO",IF(OR(AND(ISNUMBER(R3694),R3694&lt;TODAY()),AND(OR(N3694="PENDENTE",N3694="PARCIAL"),D3694&lt;TODAY()-1)),"CRÍTICO",IF(OR(AND(P3694&lt;&gt;"",S3694=""),AND(N3694="REALIZADO",M3694="PENDENTE"),AND(ISNUMBER(R3694),R3694=TODAY())),"ATENÇÃO",IF(N(K3694)=0,"PENDENTE","EM ANDAMENTO"))))))</f>
        <v/>
      </c>
      <c r="C3694" s="3">
        <f>IF(D3694="","",IF(V3694=0,"🟢 OK",IF(D3694&lt;corte,"⚪ HISTÓRICO (sem baixa)",IF(AND(ISNUMBER(R3694),R3694&lt;TODAY()),"🔴 PRAZO VENCIDO",IF(AND(OR(N3694="PENDENTE",N3694="PARCIAL"),D3694&lt;TODAY()-1),"🔴 EMBARQUE ATRASADO",IF(AND(N3694="REALIZADO",M3694="PENDENTE"),"🟡 EMBARCADO SEM FATURAR",IF(AND(P3694&lt;&gt;"",S3694="",OR(Q3694="",R3694="")),"🟡 PENDÊNCIA SEM RESPONSÁVEL/PRAZO",IF(AND(ISNUMBER(R3694),R3694=TODAY()),"🟡 VENCE HOJE",IF(AND(P3694&lt;&gt;"",S3694=""),"🟡 PENDÊNCIA ABERTA",IF(AND(N(J3694)&gt;0,N(K3694)&lt;J3694),"🟡 FALTA EXECUTAR",IF(OR(M3694="PENDENTE",M3694="PARCIAL"),"🟡 FATURAMENTO PENDENTE","🟡 EMBARQUE PENDENTE")))))))))))</f>
        <v/>
      </c>
      <c r="D3694" s="4" t="n"/>
      <c r="E3694" s="5" t="n"/>
      <c r="F3694" s="5" t="n"/>
      <c r="G3694" s="5" t="n"/>
      <c r="H3694" s="5" t="n"/>
      <c r="I3694" s="5" t="n"/>
      <c r="J3694" s="6" t="n"/>
      <c r="K3694" s="6" t="n"/>
      <c r="L3694" s="7">
        <f>IF(OR(D3694="",N(J3694)=0),"",MIN(1,N(K3694)/J3694))</f>
        <v/>
      </c>
      <c r="M3694" s="5" t="n"/>
      <c r="N3694" s="5" t="n"/>
      <c r="O3694" s="5" t="n"/>
      <c r="P3694" s="5" t="n"/>
      <c r="Q3694" s="5" t="n"/>
      <c r="R3694" s="4" t="n"/>
      <c r="S3694" s="4" t="n"/>
      <c r="T3694" s="5" t="n"/>
      <c r="U3694" s="8">
        <f>IF(AND(V3694=1,D3694&lt;&gt;""),IF(D3694&gt;=corte,TODAY()-D3694,""),"")</f>
        <v/>
      </c>
      <c r="V3694" s="8">
        <f>IF(D3694="",0,IF(OR(AND(P3694&lt;&gt;"",S3694=""),AND(N(J3694)&gt;0,N(K3694)&lt;J3694),OR(M3694="PENDENTE",M3694="PARCIAL"),OR(N3694="PENDENTE",N3694="PARCIAL")),1,0))</f>
        <v/>
      </c>
      <c r="W3694" s="8">
        <f>IF(AND(V3694=1,D3694&lt;&gt;""),IF(D3694&gt;=corte,(B3694="CRÍTICO")*1E9+(100000-D3694)*10000+10000-ROW(),""),"")</f>
        <v/>
      </c>
      <c r="X3694" s="8">
        <f>IF(AND(V3694=1,D3694=pas_data,E3694=pas_turno),10000-ROW(),"")</f>
        <v/>
      </c>
    </row>
    <row r="3695">
      <c r="A3695" s="3">
        <f>IF(D3695="","","TT-"&amp;TEXT(ROW()-1,"00000"))</f>
        <v/>
      </c>
      <c r="B3695" s="3">
        <f>IF(D3695="","",IF(V3695=0,"CONCLUÍDO",IF(D3695&lt;corte,"HISTÓRICO",IF(OR(AND(ISNUMBER(R3695),R3695&lt;TODAY()),AND(OR(N3695="PENDENTE",N3695="PARCIAL"),D3695&lt;TODAY()-1)),"CRÍTICO",IF(OR(AND(P3695&lt;&gt;"",S3695=""),AND(N3695="REALIZADO",M3695="PENDENTE"),AND(ISNUMBER(R3695),R3695=TODAY())),"ATENÇÃO",IF(N(K3695)=0,"PENDENTE","EM ANDAMENTO"))))))</f>
        <v/>
      </c>
      <c r="C3695" s="3">
        <f>IF(D3695="","",IF(V3695=0,"🟢 OK",IF(D3695&lt;corte,"⚪ HISTÓRICO (sem baixa)",IF(AND(ISNUMBER(R3695),R3695&lt;TODAY()),"🔴 PRAZO VENCIDO",IF(AND(OR(N3695="PENDENTE",N3695="PARCIAL"),D3695&lt;TODAY()-1),"🔴 EMBARQUE ATRASADO",IF(AND(N3695="REALIZADO",M3695="PENDENTE"),"🟡 EMBARCADO SEM FATURAR",IF(AND(P3695&lt;&gt;"",S3695="",OR(Q3695="",R3695="")),"🟡 PENDÊNCIA SEM RESPONSÁVEL/PRAZO",IF(AND(ISNUMBER(R3695),R3695=TODAY()),"🟡 VENCE HOJE",IF(AND(P3695&lt;&gt;"",S3695=""),"🟡 PENDÊNCIA ABERTA",IF(AND(N(J3695)&gt;0,N(K3695)&lt;J3695),"🟡 FALTA EXECUTAR",IF(OR(M3695="PENDENTE",M3695="PARCIAL"),"🟡 FATURAMENTO PENDENTE","🟡 EMBARQUE PENDENTE")))))))))))</f>
        <v/>
      </c>
      <c r="D3695" s="4" t="n"/>
      <c r="E3695" s="5" t="n"/>
      <c r="F3695" s="5" t="n"/>
      <c r="G3695" s="5" t="n"/>
      <c r="H3695" s="5" t="n"/>
      <c r="I3695" s="5" t="n"/>
      <c r="J3695" s="6" t="n"/>
      <c r="K3695" s="6" t="n"/>
      <c r="L3695" s="7">
        <f>IF(OR(D3695="",N(J3695)=0),"",MIN(1,N(K3695)/J3695))</f>
        <v/>
      </c>
      <c r="M3695" s="5" t="n"/>
      <c r="N3695" s="5" t="n"/>
      <c r="O3695" s="5" t="n"/>
      <c r="P3695" s="5" t="n"/>
      <c r="Q3695" s="5" t="n"/>
      <c r="R3695" s="4" t="n"/>
      <c r="S3695" s="4" t="n"/>
      <c r="T3695" s="5" t="n"/>
      <c r="U3695" s="8">
        <f>IF(AND(V3695=1,D3695&lt;&gt;""),IF(D3695&gt;=corte,TODAY()-D3695,""),"")</f>
        <v/>
      </c>
      <c r="V3695" s="8">
        <f>IF(D3695="",0,IF(OR(AND(P3695&lt;&gt;"",S3695=""),AND(N(J3695)&gt;0,N(K3695)&lt;J3695),OR(M3695="PENDENTE",M3695="PARCIAL"),OR(N3695="PENDENTE",N3695="PARCIAL")),1,0))</f>
        <v/>
      </c>
      <c r="W3695" s="8">
        <f>IF(AND(V3695=1,D3695&lt;&gt;""),IF(D3695&gt;=corte,(B3695="CRÍTICO")*1E9+(100000-D3695)*10000+10000-ROW(),""),"")</f>
        <v/>
      </c>
      <c r="X3695" s="8">
        <f>IF(AND(V3695=1,D3695=pas_data,E3695=pas_turno),10000-ROW(),"")</f>
        <v/>
      </c>
    </row>
    <row r="3696">
      <c r="A3696" s="3">
        <f>IF(D3696="","","TT-"&amp;TEXT(ROW()-1,"00000"))</f>
        <v/>
      </c>
      <c r="B3696" s="3">
        <f>IF(D3696="","",IF(V3696=0,"CONCLUÍDO",IF(D3696&lt;corte,"HISTÓRICO",IF(OR(AND(ISNUMBER(R3696),R3696&lt;TODAY()),AND(OR(N3696="PENDENTE",N3696="PARCIAL"),D3696&lt;TODAY()-1)),"CRÍTICO",IF(OR(AND(P3696&lt;&gt;"",S3696=""),AND(N3696="REALIZADO",M3696="PENDENTE"),AND(ISNUMBER(R3696),R3696=TODAY())),"ATENÇÃO",IF(N(K3696)=0,"PENDENTE","EM ANDAMENTO"))))))</f>
        <v/>
      </c>
      <c r="C3696" s="3">
        <f>IF(D3696="","",IF(V3696=0,"🟢 OK",IF(D3696&lt;corte,"⚪ HISTÓRICO (sem baixa)",IF(AND(ISNUMBER(R3696),R3696&lt;TODAY()),"🔴 PRAZO VENCIDO",IF(AND(OR(N3696="PENDENTE",N3696="PARCIAL"),D3696&lt;TODAY()-1),"🔴 EMBARQUE ATRASADO",IF(AND(N3696="REALIZADO",M3696="PENDENTE"),"🟡 EMBARCADO SEM FATURAR",IF(AND(P3696&lt;&gt;"",S3696="",OR(Q3696="",R3696="")),"🟡 PENDÊNCIA SEM RESPONSÁVEL/PRAZO",IF(AND(ISNUMBER(R3696),R3696=TODAY()),"🟡 VENCE HOJE",IF(AND(P3696&lt;&gt;"",S3696=""),"🟡 PENDÊNCIA ABERTA",IF(AND(N(J3696)&gt;0,N(K3696)&lt;J3696),"🟡 FALTA EXECUTAR",IF(OR(M3696="PENDENTE",M3696="PARCIAL"),"🟡 FATURAMENTO PENDENTE","🟡 EMBARQUE PENDENTE")))))))))))</f>
        <v/>
      </c>
      <c r="D3696" s="4" t="n"/>
      <c r="E3696" s="5" t="n"/>
      <c r="F3696" s="5" t="n"/>
      <c r="G3696" s="5" t="n"/>
      <c r="H3696" s="5" t="n"/>
      <c r="I3696" s="5" t="n"/>
      <c r="J3696" s="6" t="n"/>
      <c r="K3696" s="6" t="n"/>
      <c r="L3696" s="7">
        <f>IF(OR(D3696="",N(J3696)=0),"",MIN(1,N(K3696)/J3696))</f>
        <v/>
      </c>
      <c r="M3696" s="5" t="n"/>
      <c r="N3696" s="5" t="n"/>
      <c r="O3696" s="5" t="n"/>
      <c r="P3696" s="5" t="n"/>
      <c r="Q3696" s="5" t="n"/>
      <c r="R3696" s="4" t="n"/>
      <c r="S3696" s="4" t="n"/>
      <c r="T3696" s="5" t="n"/>
      <c r="U3696" s="8">
        <f>IF(AND(V3696=1,D3696&lt;&gt;""),IF(D3696&gt;=corte,TODAY()-D3696,""),"")</f>
        <v/>
      </c>
      <c r="V3696" s="8">
        <f>IF(D3696="",0,IF(OR(AND(P3696&lt;&gt;"",S3696=""),AND(N(J3696)&gt;0,N(K3696)&lt;J3696),OR(M3696="PENDENTE",M3696="PARCIAL"),OR(N3696="PENDENTE",N3696="PARCIAL")),1,0))</f>
        <v/>
      </c>
      <c r="W3696" s="8">
        <f>IF(AND(V3696=1,D3696&lt;&gt;""),IF(D3696&gt;=corte,(B3696="CRÍTICO")*1E9+(100000-D3696)*10000+10000-ROW(),""),"")</f>
        <v/>
      </c>
      <c r="X3696" s="8">
        <f>IF(AND(V3696=1,D3696=pas_data,E3696=pas_turno),10000-ROW(),"")</f>
        <v/>
      </c>
    </row>
    <row r="3697">
      <c r="A3697" s="3">
        <f>IF(D3697="","","TT-"&amp;TEXT(ROW()-1,"00000"))</f>
        <v/>
      </c>
      <c r="B3697" s="3">
        <f>IF(D3697="","",IF(V3697=0,"CONCLUÍDO",IF(D3697&lt;corte,"HISTÓRICO",IF(OR(AND(ISNUMBER(R3697),R3697&lt;TODAY()),AND(OR(N3697="PENDENTE",N3697="PARCIAL"),D3697&lt;TODAY()-1)),"CRÍTICO",IF(OR(AND(P3697&lt;&gt;"",S3697=""),AND(N3697="REALIZADO",M3697="PENDENTE"),AND(ISNUMBER(R3697),R3697=TODAY())),"ATENÇÃO",IF(N(K3697)=0,"PENDENTE","EM ANDAMENTO"))))))</f>
        <v/>
      </c>
      <c r="C3697" s="3">
        <f>IF(D3697="","",IF(V3697=0,"🟢 OK",IF(D3697&lt;corte,"⚪ HISTÓRICO (sem baixa)",IF(AND(ISNUMBER(R3697),R3697&lt;TODAY()),"🔴 PRAZO VENCIDO",IF(AND(OR(N3697="PENDENTE",N3697="PARCIAL"),D3697&lt;TODAY()-1),"🔴 EMBARQUE ATRASADO",IF(AND(N3697="REALIZADO",M3697="PENDENTE"),"🟡 EMBARCADO SEM FATURAR",IF(AND(P3697&lt;&gt;"",S3697="",OR(Q3697="",R3697="")),"🟡 PENDÊNCIA SEM RESPONSÁVEL/PRAZO",IF(AND(ISNUMBER(R3697),R3697=TODAY()),"🟡 VENCE HOJE",IF(AND(P3697&lt;&gt;"",S3697=""),"🟡 PENDÊNCIA ABERTA",IF(AND(N(J3697)&gt;0,N(K3697)&lt;J3697),"🟡 FALTA EXECUTAR",IF(OR(M3697="PENDENTE",M3697="PARCIAL"),"🟡 FATURAMENTO PENDENTE","🟡 EMBARQUE PENDENTE")))))))))))</f>
        <v/>
      </c>
      <c r="D3697" s="4" t="n"/>
      <c r="E3697" s="5" t="n"/>
      <c r="F3697" s="5" t="n"/>
      <c r="G3697" s="5" t="n"/>
      <c r="H3697" s="5" t="n"/>
      <c r="I3697" s="5" t="n"/>
      <c r="J3697" s="6" t="n"/>
      <c r="K3697" s="6" t="n"/>
      <c r="L3697" s="7">
        <f>IF(OR(D3697="",N(J3697)=0),"",MIN(1,N(K3697)/J3697))</f>
        <v/>
      </c>
      <c r="M3697" s="5" t="n"/>
      <c r="N3697" s="5" t="n"/>
      <c r="O3697" s="5" t="n"/>
      <c r="P3697" s="5" t="n"/>
      <c r="Q3697" s="5" t="n"/>
      <c r="R3697" s="4" t="n"/>
      <c r="S3697" s="4" t="n"/>
      <c r="T3697" s="5" t="n"/>
      <c r="U3697" s="8">
        <f>IF(AND(V3697=1,D3697&lt;&gt;""),IF(D3697&gt;=corte,TODAY()-D3697,""),"")</f>
        <v/>
      </c>
      <c r="V3697" s="8">
        <f>IF(D3697="",0,IF(OR(AND(P3697&lt;&gt;"",S3697=""),AND(N(J3697)&gt;0,N(K3697)&lt;J3697),OR(M3697="PENDENTE",M3697="PARCIAL"),OR(N3697="PENDENTE",N3697="PARCIAL")),1,0))</f>
        <v/>
      </c>
      <c r="W3697" s="8">
        <f>IF(AND(V3697=1,D3697&lt;&gt;""),IF(D3697&gt;=corte,(B3697="CRÍTICO")*1E9+(100000-D3697)*10000+10000-ROW(),""),"")</f>
        <v/>
      </c>
      <c r="X3697" s="8">
        <f>IF(AND(V3697=1,D3697=pas_data,E3697=pas_turno),10000-ROW(),"")</f>
        <v/>
      </c>
    </row>
    <row r="3698">
      <c r="A3698" s="3">
        <f>IF(D3698="","","TT-"&amp;TEXT(ROW()-1,"00000"))</f>
        <v/>
      </c>
      <c r="B3698" s="3">
        <f>IF(D3698="","",IF(V3698=0,"CONCLUÍDO",IF(D3698&lt;corte,"HISTÓRICO",IF(OR(AND(ISNUMBER(R3698),R3698&lt;TODAY()),AND(OR(N3698="PENDENTE",N3698="PARCIAL"),D3698&lt;TODAY()-1)),"CRÍTICO",IF(OR(AND(P3698&lt;&gt;"",S3698=""),AND(N3698="REALIZADO",M3698="PENDENTE"),AND(ISNUMBER(R3698),R3698=TODAY())),"ATENÇÃO",IF(N(K3698)=0,"PENDENTE","EM ANDAMENTO"))))))</f>
        <v/>
      </c>
      <c r="C3698" s="3">
        <f>IF(D3698="","",IF(V3698=0,"🟢 OK",IF(D3698&lt;corte,"⚪ HISTÓRICO (sem baixa)",IF(AND(ISNUMBER(R3698),R3698&lt;TODAY()),"🔴 PRAZO VENCIDO",IF(AND(OR(N3698="PENDENTE",N3698="PARCIAL"),D3698&lt;TODAY()-1),"🔴 EMBARQUE ATRASADO",IF(AND(N3698="REALIZADO",M3698="PENDENTE"),"🟡 EMBARCADO SEM FATURAR",IF(AND(P3698&lt;&gt;"",S3698="",OR(Q3698="",R3698="")),"🟡 PENDÊNCIA SEM RESPONSÁVEL/PRAZO",IF(AND(ISNUMBER(R3698),R3698=TODAY()),"🟡 VENCE HOJE",IF(AND(P3698&lt;&gt;"",S3698=""),"🟡 PENDÊNCIA ABERTA",IF(AND(N(J3698)&gt;0,N(K3698)&lt;J3698),"🟡 FALTA EXECUTAR",IF(OR(M3698="PENDENTE",M3698="PARCIAL"),"🟡 FATURAMENTO PENDENTE","🟡 EMBARQUE PENDENTE")))))))))))</f>
        <v/>
      </c>
      <c r="D3698" s="4" t="n"/>
      <c r="E3698" s="5" t="n"/>
      <c r="F3698" s="5" t="n"/>
      <c r="G3698" s="5" t="n"/>
      <c r="H3698" s="5" t="n"/>
      <c r="I3698" s="5" t="n"/>
      <c r="J3698" s="6" t="n"/>
      <c r="K3698" s="6" t="n"/>
      <c r="L3698" s="7">
        <f>IF(OR(D3698="",N(J3698)=0),"",MIN(1,N(K3698)/J3698))</f>
        <v/>
      </c>
      <c r="M3698" s="5" t="n"/>
      <c r="N3698" s="5" t="n"/>
      <c r="O3698" s="5" t="n"/>
      <c r="P3698" s="5" t="n"/>
      <c r="Q3698" s="5" t="n"/>
      <c r="R3698" s="4" t="n"/>
      <c r="S3698" s="4" t="n"/>
      <c r="T3698" s="5" t="n"/>
      <c r="U3698" s="8">
        <f>IF(AND(V3698=1,D3698&lt;&gt;""),IF(D3698&gt;=corte,TODAY()-D3698,""),"")</f>
        <v/>
      </c>
      <c r="V3698" s="8">
        <f>IF(D3698="",0,IF(OR(AND(P3698&lt;&gt;"",S3698=""),AND(N(J3698)&gt;0,N(K3698)&lt;J3698),OR(M3698="PENDENTE",M3698="PARCIAL"),OR(N3698="PENDENTE",N3698="PARCIAL")),1,0))</f>
        <v/>
      </c>
      <c r="W3698" s="8">
        <f>IF(AND(V3698=1,D3698&lt;&gt;""),IF(D3698&gt;=corte,(B3698="CRÍTICO")*1E9+(100000-D3698)*10000+10000-ROW(),""),"")</f>
        <v/>
      </c>
      <c r="X3698" s="8">
        <f>IF(AND(V3698=1,D3698=pas_data,E3698=pas_turno),10000-ROW(),"")</f>
        <v/>
      </c>
    </row>
    <row r="3699">
      <c r="A3699" s="3">
        <f>IF(D3699="","","TT-"&amp;TEXT(ROW()-1,"00000"))</f>
        <v/>
      </c>
      <c r="B3699" s="3">
        <f>IF(D3699="","",IF(V3699=0,"CONCLUÍDO",IF(D3699&lt;corte,"HISTÓRICO",IF(OR(AND(ISNUMBER(R3699),R3699&lt;TODAY()),AND(OR(N3699="PENDENTE",N3699="PARCIAL"),D3699&lt;TODAY()-1)),"CRÍTICO",IF(OR(AND(P3699&lt;&gt;"",S3699=""),AND(N3699="REALIZADO",M3699="PENDENTE"),AND(ISNUMBER(R3699),R3699=TODAY())),"ATENÇÃO",IF(N(K3699)=0,"PENDENTE","EM ANDAMENTO"))))))</f>
        <v/>
      </c>
      <c r="C3699" s="3">
        <f>IF(D3699="","",IF(V3699=0,"🟢 OK",IF(D3699&lt;corte,"⚪ HISTÓRICO (sem baixa)",IF(AND(ISNUMBER(R3699),R3699&lt;TODAY()),"🔴 PRAZO VENCIDO",IF(AND(OR(N3699="PENDENTE",N3699="PARCIAL"),D3699&lt;TODAY()-1),"🔴 EMBARQUE ATRASADO",IF(AND(N3699="REALIZADO",M3699="PENDENTE"),"🟡 EMBARCADO SEM FATURAR",IF(AND(P3699&lt;&gt;"",S3699="",OR(Q3699="",R3699="")),"🟡 PENDÊNCIA SEM RESPONSÁVEL/PRAZO",IF(AND(ISNUMBER(R3699),R3699=TODAY()),"🟡 VENCE HOJE",IF(AND(P3699&lt;&gt;"",S3699=""),"🟡 PENDÊNCIA ABERTA",IF(AND(N(J3699)&gt;0,N(K3699)&lt;J3699),"🟡 FALTA EXECUTAR",IF(OR(M3699="PENDENTE",M3699="PARCIAL"),"🟡 FATURAMENTO PENDENTE","🟡 EMBARQUE PENDENTE")))))))))))</f>
        <v/>
      </c>
      <c r="D3699" s="4" t="n"/>
      <c r="E3699" s="5" t="n"/>
      <c r="F3699" s="5" t="n"/>
      <c r="G3699" s="5" t="n"/>
      <c r="H3699" s="5" t="n"/>
      <c r="I3699" s="5" t="n"/>
      <c r="J3699" s="6" t="n"/>
      <c r="K3699" s="6" t="n"/>
      <c r="L3699" s="7">
        <f>IF(OR(D3699="",N(J3699)=0),"",MIN(1,N(K3699)/J3699))</f>
        <v/>
      </c>
      <c r="M3699" s="5" t="n"/>
      <c r="N3699" s="5" t="n"/>
      <c r="O3699" s="5" t="n"/>
      <c r="P3699" s="5" t="n"/>
      <c r="Q3699" s="5" t="n"/>
      <c r="R3699" s="4" t="n"/>
      <c r="S3699" s="4" t="n"/>
      <c r="T3699" s="5" t="n"/>
      <c r="U3699" s="8">
        <f>IF(AND(V3699=1,D3699&lt;&gt;""),IF(D3699&gt;=corte,TODAY()-D3699,""),"")</f>
        <v/>
      </c>
      <c r="V3699" s="8">
        <f>IF(D3699="",0,IF(OR(AND(P3699&lt;&gt;"",S3699=""),AND(N(J3699)&gt;0,N(K3699)&lt;J3699),OR(M3699="PENDENTE",M3699="PARCIAL"),OR(N3699="PENDENTE",N3699="PARCIAL")),1,0))</f>
        <v/>
      </c>
      <c r="W3699" s="8">
        <f>IF(AND(V3699=1,D3699&lt;&gt;""),IF(D3699&gt;=corte,(B3699="CRÍTICO")*1E9+(100000-D3699)*10000+10000-ROW(),""),"")</f>
        <v/>
      </c>
      <c r="X3699" s="8">
        <f>IF(AND(V3699=1,D3699=pas_data,E3699=pas_turno),10000-ROW(),"")</f>
        <v/>
      </c>
    </row>
    <row r="3700">
      <c r="A3700" s="3">
        <f>IF(D3700="","","TT-"&amp;TEXT(ROW()-1,"00000"))</f>
        <v/>
      </c>
      <c r="B3700" s="3">
        <f>IF(D3700="","",IF(V3700=0,"CONCLUÍDO",IF(D3700&lt;corte,"HISTÓRICO",IF(OR(AND(ISNUMBER(R3700),R3700&lt;TODAY()),AND(OR(N3700="PENDENTE",N3700="PARCIAL"),D3700&lt;TODAY()-1)),"CRÍTICO",IF(OR(AND(P3700&lt;&gt;"",S3700=""),AND(N3700="REALIZADO",M3700="PENDENTE"),AND(ISNUMBER(R3700),R3700=TODAY())),"ATENÇÃO",IF(N(K3700)=0,"PENDENTE","EM ANDAMENTO"))))))</f>
        <v/>
      </c>
      <c r="C3700" s="3">
        <f>IF(D3700="","",IF(V3700=0,"🟢 OK",IF(D3700&lt;corte,"⚪ HISTÓRICO (sem baixa)",IF(AND(ISNUMBER(R3700),R3700&lt;TODAY()),"🔴 PRAZO VENCIDO",IF(AND(OR(N3700="PENDENTE",N3700="PARCIAL"),D3700&lt;TODAY()-1),"🔴 EMBARQUE ATRASADO",IF(AND(N3700="REALIZADO",M3700="PENDENTE"),"🟡 EMBARCADO SEM FATURAR",IF(AND(P3700&lt;&gt;"",S3700="",OR(Q3700="",R3700="")),"🟡 PENDÊNCIA SEM RESPONSÁVEL/PRAZO",IF(AND(ISNUMBER(R3700),R3700=TODAY()),"🟡 VENCE HOJE",IF(AND(P3700&lt;&gt;"",S3700=""),"🟡 PENDÊNCIA ABERTA",IF(AND(N(J3700)&gt;0,N(K3700)&lt;J3700),"🟡 FALTA EXECUTAR",IF(OR(M3700="PENDENTE",M3700="PARCIAL"),"🟡 FATURAMENTO PENDENTE","🟡 EMBARQUE PENDENTE")))))))))))</f>
        <v/>
      </c>
      <c r="D3700" s="4" t="n"/>
      <c r="E3700" s="5" t="n"/>
      <c r="F3700" s="5" t="n"/>
      <c r="G3700" s="5" t="n"/>
      <c r="H3700" s="5" t="n"/>
      <c r="I3700" s="5" t="n"/>
      <c r="J3700" s="6" t="n"/>
      <c r="K3700" s="6" t="n"/>
      <c r="L3700" s="7">
        <f>IF(OR(D3700="",N(J3700)=0),"",MIN(1,N(K3700)/J3700))</f>
        <v/>
      </c>
      <c r="M3700" s="5" t="n"/>
      <c r="N3700" s="5" t="n"/>
      <c r="O3700" s="5" t="n"/>
      <c r="P3700" s="5" t="n"/>
      <c r="Q3700" s="5" t="n"/>
      <c r="R3700" s="4" t="n"/>
      <c r="S3700" s="4" t="n"/>
      <c r="T3700" s="5" t="n"/>
      <c r="U3700" s="8">
        <f>IF(AND(V3700=1,D3700&lt;&gt;""),IF(D3700&gt;=corte,TODAY()-D3700,""),"")</f>
        <v/>
      </c>
      <c r="V3700" s="8">
        <f>IF(D3700="",0,IF(OR(AND(P3700&lt;&gt;"",S3700=""),AND(N(J3700)&gt;0,N(K3700)&lt;J3700),OR(M3700="PENDENTE",M3700="PARCIAL"),OR(N3700="PENDENTE",N3700="PARCIAL")),1,0))</f>
        <v/>
      </c>
      <c r="W3700" s="8">
        <f>IF(AND(V3700=1,D3700&lt;&gt;""),IF(D3700&gt;=corte,(B3700="CRÍTICO")*1E9+(100000-D3700)*10000+10000-ROW(),""),"")</f>
        <v/>
      </c>
      <c r="X3700" s="8">
        <f>IF(AND(V3700=1,D3700=pas_data,E3700=pas_turno),10000-ROW(),"")</f>
        <v/>
      </c>
    </row>
    <row r="3701">
      <c r="A3701" s="3">
        <f>IF(D3701="","","TT-"&amp;TEXT(ROW()-1,"00000"))</f>
        <v/>
      </c>
      <c r="B3701" s="3">
        <f>IF(D3701="","",IF(V3701=0,"CONCLUÍDO",IF(D3701&lt;corte,"HISTÓRICO",IF(OR(AND(ISNUMBER(R3701),R3701&lt;TODAY()),AND(OR(N3701="PENDENTE",N3701="PARCIAL"),D3701&lt;TODAY()-1)),"CRÍTICO",IF(OR(AND(P3701&lt;&gt;"",S3701=""),AND(N3701="REALIZADO",M3701="PENDENTE"),AND(ISNUMBER(R3701),R3701=TODAY())),"ATENÇÃO",IF(N(K3701)=0,"PENDENTE","EM ANDAMENTO"))))))</f>
        <v/>
      </c>
      <c r="C3701" s="3">
        <f>IF(D3701="","",IF(V3701=0,"🟢 OK",IF(D3701&lt;corte,"⚪ HISTÓRICO (sem baixa)",IF(AND(ISNUMBER(R3701),R3701&lt;TODAY()),"🔴 PRAZO VENCIDO",IF(AND(OR(N3701="PENDENTE",N3701="PARCIAL"),D3701&lt;TODAY()-1),"🔴 EMBARQUE ATRASADO",IF(AND(N3701="REALIZADO",M3701="PENDENTE"),"🟡 EMBARCADO SEM FATURAR",IF(AND(P3701&lt;&gt;"",S3701="",OR(Q3701="",R3701="")),"🟡 PENDÊNCIA SEM RESPONSÁVEL/PRAZO",IF(AND(ISNUMBER(R3701),R3701=TODAY()),"🟡 VENCE HOJE",IF(AND(P3701&lt;&gt;"",S3701=""),"🟡 PENDÊNCIA ABERTA",IF(AND(N(J3701)&gt;0,N(K3701)&lt;J3701),"🟡 FALTA EXECUTAR",IF(OR(M3701="PENDENTE",M3701="PARCIAL"),"🟡 FATURAMENTO PENDENTE","🟡 EMBARQUE PENDENTE")))))))))))</f>
        <v/>
      </c>
      <c r="D3701" s="4" t="n"/>
      <c r="E3701" s="5" t="n"/>
      <c r="F3701" s="5" t="n"/>
      <c r="G3701" s="5" t="n"/>
      <c r="H3701" s="5" t="n"/>
      <c r="I3701" s="5" t="n"/>
      <c r="J3701" s="6" t="n"/>
      <c r="K3701" s="6" t="n"/>
      <c r="L3701" s="7">
        <f>IF(OR(D3701="",N(J3701)=0),"",MIN(1,N(K3701)/J3701))</f>
        <v/>
      </c>
      <c r="M3701" s="5" t="n"/>
      <c r="N3701" s="5" t="n"/>
      <c r="O3701" s="5" t="n"/>
      <c r="P3701" s="5" t="n"/>
      <c r="Q3701" s="5" t="n"/>
      <c r="R3701" s="4" t="n"/>
      <c r="S3701" s="4" t="n"/>
      <c r="T3701" s="5" t="n"/>
      <c r="U3701" s="8">
        <f>IF(AND(V3701=1,D3701&lt;&gt;""),IF(D3701&gt;=corte,TODAY()-D3701,""),"")</f>
        <v/>
      </c>
      <c r="V3701" s="8">
        <f>IF(D3701="",0,IF(OR(AND(P3701&lt;&gt;"",S3701=""),AND(N(J3701)&gt;0,N(K3701)&lt;J3701),OR(M3701="PENDENTE",M3701="PARCIAL"),OR(N3701="PENDENTE",N3701="PARCIAL")),1,0))</f>
        <v/>
      </c>
      <c r="W3701" s="8">
        <f>IF(AND(V3701=1,D3701&lt;&gt;""),IF(D3701&gt;=corte,(B3701="CRÍTICO")*1E9+(100000-D3701)*10000+10000-ROW(),""),"")</f>
        <v/>
      </c>
      <c r="X3701" s="8">
        <f>IF(AND(V3701=1,D3701=pas_data,E3701=pas_turno),10000-ROW(),"")</f>
        <v/>
      </c>
    </row>
    <row r="3702">
      <c r="A3702" s="3">
        <f>IF(D3702="","","TT-"&amp;TEXT(ROW()-1,"00000"))</f>
        <v/>
      </c>
      <c r="B3702" s="3">
        <f>IF(D3702="","",IF(V3702=0,"CONCLUÍDO",IF(D3702&lt;corte,"HISTÓRICO",IF(OR(AND(ISNUMBER(R3702),R3702&lt;TODAY()),AND(OR(N3702="PENDENTE",N3702="PARCIAL"),D3702&lt;TODAY()-1)),"CRÍTICO",IF(OR(AND(P3702&lt;&gt;"",S3702=""),AND(N3702="REALIZADO",M3702="PENDENTE"),AND(ISNUMBER(R3702),R3702=TODAY())),"ATENÇÃO",IF(N(K3702)=0,"PENDENTE","EM ANDAMENTO"))))))</f>
        <v/>
      </c>
      <c r="C3702" s="3">
        <f>IF(D3702="","",IF(V3702=0,"🟢 OK",IF(D3702&lt;corte,"⚪ HISTÓRICO (sem baixa)",IF(AND(ISNUMBER(R3702),R3702&lt;TODAY()),"🔴 PRAZO VENCIDO",IF(AND(OR(N3702="PENDENTE",N3702="PARCIAL"),D3702&lt;TODAY()-1),"🔴 EMBARQUE ATRASADO",IF(AND(N3702="REALIZADO",M3702="PENDENTE"),"🟡 EMBARCADO SEM FATURAR",IF(AND(P3702&lt;&gt;"",S3702="",OR(Q3702="",R3702="")),"🟡 PENDÊNCIA SEM RESPONSÁVEL/PRAZO",IF(AND(ISNUMBER(R3702),R3702=TODAY()),"🟡 VENCE HOJE",IF(AND(P3702&lt;&gt;"",S3702=""),"🟡 PENDÊNCIA ABERTA",IF(AND(N(J3702)&gt;0,N(K3702)&lt;J3702),"🟡 FALTA EXECUTAR",IF(OR(M3702="PENDENTE",M3702="PARCIAL"),"🟡 FATURAMENTO PENDENTE","🟡 EMBARQUE PENDENTE")))))))))))</f>
        <v/>
      </c>
      <c r="D3702" s="4" t="n"/>
      <c r="E3702" s="5" t="n"/>
      <c r="F3702" s="5" t="n"/>
      <c r="G3702" s="5" t="n"/>
      <c r="H3702" s="5" t="n"/>
      <c r="I3702" s="5" t="n"/>
      <c r="J3702" s="6" t="n"/>
      <c r="K3702" s="6" t="n"/>
      <c r="L3702" s="7">
        <f>IF(OR(D3702="",N(J3702)=0),"",MIN(1,N(K3702)/J3702))</f>
        <v/>
      </c>
      <c r="M3702" s="5" t="n"/>
      <c r="N3702" s="5" t="n"/>
      <c r="O3702" s="5" t="n"/>
      <c r="P3702" s="5" t="n"/>
      <c r="Q3702" s="5" t="n"/>
      <c r="R3702" s="4" t="n"/>
      <c r="S3702" s="4" t="n"/>
      <c r="T3702" s="5" t="n"/>
      <c r="U3702" s="8">
        <f>IF(AND(V3702=1,D3702&lt;&gt;""),IF(D3702&gt;=corte,TODAY()-D3702,""),"")</f>
        <v/>
      </c>
      <c r="V3702" s="8">
        <f>IF(D3702="",0,IF(OR(AND(P3702&lt;&gt;"",S3702=""),AND(N(J3702)&gt;0,N(K3702)&lt;J3702),OR(M3702="PENDENTE",M3702="PARCIAL"),OR(N3702="PENDENTE",N3702="PARCIAL")),1,0))</f>
        <v/>
      </c>
      <c r="W3702" s="8">
        <f>IF(AND(V3702=1,D3702&lt;&gt;""),IF(D3702&gt;=corte,(B3702="CRÍTICO")*1E9+(100000-D3702)*10000+10000-ROW(),""),"")</f>
        <v/>
      </c>
      <c r="X3702" s="8">
        <f>IF(AND(V3702=1,D3702=pas_data,E3702=pas_turno),10000-ROW(),"")</f>
        <v/>
      </c>
    </row>
    <row r="3703">
      <c r="A3703" s="3">
        <f>IF(D3703="","","TT-"&amp;TEXT(ROW()-1,"00000"))</f>
        <v/>
      </c>
      <c r="B3703" s="3">
        <f>IF(D3703="","",IF(V3703=0,"CONCLUÍDO",IF(D3703&lt;corte,"HISTÓRICO",IF(OR(AND(ISNUMBER(R3703),R3703&lt;TODAY()),AND(OR(N3703="PENDENTE",N3703="PARCIAL"),D3703&lt;TODAY()-1)),"CRÍTICO",IF(OR(AND(P3703&lt;&gt;"",S3703=""),AND(N3703="REALIZADO",M3703="PENDENTE"),AND(ISNUMBER(R3703),R3703=TODAY())),"ATENÇÃO",IF(N(K3703)=0,"PENDENTE","EM ANDAMENTO"))))))</f>
        <v/>
      </c>
      <c r="C3703" s="3">
        <f>IF(D3703="","",IF(V3703=0,"🟢 OK",IF(D3703&lt;corte,"⚪ HISTÓRICO (sem baixa)",IF(AND(ISNUMBER(R3703),R3703&lt;TODAY()),"🔴 PRAZO VENCIDO",IF(AND(OR(N3703="PENDENTE",N3703="PARCIAL"),D3703&lt;TODAY()-1),"🔴 EMBARQUE ATRASADO",IF(AND(N3703="REALIZADO",M3703="PENDENTE"),"🟡 EMBARCADO SEM FATURAR",IF(AND(P3703&lt;&gt;"",S3703="",OR(Q3703="",R3703="")),"🟡 PENDÊNCIA SEM RESPONSÁVEL/PRAZO",IF(AND(ISNUMBER(R3703),R3703=TODAY()),"🟡 VENCE HOJE",IF(AND(P3703&lt;&gt;"",S3703=""),"🟡 PENDÊNCIA ABERTA",IF(AND(N(J3703)&gt;0,N(K3703)&lt;J3703),"🟡 FALTA EXECUTAR",IF(OR(M3703="PENDENTE",M3703="PARCIAL"),"🟡 FATURAMENTO PENDENTE","🟡 EMBARQUE PENDENTE")))))))))))</f>
        <v/>
      </c>
      <c r="D3703" s="4" t="n"/>
      <c r="E3703" s="5" t="n"/>
      <c r="F3703" s="5" t="n"/>
      <c r="G3703" s="5" t="n"/>
      <c r="H3703" s="5" t="n"/>
      <c r="I3703" s="5" t="n"/>
      <c r="J3703" s="6" t="n"/>
      <c r="K3703" s="6" t="n"/>
      <c r="L3703" s="7">
        <f>IF(OR(D3703="",N(J3703)=0),"",MIN(1,N(K3703)/J3703))</f>
        <v/>
      </c>
      <c r="M3703" s="5" t="n"/>
      <c r="N3703" s="5" t="n"/>
      <c r="O3703" s="5" t="n"/>
      <c r="P3703" s="5" t="n"/>
      <c r="Q3703" s="5" t="n"/>
      <c r="R3703" s="4" t="n"/>
      <c r="S3703" s="4" t="n"/>
      <c r="T3703" s="5" t="n"/>
      <c r="U3703" s="8">
        <f>IF(AND(V3703=1,D3703&lt;&gt;""),IF(D3703&gt;=corte,TODAY()-D3703,""),"")</f>
        <v/>
      </c>
      <c r="V3703" s="8">
        <f>IF(D3703="",0,IF(OR(AND(P3703&lt;&gt;"",S3703=""),AND(N(J3703)&gt;0,N(K3703)&lt;J3703),OR(M3703="PENDENTE",M3703="PARCIAL"),OR(N3703="PENDENTE",N3703="PARCIAL")),1,0))</f>
        <v/>
      </c>
      <c r="W3703" s="8">
        <f>IF(AND(V3703=1,D3703&lt;&gt;""),IF(D3703&gt;=corte,(B3703="CRÍTICO")*1E9+(100000-D3703)*10000+10000-ROW(),""),"")</f>
        <v/>
      </c>
      <c r="X3703" s="8">
        <f>IF(AND(V3703=1,D3703=pas_data,E3703=pas_turno),10000-ROW(),"")</f>
        <v/>
      </c>
    </row>
    <row r="3704">
      <c r="A3704" s="3">
        <f>IF(D3704="","","TT-"&amp;TEXT(ROW()-1,"00000"))</f>
        <v/>
      </c>
      <c r="B3704" s="3">
        <f>IF(D3704="","",IF(V3704=0,"CONCLUÍDO",IF(D3704&lt;corte,"HISTÓRICO",IF(OR(AND(ISNUMBER(R3704),R3704&lt;TODAY()),AND(OR(N3704="PENDENTE",N3704="PARCIAL"),D3704&lt;TODAY()-1)),"CRÍTICO",IF(OR(AND(P3704&lt;&gt;"",S3704=""),AND(N3704="REALIZADO",M3704="PENDENTE"),AND(ISNUMBER(R3704),R3704=TODAY())),"ATENÇÃO",IF(N(K3704)=0,"PENDENTE","EM ANDAMENTO"))))))</f>
        <v/>
      </c>
      <c r="C3704" s="3">
        <f>IF(D3704="","",IF(V3704=0,"🟢 OK",IF(D3704&lt;corte,"⚪ HISTÓRICO (sem baixa)",IF(AND(ISNUMBER(R3704),R3704&lt;TODAY()),"🔴 PRAZO VENCIDO",IF(AND(OR(N3704="PENDENTE",N3704="PARCIAL"),D3704&lt;TODAY()-1),"🔴 EMBARQUE ATRASADO",IF(AND(N3704="REALIZADO",M3704="PENDENTE"),"🟡 EMBARCADO SEM FATURAR",IF(AND(P3704&lt;&gt;"",S3704="",OR(Q3704="",R3704="")),"🟡 PENDÊNCIA SEM RESPONSÁVEL/PRAZO",IF(AND(ISNUMBER(R3704),R3704=TODAY()),"🟡 VENCE HOJE",IF(AND(P3704&lt;&gt;"",S3704=""),"🟡 PENDÊNCIA ABERTA",IF(AND(N(J3704)&gt;0,N(K3704)&lt;J3704),"🟡 FALTA EXECUTAR",IF(OR(M3704="PENDENTE",M3704="PARCIAL"),"🟡 FATURAMENTO PENDENTE","🟡 EMBARQUE PENDENTE")))))))))))</f>
        <v/>
      </c>
      <c r="D3704" s="4" t="n"/>
      <c r="E3704" s="5" t="n"/>
      <c r="F3704" s="5" t="n"/>
      <c r="G3704" s="5" t="n"/>
      <c r="H3704" s="5" t="n"/>
      <c r="I3704" s="5" t="n"/>
      <c r="J3704" s="6" t="n"/>
      <c r="K3704" s="6" t="n"/>
      <c r="L3704" s="7">
        <f>IF(OR(D3704="",N(J3704)=0),"",MIN(1,N(K3704)/J3704))</f>
        <v/>
      </c>
      <c r="M3704" s="5" t="n"/>
      <c r="N3704" s="5" t="n"/>
      <c r="O3704" s="5" t="n"/>
      <c r="P3704" s="5" t="n"/>
      <c r="Q3704" s="5" t="n"/>
      <c r="R3704" s="4" t="n"/>
      <c r="S3704" s="4" t="n"/>
      <c r="T3704" s="5" t="n"/>
      <c r="U3704" s="8">
        <f>IF(AND(V3704=1,D3704&lt;&gt;""),IF(D3704&gt;=corte,TODAY()-D3704,""),"")</f>
        <v/>
      </c>
      <c r="V3704" s="8">
        <f>IF(D3704="",0,IF(OR(AND(P3704&lt;&gt;"",S3704=""),AND(N(J3704)&gt;0,N(K3704)&lt;J3704),OR(M3704="PENDENTE",M3704="PARCIAL"),OR(N3704="PENDENTE",N3704="PARCIAL")),1,0))</f>
        <v/>
      </c>
      <c r="W3704" s="8">
        <f>IF(AND(V3704=1,D3704&lt;&gt;""),IF(D3704&gt;=corte,(B3704="CRÍTICO")*1E9+(100000-D3704)*10000+10000-ROW(),""),"")</f>
        <v/>
      </c>
      <c r="X3704" s="8">
        <f>IF(AND(V3704=1,D3704=pas_data,E3704=pas_turno),10000-ROW(),"")</f>
        <v/>
      </c>
    </row>
    <row r="3705">
      <c r="A3705" s="3">
        <f>IF(D3705="","","TT-"&amp;TEXT(ROW()-1,"00000"))</f>
        <v/>
      </c>
      <c r="B3705" s="3">
        <f>IF(D3705="","",IF(V3705=0,"CONCLUÍDO",IF(D3705&lt;corte,"HISTÓRICO",IF(OR(AND(ISNUMBER(R3705),R3705&lt;TODAY()),AND(OR(N3705="PENDENTE",N3705="PARCIAL"),D3705&lt;TODAY()-1)),"CRÍTICO",IF(OR(AND(P3705&lt;&gt;"",S3705=""),AND(N3705="REALIZADO",M3705="PENDENTE"),AND(ISNUMBER(R3705),R3705=TODAY())),"ATENÇÃO",IF(N(K3705)=0,"PENDENTE","EM ANDAMENTO"))))))</f>
        <v/>
      </c>
      <c r="C3705" s="3">
        <f>IF(D3705="","",IF(V3705=0,"🟢 OK",IF(D3705&lt;corte,"⚪ HISTÓRICO (sem baixa)",IF(AND(ISNUMBER(R3705),R3705&lt;TODAY()),"🔴 PRAZO VENCIDO",IF(AND(OR(N3705="PENDENTE",N3705="PARCIAL"),D3705&lt;TODAY()-1),"🔴 EMBARQUE ATRASADO",IF(AND(N3705="REALIZADO",M3705="PENDENTE"),"🟡 EMBARCADO SEM FATURAR",IF(AND(P3705&lt;&gt;"",S3705="",OR(Q3705="",R3705="")),"🟡 PENDÊNCIA SEM RESPONSÁVEL/PRAZO",IF(AND(ISNUMBER(R3705),R3705=TODAY()),"🟡 VENCE HOJE",IF(AND(P3705&lt;&gt;"",S3705=""),"🟡 PENDÊNCIA ABERTA",IF(AND(N(J3705)&gt;0,N(K3705)&lt;J3705),"🟡 FALTA EXECUTAR",IF(OR(M3705="PENDENTE",M3705="PARCIAL"),"🟡 FATURAMENTO PENDENTE","🟡 EMBARQUE PENDENTE")))))))))))</f>
        <v/>
      </c>
      <c r="D3705" s="4" t="n"/>
      <c r="E3705" s="5" t="n"/>
      <c r="F3705" s="5" t="n"/>
      <c r="G3705" s="5" t="n"/>
      <c r="H3705" s="5" t="n"/>
      <c r="I3705" s="5" t="n"/>
      <c r="J3705" s="6" t="n"/>
      <c r="K3705" s="6" t="n"/>
      <c r="L3705" s="7">
        <f>IF(OR(D3705="",N(J3705)=0),"",MIN(1,N(K3705)/J3705))</f>
        <v/>
      </c>
      <c r="M3705" s="5" t="n"/>
      <c r="N3705" s="5" t="n"/>
      <c r="O3705" s="5" t="n"/>
      <c r="P3705" s="5" t="n"/>
      <c r="Q3705" s="5" t="n"/>
      <c r="R3705" s="4" t="n"/>
      <c r="S3705" s="4" t="n"/>
      <c r="T3705" s="5" t="n"/>
      <c r="U3705" s="8">
        <f>IF(AND(V3705=1,D3705&lt;&gt;""),IF(D3705&gt;=corte,TODAY()-D3705,""),"")</f>
        <v/>
      </c>
      <c r="V3705" s="8">
        <f>IF(D3705="",0,IF(OR(AND(P3705&lt;&gt;"",S3705=""),AND(N(J3705)&gt;0,N(K3705)&lt;J3705),OR(M3705="PENDENTE",M3705="PARCIAL"),OR(N3705="PENDENTE",N3705="PARCIAL")),1,0))</f>
        <v/>
      </c>
      <c r="W3705" s="8">
        <f>IF(AND(V3705=1,D3705&lt;&gt;""),IF(D3705&gt;=corte,(B3705="CRÍTICO")*1E9+(100000-D3705)*10000+10000-ROW(),""),"")</f>
        <v/>
      </c>
      <c r="X3705" s="8">
        <f>IF(AND(V3705=1,D3705=pas_data,E3705=pas_turno),10000-ROW(),"")</f>
        <v/>
      </c>
    </row>
    <row r="3706">
      <c r="A3706" s="3">
        <f>IF(D3706="","","TT-"&amp;TEXT(ROW()-1,"00000"))</f>
        <v/>
      </c>
      <c r="B3706" s="3">
        <f>IF(D3706="","",IF(V3706=0,"CONCLUÍDO",IF(D3706&lt;corte,"HISTÓRICO",IF(OR(AND(ISNUMBER(R3706),R3706&lt;TODAY()),AND(OR(N3706="PENDENTE",N3706="PARCIAL"),D3706&lt;TODAY()-1)),"CRÍTICO",IF(OR(AND(P3706&lt;&gt;"",S3706=""),AND(N3706="REALIZADO",M3706="PENDENTE"),AND(ISNUMBER(R3706),R3706=TODAY())),"ATENÇÃO",IF(N(K3706)=0,"PENDENTE","EM ANDAMENTO"))))))</f>
        <v/>
      </c>
      <c r="C3706" s="3">
        <f>IF(D3706="","",IF(V3706=0,"🟢 OK",IF(D3706&lt;corte,"⚪ HISTÓRICO (sem baixa)",IF(AND(ISNUMBER(R3706),R3706&lt;TODAY()),"🔴 PRAZO VENCIDO",IF(AND(OR(N3706="PENDENTE",N3706="PARCIAL"),D3706&lt;TODAY()-1),"🔴 EMBARQUE ATRASADO",IF(AND(N3706="REALIZADO",M3706="PENDENTE"),"🟡 EMBARCADO SEM FATURAR",IF(AND(P3706&lt;&gt;"",S3706="",OR(Q3706="",R3706="")),"🟡 PENDÊNCIA SEM RESPONSÁVEL/PRAZO",IF(AND(ISNUMBER(R3706),R3706=TODAY()),"🟡 VENCE HOJE",IF(AND(P3706&lt;&gt;"",S3706=""),"🟡 PENDÊNCIA ABERTA",IF(AND(N(J3706)&gt;0,N(K3706)&lt;J3706),"🟡 FALTA EXECUTAR",IF(OR(M3706="PENDENTE",M3706="PARCIAL"),"🟡 FATURAMENTO PENDENTE","🟡 EMBARQUE PENDENTE")))))))))))</f>
        <v/>
      </c>
      <c r="D3706" s="4" t="n"/>
      <c r="E3706" s="5" t="n"/>
      <c r="F3706" s="5" t="n"/>
      <c r="G3706" s="5" t="n"/>
      <c r="H3706" s="5" t="n"/>
      <c r="I3706" s="5" t="n"/>
      <c r="J3706" s="6" t="n"/>
      <c r="K3706" s="6" t="n"/>
      <c r="L3706" s="7">
        <f>IF(OR(D3706="",N(J3706)=0),"",MIN(1,N(K3706)/J3706))</f>
        <v/>
      </c>
      <c r="M3706" s="5" t="n"/>
      <c r="N3706" s="5" t="n"/>
      <c r="O3706" s="5" t="n"/>
      <c r="P3706" s="5" t="n"/>
      <c r="Q3706" s="5" t="n"/>
      <c r="R3706" s="4" t="n"/>
      <c r="S3706" s="4" t="n"/>
      <c r="T3706" s="5" t="n"/>
      <c r="U3706" s="8">
        <f>IF(AND(V3706=1,D3706&lt;&gt;""),IF(D3706&gt;=corte,TODAY()-D3706,""),"")</f>
        <v/>
      </c>
      <c r="V3706" s="8">
        <f>IF(D3706="",0,IF(OR(AND(P3706&lt;&gt;"",S3706=""),AND(N(J3706)&gt;0,N(K3706)&lt;J3706),OR(M3706="PENDENTE",M3706="PARCIAL"),OR(N3706="PENDENTE",N3706="PARCIAL")),1,0))</f>
        <v/>
      </c>
      <c r="W3706" s="8">
        <f>IF(AND(V3706=1,D3706&lt;&gt;""),IF(D3706&gt;=corte,(B3706="CRÍTICO")*1E9+(100000-D3706)*10000+10000-ROW(),""),"")</f>
        <v/>
      </c>
      <c r="X3706" s="8">
        <f>IF(AND(V3706=1,D3706=pas_data,E3706=pas_turno),10000-ROW(),"")</f>
        <v/>
      </c>
    </row>
    <row r="3707">
      <c r="A3707" s="3">
        <f>IF(D3707="","","TT-"&amp;TEXT(ROW()-1,"00000"))</f>
        <v/>
      </c>
      <c r="B3707" s="3">
        <f>IF(D3707="","",IF(V3707=0,"CONCLUÍDO",IF(D3707&lt;corte,"HISTÓRICO",IF(OR(AND(ISNUMBER(R3707),R3707&lt;TODAY()),AND(OR(N3707="PENDENTE",N3707="PARCIAL"),D3707&lt;TODAY()-1)),"CRÍTICO",IF(OR(AND(P3707&lt;&gt;"",S3707=""),AND(N3707="REALIZADO",M3707="PENDENTE"),AND(ISNUMBER(R3707),R3707=TODAY())),"ATENÇÃO",IF(N(K3707)=0,"PENDENTE","EM ANDAMENTO"))))))</f>
        <v/>
      </c>
      <c r="C3707" s="3">
        <f>IF(D3707="","",IF(V3707=0,"🟢 OK",IF(D3707&lt;corte,"⚪ HISTÓRICO (sem baixa)",IF(AND(ISNUMBER(R3707),R3707&lt;TODAY()),"🔴 PRAZO VENCIDO",IF(AND(OR(N3707="PENDENTE",N3707="PARCIAL"),D3707&lt;TODAY()-1),"🔴 EMBARQUE ATRASADO",IF(AND(N3707="REALIZADO",M3707="PENDENTE"),"🟡 EMBARCADO SEM FATURAR",IF(AND(P3707&lt;&gt;"",S3707="",OR(Q3707="",R3707="")),"🟡 PENDÊNCIA SEM RESPONSÁVEL/PRAZO",IF(AND(ISNUMBER(R3707),R3707=TODAY()),"🟡 VENCE HOJE",IF(AND(P3707&lt;&gt;"",S3707=""),"🟡 PENDÊNCIA ABERTA",IF(AND(N(J3707)&gt;0,N(K3707)&lt;J3707),"🟡 FALTA EXECUTAR",IF(OR(M3707="PENDENTE",M3707="PARCIAL"),"🟡 FATURAMENTO PENDENTE","🟡 EMBARQUE PENDENTE")))))))))))</f>
        <v/>
      </c>
      <c r="D3707" s="4" t="n"/>
      <c r="E3707" s="5" t="n"/>
      <c r="F3707" s="5" t="n"/>
      <c r="G3707" s="5" t="n"/>
      <c r="H3707" s="5" t="n"/>
      <c r="I3707" s="5" t="n"/>
      <c r="J3707" s="6" t="n"/>
      <c r="K3707" s="6" t="n"/>
      <c r="L3707" s="7">
        <f>IF(OR(D3707="",N(J3707)=0),"",MIN(1,N(K3707)/J3707))</f>
        <v/>
      </c>
      <c r="M3707" s="5" t="n"/>
      <c r="N3707" s="5" t="n"/>
      <c r="O3707" s="5" t="n"/>
      <c r="P3707" s="5" t="n"/>
      <c r="Q3707" s="5" t="n"/>
      <c r="R3707" s="4" t="n"/>
      <c r="S3707" s="4" t="n"/>
      <c r="T3707" s="5" t="n"/>
      <c r="U3707" s="8">
        <f>IF(AND(V3707=1,D3707&lt;&gt;""),IF(D3707&gt;=corte,TODAY()-D3707,""),"")</f>
        <v/>
      </c>
      <c r="V3707" s="8">
        <f>IF(D3707="",0,IF(OR(AND(P3707&lt;&gt;"",S3707=""),AND(N(J3707)&gt;0,N(K3707)&lt;J3707),OR(M3707="PENDENTE",M3707="PARCIAL"),OR(N3707="PENDENTE",N3707="PARCIAL")),1,0))</f>
        <v/>
      </c>
      <c r="W3707" s="8">
        <f>IF(AND(V3707=1,D3707&lt;&gt;""),IF(D3707&gt;=corte,(B3707="CRÍTICO")*1E9+(100000-D3707)*10000+10000-ROW(),""),"")</f>
        <v/>
      </c>
      <c r="X3707" s="8">
        <f>IF(AND(V3707=1,D3707=pas_data,E3707=pas_turno),10000-ROW(),"")</f>
        <v/>
      </c>
    </row>
    <row r="3708">
      <c r="A3708" s="3">
        <f>IF(D3708="","","TT-"&amp;TEXT(ROW()-1,"00000"))</f>
        <v/>
      </c>
      <c r="B3708" s="3">
        <f>IF(D3708="","",IF(V3708=0,"CONCLUÍDO",IF(D3708&lt;corte,"HISTÓRICO",IF(OR(AND(ISNUMBER(R3708),R3708&lt;TODAY()),AND(OR(N3708="PENDENTE",N3708="PARCIAL"),D3708&lt;TODAY()-1)),"CRÍTICO",IF(OR(AND(P3708&lt;&gt;"",S3708=""),AND(N3708="REALIZADO",M3708="PENDENTE"),AND(ISNUMBER(R3708),R3708=TODAY())),"ATENÇÃO",IF(N(K3708)=0,"PENDENTE","EM ANDAMENTO"))))))</f>
        <v/>
      </c>
      <c r="C3708" s="3">
        <f>IF(D3708="","",IF(V3708=0,"🟢 OK",IF(D3708&lt;corte,"⚪ HISTÓRICO (sem baixa)",IF(AND(ISNUMBER(R3708),R3708&lt;TODAY()),"🔴 PRAZO VENCIDO",IF(AND(OR(N3708="PENDENTE",N3708="PARCIAL"),D3708&lt;TODAY()-1),"🔴 EMBARQUE ATRASADO",IF(AND(N3708="REALIZADO",M3708="PENDENTE"),"🟡 EMBARCADO SEM FATURAR",IF(AND(P3708&lt;&gt;"",S3708="",OR(Q3708="",R3708="")),"🟡 PENDÊNCIA SEM RESPONSÁVEL/PRAZO",IF(AND(ISNUMBER(R3708),R3708=TODAY()),"🟡 VENCE HOJE",IF(AND(P3708&lt;&gt;"",S3708=""),"🟡 PENDÊNCIA ABERTA",IF(AND(N(J3708)&gt;0,N(K3708)&lt;J3708),"🟡 FALTA EXECUTAR",IF(OR(M3708="PENDENTE",M3708="PARCIAL"),"🟡 FATURAMENTO PENDENTE","🟡 EMBARQUE PENDENTE")))))))))))</f>
        <v/>
      </c>
      <c r="D3708" s="4" t="n"/>
      <c r="E3708" s="5" t="n"/>
      <c r="F3708" s="5" t="n"/>
      <c r="G3708" s="5" t="n"/>
      <c r="H3708" s="5" t="n"/>
      <c r="I3708" s="5" t="n"/>
      <c r="J3708" s="6" t="n"/>
      <c r="K3708" s="6" t="n"/>
      <c r="L3708" s="7">
        <f>IF(OR(D3708="",N(J3708)=0),"",MIN(1,N(K3708)/J3708))</f>
        <v/>
      </c>
      <c r="M3708" s="5" t="n"/>
      <c r="N3708" s="5" t="n"/>
      <c r="O3708" s="5" t="n"/>
      <c r="P3708" s="5" t="n"/>
      <c r="Q3708" s="5" t="n"/>
      <c r="R3708" s="4" t="n"/>
      <c r="S3708" s="4" t="n"/>
      <c r="T3708" s="5" t="n"/>
      <c r="U3708" s="8">
        <f>IF(AND(V3708=1,D3708&lt;&gt;""),IF(D3708&gt;=corte,TODAY()-D3708,""),"")</f>
        <v/>
      </c>
      <c r="V3708" s="8">
        <f>IF(D3708="",0,IF(OR(AND(P3708&lt;&gt;"",S3708=""),AND(N(J3708)&gt;0,N(K3708)&lt;J3708),OR(M3708="PENDENTE",M3708="PARCIAL"),OR(N3708="PENDENTE",N3708="PARCIAL")),1,0))</f>
        <v/>
      </c>
      <c r="W3708" s="8">
        <f>IF(AND(V3708=1,D3708&lt;&gt;""),IF(D3708&gt;=corte,(B3708="CRÍTICO")*1E9+(100000-D3708)*10000+10000-ROW(),""),"")</f>
        <v/>
      </c>
      <c r="X3708" s="8">
        <f>IF(AND(V3708=1,D3708=pas_data,E3708=pas_turno),10000-ROW(),"")</f>
        <v/>
      </c>
    </row>
    <row r="3709">
      <c r="A3709" s="3">
        <f>IF(D3709="","","TT-"&amp;TEXT(ROW()-1,"00000"))</f>
        <v/>
      </c>
      <c r="B3709" s="3">
        <f>IF(D3709="","",IF(V3709=0,"CONCLUÍDO",IF(D3709&lt;corte,"HISTÓRICO",IF(OR(AND(ISNUMBER(R3709),R3709&lt;TODAY()),AND(OR(N3709="PENDENTE",N3709="PARCIAL"),D3709&lt;TODAY()-1)),"CRÍTICO",IF(OR(AND(P3709&lt;&gt;"",S3709=""),AND(N3709="REALIZADO",M3709="PENDENTE"),AND(ISNUMBER(R3709),R3709=TODAY())),"ATENÇÃO",IF(N(K3709)=0,"PENDENTE","EM ANDAMENTO"))))))</f>
        <v/>
      </c>
      <c r="C3709" s="3">
        <f>IF(D3709="","",IF(V3709=0,"🟢 OK",IF(D3709&lt;corte,"⚪ HISTÓRICO (sem baixa)",IF(AND(ISNUMBER(R3709),R3709&lt;TODAY()),"🔴 PRAZO VENCIDO",IF(AND(OR(N3709="PENDENTE",N3709="PARCIAL"),D3709&lt;TODAY()-1),"🔴 EMBARQUE ATRASADO",IF(AND(N3709="REALIZADO",M3709="PENDENTE"),"🟡 EMBARCADO SEM FATURAR",IF(AND(P3709&lt;&gt;"",S3709="",OR(Q3709="",R3709="")),"🟡 PENDÊNCIA SEM RESPONSÁVEL/PRAZO",IF(AND(ISNUMBER(R3709),R3709=TODAY()),"🟡 VENCE HOJE",IF(AND(P3709&lt;&gt;"",S3709=""),"🟡 PENDÊNCIA ABERTA",IF(AND(N(J3709)&gt;0,N(K3709)&lt;J3709),"🟡 FALTA EXECUTAR",IF(OR(M3709="PENDENTE",M3709="PARCIAL"),"🟡 FATURAMENTO PENDENTE","🟡 EMBARQUE PENDENTE")))))))))))</f>
        <v/>
      </c>
      <c r="D3709" s="4" t="n"/>
      <c r="E3709" s="5" t="n"/>
      <c r="F3709" s="5" t="n"/>
      <c r="G3709" s="5" t="n"/>
      <c r="H3709" s="5" t="n"/>
      <c r="I3709" s="5" t="n"/>
      <c r="J3709" s="6" t="n"/>
      <c r="K3709" s="6" t="n"/>
      <c r="L3709" s="7">
        <f>IF(OR(D3709="",N(J3709)=0),"",MIN(1,N(K3709)/J3709))</f>
        <v/>
      </c>
      <c r="M3709" s="5" t="n"/>
      <c r="N3709" s="5" t="n"/>
      <c r="O3709" s="5" t="n"/>
      <c r="P3709" s="5" t="n"/>
      <c r="Q3709" s="5" t="n"/>
      <c r="R3709" s="4" t="n"/>
      <c r="S3709" s="4" t="n"/>
      <c r="T3709" s="5" t="n"/>
      <c r="U3709" s="8">
        <f>IF(AND(V3709=1,D3709&lt;&gt;""),IF(D3709&gt;=corte,TODAY()-D3709,""),"")</f>
        <v/>
      </c>
      <c r="V3709" s="8">
        <f>IF(D3709="",0,IF(OR(AND(P3709&lt;&gt;"",S3709=""),AND(N(J3709)&gt;0,N(K3709)&lt;J3709),OR(M3709="PENDENTE",M3709="PARCIAL"),OR(N3709="PENDENTE",N3709="PARCIAL")),1,0))</f>
        <v/>
      </c>
      <c r="W3709" s="8">
        <f>IF(AND(V3709=1,D3709&lt;&gt;""),IF(D3709&gt;=corte,(B3709="CRÍTICO")*1E9+(100000-D3709)*10000+10000-ROW(),""),"")</f>
        <v/>
      </c>
      <c r="X3709" s="8">
        <f>IF(AND(V3709=1,D3709=pas_data,E3709=pas_turno),10000-ROW(),"")</f>
        <v/>
      </c>
    </row>
    <row r="3710">
      <c r="A3710" s="3">
        <f>IF(D3710="","","TT-"&amp;TEXT(ROW()-1,"00000"))</f>
        <v/>
      </c>
      <c r="B3710" s="3">
        <f>IF(D3710="","",IF(V3710=0,"CONCLUÍDO",IF(D3710&lt;corte,"HISTÓRICO",IF(OR(AND(ISNUMBER(R3710),R3710&lt;TODAY()),AND(OR(N3710="PENDENTE",N3710="PARCIAL"),D3710&lt;TODAY()-1)),"CRÍTICO",IF(OR(AND(P3710&lt;&gt;"",S3710=""),AND(N3710="REALIZADO",M3710="PENDENTE"),AND(ISNUMBER(R3710),R3710=TODAY())),"ATENÇÃO",IF(N(K3710)=0,"PENDENTE","EM ANDAMENTO"))))))</f>
        <v/>
      </c>
      <c r="C3710" s="3">
        <f>IF(D3710="","",IF(V3710=0,"🟢 OK",IF(D3710&lt;corte,"⚪ HISTÓRICO (sem baixa)",IF(AND(ISNUMBER(R3710),R3710&lt;TODAY()),"🔴 PRAZO VENCIDO",IF(AND(OR(N3710="PENDENTE",N3710="PARCIAL"),D3710&lt;TODAY()-1),"🔴 EMBARQUE ATRASADO",IF(AND(N3710="REALIZADO",M3710="PENDENTE"),"🟡 EMBARCADO SEM FATURAR",IF(AND(P3710&lt;&gt;"",S3710="",OR(Q3710="",R3710="")),"🟡 PENDÊNCIA SEM RESPONSÁVEL/PRAZO",IF(AND(ISNUMBER(R3710),R3710=TODAY()),"🟡 VENCE HOJE",IF(AND(P3710&lt;&gt;"",S3710=""),"🟡 PENDÊNCIA ABERTA",IF(AND(N(J3710)&gt;0,N(K3710)&lt;J3710),"🟡 FALTA EXECUTAR",IF(OR(M3710="PENDENTE",M3710="PARCIAL"),"🟡 FATURAMENTO PENDENTE","🟡 EMBARQUE PENDENTE")))))))))))</f>
        <v/>
      </c>
      <c r="D3710" s="4" t="n"/>
      <c r="E3710" s="5" t="n"/>
      <c r="F3710" s="5" t="n"/>
      <c r="G3710" s="5" t="n"/>
      <c r="H3710" s="5" t="n"/>
      <c r="I3710" s="5" t="n"/>
      <c r="J3710" s="6" t="n"/>
      <c r="K3710" s="6" t="n"/>
      <c r="L3710" s="7">
        <f>IF(OR(D3710="",N(J3710)=0),"",MIN(1,N(K3710)/J3710))</f>
        <v/>
      </c>
      <c r="M3710" s="5" t="n"/>
      <c r="N3710" s="5" t="n"/>
      <c r="O3710" s="5" t="n"/>
      <c r="P3710" s="5" t="n"/>
      <c r="Q3710" s="5" t="n"/>
      <c r="R3710" s="4" t="n"/>
      <c r="S3710" s="4" t="n"/>
      <c r="T3710" s="5" t="n"/>
      <c r="U3710" s="8">
        <f>IF(AND(V3710=1,D3710&lt;&gt;""),IF(D3710&gt;=corte,TODAY()-D3710,""),"")</f>
        <v/>
      </c>
      <c r="V3710" s="8">
        <f>IF(D3710="",0,IF(OR(AND(P3710&lt;&gt;"",S3710=""),AND(N(J3710)&gt;0,N(K3710)&lt;J3710),OR(M3710="PENDENTE",M3710="PARCIAL"),OR(N3710="PENDENTE",N3710="PARCIAL")),1,0))</f>
        <v/>
      </c>
      <c r="W3710" s="8">
        <f>IF(AND(V3710=1,D3710&lt;&gt;""),IF(D3710&gt;=corte,(B3710="CRÍTICO")*1E9+(100000-D3710)*10000+10000-ROW(),""),"")</f>
        <v/>
      </c>
      <c r="X3710" s="8">
        <f>IF(AND(V3710=1,D3710=pas_data,E3710=pas_turno),10000-ROW(),"")</f>
        <v/>
      </c>
    </row>
    <row r="3711">
      <c r="A3711" s="3">
        <f>IF(D3711="","","TT-"&amp;TEXT(ROW()-1,"00000"))</f>
        <v/>
      </c>
      <c r="B3711" s="3">
        <f>IF(D3711="","",IF(V3711=0,"CONCLUÍDO",IF(D3711&lt;corte,"HISTÓRICO",IF(OR(AND(ISNUMBER(R3711),R3711&lt;TODAY()),AND(OR(N3711="PENDENTE",N3711="PARCIAL"),D3711&lt;TODAY()-1)),"CRÍTICO",IF(OR(AND(P3711&lt;&gt;"",S3711=""),AND(N3711="REALIZADO",M3711="PENDENTE"),AND(ISNUMBER(R3711),R3711=TODAY())),"ATENÇÃO",IF(N(K3711)=0,"PENDENTE","EM ANDAMENTO"))))))</f>
        <v/>
      </c>
      <c r="C3711" s="3">
        <f>IF(D3711="","",IF(V3711=0,"🟢 OK",IF(D3711&lt;corte,"⚪ HISTÓRICO (sem baixa)",IF(AND(ISNUMBER(R3711),R3711&lt;TODAY()),"🔴 PRAZO VENCIDO",IF(AND(OR(N3711="PENDENTE",N3711="PARCIAL"),D3711&lt;TODAY()-1),"🔴 EMBARQUE ATRASADO",IF(AND(N3711="REALIZADO",M3711="PENDENTE"),"🟡 EMBARCADO SEM FATURAR",IF(AND(P3711&lt;&gt;"",S3711="",OR(Q3711="",R3711="")),"🟡 PENDÊNCIA SEM RESPONSÁVEL/PRAZO",IF(AND(ISNUMBER(R3711),R3711=TODAY()),"🟡 VENCE HOJE",IF(AND(P3711&lt;&gt;"",S3711=""),"🟡 PENDÊNCIA ABERTA",IF(AND(N(J3711)&gt;0,N(K3711)&lt;J3711),"🟡 FALTA EXECUTAR",IF(OR(M3711="PENDENTE",M3711="PARCIAL"),"🟡 FATURAMENTO PENDENTE","🟡 EMBARQUE PENDENTE")))))))))))</f>
        <v/>
      </c>
      <c r="D3711" s="4" t="n"/>
      <c r="E3711" s="5" t="n"/>
      <c r="F3711" s="5" t="n"/>
      <c r="G3711" s="5" t="n"/>
      <c r="H3711" s="5" t="n"/>
      <c r="I3711" s="5" t="n"/>
      <c r="J3711" s="6" t="n"/>
      <c r="K3711" s="6" t="n"/>
      <c r="L3711" s="7">
        <f>IF(OR(D3711="",N(J3711)=0),"",MIN(1,N(K3711)/J3711))</f>
        <v/>
      </c>
      <c r="M3711" s="5" t="n"/>
      <c r="N3711" s="5" t="n"/>
      <c r="O3711" s="5" t="n"/>
      <c r="P3711" s="5" t="n"/>
      <c r="Q3711" s="5" t="n"/>
      <c r="R3711" s="4" t="n"/>
      <c r="S3711" s="4" t="n"/>
      <c r="T3711" s="5" t="n"/>
      <c r="U3711" s="8">
        <f>IF(AND(V3711=1,D3711&lt;&gt;""),IF(D3711&gt;=corte,TODAY()-D3711,""),"")</f>
        <v/>
      </c>
      <c r="V3711" s="8">
        <f>IF(D3711="",0,IF(OR(AND(P3711&lt;&gt;"",S3711=""),AND(N(J3711)&gt;0,N(K3711)&lt;J3711),OR(M3711="PENDENTE",M3711="PARCIAL"),OR(N3711="PENDENTE",N3711="PARCIAL")),1,0))</f>
        <v/>
      </c>
      <c r="W3711" s="8">
        <f>IF(AND(V3711=1,D3711&lt;&gt;""),IF(D3711&gt;=corte,(B3711="CRÍTICO")*1E9+(100000-D3711)*10000+10000-ROW(),""),"")</f>
        <v/>
      </c>
      <c r="X3711" s="8">
        <f>IF(AND(V3711=1,D3711=pas_data,E3711=pas_turno),10000-ROW(),"")</f>
        <v/>
      </c>
    </row>
    <row r="3712">
      <c r="A3712" s="3">
        <f>IF(D3712="","","TT-"&amp;TEXT(ROW()-1,"00000"))</f>
        <v/>
      </c>
      <c r="B3712" s="3">
        <f>IF(D3712="","",IF(V3712=0,"CONCLUÍDO",IF(D3712&lt;corte,"HISTÓRICO",IF(OR(AND(ISNUMBER(R3712),R3712&lt;TODAY()),AND(OR(N3712="PENDENTE",N3712="PARCIAL"),D3712&lt;TODAY()-1)),"CRÍTICO",IF(OR(AND(P3712&lt;&gt;"",S3712=""),AND(N3712="REALIZADO",M3712="PENDENTE"),AND(ISNUMBER(R3712),R3712=TODAY())),"ATENÇÃO",IF(N(K3712)=0,"PENDENTE","EM ANDAMENTO"))))))</f>
        <v/>
      </c>
      <c r="C3712" s="3">
        <f>IF(D3712="","",IF(V3712=0,"🟢 OK",IF(D3712&lt;corte,"⚪ HISTÓRICO (sem baixa)",IF(AND(ISNUMBER(R3712),R3712&lt;TODAY()),"🔴 PRAZO VENCIDO",IF(AND(OR(N3712="PENDENTE",N3712="PARCIAL"),D3712&lt;TODAY()-1),"🔴 EMBARQUE ATRASADO",IF(AND(N3712="REALIZADO",M3712="PENDENTE"),"🟡 EMBARCADO SEM FATURAR",IF(AND(P3712&lt;&gt;"",S3712="",OR(Q3712="",R3712="")),"🟡 PENDÊNCIA SEM RESPONSÁVEL/PRAZO",IF(AND(ISNUMBER(R3712),R3712=TODAY()),"🟡 VENCE HOJE",IF(AND(P3712&lt;&gt;"",S3712=""),"🟡 PENDÊNCIA ABERTA",IF(AND(N(J3712)&gt;0,N(K3712)&lt;J3712),"🟡 FALTA EXECUTAR",IF(OR(M3712="PENDENTE",M3712="PARCIAL"),"🟡 FATURAMENTO PENDENTE","🟡 EMBARQUE PENDENTE")))))))))))</f>
        <v/>
      </c>
      <c r="D3712" s="4" t="n"/>
      <c r="E3712" s="5" t="n"/>
      <c r="F3712" s="5" t="n"/>
      <c r="G3712" s="5" t="n"/>
      <c r="H3712" s="5" t="n"/>
      <c r="I3712" s="5" t="n"/>
      <c r="J3712" s="6" t="n"/>
      <c r="K3712" s="6" t="n"/>
      <c r="L3712" s="7">
        <f>IF(OR(D3712="",N(J3712)=0),"",MIN(1,N(K3712)/J3712))</f>
        <v/>
      </c>
      <c r="M3712" s="5" t="n"/>
      <c r="N3712" s="5" t="n"/>
      <c r="O3712" s="5" t="n"/>
      <c r="P3712" s="5" t="n"/>
      <c r="Q3712" s="5" t="n"/>
      <c r="R3712" s="4" t="n"/>
      <c r="S3712" s="4" t="n"/>
      <c r="T3712" s="5" t="n"/>
      <c r="U3712" s="8">
        <f>IF(AND(V3712=1,D3712&lt;&gt;""),IF(D3712&gt;=corte,TODAY()-D3712,""),"")</f>
        <v/>
      </c>
      <c r="V3712" s="8">
        <f>IF(D3712="",0,IF(OR(AND(P3712&lt;&gt;"",S3712=""),AND(N(J3712)&gt;0,N(K3712)&lt;J3712),OR(M3712="PENDENTE",M3712="PARCIAL"),OR(N3712="PENDENTE",N3712="PARCIAL")),1,0))</f>
        <v/>
      </c>
      <c r="W3712" s="8">
        <f>IF(AND(V3712=1,D3712&lt;&gt;""),IF(D3712&gt;=corte,(B3712="CRÍTICO")*1E9+(100000-D3712)*10000+10000-ROW(),""),"")</f>
        <v/>
      </c>
      <c r="X3712" s="8">
        <f>IF(AND(V3712=1,D3712=pas_data,E3712=pas_turno),10000-ROW(),"")</f>
        <v/>
      </c>
    </row>
    <row r="3713">
      <c r="A3713" s="3">
        <f>IF(D3713="","","TT-"&amp;TEXT(ROW()-1,"00000"))</f>
        <v/>
      </c>
      <c r="B3713" s="3">
        <f>IF(D3713="","",IF(V3713=0,"CONCLUÍDO",IF(D3713&lt;corte,"HISTÓRICO",IF(OR(AND(ISNUMBER(R3713),R3713&lt;TODAY()),AND(OR(N3713="PENDENTE",N3713="PARCIAL"),D3713&lt;TODAY()-1)),"CRÍTICO",IF(OR(AND(P3713&lt;&gt;"",S3713=""),AND(N3713="REALIZADO",M3713="PENDENTE"),AND(ISNUMBER(R3713),R3713=TODAY())),"ATENÇÃO",IF(N(K3713)=0,"PENDENTE","EM ANDAMENTO"))))))</f>
        <v/>
      </c>
      <c r="C3713" s="3">
        <f>IF(D3713="","",IF(V3713=0,"🟢 OK",IF(D3713&lt;corte,"⚪ HISTÓRICO (sem baixa)",IF(AND(ISNUMBER(R3713),R3713&lt;TODAY()),"🔴 PRAZO VENCIDO",IF(AND(OR(N3713="PENDENTE",N3713="PARCIAL"),D3713&lt;TODAY()-1),"🔴 EMBARQUE ATRASADO",IF(AND(N3713="REALIZADO",M3713="PENDENTE"),"🟡 EMBARCADO SEM FATURAR",IF(AND(P3713&lt;&gt;"",S3713="",OR(Q3713="",R3713="")),"🟡 PENDÊNCIA SEM RESPONSÁVEL/PRAZO",IF(AND(ISNUMBER(R3713),R3713=TODAY()),"🟡 VENCE HOJE",IF(AND(P3713&lt;&gt;"",S3713=""),"🟡 PENDÊNCIA ABERTA",IF(AND(N(J3713)&gt;0,N(K3713)&lt;J3713),"🟡 FALTA EXECUTAR",IF(OR(M3713="PENDENTE",M3713="PARCIAL"),"🟡 FATURAMENTO PENDENTE","🟡 EMBARQUE PENDENTE")))))))))))</f>
        <v/>
      </c>
      <c r="D3713" s="4" t="n"/>
      <c r="E3713" s="5" t="n"/>
      <c r="F3713" s="5" t="n"/>
      <c r="G3713" s="5" t="n"/>
      <c r="H3713" s="5" t="n"/>
      <c r="I3713" s="5" t="n"/>
      <c r="J3713" s="6" t="n"/>
      <c r="K3713" s="6" t="n"/>
      <c r="L3713" s="7">
        <f>IF(OR(D3713="",N(J3713)=0),"",MIN(1,N(K3713)/J3713))</f>
        <v/>
      </c>
      <c r="M3713" s="5" t="n"/>
      <c r="N3713" s="5" t="n"/>
      <c r="O3713" s="5" t="n"/>
      <c r="P3713" s="5" t="n"/>
      <c r="Q3713" s="5" t="n"/>
      <c r="R3713" s="4" t="n"/>
      <c r="S3713" s="4" t="n"/>
      <c r="T3713" s="5" t="n"/>
      <c r="U3713" s="8">
        <f>IF(AND(V3713=1,D3713&lt;&gt;""),IF(D3713&gt;=corte,TODAY()-D3713,""),"")</f>
        <v/>
      </c>
      <c r="V3713" s="8">
        <f>IF(D3713="",0,IF(OR(AND(P3713&lt;&gt;"",S3713=""),AND(N(J3713)&gt;0,N(K3713)&lt;J3713),OR(M3713="PENDENTE",M3713="PARCIAL"),OR(N3713="PENDENTE",N3713="PARCIAL")),1,0))</f>
        <v/>
      </c>
      <c r="W3713" s="8">
        <f>IF(AND(V3713=1,D3713&lt;&gt;""),IF(D3713&gt;=corte,(B3713="CRÍTICO")*1E9+(100000-D3713)*10000+10000-ROW(),""),"")</f>
        <v/>
      </c>
      <c r="X3713" s="8">
        <f>IF(AND(V3713=1,D3713=pas_data,E3713=pas_turno),10000-ROW(),"")</f>
        <v/>
      </c>
    </row>
    <row r="3714">
      <c r="A3714" s="3">
        <f>IF(D3714="","","TT-"&amp;TEXT(ROW()-1,"00000"))</f>
        <v/>
      </c>
      <c r="B3714" s="3">
        <f>IF(D3714="","",IF(V3714=0,"CONCLUÍDO",IF(D3714&lt;corte,"HISTÓRICO",IF(OR(AND(ISNUMBER(R3714),R3714&lt;TODAY()),AND(OR(N3714="PENDENTE",N3714="PARCIAL"),D3714&lt;TODAY()-1)),"CRÍTICO",IF(OR(AND(P3714&lt;&gt;"",S3714=""),AND(N3714="REALIZADO",M3714="PENDENTE"),AND(ISNUMBER(R3714),R3714=TODAY())),"ATENÇÃO",IF(N(K3714)=0,"PENDENTE","EM ANDAMENTO"))))))</f>
        <v/>
      </c>
      <c r="C3714" s="3">
        <f>IF(D3714="","",IF(V3714=0,"🟢 OK",IF(D3714&lt;corte,"⚪ HISTÓRICO (sem baixa)",IF(AND(ISNUMBER(R3714),R3714&lt;TODAY()),"🔴 PRAZO VENCIDO",IF(AND(OR(N3714="PENDENTE",N3714="PARCIAL"),D3714&lt;TODAY()-1),"🔴 EMBARQUE ATRASADO",IF(AND(N3714="REALIZADO",M3714="PENDENTE"),"🟡 EMBARCADO SEM FATURAR",IF(AND(P3714&lt;&gt;"",S3714="",OR(Q3714="",R3714="")),"🟡 PENDÊNCIA SEM RESPONSÁVEL/PRAZO",IF(AND(ISNUMBER(R3714),R3714=TODAY()),"🟡 VENCE HOJE",IF(AND(P3714&lt;&gt;"",S3714=""),"🟡 PENDÊNCIA ABERTA",IF(AND(N(J3714)&gt;0,N(K3714)&lt;J3714),"🟡 FALTA EXECUTAR",IF(OR(M3714="PENDENTE",M3714="PARCIAL"),"🟡 FATURAMENTO PENDENTE","🟡 EMBARQUE PENDENTE")))))))))))</f>
        <v/>
      </c>
      <c r="D3714" s="4" t="n"/>
      <c r="E3714" s="5" t="n"/>
      <c r="F3714" s="5" t="n"/>
      <c r="G3714" s="5" t="n"/>
      <c r="H3714" s="5" t="n"/>
      <c r="I3714" s="5" t="n"/>
      <c r="J3714" s="6" t="n"/>
      <c r="K3714" s="6" t="n"/>
      <c r="L3714" s="7">
        <f>IF(OR(D3714="",N(J3714)=0),"",MIN(1,N(K3714)/J3714))</f>
        <v/>
      </c>
      <c r="M3714" s="5" t="n"/>
      <c r="N3714" s="5" t="n"/>
      <c r="O3714" s="5" t="n"/>
      <c r="P3714" s="5" t="n"/>
      <c r="Q3714" s="5" t="n"/>
      <c r="R3714" s="4" t="n"/>
      <c r="S3714" s="4" t="n"/>
      <c r="T3714" s="5" t="n"/>
      <c r="U3714" s="8">
        <f>IF(AND(V3714=1,D3714&lt;&gt;""),IF(D3714&gt;=corte,TODAY()-D3714,""),"")</f>
        <v/>
      </c>
      <c r="V3714" s="8">
        <f>IF(D3714="",0,IF(OR(AND(P3714&lt;&gt;"",S3714=""),AND(N(J3714)&gt;0,N(K3714)&lt;J3714),OR(M3714="PENDENTE",M3714="PARCIAL"),OR(N3714="PENDENTE",N3714="PARCIAL")),1,0))</f>
        <v/>
      </c>
      <c r="W3714" s="8">
        <f>IF(AND(V3714=1,D3714&lt;&gt;""),IF(D3714&gt;=corte,(B3714="CRÍTICO")*1E9+(100000-D3714)*10000+10000-ROW(),""),"")</f>
        <v/>
      </c>
      <c r="X3714" s="8">
        <f>IF(AND(V3714=1,D3714=pas_data,E3714=pas_turno),10000-ROW(),"")</f>
        <v/>
      </c>
    </row>
    <row r="3715">
      <c r="A3715" s="3">
        <f>IF(D3715="","","TT-"&amp;TEXT(ROW()-1,"00000"))</f>
        <v/>
      </c>
      <c r="B3715" s="3">
        <f>IF(D3715="","",IF(V3715=0,"CONCLUÍDO",IF(D3715&lt;corte,"HISTÓRICO",IF(OR(AND(ISNUMBER(R3715),R3715&lt;TODAY()),AND(OR(N3715="PENDENTE",N3715="PARCIAL"),D3715&lt;TODAY()-1)),"CRÍTICO",IF(OR(AND(P3715&lt;&gt;"",S3715=""),AND(N3715="REALIZADO",M3715="PENDENTE"),AND(ISNUMBER(R3715),R3715=TODAY())),"ATENÇÃO",IF(N(K3715)=0,"PENDENTE","EM ANDAMENTO"))))))</f>
        <v/>
      </c>
      <c r="C3715" s="3">
        <f>IF(D3715="","",IF(V3715=0,"🟢 OK",IF(D3715&lt;corte,"⚪ HISTÓRICO (sem baixa)",IF(AND(ISNUMBER(R3715),R3715&lt;TODAY()),"🔴 PRAZO VENCIDO",IF(AND(OR(N3715="PENDENTE",N3715="PARCIAL"),D3715&lt;TODAY()-1),"🔴 EMBARQUE ATRASADO",IF(AND(N3715="REALIZADO",M3715="PENDENTE"),"🟡 EMBARCADO SEM FATURAR",IF(AND(P3715&lt;&gt;"",S3715="",OR(Q3715="",R3715="")),"🟡 PENDÊNCIA SEM RESPONSÁVEL/PRAZO",IF(AND(ISNUMBER(R3715),R3715=TODAY()),"🟡 VENCE HOJE",IF(AND(P3715&lt;&gt;"",S3715=""),"🟡 PENDÊNCIA ABERTA",IF(AND(N(J3715)&gt;0,N(K3715)&lt;J3715),"🟡 FALTA EXECUTAR",IF(OR(M3715="PENDENTE",M3715="PARCIAL"),"🟡 FATURAMENTO PENDENTE","🟡 EMBARQUE PENDENTE")))))))))))</f>
        <v/>
      </c>
      <c r="D3715" s="4" t="n"/>
      <c r="E3715" s="5" t="n"/>
      <c r="F3715" s="5" t="n"/>
      <c r="G3715" s="5" t="n"/>
      <c r="H3715" s="5" t="n"/>
      <c r="I3715" s="5" t="n"/>
      <c r="J3715" s="6" t="n"/>
      <c r="K3715" s="6" t="n"/>
      <c r="L3715" s="7">
        <f>IF(OR(D3715="",N(J3715)=0),"",MIN(1,N(K3715)/J3715))</f>
        <v/>
      </c>
      <c r="M3715" s="5" t="n"/>
      <c r="N3715" s="5" t="n"/>
      <c r="O3715" s="5" t="n"/>
      <c r="P3715" s="5" t="n"/>
      <c r="Q3715" s="5" t="n"/>
      <c r="R3715" s="4" t="n"/>
      <c r="S3715" s="4" t="n"/>
      <c r="T3715" s="5" t="n"/>
      <c r="U3715" s="8">
        <f>IF(AND(V3715=1,D3715&lt;&gt;""),IF(D3715&gt;=corte,TODAY()-D3715,""),"")</f>
        <v/>
      </c>
      <c r="V3715" s="8">
        <f>IF(D3715="",0,IF(OR(AND(P3715&lt;&gt;"",S3715=""),AND(N(J3715)&gt;0,N(K3715)&lt;J3715),OR(M3715="PENDENTE",M3715="PARCIAL"),OR(N3715="PENDENTE",N3715="PARCIAL")),1,0))</f>
        <v/>
      </c>
      <c r="W3715" s="8">
        <f>IF(AND(V3715=1,D3715&lt;&gt;""),IF(D3715&gt;=corte,(B3715="CRÍTICO")*1E9+(100000-D3715)*10000+10000-ROW(),""),"")</f>
        <v/>
      </c>
      <c r="X3715" s="8">
        <f>IF(AND(V3715=1,D3715=pas_data,E3715=pas_turno),10000-ROW(),"")</f>
        <v/>
      </c>
    </row>
    <row r="3716">
      <c r="A3716" s="3">
        <f>IF(D3716="","","TT-"&amp;TEXT(ROW()-1,"00000"))</f>
        <v/>
      </c>
      <c r="B3716" s="3">
        <f>IF(D3716="","",IF(V3716=0,"CONCLUÍDO",IF(D3716&lt;corte,"HISTÓRICO",IF(OR(AND(ISNUMBER(R3716),R3716&lt;TODAY()),AND(OR(N3716="PENDENTE",N3716="PARCIAL"),D3716&lt;TODAY()-1)),"CRÍTICO",IF(OR(AND(P3716&lt;&gt;"",S3716=""),AND(N3716="REALIZADO",M3716="PENDENTE"),AND(ISNUMBER(R3716),R3716=TODAY())),"ATENÇÃO",IF(N(K3716)=0,"PENDENTE","EM ANDAMENTO"))))))</f>
        <v/>
      </c>
      <c r="C3716" s="3">
        <f>IF(D3716="","",IF(V3716=0,"🟢 OK",IF(D3716&lt;corte,"⚪ HISTÓRICO (sem baixa)",IF(AND(ISNUMBER(R3716),R3716&lt;TODAY()),"🔴 PRAZO VENCIDO",IF(AND(OR(N3716="PENDENTE",N3716="PARCIAL"),D3716&lt;TODAY()-1),"🔴 EMBARQUE ATRASADO",IF(AND(N3716="REALIZADO",M3716="PENDENTE"),"🟡 EMBARCADO SEM FATURAR",IF(AND(P3716&lt;&gt;"",S3716="",OR(Q3716="",R3716="")),"🟡 PENDÊNCIA SEM RESPONSÁVEL/PRAZO",IF(AND(ISNUMBER(R3716),R3716=TODAY()),"🟡 VENCE HOJE",IF(AND(P3716&lt;&gt;"",S3716=""),"🟡 PENDÊNCIA ABERTA",IF(AND(N(J3716)&gt;0,N(K3716)&lt;J3716),"🟡 FALTA EXECUTAR",IF(OR(M3716="PENDENTE",M3716="PARCIAL"),"🟡 FATURAMENTO PENDENTE","🟡 EMBARQUE PENDENTE")))))))))))</f>
        <v/>
      </c>
      <c r="D3716" s="4" t="n"/>
      <c r="E3716" s="5" t="n"/>
      <c r="F3716" s="5" t="n"/>
      <c r="G3716" s="5" t="n"/>
      <c r="H3716" s="5" t="n"/>
      <c r="I3716" s="5" t="n"/>
      <c r="J3716" s="6" t="n"/>
      <c r="K3716" s="6" t="n"/>
      <c r="L3716" s="7">
        <f>IF(OR(D3716="",N(J3716)=0),"",MIN(1,N(K3716)/J3716))</f>
        <v/>
      </c>
      <c r="M3716" s="5" t="n"/>
      <c r="N3716" s="5" t="n"/>
      <c r="O3716" s="5" t="n"/>
      <c r="P3716" s="5" t="n"/>
      <c r="Q3716" s="5" t="n"/>
      <c r="R3716" s="4" t="n"/>
      <c r="S3716" s="4" t="n"/>
      <c r="T3716" s="5" t="n"/>
      <c r="U3716" s="8">
        <f>IF(AND(V3716=1,D3716&lt;&gt;""),IF(D3716&gt;=corte,TODAY()-D3716,""),"")</f>
        <v/>
      </c>
      <c r="V3716" s="8">
        <f>IF(D3716="",0,IF(OR(AND(P3716&lt;&gt;"",S3716=""),AND(N(J3716)&gt;0,N(K3716)&lt;J3716),OR(M3716="PENDENTE",M3716="PARCIAL"),OR(N3716="PENDENTE",N3716="PARCIAL")),1,0))</f>
        <v/>
      </c>
      <c r="W3716" s="8">
        <f>IF(AND(V3716=1,D3716&lt;&gt;""),IF(D3716&gt;=corte,(B3716="CRÍTICO")*1E9+(100000-D3716)*10000+10000-ROW(),""),"")</f>
        <v/>
      </c>
      <c r="X3716" s="8">
        <f>IF(AND(V3716=1,D3716=pas_data,E3716=pas_turno),10000-ROW(),"")</f>
        <v/>
      </c>
    </row>
    <row r="3717">
      <c r="A3717" s="3">
        <f>IF(D3717="","","TT-"&amp;TEXT(ROW()-1,"00000"))</f>
        <v/>
      </c>
      <c r="B3717" s="3">
        <f>IF(D3717="","",IF(V3717=0,"CONCLUÍDO",IF(D3717&lt;corte,"HISTÓRICO",IF(OR(AND(ISNUMBER(R3717),R3717&lt;TODAY()),AND(OR(N3717="PENDENTE",N3717="PARCIAL"),D3717&lt;TODAY()-1)),"CRÍTICO",IF(OR(AND(P3717&lt;&gt;"",S3717=""),AND(N3717="REALIZADO",M3717="PENDENTE"),AND(ISNUMBER(R3717),R3717=TODAY())),"ATENÇÃO",IF(N(K3717)=0,"PENDENTE","EM ANDAMENTO"))))))</f>
        <v/>
      </c>
      <c r="C3717" s="3">
        <f>IF(D3717="","",IF(V3717=0,"🟢 OK",IF(D3717&lt;corte,"⚪ HISTÓRICO (sem baixa)",IF(AND(ISNUMBER(R3717),R3717&lt;TODAY()),"🔴 PRAZO VENCIDO",IF(AND(OR(N3717="PENDENTE",N3717="PARCIAL"),D3717&lt;TODAY()-1),"🔴 EMBARQUE ATRASADO",IF(AND(N3717="REALIZADO",M3717="PENDENTE"),"🟡 EMBARCADO SEM FATURAR",IF(AND(P3717&lt;&gt;"",S3717="",OR(Q3717="",R3717="")),"🟡 PENDÊNCIA SEM RESPONSÁVEL/PRAZO",IF(AND(ISNUMBER(R3717),R3717=TODAY()),"🟡 VENCE HOJE",IF(AND(P3717&lt;&gt;"",S3717=""),"🟡 PENDÊNCIA ABERTA",IF(AND(N(J3717)&gt;0,N(K3717)&lt;J3717),"🟡 FALTA EXECUTAR",IF(OR(M3717="PENDENTE",M3717="PARCIAL"),"🟡 FATURAMENTO PENDENTE","🟡 EMBARQUE PENDENTE")))))))))))</f>
        <v/>
      </c>
      <c r="D3717" s="4" t="n"/>
      <c r="E3717" s="5" t="n"/>
      <c r="F3717" s="5" t="n"/>
      <c r="G3717" s="5" t="n"/>
      <c r="H3717" s="5" t="n"/>
      <c r="I3717" s="5" t="n"/>
      <c r="J3717" s="6" t="n"/>
      <c r="K3717" s="6" t="n"/>
      <c r="L3717" s="7">
        <f>IF(OR(D3717="",N(J3717)=0),"",MIN(1,N(K3717)/J3717))</f>
        <v/>
      </c>
      <c r="M3717" s="5" t="n"/>
      <c r="N3717" s="5" t="n"/>
      <c r="O3717" s="5" t="n"/>
      <c r="P3717" s="5" t="n"/>
      <c r="Q3717" s="5" t="n"/>
      <c r="R3717" s="4" t="n"/>
      <c r="S3717" s="4" t="n"/>
      <c r="T3717" s="5" t="n"/>
      <c r="U3717" s="8">
        <f>IF(AND(V3717=1,D3717&lt;&gt;""),IF(D3717&gt;=corte,TODAY()-D3717,""),"")</f>
        <v/>
      </c>
      <c r="V3717" s="8">
        <f>IF(D3717="",0,IF(OR(AND(P3717&lt;&gt;"",S3717=""),AND(N(J3717)&gt;0,N(K3717)&lt;J3717),OR(M3717="PENDENTE",M3717="PARCIAL"),OR(N3717="PENDENTE",N3717="PARCIAL")),1,0))</f>
        <v/>
      </c>
      <c r="W3717" s="8">
        <f>IF(AND(V3717=1,D3717&lt;&gt;""),IF(D3717&gt;=corte,(B3717="CRÍTICO")*1E9+(100000-D3717)*10000+10000-ROW(),""),"")</f>
        <v/>
      </c>
      <c r="X3717" s="8">
        <f>IF(AND(V3717=1,D3717=pas_data,E3717=pas_turno),10000-ROW(),"")</f>
        <v/>
      </c>
    </row>
    <row r="3718">
      <c r="A3718" s="3">
        <f>IF(D3718="","","TT-"&amp;TEXT(ROW()-1,"00000"))</f>
        <v/>
      </c>
      <c r="B3718" s="3">
        <f>IF(D3718="","",IF(V3718=0,"CONCLUÍDO",IF(D3718&lt;corte,"HISTÓRICO",IF(OR(AND(ISNUMBER(R3718),R3718&lt;TODAY()),AND(OR(N3718="PENDENTE",N3718="PARCIAL"),D3718&lt;TODAY()-1)),"CRÍTICO",IF(OR(AND(P3718&lt;&gt;"",S3718=""),AND(N3718="REALIZADO",M3718="PENDENTE"),AND(ISNUMBER(R3718),R3718=TODAY())),"ATENÇÃO",IF(N(K3718)=0,"PENDENTE","EM ANDAMENTO"))))))</f>
        <v/>
      </c>
      <c r="C3718" s="3">
        <f>IF(D3718="","",IF(V3718=0,"🟢 OK",IF(D3718&lt;corte,"⚪ HISTÓRICO (sem baixa)",IF(AND(ISNUMBER(R3718),R3718&lt;TODAY()),"🔴 PRAZO VENCIDO",IF(AND(OR(N3718="PENDENTE",N3718="PARCIAL"),D3718&lt;TODAY()-1),"🔴 EMBARQUE ATRASADO",IF(AND(N3718="REALIZADO",M3718="PENDENTE"),"🟡 EMBARCADO SEM FATURAR",IF(AND(P3718&lt;&gt;"",S3718="",OR(Q3718="",R3718="")),"🟡 PENDÊNCIA SEM RESPONSÁVEL/PRAZO",IF(AND(ISNUMBER(R3718),R3718=TODAY()),"🟡 VENCE HOJE",IF(AND(P3718&lt;&gt;"",S3718=""),"🟡 PENDÊNCIA ABERTA",IF(AND(N(J3718)&gt;0,N(K3718)&lt;J3718),"🟡 FALTA EXECUTAR",IF(OR(M3718="PENDENTE",M3718="PARCIAL"),"🟡 FATURAMENTO PENDENTE","🟡 EMBARQUE PENDENTE")))))))))))</f>
        <v/>
      </c>
      <c r="D3718" s="4" t="n"/>
      <c r="E3718" s="5" t="n"/>
      <c r="F3718" s="5" t="n"/>
      <c r="G3718" s="5" t="n"/>
      <c r="H3718" s="5" t="n"/>
      <c r="I3718" s="5" t="n"/>
      <c r="J3718" s="6" t="n"/>
      <c r="K3718" s="6" t="n"/>
      <c r="L3718" s="7">
        <f>IF(OR(D3718="",N(J3718)=0),"",MIN(1,N(K3718)/J3718))</f>
        <v/>
      </c>
      <c r="M3718" s="5" t="n"/>
      <c r="N3718" s="5" t="n"/>
      <c r="O3718" s="5" t="n"/>
      <c r="P3718" s="5" t="n"/>
      <c r="Q3718" s="5" t="n"/>
      <c r="R3718" s="4" t="n"/>
      <c r="S3718" s="4" t="n"/>
      <c r="T3718" s="5" t="n"/>
      <c r="U3718" s="8">
        <f>IF(AND(V3718=1,D3718&lt;&gt;""),IF(D3718&gt;=corte,TODAY()-D3718,""),"")</f>
        <v/>
      </c>
      <c r="V3718" s="8">
        <f>IF(D3718="",0,IF(OR(AND(P3718&lt;&gt;"",S3718=""),AND(N(J3718)&gt;0,N(K3718)&lt;J3718),OR(M3718="PENDENTE",M3718="PARCIAL"),OR(N3718="PENDENTE",N3718="PARCIAL")),1,0))</f>
        <v/>
      </c>
      <c r="W3718" s="8">
        <f>IF(AND(V3718=1,D3718&lt;&gt;""),IF(D3718&gt;=corte,(B3718="CRÍTICO")*1E9+(100000-D3718)*10000+10000-ROW(),""),"")</f>
        <v/>
      </c>
      <c r="X3718" s="8">
        <f>IF(AND(V3718=1,D3718=pas_data,E3718=pas_turno),10000-ROW(),"")</f>
        <v/>
      </c>
    </row>
    <row r="3719">
      <c r="A3719" s="3">
        <f>IF(D3719="","","TT-"&amp;TEXT(ROW()-1,"00000"))</f>
        <v/>
      </c>
      <c r="B3719" s="3">
        <f>IF(D3719="","",IF(V3719=0,"CONCLUÍDO",IF(D3719&lt;corte,"HISTÓRICO",IF(OR(AND(ISNUMBER(R3719),R3719&lt;TODAY()),AND(OR(N3719="PENDENTE",N3719="PARCIAL"),D3719&lt;TODAY()-1)),"CRÍTICO",IF(OR(AND(P3719&lt;&gt;"",S3719=""),AND(N3719="REALIZADO",M3719="PENDENTE"),AND(ISNUMBER(R3719),R3719=TODAY())),"ATENÇÃO",IF(N(K3719)=0,"PENDENTE","EM ANDAMENTO"))))))</f>
        <v/>
      </c>
      <c r="C3719" s="3">
        <f>IF(D3719="","",IF(V3719=0,"🟢 OK",IF(D3719&lt;corte,"⚪ HISTÓRICO (sem baixa)",IF(AND(ISNUMBER(R3719),R3719&lt;TODAY()),"🔴 PRAZO VENCIDO",IF(AND(OR(N3719="PENDENTE",N3719="PARCIAL"),D3719&lt;TODAY()-1),"🔴 EMBARQUE ATRASADO",IF(AND(N3719="REALIZADO",M3719="PENDENTE"),"🟡 EMBARCADO SEM FATURAR",IF(AND(P3719&lt;&gt;"",S3719="",OR(Q3719="",R3719="")),"🟡 PENDÊNCIA SEM RESPONSÁVEL/PRAZO",IF(AND(ISNUMBER(R3719),R3719=TODAY()),"🟡 VENCE HOJE",IF(AND(P3719&lt;&gt;"",S3719=""),"🟡 PENDÊNCIA ABERTA",IF(AND(N(J3719)&gt;0,N(K3719)&lt;J3719),"🟡 FALTA EXECUTAR",IF(OR(M3719="PENDENTE",M3719="PARCIAL"),"🟡 FATURAMENTO PENDENTE","🟡 EMBARQUE PENDENTE")))))))))))</f>
        <v/>
      </c>
      <c r="D3719" s="4" t="n"/>
      <c r="E3719" s="5" t="n"/>
      <c r="F3719" s="5" t="n"/>
      <c r="G3719" s="5" t="n"/>
      <c r="H3719" s="5" t="n"/>
      <c r="I3719" s="5" t="n"/>
      <c r="J3719" s="6" t="n"/>
      <c r="K3719" s="6" t="n"/>
      <c r="L3719" s="7">
        <f>IF(OR(D3719="",N(J3719)=0),"",MIN(1,N(K3719)/J3719))</f>
        <v/>
      </c>
      <c r="M3719" s="5" t="n"/>
      <c r="N3719" s="5" t="n"/>
      <c r="O3719" s="5" t="n"/>
      <c r="P3719" s="5" t="n"/>
      <c r="Q3719" s="5" t="n"/>
      <c r="R3719" s="4" t="n"/>
      <c r="S3719" s="4" t="n"/>
      <c r="T3719" s="5" t="n"/>
      <c r="U3719" s="8">
        <f>IF(AND(V3719=1,D3719&lt;&gt;""),IF(D3719&gt;=corte,TODAY()-D3719,""),"")</f>
        <v/>
      </c>
      <c r="V3719" s="8">
        <f>IF(D3719="",0,IF(OR(AND(P3719&lt;&gt;"",S3719=""),AND(N(J3719)&gt;0,N(K3719)&lt;J3719),OR(M3719="PENDENTE",M3719="PARCIAL"),OR(N3719="PENDENTE",N3719="PARCIAL")),1,0))</f>
        <v/>
      </c>
      <c r="W3719" s="8">
        <f>IF(AND(V3719=1,D3719&lt;&gt;""),IF(D3719&gt;=corte,(B3719="CRÍTICO")*1E9+(100000-D3719)*10000+10000-ROW(),""),"")</f>
        <v/>
      </c>
      <c r="X3719" s="8">
        <f>IF(AND(V3719=1,D3719=pas_data,E3719=pas_turno),10000-ROW(),"")</f>
        <v/>
      </c>
    </row>
    <row r="3720">
      <c r="A3720" s="3">
        <f>IF(D3720="","","TT-"&amp;TEXT(ROW()-1,"00000"))</f>
        <v/>
      </c>
      <c r="B3720" s="3">
        <f>IF(D3720="","",IF(V3720=0,"CONCLUÍDO",IF(D3720&lt;corte,"HISTÓRICO",IF(OR(AND(ISNUMBER(R3720),R3720&lt;TODAY()),AND(OR(N3720="PENDENTE",N3720="PARCIAL"),D3720&lt;TODAY()-1)),"CRÍTICO",IF(OR(AND(P3720&lt;&gt;"",S3720=""),AND(N3720="REALIZADO",M3720="PENDENTE"),AND(ISNUMBER(R3720),R3720=TODAY())),"ATENÇÃO",IF(N(K3720)=0,"PENDENTE","EM ANDAMENTO"))))))</f>
        <v/>
      </c>
      <c r="C3720" s="3">
        <f>IF(D3720="","",IF(V3720=0,"🟢 OK",IF(D3720&lt;corte,"⚪ HISTÓRICO (sem baixa)",IF(AND(ISNUMBER(R3720),R3720&lt;TODAY()),"🔴 PRAZO VENCIDO",IF(AND(OR(N3720="PENDENTE",N3720="PARCIAL"),D3720&lt;TODAY()-1),"🔴 EMBARQUE ATRASADO",IF(AND(N3720="REALIZADO",M3720="PENDENTE"),"🟡 EMBARCADO SEM FATURAR",IF(AND(P3720&lt;&gt;"",S3720="",OR(Q3720="",R3720="")),"🟡 PENDÊNCIA SEM RESPONSÁVEL/PRAZO",IF(AND(ISNUMBER(R3720),R3720=TODAY()),"🟡 VENCE HOJE",IF(AND(P3720&lt;&gt;"",S3720=""),"🟡 PENDÊNCIA ABERTA",IF(AND(N(J3720)&gt;0,N(K3720)&lt;J3720),"🟡 FALTA EXECUTAR",IF(OR(M3720="PENDENTE",M3720="PARCIAL"),"🟡 FATURAMENTO PENDENTE","🟡 EMBARQUE PENDENTE")))))))))))</f>
        <v/>
      </c>
      <c r="D3720" s="4" t="n"/>
      <c r="E3720" s="5" t="n"/>
      <c r="F3720" s="5" t="n"/>
      <c r="G3720" s="5" t="n"/>
      <c r="H3720" s="5" t="n"/>
      <c r="I3720" s="5" t="n"/>
      <c r="J3720" s="6" t="n"/>
      <c r="K3720" s="6" t="n"/>
      <c r="L3720" s="7">
        <f>IF(OR(D3720="",N(J3720)=0),"",MIN(1,N(K3720)/J3720))</f>
        <v/>
      </c>
      <c r="M3720" s="5" t="n"/>
      <c r="N3720" s="5" t="n"/>
      <c r="O3720" s="5" t="n"/>
      <c r="P3720" s="5" t="n"/>
      <c r="Q3720" s="5" t="n"/>
      <c r="R3720" s="4" t="n"/>
      <c r="S3720" s="4" t="n"/>
      <c r="T3720" s="5" t="n"/>
      <c r="U3720" s="8">
        <f>IF(AND(V3720=1,D3720&lt;&gt;""),IF(D3720&gt;=corte,TODAY()-D3720,""),"")</f>
        <v/>
      </c>
      <c r="V3720" s="8">
        <f>IF(D3720="",0,IF(OR(AND(P3720&lt;&gt;"",S3720=""),AND(N(J3720)&gt;0,N(K3720)&lt;J3720),OR(M3720="PENDENTE",M3720="PARCIAL"),OR(N3720="PENDENTE",N3720="PARCIAL")),1,0))</f>
        <v/>
      </c>
      <c r="W3720" s="8">
        <f>IF(AND(V3720=1,D3720&lt;&gt;""),IF(D3720&gt;=corte,(B3720="CRÍTICO")*1E9+(100000-D3720)*10000+10000-ROW(),""),"")</f>
        <v/>
      </c>
      <c r="X3720" s="8">
        <f>IF(AND(V3720=1,D3720=pas_data,E3720=pas_turno),10000-ROW(),"")</f>
        <v/>
      </c>
    </row>
    <row r="3721">
      <c r="A3721" s="3">
        <f>IF(D3721="","","TT-"&amp;TEXT(ROW()-1,"00000"))</f>
        <v/>
      </c>
      <c r="B3721" s="3">
        <f>IF(D3721="","",IF(V3721=0,"CONCLUÍDO",IF(D3721&lt;corte,"HISTÓRICO",IF(OR(AND(ISNUMBER(R3721),R3721&lt;TODAY()),AND(OR(N3721="PENDENTE",N3721="PARCIAL"),D3721&lt;TODAY()-1)),"CRÍTICO",IF(OR(AND(P3721&lt;&gt;"",S3721=""),AND(N3721="REALIZADO",M3721="PENDENTE"),AND(ISNUMBER(R3721),R3721=TODAY())),"ATENÇÃO",IF(N(K3721)=0,"PENDENTE","EM ANDAMENTO"))))))</f>
        <v/>
      </c>
      <c r="C3721" s="3">
        <f>IF(D3721="","",IF(V3721=0,"🟢 OK",IF(D3721&lt;corte,"⚪ HISTÓRICO (sem baixa)",IF(AND(ISNUMBER(R3721),R3721&lt;TODAY()),"🔴 PRAZO VENCIDO",IF(AND(OR(N3721="PENDENTE",N3721="PARCIAL"),D3721&lt;TODAY()-1),"🔴 EMBARQUE ATRASADO",IF(AND(N3721="REALIZADO",M3721="PENDENTE"),"🟡 EMBARCADO SEM FATURAR",IF(AND(P3721&lt;&gt;"",S3721="",OR(Q3721="",R3721="")),"🟡 PENDÊNCIA SEM RESPONSÁVEL/PRAZO",IF(AND(ISNUMBER(R3721),R3721=TODAY()),"🟡 VENCE HOJE",IF(AND(P3721&lt;&gt;"",S3721=""),"🟡 PENDÊNCIA ABERTA",IF(AND(N(J3721)&gt;0,N(K3721)&lt;J3721),"🟡 FALTA EXECUTAR",IF(OR(M3721="PENDENTE",M3721="PARCIAL"),"🟡 FATURAMENTO PENDENTE","🟡 EMBARQUE PENDENTE")))))))))))</f>
        <v/>
      </c>
      <c r="D3721" s="4" t="n"/>
      <c r="E3721" s="5" t="n"/>
      <c r="F3721" s="5" t="n"/>
      <c r="G3721" s="5" t="n"/>
      <c r="H3721" s="5" t="n"/>
      <c r="I3721" s="5" t="n"/>
      <c r="J3721" s="6" t="n"/>
      <c r="K3721" s="6" t="n"/>
      <c r="L3721" s="7">
        <f>IF(OR(D3721="",N(J3721)=0),"",MIN(1,N(K3721)/J3721))</f>
        <v/>
      </c>
      <c r="M3721" s="5" t="n"/>
      <c r="N3721" s="5" t="n"/>
      <c r="O3721" s="5" t="n"/>
      <c r="P3721" s="5" t="n"/>
      <c r="Q3721" s="5" t="n"/>
      <c r="R3721" s="4" t="n"/>
      <c r="S3721" s="4" t="n"/>
      <c r="T3721" s="5" t="n"/>
      <c r="U3721" s="8">
        <f>IF(AND(V3721=1,D3721&lt;&gt;""),IF(D3721&gt;=corte,TODAY()-D3721,""),"")</f>
        <v/>
      </c>
      <c r="V3721" s="8">
        <f>IF(D3721="",0,IF(OR(AND(P3721&lt;&gt;"",S3721=""),AND(N(J3721)&gt;0,N(K3721)&lt;J3721),OR(M3721="PENDENTE",M3721="PARCIAL"),OR(N3721="PENDENTE",N3721="PARCIAL")),1,0))</f>
        <v/>
      </c>
      <c r="W3721" s="8">
        <f>IF(AND(V3721=1,D3721&lt;&gt;""),IF(D3721&gt;=corte,(B3721="CRÍTICO")*1E9+(100000-D3721)*10000+10000-ROW(),""),"")</f>
        <v/>
      </c>
      <c r="X3721" s="8">
        <f>IF(AND(V3721=1,D3721=pas_data,E3721=pas_turno),10000-ROW(),"")</f>
        <v/>
      </c>
    </row>
    <row r="3722">
      <c r="A3722" s="3">
        <f>IF(D3722="","","TT-"&amp;TEXT(ROW()-1,"00000"))</f>
        <v/>
      </c>
      <c r="B3722" s="3">
        <f>IF(D3722="","",IF(V3722=0,"CONCLUÍDO",IF(D3722&lt;corte,"HISTÓRICO",IF(OR(AND(ISNUMBER(R3722),R3722&lt;TODAY()),AND(OR(N3722="PENDENTE",N3722="PARCIAL"),D3722&lt;TODAY()-1)),"CRÍTICO",IF(OR(AND(P3722&lt;&gt;"",S3722=""),AND(N3722="REALIZADO",M3722="PENDENTE"),AND(ISNUMBER(R3722),R3722=TODAY())),"ATENÇÃO",IF(N(K3722)=0,"PENDENTE","EM ANDAMENTO"))))))</f>
        <v/>
      </c>
      <c r="C3722" s="3">
        <f>IF(D3722="","",IF(V3722=0,"🟢 OK",IF(D3722&lt;corte,"⚪ HISTÓRICO (sem baixa)",IF(AND(ISNUMBER(R3722),R3722&lt;TODAY()),"🔴 PRAZO VENCIDO",IF(AND(OR(N3722="PENDENTE",N3722="PARCIAL"),D3722&lt;TODAY()-1),"🔴 EMBARQUE ATRASADO",IF(AND(N3722="REALIZADO",M3722="PENDENTE"),"🟡 EMBARCADO SEM FATURAR",IF(AND(P3722&lt;&gt;"",S3722="",OR(Q3722="",R3722="")),"🟡 PENDÊNCIA SEM RESPONSÁVEL/PRAZO",IF(AND(ISNUMBER(R3722),R3722=TODAY()),"🟡 VENCE HOJE",IF(AND(P3722&lt;&gt;"",S3722=""),"🟡 PENDÊNCIA ABERTA",IF(AND(N(J3722)&gt;0,N(K3722)&lt;J3722),"🟡 FALTA EXECUTAR",IF(OR(M3722="PENDENTE",M3722="PARCIAL"),"🟡 FATURAMENTO PENDENTE","🟡 EMBARQUE PENDENTE")))))))))))</f>
        <v/>
      </c>
      <c r="D3722" s="4" t="n"/>
      <c r="E3722" s="5" t="n"/>
      <c r="F3722" s="5" t="n"/>
      <c r="G3722" s="5" t="n"/>
      <c r="H3722" s="5" t="n"/>
      <c r="I3722" s="5" t="n"/>
      <c r="J3722" s="6" t="n"/>
      <c r="K3722" s="6" t="n"/>
      <c r="L3722" s="7">
        <f>IF(OR(D3722="",N(J3722)=0),"",MIN(1,N(K3722)/J3722))</f>
        <v/>
      </c>
      <c r="M3722" s="5" t="n"/>
      <c r="N3722" s="5" t="n"/>
      <c r="O3722" s="5" t="n"/>
      <c r="P3722" s="5" t="n"/>
      <c r="Q3722" s="5" t="n"/>
      <c r="R3722" s="4" t="n"/>
      <c r="S3722" s="4" t="n"/>
      <c r="T3722" s="5" t="n"/>
      <c r="U3722" s="8">
        <f>IF(AND(V3722=1,D3722&lt;&gt;""),IF(D3722&gt;=corte,TODAY()-D3722,""),"")</f>
        <v/>
      </c>
      <c r="V3722" s="8">
        <f>IF(D3722="",0,IF(OR(AND(P3722&lt;&gt;"",S3722=""),AND(N(J3722)&gt;0,N(K3722)&lt;J3722),OR(M3722="PENDENTE",M3722="PARCIAL"),OR(N3722="PENDENTE",N3722="PARCIAL")),1,0))</f>
        <v/>
      </c>
      <c r="W3722" s="8">
        <f>IF(AND(V3722=1,D3722&lt;&gt;""),IF(D3722&gt;=corte,(B3722="CRÍTICO")*1E9+(100000-D3722)*10000+10000-ROW(),""),"")</f>
        <v/>
      </c>
      <c r="X3722" s="8">
        <f>IF(AND(V3722=1,D3722=pas_data,E3722=pas_turno),10000-ROW(),"")</f>
        <v/>
      </c>
    </row>
    <row r="3723">
      <c r="A3723" s="3">
        <f>IF(D3723="","","TT-"&amp;TEXT(ROW()-1,"00000"))</f>
        <v/>
      </c>
      <c r="B3723" s="3">
        <f>IF(D3723="","",IF(V3723=0,"CONCLUÍDO",IF(D3723&lt;corte,"HISTÓRICO",IF(OR(AND(ISNUMBER(R3723),R3723&lt;TODAY()),AND(OR(N3723="PENDENTE",N3723="PARCIAL"),D3723&lt;TODAY()-1)),"CRÍTICO",IF(OR(AND(P3723&lt;&gt;"",S3723=""),AND(N3723="REALIZADO",M3723="PENDENTE"),AND(ISNUMBER(R3723),R3723=TODAY())),"ATENÇÃO",IF(N(K3723)=0,"PENDENTE","EM ANDAMENTO"))))))</f>
        <v/>
      </c>
      <c r="C3723" s="3">
        <f>IF(D3723="","",IF(V3723=0,"🟢 OK",IF(D3723&lt;corte,"⚪ HISTÓRICO (sem baixa)",IF(AND(ISNUMBER(R3723),R3723&lt;TODAY()),"🔴 PRAZO VENCIDO",IF(AND(OR(N3723="PENDENTE",N3723="PARCIAL"),D3723&lt;TODAY()-1),"🔴 EMBARQUE ATRASADO",IF(AND(N3723="REALIZADO",M3723="PENDENTE"),"🟡 EMBARCADO SEM FATURAR",IF(AND(P3723&lt;&gt;"",S3723="",OR(Q3723="",R3723="")),"🟡 PENDÊNCIA SEM RESPONSÁVEL/PRAZO",IF(AND(ISNUMBER(R3723),R3723=TODAY()),"🟡 VENCE HOJE",IF(AND(P3723&lt;&gt;"",S3723=""),"🟡 PENDÊNCIA ABERTA",IF(AND(N(J3723)&gt;0,N(K3723)&lt;J3723),"🟡 FALTA EXECUTAR",IF(OR(M3723="PENDENTE",M3723="PARCIAL"),"🟡 FATURAMENTO PENDENTE","🟡 EMBARQUE PENDENTE")))))))))))</f>
        <v/>
      </c>
      <c r="D3723" s="4" t="n"/>
      <c r="E3723" s="5" t="n"/>
      <c r="F3723" s="5" t="n"/>
      <c r="G3723" s="5" t="n"/>
      <c r="H3723" s="5" t="n"/>
      <c r="I3723" s="5" t="n"/>
      <c r="J3723" s="6" t="n"/>
      <c r="K3723" s="6" t="n"/>
      <c r="L3723" s="7">
        <f>IF(OR(D3723="",N(J3723)=0),"",MIN(1,N(K3723)/J3723))</f>
        <v/>
      </c>
      <c r="M3723" s="5" t="n"/>
      <c r="N3723" s="5" t="n"/>
      <c r="O3723" s="5" t="n"/>
      <c r="P3723" s="5" t="n"/>
      <c r="Q3723" s="5" t="n"/>
      <c r="R3723" s="4" t="n"/>
      <c r="S3723" s="4" t="n"/>
      <c r="T3723" s="5" t="n"/>
      <c r="U3723" s="8">
        <f>IF(AND(V3723=1,D3723&lt;&gt;""),IF(D3723&gt;=corte,TODAY()-D3723,""),"")</f>
        <v/>
      </c>
      <c r="V3723" s="8">
        <f>IF(D3723="",0,IF(OR(AND(P3723&lt;&gt;"",S3723=""),AND(N(J3723)&gt;0,N(K3723)&lt;J3723),OR(M3723="PENDENTE",M3723="PARCIAL"),OR(N3723="PENDENTE",N3723="PARCIAL")),1,0))</f>
        <v/>
      </c>
      <c r="W3723" s="8">
        <f>IF(AND(V3723=1,D3723&lt;&gt;""),IF(D3723&gt;=corte,(B3723="CRÍTICO")*1E9+(100000-D3723)*10000+10000-ROW(),""),"")</f>
        <v/>
      </c>
      <c r="X3723" s="8">
        <f>IF(AND(V3723=1,D3723=pas_data,E3723=pas_turno),10000-ROW(),"")</f>
        <v/>
      </c>
    </row>
    <row r="3724">
      <c r="A3724" s="3">
        <f>IF(D3724="","","TT-"&amp;TEXT(ROW()-1,"00000"))</f>
        <v/>
      </c>
      <c r="B3724" s="3">
        <f>IF(D3724="","",IF(V3724=0,"CONCLUÍDO",IF(D3724&lt;corte,"HISTÓRICO",IF(OR(AND(ISNUMBER(R3724),R3724&lt;TODAY()),AND(OR(N3724="PENDENTE",N3724="PARCIAL"),D3724&lt;TODAY()-1)),"CRÍTICO",IF(OR(AND(P3724&lt;&gt;"",S3724=""),AND(N3724="REALIZADO",M3724="PENDENTE"),AND(ISNUMBER(R3724),R3724=TODAY())),"ATENÇÃO",IF(N(K3724)=0,"PENDENTE","EM ANDAMENTO"))))))</f>
        <v/>
      </c>
      <c r="C3724" s="3">
        <f>IF(D3724="","",IF(V3724=0,"🟢 OK",IF(D3724&lt;corte,"⚪ HISTÓRICO (sem baixa)",IF(AND(ISNUMBER(R3724),R3724&lt;TODAY()),"🔴 PRAZO VENCIDO",IF(AND(OR(N3724="PENDENTE",N3724="PARCIAL"),D3724&lt;TODAY()-1),"🔴 EMBARQUE ATRASADO",IF(AND(N3724="REALIZADO",M3724="PENDENTE"),"🟡 EMBARCADO SEM FATURAR",IF(AND(P3724&lt;&gt;"",S3724="",OR(Q3724="",R3724="")),"🟡 PENDÊNCIA SEM RESPONSÁVEL/PRAZO",IF(AND(ISNUMBER(R3724),R3724=TODAY()),"🟡 VENCE HOJE",IF(AND(P3724&lt;&gt;"",S3724=""),"🟡 PENDÊNCIA ABERTA",IF(AND(N(J3724)&gt;0,N(K3724)&lt;J3724),"🟡 FALTA EXECUTAR",IF(OR(M3724="PENDENTE",M3724="PARCIAL"),"🟡 FATURAMENTO PENDENTE","🟡 EMBARQUE PENDENTE")))))))))))</f>
        <v/>
      </c>
      <c r="D3724" s="4" t="n"/>
      <c r="E3724" s="5" t="n"/>
      <c r="F3724" s="5" t="n"/>
      <c r="G3724" s="5" t="n"/>
      <c r="H3724" s="5" t="n"/>
      <c r="I3724" s="5" t="n"/>
      <c r="J3724" s="6" t="n"/>
      <c r="K3724" s="6" t="n"/>
      <c r="L3724" s="7">
        <f>IF(OR(D3724="",N(J3724)=0),"",MIN(1,N(K3724)/J3724))</f>
        <v/>
      </c>
      <c r="M3724" s="5" t="n"/>
      <c r="N3724" s="5" t="n"/>
      <c r="O3724" s="5" t="n"/>
      <c r="P3724" s="5" t="n"/>
      <c r="Q3724" s="5" t="n"/>
      <c r="R3724" s="4" t="n"/>
      <c r="S3724" s="4" t="n"/>
      <c r="T3724" s="5" t="n"/>
      <c r="U3724" s="8">
        <f>IF(AND(V3724=1,D3724&lt;&gt;""),IF(D3724&gt;=corte,TODAY()-D3724,""),"")</f>
        <v/>
      </c>
      <c r="V3724" s="8">
        <f>IF(D3724="",0,IF(OR(AND(P3724&lt;&gt;"",S3724=""),AND(N(J3724)&gt;0,N(K3724)&lt;J3724),OR(M3724="PENDENTE",M3724="PARCIAL"),OR(N3724="PENDENTE",N3724="PARCIAL")),1,0))</f>
        <v/>
      </c>
      <c r="W3724" s="8">
        <f>IF(AND(V3724=1,D3724&lt;&gt;""),IF(D3724&gt;=corte,(B3724="CRÍTICO")*1E9+(100000-D3724)*10000+10000-ROW(),""),"")</f>
        <v/>
      </c>
      <c r="X3724" s="8">
        <f>IF(AND(V3724=1,D3724=pas_data,E3724=pas_turno),10000-ROW(),"")</f>
        <v/>
      </c>
    </row>
    <row r="3725">
      <c r="A3725" s="3">
        <f>IF(D3725="","","TT-"&amp;TEXT(ROW()-1,"00000"))</f>
        <v/>
      </c>
      <c r="B3725" s="3">
        <f>IF(D3725="","",IF(V3725=0,"CONCLUÍDO",IF(D3725&lt;corte,"HISTÓRICO",IF(OR(AND(ISNUMBER(R3725),R3725&lt;TODAY()),AND(OR(N3725="PENDENTE",N3725="PARCIAL"),D3725&lt;TODAY()-1)),"CRÍTICO",IF(OR(AND(P3725&lt;&gt;"",S3725=""),AND(N3725="REALIZADO",M3725="PENDENTE"),AND(ISNUMBER(R3725),R3725=TODAY())),"ATENÇÃO",IF(N(K3725)=0,"PENDENTE","EM ANDAMENTO"))))))</f>
        <v/>
      </c>
      <c r="C3725" s="3">
        <f>IF(D3725="","",IF(V3725=0,"🟢 OK",IF(D3725&lt;corte,"⚪ HISTÓRICO (sem baixa)",IF(AND(ISNUMBER(R3725),R3725&lt;TODAY()),"🔴 PRAZO VENCIDO",IF(AND(OR(N3725="PENDENTE",N3725="PARCIAL"),D3725&lt;TODAY()-1),"🔴 EMBARQUE ATRASADO",IF(AND(N3725="REALIZADO",M3725="PENDENTE"),"🟡 EMBARCADO SEM FATURAR",IF(AND(P3725&lt;&gt;"",S3725="",OR(Q3725="",R3725="")),"🟡 PENDÊNCIA SEM RESPONSÁVEL/PRAZO",IF(AND(ISNUMBER(R3725),R3725=TODAY()),"🟡 VENCE HOJE",IF(AND(P3725&lt;&gt;"",S3725=""),"🟡 PENDÊNCIA ABERTA",IF(AND(N(J3725)&gt;0,N(K3725)&lt;J3725),"🟡 FALTA EXECUTAR",IF(OR(M3725="PENDENTE",M3725="PARCIAL"),"🟡 FATURAMENTO PENDENTE","🟡 EMBARQUE PENDENTE")))))))))))</f>
        <v/>
      </c>
      <c r="D3725" s="4" t="n"/>
      <c r="E3725" s="5" t="n"/>
      <c r="F3725" s="5" t="n"/>
      <c r="G3725" s="5" t="n"/>
      <c r="H3725" s="5" t="n"/>
      <c r="I3725" s="5" t="n"/>
      <c r="J3725" s="6" t="n"/>
      <c r="K3725" s="6" t="n"/>
      <c r="L3725" s="7">
        <f>IF(OR(D3725="",N(J3725)=0),"",MIN(1,N(K3725)/J3725))</f>
        <v/>
      </c>
      <c r="M3725" s="5" t="n"/>
      <c r="N3725" s="5" t="n"/>
      <c r="O3725" s="5" t="n"/>
      <c r="P3725" s="5" t="n"/>
      <c r="Q3725" s="5" t="n"/>
      <c r="R3725" s="4" t="n"/>
      <c r="S3725" s="4" t="n"/>
      <c r="T3725" s="5" t="n"/>
      <c r="U3725" s="8">
        <f>IF(AND(V3725=1,D3725&lt;&gt;""),IF(D3725&gt;=corte,TODAY()-D3725,""),"")</f>
        <v/>
      </c>
      <c r="V3725" s="8">
        <f>IF(D3725="",0,IF(OR(AND(P3725&lt;&gt;"",S3725=""),AND(N(J3725)&gt;0,N(K3725)&lt;J3725),OR(M3725="PENDENTE",M3725="PARCIAL"),OR(N3725="PENDENTE",N3725="PARCIAL")),1,0))</f>
        <v/>
      </c>
      <c r="W3725" s="8">
        <f>IF(AND(V3725=1,D3725&lt;&gt;""),IF(D3725&gt;=corte,(B3725="CRÍTICO")*1E9+(100000-D3725)*10000+10000-ROW(),""),"")</f>
        <v/>
      </c>
      <c r="X3725" s="8">
        <f>IF(AND(V3725=1,D3725=pas_data,E3725=pas_turno),10000-ROW(),"")</f>
        <v/>
      </c>
    </row>
    <row r="3726">
      <c r="A3726" s="3">
        <f>IF(D3726="","","TT-"&amp;TEXT(ROW()-1,"00000"))</f>
        <v/>
      </c>
      <c r="B3726" s="3">
        <f>IF(D3726="","",IF(V3726=0,"CONCLUÍDO",IF(D3726&lt;corte,"HISTÓRICO",IF(OR(AND(ISNUMBER(R3726),R3726&lt;TODAY()),AND(OR(N3726="PENDENTE",N3726="PARCIAL"),D3726&lt;TODAY()-1)),"CRÍTICO",IF(OR(AND(P3726&lt;&gt;"",S3726=""),AND(N3726="REALIZADO",M3726="PENDENTE"),AND(ISNUMBER(R3726),R3726=TODAY())),"ATENÇÃO",IF(N(K3726)=0,"PENDENTE","EM ANDAMENTO"))))))</f>
        <v/>
      </c>
      <c r="C3726" s="3">
        <f>IF(D3726="","",IF(V3726=0,"🟢 OK",IF(D3726&lt;corte,"⚪ HISTÓRICO (sem baixa)",IF(AND(ISNUMBER(R3726),R3726&lt;TODAY()),"🔴 PRAZO VENCIDO",IF(AND(OR(N3726="PENDENTE",N3726="PARCIAL"),D3726&lt;TODAY()-1),"🔴 EMBARQUE ATRASADO",IF(AND(N3726="REALIZADO",M3726="PENDENTE"),"🟡 EMBARCADO SEM FATURAR",IF(AND(P3726&lt;&gt;"",S3726="",OR(Q3726="",R3726="")),"🟡 PENDÊNCIA SEM RESPONSÁVEL/PRAZO",IF(AND(ISNUMBER(R3726),R3726=TODAY()),"🟡 VENCE HOJE",IF(AND(P3726&lt;&gt;"",S3726=""),"🟡 PENDÊNCIA ABERTA",IF(AND(N(J3726)&gt;0,N(K3726)&lt;J3726),"🟡 FALTA EXECUTAR",IF(OR(M3726="PENDENTE",M3726="PARCIAL"),"🟡 FATURAMENTO PENDENTE","🟡 EMBARQUE PENDENTE")))))))))))</f>
        <v/>
      </c>
      <c r="D3726" s="4" t="n"/>
      <c r="E3726" s="5" t="n"/>
      <c r="F3726" s="5" t="n"/>
      <c r="G3726" s="5" t="n"/>
      <c r="H3726" s="5" t="n"/>
      <c r="I3726" s="5" t="n"/>
      <c r="J3726" s="6" t="n"/>
      <c r="K3726" s="6" t="n"/>
      <c r="L3726" s="7">
        <f>IF(OR(D3726="",N(J3726)=0),"",MIN(1,N(K3726)/J3726))</f>
        <v/>
      </c>
      <c r="M3726" s="5" t="n"/>
      <c r="N3726" s="5" t="n"/>
      <c r="O3726" s="5" t="n"/>
      <c r="P3726" s="5" t="n"/>
      <c r="Q3726" s="5" t="n"/>
      <c r="R3726" s="4" t="n"/>
      <c r="S3726" s="4" t="n"/>
      <c r="T3726" s="5" t="n"/>
      <c r="U3726" s="8">
        <f>IF(AND(V3726=1,D3726&lt;&gt;""),IF(D3726&gt;=corte,TODAY()-D3726,""),"")</f>
        <v/>
      </c>
      <c r="V3726" s="8">
        <f>IF(D3726="",0,IF(OR(AND(P3726&lt;&gt;"",S3726=""),AND(N(J3726)&gt;0,N(K3726)&lt;J3726),OR(M3726="PENDENTE",M3726="PARCIAL"),OR(N3726="PENDENTE",N3726="PARCIAL")),1,0))</f>
        <v/>
      </c>
      <c r="W3726" s="8">
        <f>IF(AND(V3726=1,D3726&lt;&gt;""),IF(D3726&gt;=corte,(B3726="CRÍTICO")*1E9+(100000-D3726)*10000+10000-ROW(),""),"")</f>
        <v/>
      </c>
      <c r="X3726" s="8">
        <f>IF(AND(V3726=1,D3726=pas_data,E3726=pas_turno),10000-ROW(),"")</f>
        <v/>
      </c>
    </row>
    <row r="3727">
      <c r="A3727" s="3">
        <f>IF(D3727="","","TT-"&amp;TEXT(ROW()-1,"00000"))</f>
        <v/>
      </c>
      <c r="B3727" s="3">
        <f>IF(D3727="","",IF(V3727=0,"CONCLUÍDO",IF(D3727&lt;corte,"HISTÓRICO",IF(OR(AND(ISNUMBER(R3727),R3727&lt;TODAY()),AND(OR(N3727="PENDENTE",N3727="PARCIAL"),D3727&lt;TODAY()-1)),"CRÍTICO",IF(OR(AND(P3727&lt;&gt;"",S3727=""),AND(N3727="REALIZADO",M3727="PENDENTE"),AND(ISNUMBER(R3727),R3727=TODAY())),"ATENÇÃO",IF(N(K3727)=0,"PENDENTE","EM ANDAMENTO"))))))</f>
        <v/>
      </c>
      <c r="C3727" s="3">
        <f>IF(D3727="","",IF(V3727=0,"🟢 OK",IF(D3727&lt;corte,"⚪ HISTÓRICO (sem baixa)",IF(AND(ISNUMBER(R3727),R3727&lt;TODAY()),"🔴 PRAZO VENCIDO",IF(AND(OR(N3727="PENDENTE",N3727="PARCIAL"),D3727&lt;TODAY()-1),"🔴 EMBARQUE ATRASADO",IF(AND(N3727="REALIZADO",M3727="PENDENTE"),"🟡 EMBARCADO SEM FATURAR",IF(AND(P3727&lt;&gt;"",S3727="",OR(Q3727="",R3727="")),"🟡 PENDÊNCIA SEM RESPONSÁVEL/PRAZO",IF(AND(ISNUMBER(R3727),R3727=TODAY()),"🟡 VENCE HOJE",IF(AND(P3727&lt;&gt;"",S3727=""),"🟡 PENDÊNCIA ABERTA",IF(AND(N(J3727)&gt;0,N(K3727)&lt;J3727),"🟡 FALTA EXECUTAR",IF(OR(M3727="PENDENTE",M3727="PARCIAL"),"🟡 FATURAMENTO PENDENTE","🟡 EMBARQUE PENDENTE")))))))))))</f>
        <v/>
      </c>
      <c r="D3727" s="4" t="n"/>
      <c r="E3727" s="5" t="n"/>
      <c r="F3727" s="5" t="n"/>
      <c r="G3727" s="5" t="n"/>
      <c r="H3727" s="5" t="n"/>
      <c r="I3727" s="5" t="n"/>
      <c r="J3727" s="6" t="n"/>
      <c r="K3727" s="6" t="n"/>
      <c r="L3727" s="7">
        <f>IF(OR(D3727="",N(J3727)=0),"",MIN(1,N(K3727)/J3727))</f>
        <v/>
      </c>
      <c r="M3727" s="5" t="n"/>
      <c r="N3727" s="5" t="n"/>
      <c r="O3727" s="5" t="n"/>
      <c r="P3727" s="5" t="n"/>
      <c r="Q3727" s="5" t="n"/>
      <c r="R3727" s="4" t="n"/>
      <c r="S3727" s="4" t="n"/>
      <c r="T3727" s="5" t="n"/>
      <c r="U3727" s="8">
        <f>IF(AND(V3727=1,D3727&lt;&gt;""),IF(D3727&gt;=corte,TODAY()-D3727,""),"")</f>
        <v/>
      </c>
      <c r="V3727" s="8">
        <f>IF(D3727="",0,IF(OR(AND(P3727&lt;&gt;"",S3727=""),AND(N(J3727)&gt;0,N(K3727)&lt;J3727),OR(M3727="PENDENTE",M3727="PARCIAL"),OR(N3727="PENDENTE",N3727="PARCIAL")),1,0))</f>
        <v/>
      </c>
      <c r="W3727" s="8">
        <f>IF(AND(V3727=1,D3727&lt;&gt;""),IF(D3727&gt;=corte,(B3727="CRÍTICO")*1E9+(100000-D3727)*10000+10000-ROW(),""),"")</f>
        <v/>
      </c>
      <c r="X3727" s="8">
        <f>IF(AND(V3727=1,D3727=pas_data,E3727=pas_turno),10000-ROW(),"")</f>
        <v/>
      </c>
    </row>
    <row r="3728">
      <c r="A3728" s="3">
        <f>IF(D3728="","","TT-"&amp;TEXT(ROW()-1,"00000"))</f>
        <v/>
      </c>
      <c r="B3728" s="3">
        <f>IF(D3728="","",IF(V3728=0,"CONCLUÍDO",IF(D3728&lt;corte,"HISTÓRICO",IF(OR(AND(ISNUMBER(R3728),R3728&lt;TODAY()),AND(OR(N3728="PENDENTE",N3728="PARCIAL"),D3728&lt;TODAY()-1)),"CRÍTICO",IF(OR(AND(P3728&lt;&gt;"",S3728=""),AND(N3728="REALIZADO",M3728="PENDENTE"),AND(ISNUMBER(R3728),R3728=TODAY())),"ATENÇÃO",IF(N(K3728)=0,"PENDENTE","EM ANDAMENTO"))))))</f>
        <v/>
      </c>
      <c r="C3728" s="3">
        <f>IF(D3728="","",IF(V3728=0,"🟢 OK",IF(D3728&lt;corte,"⚪ HISTÓRICO (sem baixa)",IF(AND(ISNUMBER(R3728),R3728&lt;TODAY()),"🔴 PRAZO VENCIDO",IF(AND(OR(N3728="PENDENTE",N3728="PARCIAL"),D3728&lt;TODAY()-1),"🔴 EMBARQUE ATRASADO",IF(AND(N3728="REALIZADO",M3728="PENDENTE"),"🟡 EMBARCADO SEM FATURAR",IF(AND(P3728&lt;&gt;"",S3728="",OR(Q3728="",R3728="")),"🟡 PENDÊNCIA SEM RESPONSÁVEL/PRAZO",IF(AND(ISNUMBER(R3728),R3728=TODAY()),"🟡 VENCE HOJE",IF(AND(P3728&lt;&gt;"",S3728=""),"🟡 PENDÊNCIA ABERTA",IF(AND(N(J3728)&gt;0,N(K3728)&lt;J3728),"🟡 FALTA EXECUTAR",IF(OR(M3728="PENDENTE",M3728="PARCIAL"),"🟡 FATURAMENTO PENDENTE","🟡 EMBARQUE PENDENTE")))))))))))</f>
        <v/>
      </c>
      <c r="D3728" s="4" t="n"/>
      <c r="E3728" s="5" t="n"/>
      <c r="F3728" s="5" t="n"/>
      <c r="G3728" s="5" t="n"/>
      <c r="H3728" s="5" t="n"/>
      <c r="I3728" s="5" t="n"/>
      <c r="J3728" s="6" t="n"/>
      <c r="K3728" s="6" t="n"/>
      <c r="L3728" s="7">
        <f>IF(OR(D3728="",N(J3728)=0),"",MIN(1,N(K3728)/J3728))</f>
        <v/>
      </c>
      <c r="M3728" s="5" t="n"/>
      <c r="N3728" s="5" t="n"/>
      <c r="O3728" s="5" t="n"/>
      <c r="P3728" s="5" t="n"/>
      <c r="Q3728" s="5" t="n"/>
      <c r="R3728" s="4" t="n"/>
      <c r="S3728" s="4" t="n"/>
      <c r="T3728" s="5" t="n"/>
      <c r="U3728" s="8">
        <f>IF(AND(V3728=1,D3728&lt;&gt;""),IF(D3728&gt;=corte,TODAY()-D3728,""),"")</f>
        <v/>
      </c>
      <c r="V3728" s="8">
        <f>IF(D3728="",0,IF(OR(AND(P3728&lt;&gt;"",S3728=""),AND(N(J3728)&gt;0,N(K3728)&lt;J3728),OR(M3728="PENDENTE",M3728="PARCIAL"),OR(N3728="PENDENTE",N3728="PARCIAL")),1,0))</f>
        <v/>
      </c>
      <c r="W3728" s="8">
        <f>IF(AND(V3728=1,D3728&lt;&gt;""),IF(D3728&gt;=corte,(B3728="CRÍTICO")*1E9+(100000-D3728)*10000+10000-ROW(),""),"")</f>
        <v/>
      </c>
      <c r="X3728" s="8">
        <f>IF(AND(V3728=1,D3728=pas_data,E3728=pas_turno),10000-ROW(),"")</f>
        <v/>
      </c>
    </row>
    <row r="3729">
      <c r="A3729" s="3">
        <f>IF(D3729="","","TT-"&amp;TEXT(ROW()-1,"00000"))</f>
        <v/>
      </c>
      <c r="B3729" s="3">
        <f>IF(D3729="","",IF(V3729=0,"CONCLUÍDO",IF(D3729&lt;corte,"HISTÓRICO",IF(OR(AND(ISNUMBER(R3729),R3729&lt;TODAY()),AND(OR(N3729="PENDENTE",N3729="PARCIAL"),D3729&lt;TODAY()-1)),"CRÍTICO",IF(OR(AND(P3729&lt;&gt;"",S3729=""),AND(N3729="REALIZADO",M3729="PENDENTE"),AND(ISNUMBER(R3729),R3729=TODAY())),"ATENÇÃO",IF(N(K3729)=0,"PENDENTE","EM ANDAMENTO"))))))</f>
        <v/>
      </c>
      <c r="C3729" s="3">
        <f>IF(D3729="","",IF(V3729=0,"🟢 OK",IF(D3729&lt;corte,"⚪ HISTÓRICO (sem baixa)",IF(AND(ISNUMBER(R3729),R3729&lt;TODAY()),"🔴 PRAZO VENCIDO",IF(AND(OR(N3729="PENDENTE",N3729="PARCIAL"),D3729&lt;TODAY()-1),"🔴 EMBARQUE ATRASADO",IF(AND(N3729="REALIZADO",M3729="PENDENTE"),"🟡 EMBARCADO SEM FATURAR",IF(AND(P3729&lt;&gt;"",S3729="",OR(Q3729="",R3729="")),"🟡 PENDÊNCIA SEM RESPONSÁVEL/PRAZO",IF(AND(ISNUMBER(R3729),R3729=TODAY()),"🟡 VENCE HOJE",IF(AND(P3729&lt;&gt;"",S3729=""),"🟡 PENDÊNCIA ABERTA",IF(AND(N(J3729)&gt;0,N(K3729)&lt;J3729),"🟡 FALTA EXECUTAR",IF(OR(M3729="PENDENTE",M3729="PARCIAL"),"🟡 FATURAMENTO PENDENTE","🟡 EMBARQUE PENDENTE")))))))))))</f>
        <v/>
      </c>
      <c r="D3729" s="4" t="n"/>
      <c r="E3729" s="5" t="n"/>
      <c r="F3729" s="5" t="n"/>
      <c r="G3729" s="5" t="n"/>
      <c r="H3729" s="5" t="n"/>
      <c r="I3729" s="5" t="n"/>
      <c r="J3729" s="6" t="n"/>
      <c r="K3729" s="6" t="n"/>
      <c r="L3729" s="7">
        <f>IF(OR(D3729="",N(J3729)=0),"",MIN(1,N(K3729)/J3729))</f>
        <v/>
      </c>
      <c r="M3729" s="5" t="n"/>
      <c r="N3729" s="5" t="n"/>
      <c r="O3729" s="5" t="n"/>
      <c r="P3729" s="5" t="n"/>
      <c r="Q3729" s="5" t="n"/>
      <c r="R3729" s="4" t="n"/>
      <c r="S3729" s="4" t="n"/>
      <c r="T3729" s="5" t="n"/>
      <c r="U3729" s="8">
        <f>IF(AND(V3729=1,D3729&lt;&gt;""),IF(D3729&gt;=corte,TODAY()-D3729,""),"")</f>
        <v/>
      </c>
      <c r="V3729" s="8">
        <f>IF(D3729="",0,IF(OR(AND(P3729&lt;&gt;"",S3729=""),AND(N(J3729)&gt;0,N(K3729)&lt;J3729),OR(M3729="PENDENTE",M3729="PARCIAL"),OR(N3729="PENDENTE",N3729="PARCIAL")),1,0))</f>
        <v/>
      </c>
      <c r="W3729" s="8">
        <f>IF(AND(V3729=1,D3729&lt;&gt;""),IF(D3729&gt;=corte,(B3729="CRÍTICO")*1E9+(100000-D3729)*10000+10000-ROW(),""),"")</f>
        <v/>
      </c>
      <c r="X3729" s="8">
        <f>IF(AND(V3729=1,D3729=pas_data,E3729=pas_turno),10000-ROW(),"")</f>
        <v/>
      </c>
    </row>
    <row r="3730">
      <c r="A3730" s="3">
        <f>IF(D3730="","","TT-"&amp;TEXT(ROW()-1,"00000"))</f>
        <v/>
      </c>
      <c r="B3730" s="3">
        <f>IF(D3730="","",IF(V3730=0,"CONCLUÍDO",IF(D3730&lt;corte,"HISTÓRICO",IF(OR(AND(ISNUMBER(R3730),R3730&lt;TODAY()),AND(OR(N3730="PENDENTE",N3730="PARCIAL"),D3730&lt;TODAY()-1)),"CRÍTICO",IF(OR(AND(P3730&lt;&gt;"",S3730=""),AND(N3730="REALIZADO",M3730="PENDENTE"),AND(ISNUMBER(R3730),R3730=TODAY())),"ATENÇÃO",IF(N(K3730)=0,"PENDENTE","EM ANDAMENTO"))))))</f>
        <v/>
      </c>
      <c r="C3730" s="3">
        <f>IF(D3730="","",IF(V3730=0,"🟢 OK",IF(D3730&lt;corte,"⚪ HISTÓRICO (sem baixa)",IF(AND(ISNUMBER(R3730),R3730&lt;TODAY()),"🔴 PRAZO VENCIDO",IF(AND(OR(N3730="PENDENTE",N3730="PARCIAL"),D3730&lt;TODAY()-1),"🔴 EMBARQUE ATRASADO",IF(AND(N3730="REALIZADO",M3730="PENDENTE"),"🟡 EMBARCADO SEM FATURAR",IF(AND(P3730&lt;&gt;"",S3730="",OR(Q3730="",R3730="")),"🟡 PENDÊNCIA SEM RESPONSÁVEL/PRAZO",IF(AND(ISNUMBER(R3730),R3730=TODAY()),"🟡 VENCE HOJE",IF(AND(P3730&lt;&gt;"",S3730=""),"🟡 PENDÊNCIA ABERTA",IF(AND(N(J3730)&gt;0,N(K3730)&lt;J3730),"🟡 FALTA EXECUTAR",IF(OR(M3730="PENDENTE",M3730="PARCIAL"),"🟡 FATURAMENTO PENDENTE","🟡 EMBARQUE PENDENTE")))))))))))</f>
        <v/>
      </c>
      <c r="D3730" s="4" t="n"/>
      <c r="E3730" s="5" t="n"/>
      <c r="F3730" s="5" t="n"/>
      <c r="G3730" s="5" t="n"/>
      <c r="H3730" s="5" t="n"/>
      <c r="I3730" s="5" t="n"/>
      <c r="J3730" s="6" t="n"/>
      <c r="K3730" s="6" t="n"/>
      <c r="L3730" s="7">
        <f>IF(OR(D3730="",N(J3730)=0),"",MIN(1,N(K3730)/J3730))</f>
        <v/>
      </c>
      <c r="M3730" s="5" t="n"/>
      <c r="N3730" s="5" t="n"/>
      <c r="O3730" s="5" t="n"/>
      <c r="P3730" s="5" t="n"/>
      <c r="Q3730" s="5" t="n"/>
      <c r="R3730" s="4" t="n"/>
      <c r="S3730" s="4" t="n"/>
      <c r="T3730" s="5" t="n"/>
      <c r="U3730" s="8">
        <f>IF(AND(V3730=1,D3730&lt;&gt;""),IF(D3730&gt;=corte,TODAY()-D3730,""),"")</f>
        <v/>
      </c>
      <c r="V3730" s="8">
        <f>IF(D3730="",0,IF(OR(AND(P3730&lt;&gt;"",S3730=""),AND(N(J3730)&gt;0,N(K3730)&lt;J3730),OR(M3730="PENDENTE",M3730="PARCIAL"),OR(N3730="PENDENTE",N3730="PARCIAL")),1,0))</f>
        <v/>
      </c>
      <c r="W3730" s="8">
        <f>IF(AND(V3730=1,D3730&lt;&gt;""),IF(D3730&gt;=corte,(B3730="CRÍTICO")*1E9+(100000-D3730)*10000+10000-ROW(),""),"")</f>
        <v/>
      </c>
      <c r="X3730" s="8">
        <f>IF(AND(V3730=1,D3730=pas_data,E3730=pas_turno),10000-ROW(),"")</f>
        <v/>
      </c>
    </row>
    <row r="3731">
      <c r="A3731" s="3">
        <f>IF(D3731="","","TT-"&amp;TEXT(ROW()-1,"00000"))</f>
        <v/>
      </c>
      <c r="B3731" s="3">
        <f>IF(D3731="","",IF(V3731=0,"CONCLUÍDO",IF(D3731&lt;corte,"HISTÓRICO",IF(OR(AND(ISNUMBER(R3731),R3731&lt;TODAY()),AND(OR(N3731="PENDENTE",N3731="PARCIAL"),D3731&lt;TODAY()-1)),"CRÍTICO",IF(OR(AND(P3731&lt;&gt;"",S3731=""),AND(N3731="REALIZADO",M3731="PENDENTE"),AND(ISNUMBER(R3731),R3731=TODAY())),"ATENÇÃO",IF(N(K3731)=0,"PENDENTE","EM ANDAMENTO"))))))</f>
        <v/>
      </c>
      <c r="C3731" s="3">
        <f>IF(D3731="","",IF(V3731=0,"🟢 OK",IF(D3731&lt;corte,"⚪ HISTÓRICO (sem baixa)",IF(AND(ISNUMBER(R3731),R3731&lt;TODAY()),"🔴 PRAZO VENCIDO",IF(AND(OR(N3731="PENDENTE",N3731="PARCIAL"),D3731&lt;TODAY()-1),"🔴 EMBARQUE ATRASADO",IF(AND(N3731="REALIZADO",M3731="PENDENTE"),"🟡 EMBARCADO SEM FATURAR",IF(AND(P3731&lt;&gt;"",S3731="",OR(Q3731="",R3731="")),"🟡 PENDÊNCIA SEM RESPONSÁVEL/PRAZO",IF(AND(ISNUMBER(R3731),R3731=TODAY()),"🟡 VENCE HOJE",IF(AND(P3731&lt;&gt;"",S3731=""),"🟡 PENDÊNCIA ABERTA",IF(AND(N(J3731)&gt;0,N(K3731)&lt;J3731),"🟡 FALTA EXECUTAR",IF(OR(M3731="PENDENTE",M3731="PARCIAL"),"🟡 FATURAMENTO PENDENTE","🟡 EMBARQUE PENDENTE")))))))))))</f>
        <v/>
      </c>
      <c r="D3731" s="4" t="n"/>
      <c r="E3731" s="5" t="n"/>
      <c r="F3731" s="5" t="n"/>
      <c r="G3731" s="5" t="n"/>
      <c r="H3731" s="5" t="n"/>
      <c r="I3731" s="5" t="n"/>
      <c r="J3731" s="6" t="n"/>
      <c r="K3731" s="6" t="n"/>
      <c r="L3731" s="7">
        <f>IF(OR(D3731="",N(J3731)=0),"",MIN(1,N(K3731)/J3731))</f>
        <v/>
      </c>
      <c r="M3731" s="5" t="n"/>
      <c r="N3731" s="5" t="n"/>
      <c r="O3731" s="5" t="n"/>
      <c r="P3731" s="5" t="n"/>
      <c r="Q3731" s="5" t="n"/>
      <c r="R3731" s="4" t="n"/>
      <c r="S3731" s="4" t="n"/>
      <c r="T3731" s="5" t="n"/>
      <c r="U3731" s="8">
        <f>IF(AND(V3731=1,D3731&lt;&gt;""),IF(D3731&gt;=corte,TODAY()-D3731,""),"")</f>
        <v/>
      </c>
      <c r="V3731" s="8">
        <f>IF(D3731="",0,IF(OR(AND(P3731&lt;&gt;"",S3731=""),AND(N(J3731)&gt;0,N(K3731)&lt;J3731),OR(M3731="PENDENTE",M3731="PARCIAL"),OR(N3731="PENDENTE",N3731="PARCIAL")),1,0))</f>
        <v/>
      </c>
      <c r="W3731" s="8">
        <f>IF(AND(V3731=1,D3731&lt;&gt;""),IF(D3731&gt;=corte,(B3731="CRÍTICO")*1E9+(100000-D3731)*10000+10000-ROW(),""),"")</f>
        <v/>
      </c>
      <c r="X3731" s="8">
        <f>IF(AND(V3731=1,D3731=pas_data,E3731=pas_turno),10000-ROW(),"")</f>
        <v/>
      </c>
    </row>
    <row r="3732">
      <c r="A3732" s="3">
        <f>IF(D3732="","","TT-"&amp;TEXT(ROW()-1,"00000"))</f>
        <v/>
      </c>
      <c r="B3732" s="3">
        <f>IF(D3732="","",IF(V3732=0,"CONCLUÍDO",IF(D3732&lt;corte,"HISTÓRICO",IF(OR(AND(ISNUMBER(R3732),R3732&lt;TODAY()),AND(OR(N3732="PENDENTE",N3732="PARCIAL"),D3732&lt;TODAY()-1)),"CRÍTICO",IF(OR(AND(P3732&lt;&gt;"",S3732=""),AND(N3732="REALIZADO",M3732="PENDENTE"),AND(ISNUMBER(R3732),R3732=TODAY())),"ATENÇÃO",IF(N(K3732)=0,"PENDENTE","EM ANDAMENTO"))))))</f>
        <v/>
      </c>
      <c r="C3732" s="3">
        <f>IF(D3732="","",IF(V3732=0,"🟢 OK",IF(D3732&lt;corte,"⚪ HISTÓRICO (sem baixa)",IF(AND(ISNUMBER(R3732),R3732&lt;TODAY()),"🔴 PRAZO VENCIDO",IF(AND(OR(N3732="PENDENTE",N3732="PARCIAL"),D3732&lt;TODAY()-1),"🔴 EMBARQUE ATRASADO",IF(AND(N3732="REALIZADO",M3732="PENDENTE"),"🟡 EMBARCADO SEM FATURAR",IF(AND(P3732&lt;&gt;"",S3732="",OR(Q3732="",R3732="")),"🟡 PENDÊNCIA SEM RESPONSÁVEL/PRAZO",IF(AND(ISNUMBER(R3732),R3732=TODAY()),"🟡 VENCE HOJE",IF(AND(P3732&lt;&gt;"",S3732=""),"🟡 PENDÊNCIA ABERTA",IF(AND(N(J3732)&gt;0,N(K3732)&lt;J3732),"🟡 FALTA EXECUTAR",IF(OR(M3732="PENDENTE",M3732="PARCIAL"),"🟡 FATURAMENTO PENDENTE","🟡 EMBARQUE PENDENTE")))))))))))</f>
        <v/>
      </c>
      <c r="D3732" s="4" t="n"/>
      <c r="E3732" s="5" t="n"/>
      <c r="F3732" s="5" t="n"/>
      <c r="G3732" s="5" t="n"/>
      <c r="H3732" s="5" t="n"/>
      <c r="I3732" s="5" t="n"/>
      <c r="J3732" s="6" t="n"/>
      <c r="K3732" s="6" t="n"/>
      <c r="L3732" s="7">
        <f>IF(OR(D3732="",N(J3732)=0),"",MIN(1,N(K3732)/J3732))</f>
        <v/>
      </c>
      <c r="M3732" s="5" t="n"/>
      <c r="N3732" s="5" t="n"/>
      <c r="O3732" s="5" t="n"/>
      <c r="P3732" s="5" t="n"/>
      <c r="Q3732" s="5" t="n"/>
      <c r="R3732" s="4" t="n"/>
      <c r="S3732" s="4" t="n"/>
      <c r="T3732" s="5" t="n"/>
      <c r="U3732" s="8">
        <f>IF(AND(V3732=1,D3732&lt;&gt;""),IF(D3732&gt;=corte,TODAY()-D3732,""),"")</f>
        <v/>
      </c>
      <c r="V3732" s="8">
        <f>IF(D3732="",0,IF(OR(AND(P3732&lt;&gt;"",S3732=""),AND(N(J3732)&gt;0,N(K3732)&lt;J3732),OR(M3732="PENDENTE",M3732="PARCIAL"),OR(N3732="PENDENTE",N3732="PARCIAL")),1,0))</f>
        <v/>
      </c>
      <c r="W3732" s="8">
        <f>IF(AND(V3732=1,D3732&lt;&gt;""),IF(D3732&gt;=corte,(B3732="CRÍTICO")*1E9+(100000-D3732)*10000+10000-ROW(),""),"")</f>
        <v/>
      </c>
      <c r="X3732" s="8">
        <f>IF(AND(V3732=1,D3732=pas_data,E3732=pas_turno),10000-ROW(),"")</f>
        <v/>
      </c>
    </row>
    <row r="3733">
      <c r="A3733" s="3">
        <f>IF(D3733="","","TT-"&amp;TEXT(ROW()-1,"00000"))</f>
        <v/>
      </c>
      <c r="B3733" s="3">
        <f>IF(D3733="","",IF(V3733=0,"CONCLUÍDO",IF(D3733&lt;corte,"HISTÓRICO",IF(OR(AND(ISNUMBER(R3733),R3733&lt;TODAY()),AND(OR(N3733="PENDENTE",N3733="PARCIAL"),D3733&lt;TODAY()-1)),"CRÍTICO",IF(OR(AND(P3733&lt;&gt;"",S3733=""),AND(N3733="REALIZADO",M3733="PENDENTE"),AND(ISNUMBER(R3733),R3733=TODAY())),"ATENÇÃO",IF(N(K3733)=0,"PENDENTE","EM ANDAMENTO"))))))</f>
        <v/>
      </c>
      <c r="C3733" s="3">
        <f>IF(D3733="","",IF(V3733=0,"🟢 OK",IF(D3733&lt;corte,"⚪ HISTÓRICO (sem baixa)",IF(AND(ISNUMBER(R3733),R3733&lt;TODAY()),"🔴 PRAZO VENCIDO",IF(AND(OR(N3733="PENDENTE",N3733="PARCIAL"),D3733&lt;TODAY()-1),"🔴 EMBARQUE ATRASADO",IF(AND(N3733="REALIZADO",M3733="PENDENTE"),"🟡 EMBARCADO SEM FATURAR",IF(AND(P3733&lt;&gt;"",S3733="",OR(Q3733="",R3733="")),"🟡 PENDÊNCIA SEM RESPONSÁVEL/PRAZO",IF(AND(ISNUMBER(R3733),R3733=TODAY()),"🟡 VENCE HOJE",IF(AND(P3733&lt;&gt;"",S3733=""),"🟡 PENDÊNCIA ABERTA",IF(AND(N(J3733)&gt;0,N(K3733)&lt;J3733),"🟡 FALTA EXECUTAR",IF(OR(M3733="PENDENTE",M3733="PARCIAL"),"🟡 FATURAMENTO PENDENTE","🟡 EMBARQUE PENDENTE")))))))))))</f>
        <v/>
      </c>
      <c r="D3733" s="4" t="n"/>
      <c r="E3733" s="5" t="n"/>
      <c r="F3733" s="5" t="n"/>
      <c r="G3733" s="5" t="n"/>
      <c r="H3733" s="5" t="n"/>
      <c r="I3733" s="5" t="n"/>
      <c r="J3733" s="6" t="n"/>
      <c r="K3733" s="6" t="n"/>
      <c r="L3733" s="7">
        <f>IF(OR(D3733="",N(J3733)=0),"",MIN(1,N(K3733)/J3733))</f>
        <v/>
      </c>
      <c r="M3733" s="5" t="n"/>
      <c r="N3733" s="5" t="n"/>
      <c r="O3733" s="5" t="n"/>
      <c r="P3733" s="5" t="n"/>
      <c r="Q3733" s="5" t="n"/>
      <c r="R3733" s="4" t="n"/>
      <c r="S3733" s="4" t="n"/>
      <c r="T3733" s="5" t="n"/>
      <c r="U3733" s="8">
        <f>IF(AND(V3733=1,D3733&lt;&gt;""),IF(D3733&gt;=corte,TODAY()-D3733,""),"")</f>
        <v/>
      </c>
      <c r="V3733" s="8">
        <f>IF(D3733="",0,IF(OR(AND(P3733&lt;&gt;"",S3733=""),AND(N(J3733)&gt;0,N(K3733)&lt;J3733),OR(M3733="PENDENTE",M3733="PARCIAL"),OR(N3733="PENDENTE",N3733="PARCIAL")),1,0))</f>
        <v/>
      </c>
      <c r="W3733" s="8">
        <f>IF(AND(V3733=1,D3733&lt;&gt;""),IF(D3733&gt;=corte,(B3733="CRÍTICO")*1E9+(100000-D3733)*10000+10000-ROW(),""),"")</f>
        <v/>
      </c>
      <c r="X3733" s="8">
        <f>IF(AND(V3733=1,D3733=pas_data,E3733=pas_turno),10000-ROW(),"")</f>
        <v/>
      </c>
    </row>
    <row r="3734">
      <c r="A3734" s="3">
        <f>IF(D3734="","","TT-"&amp;TEXT(ROW()-1,"00000"))</f>
        <v/>
      </c>
      <c r="B3734" s="3">
        <f>IF(D3734="","",IF(V3734=0,"CONCLUÍDO",IF(D3734&lt;corte,"HISTÓRICO",IF(OR(AND(ISNUMBER(R3734),R3734&lt;TODAY()),AND(OR(N3734="PENDENTE",N3734="PARCIAL"),D3734&lt;TODAY()-1)),"CRÍTICO",IF(OR(AND(P3734&lt;&gt;"",S3734=""),AND(N3734="REALIZADO",M3734="PENDENTE"),AND(ISNUMBER(R3734),R3734=TODAY())),"ATENÇÃO",IF(N(K3734)=0,"PENDENTE","EM ANDAMENTO"))))))</f>
        <v/>
      </c>
      <c r="C3734" s="3">
        <f>IF(D3734="","",IF(V3734=0,"🟢 OK",IF(D3734&lt;corte,"⚪ HISTÓRICO (sem baixa)",IF(AND(ISNUMBER(R3734),R3734&lt;TODAY()),"🔴 PRAZO VENCIDO",IF(AND(OR(N3734="PENDENTE",N3734="PARCIAL"),D3734&lt;TODAY()-1),"🔴 EMBARQUE ATRASADO",IF(AND(N3734="REALIZADO",M3734="PENDENTE"),"🟡 EMBARCADO SEM FATURAR",IF(AND(P3734&lt;&gt;"",S3734="",OR(Q3734="",R3734="")),"🟡 PENDÊNCIA SEM RESPONSÁVEL/PRAZO",IF(AND(ISNUMBER(R3734),R3734=TODAY()),"🟡 VENCE HOJE",IF(AND(P3734&lt;&gt;"",S3734=""),"🟡 PENDÊNCIA ABERTA",IF(AND(N(J3734)&gt;0,N(K3734)&lt;J3734),"🟡 FALTA EXECUTAR",IF(OR(M3734="PENDENTE",M3734="PARCIAL"),"🟡 FATURAMENTO PENDENTE","🟡 EMBARQUE PENDENTE")))))))))))</f>
        <v/>
      </c>
      <c r="D3734" s="4" t="n"/>
      <c r="E3734" s="5" t="n"/>
      <c r="F3734" s="5" t="n"/>
      <c r="G3734" s="5" t="n"/>
      <c r="H3734" s="5" t="n"/>
      <c r="I3734" s="5" t="n"/>
      <c r="J3734" s="6" t="n"/>
      <c r="K3734" s="6" t="n"/>
      <c r="L3734" s="7">
        <f>IF(OR(D3734="",N(J3734)=0),"",MIN(1,N(K3734)/J3734))</f>
        <v/>
      </c>
      <c r="M3734" s="5" t="n"/>
      <c r="N3734" s="5" t="n"/>
      <c r="O3734" s="5" t="n"/>
      <c r="P3734" s="5" t="n"/>
      <c r="Q3734" s="5" t="n"/>
      <c r="R3734" s="4" t="n"/>
      <c r="S3734" s="4" t="n"/>
      <c r="T3734" s="5" t="n"/>
      <c r="U3734" s="8">
        <f>IF(AND(V3734=1,D3734&lt;&gt;""),IF(D3734&gt;=corte,TODAY()-D3734,""),"")</f>
        <v/>
      </c>
      <c r="V3734" s="8">
        <f>IF(D3734="",0,IF(OR(AND(P3734&lt;&gt;"",S3734=""),AND(N(J3734)&gt;0,N(K3734)&lt;J3734),OR(M3734="PENDENTE",M3734="PARCIAL"),OR(N3734="PENDENTE",N3734="PARCIAL")),1,0))</f>
        <v/>
      </c>
      <c r="W3734" s="8">
        <f>IF(AND(V3734=1,D3734&lt;&gt;""),IF(D3734&gt;=corte,(B3734="CRÍTICO")*1E9+(100000-D3734)*10000+10000-ROW(),""),"")</f>
        <v/>
      </c>
      <c r="X3734" s="8">
        <f>IF(AND(V3734=1,D3734=pas_data,E3734=pas_turno),10000-ROW(),"")</f>
        <v/>
      </c>
    </row>
    <row r="3735">
      <c r="A3735" s="3">
        <f>IF(D3735="","","TT-"&amp;TEXT(ROW()-1,"00000"))</f>
        <v/>
      </c>
      <c r="B3735" s="3">
        <f>IF(D3735="","",IF(V3735=0,"CONCLUÍDO",IF(D3735&lt;corte,"HISTÓRICO",IF(OR(AND(ISNUMBER(R3735),R3735&lt;TODAY()),AND(OR(N3735="PENDENTE",N3735="PARCIAL"),D3735&lt;TODAY()-1)),"CRÍTICO",IF(OR(AND(P3735&lt;&gt;"",S3735=""),AND(N3735="REALIZADO",M3735="PENDENTE"),AND(ISNUMBER(R3735),R3735=TODAY())),"ATENÇÃO",IF(N(K3735)=0,"PENDENTE","EM ANDAMENTO"))))))</f>
        <v/>
      </c>
      <c r="C3735" s="3">
        <f>IF(D3735="","",IF(V3735=0,"🟢 OK",IF(D3735&lt;corte,"⚪ HISTÓRICO (sem baixa)",IF(AND(ISNUMBER(R3735),R3735&lt;TODAY()),"🔴 PRAZO VENCIDO",IF(AND(OR(N3735="PENDENTE",N3735="PARCIAL"),D3735&lt;TODAY()-1),"🔴 EMBARQUE ATRASADO",IF(AND(N3735="REALIZADO",M3735="PENDENTE"),"🟡 EMBARCADO SEM FATURAR",IF(AND(P3735&lt;&gt;"",S3735="",OR(Q3735="",R3735="")),"🟡 PENDÊNCIA SEM RESPONSÁVEL/PRAZO",IF(AND(ISNUMBER(R3735),R3735=TODAY()),"🟡 VENCE HOJE",IF(AND(P3735&lt;&gt;"",S3735=""),"🟡 PENDÊNCIA ABERTA",IF(AND(N(J3735)&gt;0,N(K3735)&lt;J3735),"🟡 FALTA EXECUTAR",IF(OR(M3735="PENDENTE",M3735="PARCIAL"),"🟡 FATURAMENTO PENDENTE","🟡 EMBARQUE PENDENTE")))))))))))</f>
        <v/>
      </c>
      <c r="D3735" s="4" t="n"/>
      <c r="E3735" s="5" t="n"/>
      <c r="F3735" s="5" t="n"/>
      <c r="G3735" s="5" t="n"/>
      <c r="H3735" s="5" t="n"/>
      <c r="I3735" s="5" t="n"/>
      <c r="J3735" s="6" t="n"/>
      <c r="K3735" s="6" t="n"/>
      <c r="L3735" s="7">
        <f>IF(OR(D3735="",N(J3735)=0),"",MIN(1,N(K3735)/J3735))</f>
        <v/>
      </c>
      <c r="M3735" s="5" t="n"/>
      <c r="N3735" s="5" t="n"/>
      <c r="O3735" s="5" t="n"/>
      <c r="P3735" s="5" t="n"/>
      <c r="Q3735" s="5" t="n"/>
      <c r="R3735" s="4" t="n"/>
      <c r="S3735" s="4" t="n"/>
      <c r="T3735" s="5" t="n"/>
      <c r="U3735" s="8">
        <f>IF(AND(V3735=1,D3735&lt;&gt;""),IF(D3735&gt;=corte,TODAY()-D3735,""),"")</f>
        <v/>
      </c>
      <c r="V3735" s="8">
        <f>IF(D3735="",0,IF(OR(AND(P3735&lt;&gt;"",S3735=""),AND(N(J3735)&gt;0,N(K3735)&lt;J3735),OR(M3735="PENDENTE",M3735="PARCIAL"),OR(N3735="PENDENTE",N3735="PARCIAL")),1,0))</f>
        <v/>
      </c>
      <c r="W3735" s="8">
        <f>IF(AND(V3735=1,D3735&lt;&gt;""),IF(D3735&gt;=corte,(B3735="CRÍTICO")*1E9+(100000-D3735)*10000+10000-ROW(),""),"")</f>
        <v/>
      </c>
      <c r="X3735" s="8">
        <f>IF(AND(V3735=1,D3735=pas_data,E3735=pas_turno),10000-ROW(),"")</f>
        <v/>
      </c>
    </row>
    <row r="3736">
      <c r="A3736" s="3">
        <f>IF(D3736="","","TT-"&amp;TEXT(ROW()-1,"00000"))</f>
        <v/>
      </c>
      <c r="B3736" s="3">
        <f>IF(D3736="","",IF(V3736=0,"CONCLUÍDO",IF(D3736&lt;corte,"HISTÓRICO",IF(OR(AND(ISNUMBER(R3736),R3736&lt;TODAY()),AND(OR(N3736="PENDENTE",N3736="PARCIAL"),D3736&lt;TODAY()-1)),"CRÍTICO",IF(OR(AND(P3736&lt;&gt;"",S3736=""),AND(N3736="REALIZADO",M3736="PENDENTE"),AND(ISNUMBER(R3736),R3736=TODAY())),"ATENÇÃO",IF(N(K3736)=0,"PENDENTE","EM ANDAMENTO"))))))</f>
        <v/>
      </c>
      <c r="C3736" s="3">
        <f>IF(D3736="","",IF(V3736=0,"🟢 OK",IF(D3736&lt;corte,"⚪ HISTÓRICO (sem baixa)",IF(AND(ISNUMBER(R3736),R3736&lt;TODAY()),"🔴 PRAZO VENCIDO",IF(AND(OR(N3736="PENDENTE",N3736="PARCIAL"),D3736&lt;TODAY()-1),"🔴 EMBARQUE ATRASADO",IF(AND(N3736="REALIZADO",M3736="PENDENTE"),"🟡 EMBARCADO SEM FATURAR",IF(AND(P3736&lt;&gt;"",S3736="",OR(Q3736="",R3736="")),"🟡 PENDÊNCIA SEM RESPONSÁVEL/PRAZO",IF(AND(ISNUMBER(R3736),R3736=TODAY()),"🟡 VENCE HOJE",IF(AND(P3736&lt;&gt;"",S3736=""),"🟡 PENDÊNCIA ABERTA",IF(AND(N(J3736)&gt;0,N(K3736)&lt;J3736),"🟡 FALTA EXECUTAR",IF(OR(M3736="PENDENTE",M3736="PARCIAL"),"🟡 FATURAMENTO PENDENTE","🟡 EMBARQUE PENDENTE")))))))))))</f>
        <v/>
      </c>
      <c r="D3736" s="4" t="n"/>
      <c r="E3736" s="5" t="n"/>
      <c r="F3736" s="5" t="n"/>
      <c r="G3736" s="5" t="n"/>
      <c r="H3736" s="5" t="n"/>
      <c r="I3736" s="5" t="n"/>
      <c r="J3736" s="6" t="n"/>
      <c r="K3736" s="6" t="n"/>
      <c r="L3736" s="7">
        <f>IF(OR(D3736="",N(J3736)=0),"",MIN(1,N(K3736)/J3736))</f>
        <v/>
      </c>
      <c r="M3736" s="5" t="n"/>
      <c r="N3736" s="5" t="n"/>
      <c r="O3736" s="5" t="n"/>
      <c r="P3736" s="5" t="n"/>
      <c r="Q3736" s="5" t="n"/>
      <c r="R3736" s="4" t="n"/>
      <c r="S3736" s="4" t="n"/>
      <c r="T3736" s="5" t="n"/>
      <c r="U3736" s="8">
        <f>IF(AND(V3736=1,D3736&lt;&gt;""),IF(D3736&gt;=corte,TODAY()-D3736,""),"")</f>
        <v/>
      </c>
      <c r="V3736" s="8">
        <f>IF(D3736="",0,IF(OR(AND(P3736&lt;&gt;"",S3736=""),AND(N(J3736)&gt;0,N(K3736)&lt;J3736),OR(M3736="PENDENTE",M3736="PARCIAL"),OR(N3736="PENDENTE",N3736="PARCIAL")),1,0))</f>
        <v/>
      </c>
      <c r="W3736" s="8">
        <f>IF(AND(V3736=1,D3736&lt;&gt;""),IF(D3736&gt;=corte,(B3736="CRÍTICO")*1E9+(100000-D3736)*10000+10000-ROW(),""),"")</f>
        <v/>
      </c>
      <c r="X3736" s="8">
        <f>IF(AND(V3736=1,D3736=pas_data,E3736=pas_turno),10000-ROW(),"")</f>
        <v/>
      </c>
    </row>
    <row r="3737">
      <c r="A3737" s="3">
        <f>IF(D3737="","","TT-"&amp;TEXT(ROW()-1,"00000"))</f>
        <v/>
      </c>
      <c r="B3737" s="3">
        <f>IF(D3737="","",IF(V3737=0,"CONCLUÍDO",IF(D3737&lt;corte,"HISTÓRICO",IF(OR(AND(ISNUMBER(R3737),R3737&lt;TODAY()),AND(OR(N3737="PENDENTE",N3737="PARCIAL"),D3737&lt;TODAY()-1)),"CRÍTICO",IF(OR(AND(P3737&lt;&gt;"",S3737=""),AND(N3737="REALIZADO",M3737="PENDENTE"),AND(ISNUMBER(R3737),R3737=TODAY())),"ATENÇÃO",IF(N(K3737)=0,"PENDENTE","EM ANDAMENTO"))))))</f>
        <v/>
      </c>
      <c r="C3737" s="3">
        <f>IF(D3737="","",IF(V3737=0,"🟢 OK",IF(D3737&lt;corte,"⚪ HISTÓRICO (sem baixa)",IF(AND(ISNUMBER(R3737),R3737&lt;TODAY()),"🔴 PRAZO VENCIDO",IF(AND(OR(N3737="PENDENTE",N3737="PARCIAL"),D3737&lt;TODAY()-1),"🔴 EMBARQUE ATRASADO",IF(AND(N3737="REALIZADO",M3737="PENDENTE"),"🟡 EMBARCADO SEM FATURAR",IF(AND(P3737&lt;&gt;"",S3737="",OR(Q3737="",R3737="")),"🟡 PENDÊNCIA SEM RESPONSÁVEL/PRAZO",IF(AND(ISNUMBER(R3737),R3737=TODAY()),"🟡 VENCE HOJE",IF(AND(P3737&lt;&gt;"",S3737=""),"🟡 PENDÊNCIA ABERTA",IF(AND(N(J3737)&gt;0,N(K3737)&lt;J3737),"🟡 FALTA EXECUTAR",IF(OR(M3737="PENDENTE",M3737="PARCIAL"),"🟡 FATURAMENTO PENDENTE","🟡 EMBARQUE PENDENTE")))))))))))</f>
        <v/>
      </c>
      <c r="D3737" s="4" t="n"/>
      <c r="E3737" s="5" t="n"/>
      <c r="F3737" s="5" t="n"/>
      <c r="G3737" s="5" t="n"/>
      <c r="H3737" s="5" t="n"/>
      <c r="I3737" s="5" t="n"/>
      <c r="J3737" s="6" t="n"/>
      <c r="K3737" s="6" t="n"/>
      <c r="L3737" s="7">
        <f>IF(OR(D3737="",N(J3737)=0),"",MIN(1,N(K3737)/J3737))</f>
        <v/>
      </c>
      <c r="M3737" s="5" t="n"/>
      <c r="N3737" s="5" t="n"/>
      <c r="O3737" s="5" t="n"/>
      <c r="P3737" s="5" t="n"/>
      <c r="Q3737" s="5" t="n"/>
      <c r="R3737" s="4" t="n"/>
      <c r="S3737" s="4" t="n"/>
      <c r="T3737" s="5" t="n"/>
      <c r="U3737" s="8">
        <f>IF(AND(V3737=1,D3737&lt;&gt;""),IF(D3737&gt;=corte,TODAY()-D3737,""),"")</f>
        <v/>
      </c>
      <c r="V3737" s="8">
        <f>IF(D3737="",0,IF(OR(AND(P3737&lt;&gt;"",S3737=""),AND(N(J3737)&gt;0,N(K3737)&lt;J3737),OR(M3737="PENDENTE",M3737="PARCIAL"),OR(N3737="PENDENTE",N3737="PARCIAL")),1,0))</f>
        <v/>
      </c>
      <c r="W3737" s="8">
        <f>IF(AND(V3737=1,D3737&lt;&gt;""),IF(D3737&gt;=corte,(B3737="CRÍTICO")*1E9+(100000-D3737)*10000+10000-ROW(),""),"")</f>
        <v/>
      </c>
      <c r="X3737" s="8">
        <f>IF(AND(V3737=1,D3737=pas_data,E3737=pas_turno),10000-ROW(),"")</f>
        <v/>
      </c>
    </row>
    <row r="3738">
      <c r="A3738" s="3">
        <f>IF(D3738="","","TT-"&amp;TEXT(ROW()-1,"00000"))</f>
        <v/>
      </c>
      <c r="B3738" s="3">
        <f>IF(D3738="","",IF(V3738=0,"CONCLUÍDO",IF(D3738&lt;corte,"HISTÓRICO",IF(OR(AND(ISNUMBER(R3738),R3738&lt;TODAY()),AND(OR(N3738="PENDENTE",N3738="PARCIAL"),D3738&lt;TODAY()-1)),"CRÍTICO",IF(OR(AND(P3738&lt;&gt;"",S3738=""),AND(N3738="REALIZADO",M3738="PENDENTE"),AND(ISNUMBER(R3738),R3738=TODAY())),"ATENÇÃO",IF(N(K3738)=0,"PENDENTE","EM ANDAMENTO"))))))</f>
        <v/>
      </c>
      <c r="C3738" s="3">
        <f>IF(D3738="","",IF(V3738=0,"🟢 OK",IF(D3738&lt;corte,"⚪ HISTÓRICO (sem baixa)",IF(AND(ISNUMBER(R3738),R3738&lt;TODAY()),"🔴 PRAZO VENCIDO",IF(AND(OR(N3738="PENDENTE",N3738="PARCIAL"),D3738&lt;TODAY()-1),"🔴 EMBARQUE ATRASADO",IF(AND(N3738="REALIZADO",M3738="PENDENTE"),"🟡 EMBARCADO SEM FATURAR",IF(AND(P3738&lt;&gt;"",S3738="",OR(Q3738="",R3738="")),"🟡 PENDÊNCIA SEM RESPONSÁVEL/PRAZO",IF(AND(ISNUMBER(R3738),R3738=TODAY()),"🟡 VENCE HOJE",IF(AND(P3738&lt;&gt;"",S3738=""),"🟡 PENDÊNCIA ABERTA",IF(AND(N(J3738)&gt;0,N(K3738)&lt;J3738),"🟡 FALTA EXECUTAR",IF(OR(M3738="PENDENTE",M3738="PARCIAL"),"🟡 FATURAMENTO PENDENTE","🟡 EMBARQUE PENDENTE")))))))))))</f>
        <v/>
      </c>
      <c r="D3738" s="4" t="n"/>
      <c r="E3738" s="5" t="n"/>
      <c r="F3738" s="5" t="n"/>
      <c r="G3738" s="5" t="n"/>
      <c r="H3738" s="5" t="n"/>
      <c r="I3738" s="5" t="n"/>
      <c r="J3738" s="6" t="n"/>
      <c r="K3738" s="6" t="n"/>
      <c r="L3738" s="7">
        <f>IF(OR(D3738="",N(J3738)=0),"",MIN(1,N(K3738)/J3738))</f>
        <v/>
      </c>
      <c r="M3738" s="5" t="n"/>
      <c r="N3738" s="5" t="n"/>
      <c r="O3738" s="5" t="n"/>
      <c r="P3738" s="5" t="n"/>
      <c r="Q3738" s="5" t="n"/>
      <c r="R3738" s="4" t="n"/>
      <c r="S3738" s="4" t="n"/>
      <c r="T3738" s="5" t="n"/>
      <c r="U3738" s="8">
        <f>IF(AND(V3738=1,D3738&lt;&gt;""),IF(D3738&gt;=corte,TODAY()-D3738,""),"")</f>
        <v/>
      </c>
      <c r="V3738" s="8">
        <f>IF(D3738="",0,IF(OR(AND(P3738&lt;&gt;"",S3738=""),AND(N(J3738)&gt;0,N(K3738)&lt;J3738),OR(M3738="PENDENTE",M3738="PARCIAL"),OR(N3738="PENDENTE",N3738="PARCIAL")),1,0))</f>
        <v/>
      </c>
      <c r="W3738" s="8">
        <f>IF(AND(V3738=1,D3738&lt;&gt;""),IF(D3738&gt;=corte,(B3738="CRÍTICO")*1E9+(100000-D3738)*10000+10000-ROW(),""),"")</f>
        <v/>
      </c>
      <c r="X3738" s="8">
        <f>IF(AND(V3738=1,D3738=pas_data,E3738=pas_turno),10000-ROW(),"")</f>
        <v/>
      </c>
    </row>
    <row r="3739">
      <c r="A3739" s="3">
        <f>IF(D3739="","","TT-"&amp;TEXT(ROW()-1,"00000"))</f>
        <v/>
      </c>
      <c r="B3739" s="3">
        <f>IF(D3739="","",IF(V3739=0,"CONCLUÍDO",IF(D3739&lt;corte,"HISTÓRICO",IF(OR(AND(ISNUMBER(R3739),R3739&lt;TODAY()),AND(OR(N3739="PENDENTE",N3739="PARCIAL"),D3739&lt;TODAY()-1)),"CRÍTICO",IF(OR(AND(P3739&lt;&gt;"",S3739=""),AND(N3739="REALIZADO",M3739="PENDENTE"),AND(ISNUMBER(R3739),R3739=TODAY())),"ATENÇÃO",IF(N(K3739)=0,"PENDENTE","EM ANDAMENTO"))))))</f>
        <v/>
      </c>
      <c r="C3739" s="3">
        <f>IF(D3739="","",IF(V3739=0,"🟢 OK",IF(D3739&lt;corte,"⚪ HISTÓRICO (sem baixa)",IF(AND(ISNUMBER(R3739),R3739&lt;TODAY()),"🔴 PRAZO VENCIDO",IF(AND(OR(N3739="PENDENTE",N3739="PARCIAL"),D3739&lt;TODAY()-1),"🔴 EMBARQUE ATRASADO",IF(AND(N3739="REALIZADO",M3739="PENDENTE"),"🟡 EMBARCADO SEM FATURAR",IF(AND(P3739&lt;&gt;"",S3739="",OR(Q3739="",R3739="")),"🟡 PENDÊNCIA SEM RESPONSÁVEL/PRAZO",IF(AND(ISNUMBER(R3739),R3739=TODAY()),"🟡 VENCE HOJE",IF(AND(P3739&lt;&gt;"",S3739=""),"🟡 PENDÊNCIA ABERTA",IF(AND(N(J3739)&gt;0,N(K3739)&lt;J3739),"🟡 FALTA EXECUTAR",IF(OR(M3739="PENDENTE",M3739="PARCIAL"),"🟡 FATURAMENTO PENDENTE","🟡 EMBARQUE PENDENTE")))))))))))</f>
        <v/>
      </c>
      <c r="D3739" s="4" t="n"/>
      <c r="E3739" s="5" t="n"/>
      <c r="F3739" s="5" t="n"/>
      <c r="G3739" s="5" t="n"/>
      <c r="H3739" s="5" t="n"/>
      <c r="I3739" s="5" t="n"/>
      <c r="J3739" s="6" t="n"/>
      <c r="K3739" s="6" t="n"/>
      <c r="L3739" s="7">
        <f>IF(OR(D3739="",N(J3739)=0),"",MIN(1,N(K3739)/J3739))</f>
        <v/>
      </c>
      <c r="M3739" s="5" t="n"/>
      <c r="N3739" s="5" t="n"/>
      <c r="O3739" s="5" t="n"/>
      <c r="P3739" s="5" t="n"/>
      <c r="Q3739" s="5" t="n"/>
      <c r="R3739" s="4" t="n"/>
      <c r="S3739" s="4" t="n"/>
      <c r="T3739" s="5" t="n"/>
      <c r="U3739" s="8">
        <f>IF(AND(V3739=1,D3739&lt;&gt;""),IF(D3739&gt;=corte,TODAY()-D3739,""),"")</f>
        <v/>
      </c>
      <c r="V3739" s="8">
        <f>IF(D3739="",0,IF(OR(AND(P3739&lt;&gt;"",S3739=""),AND(N(J3739)&gt;0,N(K3739)&lt;J3739),OR(M3739="PENDENTE",M3739="PARCIAL"),OR(N3739="PENDENTE",N3739="PARCIAL")),1,0))</f>
        <v/>
      </c>
      <c r="W3739" s="8">
        <f>IF(AND(V3739=1,D3739&lt;&gt;""),IF(D3739&gt;=corte,(B3739="CRÍTICO")*1E9+(100000-D3739)*10000+10000-ROW(),""),"")</f>
        <v/>
      </c>
      <c r="X3739" s="8">
        <f>IF(AND(V3739=1,D3739=pas_data,E3739=pas_turno),10000-ROW(),"")</f>
        <v/>
      </c>
    </row>
    <row r="3740">
      <c r="A3740" s="3">
        <f>IF(D3740="","","TT-"&amp;TEXT(ROW()-1,"00000"))</f>
        <v/>
      </c>
      <c r="B3740" s="3">
        <f>IF(D3740="","",IF(V3740=0,"CONCLUÍDO",IF(D3740&lt;corte,"HISTÓRICO",IF(OR(AND(ISNUMBER(R3740),R3740&lt;TODAY()),AND(OR(N3740="PENDENTE",N3740="PARCIAL"),D3740&lt;TODAY()-1)),"CRÍTICO",IF(OR(AND(P3740&lt;&gt;"",S3740=""),AND(N3740="REALIZADO",M3740="PENDENTE"),AND(ISNUMBER(R3740),R3740=TODAY())),"ATENÇÃO",IF(N(K3740)=0,"PENDENTE","EM ANDAMENTO"))))))</f>
        <v/>
      </c>
      <c r="C3740" s="3">
        <f>IF(D3740="","",IF(V3740=0,"🟢 OK",IF(D3740&lt;corte,"⚪ HISTÓRICO (sem baixa)",IF(AND(ISNUMBER(R3740),R3740&lt;TODAY()),"🔴 PRAZO VENCIDO",IF(AND(OR(N3740="PENDENTE",N3740="PARCIAL"),D3740&lt;TODAY()-1),"🔴 EMBARQUE ATRASADO",IF(AND(N3740="REALIZADO",M3740="PENDENTE"),"🟡 EMBARCADO SEM FATURAR",IF(AND(P3740&lt;&gt;"",S3740="",OR(Q3740="",R3740="")),"🟡 PENDÊNCIA SEM RESPONSÁVEL/PRAZO",IF(AND(ISNUMBER(R3740),R3740=TODAY()),"🟡 VENCE HOJE",IF(AND(P3740&lt;&gt;"",S3740=""),"🟡 PENDÊNCIA ABERTA",IF(AND(N(J3740)&gt;0,N(K3740)&lt;J3740),"🟡 FALTA EXECUTAR",IF(OR(M3740="PENDENTE",M3740="PARCIAL"),"🟡 FATURAMENTO PENDENTE","🟡 EMBARQUE PENDENTE")))))))))))</f>
        <v/>
      </c>
      <c r="D3740" s="4" t="n"/>
      <c r="E3740" s="5" t="n"/>
      <c r="F3740" s="5" t="n"/>
      <c r="G3740" s="5" t="n"/>
      <c r="H3740" s="5" t="n"/>
      <c r="I3740" s="5" t="n"/>
      <c r="J3740" s="6" t="n"/>
      <c r="K3740" s="6" t="n"/>
      <c r="L3740" s="7">
        <f>IF(OR(D3740="",N(J3740)=0),"",MIN(1,N(K3740)/J3740))</f>
        <v/>
      </c>
      <c r="M3740" s="5" t="n"/>
      <c r="N3740" s="5" t="n"/>
      <c r="O3740" s="5" t="n"/>
      <c r="P3740" s="5" t="n"/>
      <c r="Q3740" s="5" t="n"/>
      <c r="R3740" s="4" t="n"/>
      <c r="S3740" s="4" t="n"/>
      <c r="T3740" s="5" t="n"/>
      <c r="U3740" s="8">
        <f>IF(AND(V3740=1,D3740&lt;&gt;""),IF(D3740&gt;=corte,TODAY()-D3740,""),"")</f>
        <v/>
      </c>
      <c r="V3740" s="8">
        <f>IF(D3740="",0,IF(OR(AND(P3740&lt;&gt;"",S3740=""),AND(N(J3740)&gt;0,N(K3740)&lt;J3740),OR(M3740="PENDENTE",M3740="PARCIAL"),OR(N3740="PENDENTE",N3740="PARCIAL")),1,0))</f>
        <v/>
      </c>
      <c r="W3740" s="8">
        <f>IF(AND(V3740=1,D3740&lt;&gt;""),IF(D3740&gt;=corte,(B3740="CRÍTICO")*1E9+(100000-D3740)*10000+10000-ROW(),""),"")</f>
        <v/>
      </c>
      <c r="X3740" s="8">
        <f>IF(AND(V3740=1,D3740=pas_data,E3740=pas_turno),10000-ROW(),"")</f>
        <v/>
      </c>
    </row>
    <row r="3741">
      <c r="A3741" s="3">
        <f>IF(D3741="","","TT-"&amp;TEXT(ROW()-1,"00000"))</f>
        <v/>
      </c>
      <c r="B3741" s="3">
        <f>IF(D3741="","",IF(V3741=0,"CONCLUÍDO",IF(D3741&lt;corte,"HISTÓRICO",IF(OR(AND(ISNUMBER(R3741),R3741&lt;TODAY()),AND(OR(N3741="PENDENTE",N3741="PARCIAL"),D3741&lt;TODAY()-1)),"CRÍTICO",IF(OR(AND(P3741&lt;&gt;"",S3741=""),AND(N3741="REALIZADO",M3741="PENDENTE"),AND(ISNUMBER(R3741),R3741=TODAY())),"ATENÇÃO",IF(N(K3741)=0,"PENDENTE","EM ANDAMENTO"))))))</f>
        <v/>
      </c>
      <c r="C3741" s="3">
        <f>IF(D3741="","",IF(V3741=0,"🟢 OK",IF(D3741&lt;corte,"⚪ HISTÓRICO (sem baixa)",IF(AND(ISNUMBER(R3741),R3741&lt;TODAY()),"🔴 PRAZO VENCIDO",IF(AND(OR(N3741="PENDENTE",N3741="PARCIAL"),D3741&lt;TODAY()-1),"🔴 EMBARQUE ATRASADO",IF(AND(N3741="REALIZADO",M3741="PENDENTE"),"🟡 EMBARCADO SEM FATURAR",IF(AND(P3741&lt;&gt;"",S3741="",OR(Q3741="",R3741="")),"🟡 PENDÊNCIA SEM RESPONSÁVEL/PRAZO",IF(AND(ISNUMBER(R3741),R3741=TODAY()),"🟡 VENCE HOJE",IF(AND(P3741&lt;&gt;"",S3741=""),"🟡 PENDÊNCIA ABERTA",IF(AND(N(J3741)&gt;0,N(K3741)&lt;J3741),"🟡 FALTA EXECUTAR",IF(OR(M3741="PENDENTE",M3741="PARCIAL"),"🟡 FATURAMENTO PENDENTE","🟡 EMBARQUE PENDENTE")))))))))))</f>
        <v/>
      </c>
      <c r="D3741" s="4" t="n"/>
      <c r="E3741" s="5" t="n"/>
      <c r="F3741" s="5" t="n"/>
      <c r="G3741" s="5" t="n"/>
      <c r="H3741" s="5" t="n"/>
      <c r="I3741" s="5" t="n"/>
      <c r="J3741" s="6" t="n"/>
      <c r="K3741" s="6" t="n"/>
      <c r="L3741" s="7">
        <f>IF(OR(D3741="",N(J3741)=0),"",MIN(1,N(K3741)/J3741))</f>
        <v/>
      </c>
      <c r="M3741" s="5" t="n"/>
      <c r="N3741" s="5" t="n"/>
      <c r="O3741" s="5" t="n"/>
      <c r="P3741" s="5" t="n"/>
      <c r="Q3741" s="5" t="n"/>
      <c r="R3741" s="4" t="n"/>
      <c r="S3741" s="4" t="n"/>
      <c r="T3741" s="5" t="n"/>
      <c r="U3741" s="8">
        <f>IF(AND(V3741=1,D3741&lt;&gt;""),IF(D3741&gt;=corte,TODAY()-D3741,""),"")</f>
        <v/>
      </c>
      <c r="V3741" s="8">
        <f>IF(D3741="",0,IF(OR(AND(P3741&lt;&gt;"",S3741=""),AND(N(J3741)&gt;0,N(K3741)&lt;J3741),OR(M3741="PENDENTE",M3741="PARCIAL"),OR(N3741="PENDENTE",N3741="PARCIAL")),1,0))</f>
        <v/>
      </c>
      <c r="W3741" s="8">
        <f>IF(AND(V3741=1,D3741&lt;&gt;""),IF(D3741&gt;=corte,(B3741="CRÍTICO")*1E9+(100000-D3741)*10000+10000-ROW(),""),"")</f>
        <v/>
      </c>
      <c r="X3741" s="8">
        <f>IF(AND(V3741=1,D3741=pas_data,E3741=pas_turno),10000-ROW(),"")</f>
        <v/>
      </c>
    </row>
    <row r="3742">
      <c r="A3742" s="3">
        <f>IF(D3742="","","TT-"&amp;TEXT(ROW()-1,"00000"))</f>
        <v/>
      </c>
      <c r="B3742" s="3">
        <f>IF(D3742="","",IF(V3742=0,"CONCLUÍDO",IF(D3742&lt;corte,"HISTÓRICO",IF(OR(AND(ISNUMBER(R3742),R3742&lt;TODAY()),AND(OR(N3742="PENDENTE",N3742="PARCIAL"),D3742&lt;TODAY()-1)),"CRÍTICO",IF(OR(AND(P3742&lt;&gt;"",S3742=""),AND(N3742="REALIZADO",M3742="PENDENTE"),AND(ISNUMBER(R3742),R3742=TODAY())),"ATENÇÃO",IF(N(K3742)=0,"PENDENTE","EM ANDAMENTO"))))))</f>
        <v/>
      </c>
      <c r="C3742" s="3">
        <f>IF(D3742="","",IF(V3742=0,"🟢 OK",IF(D3742&lt;corte,"⚪ HISTÓRICO (sem baixa)",IF(AND(ISNUMBER(R3742),R3742&lt;TODAY()),"🔴 PRAZO VENCIDO",IF(AND(OR(N3742="PENDENTE",N3742="PARCIAL"),D3742&lt;TODAY()-1),"🔴 EMBARQUE ATRASADO",IF(AND(N3742="REALIZADO",M3742="PENDENTE"),"🟡 EMBARCADO SEM FATURAR",IF(AND(P3742&lt;&gt;"",S3742="",OR(Q3742="",R3742="")),"🟡 PENDÊNCIA SEM RESPONSÁVEL/PRAZO",IF(AND(ISNUMBER(R3742),R3742=TODAY()),"🟡 VENCE HOJE",IF(AND(P3742&lt;&gt;"",S3742=""),"🟡 PENDÊNCIA ABERTA",IF(AND(N(J3742)&gt;0,N(K3742)&lt;J3742),"🟡 FALTA EXECUTAR",IF(OR(M3742="PENDENTE",M3742="PARCIAL"),"🟡 FATURAMENTO PENDENTE","🟡 EMBARQUE PENDENTE")))))))))))</f>
        <v/>
      </c>
      <c r="D3742" s="4" t="n"/>
      <c r="E3742" s="5" t="n"/>
      <c r="F3742" s="5" t="n"/>
      <c r="G3742" s="5" t="n"/>
      <c r="H3742" s="5" t="n"/>
      <c r="I3742" s="5" t="n"/>
      <c r="J3742" s="6" t="n"/>
      <c r="K3742" s="6" t="n"/>
      <c r="L3742" s="7">
        <f>IF(OR(D3742="",N(J3742)=0),"",MIN(1,N(K3742)/J3742))</f>
        <v/>
      </c>
      <c r="M3742" s="5" t="n"/>
      <c r="N3742" s="5" t="n"/>
      <c r="O3742" s="5" t="n"/>
      <c r="P3742" s="5" t="n"/>
      <c r="Q3742" s="5" t="n"/>
      <c r="R3742" s="4" t="n"/>
      <c r="S3742" s="4" t="n"/>
      <c r="T3742" s="5" t="n"/>
      <c r="U3742" s="8">
        <f>IF(AND(V3742=1,D3742&lt;&gt;""),IF(D3742&gt;=corte,TODAY()-D3742,""),"")</f>
        <v/>
      </c>
      <c r="V3742" s="8">
        <f>IF(D3742="",0,IF(OR(AND(P3742&lt;&gt;"",S3742=""),AND(N(J3742)&gt;0,N(K3742)&lt;J3742),OR(M3742="PENDENTE",M3742="PARCIAL"),OR(N3742="PENDENTE",N3742="PARCIAL")),1,0))</f>
        <v/>
      </c>
      <c r="W3742" s="8">
        <f>IF(AND(V3742=1,D3742&lt;&gt;""),IF(D3742&gt;=corte,(B3742="CRÍTICO")*1E9+(100000-D3742)*10000+10000-ROW(),""),"")</f>
        <v/>
      </c>
      <c r="X3742" s="8">
        <f>IF(AND(V3742=1,D3742=pas_data,E3742=pas_turno),10000-ROW(),"")</f>
        <v/>
      </c>
    </row>
    <row r="3743">
      <c r="A3743" s="3">
        <f>IF(D3743="","","TT-"&amp;TEXT(ROW()-1,"00000"))</f>
        <v/>
      </c>
      <c r="B3743" s="3">
        <f>IF(D3743="","",IF(V3743=0,"CONCLUÍDO",IF(D3743&lt;corte,"HISTÓRICO",IF(OR(AND(ISNUMBER(R3743),R3743&lt;TODAY()),AND(OR(N3743="PENDENTE",N3743="PARCIAL"),D3743&lt;TODAY()-1)),"CRÍTICO",IF(OR(AND(P3743&lt;&gt;"",S3743=""),AND(N3743="REALIZADO",M3743="PENDENTE"),AND(ISNUMBER(R3743),R3743=TODAY())),"ATENÇÃO",IF(N(K3743)=0,"PENDENTE","EM ANDAMENTO"))))))</f>
        <v/>
      </c>
      <c r="C3743" s="3">
        <f>IF(D3743="","",IF(V3743=0,"🟢 OK",IF(D3743&lt;corte,"⚪ HISTÓRICO (sem baixa)",IF(AND(ISNUMBER(R3743),R3743&lt;TODAY()),"🔴 PRAZO VENCIDO",IF(AND(OR(N3743="PENDENTE",N3743="PARCIAL"),D3743&lt;TODAY()-1),"🔴 EMBARQUE ATRASADO",IF(AND(N3743="REALIZADO",M3743="PENDENTE"),"🟡 EMBARCADO SEM FATURAR",IF(AND(P3743&lt;&gt;"",S3743="",OR(Q3743="",R3743="")),"🟡 PENDÊNCIA SEM RESPONSÁVEL/PRAZO",IF(AND(ISNUMBER(R3743),R3743=TODAY()),"🟡 VENCE HOJE",IF(AND(P3743&lt;&gt;"",S3743=""),"🟡 PENDÊNCIA ABERTA",IF(AND(N(J3743)&gt;0,N(K3743)&lt;J3743),"🟡 FALTA EXECUTAR",IF(OR(M3743="PENDENTE",M3743="PARCIAL"),"🟡 FATURAMENTO PENDENTE","🟡 EMBARQUE PENDENTE")))))))))))</f>
        <v/>
      </c>
      <c r="D3743" s="4" t="n"/>
      <c r="E3743" s="5" t="n"/>
      <c r="F3743" s="5" t="n"/>
      <c r="G3743" s="5" t="n"/>
      <c r="H3743" s="5" t="n"/>
      <c r="I3743" s="5" t="n"/>
      <c r="J3743" s="6" t="n"/>
      <c r="K3743" s="6" t="n"/>
      <c r="L3743" s="7">
        <f>IF(OR(D3743="",N(J3743)=0),"",MIN(1,N(K3743)/J3743))</f>
        <v/>
      </c>
      <c r="M3743" s="5" t="n"/>
      <c r="N3743" s="5" t="n"/>
      <c r="O3743" s="5" t="n"/>
      <c r="P3743" s="5" t="n"/>
      <c r="Q3743" s="5" t="n"/>
      <c r="R3743" s="4" t="n"/>
      <c r="S3743" s="4" t="n"/>
      <c r="T3743" s="5" t="n"/>
      <c r="U3743" s="8">
        <f>IF(AND(V3743=1,D3743&lt;&gt;""),IF(D3743&gt;=corte,TODAY()-D3743,""),"")</f>
        <v/>
      </c>
      <c r="V3743" s="8">
        <f>IF(D3743="",0,IF(OR(AND(P3743&lt;&gt;"",S3743=""),AND(N(J3743)&gt;0,N(K3743)&lt;J3743),OR(M3743="PENDENTE",M3743="PARCIAL"),OR(N3743="PENDENTE",N3743="PARCIAL")),1,0))</f>
        <v/>
      </c>
      <c r="W3743" s="8">
        <f>IF(AND(V3743=1,D3743&lt;&gt;""),IF(D3743&gt;=corte,(B3743="CRÍTICO")*1E9+(100000-D3743)*10000+10000-ROW(),""),"")</f>
        <v/>
      </c>
      <c r="X3743" s="8">
        <f>IF(AND(V3743=1,D3743=pas_data,E3743=pas_turno),10000-ROW(),"")</f>
        <v/>
      </c>
    </row>
    <row r="3744">
      <c r="A3744" s="3">
        <f>IF(D3744="","","TT-"&amp;TEXT(ROW()-1,"00000"))</f>
        <v/>
      </c>
      <c r="B3744" s="3">
        <f>IF(D3744="","",IF(V3744=0,"CONCLUÍDO",IF(D3744&lt;corte,"HISTÓRICO",IF(OR(AND(ISNUMBER(R3744),R3744&lt;TODAY()),AND(OR(N3744="PENDENTE",N3744="PARCIAL"),D3744&lt;TODAY()-1)),"CRÍTICO",IF(OR(AND(P3744&lt;&gt;"",S3744=""),AND(N3744="REALIZADO",M3744="PENDENTE"),AND(ISNUMBER(R3744),R3744=TODAY())),"ATENÇÃO",IF(N(K3744)=0,"PENDENTE","EM ANDAMENTO"))))))</f>
        <v/>
      </c>
      <c r="C3744" s="3">
        <f>IF(D3744="","",IF(V3744=0,"🟢 OK",IF(D3744&lt;corte,"⚪ HISTÓRICO (sem baixa)",IF(AND(ISNUMBER(R3744),R3744&lt;TODAY()),"🔴 PRAZO VENCIDO",IF(AND(OR(N3744="PENDENTE",N3744="PARCIAL"),D3744&lt;TODAY()-1),"🔴 EMBARQUE ATRASADO",IF(AND(N3744="REALIZADO",M3744="PENDENTE"),"🟡 EMBARCADO SEM FATURAR",IF(AND(P3744&lt;&gt;"",S3744="",OR(Q3744="",R3744="")),"🟡 PENDÊNCIA SEM RESPONSÁVEL/PRAZO",IF(AND(ISNUMBER(R3744),R3744=TODAY()),"🟡 VENCE HOJE",IF(AND(P3744&lt;&gt;"",S3744=""),"🟡 PENDÊNCIA ABERTA",IF(AND(N(J3744)&gt;0,N(K3744)&lt;J3744),"🟡 FALTA EXECUTAR",IF(OR(M3744="PENDENTE",M3744="PARCIAL"),"🟡 FATURAMENTO PENDENTE","🟡 EMBARQUE PENDENTE")))))))))))</f>
        <v/>
      </c>
      <c r="D3744" s="4" t="n"/>
      <c r="E3744" s="5" t="n"/>
      <c r="F3744" s="5" t="n"/>
      <c r="G3744" s="5" t="n"/>
      <c r="H3744" s="5" t="n"/>
      <c r="I3744" s="5" t="n"/>
      <c r="J3744" s="6" t="n"/>
      <c r="K3744" s="6" t="n"/>
      <c r="L3744" s="7">
        <f>IF(OR(D3744="",N(J3744)=0),"",MIN(1,N(K3744)/J3744))</f>
        <v/>
      </c>
      <c r="M3744" s="5" t="n"/>
      <c r="N3744" s="5" t="n"/>
      <c r="O3744" s="5" t="n"/>
      <c r="P3744" s="5" t="n"/>
      <c r="Q3744" s="5" t="n"/>
      <c r="R3744" s="4" t="n"/>
      <c r="S3744" s="4" t="n"/>
      <c r="T3744" s="5" t="n"/>
      <c r="U3744" s="8">
        <f>IF(AND(V3744=1,D3744&lt;&gt;""),IF(D3744&gt;=corte,TODAY()-D3744,""),"")</f>
        <v/>
      </c>
      <c r="V3744" s="8">
        <f>IF(D3744="",0,IF(OR(AND(P3744&lt;&gt;"",S3744=""),AND(N(J3744)&gt;0,N(K3744)&lt;J3744),OR(M3744="PENDENTE",M3744="PARCIAL"),OR(N3744="PENDENTE",N3744="PARCIAL")),1,0))</f>
        <v/>
      </c>
      <c r="W3744" s="8">
        <f>IF(AND(V3744=1,D3744&lt;&gt;""),IF(D3744&gt;=corte,(B3744="CRÍTICO")*1E9+(100000-D3744)*10000+10000-ROW(),""),"")</f>
        <v/>
      </c>
      <c r="X3744" s="8">
        <f>IF(AND(V3744=1,D3744=pas_data,E3744=pas_turno),10000-ROW(),"")</f>
        <v/>
      </c>
    </row>
    <row r="3745">
      <c r="A3745" s="3">
        <f>IF(D3745="","","TT-"&amp;TEXT(ROW()-1,"00000"))</f>
        <v/>
      </c>
      <c r="B3745" s="3">
        <f>IF(D3745="","",IF(V3745=0,"CONCLUÍDO",IF(D3745&lt;corte,"HISTÓRICO",IF(OR(AND(ISNUMBER(R3745),R3745&lt;TODAY()),AND(OR(N3745="PENDENTE",N3745="PARCIAL"),D3745&lt;TODAY()-1)),"CRÍTICO",IF(OR(AND(P3745&lt;&gt;"",S3745=""),AND(N3745="REALIZADO",M3745="PENDENTE"),AND(ISNUMBER(R3745),R3745=TODAY())),"ATENÇÃO",IF(N(K3745)=0,"PENDENTE","EM ANDAMENTO"))))))</f>
        <v/>
      </c>
      <c r="C3745" s="3">
        <f>IF(D3745="","",IF(V3745=0,"🟢 OK",IF(D3745&lt;corte,"⚪ HISTÓRICO (sem baixa)",IF(AND(ISNUMBER(R3745),R3745&lt;TODAY()),"🔴 PRAZO VENCIDO",IF(AND(OR(N3745="PENDENTE",N3745="PARCIAL"),D3745&lt;TODAY()-1),"🔴 EMBARQUE ATRASADO",IF(AND(N3745="REALIZADO",M3745="PENDENTE"),"🟡 EMBARCADO SEM FATURAR",IF(AND(P3745&lt;&gt;"",S3745="",OR(Q3745="",R3745="")),"🟡 PENDÊNCIA SEM RESPONSÁVEL/PRAZO",IF(AND(ISNUMBER(R3745),R3745=TODAY()),"🟡 VENCE HOJE",IF(AND(P3745&lt;&gt;"",S3745=""),"🟡 PENDÊNCIA ABERTA",IF(AND(N(J3745)&gt;0,N(K3745)&lt;J3745),"🟡 FALTA EXECUTAR",IF(OR(M3745="PENDENTE",M3745="PARCIAL"),"🟡 FATURAMENTO PENDENTE","🟡 EMBARQUE PENDENTE")))))))))))</f>
        <v/>
      </c>
      <c r="D3745" s="4" t="n"/>
      <c r="E3745" s="5" t="n"/>
      <c r="F3745" s="5" t="n"/>
      <c r="G3745" s="5" t="n"/>
      <c r="H3745" s="5" t="n"/>
      <c r="I3745" s="5" t="n"/>
      <c r="J3745" s="6" t="n"/>
      <c r="K3745" s="6" t="n"/>
      <c r="L3745" s="7">
        <f>IF(OR(D3745="",N(J3745)=0),"",MIN(1,N(K3745)/J3745))</f>
        <v/>
      </c>
      <c r="M3745" s="5" t="n"/>
      <c r="N3745" s="5" t="n"/>
      <c r="O3745" s="5" t="n"/>
      <c r="P3745" s="5" t="n"/>
      <c r="Q3745" s="5" t="n"/>
      <c r="R3745" s="4" t="n"/>
      <c r="S3745" s="4" t="n"/>
      <c r="T3745" s="5" t="n"/>
      <c r="U3745" s="8">
        <f>IF(AND(V3745=1,D3745&lt;&gt;""),IF(D3745&gt;=corte,TODAY()-D3745,""),"")</f>
        <v/>
      </c>
      <c r="V3745" s="8">
        <f>IF(D3745="",0,IF(OR(AND(P3745&lt;&gt;"",S3745=""),AND(N(J3745)&gt;0,N(K3745)&lt;J3745),OR(M3745="PENDENTE",M3745="PARCIAL"),OR(N3745="PENDENTE",N3745="PARCIAL")),1,0))</f>
        <v/>
      </c>
      <c r="W3745" s="8">
        <f>IF(AND(V3745=1,D3745&lt;&gt;""),IF(D3745&gt;=corte,(B3745="CRÍTICO")*1E9+(100000-D3745)*10000+10000-ROW(),""),"")</f>
        <v/>
      </c>
      <c r="X3745" s="8">
        <f>IF(AND(V3745=1,D3745=pas_data,E3745=pas_turno),10000-ROW(),"")</f>
        <v/>
      </c>
    </row>
    <row r="3746">
      <c r="A3746" s="3">
        <f>IF(D3746="","","TT-"&amp;TEXT(ROW()-1,"00000"))</f>
        <v/>
      </c>
      <c r="B3746" s="3">
        <f>IF(D3746="","",IF(V3746=0,"CONCLUÍDO",IF(D3746&lt;corte,"HISTÓRICO",IF(OR(AND(ISNUMBER(R3746),R3746&lt;TODAY()),AND(OR(N3746="PENDENTE",N3746="PARCIAL"),D3746&lt;TODAY()-1)),"CRÍTICO",IF(OR(AND(P3746&lt;&gt;"",S3746=""),AND(N3746="REALIZADO",M3746="PENDENTE"),AND(ISNUMBER(R3746),R3746=TODAY())),"ATENÇÃO",IF(N(K3746)=0,"PENDENTE","EM ANDAMENTO"))))))</f>
        <v/>
      </c>
      <c r="C3746" s="3">
        <f>IF(D3746="","",IF(V3746=0,"🟢 OK",IF(D3746&lt;corte,"⚪ HISTÓRICO (sem baixa)",IF(AND(ISNUMBER(R3746),R3746&lt;TODAY()),"🔴 PRAZO VENCIDO",IF(AND(OR(N3746="PENDENTE",N3746="PARCIAL"),D3746&lt;TODAY()-1),"🔴 EMBARQUE ATRASADO",IF(AND(N3746="REALIZADO",M3746="PENDENTE"),"🟡 EMBARCADO SEM FATURAR",IF(AND(P3746&lt;&gt;"",S3746="",OR(Q3746="",R3746="")),"🟡 PENDÊNCIA SEM RESPONSÁVEL/PRAZO",IF(AND(ISNUMBER(R3746),R3746=TODAY()),"🟡 VENCE HOJE",IF(AND(P3746&lt;&gt;"",S3746=""),"🟡 PENDÊNCIA ABERTA",IF(AND(N(J3746)&gt;0,N(K3746)&lt;J3746),"🟡 FALTA EXECUTAR",IF(OR(M3746="PENDENTE",M3746="PARCIAL"),"🟡 FATURAMENTO PENDENTE","🟡 EMBARQUE PENDENTE")))))))))))</f>
        <v/>
      </c>
      <c r="D3746" s="4" t="n"/>
      <c r="E3746" s="5" t="n"/>
      <c r="F3746" s="5" t="n"/>
      <c r="G3746" s="5" t="n"/>
      <c r="H3746" s="5" t="n"/>
      <c r="I3746" s="5" t="n"/>
      <c r="J3746" s="6" t="n"/>
      <c r="K3746" s="6" t="n"/>
      <c r="L3746" s="7">
        <f>IF(OR(D3746="",N(J3746)=0),"",MIN(1,N(K3746)/J3746))</f>
        <v/>
      </c>
      <c r="M3746" s="5" t="n"/>
      <c r="N3746" s="5" t="n"/>
      <c r="O3746" s="5" t="n"/>
      <c r="P3746" s="5" t="n"/>
      <c r="Q3746" s="5" t="n"/>
      <c r="R3746" s="4" t="n"/>
      <c r="S3746" s="4" t="n"/>
      <c r="T3746" s="5" t="n"/>
      <c r="U3746" s="8">
        <f>IF(AND(V3746=1,D3746&lt;&gt;""),IF(D3746&gt;=corte,TODAY()-D3746,""),"")</f>
        <v/>
      </c>
      <c r="V3746" s="8">
        <f>IF(D3746="",0,IF(OR(AND(P3746&lt;&gt;"",S3746=""),AND(N(J3746)&gt;0,N(K3746)&lt;J3746),OR(M3746="PENDENTE",M3746="PARCIAL"),OR(N3746="PENDENTE",N3746="PARCIAL")),1,0))</f>
        <v/>
      </c>
      <c r="W3746" s="8">
        <f>IF(AND(V3746=1,D3746&lt;&gt;""),IF(D3746&gt;=corte,(B3746="CRÍTICO")*1E9+(100000-D3746)*10000+10000-ROW(),""),"")</f>
        <v/>
      </c>
      <c r="X3746" s="8">
        <f>IF(AND(V3746=1,D3746=pas_data,E3746=pas_turno),10000-ROW(),"")</f>
        <v/>
      </c>
    </row>
    <row r="3747">
      <c r="A3747" s="3">
        <f>IF(D3747="","","TT-"&amp;TEXT(ROW()-1,"00000"))</f>
        <v/>
      </c>
      <c r="B3747" s="3">
        <f>IF(D3747="","",IF(V3747=0,"CONCLUÍDO",IF(D3747&lt;corte,"HISTÓRICO",IF(OR(AND(ISNUMBER(R3747),R3747&lt;TODAY()),AND(OR(N3747="PENDENTE",N3747="PARCIAL"),D3747&lt;TODAY()-1)),"CRÍTICO",IF(OR(AND(P3747&lt;&gt;"",S3747=""),AND(N3747="REALIZADO",M3747="PENDENTE"),AND(ISNUMBER(R3747),R3747=TODAY())),"ATENÇÃO",IF(N(K3747)=0,"PENDENTE","EM ANDAMENTO"))))))</f>
        <v/>
      </c>
      <c r="C3747" s="3">
        <f>IF(D3747="","",IF(V3747=0,"🟢 OK",IF(D3747&lt;corte,"⚪ HISTÓRICO (sem baixa)",IF(AND(ISNUMBER(R3747),R3747&lt;TODAY()),"🔴 PRAZO VENCIDO",IF(AND(OR(N3747="PENDENTE",N3747="PARCIAL"),D3747&lt;TODAY()-1),"🔴 EMBARQUE ATRASADO",IF(AND(N3747="REALIZADO",M3747="PENDENTE"),"🟡 EMBARCADO SEM FATURAR",IF(AND(P3747&lt;&gt;"",S3747="",OR(Q3747="",R3747="")),"🟡 PENDÊNCIA SEM RESPONSÁVEL/PRAZO",IF(AND(ISNUMBER(R3747),R3747=TODAY()),"🟡 VENCE HOJE",IF(AND(P3747&lt;&gt;"",S3747=""),"🟡 PENDÊNCIA ABERTA",IF(AND(N(J3747)&gt;0,N(K3747)&lt;J3747),"🟡 FALTA EXECUTAR",IF(OR(M3747="PENDENTE",M3747="PARCIAL"),"🟡 FATURAMENTO PENDENTE","🟡 EMBARQUE PENDENTE")))))))))))</f>
        <v/>
      </c>
      <c r="D3747" s="4" t="n"/>
      <c r="E3747" s="5" t="n"/>
      <c r="F3747" s="5" t="n"/>
      <c r="G3747" s="5" t="n"/>
      <c r="H3747" s="5" t="n"/>
      <c r="I3747" s="5" t="n"/>
      <c r="J3747" s="6" t="n"/>
      <c r="K3747" s="6" t="n"/>
      <c r="L3747" s="7">
        <f>IF(OR(D3747="",N(J3747)=0),"",MIN(1,N(K3747)/J3747))</f>
        <v/>
      </c>
      <c r="M3747" s="5" t="n"/>
      <c r="N3747" s="5" t="n"/>
      <c r="O3747" s="5" t="n"/>
      <c r="P3747" s="5" t="n"/>
      <c r="Q3747" s="5" t="n"/>
      <c r="R3747" s="4" t="n"/>
      <c r="S3747" s="4" t="n"/>
      <c r="T3747" s="5" t="n"/>
      <c r="U3747" s="8">
        <f>IF(AND(V3747=1,D3747&lt;&gt;""),IF(D3747&gt;=corte,TODAY()-D3747,""),"")</f>
        <v/>
      </c>
      <c r="V3747" s="8">
        <f>IF(D3747="",0,IF(OR(AND(P3747&lt;&gt;"",S3747=""),AND(N(J3747)&gt;0,N(K3747)&lt;J3747),OR(M3747="PENDENTE",M3747="PARCIAL"),OR(N3747="PENDENTE",N3747="PARCIAL")),1,0))</f>
        <v/>
      </c>
      <c r="W3747" s="8">
        <f>IF(AND(V3747=1,D3747&lt;&gt;""),IF(D3747&gt;=corte,(B3747="CRÍTICO")*1E9+(100000-D3747)*10000+10000-ROW(),""),"")</f>
        <v/>
      </c>
      <c r="X3747" s="8">
        <f>IF(AND(V3747=1,D3747=pas_data,E3747=pas_turno),10000-ROW(),"")</f>
        <v/>
      </c>
    </row>
    <row r="3748">
      <c r="A3748" s="3">
        <f>IF(D3748="","","TT-"&amp;TEXT(ROW()-1,"00000"))</f>
        <v/>
      </c>
      <c r="B3748" s="3">
        <f>IF(D3748="","",IF(V3748=0,"CONCLUÍDO",IF(D3748&lt;corte,"HISTÓRICO",IF(OR(AND(ISNUMBER(R3748),R3748&lt;TODAY()),AND(OR(N3748="PENDENTE",N3748="PARCIAL"),D3748&lt;TODAY()-1)),"CRÍTICO",IF(OR(AND(P3748&lt;&gt;"",S3748=""),AND(N3748="REALIZADO",M3748="PENDENTE"),AND(ISNUMBER(R3748),R3748=TODAY())),"ATENÇÃO",IF(N(K3748)=0,"PENDENTE","EM ANDAMENTO"))))))</f>
        <v/>
      </c>
      <c r="C3748" s="3">
        <f>IF(D3748="","",IF(V3748=0,"🟢 OK",IF(D3748&lt;corte,"⚪ HISTÓRICO (sem baixa)",IF(AND(ISNUMBER(R3748),R3748&lt;TODAY()),"🔴 PRAZO VENCIDO",IF(AND(OR(N3748="PENDENTE",N3748="PARCIAL"),D3748&lt;TODAY()-1),"🔴 EMBARQUE ATRASADO",IF(AND(N3748="REALIZADO",M3748="PENDENTE"),"🟡 EMBARCADO SEM FATURAR",IF(AND(P3748&lt;&gt;"",S3748="",OR(Q3748="",R3748="")),"🟡 PENDÊNCIA SEM RESPONSÁVEL/PRAZO",IF(AND(ISNUMBER(R3748),R3748=TODAY()),"🟡 VENCE HOJE",IF(AND(P3748&lt;&gt;"",S3748=""),"🟡 PENDÊNCIA ABERTA",IF(AND(N(J3748)&gt;0,N(K3748)&lt;J3748),"🟡 FALTA EXECUTAR",IF(OR(M3748="PENDENTE",M3748="PARCIAL"),"🟡 FATURAMENTO PENDENTE","🟡 EMBARQUE PENDENTE")))))))))))</f>
        <v/>
      </c>
      <c r="D3748" s="4" t="n"/>
      <c r="E3748" s="5" t="n"/>
      <c r="F3748" s="5" t="n"/>
      <c r="G3748" s="5" t="n"/>
      <c r="H3748" s="5" t="n"/>
      <c r="I3748" s="5" t="n"/>
      <c r="J3748" s="6" t="n"/>
      <c r="K3748" s="6" t="n"/>
      <c r="L3748" s="7">
        <f>IF(OR(D3748="",N(J3748)=0),"",MIN(1,N(K3748)/J3748))</f>
        <v/>
      </c>
      <c r="M3748" s="5" t="n"/>
      <c r="N3748" s="5" t="n"/>
      <c r="O3748" s="5" t="n"/>
      <c r="P3748" s="5" t="n"/>
      <c r="Q3748" s="5" t="n"/>
      <c r="R3748" s="4" t="n"/>
      <c r="S3748" s="4" t="n"/>
      <c r="T3748" s="5" t="n"/>
      <c r="U3748" s="8">
        <f>IF(AND(V3748=1,D3748&lt;&gt;""),IF(D3748&gt;=corte,TODAY()-D3748,""),"")</f>
        <v/>
      </c>
      <c r="V3748" s="8">
        <f>IF(D3748="",0,IF(OR(AND(P3748&lt;&gt;"",S3748=""),AND(N(J3748)&gt;0,N(K3748)&lt;J3748),OR(M3748="PENDENTE",M3748="PARCIAL"),OR(N3748="PENDENTE",N3748="PARCIAL")),1,0))</f>
        <v/>
      </c>
      <c r="W3748" s="8">
        <f>IF(AND(V3748=1,D3748&lt;&gt;""),IF(D3748&gt;=corte,(B3748="CRÍTICO")*1E9+(100000-D3748)*10000+10000-ROW(),""),"")</f>
        <v/>
      </c>
      <c r="X3748" s="8">
        <f>IF(AND(V3748=1,D3748=pas_data,E3748=pas_turno),10000-ROW(),"")</f>
        <v/>
      </c>
    </row>
    <row r="3749">
      <c r="A3749" s="3">
        <f>IF(D3749="","","TT-"&amp;TEXT(ROW()-1,"00000"))</f>
        <v/>
      </c>
      <c r="B3749" s="3">
        <f>IF(D3749="","",IF(V3749=0,"CONCLUÍDO",IF(D3749&lt;corte,"HISTÓRICO",IF(OR(AND(ISNUMBER(R3749),R3749&lt;TODAY()),AND(OR(N3749="PENDENTE",N3749="PARCIAL"),D3749&lt;TODAY()-1)),"CRÍTICO",IF(OR(AND(P3749&lt;&gt;"",S3749=""),AND(N3749="REALIZADO",M3749="PENDENTE"),AND(ISNUMBER(R3749),R3749=TODAY())),"ATENÇÃO",IF(N(K3749)=0,"PENDENTE","EM ANDAMENTO"))))))</f>
        <v/>
      </c>
      <c r="C3749" s="3">
        <f>IF(D3749="","",IF(V3749=0,"🟢 OK",IF(D3749&lt;corte,"⚪ HISTÓRICO (sem baixa)",IF(AND(ISNUMBER(R3749),R3749&lt;TODAY()),"🔴 PRAZO VENCIDO",IF(AND(OR(N3749="PENDENTE",N3749="PARCIAL"),D3749&lt;TODAY()-1),"🔴 EMBARQUE ATRASADO",IF(AND(N3749="REALIZADO",M3749="PENDENTE"),"🟡 EMBARCADO SEM FATURAR",IF(AND(P3749&lt;&gt;"",S3749="",OR(Q3749="",R3749="")),"🟡 PENDÊNCIA SEM RESPONSÁVEL/PRAZO",IF(AND(ISNUMBER(R3749),R3749=TODAY()),"🟡 VENCE HOJE",IF(AND(P3749&lt;&gt;"",S3749=""),"🟡 PENDÊNCIA ABERTA",IF(AND(N(J3749)&gt;0,N(K3749)&lt;J3749),"🟡 FALTA EXECUTAR",IF(OR(M3749="PENDENTE",M3749="PARCIAL"),"🟡 FATURAMENTO PENDENTE","🟡 EMBARQUE PENDENTE")))))))))))</f>
        <v/>
      </c>
      <c r="D3749" s="4" t="n"/>
      <c r="E3749" s="5" t="n"/>
      <c r="F3749" s="5" t="n"/>
      <c r="G3749" s="5" t="n"/>
      <c r="H3749" s="5" t="n"/>
      <c r="I3749" s="5" t="n"/>
      <c r="J3749" s="6" t="n"/>
      <c r="K3749" s="6" t="n"/>
      <c r="L3749" s="7">
        <f>IF(OR(D3749="",N(J3749)=0),"",MIN(1,N(K3749)/J3749))</f>
        <v/>
      </c>
      <c r="M3749" s="5" t="n"/>
      <c r="N3749" s="5" t="n"/>
      <c r="O3749" s="5" t="n"/>
      <c r="P3749" s="5" t="n"/>
      <c r="Q3749" s="5" t="n"/>
      <c r="R3749" s="4" t="n"/>
      <c r="S3749" s="4" t="n"/>
      <c r="T3749" s="5" t="n"/>
      <c r="U3749" s="8">
        <f>IF(AND(V3749=1,D3749&lt;&gt;""),IF(D3749&gt;=corte,TODAY()-D3749,""),"")</f>
        <v/>
      </c>
      <c r="V3749" s="8">
        <f>IF(D3749="",0,IF(OR(AND(P3749&lt;&gt;"",S3749=""),AND(N(J3749)&gt;0,N(K3749)&lt;J3749),OR(M3749="PENDENTE",M3749="PARCIAL"),OR(N3749="PENDENTE",N3749="PARCIAL")),1,0))</f>
        <v/>
      </c>
      <c r="W3749" s="8">
        <f>IF(AND(V3749=1,D3749&lt;&gt;""),IF(D3749&gt;=corte,(B3749="CRÍTICO")*1E9+(100000-D3749)*10000+10000-ROW(),""),"")</f>
        <v/>
      </c>
      <c r="X3749" s="8">
        <f>IF(AND(V3749=1,D3749=pas_data,E3749=pas_turno),10000-ROW(),"")</f>
        <v/>
      </c>
    </row>
    <row r="3750">
      <c r="A3750" s="3">
        <f>IF(D3750="","","TT-"&amp;TEXT(ROW()-1,"00000"))</f>
        <v/>
      </c>
      <c r="B3750" s="3">
        <f>IF(D3750="","",IF(V3750=0,"CONCLUÍDO",IF(D3750&lt;corte,"HISTÓRICO",IF(OR(AND(ISNUMBER(R3750),R3750&lt;TODAY()),AND(OR(N3750="PENDENTE",N3750="PARCIAL"),D3750&lt;TODAY()-1)),"CRÍTICO",IF(OR(AND(P3750&lt;&gt;"",S3750=""),AND(N3750="REALIZADO",M3750="PENDENTE"),AND(ISNUMBER(R3750),R3750=TODAY())),"ATENÇÃO",IF(N(K3750)=0,"PENDENTE","EM ANDAMENTO"))))))</f>
        <v/>
      </c>
      <c r="C3750" s="3">
        <f>IF(D3750="","",IF(V3750=0,"🟢 OK",IF(D3750&lt;corte,"⚪ HISTÓRICO (sem baixa)",IF(AND(ISNUMBER(R3750),R3750&lt;TODAY()),"🔴 PRAZO VENCIDO",IF(AND(OR(N3750="PENDENTE",N3750="PARCIAL"),D3750&lt;TODAY()-1),"🔴 EMBARQUE ATRASADO",IF(AND(N3750="REALIZADO",M3750="PENDENTE"),"🟡 EMBARCADO SEM FATURAR",IF(AND(P3750&lt;&gt;"",S3750="",OR(Q3750="",R3750="")),"🟡 PENDÊNCIA SEM RESPONSÁVEL/PRAZO",IF(AND(ISNUMBER(R3750),R3750=TODAY()),"🟡 VENCE HOJE",IF(AND(P3750&lt;&gt;"",S3750=""),"🟡 PENDÊNCIA ABERTA",IF(AND(N(J3750)&gt;0,N(K3750)&lt;J3750),"🟡 FALTA EXECUTAR",IF(OR(M3750="PENDENTE",M3750="PARCIAL"),"🟡 FATURAMENTO PENDENTE","🟡 EMBARQUE PENDENTE")))))))))))</f>
        <v/>
      </c>
      <c r="D3750" s="4" t="n"/>
      <c r="E3750" s="5" t="n"/>
      <c r="F3750" s="5" t="n"/>
      <c r="G3750" s="5" t="n"/>
      <c r="H3750" s="5" t="n"/>
      <c r="I3750" s="5" t="n"/>
      <c r="J3750" s="6" t="n"/>
      <c r="K3750" s="6" t="n"/>
      <c r="L3750" s="7">
        <f>IF(OR(D3750="",N(J3750)=0),"",MIN(1,N(K3750)/J3750))</f>
        <v/>
      </c>
      <c r="M3750" s="5" t="n"/>
      <c r="N3750" s="5" t="n"/>
      <c r="O3750" s="5" t="n"/>
      <c r="P3750" s="5" t="n"/>
      <c r="Q3750" s="5" t="n"/>
      <c r="R3750" s="4" t="n"/>
      <c r="S3750" s="4" t="n"/>
      <c r="T3750" s="5" t="n"/>
      <c r="U3750" s="8">
        <f>IF(AND(V3750=1,D3750&lt;&gt;""),IF(D3750&gt;=corte,TODAY()-D3750,""),"")</f>
        <v/>
      </c>
      <c r="V3750" s="8">
        <f>IF(D3750="",0,IF(OR(AND(P3750&lt;&gt;"",S3750=""),AND(N(J3750)&gt;0,N(K3750)&lt;J3750),OR(M3750="PENDENTE",M3750="PARCIAL"),OR(N3750="PENDENTE",N3750="PARCIAL")),1,0))</f>
        <v/>
      </c>
      <c r="W3750" s="8">
        <f>IF(AND(V3750=1,D3750&lt;&gt;""),IF(D3750&gt;=corte,(B3750="CRÍTICO")*1E9+(100000-D3750)*10000+10000-ROW(),""),"")</f>
        <v/>
      </c>
      <c r="X3750" s="8">
        <f>IF(AND(V3750=1,D3750=pas_data,E3750=pas_turno),10000-ROW(),"")</f>
        <v/>
      </c>
    </row>
    <row r="3751">
      <c r="A3751" s="3">
        <f>IF(D3751="","","TT-"&amp;TEXT(ROW()-1,"00000"))</f>
        <v/>
      </c>
      <c r="B3751" s="3">
        <f>IF(D3751="","",IF(V3751=0,"CONCLUÍDO",IF(D3751&lt;corte,"HISTÓRICO",IF(OR(AND(ISNUMBER(R3751),R3751&lt;TODAY()),AND(OR(N3751="PENDENTE",N3751="PARCIAL"),D3751&lt;TODAY()-1)),"CRÍTICO",IF(OR(AND(P3751&lt;&gt;"",S3751=""),AND(N3751="REALIZADO",M3751="PENDENTE"),AND(ISNUMBER(R3751),R3751=TODAY())),"ATENÇÃO",IF(N(K3751)=0,"PENDENTE","EM ANDAMENTO"))))))</f>
        <v/>
      </c>
      <c r="C3751" s="3">
        <f>IF(D3751="","",IF(V3751=0,"🟢 OK",IF(D3751&lt;corte,"⚪ HISTÓRICO (sem baixa)",IF(AND(ISNUMBER(R3751),R3751&lt;TODAY()),"🔴 PRAZO VENCIDO",IF(AND(OR(N3751="PENDENTE",N3751="PARCIAL"),D3751&lt;TODAY()-1),"🔴 EMBARQUE ATRASADO",IF(AND(N3751="REALIZADO",M3751="PENDENTE"),"🟡 EMBARCADO SEM FATURAR",IF(AND(P3751&lt;&gt;"",S3751="",OR(Q3751="",R3751="")),"🟡 PENDÊNCIA SEM RESPONSÁVEL/PRAZO",IF(AND(ISNUMBER(R3751),R3751=TODAY()),"🟡 VENCE HOJE",IF(AND(P3751&lt;&gt;"",S3751=""),"🟡 PENDÊNCIA ABERTA",IF(AND(N(J3751)&gt;0,N(K3751)&lt;J3751),"🟡 FALTA EXECUTAR",IF(OR(M3751="PENDENTE",M3751="PARCIAL"),"🟡 FATURAMENTO PENDENTE","🟡 EMBARQUE PENDENTE")))))))))))</f>
        <v/>
      </c>
      <c r="D3751" s="4" t="n"/>
      <c r="E3751" s="5" t="n"/>
      <c r="F3751" s="5" t="n"/>
      <c r="G3751" s="5" t="n"/>
      <c r="H3751" s="5" t="n"/>
      <c r="I3751" s="5" t="n"/>
      <c r="J3751" s="6" t="n"/>
      <c r="K3751" s="6" t="n"/>
      <c r="L3751" s="7">
        <f>IF(OR(D3751="",N(J3751)=0),"",MIN(1,N(K3751)/J3751))</f>
        <v/>
      </c>
      <c r="M3751" s="5" t="n"/>
      <c r="N3751" s="5" t="n"/>
      <c r="O3751" s="5" t="n"/>
      <c r="P3751" s="5" t="n"/>
      <c r="Q3751" s="5" t="n"/>
      <c r="R3751" s="4" t="n"/>
      <c r="S3751" s="4" t="n"/>
      <c r="T3751" s="5" t="n"/>
      <c r="U3751" s="8">
        <f>IF(AND(V3751=1,D3751&lt;&gt;""),IF(D3751&gt;=corte,TODAY()-D3751,""),"")</f>
        <v/>
      </c>
      <c r="V3751" s="8">
        <f>IF(D3751="",0,IF(OR(AND(P3751&lt;&gt;"",S3751=""),AND(N(J3751)&gt;0,N(K3751)&lt;J3751),OR(M3751="PENDENTE",M3751="PARCIAL"),OR(N3751="PENDENTE",N3751="PARCIAL")),1,0))</f>
        <v/>
      </c>
      <c r="W3751" s="8">
        <f>IF(AND(V3751=1,D3751&lt;&gt;""),IF(D3751&gt;=corte,(B3751="CRÍTICO")*1E9+(100000-D3751)*10000+10000-ROW(),""),"")</f>
        <v/>
      </c>
      <c r="X3751" s="8">
        <f>IF(AND(V3751=1,D3751=pas_data,E3751=pas_turno),10000-ROW(),"")</f>
        <v/>
      </c>
    </row>
    <row r="3752">
      <c r="A3752" s="3">
        <f>IF(D3752="","","TT-"&amp;TEXT(ROW()-1,"00000"))</f>
        <v/>
      </c>
      <c r="B3752" s="3">
        <f>IF(D3752="","",IF(V3752=0,"CONCLUÍDO",IF(D3752&lt;corte,"HISTÓRICO",IF(OR(AND(ISNUMBER(R3752),R3752&lt;TODAY()),AND(OR(N3752="PENDENTE",N3752="PARCIAL"),D3752&lt;TODAY()-1)),"CRÍTICO",IF(OR(AND(P3752&lt;&gt;"",S3752=""),AND(N3752="REALIZADO",M3752="PENDENTE"),AND(ISNUMBER(R3752),R3752=TODAY())),"ATENÇÃO",IF(N(K3752)=0,"PENDENTE","EM ANDAMENTO"))))))</f>
        <v/>
      </c>
      <c r="C3752" s="3">
        <f>IF(D3752="","",IF(V3752=0,"🟢 OK",IF(D3752&lt;corte,"⚪ HISTÓRICO (sem baixa)",IF(AND(ISNUMBER(R3752),R3752&lt;TODAY()),"🔴 PRAZO VENCIDO",IF(AND(OR(N3752="PENDENTE",N3752="PARCIAL"),D3752&lt;TODAY()-1),"🔴 EMBARQUE ATRASADO",IF(AND(N3752="REALIZADO",M3752="PENDENTE"),"🟡 EMBARCADO SEM FATURAR",IF(AND(P3752&lt;&gt;"",S3752="",OR(Q3752="",R3752="")),"🟡 PENDÊNCIA SEM RESPONSÁVEL/PRAZO",IF(AND(ISNUMBER(R3752),R3752=TODAY()),"🟡 VENCE HOJE",IF(AND(P3752&lt;&gt;"",S3752=""),"🟡 PENDÊNCIA ABERTA",IF(AND(N(J3752)&gt;0,N(K3752)&lt;J3752),"🟡 FALTA EXECUTAR",IF(OR(M3752="PENDENTE",M3752="PARCIAL"),"🟡 FATURAMENTO PENDENTE","🟡 EMBARQUE PENDENTE")))))))))))</f>
        <v/>
      </c>
      <c r="D3752" s="4" t="n"/>
      <c r="E3752" s="5" t="n"/>
      <c r="F3752" s="5" t="n"/>
      <c r="G3752" s="5" t="n"/>
      <c r="H3752" s="5" t="n"/>
      <c r="I3752" s="5" t="n"/>
      <c r="J3752" s="6" t="n"/>
      <c r="K3752" s="6" t="n"/>
      <c r="L3752" s="7">
        <f>IF(OR(D3752="",N(J3752)=0),"",MIN(1,N(K3752)/J3752))</f>
        <v/>
      </c>
      <c r="M3752" s="5" t="n"/>
      <c r="N3752" s="5" t="n"/>
      <c r="O3752" s="5" t="n"/>
      <c r="P3752" s="5" t="n"/>
      <c r="Q3752" s="5" t="n"/>
      <c r="R3752" s="4" t="n"/>
      <c r="S3752" s="4" t="n"/>
      <c r="T3752" s="5" t="n"/>
      <c r="U3752" s="8">
        <f>IF(AND(V3752=1,D3752&lt;&gt;""),IF(D3752&gt;=corte,TODAY()-D3752,""),"")</f>
        <v/>
      </c>
      <c r="V3752" s="8">
        <f>IF(D3752="",0,IF(OR(AND(P3752&lt;&gt;"",S3752=""),AND(N(J3752)&gt;0,N(K3752)&lt;J3752),OR(M3752="PENDENTE",M3752="PARCIAL"),OR(N3752="PENDENTE",N3752="PARCIAL")),1,0))</f>
        <v/>
      </c>
      <c r="W3752" s="8">
        <f>IF(AND(V3752=1,D3752&lt;&gt;""),IF(D3752&gt;=corte,(B3752="CRÍTICO")*1E9+(100000-D3752)*10000+10000-ROW(),""),"")</f>
        <v/>
      </c>
      <c r="X3752" s="8">
        <f>IF(AND(V3752=1,D3752=pas_data,E3752=pas_turno),10000-ROW(),"")</f>
        <v/>
      </c>
    </row>
    <row r="3753">
      <c r="A3753" s="3">
        <f>IF(D3753="","","TT-"&amp;TEXT(ROW()-1,"00000"))</f>
        <v/>
      </c>
      <c r="B3753" s="3">
        <f>IF(D3753="","",IF(V3753=0,"CONCLUÍDO",IF(D3753&lt;corte,"HISTÓRICO",IF(OR(AND(ISNUMBER(R3753),R3753&lt;TODAY()),AND(OR(N3753="PENDENTE",N3753="PARCIAL"),D3753&lt;TODAY()-1)),"CRÍTICO",IF(OR(AND(P3753&lt;&gt;"",S3753=""),AND(N3753="REALIZADO",M3753="PENDENTE"),AND(ISNUMBER(R3753),R3753=TODAY())),"ATENÇÃO",IF(N(K3753)=0,"PENDENTE","EM ANDAMENTO"))))))</f>
        <v/>
      </c>
      <c r="C3753" s="3">
        <f>IF(D3753="","",IF(V3753=0,"🟢 OK",IF(D3753&lt;corte,"⚪ HISTÓRICO (sem baixa)",IF(AND(ISNUMBER(R3753),R3753&lt;TODAY()),"🔴 PRAZO VENCIDO",IF(AND(OR(N3753="PENDENTE",N3753="PARCIAL"),D3753&lt;TODAY()-1),"🔴 EMBARQUE ATRASADO",IF(AND(N3753="REALIZADO",M3753="PENDENTE"),"🟡 EMBARCADO SEM FATURAR",IF(AND(P3753&lt;&gt;"",S3753="",OR(Q3753="",R3753="")),"🟡 PENDÊNCIA SEM RESPONSÁVEL/PRAZO",IF(AND(ISNUMBER(R3753),R3753=TODAY()),"🟡 VENCE HOJE",IF(AND(P3753&lt;&gt;"",S3753=""),"🟡 PENDÊNCIA ABERTA",IF(AND(N(J3753)&gt;0,N(K3753)&lt;J3753),"🟡 FALTA EXECUTAR",IF(OR(M3753="PENDENTE",M3753="PARCIAL"),"🟡 FATURAMENTO PENDENTE","🟡 EMBARQUE PENDENTE")))))))))))</f>
        <v/>
      </c>
      <c r="D3753" s="4" t="n"/>
      <c r="E3753" s="5" t="n"/>
      <c r="F3753" s="5" t="n"/>
      <c r="G3753" s="5" t="n"/>
      <c r="H3753" s="5" t="n"/>
      <c r="I3753" s="5" t="n"/>
      <c r="J3753" s="6" t="n"/>
      <c r="K3753" s="6" t="n"/>
      <c r="L3753" s="7">
        <f>IF(OR(D3753="",N(J3753)=0),"",MIN(1,N(K3753)/J3753))</f>
        <v/>
      </c>
      <c r="M3753" s="5" t="n"/>
      <c r="N3753" s="5" t="n"/>
      <c r="O3753" s="5" t="n"/>
      <c r="P3753" s="5" t="n"/>
      <c r="Q3753" s="5" t="n"/>
      <c r="R3753" s="4" t="n"/>
      <c r="S3753" s="4" t="n"/>
      <c r="T3753" s="5" t="n"/>
      <c r="U3753" s="8">
        <f>IF(AND(V3753=1,D3753&lt;&gt;""),IF(D3753&gt;=corte,TODAY()-D3753,""),"")</f>
        <v/>
      </c>
      <c r="V3753" s="8">
        <f>IF(D3753="",0,IF(OR(AND(P3753&lt;&gt;"",S3753=""),AND(N(J3753)&gt;0,N(K3753)&lt;J3753),OR(M3753="PENDENTE",M3753="PARCIAL"),OR(N3753="PENDENTE",N3753="PARCIAL")),1,0))</f>
        <v/>
      </c>
      <c r="W3753" s="8">
        <f>IF(AND(V3753=1,D3753&lt;&gt;""),IF(D3753&gt;=corte,(B3753="CRÍTICO")*1E9+(100000-D3753)*10000+10000-ROW(),""),"")</f>
        <v/>
      </c>
      <c r="X3753" s="8">
        <f>IF(AND(V3753=1,D3753=pas_data,E3753=pas_turno),10000-ROW(),"")</f>
        <v/>
      </c>
    </row>
    <row r="3754">
      <c r="A3754" s="3">
        <f>IF(D3754="","","TT-"&amp;TEXT(ROW()-1,"00000"))</f>
        <v/>
      </c>
      <c r="B3754" s="3">
        <f>IF(D3754="","",IF(V3754=0,"CONCLUÍDO",IF(D3754&lt;corte,"HISTÓRICO",IF(OR(AND(ISNUMBER(R3754),R3754&lt;TODAY()),AND(OR(N3754="PENDENTE",N3754="PARCIAL"),D3754&lt;TODAY()-1)),"CRÍTICO",IF(OR(AND(P3754&lt;&gt;"",S3754=""),AND(N3754="REALIZADO",M3754="PENDENTE"),AND(ISNUMBER(R3754),R3754=TODAY())),"ATENÇÃO",IF(N(K3754)=0,"PENDENTE","EM ANDAMENTO"))))))</f>
        <v/>
      </c>
      <c r="C3754" s="3">
        <f>IF(D3754="","",IF(V3754=0,"🟢 OK",IF(D3754&lt;corte,"⚪ HISTÓRICO (sem baixa)",IF(AND(ISNUMBER(R3754),R3754&lt;TODAY()),"🔴 PRAZO VENCIDO",IF(AND(OR(N3754="PENDENTE",N3754="PARCIAL"),D3754&lt;TODAY()-1),"🔴 EMBARQUE ATRASADO",IF(AND(N3754="REALIZADO",M3754="PENDENTE"),"🟡 EMBARCADO SEM FATURAR",IF(AND(P3754&lt;&gt;"",S3754="",OR(Q3754="",R3754="")),"🟡 PENDÊNCIA SEM RESPONSÁVEL/PRAZO",IF(AND(ISNUMBER(R3754),R3754=TODAY()),"🟡 VENCE HOJE",IF(AND(P3754&lt;&gt;"",S3754=""),"🟡 PENDÊNCIA ABERTA",IF(AND(N(J3754)&gt;0,N(K3754)&lt;J3754),"🟡 FALTA EXECUTAR",IF(OR(M3754="PENDENTE",M3754="PARCIAL"),"🟡 FATURAMENTO PENDENTE","🟡 EMBARQUE PENDENTE")))))))))))</f>
        <v/>
      </c>
      <c r="D3754" s="4" t="n"/>
      <c r="E3754" s="5" t="n"/>
      <c r="F3754" s="5" t="n"/>
      <c r="G3754" s="5" t="n"/>
      <c r="H3754" s="5" t="n"/>
      <c r="I3754" s="5" t="n"/>
      <c r="J3754" s="6" t="n"/>
      <c r="K3754" s="6" t="n"/>
      <c r="L3754" s="7">
        <f>IF(OR(D3754="",N(J3754)=0),"",MIN(1,N(K3754)/J3754))</f>
        <v/>
      </c>
      <c r="M3754" s="5" t="n"/>
      <c r="N3754" s="5" t="n"/>
      <c r="O3754" s="5" t="n"/>
      <c r="P3754" s="5" t="n"/>
      <c r="Q3754" s="5" t="n"/>
      <c r="R3754" s="4" t="n"/>
      <c r="S3754" s="4" t="n"/>
      <c r="T3754" s="5" t="n"/>
      <c r="U3754" s="8">
        <f>IF(AND(V3754=1,D3754&lt;&gt;""),IF(D3754&gt;=corte,TODAY()-D3754,""),"")</f>
        <v/>
      </c>
      <c r="V3754" s="8">
        <f>IF(D3754="",0,IF(OR(AND(P3754&lt;&gt;"",S3754=""),AND(N(J3754)&gt;0,N(K3754)&lt;J3754),OR(M3754="PENDENTE",M3754="PARCIAL"),OR(N3754="PENDENTE",N3754="PARCIAL")),1,0))</f>
        <v/>
      </c>
      <c r="W3754" s="8">
        <f>IF(AND(V3754=1,D3754&lt;&gt;""),IF(D3754&gt;=corte,(B3754="CRÍTICO")*1E9+(100000-D3754)*10000+10000-ROW(),""),"")</f>
        <v/>
      </c>
      <c r="X3754" s="8">
        <f>IF(AND(V3754=1,D3754=pas_data,E3754=pas_turno),10000-ROW(),"")</f>
        <v/>
      </c>
    </row>
    <row r="3755">
      <c r="A3755" s="3">
        <f>IF(D3755="","","TT-"&amp;TEXT(ROW()-1,"00000"))</f>
        <v/>
      </c>
      <c r="B3755" s="3">
        <f>IF(D3755="","",IF(V3755=0,"CONCLUÍDO",IF(D3755&lt;corte,"HISTÓRICO",IF(OR(AND(ISNUMBER(R3755),R3755&lt;TODAY()),AND(OR(N3755="PENDENTE",N3755="PARCIAL"),D3755&lt;TODAY()-1)),"CRÍTICO",IF(OR(AND(P3755&lt;&gt;"",S3755=""),AND(N3755="REALIZADO",M3755="PENDENTE"),AND(ISNUMBER(R3755),R3755=TODAY())),"ATENÇÃO",IF(N(K3755)=0,"PENDENTE","EM ANDAMENTO"))))))</f>
        <v/>
      </c>
      <c r="C3755" s="3">
        <f>IF(D3755="","",IF(V3755=0,"🟢 OK",IF(D3755&lt;corte,"⚪ HISTÓRICO (sem baixa)",IF(AND(ISNUMBER(R3755),R3755&lt;TODAY()),"🔴 PRAZO VENCIDO",IF(AND(OR(N3755="PENDENTE",N3755="PARCIAL"),D3755&lt;TODAY()-1),"🔴 EMBARQUE ATRASADO",IF(AND(N3755="REALIZADO",M3755="PENDENTE"),"🟡 EMBARCADO SEM FATURAR",IF(AND(P3755&lt;&gt;"",S3755="",OR(Q3755="",R3755="")),"🟡 PENDÊNCIA SEM RESPONSÁVEL/PRAZO",IF(AND(ISNUMBER(R3755),R3755=TODAY()),"🟡 VENCE HOJE",IF(AND(P3755&lt;&gt;"",S3755=""),"🟡 PENDÊNCIA ABERTA",IF(AND(N(J3755)&gt;0,N(K3755)&lt;J3755),"🟡 FALTA EXECUTAR",IF(OR(M3755="PENDENTE",M3755="PARCIAL"),"🟡 FATURAMENTO PENDENTE","🟡 EMBARQUE PENDENTE")))))))))))</f>
        <v/>
      </c>
      <c r="D3755" s="4" t="n"/>
      <c r="E3755" s="5" t="n"/>
      <c r="F3755" s="5" t="n"/>
      <c r="G3755" s="5" t="n"/>
      <c r="H3755" s="5" t="n"/>
      <c r="I3755" s="5" t="n"/>
      <c r="J3755" s="6" t="n"/>
      <c r="K3755" s="6" t="n"/>
      <c r="L3755" s="7">
        <f>IF(OR(D3755="",N(J3755)=0),"",MIN(1,N(K3755)/J3755))</f>
        <v/>
      </c>
      <c r="M3755" s="5" t="n"/>
      <c r="N3755" s="5" t="n"/>
      <c r="O3755" s="5" t="n"/>
      <c r="P3755" s="5" t="n"/>
      <c r="Q3755" s="5" t="n"/>
      <c r="R3755" s="4" t="n"/>
      <c r="S3755" s="4" t="n"/>
      <c r="T3755" s="5" t="n"/>
      <c r="U3755" s="8">
        <f>IF(AND(V3755=1,D3755&lt;&gt;""),IF(D3755&gt;=corte,TODAY()-D3755,""),"")</f>
        <v/>
      </c>
      <c r="V3755" s="8">
        <f>IF(D3755="",0,IF(OR(AND(P3755&lt;&gt;"",S3755=""),AND(N(J3755)&gt;0,N(K3755)&lt;J3755),OR(M3755="PENDENTE",M3755="PARCIAL"),OR(N3755="PENDENTE",N3755="PARCIAL")),1,0))</f>
        <v/>
      </c>
      <c r="W3755" s="8">
        <f>IF(AND(V3755=1,D3755&lt;&gt;""),IF(D3755&gt;=corte,(B3755="CRÍTICO")*1E9+(100000-D3755)*10000+10000-ROW(),""),"")</f>
        <v/>
      </c>
      <c r="X3755" s="8">
        <f>IF(AND(V3755=1,D3755=pas_data,E3755=pas_turno),10000-ROW(),"")</f>
        <v/>
      </c>
    </row>
    <row r="3756">
      <c r="A3756" s="3">
        <f>IF(D3756="","","TT-"&amp;TEXT(ROW()-1,"00000"))</f>
        <v/>
      </c>
      <c r="B3756" s="3">
        <f>IF(D3756="","",IF(V3756=0,"CONCLUÍDO",IF(D3756&lt;corte,"HISTÓRICO",IF(OR(AND(ISNUMBER(R3756),R3756&lt;TODAY()),AND(OR(N3756="PENDENTE",N3756="PARCIAL"),D3756&lt;TODAY()-1)),"CRÍTICO",IF(OR(AND(P3756&lt;&gt;"",S3756=""),AND(N3756="REALIZADO",M3756="PENDENTE"),AND(ISNUMBER(R3756),R3756=TODAY())),"ATENÇÃO",IF(N(K3756)=0,"PENDENTE","EM ANDAMENTO"))))))</f>
        <v/>
      </c>
      <c r="C3756" s="3">
        <f>IF(D3756="","",IF(V3756=0,"🟢 OK",IF(D3756&lt;corte,"⚪ HISTÓRICO (sem baixa)",IF(AND(ISNUMBER(R3756),R3756&lt;TODAY()),"🔴 PRAZO VENCIDO",IF(AND(OR(N3756="PENDENTE",N3756="PARCIAL"),D3756&lt;TODAY()-1),"🔴 EMBARQUE ATRASADO",IF(AND(N3756="REALIZADO",M3756="PENDENTE"),"🟡 EMBARCADO SEM FATURAR",IF(AND(P3756&lt;&gt;"",S3756="",OR(Q3756="",R3756="")),"🟡 PENDÊNCIA SEM RESPONSÁVEL/PRAZO",IF(AND(ISNUMBER(R3756),R3756=TODAY()),"🟡 VENCE HOJE",IF(AND(P3756&lt;&gt;"",S3756=""),"🟡 PENDÊNCIA ABERTA",IF(AND(N(J3756)&gt;0,N(K3756)&lt;J3756),"🟡 FALTA EXECUTAR",IF(OR(M3756="PENDENTE",M3756="PARCIAL"),"🟡 FATURAMENTO PENDENTE","🟡 EMBARQUE PENDENTE")))))))))))</f>
        <v/>
      </c>
      <c r="D3756" s="4" t="n"/>
      <c r="E3756" s="5" t="n"/>
      <c r="F3756" s="5" t="n"/>
      <c r="G3756" s="5" t="n"/>
      <c r="H3756" s="5" t="n"/>
      <c r="I3756" s="5" t="n"/>
      <c r="J3756" s="6" t="n"/>
      <c r="K3756" s="6" t="n"/>
      <c r="L3756" s="7">
        <f>IF(OR(D3756="",N(J3756)=0),"",MIN(1,N(K3756)/J3756))</f>
        <v/>
      </c>
      <c r="M3756" s="5" t="n"/>
      <c r="N3756" s="5" t="n"/>
      <c r="O3756" s="5" t="n"/>
      <c r="P3756" s="5" t="n"/>
      <c r="Q3756" s="5" t="n"/>
      <c r="R3756" s="4" t="n"/>
      <c r="S3756" s="4" t="n"/>
      <c r="T3756" s="5" t="n"/>
      <c r="U3756" s="8">
        <f>IF(AND(V3756=1,D3756&lt;&gt;""),IF(D3756&gt;=corte,TODAY()-D3756,""),"")</f>
        <v/>
      </c>
      <c r="V3756" s="8">
        <f>IF(D3756="",0,IF(OR(AND(P3756&lt;&gt;"",S3756=""),AND(N(J3756)&gt;0,N(K3756)&lt;J3756),OR(M3756="PENDENTE",M3756="PARCIAL"),OR(N3756="PENDENTE",N3756="PARCIAL")),1,0))</f>
        <v/>
      </c>
      <c r="W3756" s="8">
        <f>IF(AND(V3756=1,D3756&lt;&gt;""),IF(D3756&gt;=corte,(B3756="CRÍTICO")*1E9+(100000-D3756)*10000+10000-ROW(),""),"")</f>
        <v/>
      </c>
      <c r="X3756" s="8">
        <f>IF(AND(V3756=1,D3756=pas_data,E3756=pas_turno),10000-ROW(),"")</f>
        <v/>
      </c>
    </row>
    <row r="3757">
      <c r="A3757" s="3">
        <f>IF(D3757="","","TT-"&amp;TEXT(ROW()-1,"00000"))</f>
        <v/>
      </c>
      <c r="B3757" s="3">
        <f>IF(D3757="","",IF(V3757=0,"CONCLUÍDO",IF(D3757&lt;corte,"HISTÓRICO",IF(OR(AND(ISNUMBER(R3757),R3757&lt;TODAY()),AND(OR(N3757="PENDENTE",N3757="PARCIAL"),D3757&lt;TODAY()-1)),"CRÍTICO",IF(OR(AND(P3757&lt;&gt;"",S3757=""),AND(N3757="REALIZADO",M3757="PENDENTE"),AND(ISNUMBER(R3757),R3757=TODAY())),"ATENÇÃO",IF(N(K3757)=0,"PENDENTE","EM ANDAMENTO"))))))</f>
        <v/>
      </c>
      <c r="C3757" s="3">
        <f>IF(D3757="","",IF(V3757=0,"🟢 OK",IF(D3757&lt;corte,"⚪ HISTÓRICO (sem baixa)",IF(AND(ISNUMBER(R3757),R3757&lt;TODAY()),"🔴 PRAZO VENCIDO",IF(AND(OR(N3757="PENDENTE",N3757="PARCIAL"),D3757&lt;TODAY()-1),"🔴 EMBARQUE ATRASADO",IF(AND(N3757="REALIZADO",M3757="PENDENTE"),"🟡 EMBARCADO SEM FATURAR",IF(AND(P3757&lt;&gt;"",S3757="",OR(Q3757="",R3757="")),"🟡 PENDÊNCIA SEM RESPONSÁVEL/PRAZO",IF(AND(ISNUMBER(R3757),R3757=TODAY()),"🟡 VENCE HOJE",IF(AND(P3757&lt;&gt;"",S3757=""),"🟡 PENDÊNCIA ABERTA",IF(AND(N(J3757)&gt;0,N(K3757)&lt;J3757),"🟡 FALTA EXECUTAR",IF(OR(M3757="PENDENTE",M3757="PARCIAL"),"🟡 FATURAMENTO PENDENTE","🟡 EMBARQUE PENDENTE")))))))))))</f>
        <v/>
      </c>
      <c r="D3757" s="4" t="n"/>
      <c r="E3757" s="5" t="n"/>
      <c r="F3757" s="5" t="n"/>
      <c r="G3757" s="5" t="n"/>
      <c r="H3757" s="5" t="n"/>
      <c r="I3757" s="5" t="n"/>
      <c r="J3757" s="6" t="n"/>
      <c r="K3757" s="6" t="n"/>
      <c r="L3757" s="7">
        <f>IF(OR(D3757="",N(J3757)=0),"",MIN(1,N(K3757)/J3757))</f>
        <v/>
      </c>
      <c r="M3757" s="5" t="n"/>
      <c r="N3757" s="5" t="n"/>
      <c r="O3757" s="5" t="n"/>
      <c r="P3757" s="5" t="n"/>
      <c r="Q3757" s="5" t="n"/>
      <c r="R3757" s="4" t="n"/>
      <c r="S3757" s="4" t="n"/>
      <c r="T3757" s="5" t="n"/>
      <c r="U3757" s="8">
        <f>IF(AND(V3757=1,D3757&lt;&gt;""),IF(D3757&gt;=corte,TODAY()-D3757,""),"")</f>
        <v/>
      </c>
      <c r="V3757" s="8">
        <f>IF(D3757="",0,IF(OR(AND(P3757&lt;&gt;"",S3757=""),AND(N(J3757)&gt;0,N(K3757)&lt;J3757),OR(M3757="PENDENTE",M3757="PARCIAL"),OR(N3757="PENDENTE",N3757="PARCIAL")),1,0))</f>
        <v/>
      </c>
      <c r="W3757" s="8">
        <f>IF(AND(V3757=1,D3757&lt;&gt;""),IF(D3757&gt;=corte,(B3757="CRÍTICO")*1E9+(100000-D3757)*10000+10000-ROW(),""),"")</f>
        <v/>
      </c>
      <c r="X3757" s="8">
        <f>IF(AND(V3757=1,D3757=pas_data,E3757=pas_turno),10000-ROW(),"")</f>
        <v/>
      </c>
    </row>
    <row r="3758">
      <c r="A3758" s="3">
        <f>IF(D3758="","","TT-"&amp;TEXT(ROW()-1,"00000"))</f>
        <v/>
      </c>
      <c r="B3758" s="3">
        <f>IF(D3758="","",IF(V3758=0,"CONCLUÍDO",IF(D3758&lt;corte,"HISTÓRICO",IF(OR(AND(ISNUMBER(R3758),R3758&lt;TODAY()),AND(OR(N3758="PENDENTE",N3758="PARCIAL"),D3758&lt;TODAY()-1)),"CRÍTICO",IF(OR(AND(P3758&lt;&gt;"",S3758=""),AND(N3758="REALIZADO",M3758="PENDENTE"),AND(ISNUMBER(R3758),R3758=TODAY())),"ATENÇÃO",IF(N(K3758)=0,"PENDENTE","EM ANDAMENTO"))))))</f>
        <v/>
      </c>
      <c r="C3758" s="3">
        <f>IF(D3758="","",IF(V3758=0,"🟢 OK",IF(D3758&lt;corte,"⚪ HISTÓRICO (sem baixa)",IF(AND(ISNUMBER(R3758),R3758&lt;TODAY()),"🔴 PRAZO VENCIDO",IF(AND(OR(N3758="PENDENTE",N3758="PARCIAL"),D3758&lt;TODAY()-1),"🔴 EMBARQUE ATRASADO",IF(AND(N3758="REALIZADO",M3758="PENDENTE"),"🟡 EMBARCADO SEM FATURAR",IF(AND(P3758&lt;&gt;"",S3758="",OR(Q3758="",R3758="")),"🟡 PENDÊNCIA SEM RESPONSÁVEL/PRAZO",IF(AND(ISNUMBER(R3758),R3758=TODAY()),"🟡 VENCE HOJE",IF(AND(P3758&lt;&gt;"",S3758=""),"🟡 PENDÊNCIA ABERTA",IF(AND(N(J3758)&gt;0,N(K3758)&lt;J3758),"🟡 FALTA EXECUTAR",IF(OR(M3758="PENDENTE",M3758="PARCIAL"),"🟡 FATURAMENTO PENDENTE","🟡 EMBARQUE PENDENTE")))))))))))</f>
        <v/>
      </c>
      <c r="D3758" s="4" t="n"/>
      <c r="E3758" s="5" t="n"/>
      <c r="F3758" s="5" t="n"/>
      <c r="G3758" s="5" t="n"/>
      <c r="H3758" s="5" t="n"/>
      <c r="I3758" s="5" t="n"/>
      <c r="J3758" s="6" t="n"/>
      <c r="K3758" s="6" t="n"/>
      <c r="L3758" s="7">
        <f>IF(OR(D3758="",N(J3758)=0),"",MIN(1,N(K3758)/J3758))</f>
        <v/>
      </c>
      <c r="M3758" s="5" t="n"/>
      <c r="N3758" s="5" t="n"/>
      <c r="O3758" s="5" t="n"/>
      <c r="P3758" s="5" t="n"/>
      <c r="Q3758" s="5" t="n"/>
      <c r="R3758" s="4" t="n"/>
      <c r="S3758" s="4" t="n"/>
      <c r="T3758" s="5" t="n"/>
      <c r="U3758" s="8">
        <f>IF(AND(V3758=1,D3758&lt;&gt;""),IF(D3758&gt;=corte,TODAY()-D3758,""),"")</f>
        <v/>
      </c>
      <c r="V3758" s="8">
        <f>IF(D3758="",0,IF(OR(AND(P3758&lt;&gt;"",S3758=""),AND(N(J3758)&gt;0,N(K3758)&lt;J3758),OR(M3758="PENDENTE",M3758="PARCIAL"),OR(N3758="PENDENTE",N3758="PARCIAL")),1,0))</f>
        <v/>
      </c>
      <c r="W3758" s="8">
        <f>IF(AND(V3758=1,D3758&lt;&gt;""),IF(D3758&gt;=corte,(B3758="CRÍTICO")*1E9+(100000-D3758)*10000+10000-ROW(),""),"")</f>
        <v/>
      </c>
      <c r="X3758" s="8">
        <f>IF(AND(V3758=1,D3758=pas_data,E3758=pas_turno),10000-ROW(),"")</f>
        <v/>
      </c>
    </row>
    <row r="3759">
      <c r="A3759" s="3">
        <f>IF(D3759="","","TT-"&amp;TEXT(ROW()-1,"00000"))</f>
        <v/>
      </c>
      <c r="B3759" s="3">
        <f>IF(D3759="","",IF(V3759=0,"CONCLUÍDO",IF(D3759&lt;corte,"HISTÓRICO",IF(OR(AND(ISNUMBER(R3759),R3759&lt;TODAY()),AND(OR(N3759="PENDENTE",N3759="PARCIAL"),D3759&lt;TODAY()-1)),"CRÍTICO",IF(OR(AND(P3759&lt;&gt;"",S3759=""),AND(N3759="REALIZADO",M3759="PENDENTE"),AND(ISNUMBER(R3759),R3759=TODAY())),"ATENÇÃO",IF(N(K3759)=0,"PENDENTE","EM ANDAMENTO"))))))</f>
        <v/>
      </c>
      <c r="C3759" s="3">
        <f>IF(D3759="","",IF(V3759=0,"🟢 OK",IF(D3759&lt;corte,"⚪ HISTÓRICO (sem baixa)",IF(AND(ISNUMBER(R3759),R3759&lt;TODAY()),"🔴 PRAZO VENCIDO",IF(AND(OR(N3759="PENDENTE",N3759="PARCIAL"),D3759&lt;TODAY()-1),"🔴 EMBARQUE ATRASADO",IF(AND(N3759="REALIZADO",M3759="PENDENTE"),"🟡 EMBARCADO SEM FATURAR",IF(AND(P3759&lt;&gt;"",S3759="",OR(Q3759="",R3759="")),"🟡 PENDÊNCIA SEM RESPONSÁVEL/PRAZO",IF(AND(ISNUMBER(R3759),R3759=TODAY()),"🟡 VENCE HOJE",IF(AND(P3759&lt;&gt;"",S3759=""),"🟡 PENDÊNCIA ABERTA",IF(AND(N(J3759)&gt;0,N(K3759)&lt;J3759),"🟡 FALTA EXECUTAR",IF(OR(M3759="PENDENTE",M3759="PARCIAL"),"🟡 FATURAMENTO PENDENTE","🟡 EMBARQUE PENDENTE")))))))))))</f>
        <v/>
      </c>
      <c r="D3759" s="4" t="n"/>
      <c r="E3759" s="5" t="n"/>
      <c r="F3759" s="5" t="n"/>
      <c r="G3759" s="5" t="n"/>
      <c r="H3759" s="5" t="n"/>
      <c r="I3759" s="5" t="n"/>
      <c r="J3759" s="6" t="n"/>
      <c r="K3759" s="6" t="n"/>
      <c r="L3759" s="7">
        <f>IF(OR(D3759="",N(J3759)=0),"",MIN(1,N(K3759)/J3759))</f>
        <v/>
      </c>
      <c r="M3759" s="5" t="n"/>
      <c r="N3759" s="5" t="n"/>
      <c r="O3759" s="5" t="n"/>
      <c r="P3759" s="5" t="n"/>
      <c r="Q3759" s="5" t="n"/>
      <c r="R3759" s="4" t="n"/>
      <c r="S3759" s="4" t="n"/>
      <c r="T3759" s="5" t="n"/>
      <c r="U3759" s="8">
        <f>IF(AND(V3759=1,D3759&lt;&gt;""),IF(D3759&gt;=corte,TODAY()-D3759,""),"")</f>
        <v/>
      </c>
      <c r="V3759" s="8">
        <f>IF(D3759="",0,IF(OR(AND(P3759&lt;&gt;"",S3759=""),AND(N(J3759)&gt;0,N(K3759)&lt;J3759),OR(M3759="PENDENTE",M3759="PARCIAL"),OR(N3759="PENDENTE",N3759="PARCIAL")),1,0))</f>
        <v/>
      </c>
      <c r="W3759" s="8">
        <f>IF(AND(V3759=1,D3759&lt;&gt;""),IF(D3759&gt;=corte,(B3759="CRÍTICO")*1E9+(100000-D3759)*10000+10000-ROW(),""),"")</f>
        <v/>
      </c>
      <c r="X3759" s="8">
        <f>IF(AND(V3759=1,D3759=pas_data,E3759=pas_turno),10000-ROW(),"")</f>
        <v/>
      </c>
    </row>
    <row r="3760">
      <c r="A3760" s="3">
        <f>IF(D3760="","","TT-"&amp;TEXT(ROW()-1,"00000"))</f>
        <v/>
      </c>
      <c r="B3760" s="3">
        <f>IF(D3760="","",IF(V3760=0,"CONCLUÍDO",IF(D3760&lt;corte,"HISTÓRICO",IF(OR(AND(ISNUMBER(R3760),R3760&lt;TODAY()),AND(OR(N3760="PENDENTE",N3760="PARCIAL"),D3760&lt;TODAY()-1)),"CRÍTICO",IF(OR(AND(P3760&lt;&gt;"",S3760=""),AND(N3760="REALIZADO",M3760="PENDENTE"),AND(ISNUMBER(R3760),R3760=TODAY())),"ATENÇÃO",IF(N(K3760)=0,"PENDENTE","EM ANDAMENTO"))))))</f>
        <v/>
      </c>
      <c r="C3760" s="3">
        <f>IF(D3760="","",IF(V3760=0,"🟢 OK",IF(D3760&lt;corte,"⚪ HISTÓRICO (sem baixa)",IF(AND(ISNUMBER(R3760),R3760&lt;TODAY()),"🔴 PRAZO VENCIDO",IF(AND(OR(N3760="PENDENTE",N3760="PARCIAL"),D3760&lt;TODAY()-1),"🔴 EMBARQUE ATRASADO",IF(AND(N3760="REALIZADO",M3760="PENDENTE"),"🟡 EMBARCADO SEM FATURAR",IF(AND(P3760&lt;&gt;"",S3760="",OR(Q3760="",R3760="")),"🟡 PENDÊNCIA SEM RESPONSÁVEL/PRAZO",IF(AND(ISNUMBER(R3760),R3760=TODAY()),"🟡 VENCE HOJE",IF(AND(P3760&lt;&gt;"",S3760=""),"🟡 PENDÊNCIA ABERTA",IF(AND(N(J3760)&gt;0,N(K3760)&lt;J3760),"🟡 FALTA EXECUTAR",IF(OR(M3760="PENDENTE",M3760="PARCIAL"),"🟡 FATURAMENTO PENDENTE","🟡 EMBARQUE PENDENTE")))))))))))</f>
        <v/>
      </c>
      <c r="D3760" s="4" t="n"/>
      <c r="E3760" s="5" t="n"/>
      <c r="F3760" s="5" t="n"/>
      <c r="G3760" s="5" t="n"/>
      <c r="H3760" s="5" t="n"/>
      <c r="I3760" s="5" t="n"/>
      <c r="J3760" s="6" t="n"/>
      <c r="K3760" s="6" t="n"/>
      <c r="L3760" s="7">
        <f>IF(OR(D3760="",N(J3760)=0),"",MIN(1,N(K3760)/J3760))</f>
        <v/>
      </c>
      <c r="M3760" s="5" t="n"/>
      <c r="N3760" s="5" t="n"/>
      <c r="O3760" s="5" t="n"/>
      <c r="P3760" s="5" t="n"/>
      <c r="Q3760" s="5" t="n"/>
      <c r="R3760" s="4" t="n"/>
      <c r="S3760" s="4" t="n"/>
      <c r="T3760" s="5" t="n"/>
      <c r="U3760" s="8">
        <f>IF(AND(V3760=1,D3760&lt;&gt;""),IF(D3760&gt;=corte,TODAY()-D3760,""),"")</f>
        <v/>
      </c>
      <c r="V3760" s="8">
        <f>IF(D3760="",0,IF(OR(AND(P3760&lt;&gt;"",S3760=""),AND(N(J3760)&gt;0,N(K3760)&lt;J3760),OR(M3760="PENDENTE",M3760="PARCIAL"),OR(N3760="PENDENTE",N3760="PARCIAL")),1,0))</f>
        <v/>
      </c>
      <c r="W3760" s="8">
        <f>IF(AND(V3760=1,D3760&lt;&gt;""),IF(D3760&gt;=corte,(B3760="CRÍTICO")*1E9+(100000-D3760)*10000+10000-ROW(),""),"")</f>
        <v/>
      </c>
      <c r="X3760" s="8">
        <f>IF(AND(V3760=1,D3760=pas_data,E3760=pas_turno),10000-ROW(),"")</f>
        <v/>
      </c>
    </row>
    <row r="3761">
      <c r="A3761" s="3">
        <f>IF(D3761="","","TT-"&amp;TEXT(ROW()-1,"00000"))</f>
        <v/>
      </c>
      <c r="B3761" s="3">
        <f>IF(D3761="","",IF(V3761=0,"CONCLUÍDO",IF(D3761&lt;corte,"HISTÓRICO",IF(OR(AND(ISNUMBER(R3761),R3761&lt;TODAY()),AND(OR(N3761="PENDENTE",N3761="PARCIAL"),D3761&lt;TODAY()-1)),"CRÍTICO",IF(OR(AND(P3761&lt;&gt;"",S3761=""),AND(N3761="REALIZADO",M3761="PENDENTE"),AND(ISNUMBER(R3761),R3761=TODAY())),"ATENÇÃO",IF(N(K3761)=0,"PENDENTE","EM ANDAMENTO"))))))</f>
        <v/>
      </c>
      <c r="C3761" s="3">
        <f>IF(D3761="","",IF(V3761=0,"🟢 OK",IF(D3761&lt;corte,"⚪ HISTÓRICO (sem baixa)",IF(AND(ISNUMBER(R3761),R3761&lt;TODAY()),"🔴 PRAZO VENCIDO",IF(AND(OR(N3761="PENDENTE",N3761="PARCIAL"),D3761&lt;TODAY()-1),"🔴 EMBARQUE ATRASADO",IF(AND(N3761="REALIZADO",M3761="PENDENTE"),"🟡 EMBARCADO SEM FATURAR",IF(AND(P3761&lt;&gt;"",S3761="",OR(Q3761="",R3761="")),"🟡 PENDÊNCIA SEM RESPONSÁVEL/PRAZO",IF(AND(ISNUMBER(R3761),R3761=TODAY()),"🟡 VENCE HOJE",IF(AND(P3761&lt;&gt;"",S3761=""),"🟡 PENDÊNCIA ABERTA",IF(AND(N(J3761)&gt;0,N(K3761)&lt;J3761),"🟡 FALTA EXECUTAR",IF(OR(M3761="PENDENTE",M3761="PARCIAL"),"🟡 FATURAMENTO PENDENTE","🟡 EMBARQUE PENDENTE")))))))))))</f>
        <v/>
      </c>
      <c r="D3761" s="4" t="n"/>
      <c r="E3761" s="5" t="n"/>
      <c r="F3761" s="5" t="n"/>
      <c r="G3761" s="5" t="n"/>
      <c r="H3761" s="5" t="n"/>
      <c r="I3761" s="5" t="n"/>
      <c r="J3761" s="6" t="n"/>
      <c r="K3761" s="6" t="n"/>
      <c r="L3761" s="7">
        <f>IF(OR(D3761="",N(J3761)=0),"",MIN(1,N(K3761)/J3761))</f>
        <v/>
      </c>
      <c r="M3761" s="5" t="n"/>
      <c r="N3761" s="5" t="n"/>
      <c r="O3761" s="5" t="n"/>
      <c r="P3761" s="5" t="n"/>
      <c r="Q3761" s="5" t="n"/>
      <c r="R3761" s="4" t="n"/>
      <c r="S3761" s="4" t="n"/>
      <c r="T3761" s="5" t="n"/>
      <c r="U3761" s="8">
        <f>IF(AND(V3761=1,D3761&lt;&gt;""),IF(D3761&gt;=corte,TODAY()-D3761,""),"")</f>
        <v/>
      </c>
      <c r="V3761" s="8">
        <f>IF(D3761="",0,IF(OR(AND(P3761&lt;&gt;"",S3761=""),AND(N(J3761)&gt;0,N(K3761)&lt;J3761),OR(M3761="PENDENTE",M3761="PARCIAL"),OR(N3761="PENDENTE",N3761="PARCIAL")),1,0))</f>
        <v/>
      </c>
      <c r="W3761" s="8">
        <f>IF(AND(V3761=1,D3761&lt;&gt;""),IF(D3761&gt;=corte,(B3761="CRÍTICO")*1E9+(100000-D3761)*10000+10000-ROW(),""),"")</f>
        <v/>
      </c>
      <c r="X3761" s="8">
        <f>IF(AND(V3761=1,D3761=pas_data,E3761=pas_turno),10000-ROW(),"")</f>
        <v/>
      </c>
    </row>
    <row r="3762">
      <c r="A3762" s="3">
        <f>IF(D3762="","","TT-"&amp;TEXT(ROW()-1,"00000"))</f>
        <v/>
      </c>
      <c r="B3762" s="3">
        <f>IF(D3762="","",IF(V3762=0,"CONCLUÍDO",IF(D3762&lt;corte,"HISTÓRICO",IF(OR(AND(ISNUMBER(R3762),R3762&lt;TODAY()),AND(OR(N3762="PENDENTE",N3762="PARCIAL"),D3762&lt;TODAY()-1)),"CRÍTICO",IF(OR(AND(P3762&lt;&gt;"",S3762=""),AND(N3762="REALIZADO",M3762="PENDENTE"),AND(ISNUMBER(R3762),R3762=TODAY())),"ATENÇÃO",IF(N(K3762)=0,"PENDENTE","EM ANDAMENTO"))))))</f>
        <v/>
      </c>
      <c r="C3762" s="3">
        <f>IF(D3762="","",IF(V3762=0,"🟢 OK",IF(D3762&lt;corte,"⚪ HISTÓRICO (sem baixa)",IF(AND(ISNUMBER(R3762),R3762&lt;TODAY()),"🔴 PRAZO VENCIDO",IF(AND(OR(N3762="PENDENTE",N3762="PARCIAL"),D3762&lt;TODAY()-1),"🔴 EMBARQUE ATRASADO",IF(AND(N3762="REALIZADO",M3762="PENDENTE"),"🟡 EMBARCADO SEM FATURAR",IF(AND(P3762&lt;&gt;"",S3762="",OR(Q3762="",R3762="")),"🟡 PENDÊNCIA SEM RESPONSÁVEL/PRAZO",IF(AND(ISNUMBER(R3762),R3762=TODAY()),"🟡 VENCE HOJE",IF(AND(P3762&lt;&gt;"",S3762=""),"🟡 PENDÊNCIA ABERTA",IF(AND(N(J3762)&gt;0,N(K3762)&lt;J3762),"🟡 FALTA EXECUTAR",IF(OR(M3762="PENDENTE",M3762="PARCIAL"),"🟡 FATURAMENTO PENDENTE","🟡 EMBARQUE PENDENTE")))))))))))</f>
        <v/>
      </c>
      <c r="D3762" s="4" t="n"/>
      <c r="E3762" s="5" t="n"/>
      <c r="F3762" s="5" t="n"/>
      <c r="G3762" s="5" t="n"/>
      <c r="H3762" s="5" t="n"/>
      <c r="I3762" s="5" t="n"/>
      <c r="J3762" s="6" t="n"/>
      <c r="K3762" s="6" t="n"/>
      <c r="L3762" s="7">
        <f>IF(OR(D3762="",N(J3762)=0),"",MIN(1,N(K3762)/J3762))</f>
        <v/>
      </c>
      <c r="M3762" s="5" t="n"/>
      <c r="N3762" s="5" t="n"/>
      <c r="O3762" s="5" t="n"/>
      <c r="P3762" s="5" t="n"/>
      <c r="Q3762" s="5" t="n"/>
      <c r="R3762" s="4" t="n"/>
      <c r="S3762" s="4" t="n"/>
      <c r="T3762" s="5" t="n"/>
      <c r="U3762" s="8">
        <f>IF(AND(V3762=1,D3762&lt;&gt;""),IF(D3762&gt;=corte,TODAY()-D3762,""),"")</f>
        <v/>
      </c>
      <c r="V3762" s="8">
        <f>IF(D3762="",0,IF(OR(AND(P3762&lt;&gt;"",S3762=""),AND(N(J3762)&gt;0,N(K3762)&lt;J3762),OR(M3762="PENDENTE",M3762="PARCIAL"),OR(N3762="PENDENTE",N3762="PARCIAL")),1,0))</f>
        <v/>
      </c>
      <c r="W3762" s="8">
        <f>IF(AND(V3762=1,D3762&lt;&gt;""),IF(D3762&gt;=corte,(B3762="CRÍTICO")*1E9+(100000-D3762)*10000+10000-ROW(),""),"")</f>
        <v/>
      </c>
      <c r="X3762" s="8">
        <f>IF(AND(V3762=1,D3762=pas_data,E3762=pas_turno),10000-ROW(),"")</f>
        <v/>
      </c>
    </row>
    <row r="3763">
      <c r="A3763" s="3">
        <f>IF(D3763="","","TT-"&amp;TEXT(ROW()-1,"00000"))</f>
        <v/>
      </c>
      <c r="B3763" s="3">
        <f>IF(D3763="","",IF(V3763=0,"CONCLUÍDO",IF(D3763&lt;corte,"HISTÓRICO",IF(OR(AND(ISNUMBER(R3763),R3763&lt;TODAY()),AND(OR(N3763="PENDENTE",N3763="PARCIAL"),D3763&lt;TODAY()-1)),"CRÍTICO",IF(OR(AND(P3763&lt;&gt;"",S3763=""),AND(N3763="REALIZADO",M3763="PENDENTE"),AND(ISNUMBER(R3763),R3763=TODAY())),"ATENÇÃO",IF(N(K3763)=0,"PENDENTE","EM ANDAMENTO"))))))</f>
        <v/>
      </c>
      <c r="C3763" s="3">
        <f>IF(D3763="","",IF(V3763=0,"🟢 OK",IF(D3763&lt;corte,"⚪ HISTÓRICO (sem baixa)",IF(AND(ISNUMBER(R3763),R3763&lt;TODAY()),"🔴 PRAZO VENCIDO",IF(AND(OR(N3763="PENDENTE",N3763="PARCIAL"),D3763&lt;TODAY()-1),"🔴 EMBARQUE ATRASADO",IF(AND(N3763="REALIZADO",M3763="PENDENTE"),"🟡 EMBARCADO SEM FATURAR",IF(AND(P3763&lt;&gt;"",S3763="",OR(Q3763="",R3763="")),"🟡 PENDÊNCIA SEM RESPONSÁVEL/PRAZO",IF(AND(ISNUMBER(R3763),R3763=TODAY()),"🟡 VENCE HOJE",IF(AND(P3763&lt;&gt;"",S3763=""),"🟡 PENDÊNCIA ABERTA",IF(AND(N(J3763)&gt;0,N(K3763)&lt;J3763),"🟡 FALTA EXECUTAR",IF(OR(M3763="PENDENTE",M3763="PARCIAL"),"🟡 FATURAMENTO PENDENTE","🟡 EMBARQUE PENDENTE")))))))))))</f>
        <v/>
      </c>
      <c r="D3763" s="4" t="n"/>
      <c r="E3763" s="5" t="n"/>
      <c r="F3763" s="5" t="n"/>
      <c r="G3763" s="5" t="n"/>
      <c r="H3763" s="5" t="n"/>
      <c r="I3763" s="5" t="n"/>
      <c r="J3763" s="6" t="n"/>
      <c r="K3763" s="6" t="n"/>
      <c r="L3763" s="7">
        <f>IF(OR(D3763="",N(J3763)=0),"",MIN(1,N(K3763)/J3763))</f>
        <v/>
      </c>
      <c r="M3763" s="5" t="n"/>
      <c r="N3763" s="5" t="n"/>
      <c r="O3763" s="5" t="n"/>
      <c r="P3763" s="5" t="n"/>
      <c r="Q3763" s="5" t="n"/>
      <c r="R3763" s="4" t="n"/>
      <c r="S3763" s="4" t="n"/>
      <c r="T3763" s="5" t="n"/>
      <c r="U3763" s="8">
        <f>IF(AND(V3763=1,D3763&lt;&gt;""),IF(D3763&gt;=corte,TODAY()-D3763,""),"")</f>
        <v/>
      </c>
      <c r="V3763" s="8">
        <f>IF(D3763="",0,IF(OR(AND(P3763&lt;&gt;"",S3763=""),AND(N(J3763)&gt;0,N(K3763)&lt;J3763),OR(M3763="PENDENTE",M3763="PARCIAL"),OR(N3763="PENDENTE",N3763="PARCIAL")),1,0))</f>
        <v/>
      </c>
      <c r="W3763" s="8">
        <f>IF(AND(V3763=1,D3763&lt;&gt;""),IF(D3763&gt;=corte,(B3763="CRÍTICO")*1E9+(100000-D3763)*10000+10000-ROW(),""),"")</f>
        <v/>
      </c>
      <c r="X3763" s="8">
        <f>IF(AND(V3763=1,D3763=pas_data,E3763=pas_turno),10000-ROW(),"")</f>
        <v/>
      </c>
    </row>
    <row r="3764">
      <c r="A3764" s="3">
        <f>IF(D3764="","","TT-"&amp;TEXT(ROW()-1,"00000"))</f>
        <v/>
      </c>
      <c r="B3764" s="3">
        <f>IF(D3764="","",IF(V3764=0,"CONCLUÍDO",IF(D3764&lt;corte,"HISTÓRICO",IF(OR(AND(ISNUMBER(R3764),R3764&lt;TODAY()),AND(OR(N3764="PENDENTE",N3764="PARCIAL"),D3764&lt;TODAY()-1)),"CRÍTICO",IF(OR(AND(P3764&lt;&gt;"",S3764=""),AND(N3764="REALIZADO",M3764="PENDENTE"),AND(ISNUMBER(R3764),R3764=TODAY())),"ATENÇÃO",IF(N(K3764)=0,"PENDENTE","EM ANDAMENTO"))))))</f>
        <v/>
      </c>
      <c r="C3764" s="3">
        <f>IF(D3764="","",IF(V3764=0,"🟢 OK",IF(D3764&lt;corte,"⚪ HISTÓRICO (sem baixa)",IF(AND(ISNUMBER(R3764),R3764&lt;TODAY()),"🔴 PRAZO VENCIDO",IF(AND(OR(N3764="PENDENTE",N3764="PARCIAL"),D3764&lt;TODAY()-1),"🔴 EMBARQUE ATRASADO",IF(AND(N3764="REALIZADO",M3764="PENDENTE"),"🟡 EMBARCADO SEM FATURAR",IF(AND(P3764&lt;&gt;"",S3764="",OR(Q3764="",R3764="")),"🟡 PENDÊNCIA SEM RESPONSÁVEL/PRAZO",IF(AND(ISNUMBER(R3764),R3764=TODAY()),"🟡 VENCE HOJE",IF(AND(P3764&lt;&gt;"",S3764=""),"🟡 PENDÊNCIA ABERTA",IF(AND(N(J3764)&gt;0,N(K3764)&lt;J3764),"🟡 FALTA EXECUTAR",IF(OR(M3764="PENDENTE",M3764="PARCIAL"),"🟡 FATURAMENTO PENDENTE","🟡 EMBARQUE PENDENTE")))))))))))</f>
        <v/>
      </c>
      <c r="D3764" s="4" t="n"/>
      <c r="E3764" s="5" t="n"/>
      <c r="F3764" s="5" t="n"/>
      <c r="G3764" s="5" t="n"/>
      <c r="H3764" s="5" t="n"/>
      <c r="I3764" s="5" t="n"/>
      <c r="J3764" s="6" t="n"/>
      <c r="K3764" s="6" t="n"/>
      <c r="L3764" s="7">
        <f>IF(OR(D3764="",N(J3764)=0),"",MIN(1,N(K3764)/J3764))</f>
        <v/>
      </c>
      <c r="M3764" s="5" t="n"/>
      <c r="N3764" s="5" t="n"/>
      <c r="O3764" s="5" t="n"/>
      <c r="P3764" s="5" t="n"/>
      <c r="Q3764" s="5" t="n"/>
      <c r="R3764" s="4" t="n"/>
      <c r="S3764" s="4" t="n"/>
      <c r="T3764" s="5" t="n"/>
      <c r="U3764" s="8">
        <f>IF(AND(V3764=1,D3764&lt;&gt;""),IF(D3764&gt;=corte,TODAY()-D3764,""),"")</f>
        <v/>
      </c>
      <c r="V3764" s="8">
        <f>IF(D3764="",0,IF(OR(AND(P3764&lt;&gt;"",S3764=""),AND(N(J3764)&gt;0,N(K3764)&lt;J3764),OR(M3764="PENDENTE",M3764="PARCIAL"),OR(N3764="PENDENTE",N3764="PARCIAL")),1,0))</f>
        <v/>
      </c>
      <c r="W3764" s="8">
        <f>IF(AND(V3764=1,D3764&lt;&gt;""),IF(D3764&gt;=corte,(B3764="CRÍTICO")*1E9+(100000-D3764)*10000+10000-ROW(),""),"")</f>
        <v/>
      </c>
      <c r="X3764" s="8">
        <f>IF(AND(V3764=1,D3764=pas_data,E3764=pas_turno),10000-ROW(),"")</f>
        <v/>
      </c>
    </row>
    <row r="3765">
      <c r="A3765" s="3">
        <f>IF(D3765="","","TT-"&amp;TEXT(ROW()-1,"00000"))</f>
        <v/>
      </c>
      <c r="B3765" s="3">
        <f>IF(D3765="","",IF(V3765=0,"CONCLUÍDO",IF(D3765&lt;corte,"HISTÓRICO",IF(OR(AND(ISNUMBER(R3765),R3765&lt;TODAY()),AND(OR(N3765="PENDENTE",N3765="PARCIAL"),D3765&lt;TODAY()-1)),"CRÍTICO",IF(OR(AND(P3765&lt;&gt;"",S3765=""),AND(N3765="REALIZADO",M3765="PENDENTE"),AND(ISNUMBER(R3765),R3765=TODAY())),"ATENÇÃO",IF(N(K3765)=0,"PENDENTE","EM ANDAMENTO"))))))</f>
        <v/>
      </c>
      <c r="C3765" s="3">
        <f>IF(D3765="","",IF(V3765=0,"🟢 OK",IF(D3765&lt;corte,"⚪ HISTÓRICO (sem baixa)",IF(AND(ISNUMBER(R3765),R3765&lt;TODAY()),"🔴 PRAZO VENCIDO",IF(AND(OR(N3765="PENDENTE",N3765="PARCIAL"),D3765&lt;TODAY()-1),"🔴 EMBARQUE ATRASADO",IF(AND(N3765="REALIZADO",M3765="PENDENTE"),"🟡 EMBARCADO SEM FATURAR",IF(AND(P3765&lt;&gt;"",S3765="",OR(Q3765="",R3765="")),"🟡 PENDÊNCIA SEM RESPONSÁVEL/PRAZO",IF(AND(ISNUMBER(R3765),R3765=TODAY()),"🟡 VENCE HOJE",IF(AND(P3765&lt;&gt;"",S3765=""),"🟡 PENDÊNCIA ABERTA",IF(AND(N(J3765)&gt;0,N(K3765)&lt;J3765),"🟡 FALTA EXECUTAR",IF(OR(M3765="PENDENTE",M3765="PARCIAL"),"🟡 FATURAMENTO PENDENTE","🟡 EMBARQUE PENDENTE")))))))))))</f>
        <v/>
      </c>
      <c r="D3765" s="4" t="n"/>
      <c r="E3765" s="5" t="n"/>
      <c r="F3765" s="5" t="n"/>
      <c r="G3765" s="5" t="n"/>
      <c r="H3765" s="5" t="n"/>
      <c r="I3765" s="5" t="n"/>
      <c r="J3765" s="6" t="n"/>
      <c r="K3765" s="6" t="n"/>
      <c r="L3765" s="7">
        <f>IF(OR(D3765="",N(J3765)=0),"",MIN(1,N(K3765)/J3765))</f>
        <v/>
      </c>
      <c r="M3765" s="5" t="n"/>
      <c r="N3765" s="5" t="n"/>
      <c r="O3765" s="5" t="n"/>
      <c r="P3765" s="5" t="n"/>
      <c r="Q3765" s="5" t="n"/>
      <c r="R3765" s="4" t="n"/>
      <c r="S3765" s="4" t="n"/>
      <c r="T3765" s="5" t="n"/>
      <c r="U3765" s="8">
        <f>IF(AND(V3765=1,D3765&lt;&gt;""),IF(D3765&gt;=corte,TODAY()-D3765,""),"")</f>
        <v/>
      </c>
      <c r="V3765" s="8">
        <f>IF(D3765="",0,IF(OR(AND(P3765&lt;&gt;"",S3765=""),AND(N(J3765)&gt;0,N(K3765)&lt;J3765),OR(M3765="PENDENTE",M3765="PARCIAL"),OR(N3765="PENDENTE",N3765="PARCIAL")),1,0))</f>
        <v/>
      </c>
      <c r="W3765" s="8">
        <f>IF(AND(V3765=1,D3765&lt;&gt;""),IF(D3765&gt;=corte,(B3765="CRÍTICO")*1E9+(100000-D3765)*10000+10000-ROW(),""),"")</f>
        <v/>
      </c>
      <c r="X3765" s="8">
        <f>IF(AND(V3765=1,D3765=pas_data,E3765=pas_turno),10000-ROW(),"")</f>
        <v/>
      </c>
    </row>
    <row r="3766">
      <c r="A3766" s="3">
        <f>IF(D3766="","","TT-"&amp;TEXT(ROW()-1,"00000"))</f>
        <v/>
      </c>
      <c r="B3766" s="3">
        <f>IF(D3766="","",IF(V3766=0,"CONCLUÍDO",IF(D3766&lt;corte,"HISTÓRICO",IF(OR(AND(ISNUMBER(R3766),R3766&lt;TODAY()),AND(OR(N3766="PENDENTE",N3766="PARCIAL"),D3766&lt;TODAY()-1)),"CRÍTICO",IF(OR(AND(P3766&lt;&gt;"",S3766=""),AND(N3766="REALIZADO",M3766="PENDENTE"),AND(ISNUMBER(R3766),R3766=TODAY())),"ATENÇÃO",IF(N(K3766)=0,"PENDENTE","EM ANDAMENTO"))))))</f>
        <v/>
      </c>
      <c r="C3766" s="3">
        <f>IF(D3766="","",IF(V3766=0,"🟢 OK",IF(D3766&lt;corte,"⚪ HISTÓRICO (sem baixa)",IF(AND(ISNUMBER(R3766),R3766&lt;TODAY()),"🔴 PRAZO VENCIDO",IF(AND(OR(N3766="PENDENTE",N3766="PARCIAL"),D3766&lt;TODAY()-1),"🔴 EMBARQUE ATRASADO",IF(AND(N3766="REALIZADO",M3766="PENDENTE"),"🟡 EMBARCADO SEM FATURAR",IF(AND(P3766&lt;&gt;"",S3766="",OR(Q3766="",R3766="")),"🟡 PENDÊNCIA SEM RESPONSÁVEL/PRAZO",IF(AND(ISNUMBER(R3766),R3766=TODAY()),"🟡 VENCE HOJE",IF(AND(P3766&lt;&gt;"",S3766=""),"🟡 PENDÊNCIA ABERTA",IF(AND(N(J3766)&gt;0,N(K3766)&lt;J3766),"🟡 FALTA EXECUTAR",IF(OR(M3766="PENDENTE",M3766="PARCIAL"),"🟡 FATURAMENTO PENDENTE","🟡 EMBARQUE PENDENTE")))))))))))</f>
        <v/>
      </c>
      <c r="D3766" s="4" t="n"/>
      <c r="E3766" s="5" t="n"/>
      <c r="F3766" s="5" t="n"/>
      <c r="G3766" s="5" t="n"/>
      <c r="H3766" s="5" t="n"/>
      <c r="I3766" s="5" t="n"/>
      <c r="J3766" s="6" t="n"/>
      <c r="K3766" s="6" t="n"/>
      <c r="L3766" s="7">
        <f>IF(OR(D3766="",N(J3766)=0),"",MIN(1,N(K3766)/J3766))</f>
        <v/>
      </c>
      <c r="M3766" s="5" t="n"/>
      <c r="N3766" s="5" t="n"/>
      <c r="O3766" s="5" t="n"/>
      <c r="P3766" s="5" t="n"/>
      <c r="Q3766" s="5" t="n"/>
      <c r="R3766" s="4" t="n"/>
      <c r="S3766" s="4" t="n"/>
      <c r="T3766" s="5" t="n"/>
      <c r="U3766" s="8">
        <f>IF(AND(V3766=1,D3766&lt;&gt;""),IF(D3766&gt;=corte,TODAY()-D3766,""),"")</f>
        <v/>
      </c>
      <c r="V3766" s="8">
        <f>IF(D3766="",0,IF(OR(AND(P3766&lt;&gt;"",S3766=""),AND(N(J3766)&gt;0,N(K3766)&lt;J3766),OR(M3766="PENDENTE",M3766="PARCIAL"),OR(N3766="PENDENTE",N3766="PARCIAL")),1,0))</f>
        <v/>
      </c>
      <c r="W3766" s="8">
        <f>IF(AND(V3766=1,D3766&lt;&gt;""),IF(D3766&gt;=corte,(B3766="CRÍTICO")*1E9+(100000-D3766)*10000+10000-ROW(),""),"")</f>
        <v/>
      </c>
      <c r="X3766" s="8">
        <f>IF(AND(V3766=1,D3766=pas_data,E3766=pas_turno),10000-ROW(),"")</f>
        <v/>
      </c>
    </row>
    <row r="3767">
      <c r="A3767" s="3">
        <f>IF(D3767="","","TT-"&amp;TEXT(ROW()-1,"00000"))</f>
        <v/>
      </c>
      <c r="B3767" s="3">
        <f>IF(D3767="","",IF(V3767=0,"CONCLUÍDO",IF(D3767&lt;corte,"HISTÓRICO",IF(OR(AND(ISNUMBER(R3767),R3767&lt;TODAY()),AND(OR(N3767="PENDENTE",N3767="PARCIAL"),D3767&lt;TODAY()-1)),"CRÍTICO",IF(OR(AND(P3767&lt;&gt;"",S3767=""),AND(N3767="REALIZADO",M3767="PENDENTE"),AND(ISNUMBER(R3767),R3767=TODAY())),"ATENÇÃO",IF(N(K3767)=0,"PENDENTE","EM ANDAMENTO"))))))</f>
        <v/>
      </c>
      <c r="C3767" s="3">
        <f>IF(D3767="","",IF(V3767=0,"🟢 OK",IF(D3767&lt;corte,"⚪ HISTÓRICO (sem baixa)",IF(AND(ISNUMBER(R3767),R3767&lt;TODAY()),"🔴 PRAZO VENCIDO",IF(AND(OR(N3767="PENDENTE",N3767="PARCIAL"),D3767&lt;TODAY()-1),"🔴 EMBARQUE ATRASADO",IF(AND(N3767="REALIZADO",M3767="PENDENTE"),"🟡 EMBARCADO SEM FATURAR",IF(AND(P3767&lt;&gt;"",S3767="",OR(Q3767="",R3767="")),"🟡 PENDÊNCIA SEM RESPONSÁVEL/PRAZO",IF(AND(ISNUMBER(R3767),R3767=TODAY()),"🟡 VENCE HOJE",IF(AND(P3767&lt;&gt;"",S3767=""),"🟡 PENDÊNCIA ABERTA",IF(AND(N(J3767)&gt;0,N(K3767)&lt;J3767),"🟡 FALTA EXECUTAR",IF(OR(M3767="PENDENTE",M3767="PARCIAL"),"🟡 FATURAMENTO PENDENTE","🟡 EMBARQUE PENDENTE")))))))))))</f>
        <v/>
      </c>
      <c r="D3767" s="4" t="n"/>
      <c r="E3767" s="5" t="n"/>
      <c r="F3767" s="5" t="n"/>
      <c r="G3767" s="5" t="n"/>
      <c r="H3767" s="5" t="n"/>
      <c r="I3767" s="5" t="n"/>
      <c r="J3767" s="6" t="n"/>
      <c r="K3767" s="6" t="n"/>
      <c r="L3767" s="7">
        <f>IF(OR(D3767="",N(J3767)=0),"",MIN(1,N(K3767)/J3767))</f>
        <v/>
      </c>
      <c r="M3767" s="5" t="n"/>
      <c r="N3767" s="5" t="n"/>
      <c r="O3767" s="5" t="n"/>
      <c r="P3767" s="5" t="n"/>
      <c r="Q3767" s="5" t="n"/>
      <c r="R3767" s="4" t="n"/>
      <c r="S3767" s="4" t="n"/>
      <c r="T3767" s="5" t="n"/>
      <c r="U3767" s="8">
        <f>IF(AND(V3767=1,D3767&lt;&gt;""),IF(D3767&gt;=corte,TODAY()-D3767,""),"")</f>
        <v/>
      </c>
      <c r="V3767" s="8">
        <f>IF(D3767="",0,IF(OR(AND(P3767&lt;&gt;"",S3767=""),AND(N(J3767)&gt;0,N(K3767)&lt;J3767),OR(M3767="PENDENTE",M3767="PARCIAL"),OR(N3767="PENDENTE",N3767="PARCIAL")),1,0))</f>
        <v/>
      </c>
      <c r="W3767" s="8">
        <f>IF(AND(V3767=1,D3767&lt;&gt;""),IF(D3767&gt;=corte,(B3767="CRÍTICO")*1E9+(100000-D3767)*10000+10000-ROW(),""),"")</f>
        <v/>
      </c>
      <c r="X3767" s="8">
        <f>IF(AND(V3767=1,D3767=pas_data,E3767=pas_turno),10000-ROW(),"")</f>
        <v/>
      </c>
    </row>
    <row r="3768">
      <c r="A3768" s="3">
        <f>IF(D3768="","","TT-"&amp;TEXT(ROW()-1,"00000"))</f>
        <v/>
      </c>
      <c r="B3768" s="3">
        <f>IF(D3768="","",IF(V3768=0,"CONCLUÍDO",IF(D3768&lt;corte,"HISTÓRICO",IF(OR(AND(ISNUMBER(R3768),R3768&lt;TODAY()),AND(OR(N3768="PENDENTE",N3768="PARCIAL"),D3768&lt;TODAY()-1)),"CRÍTICO",IF(OR(AND(P3768&lt;&gt;"",S3768=""),AND(N3768="REALIZADO",M3768="PENDENTE"),AND(ISNUMBER(R3768),R3768=TODAY())),"ATENÇÃO",IF(N(K3768)=0,"PENDENTE","EM ANDAMENTO"))))))</f>
        <v/>
      </c>
      <c r="C3768" s="3">
        <f>IF(D3768="","",IF(V3768=0,"🟢 OK",IF(D3768&lt;corte,"⚪ HISTÓRICO (sem baixa)",IF(AND(ISNUMBER(R3768),R3768&lt;TODAY()),"🔴 PRAZO VENCIDO",IF(AND(OR(N3768="PENDENTE",N3768="PARCIAL"),D3768&lt;TODAY()-1),"🔴 EMBARQUE ATRASADO",IF(AND(N3768="REALIZADO",M3768="PENDENTE"),"🟡 EMBARCADO SEM FATURAR",IF(AND(P3768&lt;&gt;"",S3768="",OR(Q3768="",R3768="")),"🟡 PENDÊNCIA SEM RESPONSÁVEL/PRAZO",IF(AND(ISNUMBER(R3768),R3768=TODAY()),"🟡 VENCE HOJE",IF(AND(P3768&lt;&gt;"",S3768=""),"🟡 PENDÊNCIA ABERTA",IF(AND(N(J3768)&gt;0,N(K3768)&lt;J3768),"🟡 FALTA EXECUTAR",IF(OR(M3768="PENDENTE",M3768="PARCIAL"),"🟡 FATURAMENTO PENDENTE","🟡 EMBARQUE PENDENTE")))))))))))</f>
        <v/>
      </c>
      <c r="D3768" s="4" t="n"/>
      <c r="E3768" s="5" t="n"/>
      <c r="F3768" s="5" t="n"/>
      <c r="G3768" s="5" t="n"/>
      <c r="H3768" s="5" t="n"/>
      <c r="I3768" s="5" t="n"/>
      <c r="J3768" s="6" t="n"/>
      <c r="K3768" s="6" t="n"/>
      <c r="L3768" s="7">
        <f>IF(OR(D3768="",N(J3768)=0),"",MIN(1,N(K3768)/J3768))</f>
        <v/>
      </c>
      <c r="M3768" s="5" t="n"/>
      <c r="N3768" s="5" t="n"/>
      <c r="O3768" s="5" t="n"/>
      <c r="P3768" s="5" t="n"/>
      <c r="Q3768" s="5" t="n"/>
      <c r="R3768" s="4" t="n"/>
      <c r="S3768" s="4" t="n"/>
      <c r="T3768" s="5" t="n"/>
      <c r="U3768" s="8">
        <f>IF(AND(V3768=1,D3768&lt;&gt;""),IF(D3768&gt;=corte,TODAY()-D3768,""),"")</f>
        <v/>
      </c>
      <c r="V3768" s="8">
        <f>IF(D3768="",0,IF(OR(AND(P3768&lt;&gt;"",S3768=""),AND(N(J3768)&gt;0,N(K3768)&lt;J3768),OR(M3768="PENDENTE",M3768="PARCIAL"),OR(N3768="PENDENTE",N3768="PARCIAL")),1,0))</f>
        <v/>
      </c>
      <c r="W3768" s="8">
        <f>IF(AND(V3768=1,D3768&lt;&gt;""),IF(D3768&gt;=corte,(B3768="CRÍTICO")*1E9+(100000-D3768)*10000+10000-ROW(),""),"")</f>
        <v/>
      </c>
      <c r="X3768" s="8">
        <f>IF(AND(V3768=1,D3768=pas_data,E3768=pas_turno),10000-ROW(),"")</f>
        <v/>
      </c>
    </row>
    <row r="3769">
      <c r="A3769" s="3">
        <f>IF(D3769="","","TT-"&amp;TEXT(ROW()-1,"00000"))</f>
        <v/>
      </c>
      <c r="B3769" s="3">
        <f>IF(D3769="","",IF(V3769=0,"CONCLUÍDO",IF(D3769&lt;corte,"HISTÓRICO",IF(OR(AND(ISNUMBER(R3769),R3769&lt;TODAY()),AND(OR(N3769="PENDENTE",N3769="PARCIAL"),D3769&lt;TODAY()-1)),"CRÍTICO",IF(OR(AND(P3769&lt;&gt;"",S3769=""),AND(N3769="REALIZADO",M3769="PENDENTE"),AND(ISNUMBER(R3769),R3769=TODAY())),"ATENÇÃO",IF(N(K3769)=0,"PENDENTE","EM ANDAMENTO"))))))</f>
        <v/>
      </c>
      <c r="C3769" s="3">
        <f>IF(D3769="","",IF(V3769=0,"🟢 OK",IF(D3769&lt;corte,"⚪ HISTÓRICO (sem baixa)",IF(AND(ISNUMBER(R3769),R3769&lt;TODAY()),"🔴 PRAZO VENCIDO",IF(AND(OR(N3769="PENDENTE",N3769="PARCIAL"),D3769&lt;TODAY()-1),"🔴 EMBARQUE ATRASADO",IF(AND(N3769="REALIZADO",M3769="PENDENTE"),"🟡 EMBARCADO SEM FATURAR",IF(AND(P3769&lt;&gt;"",S3769="",OR(Q3769="",R3769="")),"🟡 PENDÊNCIA SEM RESPONSÁVEL/PRAZO",IF(AND(ISNUMBER(R3769),R3769=TODAY()),"🟡 VENCE HOJE",IF(AND(P3769&lt;&gt;"",S3769=""),"🟡 PENDÊNCIA ABERTA",IF(AND(N(J3769)&gt;0,N(K3769)&lt;J3769),"🟡 FALTA EXECUTAR",IF(OR(M3769="PENDENTE",M3769="PARCIAL"),"🟡 FATURAMENTO PENDENTE","🟡 EMBARQUE PENDENTE")))))))))))</f>
        <v/>
      </c>
      <c r="D3769" s="4" t="n"/>
      <c r="E3769" s="5" t="n"/>
      <c r="F3769" s="5" t="n"/>
      <c r="G3769" s="5" t="n"/>
      <c r="H3769" s="5" t="n"/>
      <c r="I3769" s="5" t="n"/>
      <c r="J3769" s="6" t="n"/>
      <c r="K3769" s="6" t="n"/>
      <c r="L3769" s="7">
        <f>IF(OR(D3769="",N(J3769)=0),"",MIN(1,N(K3769)/J3769))</f>
        <v/>
      </c>
      <c r="M3769" s="5" t="n"/>
      <c r="N3769" s="5" t="n"/>
      <c r="O3769" s="5" t="n"/>
      <c r="P3769" s="5" t="n"/>
      <c r="Q3769" s="5" t="n"/>
      <c r="R3769" s="4" t="n"/>
      <c r="S3769" s="4" t="n"/>
      <c r="T3769" s="5" t="n"/>
      <c r="U3769" s="8">
        <f>IF(AND(V3769=1,D3769&lt;&gt;""),IF(D3769&gt;=corte,TODAY()-D3769,""),"")</f>
        <v/>
      </c>
      <c r="V3769" s="8">
        <f>IF(D3769="",0,IF(OR(AND(P3769&lt;&gt;"",S3769=""),AND(N(J3769)&gt;0,N(K3769)&lt;J3769),OR(M3769="PENDENTE",M3769="PARCIAL"),OR(N3769="PENDENTE",N3769="PARCIAL")),1,0))</f>
        <v/>
      </c>
      <c r="W3769" s="8">
        <f>IF(AND(V3769=1,D3769&lt;&gt;""),IF(D3769&gt;=corte,(B3769="CRÍTICO")*1E9+(100000-D3769)*10000+10000-ROW(),""),"")</f>
        <v/>
      </c>
      <c r="X3769" s="8">
        <f>IF(AND(V3769=1,D3769=pas_data,E3769=pas_turno),10000-ROW(),"")</f>
        <v/>
      </c>
    </row>
    <row r="3770">
      <c r="A3770" s="3">
        <f>IF(D3770="","","TT-"&amp;TEXT(ROW()-1,"00000"))</f>
        <v/>
      </c>
      <c r="B3770" s="3">
        <f>IF(D3770="","",IF(V3770=0,"CONCLUÍDO",IF(D3770&lt;corte,"HISTÓRICO",IF(OR(AND(ISNUMBER(R3770),R3770&lt;TODAY()),AND(OR(N3770="PENDENTE",N3770="PARCIAL"),D3770&lt;TODAY()-1)),"CRÍTICO",IF(OR(AND(P3770&lt;&gt;"",S3770=""),AND(N3770="REALIZADO",M3770="PENDENTE"),AND(ISNUMBER(R3770),R3770=TODAY())),"ATENÇÃO",IF(N(K3770)=0,"PENDENTE","EM ANDAMENTO"))))))</f>
        <v/>
      </c>
      <c r="C3770" s="3">
        <f>IF(D3770="","",IF(V3770=0,"🟢 OK",IF(D3770&lt;corte,"⚪ HISTÓRICO (sem baixa)",IF(AND(ISNUMBER(R3770),R3770&lt;TODAY()),"🔴 PRAZO VENCIDO",IF(AND(OR(N3770="PENDENTE",N3770="PARCIAL"),D3770&lt;TODAY()-1),"🔴 EMBARQUE ATRASADO",IF(AND(N3770="REALIZADO",M3770="PENDENTE"),"🟡 EMBARCADO SEM FATURAR",IF(AND(P3770&lt;&gt;"",S3770="",OR(Q3770="",R3770="")),"🟡 PENDÊNCIA SEM RESPONSÁVEL/PRAZO",IF(AND(ISNUMBER(R3770),R3770=TODAY()),"🟡 VENCE HOJE",IF(AND(P3770&lt;&gt;"",S3770=""),"🟡 PENDÊNCIA ABERTA",IF(AND(N(J3770)&gt;0,N(K3770)&lt;J3770),"🟡 FALTA EXECUTAR",IF(OR(M3770="PENDENTE",M3770="PARCIAL"),"🟡 FATURAMENTO PENDENTE","🟡 EMBARQUE PENDENTE")))))))))))</f>
        <v/>
      </c>
      <c r="D3770" s="4" t="n"/>
      <c r="E3770" s="5" t="n"/>
      <c r="F3770" s="5" t="n"/>
      <c r="G3770" s="5" t="n"/>
      <c r="H3770" s="5" t="n"/>
      <c r="I3770" s="5" t="n"/>
      <c r="J3770" s="6" t="n"/>
      <c r="K3770" s="6" t="n"/>
      <c r="L3770" s="7">
        <f>IF(OR(D3770="",N(J3770)=0),"",MIN(1,N(K3770)/J3770))</f>
        <v/>
      </c>
      <c r="M3770" s="5" t="n"/>
      <c r="N3770" s="5" t="n"/>
      <c r="O3770" s="5" t="n"/>
      <c r="P3770" s="5" t="n"/>
      <c r="Q3770" s="5" t="n"/>
      <c r="R3770" s="4" t="n"/>
      <c r="S3770" s="4" t="n"/>
      <c r="T3770" s="5" t="n"/>
      <c r="U3770" s="8">
        <f>IF(AND(V3770=1,D3770&lt;&gt;""),IF(D3770&gt;=corte,TODAY()-D3770,""),"")</f>
        <v/>
      </c>
      <c r="V3770" s="8">
        <f>IF(D3770="",0,IF(OR(AND(P3770&lt;&gt;"",S3770=""),AND(N(J3770)&gt;0,N(K3770)&lt;J3770),OR(M3770="PENDENTE",M3770="PARCIAL"),OR(N3770="PENDENTE",N3770="PARCIAL")),1,0))</f>
        <v/>
      </c>
      <c r="W3770" s="8">
        <f>IF(AND(V3770=1,D3770&lt;&gt;""),IF(D3770&gt;=corte,(B3770="CRÍTICO")*1E9+(100000-D3770)*10000+10000-ROW(),""),"")</f>
        <v/>
      </c>
      <c r="X3770" s="8">
        <f>IF(AND(V3770=1,D3770=pas_data,E3770=pas_turno),10000-ROW(),"")</f>
        <v/>
      </c>
    </row>
    <row r="3771">
      <c r="A3771" s="3">
        <f>IF(D3771="","","TT-"&amp;TEXT(ROW()-1,"00000"))</f>
        <v/>
      </c>
      <c r="B3771" s="3">
        <f>IF(D3771="","",IF(V3771=0,"CONCLUÍDO",IF(D3771&lt;corte,"HISTÓRICO",IF(OR(AND(ISNUMBER(R3771),R3771&lt;TODAY()),AND(OR(N3771="PENDENTE",N3771="PARCIAL"),D3771&lt;TODAY()-1)),"CRÍTICO",IF(OR(AND(P3771&lt;&gt;"",S3771=""),AND(N3771="REALIZADO",M3771="PENDENTE"),AND(ISNUMBER(R3771),R3771=TODAY())),"ATENÇÃO",IF(N(K3771)=0,"PENDENTE","EM ANDAMENTO"))))))</f>
        <v/>
      </c>
      <c r="C3771" s="3">
        <f>IF(D3771="","",IF(V3771=0,"🟢 OK",IF(D3771&lt;corte,"⚪ HISTÓRICO (sem baixa)",IF(AND(ISNUMBER(R3771),R3771&lt;TODAY()),"🔴 PRAZO VENCIDO",IF(AND(OR(N3771="PENDENTE",N3771="PARCIAL"),D3771&lt;TODAY()-1),"🔴 EMBARQUE ATRASADO",IF(AND(N3771="REALIZADO",M3771="PENDENTE"),"🟡 EMBARCADO SEM FATURAR",IF(AND(P3771&lt;&gt;"",S3771="",OR(Q3771="",R3771="")),"🟡 PENDÊNCIA SEM RESPONSÁVEL/PRAZO",IF(AND(ISNUMBER(R3771),R3771=TODAY()),"🟡 VENCE HOJE",IF(AND(P3771&lt;&gt;"",S3771=""),"🟡 PENDÊNCIA ABERTA",IF(AND(N(J3771)&gt;0,N(K3771)&lt;J3771),"🟡 FALTA EXECUTAR",IF(OR(M3771="PENDENTE",M3771="PARCIAL"),"🟡 FATURAMENTO PENDENTE","🟡 EMBARQUE PENDENTE")))))))))))</f>
        <v/>
      </c>
      <c r="D3771" s="4" t="n"/>
      <c r="E3771" s="5" t="n"/>
      <c r="F3771" s="5" t="n"/>
      <c r="G3771" s="5" t="n"/>
      <c r="H3771" s="5" t="n"/>
      <c r="I3771" s="5" t="n"/>
      <c r="J3771" s="6" t="n"/>
      <c r="K3771" s="6" t="n"/>
      <c r="L3771" s="7">
        <f>IF(OR(D3771="",N(J3771)=0),"",MIN(1,N(K3771)/J3771))</f>
        <v/>
      </c>
      <c r="M3771" s="5" t="n"/>
      <c r="N3771" s="5" t="n"/>
      <c r="O3771" s="5" t="n"/>
      <c r="P3771" s="5" t="n"/>
      <c r="Q3771" s="5" t="n"/>
      <c r="R3771" s="4" t="n"/>
      <c r="S3771" s="4" t="n"/>
      <c r="T3771" s="5" t="n"/>
      <c r="U3771" s="8">
        <f>IF(AND(V3771=1,D3771&lt;&gt;""),IF(D3771&gt;=corte,TODAY()-D3771,""),"")</f>
        <v/>
      </c>
      <c r="V3771" s="8">
        <f>IF(D3771="",0,IF(OR(AND(P3771&lt;&gt;"",S3771=""),AND(N(J3771)&gt;0,N(K3771)&lt;J3771),OR(M3771="PENDENTE",M3771="PARCIAL"),OR(N3771="PENDENTE",N3771="PARCIAL")),1,0))</f>
        <v/>
      </c>
      <c r="W3771" s="8">
        <f>IF(AND(V3771=1,D3771&lt;&gt;""),IF(D3771&gt;=corte,(B3771="CRÍTICO")*1E9+(100000-D3771)*10000+10000-ROW(),""),"")</f>
        <v/>
      </c>
      <c r="X3771" s="8">
        <f>IF(AND(V3771=1,D3771=pas_data,E3771=pas_turno),10000-ROW(),"")</f>
        <v/>
      </c>
    </row>
    <row r="3772">
      <c r="A3772" s="3">
        <f>IF(D3772="","","TT-"&amp;TEXT(ROW()-1,"00000"))</f>
        <v/>
      </c>
      <c r="B3772" s="3">
        <f>IF(D3772="","",IF(V3772=0,"CONCLUÍDO",IF(D3772&lt;corte,"HISTÓRICO",IF(OR(AND(ISNUMBER(R3772),R3772&lt;TODAY()),AND(OR(N3772="PENDENTE",N3772="PARCIAL"),D3772&lt;TODAY()-1)),"CRÍTICO",IF(OR(AND(P3772&lt;&gt;"",S3772=""),AND(N3772="REALIZADO",M3772="PENDENTE"),AND(ISNUMBER(R3772),R3772=TODAY())),"ATENÇÃO",IF(N(K3772)=0,"PENDENTE","EM ANDAMENTO"))))))</f>
        <v/>
      </c>
      <c r="C3772" s="3">
        <f>IF(D3772="","",IF(V3772=0,"🟢 OK",IF(D3772&lt;corte,"⚪ HISTÓRICO (sem baixa)",IF(AND(ISNUMBER(R3772),R3772&lt;TODAY()),"🔴 PRAZO VENCIDO",IF(AND(OR(N3772="PENDENTE",N3772="PARCIAL"),D3772&lt;TODAY()-1),"🔴 EMBARQUE ATRASADO",IF(AND(N3772="REALIZADO",M3772="PENDENTE"),"🟡 EMBARCADO SEM FATURAR",IF(AND(P3772&lt;&gt;"",S3772="",OR(Q3772="",R3772="")),"🟡 PENDÊNCIA SEM RESPONSÁVEL/PRAZO",IF(AND(ISNUMBER(R3772),R3772=TODAY()),"🟡 VENCE HOJE",IF(AND(P3772&lt;&gt;"",S3772=""),"🟡 PENDÊNCIA ABERTA",IF(AND(N(J3772)&gt;0,N(K3772)&lt;J3772),"🟡 FALTA EXECUTAR",IF(OR(M3772="PENDENTE",M3772="PARCIAL"),"🟡 FATURAMENTO PENDENTE","🟡 EMBARQUE PENDENTE")))))))))))</f>
        <v/>
      </c>
      <c r="D3772" s="4" t="n"/>
      <c r="E3772" s="5" t="n"/>
      <c r="F3772" s="5" t="n"/>
      <c r="G3772" s="5" t="n"/>
      <c r="H3772" s="5" t="n"/>
      <c r="I3772" s="5" t="n"/>
      <c r="J3772" s="6" t="n"/>
      <c r="K3772" s="6" t="n"/>
      <c r="L3772" s="7">
        <f>IF(OR(D3772="",N(J3772)=0),"",MIN(1,N(K3772)/J3772))</f>
        <v/>
      </c>
      <c r="M3772" s="5" t="n"/>
      <c r="N3772" s="5" t="n"/>
      <c r="O3772" s="5" t="n"/>
      <c r="P3772" s="5" t="n"/>
      <c r="Q3772" s="5" t="n"/>
      <c r="R3772" s="4" t="n"/>
      <c r="S3772" s="4" t="n"/>
      <c r="T3772" s="5" t="n"/>
      <c r="U3772" s="8">
        <f>IF(AND(V3772=1,D3772&lt;&gt;""),IF(D3772&gt;=corte,TODAY()-D3772,""),"")</f>
        <v/>
      </c>
      <c r="V3772" s="8">
        <f>IF(D3772="",0,IF(OR(AND(P3772&lt;&gt;"",S3772=""),AND(N(J3772)&gt;0,N(K3772)&lt;J3772),OR(M3772="PENDENTE",M3772="PARCIAL"),OR(N3772="PENDENTE",N3772="PARCIAL")),1,0))</f>
        <v/>
      </c>
      <c r="W3772" s="8">
        <f>IF(AND(V3772=1,D3772&lt;&gt;""),IF(D3772&gt;=corte,(B3772="CRÍTICO")*1E9+(100000-D3772)*10000+10000-ROW(),""),"")</f>
        <v/>
      </c>
      <c r="X3772" s="8">
        <f>IF(AND(V3772=1,D3772=pas_data,E3772=pas_turno),10000-ROW(),"")</f>
        <v/>
      </c>
    </row>
    <row r="3773">
      <c r="A3773" s="3">
        <f>IF(D3773="","","TT-"&amp;TEXT(ROW()-1,"00000"))</f>
        <v/>
      </c>
      <c r="B3773" s="3">
        <f>IF(D3773="","",IF(V3773=0,"CONCLUÍDO",IF(D3773&lt;corte,"HISTÓRICO",IF(OR(AND(ISNUMBER(R3773),R3773&lt;TODAY()),AND(OR(N3773="PENDENTE",N3773="PARCIAL"),D3773&lt;TODAY()-1)),"CRÍTICO",IF(OR(AND(P3773&lt;&gt;"",S3773=""),AND(N3773="REALIZADO",M3773="PENDENTE"),AND(ISNUMBER(R3773),R3773=TODAY())),"ATENÇÃO",IF(N(K3773)=0,"PENDENTE","EM ANDAMENTO"))))))</f>
        <v/>
      </c>
      <c r="C3773" s="3">
        <f>IF(D3773="","",IF(V3773=0,"🟢 OK",IF(D3773&lt;corte,"⚪ HISTÓRICO (sem baixa)",IF(AND(ISNUMBER(R3773),R3773&lt;TODAY()),"🔴 PRAZO VENCIDO",IF(AND(OR(N3773="PENDENTE",N3773="PARCIAL"),D3773&lt;TODAY()-1),"🔴 EMBARQUE ATRASADO",IF(AND(N3773="REALIZADO",M3773="PENDENTE"),"🟡 EMBARCADO SEM FATURAR",IF(AND(P3773&lt;&gt;"",S3773="",OR(Q3773="",R3773="")),"🟡 PENDÊNCIA SEM RESPONSÁVEL/PRAZO",IF(AND(ISNUMBER(R3773),R3773=TODAY()),"🟡 VENCE HOJE",IF(AND(P3773&lt;&gt;"",S3773=""),"🟡 PENDÊNCIA ABERTA",IF(AND(N(J3773)&gt;0,N(K3773)&lt;J3773),"🟡 FALTA EXECUTAR",IF(OR(M3773="PENDENTE",M3773="PARCIAL"),"🟡 FATURAMENTO PENDENTE","🟡 EMBARQUE PENDENTE")))))))))))</f>
        <v/>
      </c>
      <c r="D3773" s="4" t="n"/>
      <c r="E3773" s="5" t="n"/>
      <c r="F3773" s="5" t="n"/>
      <c r="G3773" s="5" t="n"/>
      <c r="H3773" s="5" t="n"/>
      <c r="I3773" s="5" t="n"/>
      <c r="J3773" s="6" t="n"/>
      <c r="K3773" s="6" t="n"/>
      <c r="L3773" s="7">
        <f>IF(OR(D3773="",N(J3773)=0),"",MIN(1,N(K3773)/J3773))</f>
        <v/>
      </c>
      <c r="M3773" s="5" t="n"/>
      <c r="N3773" s="5" t="n"/>
      <c r="O3773" s="5" t="n"/>
      <c r="P3773" s="5" t="n"/>
      <c r="Q3773" s="5" t="n"/>
      <c r="R3773" s="4" t="n"/>
      <c r="S3773" s="4" t="n"/>
      <c r="T3773" s="5" t="n"/>
      <c r="U3773" s="8">
        <f>IF(AND(V3773=1,D3773&lt;&gt;""),IF(D3773&gt;=corte,TODAY()-D3773,""),"")</f>
        <v/>
      </c>
      <c r="V3773" s="8">
        <f>IF(D3773="",0,IF(OR(AND(P3773&lt;&gt;"",S3773=""),AND(N(J3773)&gt;0,N(K3773)&lt;J3773),OR(M3773="PENDENTE",M3773="PARCIAL"),OR(N3773="PENDENTE",N3773="PARCIAL")),1,0))</f>
        <v/>
      </c>
      <c r="W3773" s="8">
        <f>IF(AND(V3773=1,D3773&lt;&gt;""),IF(D3773&gt;=corte,(B3773="CRÍTICO")*1E9+(100000-D3773)*10000+10000-ROW(),""),"")</f>
        <v/>
      </c>
      <c r="X3773" s="8">
        <f>IF(AND(V3773=1,D3773=pas_data,E3773=pas_turno),10000-ROW(),"")</f>
        <v/>
      </c>
    </row>
    <row r="3774">
      <c r="A3774" s="3">
        <f>IF(D3774="","","TT-"&amp;TEXT(ROW()-1,"00000"))</f>
        <v/>
      </c>
      <c r="B3774" s="3">
        <f>IF(D3774="","",IF(V3774=0,"CONCLUÍDO",IF(D3774&lt;corte,"HISTÓRICO",IF(OR(AND(ISNUMBER(R3774),R3774&lt;TODAY()),AND(OR(N3774="PENDENTE",N3774="PARCIAL"),D3774&lt;TODAY()-1)),"CRÍTICO",IF(OR(AND(P3774&lt;&gt;"",S3774=""),AND(N3774="REALIZADO",M3774="PENDENTE"),AND(ISNUMBER(R3774),R3774=TODAY())),"ATENÇÃO",IF(N(K3774)=0,"PENDENTE","EM ANDAMENTO"))))))</f>
        <v/>
      </c>
      <c r="C3774" s="3">
        <f>IF(D3774="","",IF(V3774=0,"🟢 OK",IF(D3774&lt;corte,"⚪ HISTÓRICO (sem baixa)",IF(AND(ISNUMBER(R3774),R3774&lt;TODAY()),"🔴 PRAZO VENCIDO",IF(AND(OR(N3774="PENDENTE",N3774="PARCIAL"),D3774&lt;TODAY()-1),"🔴 EMBARQUE ATRASADO",IF(AND(N3774="REALIZADO",M3774="PENDENTE"),"🟡 EMBARCADO SEM FATURAR",IF(AND(P3774&lt;&gt;"",S3774="",OR(Q3774="",R3774="")),"🟡 PENDÊNCIA SEM RESPONSÁVEL/PRAZO",IF(AND(ISNUMBER(R3774),R3774=TODAY()),"🟡 VENCE HOJE",IF(AND(P3774&lt;&gt;"",S3774=""),"🟡 PENDÊNCIA ABERTA",IF(AND(N(J3774)&gt;0,N(K3774)&lt;J3774),"🟡 FALTA EXECUTAR",IF(OR(M3774="PENDENTE",M3774="PARCIAL"),"🟡 FATURAMENTO PENDENTE","🟡 EMBARQUE PENDENTE")))))))))))</f>
        <v/>
      </c>
      <c r="D3774" s="4" t="n"/>
      <c r="E3774" s="5" t="n"/>
      <c r="F3774" s="5" t="n"/>
      <c r="G3774" s="5" t="n"/>
      <c r="H3774" s="5" t="n"/>
      <c r="I3774" s="5" t="n"/>
      <c r="J3774" s="6" t="n"/>
      <c r="K3774" s="6" t="n"/>
      <c r="L3774" s="7">
        <f>IF(OR(D3774="",N(J3774)=0),"",MIN(1,N(K3774)/J3774))</f>
        <v/>
      </c>
      <c r="M3774" s="5" t="n"/>
      <c r="N3774" s="5" t="n"/>
      <c r="O3774" s="5" t="n"/>
      <c r="P3774" s="5" t="n"/>
      <c r="Q3774" s="5" t="n"/>
      <c r="R3774" s="4" t="n"/>
      <c r="S3774" s="4" t="n"/>
      <c r="T3774" s="5" t="n"/>
      <c r="U3774" s="8">
        <f>IF(AND(V3774=1,D3774&lt;&gt;""),IF(D3774&gt;=corte,TODAY()-D3774,""),"")</f>
        <v/>
      </c>
      <c r="V3774" s="8">
        <f>IF(D3774="",0,IF(OR(AND(P3774&lt;&gt;"",S3774=""),AND(N(J3774)&gt;0,N(K3774)&lt;J3774),OR(M3774="PENDENTE",M3774="PARCIAL"),OR(N3774="PENDENTE",N3774="PARCIAL")),1,0))</f>
        <v/>
      </c>
      <c r="W3774" s="8">
        <f>IF(AND(V3774=1,D3774&lt;&gt;""),IF(D3774&gt;=corte,(B3774="CRÍTICO")*1E9+(100000-D3774)*10000+10000-ROW(),""),"")</f>
        <v/>
      </c>
      <c r="X3774" s="8">
        <f>IF(AND(V3774=1,D3774=pas_data,E3774=pas_turno),10000-ROW(),"")</f>
        <v/>
      </c>
    </row>
    <row r="3775">
      <c r="A3775" s="3">
        <f>IF(D3775="","","TT-"&amp;TEXT(ROW()-1,"00000"))</f>
        <v/>
      </c>
      <c r="B3775" s="3">
        <f>IF(D3775="","",IF(V3775=0,"CONCLUÍDO",IF(D3775&lt;corte,"HISTÓRICO",IF(OR(AND(ISNUMBER(R3775),R3775&lt;TODAY()),AND(OR(N3775="PENDENTE",N3775="PARCIAL"),D3775&lt;TODAY()-1)),"CRÍTICO",IF(OR(AND(P3775&lt;&gt;"",S3775=""),AND(N3775="REALIZADO",M3775="PENDENTE"),AND(ISNUMBER(R3775),R3775=TODAY())),"ATENÇÃO",IF(N(K3775)=0,"PENDENTE","EM ANDAMENTO"))))))</f>
        <v/>
      </c>
      <c r="C3775" s="3">
        <f>IF(D3775="","",IF(V3775=0,"🟢 OK",IF(D3775&lt;corte,"⚪ HISTÓRICO (sem baixa)",IF(AND(ISNUMBER(R3775),R3775&lt;TODAY()),"🔴 PRAZO VENCIDO",IF(AND(OR(N3775="PENDENTE",N3775="PARCIAL"),D3775&lt;TODAY()-1),"🔴 EMBARQUE ATRASADO",IF(AND(N3775="REALIZADO",M3775="PENDENTE"),"🟡 EMBARCADO SEM FATURAR",IF(AND(P3775&lt;&gt;"",S3775="",OR(Q3775="",R3775="")),"🟡 PENDÊNCIA SEM RESPONSÁVEL/PRAZO",IF(AND(ISNUMBER(R3775),R3775=TODAY()),"🟡 VENCE HOJE",IF(AND(P3775&lt;&gt;"",S3775=""),"🟡 PENDÊNCIA ABERTA",IF(AND(N(J3775)&gt;0,N(K3775)&lt;J3775),"🟡 FALTA EXECUTAR",IF(OR(M3775="PENDENTE",M3775="PARCIAL"),"🟡 FATURAMENTO PENDENTE","🟡 EMBARQUE PENDENTE")))))))))))</f>
        <v/>
      </c>
      <c r="D3775" s="4" t="n"/>
      <c r="E3775" s="5" t="n"/>
      <c r="F3775" s="5" t="n"/>
      <c r="G3775" s="5" t="n"/>
      <c r="H3775" s="5" t="n"/>
      <c r="I3775" s="5" t="n"/>
      <c r="J3775" s="6" t="n"/>
      <c r="K3775" s="6" t="n"/>
      <c r="L3775" s="7">
        <f>IF(OR(D3775="",N(J3775)=0),"",MIN(1,N(K3775)/J3775))</f>
        <v/>
      </c>
      <c r="M3775" s="5" t="n"/>
      <c r="N3775" s="5" t="n"/>
      <c r="O3775" s="5" t="n"/>
      <c r="P3775" s="5" t="n"/>
      <c r="Q3775" s="5" t="n"/>
      <c r="R3775" s="4" t="n"/>
      <c r="S3775" s="4" t="n"/>
      <c r="T3775" s="5" t="n"/>
      <c r="U3775" s="8">
        <f>IF(AND(V3775=1,D3775&lt;&gt;""),IF(D3775&gt;=corte,TODAY()-D3775,""),"")</f>
        <v/>
      </c>
      <c r="V3775" s="8">
        <f>IF(D3775="",0,IF(OR(AND(P3775&lt;&gt;"",S3775=""),AND(N(J3775)&gt;0,N(K3775)&lt;J3775),OR(M3775="PENDENTE",M3775="PARCIAL"),OR(N3775="PENDENTE",N3775="PARCIAL")),1,0))</f>
        <v/>
      </c>
      <c r="W3775" s="8">
        <f>IF(AND(V3775=1,D3775&lt;&gt;""),IF(D3775&gt;=corte,(B3775="CRÍTICO")*1E9+(100000-D3775)*10000+10000-ROW(),""),"")</f>
        <v/>
      </c>
      <c r="X3775" s="8">
        <f>IF(AND(V3775=1,D3775=pas_data,E3775=pas_turno),10000-ROW(),"")</f>
        <v/>
      </c>
    </row>
    <row r="3776">
      <c r="A3776" s="3">
        <f>IF(D3776="","","TT-"&amp;TEXT(ROW()-1,"00000"))</f>
        <v/>
      </c>
      <c r="B3776" s="3">
        <f>IF(D3776="","",IF(V3776=0,"CONCLUÍDO",IF(D3776&lt;corte,"HISTÓRICO",IF(OR(AND(ISNUMBER(R3776),R3776&lt;TODAY()),AND(OR(N3776="PENDENTE",N3776="PARCIAL"),D3776&lt;TODAY()-1)),"CRÍTICO",IF(OR(AND(P3776&lt;&gt;"",S3776=""),AND(N3776="REALIZADO",M3776="PENDENTE"),AND(ISNUMBER(R3776),R3776=TODAY())),"ATENÇÃO",IF(N(K3776)=0,"PENDENTE","EM ANDAMENTO"))))))</f>
        <v/>
      </c>
      <c r="C3776" s="3">
        <f>IF(D3776="","",IF(V3776=0,"🟢 OK",IF(D3776&lt;corte,"⚪ HISTÓRICO (sem baixa)",IF(AND(ISNUMBER(R3776),R3776&lt;TODAY()),"🔴 PRAZO VENCIDO",IF(AND(OR(N3776="PENDENTE",N3776="PARCIAL"),D3776&lt;TODAY()-1),"🔴 EMBARQUE ATRASADO",IF(AND(N3776="REALIZADO",M3776="PENDENTE"),"🟡 EMBARCADO SEM FATURAR",IF(AND(P3776&lt;&gt;"",S3776="",OR(Q3776="",R3776="")),"🟡 PENDÊNCIA SEM RESPONSÁVEL/PRAZO",IF(AND(ISNUMBER(R3776),R3776=TODAY()),"🟡 VENCE HOJE",IF(AND(P3776&lt;&gt;"",S3776=""),"🟡 PENDÊNCIA ABERTA",IF(AND(N(J3776)&gt;0,N(K3776)&lt;J3776),"🟡 FALTA EXECUTAR",IF(OR(M3776="PENDENTE",M3776="PARCIAL"),"🟡 FATURAMENTO PENDENTE","🟡 EMBARQUE PENDENTE")))))))))))</f>
        <v/>
      </c>
      <c r="D3776" s="4" t="n"/>
      <c r="E3776" s="5" t="n"/>
      <c r="F3776" s="5" t="n"/>
      <c r="G3776" s="5" t="n"/>
      <c r="H3776" s="5" t="n"/>
      <c r="I3776" s="5" t="n"/>
      <c r="J3776" s="6" t="n"/>
      <c r="K3776" s="6" t="n"/>
      <c r="L3776" s="7">
        <f>IF(OR(D3776="",N(J3776)=0),"",MIN(1,N(K3776)/J3776))</f>
        <v/>
      </c>
      <c r="M3776" s="5" t="n"/>
      <c r="N3776" s="5" t="n"/>
      <c r="O3776" s="5" t="n"/>
      <c r="P3776" s="5" t="n"/>
      <c r="Q3776" s="5" t="n"/>
      <c r="R3776" s="4" t="n"/>
      <c r="S3776" s="4" t="n"/>
      <c r="T3776" s="5" t="n"/>
      <c r="U3776" s="8">
        <f>IF(AND(V3776=1,D3776&lt;&gt;""),IF(D3776&gt;=corte,TODAY()-D3776,""),"")</f>
        <v/>
      </c>
      <c r="V3776" s="8">
        <f>IF(D3776="",0,IF(OR(AND(P3776&lt;&gt;"",S3776=""),AND(N(J3776)&gt;0,N(K3776)&lt;J3776),OR(M3776="PENDENTE",M3776="PARCIAL"),OR(N3776="PENDENTE",N3776="PARCIAL")),1,0))</f>
        <v/>
      </c>
      <c r="W3776" s="8">
        <f>IF(AND(V3776=1,D3776&lt;&gt;""),IF(D3776&gt;=corte,(B3776="CRÍTICO")*1E9+(100000-D3776)*10000+10000-ROW(),""),"")</f>
        <v/>
      </c>
      <c r="X3776" s="8">
        <f>IF(AND(V3776=1,D3776=pas_data,E3776=pas_turno),10000-ROW(),"")</f>
        <v/>
      </c>
    </row>
    <row r="3777">
      <c r="A3777" s="3">
        <f>IF(D3777="","","TT-"&amp;TEXT(ROW()-1,"00000"))</f>
        <v/>
      </c>
      <c r="B3777" s="3">
        <f>IF(D3777="","",IF(V3777=0,"CONCLUÍDO",IF(D3777&lt;corte,"HISTÓRICO",IF(OR(AND(ISNUMBER(R3777),R3777&lt;TODAY()),AND(OR(N3777="PENDENTE",N3777="PARCIAL"),D3777&lt;TODAY()-1)),"CRÍTICO",IF(OR(AND(P3777&lt;&gt;"",S3777=""),AND(N3777="REALIZADO",M3777="PENDENTE"),AND(ISNUMBER(R3777),R3777=TODAY())),"ATENÇÃO",IF(N(K3777)=0,"PENDENTE","EM ANDAMENTO"))))))</f>
        <v/>
      </c>
      <c r="C3777" s="3">
        <f>IF(D3777="","",IF(V3777=0,"🟢 OK",IF(D3777&lt;corte,"⚪ HISTÓRICO (sem baixa)",IF(AND(ISNUMBER(R3777),R3777&lt;TODAY()),"🔴 PRAZO VENCIDO",IF(AND(OR(N3777="PENDENTE",N3777="PARCIAL"),D3777&lt;TODAY()-1),"🔴 EMBARQUE ATRASADO",IF(AND(N3777="REALIZADO",M3777="PENDENTE"),"🟡 EMBARCADO SEM FATURAR",IF(AND(P3777&lt;&gt;"",S3777="",OR(Q3777="",R3777="")),"🟡 PENDÊNCIA SEM RESPONSÁVEL/PRAZO",IF(AND(ISNUMBER(R3777),R3777=TODAY()),"🟡 VENCE HOJE",IF(AND(P3777&lt;&gt;"",S3777=""),"🟡 PENDÊNCIA ABERTA",IF(AND(N(J3777)&gt;0,N(K3777)&lt;J3777),"🟡 FALTA EXECUTAR",IF(OR(M3777="PENDENTE",M3777="PARCIAL"),"🟡 FATURAMENTO PENDENTE","🟡 EMBARQUE PENDENTE")))))))))))</f>
        <v/>
      </c>
      <c r="D3777" s="4" t="n"/>
      <c r="E3777" s="5" t="n"/>
      <c r="F3777" s="5" t="n"/>
      <c r="G3777" s="5" t="n"/>
      <c r="H3777" s="5" t="n"/>
      <c r="I3777" s="5" t="n"/>
      <c r="J3777" s="6" t="n"/>
      <c r="K3777" s="6" t="n"/>
      <c r="L3777" s="7">
        <f>IF(OR(D3777="",N(J3777)=0),"",MIN(1,N(K3777)/J3777))</f>
        <v/>
      </c>
      <c r="M3777" s="5" t="n"/>
      <c r="N3777" s="5" t="n"/>
      <c r="O3777" s="5" t="n"/>
      <c r="P3777" s="5" t="n"/>
      <c r="Q3777" s="5" t="n"/>
      <c r="R3777" s="4" t="n"/>
      <c r="S3777" s="4" t="n"/>
      <c r="T3777" s="5" t="n"/>
      <c r="U3777" s="8">
        <f>IF(AND(V3777=1,D3777&lt;&gt;""),IF(D3777&gt;=corte,TODAY()-D3777,""),"")</f>
        <v/>
      </c>
      <c r="V3777" s="8">
        <f>IF(D3777="",0,IF(OR(AND(P3777&lt;&gt;"",S3777=""),AND(N(J3777)&gt;0,N(K3777)&lt;J3777),OR(M3777="PENDENTE",M3777="PARCIAL"),OR(N3777="PENDENTE",N3777="PARCIAL")),1,0))</f>
        <v/>
      </c>
      <c r="W3777" s="8">
        <f>IF(AND(V3777=1,D3777&lt;&gt;""),IF(D3777&gt;=corte,(B3777="CRÍTICO")*1E9+(100000-D3777)*10000+10000-ROW(),""),"")</f>
        <v/>
      </c>
      <c r="X3777" s="8">
        <f>IF(AND(V3777=1,D3777=pas_data,E3777=pas_turno),10000-ROW(),"")</f>
        <v/>
      </c>
    </row>
    <row r="3778">
      <c r="A3778" s="3">
        <f>IF(D3778="","","TT-"&amp;TEXT(ROW()-1,"00000"))</f>
        <v/>
      </c>
      <c r="B3778" s="3">
        <f>IF(D3778="","",IF(V3778=0,"CONCLUÍDO",IF(D3778&lt;corte,"HISTÓRICO",IF(OR(AND(ISNUMBER(R3778),R3778&lt;TODAY()),AND(OR(N3778="PENDENTE",N3778="PARCIAL"),D3778&lt;TODAY()-1)),"CRÍTICO",IF(OR(AND(P3778&lt;&gt;"",S3778=""),AND(N3778="REALIZADO",M3778="PENDENTE"),AND(ISNUMBER(R3778),R3778=TODAY())),"ATENÇÃO",IF(N(K3778)=0,"PENDENTE","EM ANDAMENTO"))))))</f>
        <v/>
      </c>
      <c r="C3778" s="3">
        <f>IF(D3778="","",IF(V3778=0,"🟢 OK",IF(D3778&lt;corte,"⚪ HISTÓRICO (sem baixa)",IF(AND(ISNUMBER(R3778),R3778&lt;TODAY()),"🔴 PRAZO VENCIDO",IF(AND(OR(N3778="PENDENTE",N3778="PARCIAL"),D3778&lt;TODAY()-1),"🔴 EMBARQUE ATRASADO",IF(AND(N3778="REALIZADO",M3778="PENDENTE"),"🟡 EMBARCADO SEM FATURAR",IF(AND(P3778&lt;&gt;"",S3778="",OR(Q3778="",R3778="")),"🟡 PENDÊNCIA SEM RESPONSÁVEL/PRAZO",IF(AND(ISNUMBER(R3778),R3778=TODAY()),"🟡 VENCE HOJE",IF(AND(P3778&lt;&gt;"",S3778=""),"🟡 PENDÊNCIA ABERTA",IF(AND(N(J3778)&gt;0,N(K3778)&lt;J3778),"🟡 FALTA EXECUTAR",IF(OR(M3778="PENDENTE",M3778="PARCIAL"),"🟡 FATURAMENTO PENDENTE","🟡 EMBARQUE PENDENTE")))))))))))</f>
        <v/>
      </c>
      <c r="D3778" s="4" t="n"/>
      <c r="E3778" s="5" t="n"/>
      <c r="F3778" s="5" t="n"/>
      <c r="G3778" s="5" t="n"/>
      <c r="H3778" s="5" t="n"/>
      <c r="I3778" s="5" t="n"/>
      <c r="J3778" s="6" t="n"/>
      <c r="K3778" s="6" t="n"/>
      <c r="L3778" s="7">
        <f>IF(OR(D3778="",N(J3778)=0),"",MIN(1,N(K3778)/J3778))</f>
        <v/>
      </c>
      <c r="M3778" s="5" t="n"/>
      <c r="N3778" s="5" t="n"/>
      <c r="O3778" s="5" t="n"/>
      <c r="P3778" s="5" t="n"/>
      <c r="Q3778" s="5" t="n"/>
      <c r="R3778" s="4" t="n"/>
      <c r="S3778" s="4" t="n"/>
      <c r="T3778" s="5" t="n"/>
      <c r="U3778" s="8">
        <f>IF(AND(V3778=1,D3778&lt;&gt;""),IF(D3778&gt;=corte,TODAY()-D3778,""),"")</f>
        <v/>
      </c>
      <c r="V3778" s="8">
        <f>IF(D3778="",0,IF(OR(AND(P3778&lt;&gt;"",S3778=""),AND(N(J3778)&gt;0,N(K3778)&lt;J3778),OR(M3778="PENDENTE",M3778="PARCIAL"),OR(N3778="PENDENTE",N3778="PARCIAL")),1,0))</f>
        <v/>
      </c>
      <c r="W3778" s="8">
        <f>IF(AND(V3778=1,D3778&lt;&gt;""),IF(D3778&gt;=corte,(B3778="CRÍTICO")*1E9+(100000-D3778)*10000+10000-ROW(),""),"")</f>
        <v/>
      </c>
      <c r="X3778" s="8">
        <f>IF(AND(V3778=1,D3778=pas_data,E3778=pas_turno),10000-ROW(),"")</f>
        <v/>
      </c>
    </row>
    <row r="3779">
      <c r="A3779" s="3">
        <f>IF(D3779="","","TT-"&amp;TEXT(ROW()-1,"00000"))</f>
        <v/>
      </c>
      <c r="B3779" s="3">
        <f>IF(D3779="","",IF(V3779=0,"CONCLUÍDO",IF(D3779&lt;corte,"HISTÓRICO",IF(OR(AND(ISNUMBER(R3779),R3779&lt;TODAY()),AND(OR(N3779="PENDENTE",N3779="PARCIAL"),D3779&lt;TODAY()-1)),"CRÍTICO",IF(OR(AND(P3779&lt;&gt;"",S3779=""),AND(N3779="REALIZADO",M3779="PENDENTE"),AND(ISNUMBER(R3779),R3779=TODAY())),"ATENÇÃO",IF(N(K3779)=0,"PENDENTE","EM ANDAMENTO"))))))</f>
        <v/>
      </c>
      <c r="C3779" s="3">
        <f>IF(D3779="","",IF(V3779=0,"🟢 OK",IF(D3779&lt;corte,"⚪ HISTÓRICO (sem baixa)",IF(AND(ISNUMBER(R3779),R3779&lt;TODAY()),"🔴 PRAZO VENCIDO",IF(AND(OR(N3779="PENDENTE",N3779="PARCIAL"),D3779&lt;TODAY()-1),"🔴 EMBARQUE ATRASADO",IF(AND(N3779="REALIZADO",M3779="PENDENTE"),"🟡 EMBARCADO SEM FATURAR",IF(AND(P3779&lt;&gt;"",S3779="",OR(Q3779="",R3779="")),"🟡 PENDÊNCIA SEM RESPONSÁVEL/PRAZO",IF(AND(ISNUMBER(R3779),R3779=TODAY()),"🟡 VENCE HOJE",IF(AND(P3779&lt;&gt;"",S3779=""),"🟡 PENDÊNCIA ABERTA",IF(AND(N(J3779)&gt;0,N(K3779)&lt;J3779),"🟡 FALTA EXECUTAR",IF(OR(M3779="PENDENTE",M3779="PARCIAL"),"🟡 FATURAMENTO PENDENTE","🟡 EMBARQUE PENDENTE")))))))))))</f>
        <v/>
      </c>
      <c r="D3779" s="4" t="n"/>
      <c r="E3779" s="5" t="n"/>
      <c r="F3779" s="5" t="n"/>
      <c r="G3779" s="5" t="n"/>
      <c r="H3779" s="5" t="n"/>
      <c r="I3779" s="5" t="n"/>
      <c r="J3779" s="6" t="n"/>
      <c r="K3779" s="6" t="n"/>
      <c r="L3779" s="7">
        <f>IF(OR(D3779="",N(J3779)=0),"",MIN(1,N(K3779)/J3779))</f>
        <v/>
      </c>
      <c r="M3779" s="5" t="n"/>
      <c r="N3779" s="5" t="n"/>
      <c r="O3779" s="5" t="n"/>
      <c r="P3779" s="5" t="n"/>
      <c r="Q3779" s="5" t="n"/>
      <c r="R3779" s="4" t="n"/>
      <c r="S3779" s="4" t="n"/>
      <c r="T3779" s="5" t="n"/>
      <c r="U3779" s="8">
        <f>IF(AND(V3779=1,D3779&lt;&gt;""),IF(D3779&gt;=corte,TODAY()-D3779,""),"")</f>
        <v/>
      </c>
      <c r="V3779" s="8">
        <f>IF(D3779="",0,IF(OR(AND(P3779&lt;&gt;"",S3779=""),AND(N(J3779)&gt;0,N(K3779)&lt;J3779),OR(M3779="PENDENTE",M3779="PARCIAL"),OR(N3779="PENDENTE",N3779="PARCIAL")),1,0))</f>
        <v/>
      </c>
      <c r="W3779" s="8">
        <f>IF(AND(V3779=1,D3779&lt;&gt;""),IF(D3779&gt;=corte,(B3779="CRÍTICO")*1E9+(100000-D3779)*10000+10000-ROW(),""),"")</f>
        <v/>
      </c>
      <c r="X3779" s="8">
        <f>IF(AND(V3779=1,D3779=pas_data,E3779=pas_turno),10000-ROW(),"")</f>
        <v/>
      </c>
    </row>
    <row r="3780">
      <c r="A3780" s="3">
        <f>IF(D3780="","","TT-"&amp;TEXT(ROW()-1,"00000"))</f>
        <v/>
      </c>
      <c r="B3780" s="3">
        <f>IF(D3780="","",IF(V3780=0,"CONCLUÍDO",IF(D3780&lt;corte,"HISTÓRICO",IF(OR(AND(ISNUMBER(R3780),R3780&lt;TODAY()),AND(OR(N3780="PENDENTE",N3780="PARCIAL"),D3780&lt;TODAY()-1)),"CRÍTICO",IF(OR(AND(P3780&lt;&gt;"",S3780=""),AND(N3780="REALIZADO",M3780="PENDENTE"),AND(ISNUMBER(R3780),R3780=TODAY())),"ATENÇÃO",IF(N(K3780)=0,"PENDENTE","EM ANDAMENTO"))))))</f>
        <v/>
      </c>
      <c r="C3780" s="3">
        <f>IF(D3780="","",IF(V3780=0,"🟢 OK",IF(D3780&lt;corte,"⚪ HISTÓRICO (sem baixa)",IF(AND(ISNUMBER(R3780),R3780&lt;TODAY()),"🔴 PRAZO VENCIDO",IF(AND(OR(N3780="PENDENTE",N3780="PARCIAL"),D3780&lt;TODAY()-1),"🔴 EMBARQUE ATRASADO",IF(AND(N3780="REALIZADO",M3780="PENDENTE"),"🟡 EMBARCADO SEM FATURAR",IF(AND(P3780&lt;&gt;"",S3780="",OR(Q3780="",R3780="")),"🟡 PENDÊNCIA SEM RESPONSÁVEL/PRAZO",IF(AND(ISNUMBER(R3780),R3780=TODAY()),"🟡 VENCE HOJE",IF(AND(P3780&lt;&gt;"",S3780=""),"🟡 PENDÊNCIA ABERTA",IF(AND(N(J3780)&gt;0,N(K3780)&lt;J3780),"🟡 FALTA EXECUTAR",IF(OR(M3780="PENDENTE",M3780="PARCIAL"),"🟡 FATURAMENTO PENDENTE","🟡 EMBARQUE PENDENTE")))))))))))</f>
        <v/>
      </c>
      <c r="D3780" s="4" t="n"/>
      <c r="E3780" s="5" t="n"/>
      <c r="F3780" s="5" t="n"/>
      <c r="G3780" s="5" t="n"/>
      <c r="H3780" s="5" t="n"/>
      <c r="I3780" s="5" t="n"/>
      <c r="J3780" s="6" t="n"/>
      <c r="K3780" s="6" t="n"/>
      <c r="L3780" s="7">
        <f>IF(OR(D3780="",N(J3780)=0),"",MIN(1,N(K3780)/J3780))</f>
        <v/>
      </c>
      <c r="M3780" s="5" t="n"/>
      <c r="N3780" s="5" t="n"/>
      <c r="O3780" s="5" t="n"/>
      <c r="P3780" s="5" t="n"/>
      <c r="Q3780" s="5" t="n"/>
      <c r="R3780" s="4" t="n"/>
      <c r="S3780" s="4" t="n"/>
      <c r="T3780" s="5" t="n"/>
      <c r="U3780" s="8">
        <f>IF(AND(V3780=1,D3780&lt;&gt;""),IF(D3780&gt;=corte,TODAY()-D3780,""),"")</f>
        <v/>
      </c>
      <c r="V3780" s="8">
        <f>IF(D3780="",0,IF(OR(AND(P3780&lt;&gt;"",S3780=""),AND(N(J3780)&gt;0,N(K3780)&lt;J3780),OR(M3780="PENDENTE",M3780="PARCIAL"),OR(N3780="PENDENTE",N3780="PARCIAL")),1,0))</f>
        <v/>
      </c>
      <c r="W3780" s="8">
        <f>IF(AND(V3780=1,D3780&lt;&gt;""),IF(D3780&gt;=corte,(B3780="CRÍTICO")*1E9+(100000-D3780)*10000+10000-ROW(),""),"")</f>
        <v/>
      </c>
      <c r="X3780" s="8">
        <f>IF(AND(V3780=1,D3780=pas_data,E3780=pas_turno),10000-ROW(),"")</f>
        <v/>
      </c>
    </row>
    <row r="3781">
      <c r="A3781" s="3">
        <f>IF(D3781="","","TT-"&amp;TEXT(ROW()-1,"00000"))</f>
        <v/>
      </c>
      <c r="B3781" s="3">
        <f>IF(D3781="","",IF(V3781=0,"CONCLUÍDO",IF(D3781&lt;corte,"HISTÓRICO",IF(OR(AND(ISNUMBER(R3781),R3781&lt;TODAY()),AND(OR(N3781="PENDENTE",N3781="PARCIAL"),D3781&lt;TODAY()-1)),"CRÍTICO",IF(OR(AND(P3781&lt;&gt;"",S3781=""),AND(N3781="REALIZADO",M3781="PENDENTE"),AND(ISNUMBER(R3781),R3781=TODAY())),"ATENÇÃO",IF(N(K3781)=0,"PENDENTE","EM ANDAMENTO"))))))</f>
        <v/>
      </c>
      <c r="C3781" s="3">
        <f>IF(D3781="","",IF(V3781=0,"🟢 OK",IF(D3781&lt;corte,"⚪ HISTÓRICO (sem baixa)",IF(AND(ISNUMBER(R3781),R3781&lt;TODAY()),"🔴 PRAZO VENCIDO",IF(AND(OR(N3781="PENDENTE",N3781="PARCIAL"),D3781&lt;TODAY()-1),"🔴 EMBARQUE ATRASADO",IF(AND(N3781="REALIZADO",M3781="PENDENTE"),"🟡 EMBARCADO SEM FATURAR",IF(AND(P3781&lt;&gt;"",S3781="",OR(Q3781="",R3781="")),"🟡 PENDÊNCIA SEM RESPONSÁVEL/PRAZO",IF(AND(ISNUMBER(R3781),R3781=TODAY()),"🟡 VENCE HOJE",IF(AND(P3781&lt;&gt;"",S3781=""),"🟡 PENDÊNCIA ABERTA",IF(AND(N(J3781)&gt;0,N(K3781)&lt;J3781),"🟡 FALTA EXECUTAR",IF(OR(M3781="PENDENTE",M3781="PARCIAL"),"🟡 FATURAMENTO PENDENTE","🟡 EMBARQUE PENDENTE")))))))))))</f>
        <v/>
      </c>
      <c r="D3781" s="4" t="n"/>
      <c r="E3781" s="5" t="n"/>
      <c r="F3781" s="5" t="n"/>
      <c r="G3781" s="5" t="n"/>
      <c r="H3781" s="5" t="n"/>
      <c r="I3781" s="5" t="n"/>
      <c r="J3781" s="6" t="n"/>
      <c r="K3781" s="6" t="n"/>
      <c r="L3781" s="7">
        <f>IF(OR(D3781="",N(J3781)=0),"",MIN(1,N(K3781)/J3781))</f>
        <v/>
      </c>
      <c r="M3781" s="5" t="n"/>
      <c r="N3781" s="5" t="n"/>
      <c r="O3781" s="5" t="n"/>
      <c r="P3781" s="5" t="n"/>
      <c r="Q3781" s="5" t="n"/>
      <c r="R3781" s="4" t="n"/>
      <c r="S3781" s="4" t="n"/>
      <c r="T3781" s="5" t="n"/>
      <c r="U3781" s="8">
        <f>IF(AND(V3781=1,D3781&lt;&gt;""),IF(D3781&gt;=corte,TODAY()-D3781,""),"")</f>
        <v/>
      </c>
      <c r="V3781" s="8">
        <f>IF(D3781="",0,IF(OR(AND(P3781&lt;&gt;"",S3781=""),AND(N(J3781)&gt;0,N(K3781)&lt;J3781),OR(M3781="PENDENTE",M3781="PARCIAL"),OR(N3781="PENDENTE",N3781="PARCIAL")),1,0))</f>
        <v/>
      </c>
      <c r="W3781" s="8">
        <f>IF(AND(V3781=1,D3781&lt;&gt;""),IF(D3781&gt;=corte,(B3781="CRÍTICO")*1E9+(100000-D3781)*10000+10000-ROW(),""),"")</f>
        <v/>
      </c>
      <c r="X3781" s="8">
        <f>IF(AND(V3781=1,D3781=pas_data,E3781=pas_turno),10000-ROW(),"")</f>
        <v/>
      </c>
    </row>
    <row r="3782">
      <c r="A3782" s="3">
        <f>IF(D3782="","","TT-"&amp;TEXT(ROW()-1,"00000"))</f>
        <v/>
      </c>
      <c r="B3782" s="3">
        <f>IF(D3782="","",IF(V3782=0,"CONCLUÍDO",IF(D3782&lt;corte,"HISTÓRICO",IF(OR(AND(ISNUMBER(R3782),R3782&lt;TODAY()),AND(OR(N3782="PENDENTE",N3782="PARCIAL"),D3782&lt;TODAY()-1)),"CRÍTICO",IF(OR(AND(P3782&lt;&gt;"",S3782=""),AND(N3782="REALIZADO",M3782="PENDENTE"),AND(ISNUMBER(R3782),R3782=TODAY())),"ATENÇÃO",IF(N(K3782)=0,"PENDENTE","EM ANDAMENTO"))))))</f>
        <v/>
      </c>
      <c r="C3782" s="3">
        <f>IF(D3782="","",IF(V3782=0,"🟢 OK",IF(D3782&lt;corte,"⚪ HISTÓRICO (sem baixa)",IF(AND(ISNUMBER(R3782),R3782&lt;TODAY()),"🔴 PRAZO VENCIDO",IF(AND(OR(N3782="PENDENTE",N3782="PARCIAL"),D3782&lt;TODAY()-1),"🔴 EMBARQUE ATRASADO",IF(AND(N3782="REALIZADO",M3782="PENDENTE"),"🟡 EMBARCADO SEM FATURAR",IF(AND(P3782&lt;&gt;"",S3782="",OR(Q3782="",R3782="")),"🟡 PENDÊNCIA SEM RESPONSÁVEL/PRAZO",IF(AND(ISNUMBER(R3782),R3782=TODAY()),"🟡 VENCE HOJE",IF(AND(P3782&lt;&gt;"",S3782=""),"🟡 PENDÊNCIA ABERTA",IF(AND(N(J3782)&gt;0,N(K3782)&lt;J3782),"🟡 FALTA EXECUTAR",IF(OR(M3782="PENDENTE",M3782="PARCIAL"),"🟡 FATURAMENTO PENDENTE","🟡 EMBARQUE PENDENTE")))))))))))</f>
        <v/>
      </c>
      <c r="D3782" s="4" t="n"/>
      <c r="E3782" s="5" t="n"/>
      <c r="F3782" s="5" t="n"/>
      <c r="G3782" s="5" t="n"/>
      <c r="H3782" s="5" t="n"/>
      <c r="I3782" s="5" t="n"/>
      <c r="J3782" s="6" t="n"/>
      <c r="K3782" s="6" t="n"/>
      <c r="L3782" s="7">
        <f>IF(OR(D3782="",N(J3782)=0),"",MIN(1,N(K3782)/J3782))</f>
        <v/>
      </c>
      <c r="M3782" s="5" t="n"/>
      <c r="N3782" s="5" t="n"/>
      <c r="O3782" s="5" t="n"/>
      <c r="P3782" s="5" t="n"/>
      <c r="Q3782" s="5" t="n"/>
      <c r="R3782" s="4" t="n"/>
      <c r="S3782" s="4" t="n"/>
      <c r="T3782" s="5" t="n"/>
      <c r="U3782" s="8">
        <f>IF(AND(V3782=1,D3782&lt;&gt;""),IF(D3782&gt;=corte,TODAY()-D3782,""),"")</f>
        <v/>
      </c>
      <c r="V3782" s="8">
        <f>IF(D3782="",0,IF(OR(AND(P3782&lt;&gt;"",S3782=""),AND(N(J3782)&gt;0,N(K3782)&lt;J3782),OR(M3782="PENDENTE",M3782="PARCIAL"),OR(N3782="PENDENTE",N3782="PARCIAL")),1,0))</f>
        <v/>
      </c>
      <c r="W3782" s="8">
        <f>IF(AND(V3782=1,D3782&lt;&gt;""),IF(D3782&gt;=corte,(B3782="CRÍTICO")*1E9+(100000-D3782)*10000+10000-ROW(),""),"")</f>
        <v/>
      </c>
      <c r="X3782" s="8">
        <f>IF(AND(V3782=1,D3782=pas_data,E3782=pas_turno),10000-ROW(),"")</f>
        <v/>
      </c>
    </row>
    <row r="3783">
      <c r="A3783" s="3">
        <f>IF(D3783="","","TT-"&amp;TEXT(ROW()-1,"00000"))</f>
        <v/>
      </c>
      <c r="B3783" s="3">
        <f>IF(D3783="","",IF(V3783=0,"CONCLUÍDO",IF(D3783&lt;corte,"HISTÓRICO",IF(OR(AND(ISNUMBER(R3783),R3783&lt;TODAY()),AND(OR(N3783="PENDENTE",N3783="PARCIAL"),D3783&lt;TODAY()-1)),"CRÍTICO",IF(OR(AND(P3783&lt;&gt;"",S3783=""),AND(N3783="REALIZADO",M3783="PENDENTE"),AND(ISNUMBER(R3783),R3783=TODAY())),"ATENÇÃO",IF(N(K3783)=0,"PENDENTE","EM ANDAMENTO"))))))</f>
        <v/>
      </c>
      <c r="C3783" s="3">
        <f>IF(D3783="","",IF(V3783=0,"🟢 OK",IF(D3783&lt;corte,"⚪ HISTÓRICO (sem baixa)",IF(AND(ISNUMBER(R3783),R3783&lt;TODAY()),"🔴 PRAZO VENCIDO",IF(AND(OR(N3783="PENDENTE",N3783="PARCIAL"),D3783&lt;TODAY()-1),"🔴 EMBARQUE ATRASADO",IF(AND(N3783="REALIZADO",M3783="PENDENTE"),"🟡 EMBARCADO SEM FATURAR",IF(AND(P3783&lt;&gt;"",S3783="",OR(Q3783="",R3783="")),"🟡 PENDÊNCIA SEM RESPONSÁVEL/PRAZO",IF(AND(ISNUMBER(R3783),R3783=TODAY()),"🟡 VENCE HOJE",IF(AND(P3783&lt;&gt;"",S3783=""),"🟡 PENDÊNCIA ABERTA",IF(AND(N(J3783)&gt;0,N(K3783)&lt;J3783),"🟡 FALTA EXECUTAR",IF(OR(M3783="PENDENTE",M3783="PARCIAL"),"🟡 FATURAMENTO PENDENTE","🟡 EMBARQUE PENDENTE")))))))))))</f>
        <v/>
      </c>
      <c r="D3783" s="4" t="n"/>
      <c r="E3783" s="5" t="n"/>
      <c r="F3783" s="5" t="n"/>
      <c r="G3783" s="5" t="n"/>
      <c r="H3783" s="5" t="n"/>
      <c r="I3783" s="5" t="n"/>
      <c r="J3783" s="6" t="n"/>
      <c r="K3783" s="6" t="n"/>
      <c r="L3783" s="7">
        <f>IF(OR(D3783="",N(J3783)=0),"",MIN(1,N(K3783)/J3783))</f>
        <v/>
      </c>
      <c r="M3783" s="5" t="n"/>
      <c r="N3783" s="5" t="n"/>
      <c r="O3783" s="5" t="n"/>
      <c r="P3783" s="5" t="n"/>
      <c r="Q3783" s="5" t="n"/>
      <c r="R3783" s="4" t="n"/>
      <c r="S3783" s="4" t="n"/>
      <c r="T3783" s="5" t="n"/>
      <c r="U3783" s="8">
        <f>IF(AND(V3783=1,D3783&lt;&gt;""),IF(D3783&gt;=corte,TODAY()-D3783,""),"")</f>
        <v/>
      </c>
      <c r="V3783" s="8">
        <f>IF(D3783="",0,IF(OR(AND(P3783&lt;&gt;"",S3783=""),AND(N(J3783)&gt;0,N(K3783)&lt;J3783),OR(M3783="PENDENTE",M3783="PARCIAL"),OR(N3783="PENDENTE",N3783="PARCIAL")),1,0))</f>
        <v/>
      </c>
      <c r="W3783" s="8">
        <f>IF(AND(V3783=1,D3783&lt;&gt;""),IF(D3783&gt;=corte,(B3783="CRÍTICO")*1E9+(100000-D3783)*10000+10000-ROW(),""),"")</f>
        <v/>
      </c>
      <c r="X3783" s="8">
        <f>IF(AND(V3783=1,D3783=pas_data,E3783=pas_turno),10000-ROW(),"")</f>
        <v/>
      </c>
    </row>
    <row r="3784">
      <c r="A3784" s="3">
        <f>IF(D3784="","","TT-"&amp;TEXT(ROW()-1,"00000"))</f>
        <v/>
      </c>
      <c r="B3784" s="3">
        <f>IF(D3784="","",IF(V3784=0,"CONCLUÍDO",IF(D3784&lt;corte,"HISTÓRICO",IF(OR(AND(ISNUMBER(R3784),R3784&lt;TODAY()),AND(OR(N3784="PENDENTE",N3784="PARCIAL"),D3784&lt;TODAY()-1)),"CRÍTICO",IF(OR(AND(P3784&lt;&gt;"",S3784=""),AND(N3784="REALIZADO",M3784="PENDENTE"),AND(ISNUMBER(R3784),R3784=TODAY())),"ATENÇÃO",IF(N(K3784)=0,"PENDENTE","EM ANDAMENTO"))))))</f>
        <v/>
      </c>
      <c r="C3784" s="3">
        <f>IF(D3784="","",IF(V3784=0,"🟢 OK",IF(D3784&lt;corte,"⚪ HISTÓRICO (sem baixa)",IF(AND(ISNUMBER(R3784),R3784&lt;TODAY()),"🔴 PRAZO VENCIDO",IF(AND(OR(N3784="PENDENTE",N3784="PARCIAL"),D3784&lt;TODAY()-1),"🔴 EMBARQUE ATRASADO",IF(AND(N3784="REALIZADO",M3784="PENDENTE"),"🟡 EMBARCADO SEM FATURAR",IF(AND(P3784&lt;&gt;"",S3784="",OR(Q3784="",R3784="")),"🟡 PENDÊNCIA SEM RESPONSÁVEL/PRAZO",IF(AND(ISNUMBER(R3784),R3784=TODAY()),"🟡 VENCE HOJE",IF(AND(P3784&lt;&gt;"",S3784=""),"🟡 PENDÊNCIA ABERTA",IF(AND(N(J3784)&gt;0,N(K3784)&lt;J3784),"🟡 FALTA EXECUTAR",IF(OR(M3784="PENDENTE",M3784="PARCIAL"),"🟡 FATURAMENTO PENDENTE","🟡 EMBARQUE PENDENTE")))))))))))</f>
        <v/>
      </c>
      <c r="D3784" s="4" t="n"/>
      <c r="E3784" s="5" t="n"/>
      <c r="F3784" s="5" t="n"/>
      <c r="G3784" s="5" t="n"/>
      <c r="H3784" s="5" t="n"/>
      <c r="I3784" s="5" t="n"/>
      <c r="J3784" s="6" t="n"/>
      <c r="K3784" s="6" t="n"/>
      <c r="L3784" s="7">
        <f>IF(OR(D3784="",N(J3784)=0),"",MIN(1,N(K3784)/J3784))</f>
        <v/>
      </c>
      <c r="M3784" s="5" t="n"/>
      <c r="N3784" s="5" t="n"/>
      <c r="O3784" s="5" t="n"/>
      <c r="P3784" s="5" t="n"/>
      <c r="Q3784" s="5" t="n"/>
      <c r="R3784" s="4" t="n"/>
      <c r="S3784" s="4" t="n"/>
      <c r="T3784" s="5" t="n"/>
      <c r="U3784" s="8">
        <f>IF(AND(V3784=1,D3784&lt;&gt;""),IF(D3784&gt;=corte,TODAY()-D3784,""),"")</f>
        <v/>
      </c>
      <c r="V3784" s="8">
        <f>IF(D3784="",0,IF(OR(AND(P3784&lt;&gt;"",S3784=""),AND(N(J3784)&gt;0,N(K3784)&lt;J3784),OR(M3784="PENDENTE",M3784="PARCIAL"),OR(N3784="PENDENTE",N3784="PARCIAL")),1,0))</f>
        <v/>
      </c>
      <c r="W3784" s="8">
        <f>IF(AND(V3784=1,D3784&lt;&gt;""),IF(D3784&gt;=corte,(B3784="CRÍTICO")*1E9+(100000-D3784)*10000+10000-ROW(),""),"")</f>
        <v/>
      </c>
      <c r="X3784" s="8">
        <f>IF(AND(V3784=1,D3784=pas_data,E3784=pas_turno),10000-ROW(),"")</f>
        <v/>
      </c>
    </row>
    <row r="3785">
      <c r="A3785" s="3">
        <f>IF(D3785="","","TT-"&amp;TEXT(ROW()-1,"00000"))</f>
        <v/>
      </c>
      <c r="B3785" s="3">
        <f>IF(D3785="","",IF(V3785=0,"CONCLUÍDO",IF(D3785&lt;corte,"HISTÓRICO",IF(OR(AND(ISNUMBER(R3785),R3785&lt;TODAY()),AND(OR(N3785="PENDENTE",N3785="PARCIAL"),D3785&lt;TODAY()-1)),"CRÍTICO",IF(OR(AND(P3785&lt;&gt;"",S3785=""),AND(N3785="REALIZADO",M3785="PENDENTE"),AND(ISNUMBER(R3785),R3785=TODAY())),"ATENÇÃO",IF(N(K3785)=0,"PENDENTE","EM ANDAMENTO"))))))</f>
        <v/>
      </c>
      <c r="C3785" s="3">
        <f>IF(D3785="","",IF(V3785=0,"🟢 OK",IF(D3785&lt;corte,"⚪ HISTÓRICO (sem baixa)",IF(AND(ISNUMBER(R3785),R3785&lt;TODAY()),"🔴 PRAZO VENCIDO",IF(AND(OR(N3785="PENDENTE",N3785="PARCIAL"),D3785&lt;TODAY()-1),"🔴 EMBARQUE ATRASADO",IF(AND(N3785="REALIZADO",M3785="PENDENTE"),"🟡 EMBARCADO SEM FATURAR",IF(AND(P3785&lt;&gt;"",S3785="",OR(Q3785="",R3785="")),"🟡 PENDÊNCIA SEM RESPONSÁVEL/PRAZO",IF(AND(ISNUMBER(R3785),R3785=TODAY()),"🟡 VENCE HOJE",IF(AND(P3785&lt;&gt;"",S3785=""),"🟡 PENDÊNCIA ABERTA",IF(AND(N(J3785)&gt;0,N(K3785)&lt;J3785),"🟡 FALTA EXECUTAR",IF(OR(M3785="PENDENTE",M3785="PARCIAL"),"🟡 FATURAMENTO PENDENTE","🟡 EMBARQUE PENDENTE")))))))))))</f>
        <v/>
      </c>
      <c r="D3785" s="4" t="n"/>
      <c r="E3785" s="5" t="n"/>
      <c r="F3785" s="5" t="n"/>
      <c r="G3785" s="5" t="n"/>
      <c r="H3785" s="5" t="n"/>
      <c r="I3785" s="5" t="n"/>
      <c r="J3785" s="6" t="n"/>
      <c r="K3785" s="6" t="n"/>
      <c r="L3785" s="7">
        <f>IF(OR(D3785="",N(J3785)=0),"",MIN(1,N(K3785)/J3785))</f>
        <v/>
      </c>
      <c r="M3785" s="5" t="n"/>
      <c r="N3785" s="5" t="n"/>
      <c r="O3785" s="5" t="n"/>
      <c r="P3785" s="5" t="n"/>
      <c r="Q3785" s="5" t="n"/>
      <c r="R3785" s="4" t="n"/>
      <c r="S3785" s="4" t="n"/>
      <c r="T3785" s="5" t="n"/>
      <c r="U3785" s="8">
        <f>IF(AND(V3785=1,D3785&lt;&gt;""),IF(D3785&gt;=corte,TODAY()-D3785,""),"")</f>
        <v/>
      </c>
      <c r="V3785" s="8">
        <f>IF(D3785="",0,IF(OR(AND(P3785&lt;&gt;"",S3785=""),AND(N(J3785)&gt;0,N(K3785)&lt;J3785),OR(M3785="PENDENTE",M3785="PARCIAL"),OR(N3785="PENDENTE",N3785="PARCIAL")),1,0))</f>
        <v/>
      </c>
      <c r="W3785" s="8">
        <f>IF(AND(V3785=1,D3785&lt;&gt;""),IF(D3785&gt;=corte,(B3785="CRÍTICO")*1E9+(100000-D3785)*10000+10000-ROW(),""),"")</f>
        <v/>
      </c>
      <c r="X3785" s="8">
        <f>IF(AND(V3785=1,D3785=pas_data,E3785=pas_turno),10000-ROW(),"")</f>
        <v/>
      </c>
    </row>
    <row r="3786">
      <c r="A3786" s="3">
        <f>IF(D3786="","","TT-"&amp;TEXT(ROW()-1,"00000"))</f>
        <v/>
      </c>
      <c r="B3786" s="3">
        <f>IF(D3786="","",IF(V3786=0,"CONCLUÍDO",IF(D3786&lt;corte,"HISTÓRICO",IF(OR(AND(ISNUMBER(R3786),R3786&lt;TODAY()),AND(OR(N3786="PENDENTE",N3786="PARCIAL"),D3786&lt;TODAY()-1)),"CRÍTICO",IF(OR(AND(P3786&lt;&gt;"",S3786=""),AND(N3786="REALIZADO",M3786="PENDENTE"),AND(ISNUMBER(R3786),R3786=TODAY())),"ATENÇÃO",IF(N(K3786)=0,"PENDENTE","EM ANDAMENTO"))))))</f>
        <v/>
      </c>
      <c r="C3786" s="3">
        <f>IF(D3786="","",IF(V3786=0,"🟢 OK",IF(D3786&lt;corte,"⚪ HISTÓRICO (sem baixa)",IF(AND(ISNUMBER(R3786),R3786&lt;TODAY()),"🔴 PRAZO VENCIDO",IF(AND(OR(N3786="PENDENTE",N3786="PARCIAL"),D3786&lt;TODAY()-1),"🔴 EMBARQUE ATRASADO",IF(AND(N3786="REALIZADO",M3786="PENDENTE"),"🟡 EMBARCADO SEM FATURAR",IF(AND(P3786&lt;&gt;"",S3786="",OR(Q3786="",R3786="")),"🟡 PENDÊNCIA SEM RESPONSÁVEL/PRAZO",IF(AND(ISNUMBER(R3786),R3786=TODAY()),"🟡 VENCE HOJE",IF(AND(P3786&lt;&gt;"",S3786=""),"🟡 PENDÊNCIA ABERTA",IF(AND(N(J3786)&gt;0,N(K3786)&lt;J3786),"🟡 FALTA EXECUTAR",IF(OR(M3786="PENDENTE",M3786="PARCIAL"),"🟡 FATURAMENTO PENDENTE","🟡 EMBARQUE PENDENTE")))))))))))</f>
        <v/>
      </c>
      <c r="D3786" s="4" t="n"/>
      <c r="E3786" s="5" t="n"/>
      <c r="F3786" s="5" t="n"/>
      <c r="G3786" s="5" t="n"/>
      <c r="H3786" s="5" t="n"/>
      <c r="I3786" s="5" t="n"/>
      <c r="J3786" s="6" t="n"/>
      <c r="K3786" s="6" t="n"/>
      <c r="L3786" s="7">
        <f>IF(OR(D3786="",N(J3786)=0),"",MIN(1,N(K3786)/J3786))</f>
        <v/>
      </c>
      <c r="M3786" s="5" t="n"/>
      <c r="N3786" s="5" t="n"/>
      <c r="O3786" s="5" t="n"/>
      <c r="P3786" s="5" t="n"/>
      <c r="Q3786" s="5" t="n"/>
      <c r="R3786" s="4" t="n"/>
      <c r="S3786" s="4" t="n"/>
      <c r="T3786" s="5" t="n"/>
      <c r="U3786" s="8">
        <f>IF(AND(V3786=1,D3786&lt;&gt;""),IF(D3786&gt;=corte,TODAY()-D3786,""),"")</f>
        <v/>
      </c>
      <c r="V3786" s="8">
        <f>IF(D3786="",0,IF(OR(AND(P3786&lt;&gt;"",S3786=""),AND(N(J3786)&gt;0,N(K3786)&lt;J3786),OR(M3786="PENDENTE",M3786="PARCIAL"),OR(N3786="PENDENTE",N3786="PARCIAL")),1,0))</f>
        <v/>
      </c>
      <c r="W3786" s="8">
        <f>IF(AND(V3786=1,D3786&lt;&gt;""),IF(D3786&gt;=corte,(B3786="CRÍTICO")*1E9+(100000-D3786)*10000+10000-ROW(),""),"")</f>
        <v/>
      </c>
      <c r="X3786" s="8">
        <f>IF(AND(V3786=1,D3786=pas_data,E3786=pas_turno),10000-ROW(),"")</f>
        <v/>
      </c>
    </row>
    <row r="3787">
      <c r="A3787" s="3">
        <f>IF(D3787="","","TT-"&amp;TEXT(ROW()-1,"00000"))</f>
        <v/>
      </c>
      <c r="B3787" s="3">
        <f>IF(D3787="","",IF(V3787=0,"CONCLUÍDO",IF(D3787&lt;corte,"HISTÓRICO",IF(OR(AND(ISNUMBER(R3787),R3787&lt;TODAY()),AND(OR(N3787="PENDENTE",N3787="PARCIAL"),D3787&lt;TODAY()-1)),"CRÍTICO",IF(OR(AND(P3787&lt;&gt;"",S3787=""),AND(N3787="REALIZADO",M3787="PENDENTE"),AND(ISNUMBER(R3787),R3787=TODAY())),"ATENÇÃO",IF(N(K3787)=0,"PENDENTE","EM ANDAMENTO"))))))</f>
        <v/>
      </c>
      <c r="C3787" s="3">
        <f>IF(D3787="","",IF(V3787=0,"🟢 OK",IF(D3787&lt;corte,"⚪ HISTÓRICO (sem baixa)",IF(AND(ISNUMBER(R3787),R3787&lt;TODAY()),"🔴 PRAZO VENCIDO",IF(AND(OR(N3787="PENDENTE",N3787="PARCIAL"),D3787&lt;TODAY()-1),"🔴 EMBARQUE ATRASADO",IF(AND(N3787="REALIZADO",M3787="PENDENTE"),"🟡 EMBARCADO SEM FATURAR",IF(AND(P3787&lt;&gt;"",S3787="",OR(Q3787="",R3787="")),"🟡 PENDÊNCIA SEM RESPONSÁVEL/PRAZO",IF(AND(ISNUMBER(R3787),R3787=TODAY()),"🟡 VENCE HOJE",IF(AND(P3787&lt;&gt;"",S3787=""),"🟡 PENDÊNCIA ABERTA",IF(AND(N(J3787)&gt;0,N(K3787)&lt;J3787),"🟡 FALTA EXECUTAR",IF(OR(M3787="PENDENTE",M3787="PARCIAL"),"🟡 FATURAMENTO PENDENTE","🟡 EMBARQUE PENDENTE")))))))))))</f>
        <v/>
      </c>
      <c r="D3787" s="4" t="n"/>
      <c r="E3787" s="5" t="n"/>
      <c r="F3787" s="5" t="n"/>
      <c r="G3787" s="5" t="n"/>
      <c r="H3787" s="5" t="n"/>
      <c r="I3787" s="5" t="n"/>
      <c r="J3787" s="6" t="n"/>
      <c r="K3787" s="6" t="n"/>
      <c r="L3787" s="7">
        <f>IF(OR(D3787="",N(J3787)=0),"",MIN(1,N(K3787)/J3787))</f>
        <v/>
      </c>
      <c r="M3787" s="5" t="n"/>
      <c r="N3787" s="5" t="n"/>
      <c r="O3787" s="5" t="n"/>
      <c r="P3787" s="5" t="n"/>
      <c r="Q3787" s="5" t="n"/>
      <c r="R3787" s="4" t="n"/>
      <c r="S3787" s="4" t="n"/>
      <c r="T3787" s="5" t="n"/>
      <c r="U3787" s="8">
        <f>IF(AND(V3787=1,D3787&lt;&gt;""),IF(D3787&gt;=corte,TODAY()-D3787,""),"")</f>
        <v/>
      </c>
      <c r="V3787" s="8">
        <f>IF(D3787="",0,IF(OR(AND(P3787&lt;&gt;"",S3787=""),AND(N(J3787)&gt;0,N(K3787)&lt;J3787),OR(M3787="PENDENTE",M3787="PARCIAL"),OR(N3787="PENDENTE",N3787="PARCIAL")),1,0))</f>
        <v/>
      </c>
      <c r="W3787" s="8">
        <f>IF(AND(V3787=1,D3787&lt;&gt;""),IF(D3787&gt;=corte,(B3787="CRÍTICO")*1E9+(100000-D3787)*10000+10000-ROW(),""),"")</f>
        <v/>
      </c>
      <c r="X3787" s="8">
        <f>IF(AND(V3787=1,D3787=pas_data,E3787=pas_turno),10000-ROW(),"")</f>
        <v/>
      </c>
    </row>
    <row r="3788">
      <c r="A3788" s="3">
        <f>IF(D3788="","","TT-"&amp;TEXT(ROW()-1,"00000"))</f>
        <v/>
      </c>
      <c r="B3788" s="3">
        <f>IF(D3788="","",IF(V3788=0,"CONCLUÍDO",IF(D3788&lt;corte,"HISTÓRICO",IF(OR(AND(ISNUMBER(R3788),R3788&lt;TODAY()),AND(OR(N3788="PENDENTE",N3788="PARCIAL"),D3788&lt;TODAY()-1)),"CRÍTICO",IF(OR(AND(P3788&lt;&gt;"",S3788=""),AND(N3788="REALIZADO",M3788="PENDENTE"),AND(ISNUMBER(R3788),R3788=TODAY())),"ATENÇÃO",IF(N(K3788)=0,"PENDENTE","EM ANDAMENTO"))))))</f>
        <v/>
      </c>
      <c r="C3788" s="3">
        <f>IF(D3788="","",IF(V3788=0,"🟢 OK",IF(D3788&lt;corte,"⚪ HISTÓRICO (sem baixa)",IF(AND(ISNUMBER(R3788),R3788&lt;TODAY()),"🔴 PRAZO VENCIDO",IF(AND(OR(N3788="PENDENTE",N3788="PARCIAL"),D3788&lt;TODAY()-1),"🔴 EMBARQUE ATRASADO",IF(AND(N3788="REALIZADO",M3788="PENDENTE"),"🟡 EMBARCADO SEM FATURAR",IF(AND(P3788&lt;&gt;"",S3788="",OR(Q3788="",R3788="")),"🟡 PENDÊNCIA SEM RESPONSÁVEL/PRAZO",IF(AND(ISNUMBER(R3788),R3788=TODAY()),"🟡 VENCE HOJE",IF(AND(P3788&lt;&gt;"",S3788=""),"🟡 PENDÊNCIA ABERTA",IF(AND(N(J3788)&gt;0,N(K3788)&lt;J3788),"🟡 FALTA EXECUTAR",IF(OR(M3788="PENDENTE",M3788="PARCIAL"),"🟡 FATURAMENTO PENDENTE","🟡 EMBARQUE PENDENTE")))))))))))</f>
        <v/>
      </c>
      <c r="D3788" s="4" t="n"/>
      <c r="E3788" s="5" t="n"/>
      <c r="F3788" s="5" t="n"/>
      <c r="G3788" s="5" t="n"/>
      <c r="H3788" s="5" t="n"/>
      <c r="I3788" s="5" t="n"/>
      <c r="J3788" s="6" t="n"/>
      <c r="K3788" s="6" t="n"/>
      <c r="L3788" s="7">
        <f>IF(OR(D3788="",N(J3788)=0),"",MIN(1,N(K3788)/J3788))</f>
        <v/>
      </c>
      <c r="M3788" s="5" t="n"/>
      <c r="N3788" s="5" t="n"/>
      <c r="O3788" s="5" t="n"/>
      <c r="P3788" s="5" t="n"/>
      <c r="Q3788" s="5" t="n"/>
      <c r="R3788" s="4" t="n"/>
      <c r="S3788" s="4" t="n"/>
      <c r="T3788" s="5" t="n"/>
      <c r="U3788" s="8">
        <f>IF(AND(V3788=1,D3788&lt;&gt;""),IF(D3788&gt;=corte,TODAY()-D3788,""),"")</f>
        <v/>
      </c>
      <c r="V3788" s="8">
        <f>IF(D3788="",0,IF(OR(AND(P3788&lt;&gt;"",S3788=""),AND(N(J3788)&gt;0,N(K3788)&lt;J3788),OR(M3788="PENDENTE",M3788="PARCIAL"),OR(N3788="PENDENTE",N3788="PARCIAL")),1,0))</f>
        <v/>
      </c>
      <c r="W3788" s="8">
        <f>IF(AND(V3788=1,D3788&lt;&gt;""),IF(D3788&gt;=corte,(B3788="CRÍTICO")*1E9+(100000-D3788)*10000+10000-ROW(),""),"")</f>
        <v/>
      </c>
      <c r="X3788" s="8">
        <f>IF(AND(V3788=1,D3788=pas_data,E3788=pas_turno),10000-ROW(),"")</f>
        <v/>
      </c>
    </row>
    <row r="3789">
      <c r="A3789" s="3">
        <f>IF(D3789="","","TT-"&amp;TEXT(ROW()-1,"00000"))</f>
        <v/>
      </c>
      <c r="B3789" s="3">
        <f>IF(D3789="","",IF(V3789=0,"CONCLUÍDO",IF(D3789&lt;corte,"HISTÓRICO",IF(OR(AND(ISNUMBER(R3789),R3789&lt;TODAY()),AND(OR(N3789="PENDENTE",N3789="PARCIAL"),D3789&lt;TODAY()-1)),"CRÍTICO",IF(OR(AND(P3789&lt;&gt;"",S3789=""),AND(N3789="REALIZADO",M3789="PENDENTE"),AND(ISNUMBER(R3789),R3789=TODAY())),"ATENÇÃO",IF(N(K3789)=0,"PENDENTE","EM ANDAMENTO"))))))</f>
        <v/>
      </c>
      <c r="C3789" s="3">
        <f>IF(D3789="","",IF(V3789=0,"🟢 OK",IF(D3789&lt;corte,"⚪ HISTÓRICO (sem baixa)",IF(AND(ISNUMBER(R3789),R3789&lt;TODAY()),"🔴 PRAZO VENCIDO",IF(AND(OR(N3789="PENDENTE",N3789="PARCIAL"),D3789&lt;TODAY()-1),"🔴 EMBARQUE ATRASADO",IF(AND(N3789="REALIZADO",M3789="PENDENTE"),"🟡 EMBARCADO SEM FATURAR",IF(AND(P3789&lt;&gt;"",S3789="",OR(Q3789="",R3789="")),"🟡 PENDÊNCIA SEM RESPONSÁVEL/PRAZO",IF(AND(ISNUMBER(R3789),R3789=TODAY()),"🟡 VENCE HOJE",IF(AND(P3789&lt;&gt;"",S3789=""),"🟡 PENDÊNCIA ABERTA",IF(AND(N(J3789)&gt;0,N(K3789)&lt;J3789),"🟡 FALTA EXECUTAR",IF(OR(M3789="PENDENTE",M3789="PARCIAL"),"🟡 FATURAMENTO PENDENTE","🟡 EMBARQUE PENDENTE")))))))))))</f>
        <v/>
      </c>
      <c r="D3789" s="4" t="n"/>
      <c r="E3789" s="5" t="n"/>
      <c r="F3789" s="5" t="n"/>
      <c r="G3789" s="5" t="n"/>
      <c r="H3789" s="5" t="n"/>
      <c r="I3789" s="5" t="n"/>
      <c r="J3789" s="6" t="n"/>
      <c r="K3789" s="6" t="n"/>
      <c r="L3789" s="7">
        <f>IF(OR(D3789="",N(J3789)=0),"",MIN(1,N(K3789)/J3789))</f>
        <v/>
      </c>
      <c r="M3789" s="5" t="n"/>
      <c r="N3789" s="5" t="n"/>
      <c r="O3789" s="5" t="n"/>
      <c r="P3789" s="5" t="n"/>
      <c r="Q3789" s="5" t="n"/>
      <c r="R3789" s="4" t="n"/>
      <c r="S3789" s="4" t="n"/>
      <c r="T3789" s="5" t="n"/>
      <c r="U3789" s="8">
        <f>IF(AND(V3789=1,D3789&lt;&gt;""),IF(D3789&gt;=corte,TODAY()-D3789,""),"")</f>
        <v/>
      </c>
      <c r="V3789" s="8">
        <f>IF(D3789="",0,IF(OR(AND(P3789&lt;&gt;"",S3789=""),AND(N(J3789)&gt;0,N(K3789)&lt;J3789),OR(M3789="PENDENTE",M3789="PARCIAL"),OR(N3789="PENDENTE",N3789="PARCIAL")),1,0))</f>
        <v/>
      </c>
      <c r="W3789" s="8">
        <f>IF(AND(V3789=1,D3789&lt;&gt;""),IF(D3789&gt;=corte,(B3789="CRÍTICO")*1E9+(100000-D3789)*10000+10000-ROW(),""),"")</f>
        <v/>
      </c>
      <c r="X3789" s="8">
        <f>IF(AND(V3789=1,D3789=pas_data,E3789=pas_turno),10000-ROW(),"")</f>
        <v/>
      </c>
    </row>
    <row r="3790">
      <c r="A3790" s="3">
        <f>IF(D3790="","","TT-"&amp;TEXT(ROW()-1,"00000"))</f>
        <v/>
      </c>
      <c r="B3790" s="3">
        <f>IF(D3790="","",IF(V3790=0,"CONCLUÍDO",IF(D3790&lt;corte,"HISTÓRICO",IF(OR(AND(ISNUMBER(R3790),R3790&lt;TODAY()),AND(OR(N3790="PENDENTE",N3790="PARCIAL"),D3790&lt;TODAY()-1)),"CRÍTICO",IF(OR(AND(P3790&lt;&gt;"",S3790=""),AND(N3790="REALIZADO",M3790="PENDENTE"),AND(ISNUMBER(R3790),R3790=TODAY())),"ATENÇÃO",IF(N(K3790)=0,"PENDENTE","EM ANDAMENTO"))))))</f>
        <v/>
      </c>
      <c r="C3790" s="3">
        <f>IF(D3790="","",IF(V3790=0,"🟢 OK",IF(D3790&lt;corte,"⚪ HISTÓRICO (sem baixa)",IF(AND(ISNUMBER(R3790),R3790&lt;TODAY()),"🔴 PRAZO VENCIDO",IF(AND(OR(N3790="PENDENTE",N3790="PARCIAL"),D3790&lt;TODAY()-1),"🔴 EMBARQUE ATRASADO",IF(AND(N3790="REALIZADO",M3790="PENDENTE"),"🟡 EMBARCADO SEM FATURAR",IF(AND(P3790&lt;&gt;"",S3790="",OR(Q3790="",R3790="")),"🟡 PENDÊNCIA SEM RESPONSÁVEL/PRAZO",IF(AND(ISNUMBER(R3790),R3790=TODAY()),"🟡 VENCE HOJE",IF(AND(P3790&lt;&gt;"",S3790=""),"🟡 PENDÊNCIA ABERTA",IF(AND(N(J3790)&gt;0,N(K3790)&lt;J3790),"🟡 FALTA EXECUTAR",IF(OR(M3790="PENDENTE",M3790="PARCIAL"),"🟡 FATURAMENTO PENDENTE","🟡 EMBARQUE PENDENTE")))))))))))</f>
        <v/>
      </c>
      <c r="D3790" s="4" t="n"/>
      <c r="E3790" s="5" t="n"/>
      <c r="F3790" s="5" t="n"/>
      <c r="G3790" s="5" t="n"/>
      <c r="H3790" s="5" t="n"/>
      <c r="I3790" s="5" t="n"/>
      <c r="J3790" s="6" t="n"/>
      <c r="K3790" s="6" t="n"/>
      <c r="L3790" s="7">
        <f>IF(OR(D3790="",N(J3790)=0),"",MIN(1,N(K3790)/J3790))</f>
        <v/>
      </c>
      <c r="M3790" s="5" t="n"/>
      <c r="N3790" s="5" t="n"/>
      <c r="O3790" s="5" t="n"/>
      <c r="P3790" s="5" t="n"/>
      <c r="Q3790" s="5" t="n"/>
      <c r="R3790" s="4" t="n"/>
      <c r="S3790" s="4" t="n"/>
      <c r="T3790" s="5" t="n"/>
      <c r="U3790" s="8">
        <f>IF(AND(V3790=1,D3790&lt;&gt;""),IF(D3790&gt;=corte,TODAY()-D3790,""),"")</f>
        <v/>
      </c>
      <c r="V3790" s="8">
        <f>IF(D3790="",0,IF(OR(AND(P3790&lt;&gt;"",S3790=""),AND(N(J3790)&gt;0,N(K3790)&lt;J3790),OR(M3790="PENDENTE",M3790="PARCIAL"),OR(N3790="PENDENTE",N3790="PARCIAL")),1,0))</f>
        <v/>
      </c>
      <c r="W3790" s="8">
        <f>IF(AND(V3790=1,D3790&lt;&gt;""),IF(D3790&gt;=corte,(B3790="CRÍTICO")*1E9+(100000-D3790)*10000+10000-ROW(),""),"")</f>
        <v/>
      </c>
      <c r="X3790" s="8">
        <f>IF(AND(V3790=1,D3790=pas_data,E3790=pas_turno),10000-ROW(),"")</f>
        <v/>
      </c>
    </row>
    <row r="3791">
      <c r="A3791" s="3">
        <f>IF(D3791="","","TT-"&amp;TEXT(ROW()-1,"00000"))</f>
        <v/>
      </c>
      <c r="B3791" s="3">
        <f>IF(D3791="","",IF(V3791=0,"CONCLUÍDO",IF(D3791&lt;corte,"HISTÓRICO",IF(OR(AND(ISNUMBER(R3791),R3791&lt;TODAY()),AND(OR(N3791="PENDENTE",N3791="PARCIAL"),D3791&lt;TODAY()-1)),"CRÍTICO",IF(OR(AND(P3791&lt;&gt;"",S3791=""),AND(N3791="REALIZADO",M3791="PENDENTE"),AND(ISNUMBER(R3791),R3791=TODAY())),"ATENÇÃO",IF(N(K3791)=0,"PENDENTE","EM ANDAMENTO"))))))</f>
        <v/>
      </c>
      <c r="C3791" s="3">
        <f>IF(D3791="","",IF(V3791=0,"🟢 OK",IF(D3791&lt;corte,"⚪ HISTÓRICO (sem baixa)",IF(AND(ISNUMBER(R3791),R3791&lt;TODAY()),"🔴 PRAZO VENCIDO",IF(AND(OR(N3791="PENDENTE",N3791="PARCIAL"),D3791&lt;TODAY()-1),"🔴 EMBARQUE ATRASADO",IF(AND(N3791="REALIZADO",M3791="PENDENTE"),"🟡 EMBARCADO SEM FATURAR",IF(AND(P3791&lt;&gt;"",S3791="",OR(Q3791="",R3791="")),"🟡 PENDÊNCIA SEM RESPONSÁVEL/PRAZO",IF(AND(ISNUMBER(R3791),R3791=TODAY()),"🟡 VENCE HOJE",IF(AND(P3791&lt;&gt;"",S3791=""),"🟡 PENDÊNCIA ABERTA",IF(AND(N(J3791)&gt;0,N(K3791)&lt;J3791),"🟡 FALTA EXECUTAR",IF(OR(M3791="PENDENTE",M3791="PARCIAL"),"🟡 FATURAMENTO PENDENTE","🟡 EMBARQUE PENDENTE")))))))))))</f>
        <v/>
      </c>
      <c r="D3791" s="4" t="n"/>
      <c r="E3791" s="5" t="n"/>
      <c r="F3791" s="5" t="n"/>
      <c r="G3791" s="5" t="n"/>
      <c r="H3791" s="5" t="n"/>
      <c r="I3791" s="5" t="n"/>
      <c r="J3791" s="6" t="n"/>
      <c r="K3791" s="6" t="n"/>
      <c r="L3791" s="7">
        <f>IF(OR(D3791="",N(J3791)=0),"",MIN(1,N(K3791)/J3791))</f>
        <v/>
      </c>
      <c r="M3791" s="5" t="n"/>
      <c r="N3791" s="5" t="n"/>
      <c r="O3791" s="5" t="n"/>
      <c r="P3791" s="5" t="n"/>
      <c r="Q3791" s="5" t="n"/>
      <c r="R3791" s="4" t="n"/>
      <c r="S3791" s="4" t="n"/>
      <c r="T3791" s="5" t="n"/>
      <c r="U3791" s="8">
        <f>IF(AND(V3791=1,D3791&lt;&gt;""),IF(D3791&gt;=corte,TODAY()-D3791,""),"")</f>
        <v/>
      </c>
      <c r="V3791" s="8">
        <f>IF(D3791="",0,IF(OR(AND(P3791&lt;&gt;"",S3791=""),AND(N(J3791)&gt;0,N(K3791)&lt;J3791),OR(M3791="PENDENTE",M3791="PARCIAL"),OR(N3791="PENDENTE",N3791="PARCIAL")),1,0))</f>
        <v/>
      </c>
      <c r="W3791" s="8">
        <f>IF(AND(V3791=1,D3791&lt;&gt;""),IF(D3791&gt;=corte,(B3791="CRÍTICO")*1E9+(100000-D3791)*10000+10000-ROW(),""),"")</f>
        <v/>
      </c>
      <c r="X3791" s="8">
        <f>IF(AND(V3791=1,D3791=pas_data,E3791=pas_turno),10000-ROW(),"")</f>
        <v/>
      </c>
    </row>
    <row r="3792">
      <c r="A3792" s="3">
        <f>IF(D3792="","","TT-"&amp;TEXT(ROW()-1,"00000"))</f>
        <v/>
      </c>
      <c r="B3792" s="3">
        <f>IF(D3792="","",IF(V3792=0,"CONCLUÍDO",IF(D3792&lt;corte,"HISTÓRICO",IF(OR(AND(ISNUMBER(R3792),R3792&lt;TODAY()),AND(OR(N3792="PENDENTE",N3792="PARCIAL"),D3792&lt;TODAY()-1)),"CRÍTICO",IF(OR(AND(P3792&lt;&gt;"",S3792=""),AND(N3792="REALIZADO",M3792="PENDENTE"),AND(ISNUMBER(R3792),R3792=TODAY())),"ATENÇÃO",IF(N(K3792)=0,"PENDENTE","EM ANDAMENTO"))))))</f>
        <v/>
      </c>
      <c r="C3792" s="3">
        <f>IF(D3792="","",IF(V3792=0,"🟢 OK",IF(D3792&lt;corte,"⚪ HISTÓRICO (sem baixa)",IF(AND(ISNUMBER(R3792),R3792&lt;TODAY()),"🔴 PRAZO VENCIDO",IF(AND(OR(N3792="PENDENTE",N3792="PARCIAL"),D3792&lt;TODAY()-1),"🔴 EMBARQUE ATRASADO",IF(AND(N3792="REALIZADO",M3792="PENDENTE"),"🟡 EMBARCADO SEM FATURAR",IF(AND(P3792&lt;&gt;"",S3792="",OR(Q3792="",R3792="")),"🟡 PENDÊNCIA SEM RESPONSÁVEL/PRAZO",IF(AND(ISNUMBER(R3792),R3792=TODAY()),"🟡 VENCE HOJE",IF(AND(P3792&lt;&gt;"",S3792=""),"🟡 PENDÊNCIA ABERTA",IF(AND(N(J3792)&gt;0,N(K3792)&lt;J3792),"🟡 FALTA EXECUTAR",IF(OR(M3792="PENDENTE",M3792="PARCIAL"),"🟡 FATURAMENTO PENDENTE","🟡 EMBARQUE PENDENTE")))))))))))</f>
        <v/>
      </c>
      <c r="D3792" s="4" t="n"/>
      <c r="E3792" s="5" t="n"/>
      <c r="F3792" s="5" t="n"/>
      <c r="G3792" s="5" t="n"/>
      <c r="H3792" s="5" t="n"/>
      <c r="I3792" s="5" t="n"/>
      <c r="J3792" s="6" t="n"/>
      <c r="K3792" s="6" t="n"/>
      <c r="L3792" s="7">
        <f>IF(OR(D3792="",N(J3792)=0),"",MIN(1,N(K3792)/J3792))</f>
        <v/>
      </c>
      <c r="M3792" s="5" t="n"/>
      <c r="N3792" s="5" t="n"/>
      <c r="O3792" s="5" t="n"/>
      <c r="P3792" s="5" t="n"/>
      <c r="Q3792" s="5" t="n"/>
      <c r="R3792" s="4" t="n"/>
      <c r="S3792" s="4" t="n"/>
      <c r="T3792" s="5" t="n"/>
      <c r="U3792" s="8">
        <f>IF(AND(V3792=1,D3792&lt;&gt;""),IF(D3792&gt;=corte,TODAY()-D3792,""),"")</f>
        <v/>
      </c>
      <c r="V3792" s="8">
        <f>IF(D3792="",0,IF(OR(AND(P3792&lt;&gt;"",S3792=""),AND(N(J3792)&gt;0,N(K3792)&lt;J3792),OR(M3792="PENDENTE",M3792="PARCIAL"),OR(N3792="PENDENTE",N3792="PARCIAL")),1,0))</f>
        <v/>
      </c>
      <c r="W3792" s="8">
        <f>IF(AND(V3792=1,D3792&lt;&gt;""),IF(D3792&gt;=corte,(B3792="CRÍTICO")*1E9+(100000-D3792)*10000+10000-ROW(),""),"")</f>
        <v/>
      </c>
      <c r="X3792" s="8">
        <f>IF(AND(V3792=1,D3792=pas_data,E3792=pas_turno),10000-ROW(),"")</f>
        <v/>
      </c>
    </row>
    <row r="3793">
      <c r="A3793" s="3">
        <f>IF(D3793="","","TT-"&amp;TEXT(ROW()-1,"00000"))</f>
        <v/>
      </c>
      <c r="B3793" s="3">
        <f>IF(D3793="","",IF(V3793=0,"CONCLUÍDO",IF(D3793&lt;corte,"HISTÓRICO",IF(OR(AND(ISNUMBER(R3793),R3793&lt;TODAY()),AND(OR(N3793="PENDENTE",N3793="PARCIAL"),D3793&lt;TODAY()-1)),"CRÍTICO",IF(OR(AND(P3793&lt;&gt;"",S3793=""),AND(N3793="REALIZADO",M3793="PENDENTE"),AND(ISNUMBER(R3793),R3793=TODAY())),"ATENÇÃO",IF(N(K3793)=0,"PENDENTE","EM ANDAMENTO"))))))</f>
        <v/>
      </c>
      <c r="C3793" s="3">
        <f>IF(D3793="","",IF(V3793=0,"🟢 OK",IF(D3793&lt;corte,"⚪ HISTÓRICO (sem baixa)",IF(AND(ISNUMBER(R3793),R3793&lt;TODAY()),"🔴 PRAZO VENCIDO",IF(AND(OR(N3793="PENDENTE",N3793="PARCIAL"),D3793&lt;TODAY()-1),"🔴 EMBARQUE ATRASADO",IF(AND(N3793="REALIZADO",M3793="PENDENTE"),"🟡 EMBARCADO SEM FATURAR",IF(AND(P3793&lt;&gt;"",S3793="",OR(Q3793="",R3793="")),"🟡 PENDÊNCIA SEM RESPONSÁVEL/PRAZO",IF(AND(ISNUMBER(R3793),R3793=TODAY()),"🟡 VENCE HOJE",IF(AND(P3793&lt;&gt;"",S3793=""),"🟡 PENDÊNCIA ABERTA",IF(AND(N(J3793)&gt;0,N(K3793)&lt;J3793),"🟡 FALTA EXECUTAR",IF(OR(M3793="PENDENTE",M3793="PARCIAL"),"🟡 FATURAMENTO PENDENTE","🟡 EMBARQUE PENDENTE")))))))))))</f>
        <v/>
      </c>
      <c r="D3793" s="4" t="n"/>
      <c r="E3793" s="5" t="n"/>
      <c r="F3793" s="5" t="n"/>
      <c r="G3793" s="5" t="n"/>
      <c r="H3793" s="5" t="n"/>
      <c r="I3793" s="5" t="n"/>
      <c r="J3793" s="6" t="n"/>
      <c r="K3793" s="6" t="n"/>
      <c r="L3793" s="7">
        <f>IF(OR(D3793="",N(J3793)=0),"",MIN(1,N(K3793)/J3793))</f>
        <v/>
      </c>
      <c r="M3793" s="5" t="n"/>
      <c r="N3793" s="5" t="n"/>
      <c r="O3793" s="5" t="n"/>
      <c r="P3793" s="5" t="n"/>
      <c r="Q3793" s="5" t="n"/>
      <c r="R3793" s="4" t="n"/>
      <c r="S3793" s="4" t="n"/>
      <c r="T3793" s="5" t="n"/>
      <c r="U3793" s="8">
        <f>IF(AND(V3793=1,D3793&lt;&gt;""),IF(D3793&gt;=corte,TODAY()-D3793,""),"")</f>
        <v/>
      </c>
      <c r="V3793" s="8">
        <f>IF(D3793="",0,IF(OR(AND(P3793&lt;&gt;"",S3793=""),AND(N(J3793)&gt;0,N(K3793)&lt;J3793),OR(M3793="PENDENTE",M3793="PARCIAL"),OR(N3793="PENDENTE",N3793="PARCIAL")),1,0))</f>
        <v/>
      </c>
      <c r="W3793" s="8">
        <f>IF(AND(V3793=1,D3793&lt;&gt;""),IF(D3793&gt;=corte,(B3793="CRÍTICO")*1E9+(100000-D3793)*10000+10000-ROW(),""),"")</f>
        <v/>
      </c>
      <c r="X3793" s="8">
        <f>IF(AND(V3793=1,D3793=pas_data,E3793=pas_turno),10000-ROW(),"")</f>
        <v/>
      </c>
    </row>
    <row r="3794">
      <c r="A3794" s="3">
        <f>IF(D3794="","","TT-"&amp;TEXT(ROW()-1,"00000"))</f>
        <v/>
      </c>
      <c r="B3794" s="3">
        <f>IF(D3794="","",IF(V3794=0,"CONCLUÍDO",IF(D3794&lt;corte,"HISTÓRICO",IF(OR(AND(ISNUMBER(R3794),R3794&lt;TODAY()),AND(OR(N3794="PENDENTE",N3794="PARCIAL"),D3794&lt;TODAY()-1)),"CRÍTICO",IF(OR(AND(P3794&lt;&gt;"",S3794=""),AND(N3794="REALIZADO",M3794="PENDENTE"),AND(ISNUMBER(R3794),R3794=TODAY())),"ATENÇÃO",IF(N(K3794)=0,"PENDENTE","EM ANDAMENTO"))))))</f>
        <v/>
      </c>
      <c r="C3794" s="3">
        <f>IF(D3794="","",IF(V3794=0,"🟢 OK",IF(D3794&lt;corte,"⚪ HISTÓRICO (sem baixa)",IF(AND(ISNUMBER(R3794),R3794&lt;TODAY()),"🔴 PRAZO VENCIDO",IF(AND(OR(N3794="PENDENTE",N3794="PARCIAL"),D3794&lt;TODAY()-1),"🔴 EMBARQUE ATRASADO",IF(AND(N3794="REALIZADO",M3794="PENDENTE"),"🟡 EMBARCADO SEM FATURAR",IF(AND(P3794&lt;&gt;"",S3794="",OR(Q3794="",R3794="")),"🟡 PENDÊNCIA SEM RESPONSÁVEL/PRAZO",IF(AND(ISNUMBER(R3794),R3794=TODAY()),"🟡 VENCE HOJE",IF(AND(P3794&lt;&gt;"",S3794=""),"🟡 PENDÊNCIA ABERTA",IF(AND(N(J3794)&gt;0,N(K3794)&lt;J3794),"🟡 FALTA EXECUTAR",IF(OR(M3794="PENDENTE",M3794="PARCIAL"),"🟡 FATURAMENTO PENDENTE","🟡 EMBARQUE PENDENTE")))))))))))</f>
        <v/>
      </c>
      <c r="D3794" s="4" t="n"/>
      <c r="E3794" s="5" t="n"/>
      <c r="F3794" s="5" t="n"/>
      <c r="G3794" s="5" t="n"/>
      <c r="H3794" s="5" t="n"/>
      <c r="I3794" s="5" t="n"/>
      <c r="J3794" s="6" t="n"/>
      <c r="K3794" s="6" t="n"/>
      <c r="L3794" s="7">
        <f>IF(OR(D3794="",N(J3794)=0),"",MIN(1,N(K3794)/J3794))</f>
        <v/>
      </c>
      <c r="M3794" s="5" t="n"/>
      <c r="N3794" s="5" t="n"/>
      <c r="O3794" s="5" t="n"/>
      <c r="P3794" s="5" t="n"/>
      <c r="Q3794" s="5" t="n"/>
      <c r="R3794" s="4" t="n"/>
      <c r="S3794" s="4" t="n"/>
      <c r="T3794" s="5" t="n"/>
      <c r="U3794" s="8">
        <f>IF(AND(V3794=1,D3794&lt;&gt;""),IF(D3794&gt;=corte,TODAY()-D3794,""),"")</f>
        <v/>
      </c>
      <c r="V3794" s="8">
        <f>IF(D3794="",0,IF(OR(AND(P3794&lt;&gt;"",S3794=""),AND(N(J3794)&gt;0,N(K3794)&lt;J3794),OR(M3794="PENDENTE",M3794="PARCIAL"),OR(N3794="PENDENTE",N3794="PARCIAL")),1,0))</f>
        <v/>
      </c>
      <c r="W3794" s="8">
        <f>IF(AND(V3794=1,D3794&lt;&gt;""),IF(D3794&gt;=corte,(B3794="CRÍTICO")*1E9+(100000-D3794)*10000+10000-ROW(),""),"")</f>
        <v/>
      </c>
      <c r="X3794" s="8">
        <f>IF(AND(V3794=1,D3794=pas_data,E3794=pas_turno),10000-ROW(),"")</f>
        <v/>
      </c>
    </row>
    <row r="3795">
      <c r="A3795" s="3">
        <f>IF(D3795="","","TT-"&amp;TEXT(ROW()-1,"00000"))</f>
        <v/>
      </c>
      <c r="B3795" s="3">
        <f>IF(D3795="","",IF(V3795=0,"CONCLUÍDO",IF(D3795&lt;corte,"HISTÓRICO",IF(OR(AND(ISNUMBER(R3795),R3795&lt;TODAY()),AND(OR(N3795="PENDENTE",N3795="PARCIAL"),D3795&lt;TODAY()-1)),"CRÍTICO",IF(OR(AND(P3795&lt;&gt;"",S3795=""),AND(N3795="REALIZADO",M3795="PENDENTE"),AND(ISNUMBER(R3795),R3795=TODAY())),"ATENÇÃO",IF(N(K3795)=0,"PENDENTE","EM ANDAMENTO"))))))</f>
        <v/>
      </c>
      <c r="C3795" s="3">
        <f>IF(D3795="","",IF(V3795=0,"🟢 OK",IF(D3795&lt;corte,"⚪ HISTÓRICO (sem baixa)",IF(AND(ISNUMBER(R3795),R3795&lt;TODAY()),"🔴 PRAZO VENCIDO",IF(AND(OR(N3795="PENDENTE",N3795="PARCIAL"),D3795&lt;TODAY()-1),"🔴 EMBARQUE ATRASADO",IF(AND(N3795="REALIZADO",M3795="PENDENTE"),"🟡 EMBARCADO SEM FATURAR",IF(AND(P3795&lt;&gt;"",S3795="",OR(Q3795="",R3795="")),"🟡 PENDÊNCIA SEM RESPONSÁVEL/PRAZO",IF(AND(ISNUMBER(R3795),R3795=TODAY()),"🟡 VENCE HOJE",IF(AND(P3795&lt;&gt;"",S3795=""),"🟡 PENDÊNCIA ABERTA",IF(AND(N(J3795)&gt;0,N(K3795)&lt;J3795),"🟡 FALTA EXECUTAR",IF(OR(M3795="PENDENTE",M3795="PARCIAL"),"🟡 FATURAMENTO PENDENTE","🟡 EMBARQUE PENDENTE")))))))))))</f>
        <v/>
      </c>
      <c r="D3795" s="4" t="n"/>
      <c r="E3795" s="5" t="n"/>
      <c r="F3795" s="5" t="n"/>
      <c r="G3795" s="5" t="n"/>
      <c r="H3795" s="5" t="n"/>
      <c r="I3795" s="5" t="n"/>
      <c r="J3795" s="6" t="n"/>
      <c r="K3795" s="6" t="n"/>
      <c r="L3795" s="7">
        <f>IF(OR(D3795="",N(J3795)=0),"",MIN(1,N(K3795)/J3795))</f>
        <v/>
      </c>
      <c r="M3795" s="5" t="n"/>
      <c r="N3795" s="5" t="n"/>
      <c r="O3795" s="5" t="n"/>
      <c r="P3795" s="5" t="n"/>
      <c r="Q3795" s="5" t="n"/>
      <c r="R3795" s="4" t="n"/>
      <c r="S3795" s="4" t="n"/>
      <c r="T3795" s="5" t="n"/>
      <c r="U3795" s="8">
        <f>IF(AND(V3795=1,D3795&lt;&gt;""),IF(D3795&gt;=corte,TODAY()-D3795,""),"")</f>
        <v/>
      </c>
      <c r="V3795" s="8">
        <f>IF(D3795="",0,IF(OR(AND(P3795&lt;&gt;"",S3795=""),AND(N(J3795)&gt;0,N(K3795)&lt;J3795),OR(M3795="PENDENTE",M3795="PARCIAL"),OR(N3795="PENDENTE",N3795="PARCIAL")),1,0))</f>
        <v/>
      </c>
      <c r="W3795" s="8">
        <f>IF(AND(V3795=1,D3795&lt;&gt;""),IF(D3795&gt;=corte,(B3795="CRÍTICO")*1E9+(100000-D3795)*10000+10000-ROW(),""),"")</f>
        <v/>
      </c>
      <c r="X3795" s="8">
        <f>IF(AND(V3795=1,D3795=pas_data,E3795=pas_turno),10000-ROW(),"")</f>
        <v/>
      </c>
    </row>
    <row r="3796">
      <c r="A3796" s="3">
        <f>IF(D3796="","","TT-"&amp;TEXT(ROW()-1,"00000"))</f>
        <v/>
      </c>
      <c r="B3796" s="3">
        <f>IF(D3796="","",IF(V3796=0,"CONCLUÍDO",IF(D3796&lt;corte,"HISTÓRICO",IF(OR(AND(ISNUMBER(R3796),R3796&lt;TODAY()),AND(OR(N3796="PENDENTE",N3796="PARCIAL"),D3796&lt;TODAY()-1)),"CRÍTICO",IF(OR(AND(P3796&lt;&gt;"",S3796=""),AND(N3796="REALIZADO",M3796="PENDENTE"),AND(ISNUMBER(R3796),R3796=TODAY())),"ATENÇÃO",IF(N(K3796)=0,"PENDENTE","EM ANDAMENTO"))))))</f>
        <v/>
      </c>
      <c r="C3796" s="3">
        <f>IF(D3796="","",IF(V3796=0,"🟢 OK",IF(D3796&lt;corte,"⚪ HISTÓRICO (sem baixa)",IF(AND(ISNUMBER(R3796),R3796&lt;TODAY()),"🔴 PRAZO VENCIDO",IF(AND(OR(N3796="PENDENTE",N3796="PARCIAL"),D3796&lt;TODAY()-1),"🔴 EMBARQUE ATRASADO",IF(AND(N3796="REALIZADO",M3796="PENDENTE"),"🟡 EMBARCADO SEM FATURAR",IF(AND(P3796&lt;&gt;"",S3796="",OR(Q3796="",R3796="")),"🟡 PENDÊNCIA SEM RESPONSÁVEL/PRAZO",IF(AND(ISNUMBER(R3796),R3796=TODAY()),"🟡 VENCE HOJE",IF(AND(P3796&lt;&gt;"",S3796=""),"🟡 PENDÊNCIA ABERTA",IF(AND(N(J3796)&gt;0,N(K3796)&lt;J3796),"🟡 FALTA EXECUTAR",IF(OR(M3796="PENDENTE",M3796="PARCIAL"),"🟡 FATURAMENTO PENDENTE","🟡 EMBARQUE PENDENTE")))))))))))</f>
        <v/>
      </c>
      <c r="D3796" s="4" t="n"/>
      <c r="E3796" s="5" t="n"/>
      <c r="F3796" s="5" t="n"/>
      <c r="G3796" s="5" t="n"/>
      <c r="H3796" s="5" t="n"/>
      <c r="I3796" s="5" t="n"/>
      <c r="J3796" s="6" t="n"/>
      <c r="K3796" s="6" t="n"/>
      <c r="L3796" s="7">
        <f>IF(OR(D3796="",N(J3796)=0),"",MIN(1,N(K3796)/J3796))</f>
        <v/>
      </c>
      <c r="M3796" s="5" t="n"/>
      <c r="N3796" s="5" t="n"/>
      <c r="O3796" s="5" t="n"/>
      <c r="P3796" s="5" t="n"/>
      <c r="Q3796" s="5" t="n"/>
      <c r="R3796" s="4" t="n"/>
      <c r="S3796" s="4" t="n"/>
      <c r="T3796" s="5" t="n"/>
      <c r="U3796" s="8">
        <f>IF(AND(V3796=1,D3796&lt;&gt;""),IF(D3796&gt;=corte,TODAY()-D3796,""),"")</f>
        <v/>
      </c>
      <c r="V3796" s="8">
        <f>IF(D3796="",0,IF(OR(AND(P3796&lt;&gt;"",S3796=""),AND(N(J3796)&gt;0,N(K3796)&lt;J3796),OR(M3796="PENDENTE",M3796="PARCIAL"),OR(N3796="PENDENTE",N3796="PARCIAL")),1,0))</f>
        <v/>
      </c>
      <c r="W3796" s="8">
        <f>IF(AND(V3796=1,D3796&lt;&gt;""),IF(D3796&gt;=corte,(B3796="CRÍTICO")*1E9+(100000-D3796)*10000+10000-ROW(),""),"")</f>
        <v/>
      </c>
      <c r="X3796" s="8">
        <f>IF(AND(V3796=1,D3796=pas_data,E3796=pas_turno),10000-ROW(),"")</f>
        <v/>
      </c>
    </row>
    <row r="3797">
      <c r="A3797" s="3">
        <f>IF(D3797="","","TT-"&amp;TEXT(ROW()-1,"00000"))</f>
        <v/>
      </c>
      <c r="B3797" s="3">
        <f>IF(D3797="","",IF(V3797=0,"CONCLUÍDO",IF(D3797&lt;corte,"HISTÓRICO",IF(OR(AND(ISNUMBER(R3797),R3797&lt;TODAY()),AND(OR(N3797="PENDENTE",N3797="PARCIAL"),D3797&lt;TODAY()-1)),"CRÍTICO",IF(OR(AND(P3797&lt;&gt;"",S3797=""),AND(N3797="REALIZADO",M3797="PENDENTE"),AND(ISNUMBER(R3797),R3797=TODAY())),"ATENÇÃO",IF(N(K3797)=0,"PENDENTE","EM ANDAMENTO"))))))</f>
        <v/>
      </c>
      <c r="C3797" s="3">
        <f>IF(D3797="","",IF(V3797=0,"🟢 OK",IF(D3797&lt;corte,"⚪ HISTÓRICO (sem baixa)",IF(AND(ISNUMBER(R3797),R3797&lt;TODAY()),"🔴 PRAZO VENCIDO",IF(AND(OR(N3797="PENDENTE",N3797="PARCIAL"),D3797&lt;TODAY()-1),"🔴 EMBARQUE ATRASADO",IF(AND(N3797="REALIZADO",M3797="PENDENTE"),"🟡 EMBARCADO SEM FATURAR",IF(AND(P3797&lt;&gt;"",S3797="",OR(Q3797="",R3797="")),"🟡 PENDÊNCIA SEM RESPONSÁVEL/PRAZO",IF(AND(ISNUMBER(R3797),R3797=TODAY()),"🟡 VENCE HOJE",IF(AND(P3797&lt;&gt;"",S3797=""),"🟡 PENDÊNCIA ABERTA",IF(AND(N(J3797)&gt;0,N(K3797)&lt;J3797),"🟡 FALTA EXECUTAR",IF(OR(M3797="PENDENTE",M3797="PARCIAL"),"🟡 FATURAMENTO PENDENTE","🟡 EMBARQUE PENDENTE")))))))))))</f>
        <v/>
      </c>
      <c r="D3797" s="4" t="n"/>
      <c r="E3797" s="5" t="n"/>
      <c r="F3797" s="5" t="n"/>
      <c r="G3797" s="5" t="n"/>
      <c r="H3797" s="5" t="n"/>
      <c r="I3797" s="5" t="n"/>
      <c r="J3797" s="6" t="n"/>
      <c r="K3797" s="6" t="n"/>
      <c r="L3797" s="7">
        <f>IF(OR(D3797="",N(J3797)=0),"",MIN(1,N(K3797)/J3797))</f>
        <v/>
      </c>
      <c r="M3797" s="5" t="n"/>
      <c r="N3797" s="5" t="n"/>
      <c r="O3797" s="5" t="n"/>
      <c r="P3797" s="5" t="n"/>
      <c r="Q3797" s="5" t="n"/>
      <c r="R3797" s="4" t="n"/>
      <c r="S3797" s="4" t="n"/>
      <c r="T3797" s="5" t="n"/>
      <c r="U3797" s="8">
        <f>IF(AND(V3797=1,D3797&lt;&gt;""),IF(D3797&gt;=corte,TODAY()-D3797,""),"")</f>
        <v/>
      </c>
      <c r="V3797" s="8">
        <f>IF(D3797="",0,IF(OR(AND(P3797&lt;&gt;"",S3797=""),AND(N(J3797)&gt;0,N(K3797)&lt;J3797),OR(M3797="PENDENTE",M3797="PARCIAL"),OR(N3797="PENDENTE",N3797="PARCIAL")),1,0))</f>
        <v/>
      </c>
      <c r="W3797" s="8">
        <f>IF(AND(V3797=1,D3797&lt;&gt;""),IF(D3797&gt;=corte,(B3797="CRÍTICO")*1E9+(100000-D3797)*10000+10000-ROW(),""),"")</f>
        <v/>
      </c>
      <c r="X3797" s="8">
        <f>IF(AND(V3797=1,D3797=pas_data,E3797=pas_turno),10000-ROW(),"")</f>
        <v/>
      </c>
    </row>
    <row r="3798">
      <c r="A3798" s="3">
        <f>IF(D3798="","","TT-"&amp;TEXT(ROW()-1,"00000"))</f>
        <v/>
      </c>
      <c r="B3798" s="3">
        <f>IF(D3798="","",IF(V3798=0,"CONCLUÍDO",IF(D3798&lt;corte,"HISTÓRICO",IF(OR(AND(ISNUMBER(R3798),R3798&lt;TODAY()),AND(OR(N3798="PENDENTE",N3798="PARCIAL"),D3798&lt;TODAY()-1)),"CRÍTICO",IF(OR(AND(P3798&lt;&gt;"",S3798=""),AND(N3798="REALIZADO",M3798="PENDENTE"),AND(ISNUMBER(R3798),R3798=TODAY())),"ATENÇÃO",IF(N(K3798)=0,"PENDENTE","EM ANDAMENTO"))))))</f>
        <v/>
      </c>
      <c r="C3798" s="3">
        <f>IF(D3798="","",IF(V3798=0,"🟢 OK",IF(D3798&lt;corte,"⚪ HISTÓRICO (sem baixa)",IF(AND(ISNUMBER(R3798),R3798&lt;TODAY()),"🔴 PRAZO VENCIDO",IF(AND(OR(N3798="PENDENTE",N3798="PARCIAL"),D3798&lt;TODAY()-1),"🔴 EMBARQUE ATRASADO",IF(AND(N3798="REALIZADO",M3798="PENDENTE"),"🟡 EMBARCADO SEM FATURAR",IF(AND(P3798&lt;&gt;"",S3798="",OR(Q3798="",R3798="")),"🟡 PENDÊNCIA SEM RESPONSÁVEL/PRAZO",IF(AND(ISNUMBER(R3798),R3798=TODAY()),"🟡 VENCE HOJE",IF(AND(P3798&lt;&gt;"",S3798=""),"🟡 PENDÊNCIA ABERTA",IF(AND(N(J3798)&gt;0,N(K3798)&lt;J3798),"🟡 FALTA EXECUTAR",IF(OR(M3798="PENDENTE",M3798="PARCIAL"),"🟡 FATURAMENTO PENDENTE","🟡 EMBARQUE PENDENTE")))))))))))</f>
        <v/>
      </c>
      <c r="D3798" s="4" t="n"/>
      <c r="E3798" s="5" t="n"/>
      <c r="F3798" s="5" t="n"/>
      <c r="G3798" s="5" t="n"/>
      <c r="H3798" s="5" t="n"/>
      <c r="I3798" s="5" t="n"/>
      <c r="J3798" s="6" t="n"/>
      <c r="K3798" s="6" t="n"/>
      <c r="L3798" s="7">
        <f>IF(OR(D3798="",N(J3798)=0),"",MIN(1,N(K3798)/J3798))</f>
        <v/>
      </c>
      <c r="M3798" s="5" t="n"/>
      <c r="N3798" s="5" t="n"/>
      <c r="O3798" s="5" t="n"/>
      <c r="P3798" s="5" t="n"/>
      <c r="Q3798" s="5" t="n"/>
      <c r="R3798" s="4" t="n"/>
      <c r="S3798" s="4" t="n"/>
      <c r="T3798" s="5" t="n"/>
      <c r="U3798" s="8">
        <f>IF(AND(V3798=1,D3798&lt;&gt;""),IF(D3798&gt;=corte,TODAY()-D3798,""),"")</f>
        <v/>
      </c>
      <c r="V3798" s="8">
        <f>IF(D3798="",0,IF(OR(AND(P3798&lt;&gt;"",S3798=""),AND(N(J3798)&gt;0,N(K3798)&lt;J3798),OR(M3798="PENDENTE",M3798="PARCIAL"),OR(N3798="PENDENTE",N3798="PARCIAL")),1,0))</f>
        <v/>
      </c>
      <c r="W3798" s="8">
        <f>IF(AND(V3798=1,D3798&lt;&gt;""),IF(D3798&gt;=corte,(B3798="CRÍTICO")*1E9+(100000-D3798)*10000+10000-ROW(),""),"")</f>
        <v/>
      </c>
      <c r="X3798" s="8">
        <f>IF(AND(V3798=1,D3798=pas_data,E3798=pas_turno),10000-ROW(),"")</f>
        <v/>
      </c>
    </row>
    <row r="3799">
      <c r="A3799" s="3">
        <f>IF(D3799="","","TT-"&amp;TEXT(ROW()-1,"00000"))</f>
        <v/>
      </c>
      <c r="B3799" s="3">
        <f>IF(D3799="","",IF(V3799=0,"CONCLUÍDO",IF(D3799&lt;corte,"HISTÓRICO",IF(OR(AND(ISNUMBER(R3799),R3799&lt;TODAY()),AND(OR(N3799="PENDENTE",N3799="PARCIAL"),D3799&lt;TODAY()-1)),"CRÍTICO",IF(OR(AND(P3799&lt;&gt;"",S3799=""),AND(N3799="REALIZADO",M3799="PENDENTE"),AND(ISNUMBER(R3799),R3799=TODAY())),"ATENÇÃO",IF(N(K3799)=0,"PENDENTE","EM ANDAMENTO"))))))</f>
        <v/>
      </c>
      <c r="C3799" s="3">
        <f>IF(D3799="","",IF(V3799=0,"🟢 OK",IF(D3799&lt;corte,"⚪ HISTÓRICO (sem baixa)",IF(AND(ISNUMBER(R3799),R3799&lt;TODAY()),"🔴 PRAZO VENCIDO",IF(AND(OR(N3799="PENDENTE",N3799="PARCIAL"),D3799&lt;TODAY()-1),"🔴 EMBARQUE ATRASADO",IF(AND(N3799="REALIZADO",M3799="PENDENTE"),"🟡 EMBARCADO SEM FATURAR",IF(AND(P3799&lt;&gt;"",S3799="",OR(Q3799="",R3799="")),"🟡 PENDÊNCIA SEM RESPONSÁVEL/PRAZO",IF(AND(ISNUMBER(R3799),R3799=TODAY()),"🟡 VENCE HOJE",IF(AND(P3799&lt;&gt;"",S3799=""),"🟡 PENDÊNCIA ABERTA",IF(AND(N(J3799)&gt;0,N(K3799)&lt;J3799),"🟡 FALTA EXECUTAR",IF(OR(M3799="PENDENTE",M3799="PARCIAL"),"🟡 FATURAMENTO PENDENTE","🟡 EMBARQUE PENDENTE")))))))))))</f>
        <v/>
      </c>
      <c r="D3799" s="4" t="n"/>
      <c r="E3799" s="5" t="n"/>
      <c r="F3799" s="5" t="n"/>
      <c r="G3799" s="5" t="n"/>
      <c r="H3799" s="5" t="n"/>
      <c r="I3799" s="5" t="n"/>
      <c r="J3799" s="6" t="n"/>
      <c r="K3799" s="6" t="n"/>
      <c r="L3799" s="7">
        <f>IF(OR(D3799="",N(J3799)=0),"",MIN(1,N(K3799)/J3799))</f>
        <v/>
      </c>
      <c r="M3799" s="5" t="n"/>
      <c r="N3799" s="5" t="n"/>
      <c r="O3799" s="5" t="n"/>
      <c r="P3799" s="5" t="n"/>
      <c r="Q3799" s="5" t="n"/>
      <c r="R3799" s="4" t="n"/>
      <c r="S3799" s="4" t="n"/>
      <c r="T3799" s="5" t="n"/>
      <c r="U3799" s="8">
        <f>IF(AND(V3799=1,D3799&lt;&gt;""),IF(D3799&gt;=corte,TODAY()-D3799,""),"")</f>
        <v/>
      </c>
      <c r="V3799" s="8">
        <f>IF(D3799="",0,IF(OR(AND(P3799&lt;&gt;"",S3799=""),AND(N(J3799)&gt;0,N(K3799)&lt;J3799),OR(M3799="PENDENTE",M3799="PARCIAL"),OR(N3799="PENDENTE",N3799="PARCIAL")),1,0))</f>
        <v/>
      </c>
      <c r="W3799" s="8">
        <f>IF(AND(V3799=1,D3799&lt;&gt;""),IF(D3799&gt;=corte,(B3799="CRÍTICO")*1E9+(100000-D3799)*10000+10000-ROW(),""),"")</f>
        <v/>
      </c>
      <c r="X3799" s="8">
        <f>IF(AND(V3799=1,D3799=pas_data,E3799=pas_turno),10000-ROW(),"")</f>
        <v/>
      </c>
    </row>
    <row r="3800">
      <c r="A3800" s="3">
        <f>IF(D3800="","","TT-"&amp;TEXT(ROW()-1,"00000"))</f>
        <v/>
      </c>
      <c r="B3800" s="3">
        <f>IF(D3800="","",IF(V3800=0,"CONCLUÍDO",IF(D3800&lt;corte,"HISTÓRICO",IF(OR(AND(ISNUMBER(R3800),R3800&lt;TODAY()),AND(OR(N3800="PENDENTE",N3800="PARCIAL"),D3800&lt;TODAY()-1)),"CRÍTICO",IF(OR(AND(P3800&lt;&gt;"",S3800=""),AND(N3800="REALIZADO",M3800="PENDENTE"),AND(ISNUMBER(R3800),R3800=TODAY())),"ATENÇÃO",IF(N(K3800)=0,"PENDENTE","EM ANDAMENTO"))))))</f>
        <v/>
      </c>
      <c r="C3800" s="3">
        <f>IF(D3800="","",IF(V3800=0,"🟢 OK",IF(D3800&lt;corte,"⚪ HISTÓRICO (sem baixa)",IF(AND(ISNUMBER(R3800),R3800&lt;TODAY()),"🔴 PRAZO VENCIDO",IF(AND(OR(N3800="PENDENTE",N3800="PARCIAL"),D3800&lt;TODAY()-1),"🔴 EMBARQUE ATRASADO",IF(AND(N3800="REALIZADO",M3800="PENDENTE"),"🟡 EMBARCADO SEM FATURAR",IF(AND(P3800&lt;&gt;"",S3800="",OR(Q3800="",R3800="")),"🟡 PENDÊNCIA SEM RESPONSÁVEL/PRAZO",IF(AND(ISNUMBER(R3800),R3800=TODAY()),"🟡 VENCE HOJE",IF(AND(P3800&lt;&gt;"",S3800=""),"🟡 PENDÊNCIA ABERTA",IF(AND(N(J3800)&gt;0,N(K3800)&lt;J3800),"🟡 FALTA EXECUTAR",IF(OR(M3800="PENDENTE",M3800="PARCIAL"),"🟡 FATURAMENTO PENDENTE","🟡 EMBARQUE PENDENTE")))))))))))</f>
        <v/>
      </c>
      <c r="D3800" s="4" t="n"/>
      <c r="E3800" s="5" t="n"/>
      <c r="F3800" s="5" t="n"/>
      <c r="G3800" s="5" t="n"/>
      <c r="H3800" s="5" t="n"/>
      <c r="I3800" s="5" t="n"/>
      <c r="J3800" s="6" t="n"/>
      <c r="K3800" s="6" t="n"/>
      <c r="L3800" s="7">
        <f>IF(OR(D3800="",N(J3800)=0),"",MIN(1,N(K3800)/J3800))</f>
        <v/>
      </c>
      <c r="M3800" s="5" t="n"/>
      <c r="N3800" s="5" t="n"/>
      <c r="O3800" s="5" t="n"/>
      <c r="P3800" s="5" t="n"/>
      <c r="Q3800" s="5" t="n"/>
      <c r="R3800" s="4" t="n"/>
      <c r="S3800" s="4" t="n"/>
      <c r="T3800" s="5" t="n"/>
      <c r="U3800" s="8">
        <f>IF(AND(V3800=1,D3800&lt;&gt;""),IF(D3800&gt;=corte,TODAY()-D3800,""),"")</f>
        <v/>
      </c>
      <c r="V3800" s="8">
        <f>IF(D3800="",0,IF(OR(AND(P3800&lt;&gt;"",S3800=""),AND(N(J3800)&gt;0,N(K3800)&lt;J3800),OR(M3800="PENDENTE",M3800="PARCIAL"),OR(N3800="PENDENTE",N3800="PARCIAL")),1,0))</f>
        <v/>
      </c>
      <c r="W3800" s="8">
        <f>IF(AND(V3800=1,D3800&lt;&gt;""),IF(D3800&gt;=corte,(B3800="CRÍTICO")*1E9+(100000-D3800)*10000+10000-ROW(),""),"")</f>
        <v/>
      </c>
      <c r="X3800" s="8">
        <f>IF(AND(V3800=1,D3800=pas_data,E3800=pas_turno),10000-ROW(),"")</f>
        <v/>
      </c>
    </row>
    <row r="3801">
      <c r="A3801" s="3">
        <f>IF(D3801="","","TT-"&amp;TEXT(ROW()-1,"00000"))</f>
        <v/>
      </c>
      <c r="B3801" s="3">
        <f>IF(D3801="","",IF(V3801=0,"CONCLUÍDO",IF(D3801&lt;corte,"HISTÓRICO",IF(OR(AND(ISNUMBER(R3801),R3801&lt;TODAY()),AND(OR(N3801="PENDENTE",N3801="PARCIAL"),D3801&lt;TODAY()-1)),"CRÍTICO",IF(OR(AND(P3801&lt;&gt;"",S3801=""),AND(N3801="REALIZADO",M3801="PENDENTE"),AND(ISNUMBER(R3801),R3801=TODAY())),"ATENÇÃO",IF(N(K3801)=0,"PENDENTE","EM ANDAMENTO"))))))</f>
        <v/>
      </c>
      <c r="C3801" s="3">
        <f>IF(D3801="","",IF(V3801=0,"🟢 OK",IF(D3801&lt;corte,"⚪ HISTÓRICO (sem baixa)",IF(AND(ISNUMBER(R3801),R3801&lt;TODAY()),"🔴 PRAZO VENCIDO",IF(AND(OR(N3801="PENDENTE",N3801="PARCIAL"),D3801&lt;TODAY()-1),"🔴 EMBARQUE ATRASADO",IF(AND(N3801="REALIZADO",M3801="PENDENTE"),"🟡 EMBARCADO SEM FATURAR",IF(AND(P3801&lt;&gt;"",S3801="",OR(Q3801="",R3801="")),"🟡 PENDÊNCIA SEM RESPONSÁVEL/PRAZO",IF(AND(ISNUMBER(R3801),R3801=TODAY()),"🟡 VENCE HOJE",IF(AND(P3801&lt;&gt;"",S3801=""),"🟡 PENDÊNCIA ABERTA",IF(AND(N(J3801)&gt;0,N(K3801)&lt;J3801),"🟡 FALTA EXECUTAR",IF(OR(M3801="PENDENTE",M3801="PARCIAL"),"🟡 FATURAMENTO PENDENTE","🟡 EMBARQUE PENDENTE")))))))))))</f>
        <v/>
      </c>
      <c r="D3801" s="4" t="n"/>
      <c r="E3801" s="5" t="n"/>
      <c r="F3801" s="5" t="n"/>
      <c r="G3801" s="5" t="n"/>
      <c r="H3801" s="5" t="n"/>
      <c r="I3801" s="5" t="n"/>
      <c r="J3801" s="6" t="n"/>
      <c r="K3801" s="6" t="n"/>
      <c r="L3801" s="7">
        <f>IF(OR(D3801="",N(J3801)=0),"",MIN(1,N(K3801)/J3801))</f>
        <v/>
      </c>
      <c r="M3801" s="5" t="n"/>
      <c r="N3801" s="5" t="n"/>
      <c r="O3801" s="5" t="n"/>
      <c r="P3801" s="5" t="n"/>
      <c r="Q3801" s="5" t="n"/>
      <c r="R3801" s="4" t="n"/>
      <c r="S3801" s="4" t="n"/>
      <c r="T3801" s="5" t="n"/>
      <c r="U3801" s="8">
        <f>IF(AND(V3801=1,D3801&lt;&gt;""),IF(D3801&gt;=corte,TODAY()-D3801,""),"")</f>
        <v/>
      </c>
      <c r="V3801" s="8">
        <f>IF(D3801="",0,IF(OR(AND(P3801&lt;&gt;"",S3801=""),AND(N(J3801)&gt;0,N(K3801)&lt;J3801),OR(M3801="PENDENTE",M3801="PARCIAL"),OR(N3801="PENDENTE",N3801="PARCIAL")),1,0))</f>
        <v/>
      </c>
      <c r="W3801" s="8">
        <f>IF(AND(V3801=1,D3801&lt;&gt;""),IF(D3801&gt;=corte,(B3801="CRÍTICO")*1E9+(100000-D3801)*10000+10000-ROW(),""),"")</f>
        <v/>
      </c>
      <c r="X3801" s="8">
        <f>IF(AND(V3801=1,D3801=pas_data,E3801=pas_turno),10000-ROW(),"")</f>
        <v/>
      </c>
    </row>
    <row r="3802">
      <c r="A3802" s="3">
        <f>IF(D3802="","","TT-"&amp;TEXT(ROW()-1,"00000"))</f>
        <v/>
      </c>
      <c r="B3802" s="3">
        <f>IF(D3802="","",IF(V3802=0,"CONCLUÍDO",IF(D3802&lt;corte,"HISTÓRICO",IF(OR(AND(ISNUMBER(R3802),R3802&lt;TODAY()),AND(OR(N3802="PENDENTE",N3802="PARCIAL"),D3802&lt;TODAY()-1)),"CRÍTICO",IF(OR(AND(P3802&lt;&gt;"",S3802=""),AND(N3802="REALIZADO",M3802="PENDENTE"),AND(ISNUMBER(R3802),R3802=TODAY())),"ATENÇÃO",IF(N(K3802)=0,"PENDENTE","EM ANDAMENTO"))))))</f>
        <v/>
      </c>
      <c r="C3802" s="3">
        <f>IF(D3802="","",IF(V3802=0,"🟢 OK",IF(D3802&lt;corte,"⚪ HISTÓRICO (sem baixa)",IF(AND(ISNUMBER(R3802),R3802&lt;TODAY()),"🔴 PRAZO VENCIDO",IF(AND(OR(N3802="PENDENTE",N3802="PARCIAL"),D3802&lt;TODAY()-1),"🔴 EMBARQUE ATRASADO",IF(AND(N3802="REALIZADO",M3802="PENDENTE"),"🟡 EMBARCADO SEM FATURAR",IF(AND(P3802&lt;&gt;"",S3802="",OR(Q3802="",R3802="")),"🟡 PENDÊNCIA SEM RESPONSÁVEL/PRAZO",IF(AND(ISNUMBER(R3802),R3802=TODAY()),"🟡 VENCE HOJE",IF(AND(P3802&lt;&gt;"",S3802=""),"🟡 PENDÊNCIA ABERTA",IF(AND(N(J3802)&gt;0,N(K3802)&lt;J3802),"🟡 FALTA EXECUTAR",IF(OR(M3802="PENDENTE",M3802="PARCIAL"),"🟡 FATURAMENTO PENDENTE","🟡 EMBARQUE PENDENTE")))))))))))</f>
        <v/>
      </c>
      <c r="D3802" s="4" t="n"/>
      <c r="E3802" s="5" t="n"/>
      <c r="F3802" s="5" t="n"/>
      <c r="G3802" s="5" t="n"/>
      <c r="H3802" s="5" t="n"/>
      <c r="I3802" s="5" t="n"/>
      <c r="J3802" s="6" t="n"/>
      <c r="K3802" s="6" t="n"/>
      <c r="L3802" s="7">
        <f>IF(OR(D3802="",N(J3802)=0),"",MIN(1,N(K3802)/J3802))</f>
        <v/>
      </c>
      <c r="M3802" s="5" t="n"/>
      <c r="N3802" s="5" t="n"/>
      <c r="O3802" s="5" t="n"/>
      <c r="P3802" s="5" t="n"/>
      <c r="Q3802" s="5" t="n"/>
      <c r="R3802" s="4" t="n"/>
      <c r="S3802" s="4" t="n"/>
      <c r="T3802" s="5" t="n"/>
      <c r="U3802" s="8">
        <f>IF(AND(V3802=1,D3802&lt;&gt;""),IF(D3802&gt;=corte,TODAY()-D3802,""),"")</f>
        <v/>
      </c>
      <c r="V3802" s="8">
        <f>IF(D3802="",0,IF(OR(AND(P3802&lt;&gt;"",S3802=""),AND(N(J3802)&gt;0,N(K3802)&lt;J3802),OR(M3802="PENDENTE",M3802="PARCIAL"),OR(N3802="PENDENTE",N3802="PARCIAL")),1,0))</f>
        <v/>
      </c>
      <c r="W3802" s="8">
        <f>IF(AND(V3802=1,D3802&lt;&gt;""),IF(D3802&gt;=corte,(B3802="CRÍTICO")*1E9+(100000-D3802)*10000+10000-ROW(),""),"")</f>
        <v/>
      </c>
      <c r="X3802" s="8">
        <f>IF(AND(V3802=1,D3802=pas_data,E3802=pas_turno),10000-ROW(),"")</f>
        <v/>
      </c>
    </row>
    <row r="3803">
      <c r="A3803" s="3">
        <f>IF(D3803="","","TT-"&amp;TEXT(ROW()-1,"00000"))</f>
        <v/>
      </c>
      <c r="B3803" s="3">
        <f>IF(D3803="","",IF(V3803=0,"CONCLUÍDO",IF(D3803&lt;corte,"HISTÓRICO",IF(OR(AND(ISNUMBER(R3803),R3803&lt;TODAY()),AND(OR(N3803="PENDENTE",N3803="PARCIAL"),D3803&lt;TODAY()-1)),"CRÍTICO",IF(OR(AND(P3803&lt;&gt;"",S3803=""),AND(N3803="REALIZADO",M3803="PENDENTE"),AND(ISNUMBER(R3803),R3803=TODAY())),"ATENÇÃO",IF(N(K3803)=0,"PENDENTE","EM ANDAMENTO"))))))</f>
        <v/>
      </c>
      <c r="C3803" s="3">
        <f>IF(D3803="","",IF(V3803=0,"🟢 OK",IF(D3803&lt;corte,"⚪ HISTÓRICO (sem baixa)",IF(AND(ISNUMBER(R3803),R3803&lt;TODAY()),"🔴 PRAZO VENCIDO",IF(AND(OR(N3803="PENDENTE",N3803="PARCIAL"),D3803&lt;TODAY()-1),"🔴 EMBARQUE ATRASADO",IF(AND(N3803="REALIZADO",M3803="PENDENTE"),"🟡 EMBARCADO SEM FATURAR",IF(AND(P3803&lt;&gt;"",S3803="",OR(Q3803="",R3803="")),"🟡 PENDÊNCIA SEM RESPONSÁVEL/PRAZO",IF(AND(ISNUMBER(R3803),R3803=TODAY()),"🟡 VENCE HOJE",IF(AND(P3803&lt;&gt;"",S3803=""),"🟡 PENDÊNCIA ABERTA",IF(AND(N(J3803)&gt;0,N(K3803)&lt;J3803),"🟡 FALTA EXECUTAR",IF(OR(M3803="PENDENTE",M3803="PARCIAL"),"🟡 FATURAMENTO PENDENTE","🟡 EMBARQUE PENDENTE")))))))))))</f>
        <v/>
      </c>
      <c r="D3803" s="4" t="n"/>
      <c r="E3803" s="5" t="n"/>
      <c r="F3803" s="5" t="n"/>
      <c r="G3803" s="5" t="n"/>
      <c r="H3803" s="5" t="n"/>
      <c r="I3803" s="5" t="n"/>
      <c r="J3803" s="6" t="n"/>
      <c r="K3803" s="6" t="n"/>
      <c r="L3803" s="7">
        <f>IF(OR(D3803="",N(J3803)=0),"",MIN(1,N(K3803)/J3803))</f>
        <v/>
      </c>
      <c r="M3803" s="5" t="n"/>
      <c r="N3803" s="5" t="n"/>
      <c r="O3803" s="5" t="n"/>
      <c r="P3803" s="5" t="n"/>
      <c r="Q3803" s="5" t="n"/>
      <c r="R3803" s="4" t="n"/>
      <c r="S3803" s="4" t="n"/>
      <c r="T3803" s="5" t="n"/>
      <c r="U3803" s="8">
        <f>IF(AND(V3803=1,D3803&lt;&gt;""),IF(D3803&gt;=corte,TODAY()-D3803,""),"")</f>
        <v/>
      </c>
      <c r="V3803" s="8">
        <f>IF(D3803="",0,IF(OR(AND(P3803&lt;&gt;"",S3803=""),AND(N(J3803)&gt;0,N(K3803)&lt;J3803),OR(M3803="PENDENTE",M3803="PARCIAL"),OR(N3803="PENDENTE",N3803="PARCIAL")),1,0))</f>
        <v/>
      </c>
      <c r="W3803" s="8">
        <f>IF(AND(V3803=1,D3803&lt;&gt;""),IF(D3803&gt;=corte,(B3803="CRÍTICO")*1E9+(100000-D3803)*10000+10000-ROW(),""),"")</f>
        <v/>
      </c>
      <c r="X3803" s="8">
        <f>IF(AND(V3803=1,D3803=pas_data,E3803=pas_turno),10000-ROW(),"")</f>
        <v/>
      </c>
    </row>
    <row r="3804">
      <c r="A3804" s="3">
        <f>IF(D3804="","","TT-"&amp;TEXT(ROW()-1,"00000"))</f>
        <v/>
      </c>
      <c r="B3804" s="3">
        <f>IF(D3804="","",IF(V3804=0,"CONCLUÍDO",IF(D3804&lt;corte,"HISTÓRICO",IF(OR(AND(ISNUMBER(R3804),R3804&lt;TODAY()),AND(OR(N3804="PENDENTE",N3804="PARCIAL"),D3804&lt;TODAY()-1)),"CRÍTICO",IF(OR(AND(P3804&lt;&gt;"",S3804=""),AND(N3804="REALIZADO",M3804="PENDENTE"),AND(ISNUMBER(R3804),R3804=TODAY())),"ATENÇÃO",IF(N(K3804)=0,"PENDENTE","EM ANDAMENTO"))))))</f>
        <v/>
      </c>
      <c r="C3804" s="3">
        <f>IF(D3804="","",IF(V3804=0,"🟢 OK",IF(D3804&lt;corte,"⚪ HISTÓRICO (sem baixa)",IF(AND(ISNUMBER(R3804),R3804&lt;TODAY()),"🔴 PRAZO VENCIDO",IF(AND(OR(N3804="PENDENTE",N3804="PARCIAL"),D3804&lt;TODAY()-1),"🔴 EMBARQUE ATRASADO",IF(AND(N3804="REALIZADO",M3804="PENDENTE"),"🟡 EMBARCADO SEM FATURAR",IF(AND(P3804&lt;&gt;"",S3804="",OR(Q3804="",R3804="")),"🟡 PENDÊNCIA SEM RESPONSÁVEL/PRAZO",IF(AND(ISNUMBER(R3804),R3804=TODAY()),"🟡 VENCE HOJE",IF(AND(P3804&lt;&gt;"",S3804=""),"🟡 PENDÊNCIA ABERTA",IF(AND(N(J3804)&gt;0,N(K3804)&lt;J3804),"🟡 FALTA EXECUTAR",IF(OR(M3804="PENDENTE",M3804="PARCIAL"),"🟡 FATURAMENTO PENDENTE","🟡 EMBARQUE PENDENTE")))))))))))</f>
        <v/>
      </c>
      <c r="D3804" s="4" t="n"/>
      <c r="E3804" s="5" t="n"/>
      <c r="F3804" s="5" t="n"/>
      <c r="G3804" s="5" t="n"/>
      <c r="H3804" s="5" t="n"/>
      <c r="I3804" s="5" t="n"/>
      <c r="J3804" s="6" t="n"/>
      <c r="K3804" s="6" t="n"/>
      <c r="L3804" s="7">
        <f>IF(OR(D3804="",N(J3804)=0),"",MIN(1,N(K3804)/J3804))</f>
        <v/>
      </c>
      <c r="M3804" s="5" t="n"/>
      <c r="N3804" s="5" t="n"/>
      <c r="O3804" s="5" t="n"/>
      <c r="P3804" s="5" t="n"/>
      <c r="Q3804" s="5" t="n"/>
      <c r="R3804" s="4" t="n"/>
      <c r="S3804" s="4" t="n"/>
      <c r="T3804" s="5" t="n"/>
      <c r="U3804" s="8">
        <f>IF(AND(V3804=1,D3804&lt;&gt;""),IF(D3804&gt;=corte,TODAY()-D3804,""),"")</f>
        <v/>
      </c>
      <c r="V3804" s="8">
        <f>IF(D3804="",0,IF(OR(AND(P3804&lt;&gt;"",S3804=""),AND(N(J3804)&gt;0,N(K3804)&lt;J3804),OR(M3804="PENDENTE",M3804="PARCIAL"),OR(N3804="PENDENTE",N3804="PARCIAL")),1,0))</f>
        <v/>
      </c>
      <c r="W3804" s="8">
        <f>IF(AND(V3804=1,D3804&lt;&gt;""),IF(D3804&gt;=corte,(B3804="CRÍTICO")*1E9+(100000-D3804)*10000+10000-ROW(),""),"")</f>
        <v/>
      </c>
      <c r="X3804" s="8">
        <f>IF(AND(V3804=1,D3804=pas_data,E3804=pas_turno),10000-ROW(),"")</f>
        <v/>
      </c>
    </row>
    <row r="3805">
      <c r="A3805" s="3">
        <f>IF(D3805="","","TT-"&amp;TEXT(ROW()-1,"00000"))</f>
        <v/>
      </c>
      <c r="B3805" s="3">
        <f>IF(D3805="","",IF(V3805=0,"CONCLUÍDO",IF(D3805&lt;corte,"HISTÓRICO",IF(OR(AND(ISNUMBER(R3805),R3805&lt;TODAY()),AND(OR(N3805="PENDENTE",N3805="PARCIAL"),D3805&lt;TODAY()-1)),"CRÍTICO",IF(OR(AND(P3805&lt;&gt;"",S3805=""),AND(N3805="REALIZADO",M3805="PENDENTE"),AND(ISNUMBER(R3805),R3805=TODAY())),"ATENÇÃO",IF(N(K3805)=0,"PENDENTE","EM ANDAMENTO"))))))</f>
        <v/>
      </c>
      <c r="C3805" s="3">
        <f>IF(D3805="","",IF(V3805=0,"🟢 OK",IF(D3805&lt;corte,"⚪ HISTÓRICO (sem baixa)",IF(AND(ISNUMBER(R3805),R3805&lt;TODAY()),"🔴 PRAZO VENCIDO",IF(AND(OR(N3805="PENDENTE",N3805="PARCIAL"),D3805&lt;TODAY()-1),"🔴 EMBARQUE ATRASADO",IF(AND(N3805="REALIZADO",M3805="PENDENTE"),"🟡 EMBARCADO SEM FATURAR",IF(AND(P3805&lt;&gt;"",S3805="",OR(Q3805="",R3805="")),"🟡 PENDÊNCIA SEM RESPONSÁVEL/PRAZO",IF(AND(ISNUMBER(R3805),R3805=TODAY()),"🟡 VENCE HOJE",IF(AND(P3805&lt;&gt;"",S3805=""),"🟡 PENDÊNCIA ABERTA",IF(AND(N(J3805)&gt;0,N(K3805)&lt;J3805),"🟡 FALTA EXECUTAR",IF(OR(M3805="PENDENTE",M3805="PARCIAL"),"🟡 FATURAMENTO PENDENTE","🟡 EMBARQUE PENDENTE")))))))))))</f>
        <v/>
      </c>
      <c r="D3805" s="4" t="n"/>
      <c r="E3805" s="5" t="n"/>
      <c r="F3805" s="5" t="n"/>
      <c r="G3805" s="5" t="n"/>
      <c r="H3805" s="5" t="n"/>
      <c r="I3805" s="5" t="n"/>
      <c r="J3805" s="6" t="n"/>
      <c r="K3805" s="6" t="n"/>
      <c r="L3805" s="7">
        <f>IF(OR(D3805="",N(J3805)=0),"",MIN(1,N(K3805)/J3805))</f>
        <v/>
      </c>
      <c r="M3805" s="5" t="n"/>
      <c r="N3805" s="5" t="n"/>
      <c r="O3805" s="5" t="n"/>
      <c r="P3805" s="5" t="n"/>
      <c r="Q3805" s="5" t="n"/>
      <c r="R3805" s="4" t="n"/>
      <c r="S3805" s="4" t="n"/>
      <c r="T3805" s="5" t="n"/>
      <c r="U3805" s="8">
        <f>IF(AND(V3805=1,D3805&lt;&gt;""),IF(D3805&gt;=corte,TODAY()-D3805,""),"")</f>
        <v/>
      </c>
      <c r="V3805" s="8">
        <f>IF(D3805="",0,IF(OR(AND(P3805&lt;&gt;"",S3805=""),AND(N(J3805)&gt;0,N(K3805)&lt;J3805),OR(M3805="PENDENTE",M3805="PARCIAL"),OR(N3805="PENDENTE",N3805="PARCIAL")),1,0))</f>
        <v/>
      </c>
      <c r="W3805" s="8">
        <f>IF(AND(V3805=1,D3805&lt;&gt;""),IF(D3805&gt;=corte,(B3805="CRÍTICO")*1E9+(100000-D3805)*10000+10000-ROW(),""),"")</f>
        <v/>
      </c>
      <c r="X3805" s="8">
        <f>IF(AND(V3805=1,D3805=pas_data,E3805=pas_turno),10000-ROW(),"")</f>
        <v/>
      </c>
    </row>
    <row r="3806">
      <c r="A3806" s="3">
        <f>IF(D3806="","","TT-"&amp;TEXT(ROW()-1,"00000"))</f>
        <v/>
      </c>
      <c r="B3806" s="3">
        <f>IF(D3806="","",IF(V3806=0,"CONCLUÍDO",IF(D3806&lt;corte,"HISTÓRICO",IF(OR(AND(ISNUMBER(R3806),R3806&lt;TODAY()),AND(OR(N3806="PENDENTE",N3806="PARCIAL"),D3806&lt;TODAY()-1)),"CRÍTICO",IF(OR(AND(P3806&lt;&gt;"",S3806=""),AND(N3806="REALIZADO",M3806="PENDENTE"),AND(ISNUMBER(R3806),R3806=TODAY())),"ATENÇÃO",IF(N(K3806)=0,"PENDENTE","EM ANDAMENTO"))))))</f>
        <v/>
      </c>
      <c r="C3806" s="3">
        <f>IF(D3806="","",IF(V3806=0,"🟢 OK",IF(D3806&lt;corte,"⚪ HISTÓRICO (sem baixa)",IF(AND(ISNUMBER(R3806),R3806&lt;TODAY()),"🔴 PRAZO VENCIDO",IF(AND(OR(N3806="PENDENTE",N3806="PARCIAL"),D3806&lt;TODAY()-1),"🔴 EMBARQUE ATRASADO",IF(AND(N3806="REALIZADO",M3806="PENDENTE"),"🟡 EMBARCADO SEM FATURAR",IF(AND(P3806&lt;&gt;"",S3806="",OR(Q3806="",R3806="")),"🟡 PENDÊNCIA SEM RESPONSÁVEL/PRAZO",IF(AND(ISNUMBER(R3806),R3806=TODAY()),"🟡 VENCE HOJE",IF(AND(P3806&lt;&gt;"",S3806=""),"🟡 PENDÊNCIA ABERTA",IF(AND(N(J3806)&gt;0,N(K3806)&lt;J3806),"🟡 FALTA EXECUTAR",IF(OR(M3806="PENDENTE",M3806="PARCIAL"),"🟡 FATURAMENTO PENDENTE","🟡 EMBARQUE PENDENTE")))))))))))</f>
        <v/>
      </c>
      <c r="D3806" s="4" t="n"/>
      <c r="E3806" s="5" t="n"/>
      <c r="F3806" s="5" t="n"/>
      <c r="G3806" s="5" t="n"/>
      <c r="H3806" s="5" t="n"/>
      <c r="I3806" s="5" t="n"/>
      <c r="J3806" s="6" t="n"/>
      <c r="K3806" s="6" t="n"/>
      <c r="L3806" s="7">
        <f>IF(OR(D3806="",N(J3806)=0),"",MIN(1,N(K3806)/J3806))</f>
        <v/>
      </c>
      <c r="M3806" s="5" t="n"/>
      <c r="N3806" s="5" t="n"/>
      <c r="O3806" s="5" t="n"/>
      <c r="P3806" s="5" t="n"/>
      <c r="Q3806" s="5" t="n"/>
      <c r="R3806" s="4" t="n"/>
      <c r="S3806" s="4" t="n"/>
      <c r="T3806" s="5" t="n"/>
      <c r="U3806" s="8">
        <f>IF(AND(V3806=1,D3806&lt;&gt;""),IF(D3806&gt;=corte,TODAY()-D3806,""),"")</f>
        <v/>
      </c>
      <c r="V3806" s="8">
        <f>IF(D3806="",0,IF(OR(AND(P3806&lt;&gt;"",S3806=""),AND(N(J3806)&gt;0,N(K3806)&lt;J3806),OR(M3806="PENDENTE",M3806="PARCIAL"),OR(N3806="PENDENTE",N3806="PARCIAL")),1,0))</f>
        <v/>
      </c>
      <c r="W3806" s="8">
        <f>IF(AND(V3806=1,D3806&lt;&gt;""),IF(D3806&gt;=corte,(B3806="CRÍTICO")*1E9+(100000-D3806)*10000+10000-ROW(),""),"")</f>
        <v/>
      </c>
      <c r="X3806" s="8">
        <f>IF(AND(V3806=1,D3806=pas_data,E3806=pas_turno),10000-ROW(),"")</f>
        <v/>
      </c>
    </row>
    <row r="3807">
      <c r="A3807" s="3">
        <f>IF(D3807="","","TT-"&amp;TEXT(ROW()-1,"00000"))</f>
        <v/>
      </c>
      <c r="B3807" s="3">
        <f>IF(D3807="","",IF(V3807=0,"CONCLUÍDO",IF(D3807&lt;corte,"HISTÓRICO",IF(OR(AND(ISNUMBER(R3807),R3807&lt;TODAY()),AND(OR(N3807="PENDENTE",N3807="PARCIAL"),D3807&lt;TODAY()-1)),"CRÍTICO",IF(OR(AND(P3807&lt;&gt;"",S3807=""),AND(N3807="REALIZADO",M3807="PENDENTE"),AND(ISNUMBER(R3807),R3807=TODAY())),"ATENÇÃO",IF(N(K3807)=0,"PENDENTE","EM ANDAMENTO"))))))</f>
        <v/>
      </c>
      <c r="C3807" s="3">
        <f>IF(D3807="","",IF(V3807=0,"🟢 OK",IF(D3807&lt;corte,"⚪ HISTÓRICO (sem baixa)",IF(AND(ISNUMBER(R3807),R3807&lt;TODAY()),"🔴 PRAZO VENCIDO",IF(AND(OR(N3807="PENDENTE",N3807="PARCIAL"),D3807&lt;TODAY()-1),"🔴 EMBARQUE ATRASADO",IF(AND(N3807="REALIZADO",M3807="PENDENTE"),"🟡 EMBARCADO SEM FATURAR",IF(AND(P3807&lt;&gt;"",S3807="",OR(Q3807="",R3807="")),"🟡 PENDÊNCIA SEM RESPONSÁVEL/PRAZO",IF(AND(ISNUMBER(R3807),R3807=TODAY()),"🟡 VENCE HOJE",IF(AND(P3807&lt;&gt;"",S3807=""),"🟡 PENDÊNCIA ABERTA",IF(AND(N(J3807)&gt;0,N(K3807)&lt;J3807),"🟡 FALTA EXECUTAR",IF(OR(M3807="PENDENTE",M3807="PARCIAL"),"🟡 FATURAMENTO PENDENTE","🟡 EMBARQUE PENDENTE")))))))))))</f>
        <v/>
      </c>
      <c r="D3807" s="4" t="n"/>
      <c r="E3807" s="5" t="n"/>
      <c r="F3807" s="5" t="n"/>
      <c r="G3807" s="5" t="n"/>
      <c r="H3807" s="5" t="n"/>
      <c r="I3807" s="5" t="n"/>
      <c r="J3807" s="6" t="n"/>
      <c r="K3807" s="6" t="n"/>
      <c r="L3807" s="7">
        <f>IF(OR(D3807="",N(J3807)=0),"",MIN(1,N(K3807)/J3807))</f>
        <v/>
      </c>
      <c r="M3807" s="5" t="n"/>
      <c r="N3807" s="5" t="n"/>
      <c r="O3807" s="5" t="n"/>
      <c r="P3807" s="5" t="n"/>
      <c r="Q3807" s="5" t="n"/>
      <c r="R3807" s="4" t="n"/>
      <c r="S3807" s="4" t="n"/>
      <c r="T3807" s="5" t="n"/>
      <c r="U3807" s="8">
        <f>IF(AND(V3807=1,D3807&lt;&gt;""),IF(D3807&gt;=corte,TODAY()-D3807,""),"")</f>
        <v/>
      </c>
      <c r="V3807" s="8">
        <f>IF(D3807="",0,IF(OR(AND(P3807&lt;&gt;"",S3807=""),AND(N(J3807)&gt;0,N(K3807)&lt;J3807),OR(M3807="PENDENTE",M3807="PARCIAL"),OR(N3807="PENDENTE",N3807="PARCIAL")),1,0))</f>
        <v/>
      </c>
      <c r="W3807" s="8">
        <f>IF(AND(V3807=1,D3807&lt;&gt;""),IF(D3807&gt;=corte,(B3807="CRÍTICO")*1E9+(100000-D3807)*10000+10000-ROW(),""),"")</f>
        <v/>
      </c>
      <c r="X3807" s="8">
        <f>IF(AND(V3807=1,D3807=pas_data,E3807=pas_turno),10000-ROW(),"")</f>
        <v/>
      </c>
    </row>
    <row r="3808">
      <c r="A3808" s="3">
        <f>IF(D3808="","","TT-"&amp;TEXT(ROW()-1,"00000"))</f>
        <v/>
      </c>
      <c r="B3808" s="3">
        <f>IF(D3808="","",IF(V3808=0,"CONCLUÍDO",IF(D3808&lt;corte,"HISTÓRICO",IF(OR(AND(ISNUMBER(R3808),R3808&lt;TODAY()),AND(OR(N3808="PENDENTE",N3808="PARCIAL"),D3808&lt;TODAY()-1)),"CRÍTICO",IF(OR(AND(P3808&lt;&gt;"",S3808=""),AND(N3808="REALIZADO",M3808="PENDENTE"),AND(ISNUMBER(R3808),R3808=TODAY())),"ATENÇÃO",IF(N(K3808)=0,"PENDENTE","EM ANDAMENTO"))))))</f>
        <v/>
      </c>
      <c r="C3808" s="3">
        <f>IF(D3808="","",IF(V3808=0,"🟢 OK",IF(D3808&lt;corte,"⚪ HISTÓRICO (sem baixa)",IF(AND(ISNUMBER(R3808),R3808&lt;TODAY()),"🔴 PRAZO VENCIDO",IF(AND(OR(N3808="PENDENTE",N3808="PARCIAL"),D3808&lt;TODAY()-1),"🔴 EMBARQUE ATRASADO",IF(AND(N3808="REALIZADO",M3808="PENDENTE"),"🟡 EMBARCADO SEM FATURAR",IF(AND(P3808&lt;&gt;"",S3808="",OR(Q3808="",R3808="")),"🟡 PENDÊNCIA SEM RESPONSÁVEL/PRAZO",IF(AND(ISNUMBER(R3808),R3808=TODAY()),"🟡 VENCE HOJE",IF(AND(P3808&lt;&gt;"",S3808=""),"🟡 PENDÊNCIA ABERTA",IF(AND(N(J3808)&gt;0,N(K3808)&lt;J3808),"🟡 FALTA EXECUTAR",IF(OR(M3808="PENDENTE",M3808="PARCIAL"),"🟡 FATURAMENTO PENDENTE","🟡 EMBARQUE PENDENTE")))))))))))</f>
        <v/>
      </c>
      <c r="D3808" s="4" t="n"/>
      <c r="E3808" s="5" t="n"/>
      <c r="F3808" s="5" t="n"/>
      <c r="G3808" s="5" t="n"/>
      <c r="H3808" s="5" t="n"/>
      <c r="I3808" s="5" t="n"/>
      <c r="J3808" s="6" t="n"/>
      <c r="K3808" s="6" t="n"/>
      <c r="L3808" s="7">
        <f>IF(OR(D3808="",N(J3808)=0),"",MIN(1,N(K3808)/J3808))</f>
        <v/>
      </c>
      <c r="M3808" s="5" t="n"/>
      <c r="N3808" s="5" t="n"/>
      <c r="O3808" s="5" t="n"/>
      <c r="P3808" s="5" t="n"/>
      <c r="Q3808" s="5" t="n"/>
      <c r="R3808" s="4" t="n"/>
      <c r="S3808" s="4" t="n"/>
      <c r="T3808" s="5" t="n"/>
      <c r="U3808" s="8">
        <f>IF(AND(V3808=1,D3808&lt;&gt;""),IF(D3808&gt;=corte,TODAY()-D3808,""),"")</f>
        <v/>
      </c>
      <c r="V3808" s="8">
        <f>IF(D3808="",0,IF(OR(AND(P3808&lt;&gt;"",S3808=""),AND(N(J3808)&gt;0,N(K3808)&lt;J3808),OR(M3808="PENDENTE",M3808="PARCIAL"),OR(N3808="PENDENTE",N3808="PARCIAL")),1,0))</f>
        <v/>
      </c>
      <c r="W3808" s="8">
        <f>IF(AND(V3808=1,D3808&lt;&gt;""),IF(D3808&gt;=corte,(B3808="CRÍTICO")*1E9+(100000-D3808)*10000+10000-ROW(),""),"")</f>
        <v/>
      </c>
      <c r="X3808" s="8">
        <f>IF(AND(V3808=1,D3808=pas_data,E3808=pas_turno),10000-ROW(),"")</f>
        <v/>
      </c>
    </row>
    <row r="3809">
      <c r="A3809" s="3">
        <f>IF(D3809="","","TT-"&amp;TEXT(ROW()-1,"00000"))</f>
        <v/>
      </c>
      <c r="B3809" s="3">
        <f>IF(D3809="","",IF(V3809=0,"CONCLUÍDO",IF(D3809&lt;corte,"HISTÓRICO",IF(OR(AND(ISNUMBER(R3809),R3809&lt;TODAY()),AND(OR(N3809="PENDENTE",N3809="PARCIAL"),D3809&lt;TODAY()-1)),"CRÍTICO",IF(OR(AND(P3809&lt;&gt;"",S3809=""),AND(N3809="REALIZADO",M3809="PENDENTE"),AND(ISNUMBER(R3809),R3809=TODAY())),"ATENÇÃO",IF(N(K3809)=0,"PENDENTE","EM ANDAMENTO"))))))</f>
        <v/>
      </c>
      <c r="C3809" s="3">
        <f>IF(D3809="","",IF(V3809=0,"🟢 OK",IF(D3809&lt;corte,"⚪ HISTÓRICO (sem baixa)",IF(AND(ISNUMBER(R3809),R3809&lt;TODAY()),"🔴 PRAZO VENCIDO",IF(AND(OR(N3809="PENDENTE",N3809="PARCIAL"),D3809&lt;TODAY()-1),"🔴 EMBARQUE ATRASADO",IF(AND(N3809="REALIZADO",M3809="PENDENTE"),"🟡 EMBARCADO SEM FATURAR",IF(AND(P3809&lt;&gt;"",S3809="",OR(Q3809="",R3809="")),"🟡 PENDÊNCIA SEM RESPONSÁVEL/PRAZO",IF(AND(ISNUMBER(R3809),R3809=TODAY()),"🟡 VENCE HOJE",IF(AND(P3809&lt;&gt;"",S3809=""),"🟡 PENDÊNCIA ABERTA",IF(AND(N(J3809)&gt;0,N(K3809)&lt;J3809),"🟡 FALTA EXECUTAR",IF(OR(M3809="PENDENTE",M3809="PARCIAL"),"🟡 FATURAMENTO PENDENTE","🟡 EMBARQUE PENDENTE")))))))))))</f>
        <v/>
      </c>
      <c r="D3809" s="4" t="n"/>
      <c r="E3809" s="5" t="n"/>
      <c r="F3809" s="5" t="n"/>
      <c r="G3809" s="5" t="n"/>
      <c r="H3809" s="5" t="n"/>
      <c r="I3809" s="5" t="n"/>
      <c r="J3809" s="6" t="n"/>
      <c r="K3809" s="6" t="n"/>
      <c r="L3809" s="7">
        <f>IF(OR(D3809="",N(J3809)=0),"",MIN(1,N(K3809)/J3809))</f>
        <v/>
      </c>
      <c r="M3809" s="5" t="n"/>
      <c r="N3809" s="5" t="n"/>
      <c r="O3809" s="5" t="n"/>
      <c r="P3809" s="5" t="n"/>
      <c r="Q3809" s="5" t="n"/>
      <c r="R3809" s="4" t="n"/>
      <c r="S3809" s="4" t="n"/>
      <c r="T3809" s="5" t="n"/>
      <c r="U3809" s="8">
        <f>IF(AND(V3809=1,D3809&lt;&gt;""),IF(D3809&gt;=corte,TODAY()-D3809,""),"")</f>
        <v/>
      </c>
      <c r="V3809" s="8">
        <f>IF(D3809="",0,IF(OR(AND(P3809&lt;&gt;"",S3809=""),AND(N(J3809)&gt;0,N(K3809)&lt;J3809),OR(M3809="PENDENTE",M3809="PARCIAL"),OR(N3809="PENDENTE",N3809="PARCIAL")),1,0))</f>
        <v/>
      </c>
      <c r="W3809" s="8">
        <f>IF(AND(V3809=1,D3809&lt;&gt;""),IF(D3809&gt;=corte,(B3809="CRÍTICO")*1E9+(100000-D3809)*10000+10000-ROW(),""),"")</f>
        <v/>
      </c>
      <c r="X3809" s="8">
        <f>IF(AND(V3809=1,D3809=pas_data,E3809=pas_turno),10000-ROW(),"")</f>
        <v/>
      </c>
    </row>
    <row r="3810">
      <c r="A3810" s="3">
        <f>IF(D3810="","","TT-"&amp;TEXT(ROW()-1,"00000"))</f>
        <v/>
      </c>
      <c r="B3810" s="3">
        <f>IF(D3810="","",IF(V3810=0,"CONCLUÍDO",IF(D3810&lt;corte,"HISTÓRICO",IF(OR(AND(ISNUMBER(R3810),R3810&lt;TODAY()),AND(OR(N3810="PENDENTE",N3810="PARCIAL"),D3810&lt;TODAY()-1)),"CRÍTICO",IF(OR(AND(P3810&lt;&gt;"",S3810=""),AND(N3810="REALIZADO",M3810="PENDENTE"),AND(ISNUMBER(R3810),R3810=TODAY())),"ATENÇÃO",IF(N(K3810)=0,"PENDENTE","EM ANDAMENTO"))))))</f>
        <v/>
      </c>
      <c r="C3810" s="3">
        <f>IF(D3810="","",IF(V3810=0,"🟢 OK",IF(D3810&lt;corte,"⚪ HISTÓRICO (sem baixa)",IF(AND(ISNUMBER(R3810),R3810&lt;TODAY()),"🔴 PRAZO VENCIDO",IF(AND(OR(N3810="PENDENTE",N3810="PARCIAL"),D3810&lt;TODAY()-1),"🔴 EMBARQUE ATRASADO",IF(AND(N3810="REALIZADO",M3810="PENDENTE"),"🟡 EMBARCADO SEM FATURAR",IF(AND(P3810&lt;&gt;"",S3810="",OR(Q3810="",R3810="")),"🟡 PENDÊNCIA SEM RESPONSÁVEL/PRAZO",IF(AND(ISNUMBER(R3810),R3810=TODAY()),"🟡 VENCE HOJE",IF(AND(P3810&lt;&gt;"",S3810=""),"🟡 PENDÊNCIA ABERTA",IF(AND(N(J3810)&gt;0,N(K3810)&lt;J3810),"🟡 FALTA EXECUTAR",IF(OR(M3810="PENDENTE",M3810="PARCIAL"),"🟡 FATURAMENTO PENDENTE","🟡 EMBARQUE PENDENTE")))))))))))</f>
        <v/>
      </c>
      <c r="D3810" s="4" t="n"/>
      <c r="E3810" s="5" t="n"/>
      <c r="F3810" s="5" t="n"/>
      <c r="G3810" s="5" t="n"/>
      <c r="H3810" s="5" t="n"/>
      <c r="I3810" s="5" t="n"/>
      <c r="J3810" s="6" t="n"/>
      <c r="K3810" s="6" t="n"/>
      <c r="L3810" s="7">
        <f>IF(OR(D3810="",N(J3810)=0),"",MIN(1,N(K3810)/J3810))</f>
        <v/>
      </c>
      <c r="M3810" s="5" t="n"/>
      <c r="N3810" s="5" t="n"/>
      <c r="O3810" s="5" t="n"/>
      <c r="P3810" s="5" t="n"/>
      <c r="Q3810" s="5" t="n"/>
      <c r="R3810" s="4" t="n"/>
      <c r="S3810" s="4" t="n"/>
      <c r="T3810" s="5" t="n"/>
      <c r="U3810" s="8">
        <f>IF(AND(V3810=1,D3810&lt;&gt;""),IF(D3810&gt;=corte,TODAY()-D3810,""),"")</f>
        <v/>
      </c>
      <c r="V3810" s="8">
        <f>IF(D3810="",0,IF(OR(AND(P3810&lt;&gt;"",S3810=""),AND(N(J3810)&gt;0,N(K3810)&lt;J3810),OR(M3810="PENDENTE",M3810="PARCIAL"),OR(N3810="PENDENTE",N3810="PARCIAL")),1,0))</f>
        <v/>
      </c>
      <c r="W3810" s="8">
        <f>IF(AND(V3810=1,D3810&lt;&gt;""),IF(D3810&gt;=corte,(B3810="CRÍTICO")*1E9+(100000-D3810)*10000+10000-ROW(),""),"")</f>
        <v/>
      </c>
      <c r="X3810" s="8">
        <f>IF(AND(V3810=1,D3810=pas_data,E3810=pas_turno),10000-ROW(),"")</f>
        <v/>
      </c>
    </row>
    <row r="3811">
      <c r="A3811" s="3">
        <f>IF(D3811="","","TT-"&amp;TEXT(ROW()-1,"00000"))</f>
        <v/>
      </c>
      <c r="B3811" s="3">
        <f>IF(D3811="","",IF(V3811=0,"CONCLUÍDO",IF(D3811&lt;corte,"HISTÓRICO",IF(OR(AND(ISNUMBER(R3811),R3811&lt;TODAY()),AND(OR(N3811="PENDENTE",N3811="PARCIAL"),D3811&lt;TODAY()-1)),"CRÍTICO",IF(OR(AND(P3811&lt;&gt;"",S3811=""),AND(N3811="REALIZADO",M3811="PENDENTE"),AND(ISNUMBER(R3811),R3811=TODAY())),"ATENÇÃO",IF(N(K3811)=0,"PENDENTE","EM ANDAMENTO"))))))</f>
        <v/>
      </c>
      <c r="C3811" s="3">
        <f>IF(D3811="","",IF(V3811=0,"🟢 OK",IF(D3811&lt;corte,"⚪ HISTÓRICO (sem baixa)",IF(AND(ISNUMBER(R3811),R3811&lt;TODAY()),"🔴 PRAZO VENCIDO",IF(AND(OR(N3811="PENDENTE",N3811="PARCIAL"),D3811&lt;TODAY()-1),"🔴 EMBARQUE ATRASADO",IF(AND(N3811="REALIZADO",M3811="PENDENTE"),"🟡 EMBARCADO SEM FATURAR",IF(AND(P3811&lt;&gt;"",S3811="",OR(Q3811="",R3811="")),"🟡 PENDÊNCIA SEM RESPONSÁVEL/PRAZO",IF(AND(ISNUMBER(R3811),R3811=TODAY()),"🟡 VENCE HOJE",IF(AND(P3811&lt;&gt;"",S3811=""),"🟡 PENDÊNCIA ABERTA",IF(AND(N(J3811)&gt;0,N(K3811)&lt;J3811),"🟡 FALTA EXECUTAR",IF(OR(M3811="PENDENTE",M3811="PARCIAL"),"🟡 FATURAMENTO PENDENTE","🟡 EMBARQUE PENDENTE")))))))))))</f>
        <v/>
      </c>
      <c r="D3811" s="4" t="n"/>
      <c r="E3811" s="5" t="n"/>
      <c r="F3811" s="5" t="n"/>
      <c r="G3811" s="5" t="n"/>
      <c r="H3811" s="5" t="n"/>
      <c r="I3811" s="5" t="n"/>
      <c r="J3811" s="6" t="n"/>
      <c r="K3811" s="6" t="n"/>
      <c r="L3811" s="7">
        <f>IF(OR(D3811="",N(J3811)=0),"",MIN(1,N(K3811)/J3811))</f>
        <v/>
      </c>
      <c r="M3811" s="5" t="n"/>
      <c r="N3811" s="5" t="n"/>
      <c r="O3811" s="5" t="n"/>
      <c r="P3811" s="5" t="n"/>
      <c r="Q3811" s="5" t="n"/>
      <c r="R3811" s="4" t="n"/>
      <c r="S3811" s="4" t="n"/>
      <c r="T3811" s="5" t="n"/>
      <c r="U3811" s="8">
        <f>IF(AND(V3811=1,D3811&lt;&gt;""),IF(D3811&gt;=corte,TODAY()-D3811,""),"")</f>
        <v/>
      </c>
      <c r="V3811" s="8">
        <f>IF(D3811="",0,IF(OR(AND(P3811&lt;&gt;"",S3811=""),AND(N(J3811)&gt;0,N(K3811)&lt;J3811),OR(M3811="PENDENTE",M3811="PARCIAL"),OR(N3811="PENDENTE",N3811="PARCIAL")),1,0))</f>
        <v/>
      </c>
      <c r="W3811" s="8">
        <f>IF(AND(V3811=1,D3811&lt;&gt;""),IF(D3811&gt;=corte,(B3811="CRÍTICO")*1E9+(100000-D3811)*10000+10000-ROW(),""),"")</f>
        <v/>
      </c>
      <c r="X3811" s="8">
        <f>IF(AND(V3811=1,D3811=pas_data,E3811=pas_turno),10000-ROW(),"")</f>
        <v/>
      </c>
    </row>
    <row r="3812">
      <c r="A3812" s="3">
        <f>IF(D3812="","","TT-"&amp;TEXT(ROW()-1,"00000"))</f>
        <v/>
      </c>
      <c r="B3812" s="3">
        <f>IF(D3812="","",IF(V3812=0,"CONCLUÍDO",IF(D3812&lt;corte,"HISTÓRICO",IF(OR(AND(ISNUMBER(R3812),R3812&lt;TODAY()),AND(OR(N3812="PENDENTE",N3812="PARCIAL"),D3812&lt;TODAY()-1)),"CRÍTICO",IF(OR(AND(P3812&lt;&gt;"",S3812=""),AND(N3812="REALIZADO",M3812="PENDENTE"),AND(ISNUMBER(R3812),R3812=TODAY())),"ATENÇÃO",IF(N(K3812)=0,"PENDENTE","EM ANDAMENTO"))))))</f>
        <v/>
      </c>
      <c r="C3812" s="3">
        <f>IF(D3812="","",IF(V3812=0,"🟢 OK",IF(D3812&lt;corte,"⚪ HISTÓRICO (sem baixa)",IF(AND(ISNUMBER(R3812),R3812&lt;TODAY()),"🔴 PRAZO VENCIDO",IF(AND(OR(N3812="PENDENTE",N3812="PARCIAL"),D3812&lt;TODAY()-1),"🔴 EMBARQUE ATRASADO",IF(AND(N3812="REALIZADO",M3812="PENDENTE"),"🟡 EMBARCADO SEM FATURAR",IF(AND(P3812&lt;&gt;"",S3812="",OR(Q3812="",R3812="")),"🟡 PENDÊNCIA SEM RESPONSÁVEL/PRAZO",IF(AND(ISNUMBER(R3812),R3812=TODAY()),"🟡 VENCE HOJE",IF(AND(P3812&lt;&gt;"",S3812=""),"🟡 PENDÊNCIA ABERTA",IF(AND(N(J3812)&gt;0,N(K3812)&lt;J3812),"🟡 FALTA EXECUTAR",IF(OR(M3812="PENDENTE",M3812="PARCIAL"),"🟡 FATURAMENTO PENDENTE","🟡 EMBARQUE PENDENTE")))))))))))</f>
        <v/>
      </c>
      <c r="D3812" s="4" t="n"/>
      <c r="E3812" s="5" t="n"/>
      <c r="F3812" s="5" t="n"/>
      <c r="G3812" s="5" t="n"/>
      <c r="H3812" s="5" t="n"/>
      <c r="I3812" s="5" t="n"/>
      <c r="J3812" s="6" t="n"/>
      <c r="K3812" s="6" t="n"/>
      <c r="L3812" s="7">
        <f>IF(OR(D3812="",N(J3812)=0),"",MIN(1,N(K3812)/J3812))</f>
        <v/>
      </c>
      <c r="M3812" s="5" t="n"/>
      <c r="N3812" s="5" t="n"/>
      <c r="O3812" s="5" t="n"/>
      <c r="P3812" s="5" t="n"/>
      <c r="Q3812" s="5" t="n"/>
      <c r="R3812" s="4" t="n"/>
      <c r="S3812" s="4" t="n"/>
      <c r="T3812" s="5" t="n"/>
      <c r="U3812" s="8">
        <f>IF(AND(V3812=1,D3812&lt;&gt;""),IF(D3812&gt;=corte,TODAY()-D3812,""),"")</f>
        <v/>
      </c>
      <c r="V3812" s="8">
        <f>IF(D3812="",0,IF(OR(AND(P3812&lt;&gt;"",S3812=""),AND(N(J3812)&gt;0,N(K3812)&lt;J3812),OR(M3812="PENDENTE",M3812="PARCIAL"),OR(N3812="PENDENTE",N3812="PARCIAL")),1,0))</f>
        <v/>
      </c>
      <c r="W3812" s="8">
        <f>IF(AND(V3812=1,D3812&lt;&gt;""),IF(D3812&gt;=corte,(B3812="CRÍTICO")*1E9+(100000-D3812)*10000+10000-ROW(),""),"")</f>
        <v/>
      </c>
      <c r="X3812" s="8">
        <f>IF(AND(V3812=1,D3812=pas_data,E3812=pas_turno),10000-ROW(),"")</f>
        <v/>
      </c>
    </row>
    <row r="3813">
      <c r="A3813" s="3">
        <f>IF(D3813="","","TT-"&amp;TEXT(ROW()-1,"00000"))</f>
        <v/>
      </c>
      <c r="B3813" s="3">
        <f>IF(D3813="","",IF(V3813=0,"CONCLUÍDO",IF(D3813&lt;corte,"HISTÓRICO",IF(OR(AND(ISNUMBER(R3813),R3813&lt;TODAY()),AND(OR(N3813="PENDENTE",N3813="PARCIAL"),D3813&lt;TODAY()-1)),"CRÍTICO",IF(OR(AND(P3813&lt;&gt;"",S3813=""),AND(N3813="REALIZADO",M3813="PENDENTE"),AND(ISNUMBER(R3813),R3813=TODAY())),"ATENÇÃO",IF(N(K3813)=0,"PENDENTE","EM ANDAMENTO"))))))</f>
        <v/>
      </c>
      <c r="C3813" s="3">
        <f>IF(D3813="","",IF(V3813=0,"🟢 OK",IF(D3813&lt;corte,"⚪ HISTÓRICO (sem baixa)",IF(AND(ISNUMBER(R3813),R3813&lt;TODAY()),"🔴 PRAZO VENCIDO",IF(AND(OR(N3813="PENDENTE",N3813="PARCIAL"),D3813&lt;TODAY()-1),"🔴 EMBARQUE ATRASADO",IF(AND(N3813="REALIZADO",M3813="PENDENTE"),"🟡 EMBARCADO SEM FATURAR",IF(AND(P3813&lt;&gt;"",S3813="",OR(Q3813="",R3813="")),"🟡 PENDÊNCIA SEM RESPONSÁVEL/PRAZO",IF(AND(ISNUMBER(R3813),R3813=TODAY()),"🟡 VENCE HOJE",IF(AND(P3813&lt;&gt;"",S3813=""),"🟡 PENDÊNCIA ABERTA",IF(AND(N(J3813)&gt;0,N(K3813)&lt;J3813),"🟡 FALTA EXECUTAR",IF(OR(M3813="PENDENTE",M3813="PARCIAL"),"🟡 FATURAMENTO PENDENTE","🟡 EMBARQUE PENDENTE")))))))))))</f>
        <v/>
      </c>
      <c r="D3813" s="4" t="n"/>
      <c r="E3813" s="5" t="n"/>
      <c r="F3813" s="5" t="n"/>
      <c r="G3813" s="5" t="n"/>
      <c r="H3813" s="5" t="n"/>
      <c r="I3813" s="5" t="n"/>
      <c r="J3813" s="6" t="n"/>
      <c r="K3813" s="6" t="n"/>
      <c r="L3813" s="7">
        <f>IF(OR(D3813="",N(J3813)=0),"",MIN(1,N(K3813)/J3813))</f>
        <v/>
      </c>
      <c r="M3813" s="5" t="n"/>
      <c r="N3813" s="5" t="n"/>
      <c r="O3813" s="5" t="n"/>
      <c r="P3813" s="5" t="n"/>
      <c r="Q3813" s="5" t="n"/>
      <c r="R3813" s="4" t="n"/>
      <c r="S3813" s="4" t="n"/>
      <c r="T3813" s="5" t="n"/>
      <c r="U3813" s="8">
        <f>IF(AND(V3813=1,D3813&lt;&gt;""),IF(D3813&gt;=corte,TODAY()-D3813,""),"")</f>
        <v/>
      </c>
      <c r="V3813" s="8">
        <f>IF(D3813="",0,IF(OR(AND(P3813&lt;&gt;"",S3813=""),AND(N(J3813)&gt;0,N(K3813)&lt;J3813),OR(M3813="PENDENTE",M3813="PARCIAL"),OR(N3813="PENDENTE",N3813="PARCIAL")),1,0))</f>
        <v/>
      </c>
      <c r="W3813" s="8">
        <f>IF(AND(V3813=1,D3813&lt;&gt;""),IF(D3813&gt;=corte,(B3813="CRÍTICO")*1E9+(100000-D3813)*10000+10000-ROW(),""),"")</f>
        <v/>
      </c>
      <c r="X3813" s="8">
        <f>IF(AND(V3813=1,D3813=pas_data,E3813=pas_turno),10000-ROW(),"")</f>
        <v/>
      </c>
    </row>
    <row r="3814">
      <c r="A3814" s="3">
        <f>IF(D3814="","","TT-"&amp;TEXT(ROW()-1,"00000"))</f>
        <v/>
      </c>
      <c r="B3814" s="3">
        <f>IF(D3814="","",IF(V3814=0,"CONCLUÍDO",IF(D3814&lt;corte,"HISTÓRICO",IF(OR(AND(ISNUMBER(R3814),R3814&lt;TODAY()),AND(OR(N3814="PENDENTE",N3814="PARCIAL"),D3814&lt;TODAY()-1)),"CRÍTICO",IF(OR(AND(P3814&lt;&gt;"",S3814=""),AND(N3814="REALIZADO",M3814="PENDENTE"),AND(ISNUMBER(R3814),R3814=TODAY())),"ATENÇÃO",IF(N(K3814)=0,"PENDENTE","EM ANDAMENTO"))))))</f>
        <v/>
      </c>
      <c r="C3814" s="3">
        <f>IF(D3814="","",IF(V3814=0,"🟢 OK",IF(D3814&lt;corte,"⚪ HISTÓRICO (sem baixa)",IF(AND(ISNUMBER(R3814),R3814&lt;TODAY()),"🔴 PRAZO VENCIDO",IF(AND(OR(N3814="PENDENTE",N3814="PARCIAL"),D3814&lt;TODAY()-1),"🔴 EMBARQUE ATRASADO",IF(AND(N3814="REALIZADO",M3814="PENDENTE"),"🟡 EMBARCADO SEM FATURAR",IF(AND(P3814&lt;&gt;"",S3814="",OR(Q3814="",R3814="")),"🟡 PENDÊNCIA SEM RESPONSÁVEL/PRAZO",IF(AND(ISNUMBER(R3814),R3814=TODAY()),"🟡 VENCE HOJE",IF(AND(P3814&lt;&gt;"",S3814=""),"🟡 PENDÊNCIA ABERTA",IF(AND(N(J3814)&gt;0,N(K3814)&lt;J3814),"🟡 FALTA EXECUTAR",IF(OR(M3814="PENDENTE",M3814="PARCIAL"),"🟡 FATURAMENTO PENDENTE","🟡 EMBARQUE PENDENTE")))))))))))</f>
        <v/>
      </c>
      <c r="D3814" s="4" t="n"/>
      <c r="E3814" s="5" t="n"/>
      <c r="F3814" s="5" t="n"/>
      <c r="G3814" s="5" t="n"/>
      <c r="H3814" s="5" t="n"/>
      <c r="I3814" s="5" t="n"/>
      <c r="J3814" s="6" t="n"/>
      <c r="K3814" s="6" t="n"/>
      <c r="L3814" s="7">
        <f>IF(OR(D3814="",N(J3814)=0),"",MIN(1,N(K3814)/J3814))</f>
        <v/>
      </c>
      <c r="M3814" s="5" t="n"/>
      <c r="N3814" s="5" t="n"/>
      <c r="O3814" s="5" t="n"/>
      <c r="P3814" s="5" t="n"/>
      <c r="Q3814" s="5" t="n"/>
      <c r="R3814" s="4" t="n"/>
      <c r="S3814" s="4" t="n"/>
      <c r="T3814" s="5" t="n"/>
      <c r="U3814" s="8">
        <f>IF(AND(V3814=1,D3814&lt;&gt;""),IF(D3814&gt;=corte,TODAY()-D3814,""),"")</f>
        <v/>
      </c>
      <c r="V3814" s="8">
        <f>IF(D3814="",0,IF(OR(AND(P3814&lt;&gt;"",S3814=""),AND(N(J3814)&gt;0,N(K3814)&lt;J3814),OR(M3814="PENDENTE",M3814="PARCIAL"),OR(N3814="PENDENTE",N3814="PARCIAL")),1,0))</f>
        <v/>
      </c>
      <c r="W3814" s="8">
        <f>IF(AND(V3814=1,D3814&lt;&gt;""),IF(D3814&gt;=corte,(B3814="CRÍTICO")*1E9+(100000-D3814)*10000+10000-ROW(),""),"")</f>
        <v/>
      </c>
      <c r="X3814" s="8">
        <f>IF(AND(V3814=1,D3814=pas_data,E3814=pas_turno),10000-ROW(),"")</f>
        <v/>
      </c>
    </row>
    <row r="3815">
      <c r="A3815" s="3">
        <f>IF(D3815="","","TT-"&amp;TEXT(ROW()-1,"00000"))</f>
        <v/>
      </c>
      <c r="B3815" s="3">
        <f>IF(D3815="","",IF(V3815=0,"CONCLUÍDO",IF(D3815&lt;corte,"HISTÓRICO",IF(OR(AND(ISNUMBER(R3815),R3815&lt;TODAY()),AND(OR(N3815="PENDENTE",N3815="PARCIAL"),D3815&lt;TODAY()-1)),"CRÍTICO",IF(OR(AND(P3815&lt;&gt;"",S3815=""),AND(N3815="REALIZADO",M3815="PENDENTE"),AND(ISNUMBER(R3815),R3815=TODAY())),"ATENÇÃO",IF(N(K3815)=0,"PENDENTE","EM ANDAMENTO"))))))</f>
        <v/>
      </c>
      <c r="C3815" s="3">
        <f>IF(D3815="","",IF(V3815=0,"🟢 OK",IF(D3815&lt;corte,"⚪ HISTÓRICO (sem baixa)",IF(AND(ISNUMBER(R3815),R3815&lt;TODAY()),"🔴 PRAZO VENCIDO",IF(AND(OR(N3815="PENDENTE",N3815="PARCIAL"),D3815&lt;TODAY()-1),"🔴 EMBARQUE ATRASADO",IF(AND(N3815="REALIZADO",M3815="PENDENTE"),"🟡 EMBARCADO SEM FATURAR",IF(AND(P3815&lt;&gt;"",S3815="",OR(Q3815="",R3815="")),"🟡 PENDÊNCIA SEM RESPONSÁVEL/PRAZO",IF(AND(ISNUMBER(R3815),R3815=TODAY()),"🟡 VENCE HOJE",IF(AND(P3815&lt;&gt;"",S3815=""),"🟡 PENDÊNCIA ABERTA",IF(AND(N(J3815)&gt;0,N(K3815)&lt;J3815),"🟡 FALTA EXECUTAR",IF(OR(M3815="PENDENTE",M3815="PARCIAL"),"🟡 FATURAMENTO PENDENTE","🟡 EMBARQUE PENDENTE")))))))))))</f>
        <v/>
      </c>
      <c r="D3815" s="4" t="n"/>
      <c r="E3815" s="5" t="n"/>
      <c r="F3815" s="5" t="n"/>
      <c r="G3815" s="5" t="n"/>
      <c r="H3815" s="5" t="n"/>
      <c r="I3815" s="5" t="n"/>
      <c r="J3815" s="6" t="n"/>
      <c r="K3815" s="6" t="n"/>
      <c r="L3815" s="7">
        <f>IF(OR(D3815="",N(J3815)=0),"",MIN(1,N(K3815)/J3815))</f>
        <v/>
      </c>
      <c r="M3815" s="5" t="n"/>
      <c r="N3815" s="5" t="n"/>
      <c r="O3815" s="5" t="n"/>
      <c r="P3815" s="5" t="n"/>
      <c r="Q3815" s="5" t="n"/>
      <c r="R3815" s="4" t="n"/>
      <c r="S3815" s="4" t="n"/>
      <c r="T3815" s="5" t="n"/>
      <c r="U3815" s="8">
        <f>IF(AND(V3815=1,D3815&lt;&gt;""),IF(D3815&gt;=corte,TODAY()-D3815,""),"")</f>
        <v/>
      </c>
      <c r="V3815" s="8">
        <f>IF(D3815="",0,IF(OR(AND(P3815&lt;&gt;"",S3815=""),AND(N(J3815)&gt;0,N(K3815)&lt;J3815),OR(M3815="PENDENTE",M3815="PARCIAL"),OR(N3815="PENDENTE",N3815="PARCIAL")),1,0))</f>
        <v/>
      </c>
      <c r="W3815" s="8">
        <f>IF(AND(V3815=1,D3815&lt;&gt;""),IF(D3815&gt;=corte,(B3815="CRÍTICO")*1E9+(100000-D3815)*10000+10000-ROW(),""),"")</f>
        <v/>
      </c>
      <c r="X3815" s="8">
        <f>IF(AND(V3815=1,D3815=pas_data,E3815=pas_turno),10000-ROW(),"")</f>
        <v/>
      </c>
    </row>
    <row r="3816">
      <c r="A3816" s="3">
        <f>IF(D3816="","","TT-"&amp;TEXT(ROW()-1,"00000"))</f>
        <v/>
      </c>
      <c r="B3816" s="3">
        <f>IF(D3816="","",IF(V3816=0,"CONCLUÍDO",IF(D3816&lt;corte,"HISTÓRICO",IF(OR(AND(ISNUMBER(R3816),R3816&lt;TODAY()),AND(OR(N3816="PENDENTE",N3816="PARCIAL"),D3816&lt;TODAY()-1)),"CRÍTICO",IF(OR(AND(P3816&lt;&gt;"",S3816=""),AND(N3816="REALIZADO",M3816="PENDENTE"),AND(ISNUMBER(R3816),R3816=TODAY())),"ATENÇÃO",IF(N(K3816)=0,"PENDENTE","EM ANDAMENTO"))))))</f>
        <v/>
      </c>
      <c r="C3816" s="3">
        <f>IF(D3816="","",IF(V3816=0,"🟢 OK",IF(D3816&lt;corte,"⚪ HISTÓRICO (sem baixa)",IF(AND(ISNUMBER(R3816),R3816&lt;TODAY()),"🔴 PRAZO VENCIDO",IF(AND(OR(N3816="PENDENTE",N3816="PARCIAL"),D3816&lt;TODAY()-1),"🔴 EMBARQUE ATRASADO",IF(AND(N3816="REALIZADO",M3816="PENDENTE"),"🟡 EMBARCADO SEM FATURAR",IF(AND(P3816&lt;&gt;"",S3816="",OR(Q3816="",R3816="")),"🟡 PENDÊNCIA SEM RESPONSÁVEL/PRAZO",IF(AND(ISNUMBER(R3816),R3816=TODAY()),"🟡 VENCE HOJE",IF(AND(P3816&lt;&gt;"",S3816=""),"🟡 PENDÊNCIA ABERTA",IF(AND(N(J3816)&gt;0,N(K3816)&lt;J3816),"🟡 FALTA EXECUTAR",IF(OR(M3816="PENDENTE",M3816="PARCIAL"),"🟡 FATURAMENTO PENDENTE","🟡 EMBARQUE PENDENTE")))))))))))</f>
        <v/>
      </c>
      <c r="D3816" s="4" t="n"/>
      <c r="E3816" s="5" t="n"/>
      <c r="F3816" s="5" t="n"/>
      <c r="G3816" s="5" t="n"/>
      <c r="H3816" s="5" t="n"/>
      <c r="I3816" s="5" t="n"/>
      <c r="J3816" s="6" t="n"/>
      <c r="K3816" s="6" t="n"/>
      <c r="L3816" s="7">
        <f>IF(OR(D3816="",N(J3816)=0),"",MIN(1,N(K3816)/J3816))</f>
        <v/>
      </c>
      <c r="M3816" s="5" t="n"/>
      <c r="N3816" s="5" t="n"/>
      <c r="O3816" s="5" t="n"/>
      <c r="P3816" s="5" t="n"/>
      <c r="Q3816" s="5" t="n"/>
      <c r="R3816" s="4" t="n"/>
      <c r="S3816" s="4" t="n"/>
      <c r="T3816" s="5" t="n"/>
      <c r="U3816" s="8">
        <f>IF(AND(V3816=1,D3816&lt;&gt;""),IF(D3816&gt;=corte,TODAY()-D3816,""),"")</f>
        <v/>
      </c>
      <c r="V3816" s="8">
        <f>IF(D3816="",0,IF(OR(AND(P3816&lt;&gt;"",S3816=""),AND(N(J3816)&gt;0,N(K3816)&lt;J3816),OR(M3816="PENDENTE",M3816="PARCIAL"),OR(N3816="PENDENTE",N3816="PARCIAL")),1,0))</f>
        <v/>
      </c>
      <c r="W3816" s="8">
        <f>IF(AND(V3816=1,D3816&lt;&gt;""),IF(D3816&gt;=corte,(B3816="CRÍTICO")*1E9+(100000-D3816)*10000+10000-ROW(),""),"")</f>
        <v/>
      </c>
      <c r="X3816" s="8">
        <f>IF(AND(V3816=1,D3816=pas_data,E3816=pas_turno),10000-ROW(),"")</f>
        <v/>
      </c>
    </row>
    <row r="3817">
      <c r="A3817" s="3">
        <f>IF(D3817="","","TT-"&amp;TEXT(ROW()-1,"00000"))</f>
        <v/>
      </c>
      <c r="B3817" s="3">
        <f>IF(D3817="","",IF(V3817=0,"CONCLUÍDO",IF(D3817&lt;corte,"HISTÓRICO",IF(OR(AND(ISNUMBER(R3817),R3817&lt;TODAY()),AND(OR(N3817="PENDENTE",N3817="PARCIAL"),D3817&lt;TODAY()-1)),"CRÍTICO",IF(OR(AND(P3817&lt;&gt;"",S3817=""),AND(N3817="REALIZADO",M3817="PENDENTE"),AND(ISNUMBER(R3817),R3817=TODAY())),"ATENÇÃO",IF(N(K3817)=0,"PENDENTE","EM ANDAMENTO"))))))</f>
        <v/>
      </c>
      <c r="C3817" s="3">
        <f>IF(D3817="","",IF(V3817=0,"🟢 OK",IF(D3817&lt;corte,"⚪ HISTÓRICO (sem baixa)",IF(AND(ISNUMBER(R3817),R3817&lt;TODAY()),"🔴 PRAZO VENCIDO",IF(AND(OR(N3817="PENDENTE",N3817="PARCIAL"),D3817&lt;TODAY()-1),"🔴 EMBARQUE ATRASADO",IF(AND(N3817="REALIZADO",M3817="PENDENTE"),"🟡 EMBARCADO SEM FATURAR",IF(AND(P3817&lt;&gt;"",S3817="",OR(Q3817="",R3817="")),"🟡 PENDÊNCIA SEM RESPONSÁVEL/PRAZO",IF(AND(ISNUMBER(R3817),R3817=TODAY()),"🟡 VENCE HOJE",IF(AND(P3817&lt;&gt;"",S3817=""),"🟡 PENDÊNCIA ABERTA",IF(AND(N(J3817)&gt;0,N(K3817)&lt;J3817),"🟡 FALTA EXECUTAR",IF(OR(M3817="PENDENTE",M3817="PARCIAL"),"🟡 FATURAMENTO PENDENTE","🟡 EMBARQUE PENDENTE")))))))))))</f>
        <v/>
      </c>
      <c r="D3817" s="4" t="n"/>
      <c r="E3817" s="5" t="n"/>
      <c r="F3817" s="5" t="n"/>
      <c r="G3817" s="5" t="n"/>
      <c r="H3817" s="5" t="n"/>
      <c r="I3817" s="5" t="n"/>
      <c r="J3817" s="6" t="n"/>
      <c r="K3817" s="6" t="n"/>
      <c r="L3817" s="7">
        <f>IF(OR(D3817="",N(J3817)=0),"",MIN(1,N(K3817)/J3817))</f>
        <v/>
      </c>
      <c r="M3817" s="5" t="n"/>
      <c r="N3817" s="5" t="n"/>
      <c r="O3817" s="5" t="n"/>
      <c r="P3817" s="5" t="n"/>
      <c r="Q3817" s="5" t="n"/>
      <c r="R3817" s="4" t="n"/>
      <c r="S3817" s="4" t="n"/>
      <c r="T3817" s="5" t="n"/>
      <c r="U3817" s="8">
        <f>IF(AND(V3817=1,D3817&lt;&gt;""),IF(D3817&gt;=corte,TODAY()-D3817,""),"")</f>
        <v/>
      </c>
      <c r="V3817" s="8">
        <f>IF(D3817="",0,IF(OR(AND(P3817&lt;&gt;"",S3817=""),AND(N(J3817)&gt;0,N(K3817)&lt;J3817),OR(M3817="PENDENTE",M3817="PARCIAL"),OR(N3817="PENDENTE",N3817="PARCIAL")),1,0))</f>
        <v/>
      </c>
      <c r="W3817" s="8">
        <f>IF(AND(V3817=1,D3817&lt;&gt;""),IF(D3817&gt;=corte,(B3817="CRÍTICO")*1E9+(100000-D3817)*10000+10000-ROW(),""),"")</f>
        <v/>
      </c>
      <c r="X3817" s="8">
        <f>IF(AND(V3817=1,D3817=pas_data,E3817=pas_turno),10000-ROW(),"")</f>
        <v/>
      </c>
    </row>
    <row r="3818">
      <c r="A3818" s="3">
        <f>IF(D3818="","","TT-"&amp;TEXT(ROW()-1,"00000"))</f>
        <v/>
      </c>
      <c r="B3818" s="3">
        <f>IF(D3818="","",IF(V3818=0,"CONCLUÍDO",IF(D3818&lt;corte,"HISTÓRICO",IF(OR(AND(ISNUMBER(R3818),R3818&lt;TODAY()),AND(OR(N3818="PENDENTE",N3818="PARCIAL"),D3818&lt;TODAY()-1)),"CRÍTICO",IF(OR(AND(P3818&lt;&gt;"",S3818=""),AND(N3818="REALIZADO",M3818="PENDENTE"),AND(ISNUMBER(R3818),R3818=TODAY())),"ATENÇÃO",IF(N(K3818)=0,"PENDENTE","EM ANDAMENTO"))))))</f>
        <v/>
      </c>
      <c r="C3818" s="3">
        <f>IF(D3818="","",IF(V3818=0,"🟢 OK",IF(D3818&lt;corte,"⚪ HISTÓRICO (sem baixa)",IF(AND(ISNUMBER(R3818),R3818&lt;TODAY()),"🔴 PRAZO VENCIDO",IF(AND(OR(N3818="PENDENTE",N3818="PARCIAL"),D3818&lt;TODAY()-1),"🔴 EMBARQUE ATRASADO",IF(AND(N3818="REALIZADO",M3818="PENDENTE"),"🟡 EMBARCADO SEM FATURAR",IF(AND(P3818&lt;&gt;"",S3818="",OR(Q3818="",R3818="")),"🟡 PENDÊNCIA SEM RESPONSÁVEL/PRAZO",IF(AND(ISNUMBER(R3818),R3818=TODAY()),"🟡 VENCE HOJE",IF(AND(P3818&lt;&gt;"",S3818=""),"🟡 PENDÊNCIA ABERTA",IF(AND(N(J3818)&gt;0,N(K3818)&lt;J3818),"🟡 FALTA EXECUTAR",IF(OR(M3818="PENDENTE",M3818="PARCIAL"),"🟡 FATURAMENTO PENDENTE","🟡 EMBARQUE PENDENTE")))))))))))</f>
        <v/>
      </c>
      <c r="D3818" s="4" t="n"/>
      <c r="E3818" s="5" t="n"/>
      <c r="F3818" s="5" t="n"/>
      <c r="G3818" s="5" t="n"/>
      <c r="H3818" s="5" t="n"/>
      <c r="I3818" s="5" t="n"/>
      <c r="J3818" s="6" t="n"/>
      <c r="K3818" s="6" t="n"/>
      <c r="L3818" s="7">
        <f>IF(OR(D3818="",N(J3818)=0),"",MIN(1,N(K3818)/J3818))</f>
        <v/>
      </c>
      <c r="M3818" s="5" t="n"/>
      <c r="N3818" s="5" t="n"/>
      <c r="O3818" s="5" t="n"/>
      <c r="P3818" s="5" t="n"/>
      <c r="Q3818" s="5" t="n"/>
      <c r="R3818" s="4" t="n"/>
      <c r="S3818" s="4" t="n"/>
      <c r="T3818" s="5" t="n"/>
      <c r="U3818" s="8">
        <f>IF(AND(V3818=1,D3818&lt;&gt;""),IF(D3818&gt;=corte,TODAY()-D3818,""),"")</f>
        <v/>
      </c>
      <c r="V3818" s="8">
        <f>IF(D3818="",0,IF(OR(AND(P3818&lt;&gt;"",S3818=""),AND(N(J3818)&gt;0,N(K3818)&lt;J3818),OR(M3818="PENDENTE",M3818="PARCIAL"),OR(N3818="PENDENTE",N3818="PARCIAL")),1,0))</f>
        <v/>
      </c>
      <c r="W3818" s="8">
        <f>IF(AND(V3818=1,D3818&lt;&gt;""),IF(D3818&gt;=corte,(B3818="CRÍTICO")*1E9+(100000-D3818)*10000+10000-ROW(),""),"")</f>
        <v/>
      </c>
      <c r="X3818" s="8">
        <f>IF(AND(V3818=1,D3818=pas_data,E3818=pas_turno),10000-ROW(),"")</f>
        <v/>
      </c>
    </row>
    <row r="3819">
      <c r="A3819" s="3">
        <f>IF(D3819="","","TT-"&amp;TEXT(ROW()-1,"00000"))</f>
        <v/>
      </c>
      <c r="B3819" s="3">
        <f>IF(D3819="","",IF(V3819=0,"CONCLUÍDO",IF(D3819&lt;corte,"HISTÓRICO",IF(OR(AND(ISNUMBER(R3819),R3819&lt;TODAY()),AND(OR(N3819="PENDENTE",N3819="PARCIAL"),D3819&lt;TODAY()-1)),"CRÍTICO",IF(OR(AND(P3819&lt;&gt;"",S3819=""),AND(N3819="REALIZADO",M3819="PENDENTE"),AND(ISNUMBER(R3819),R3819=TODAY())),"ATENÇÃO",IF(N(K3819)=0,"PENDENTE","EM ANDAMENTO"))))))</f>
        <v/>
      </c>
      <c r="C3819" s="3">
        <f>IF(D3819="","",IF(V3819=0,"🟢 OK",IF(D3819&lt;corte,"⚪ HISTÓRICO (sem baixa)",IF(AND(ISNUMBER(R3819),R3819&lt;TODAY()),"🔴 PRAZO VENCIDO",IF(AND(OR(N3819="PENDENTE",N3819="PARCIAL"),D3819&lt;TODAY()-1),"🔴 EMBARQUE ATRASADO",IF(AND(N3819="REALIZADO",M3819="PENDENTE"),"🟡 EMBARCADO SEM FATURAR",IF(AND(P3819&lt;&gt;"",S3819="",OR(Q3819="",R3819="")),"🟡 PENDÊNCIA SEM RESPONSÁVEL/PRAZO",IF(AND(ISNUMBER(R3819),R3819=TODAY()),"🟡 VENCE HOJE",IF(AND(P3819&lt;&gt;"",S3819=""),"🟡 PENDÊNCIA ABERTA",IF(AND(N(J3819)&gt;0,N(K3819)&lt;J3819),"🟡 FALTA EXECUTAR",IF(OR(M3819="PENDENTE",M3819="PARCIAL"),"🟡 FATURAMENTO PENDENTE","🟡 EMBARQUE PENDENTE")))))))))))</f>
        <v/>
      </c>
      <c r="D3819" s="4" t="n"/>
      <c r="E3819" s="5" t="n"/>
      <c r="F3819" s="5" t="n"/>
      <c r="G3819" s="5" t="n"/>
      <c r="H3819" s="5" t="n"/>
      <c r="I3819" s="5" t="n"/>
      <c r="J3819" s="6" t="n"/>
      <c r="K3819" s="6" t="n"/>
      <c r="L3819" s="7">
        <f>IF(OR(D3819="",N(J3819)=0),"",MIN(1,N(K3819)/J3819))</f>
        <v/>
      </c>
      <c r="M3819" s="5" t="n"/>
      <c r="N3819" s="5" t="n"/>
      <c r="O3819" s="5" t="n"/>
      <c r="P3819" s="5" t="n"/>
      <c r="Q3819" s="5" t="n"/>
      <c r="R3819" s="4" t="n"/>
      <c r="S3819" s="4" t="n"/>
      <c r="T3819" s="5" t="n"/>
      <c r="U3819" s="8">
        <f>IF(AND(V3819=1,D3819&lt;&gt;""),IF(D3819&gt;=corte,TODAY()-D3819,""),"")</f>
        <v/>
      </c>
      <c r="V3819" s="8">
        <f>IF(D3819="",0,IF(OR(AND(P3819&lt;&gt;"",S3819=""),AND(N(J3819)&gt;0,N(K3819)&lt;J3819),OR(M3819="PENDENTE",M3819="PARCIAL"),OR(N3819="PENDENTE",N3819="PARCIAL")),1,0))</f>
        <v/>
      </c>
      <c r="W3819" s="8">
        <f>IF(AND(V3819=1,D3819&lt;&gt;""),IF(D3819&gt;=corte,(B3819="CRÍTICO")*1E9+(100000-D3819)*10000+10000-ROW(),""),"")</f>
        <v/>
      </c>
      <c r="X3819" s="8">
        <f>IF(AND(V3819=1,D3819=pas_data,E3819=pas_turno),10000-ROW(),"")</f>
        <v/>
      </c>
    </row>
    <row r="3820">
      <c r="A3820" s="3">
        <f>IF(D3820="","","TT-"&amp;TEXT(ROW()-1,"00000"))</f>
        <v/>
      </c>
      <c r="B3820" s="3">
        <f>IF(D3820="","",IF(V3820=0,"CONCLUÍDO",IF(D3820&lt;corte,"HISTÓRICO",IF(OR(AND(ISNUMBER(R3820),R3820&lt;TODAY()),AND(OR(N3820="PENDENTE",N3820="PARCIAL"),D3820&lt;TODAY()-1)),"CRÍTICO",IF(OR(AND(P3820&lt;&gt;"",S3820=""),AND(N3820="REALIZADO",M3820="PENDENTE"),AND(ISNUMBER(R3820),R3820=TODAY())),"ATENÇÃO",IF(N(K3820)=0,"PENDENTE","EM ANDAMENTO"))))))</f>
        <v/>
      </c>
      <c r="C3820" s="3">
        <f>IF(D3820="","",IF(V3820=0,"🟢 OK",IF(D3820&lt;corte,"⚪ HISTÓRICO (sem baixa)",IF(AND(ISNUMBER(R3820),R3820&lt;TODAY()),"🔴 PRAZO VENCIDO",IF(AND(OR(N3820="PENDENTE",N3820="PARCIAL"),D3820&lt;TODAY()-1),"🔴 EMBARQUE ATRASADO",IF(AND(N3820="REALIZADO",M3820="PENDENTE"),"🟡 EMBARCADO SEM FATURAR",IF(AND(P3820&lt;&gt;"",S3820="",OR(Q3820="",R3820="")),"🟡 PENDÊNCIA SEM RESPONSÁVEL/PRAZO",IF(AND(ISNUMBER(R3820),R3820=TODAY()),"🟡 VENCE HOJE",IF(AND(P3820&lt;&gt;"",S3820=""),"🟡 PENDÊNCIA ABERTA",IF(AND(N(J3820)&gt;0,N(K3820)&lt;J3820),"🟡 FALTA EXECUTAR",IF(OR(M3820="PENDENTE",M3820="PARCIAL"),"🟡 FATURAMENTO PENDENTE","🟡 EMBARQUE PENDENTE")))))))))))</f>
        <v/>
      </c>
      <c r="D3820" s="4" t="n"/>
      <c r="E3820" s="5" t="n"/>
      <c r="F3820" s="5" t="n"/>
      <c r="G3820" s="5" t="n"/>
      <c r="H3820" s="5" t="n"/>
      <c r="I3820" s="5" t="n"/>
      <c r="J3820" s="6" t="n"/>
      <c r="K3820" s="6" t="n"/>
      <c r="L3820" s="7">
        <f>IF(OR(D3820="",N(J3820)=0),"",MIN(1,N(K3820)/J3820))</f>
        <v/>
      </c>
      <c r="M3820" s="5" t="n"/>
      <c r="N3820" s="5" t="n"/>
      <c r="O3820" s="5" t="n"/>
      <c r="P3820" s="5" t="n"/>
      <c r="Q3820" s="5" t="n"/>
      <c r="R3820" s="4" t="n"/>
      <c r="S3820" s="4" t="n"/>
      <c r="T3820" s="5" t="n"/>
      <c r="U3820" s="8">
        <f>IF(AND(V3820=1,D3820&lt;&gt;""),IF(D3820&gt;=corte,TODAY()-D3820,""),"")</f>
        <v/>
      </c>
      <c r="V3820" s="8">
        <f>IF(D3820="",0,IF(OR(AND(P3820&lt;&gt;"",S3820=""),AND(N(J3820)&gt;0,N(K3820)&lt;J3820),OR(M3820="PENDENTE",M3820="PARCIAL"),OR(N3820="PENDENTE",N3820="PARCIAL")),1,0))</f>
        <v/>
      </c>
      <c r="W3820" s="8">
        <f>IF(AND(V3820=1,D3820&lt;&gt;""),IF(D3820&gt;=corte,(B3820="CRÍTICO")*1E9+(100000-D3820)*10000+10000-ROW(),""),"")</f>
        <v/>
      </c>
      <c r="X3820" s="8">
        <f>IF(AND(V3820=1,D3820=pas_data,E3820=pas_turno),10000-ROW(),"")</f>
        <v/>
      </c>
    </row>
    <row r="3821">
      <c r="A3821" s="3">
        <f>IF(D3821="","","TT-"&amp;TEXT(ROW()-1,"00000"))</f>
        <v/>
      </c>
      <c r="B3821" s="3">
        <f>IF(D3821="","",IF(V3821=0,"CONCLUÍDO",IF(D3821&lt;corte,"HISTÓRICO",IF(OR(AND(ISNUMBER(R3821),R3821&lt;TODAY()),AND(OR(N3821="PENDENTE",N3821="PARCIAL"),D3821&lt;TODAY()-1)),"CRÍTICO",IF(OR(AND(P3821&lt;&gt;"",S3821=""),AND(N3821="REALIZADO",M3821="PENDENTE"),AND(ISNUMBER(R3821),R3821=TODAY())),"ATENÇÃO",IF(N(K3821)=0,"PENDENTE","EM ANDAMENTO"))))))</f>
        <v/>
      </c>
      <c r="C3821" s="3">
        <f>IF(D3821="","",IF(V3821=0,"🟢 OK",IF(D3821&lt;corte,"⚪ HISTÓRICO (sem baixa)",IF(AND(ISNUMBER(R3821),R3821&lt;TODAY()),"🔴 PRAZO VENCIDO",IF(AND(OR(N3821="PENDENTE",N3821="PARCIAL"),D3821&lt;TODAY()-1),"🔴 EMBARQUE ATRASADO",IF(AND(N3821="REALIZADO",M3821="PENDENTE"),"🟡 EMBARCADO SEM FATURAR",IF(AND(P3821&lt;&gt;"",S3821="",OR(Q3821="",R3821="")),"🟡 PENDÊNCIA SEM RESPONSÁVEL/PRAZO",IF(AND(ISNUMBER(R3821),R3821=TODAY()),"🟡 VENCE HOJE",IF(AND(P3821&lt;&gt;"",S3821=""),"🟡 PENDÊNCIA ABERTA",IF(AND(N(J3821)&gt;0,N(K3821)&lt;J3821),"🟡 FALTA EXECUTAR",IF(OR(M3821="PENDENTE",M3821="PARCIAL"),"🟡 FATURAMENTO PENDENTE","🟡 EMBARQUE PENDENTE")))))))))))</f>
        <v/>
      </c>
      <c r="D3821" s="4" t="n"/>
      <c r="E3821" s="5" t="n"/>
      <c r="F3821" s="5" t="n"/>
      <c r="G3821" s="5" t="n"/>
      <c r="H3821" s="5" t="n"/>
      <c r="I3821" s="5" t="n"/>
      <c r="J3821" s="6" t="n"/>
      <c r="K3821" s="6" t="n"/>
      <c r="L3821" s="7">
        <f>IF(OR(D3821="",N(J3821)=0),"",MIN(1,N(K3821)/J3821))</f>
        <v/>
      </c>
      <c r="M3821" s="5" t="n"/>
      <c r="N3821" s="5" t="n"/>
      <c r="O3821" s="5" t="n"/>
      <c r="P3821" s="5" t="n"/>
      <c r="Q3821" s="5" t="n"/>
      <c r="R3821" s="4" t="n"/>
      <c r="S3821" s="4" t="n"/>
      <c r="T3821" s="5" t="n"/>
      <c r="U3821" s="8">
        <f>IF(AND(V3821=1,D3821&lt;&gt;""),IF(D3821&gt;=corte,TODAY()-D3821,""),"")</f>
        <v/>
      </c>
      <c r="V3821" s="8">
        <f>IF(D3821="",0,IF(OR(AND(P3821&lt;&gt;"",S3821=""),AND(N(J3821)&gt;0,N(K3821)&lt;J3821),OR(M3821="PENDENTE",M3821="PARCIAL"),OR(N3821="PENDENTE",N3821="PARCIAL")),1,0))</f>
        <v/>
      </c>
      <c r="W3821" s="8">
        <f>IF(AND(V3821=1,D3821&lt;&gt;""),IF(D3821&gt;=corte,(B3821="CRÍTICO")*1E9+(100000-D3821)*10000+10000-ROW(),""),"")</f>
        <v/>
      </c>
      <c r="X3821" s="8">
        <f>IF(AND(V3821=1,D3821=pas_data,E3821=pas_turno),10000-ROW(),"")</f>
        <v/>
      </c>
    </row>
    <row r="3822">
      <c r="A3822" s="3">
        <f>IF(D3822="","","TT-"&amp;TEXT(ROW()-1,"00000"))</f>
        <v/>
      </c>
      <c r="B3822" s="3">
        <f>IF(D3822="","",IF(V3822=0,"CONCLUÍDO",IF(D3822&lt;corte,"HISTÓRICO",IF(OR(AND(ISNUMBER(R3822),R3822&lt;TODAY()),AND(OR(N3822="PENDENTE",N3822="PARCIAL"),D3822&lt;TODAY()-1)),"CRÍTICO",IF(OR(AND(P3822&lt;&gt;"",S3822=""),AND(N3822="REALIZADO",M3822="PENDENTE"),AND(ISNUMBER(R3822),R3822=TODAY())),"ATENÇÃO",IF(N(K3822)=0,"PENDENTE","EM ANDAMENTO"))))))</f>
        <v/>
      </c>
      <c r="C3822" s="3">
        <f>IF(D3822="","",IF(V3822=0,"🟢 OK",IF(D3822&lt;corte,"⚪ HISTÓRICO (sem baixa)",IF(AND(ISNUMBER(R3822),R3822&lt;TODAY()),"🔴 PRAZO VENCIDO",IF(AND(OR(N3822="PENDENTE",N3822="PARCIAL"),D3822&lt;TODAY()-1),"🔴 EMBARQUE ATRASADO",IF(AND(N3822="REALIZADO",M3822="PENDENTE"),"🟡 EMBARCADO SEM FATURAR",IF(AND(P3822&lt;&gt;"",S3822="",OR(Q3822="",R3822="")),"🟡 PENDÊNCIA SEM RESPONSÁVEL/PRAZO",IF(AND(ISNUMBER(R3822),R3822=TODAY()),"🟡 VENCE HOJE",IF(AND(P3822&lt;&gt;"",S3822=""),"🟡 PENDÊNCIA ABERTA",IF(AND(N(J3822)&gt;0,N(K3822)&lt;J3822),"🟡 FALTA EXECUTAR",IF(OR(M3822="PENDENTE",M3822="PARCIAL"),"🟡 FATURAMENTO PENDENTE","🟡 EMBARQUE PENDENTE")))))))))))</f>
        <v/>
      </c>
      <c r="D3822" s="4" t="n"/>
      <c r="E3822" s="5" t="n"/>
      <c r="F3822" s="5" t="n"/>
      <c r="G3822" s="5" t="n"/>
      <c r="H3822" s="5" t="n"/>
      <c r="I3822" s="5" t="n"/>
      <c r="J3822" s="6" t="n"/>
      <c r="K3822" s="6" t="n"/>
      <c r="L3822" s="7">
        <f>IF(OR(D3822="",N(J3822)=0),"",MIN(1,N(K3822)/J3822))</f>
        <v/>
      </c>
      <c r="M3822" s="5" t="n"/>
      <c r="N3822" s="5" t="n"/>
      <c r="O3822" s="5" t="n"/>
      <c r="P3822" s="5" t="n"/>
      <c r="Q3822" s="5" t="n"/>
      <c r="R3822" s="4" t="n"/>
      <c r="S3822" s="4" t="n"/>
      <c r="T3822" s="5" t="n"/>
      <c r="U3822" s="8">
        <f>IF(AND(V3822=1,D3822&lt;&gt;""),IF(D3822&gt;=corte,TODAY()-D3822,""),"")</f>
        <v/>
      </c>
      <c r="V3822" s="8">
        <f>IF(D3822="",0,IF(OR(AND(P3822&lt;&gt;"",S3822=""),AND(N(J3822)&gt;0,N(K3822)&lt;J3822),OR(M3822="PENDENTE",M3822="PARCIAL"),OR(N3822="PENDENTE",N3822="PARCIAL")),1,0))</f>
        <v/>
      </c>
      <c r="W3822" s="8">
        <f>IF(AND(V3822=1,D3822&lt;&gt;""),IF(D3822&gt;=corte,(B3822="CRÍTICO")*1E9+(100000-D3822)*10000+10000-ROW(),""),"")</f>
        <v/>
      </c>
      <c r="X3822" s="8">
        <f>IF(AND(V3822=1,D3822=pas_data,E3822=pas_turno),10000-ROW(),"")</f>
        <v/>
      </c>
    </row>
    <row r="3823">
      <c r="A3823" s="3">
        <f>IF(D3823="","","TT-"&amp;TEXT(ROW()-1,"00000"))</f>
        <v/>
      </c>
      <c r="B3823" s="3">
        <f>IF(D3823="","",IF(V3823=0,"CONCLUÍDO",IF(D3823&lt;corte,"HISTÓRICO",IF(OR(AND(ISNUMBER(R3823),R3823&lt;TODAY()),AND(OR(N3823="PENDENTE",N3823="PARCIAL"),D3823&lt;TODAY()-1)),"CRÍTICO",IF(OR(AND(P3823&lt;&gt;"",S3823=""),AND(N3823="REALIZADO",M3823="PENDENTE"),AND(ISNUMBER(R3823),R3823=TODAY())),"ATENÇÃO",IF(N(K3823)=0,"PENDENTE","EM ANDAMENTO"))))))</f>
        <v/>
      </c>
      <c r="C3823" s="3">
        <f>IF(D3823="","",IF(V3823=0,"🟢 OK",IF(D3823&lt;corte,"⚪ HISTÓRICO (sem baixa)",IF(AND(ISNUMBER(R3823),R3823&lt;TODAY()),"🔴 PRAZO VENCIDO",IF(AND(OR(N3823="PENDENTE",N3823="PARCIAL"),D3823&lt;TODAY()-1),"🔴 EMBARQUE ATRASADO",IF(AND(N3823="REALIZADO",M3823="PENDENTE"),"🟡 EMBARCADO SEM FATURAR",IF(AND(P3823&lt;&gt;"",S3823="",OR(Q3823="",R3823="")),"🟡 PENDÊNCIA SEM RESPONSÁVEL/PRAZO",IF(AND(ISNUMBER(R3823),R3823=TODAY()),"🟡 VENCE HOJE",IF(AND(P3823&lt;&gt;"",S3823=""),"🟡 PENDÊNCIA ABERTA",IF(AND(N(J3823)&gt;0,N(K3823)&lt;J3823),"🟡 FALTA EXECUTAR",IF(OR(M3823="PENDENTE",M3823="PARCIAL"),"🟡 FATURAMENTO PENDENTE","🟡 EMBARQUE PENDENTE")))))))))))</f>
        <v/>
      </c>
      <c r="D3823" s="4" t="n"/>
      <c r="E3823" s="5" t="n"/>
      <c r="F3823" s="5" t="n"/>
      <c r="G3823" s="5" t="n"/>
      <c r="H3823" s="5" t="n"/>
      <c r="I3823" s="5" t="n"/>
      <c r="J3823" s="6" t="n"/>
      <c r="K3823" s="6" t="n"/>
      <c r="L3823" s="7">
        <f>IF(OR(D3823="",N(J3823)=0),"",MIN(1,N(K3823)/J3823))</f>
        <v/>
      </c>
      <c r="M3823" s="5" t="n"/>
      <c r="N3823" s="5" t="n"/>
      <c r="O3823" s="5" t="n"/>
      <c r="P3823" s="5" t="n"/>
      <c r="Q3823" s="5" t="n"/>
      <c r="R3823" s="4" t="n"/>
      <c r="S3823" s="4" t="n"/>
      <c r="T3823" s="5" t="n"/>
      <c r="U3823" s="8">
        <f>IF(AND(V3823=1,D3823&lt;&gt;""),IF(D3823&gt;=corte,TODAY()-D3823,""),"")</f>
        <v/>
      </c>
      <c r="V3823" s="8">
        <f>IF(D3823="",0,IF(OR(AND(P3823&lt;&gt;"",S3823=""),AND(N(J3823)&gt;0,N(K3823)&lt;J3823),OR(M3823="PENDENTE",M3823="PARCIAL"),OR(N3823="PENDENTE",N3823="PARCIAL")),1,0))</f>
        <v/>
      </c>
      <c r="W3823" s="8">
        <f>IF(AND(V3823=1,D3823&lt;&gt;""),IF(D3823&gt;=corte,(B3823="CRÍTICO")*1E9+(100000-D3823)*10000+10000-ROW(),""),"")</f>
        <v/>
      </c>
      <c r="X3823" s="8">
        <f>IF(AND(V3823=1,D3823=pas_data,E3823=pas_turno),10000-ROW(),"")</f>
        <v/>
      </c>
    </row>
    <row r="3824">
      <c r="A3824" s="3">
        <f>IF(D3824="","","TT-"&amp;TEXT(ROW()-1,"00000"))</f>
        <v/>
      </c>
      <c r="B3824" s="3">
        <f>IF(D3824="","",IF(V3824=0,"CONCLUÍDO",IF(D3824&lt;corte,"HISTÓRICO",IF(OR(AND(ISNUMBER(R3824),R3824&lt;TODAY()),AND(OR(N3824="PENDENTE",N3824="PARCIAL"),D3824&lt;TODAY()-1)),"CRÍTICO",IF(OR(AND(P3824&lt;&gt;"",S3824=""),AND(N3824="REALIZADO",M3824="PENDENTE"),AND(ISNUMBER(R3824),R3824=TODAY())),"ATENÇÃO",IF(N(K3824)=0,"PENDENTE","EM ANDAMENTO"))))))</f>
        <v/>
      </c>
      <c r="C3824" s="3">
        <f>IF(D3824="","",IF(V3824=0,"🟢 OK",IF(D3824&lt;corte,"⚪ HISTÓRICO (sem baixa)",IF(AND(ISNUMBER(R3824),R3824&lt;TODAY()),"🔴 PRAZO VENCIDO",IF(AND(OR(N3824="PENDENTE",N3824="PARCIAL"),D3824&lt;TODAY()-1),"🔴 EMBARQUE ATRASADO",IF(AND(N3824="REALIZADO",M3824="PENDENTE"),"🟡 EMBARCADO SEM FATURAR",IF(AND(P3824&lt;&gt;"",S3824="",OR(Q3824="",R3824="")),"🟡 PENDÊNCIA SEM RESPONSÁVEL/PRAZO",IF(AND(ISNUMBER(R3824),R3824=TODAY()),"🟡 VENCE HOJE",IF(AND(P3824&lt;&gt;"",S3824=""),"🟡 PENDÊNCIA ABERTA",IF(AND(N(J3824)&gt;0,N(K3824)&lt;J3824),"🟡 FALTA EXECUTAR",IF(OR(M3824="PENDENTE",M3824="PARCIAL"),"🟡 FATURAMENTO PENDENTE","🟡 EMBARQUE PENDENTE")))))))))))</f>
        <v/>
      </c>
      <c r="D3824" s="4" t="n"/>
      <c r="E3824" s="5" t="n"/>
      <c r="F3824" s="5" t="n"/>
      <c r="G3824" s="5" t="n"/>
      <c r="H3824" s="5" t="n"/>
      <c r="I3824" s="5" t="n"/>
      <c r="J3824" s="6" t="n"/>
      <c r="K3824" s="6" t="n"/>
      <c r="L3824" s="7">
        <f>IF(OR(D3824="",N(J3824)=0),"",MIN(1,N(K3824)/J3824))</f>
        <v/>
      </c>
      <c r="M3824" s="5" t="n"/>
      <c r="N3824" s="5" t="n"/>
      <c r="O3824" s="5" t="n"/>
      <c r="P3824" s="5" t="n"/>
      <c r="Q3824" s="5" t="n"/>
      <c r="R3824" s="4" t="n"/>
      <c r="S3824" s="4" t="n"/>
      <c r="T3824" s="5" t="n"/>
      <c r="U3824" s="8">
        <f>IF(AND(V3824=1,D3824&lt;&gt;""),IF(D3824&gt;=corte,TODAY()-D3824,""),"")</f>
        <v/>
      </c>
      <c r="V3824" s="8">
        <f>IF(D3824="",0,IF(OR(AND(P3824&lt;&gt;"",S3824=""),AND(N(J3824)&gt;0,N(K3824)&lt;J3824),OR(M3824="PENDENTE",M3824="PARCIAL"),OR(N3824="PENDENTE",N3824="PARCIAL")),1,0))</f>
        <v/>
      </c>
      <c r="W3824" s="8">
        <f>IF(AND(V3824=1,D3824&lt;&gt;""),IF(D3824&gt;=corte,(B3824="CRÍTICO")*1E9+(100000-D3824)*10000+10000-ROW(),""),"")</f>
        <v/>
      </c>
      <c r="X3824" s="8">
        <f>IF(AND(V3824=1,D3824=pas_data,E3824=pas_turno),10000-ROW(),"")</f>
        <v/>
      </c>
    </row>
    <row r="3825">
      <c r="A3825" s="3">
        <f>IF(D3825="","","TT-"&amp;TEXT(ROW()-1,"00000"))</f>
        <v/>
      </c>
      <c r="B3825" s="3">
        <f>IF(D3825="","",IF(V3825=0,"CONCLUÍDO",IF(D3825&lt;corte,"HISTÓRICO",IF(OR(AND(ISNUMBER(R3825),R3825&lt;TODAY()),AND(OR(N3825="PENDENTE",N3825="PARCIAL"),D3825&lt;TODAY()-1)),"CRÍTICO",IF(OR(AND(P3825&lt;&gt;"",S3825=""),AND(N3825="REALIZADO",M3825="PENDENTE"),AND(ISNUMBER(R3825),R3825=TODAY())),"ATENÇÃO",IF(N(K3825)=0,"PENDENTE","EM ANDAMENTO"))))))</f>
        <v/>
      </c>
      <c r="C3825" s="3">
        <f>IF(D3825="","",IF(V3825=0,"🟢 OK",IF(D3825&lt;corte,"⚪ HISTÓRICO (sem baixa)",IF(AND(ISNUMBER(R3825),R3825&lt;TODAY()),"🔴 PRAZO VENCIDO",IF(AND(OR(N3825="PENDENTE",N3825="PARCIAL"),D3825&lt;TODAY()-1),"🔴 EMBARQUE ATRASADO",IF(AND(N3825="REALIZADO",M3825="PENDENTE"),"🟡 EMBARCADO SEM FATURAR",IF(AND(P3825&lt;&gt;"",S3825="",OR(Q3825="",R3825="")),"🟡 PENDÊNCIA SEM RESPONSÁVEL/PRAZO",IF(AND(ISNUMBER(R3825),R3825=TODAY()),"🟡 VENCE HOJE",IF(AND(P3825&lt;&gt;"",S3825=""),"🟡 PENDÊNCIA ABERTA",IF(AND(N(J3825)&gt;0,N(K3825)&lt;J3825),"🟡 FALTA EXECUTAR",IF(OR(M3825="PENDENTE",M3825="PARCIAL"),"🟡 FATURAMENTO PENDENTE","🟡 EMBARQUE PENDENTE")))))))))))</f>
        <v/>
      </c>
      <c r="D3825" s="4" t="n"/>
      <c r="E3825" s="5" t="n"/>
      <c r="F3825" s="5" t="n"/>
      <c r="G3825" s="5" t="n"/>
      <c r="H3825" s="5" t="n"/>
      <c r="I3825" s="5" t="n"/>
      <c r="J3825" s="6" t="n"/>
      <c r="K3825" s="6" t="n"/>
      <c r="L3825" s="7">
        <f>IF(OR(D3825="",N(J3825)=0),"",MIN(1,N(K3825)/J3825))</f>
        <v/>
      </c>
      <c r="M3825" s="5" t="n"/>
      <c r="N3825" s="5" t="n"/>
      <c r="O3825" s="5" t="n"/>
      <c r="P3825" s="5" t="n"/>
      <c r="Q3825" s="5" t="n"/>
      <c r="R3825" s="4" t="n"/>
      <c r="S3825" s="4" t="n"/>
      <c r="T3825" s="5" t="n"/>
      <c r="U3825" s="8">
        <f>IF(AND(V3825=1,D3825&lt;&gt;""),IF(D3825&gt;=corte,TODAY()-D3825,""),"")</f>
        <v/>
      </c>
      <c r="V3825" s="8">
        <f>IF(D3825="",0,IF(OR(AND(P3825&lt;&gt;"",S3825=""),AND(N(J3825)&gt;0,N(K3825)&lt;J3825),OR(M3825="PENDENTE",M3825="PARCIAL"),OR(N3825="PENDENTE",N3825="PARCIAL")),1,0))</f>
        <v/>
      </c>
      <c r="W3825" s="8">
        <f>IF(AND(V3825=1,D3825&lt;&gt;""),IF(D3825&gt;=corte,(B3825="CRÍTICO")*1E9+(100000-D3825)*10000+10000-ROW(),""),"")</f>
        <v/>
      </c>
      <c r="X3825" s="8">
        <f>IF(AND(V3825=1,D3825=pas_data,E3825=pas_turno),10000-ROW(),"")</f>
        <v/>
      </c>
    </row>
    <row r="3826">
      <c r="A3826" s="3">
        <f>IF(D3826="","","TT-"&amp;TEXT(ROW()-1,"00000"))</f>
        <v/>
      </c>
      <c r="B3826" s="3">
        <f>IF(D3826="","",IF(V3826=0,"CONCLUÍDO",IF(D3826&lt;corte,"HISTÓRICO",IF(OR(AND(ISNUMBER(R3826),R3826&lt;TODAY()),AND(OR(N3826="PENDENTE",N3826="PARCIAL"),D3826&lt;TODAY()-1)),"CRÍTICO",IF(OR(AND(P3826&lt;&gt;"",S3826=""),AND(N3826="REALIZADO",M3826="PENDENTE"),AND(ISNUMBER(R3826),R3826=TODAY())),"ATENÇÃO",IF(N(K3826)=0,"PENDENTE","EM ANDAMENTO"))))))</f>
        <v/>
      </c>
      <c r="C3826" s="3">
        <f>IF(D3826="","",IF(V3826=0,"🟢 OK",IF(D3826&lt;corte,"⚪ HISTÓRICO (sem baixa)",IF(AND(ISNUMBER(R3826),R3826&lt;TODAY()),"🔴 PRAZO VENCIDO",IF(AND(OR(N3826="PENDENTE",N3826="PARCIAL"),D3826&lt;TODAY()-1),"🔴 EMBARQUE ATRASADO",IF(AND(N3826="REALIZADO",M3826="PENDENTE"),"🟡 EMBARCADO SEM FATURAR",IF(AND(P3826&lt;&gt;"",S3826="",OR(Q3826="",R3826="")),"🟡 PENDÊNCIA SEM RESPONSÁVEL/PRAZO",IF(AND(ISNUMBER(R3826),R3826=TODAY()),"🟡 VENCE HOJE",IF(AND(P3826&lt;&gt;"",S3826=""),"🟡 PENDÊNCIA ABERTA",IF(AND(N(J3826)&gt;0,N(K3826)&lt;J3826),"🟡 FALTA EXECUTAR",IF(OR(M3826="PENDENTE",M3826="PARCIAL"),"🟡 FATURAMENTO PENDENTE","🟡 EMBARQUE PENDENTE")))))))))))</f>
        <v/>
      </c>
      <c r="D3826" s="4" t="n"/>
      <c r="E3826" s="5" t="n"/>
      <c r="F3826" s="5" t="n"/>
      <c r="G3826" s="5" t="n"/>
      <c r="H3826" s="5" t="n"/>
      <c r="I3826" s="5" t="n"/>
      <c r="J3826" s="6" t="n"/>
      <c r="K3826" s="6" t="n"/>
      <c r="L3826" s="7">
        <f>IF(OR(D3826="",N(J3826)=0),"",MIN(1,N(K3826)/J3826))</f>
        <v/>
      </c>
      <c r="M3826" s="5" t="n"/>
      <c r="N3826" s="5" t="n"/>
      <c r="O3826" s="5" t="n"/>
      <c r="P3826" s="5" t="n"/>
      <c r="Q3826" s="5" t="n"/>
      <c r="R3826" s="4" t="n"/>
      <c r="S3826" s="4" t="n"/>
      <c r="T3826" s="5" t="n"/>
      <c r="U3826" s="8">
        <f>IF(AND(V3826=1,D3826&lt;&gt;""),IF(D3826&gt;=corte,TODAY()-D3826,""),"")</f>
        <v/>
      </c>
      <c r="V3826" s="8">
        <f>IF(D3826="",0,IF(OR(AND(P3826&lt;&gt;"",S3826=""),AND(N(J3826)&gt;0,N(K3826)&lt;J3826),OR(M3826="PENDENTE",M3826="PARCIAL"),OR(N3826="PENDENTE",N3826="PARCIAL")),1,0))</f>
        <v/>
      </c>
      <c r="W3826" s="8">
        <f>IF(AND(V3826=1,D3826&lt;&gt;""),IF(D3826&gt;=corte,(B3826="CRÍTICO")*1E9+(100000-D3826)*10000+10000-ROW(),""),"")</f>
        <v/>
      </c>
      <c r="X3826" s="8">
        <f>IF(AND(V3826=1,D3826=pas_data,E3826=pas_turno),10000-ROW(),"")</f>
        <v/>
      </c>
    </row>
    <row r="3827">
      <c r="A3827" s="3">
        <f>IF(D3827="","","TT-"&amp;TEXT(ROW()-1,"00000"))</f>
        <v/>
      </c>
      <c r="B3827" s="3">
        <f>IF(D3827="","",IF(V3827=0,"CONCLUÍDO",IF(D3827&lt;corte,"HISTÓRICO",IF(OR(AND(ISNUMBER(R3827),R3827&lt;TODAY()),AND(OR(N3827="PENDENTE",N3827="PARCIAL"),D3827&lt;TODAY()-1)),"CRÍTICO",IF(OR(AND(P3827&lt;&gt;"",S3827=""),AND(N3827="REALIZADO",M3827="PENDENTE"),AND(ISNUMBER(R3827),R3827=TODAY())),"ATENÇÃO",IF(N(K3827)=0,"PENDENTE","EM ANDAMENTO"))))))</f>
        <v/>
      </c>
      <c r="C3827" s="3">
        <f>IF(D3827="","",IF(V3827=0,"🟢 OK",IF(D3827&lt;corte,"⚪ HISTÓRICO (sem baixa)",IF(AND(ISNUMBER(R3827),R3827&lt;TODAY()),"🔴 PRAZO VENCIDO",IF(AND(OR(N3827="PENDENTE",N3827="PARCIAL"),D3827&lt;TODAY()-1),"🔴 EMBARQUE ATRASADO",IF(AND(N3827="REALIZADO",M3827="PENDENTE"),"🟡 EMBARCADO SEM FATURAR",IF(AND(P3827&lt;&gt;"",S3827="",OR(Q3827="",R3827="")),"🟡 PENDÊNCIA SEM RESPONSÁVEL/PRAZO",IF(AND(ISNUMBER(R3827),R3827=TODAY()),"🟡 VENCE HOJE",IF(AND(P3827&lt;&gt;"",S3827=""),"🟡 PENDÊNCIA ABERTA",IF(AND(N(J3827)&gt;0,N(K3827)&lt;J3827),"🟡 FALTA EXECUTAR",IF(OR(M3827="PENDENTE",M3827="PARCIAL"),"🟡 FATURAMENTO PENDENTE","🟡 EMBARQUE PENDENTE")))))))))))</f>
        <v/>
      </c>
      <c r="D3827" s="4" t="n"/>
      <c r="E3827" s="5" t="n"/>
      <c r="F3827" s="5" t="n"/>
      <c r="G3827" s="5" t="n"/>
      <c r="H3827" s="5" t="n"/>
      <c r="I3827" s="5" t="n"/>
      <c r="J3827" s="6" t="n"/>
      <c r="K3827" s="6" t="n"/>
      <c r="L3827" s="7">
        <f>IF(OR(D3827="",N(J3827)=0),"",MIN(1,N(K3827)/J3827))</f>
        <v/>
      </c>
      <c r="M3827" s="5" t="n"/>
      <c r="N3827" s="5" t="n"/>
      <c r="O3827" s="5" t="n"/>
      <c r="P3827" s="5" t="n"/>
      <c r="Q3827" s="5" t="n"/>
      <c r="R3827" s="4" t="n"/>
      <c r="S3827" s="4" t="n"/>
      <c r="T3827" s="5" t="n"/>
      <c r="U3827" s="8">
        <f>IF(AND(V3827=1,D3827&lt;&gt;""),IF(D3827&gt;=corte,TODAY()-D3827,""),"")</f>
        <v/>
      </c>
      <c r="V3827" s="8">
        <f>IF(D3827="",0,IF(OR(AND(P3827&lt;&gt;"",S3827=""),AND(N(J3827)&gt;0,N(K3827)&lt;J3827),OR(M3827="PENDENTE",M3827="PARCIAL"),OR(N3827="PENDENTE",N3827="PARCIAL")),1,0))</f>
        <v/>
      </c>
      <c r="W3827" s="8">
        <f>IF(AND(V3827=1,D3827&lt;&gt;""),IF(D3827&gt;=corte,(B3827="CRÍTICO")*1E9+(100000-D3827)*10000+10000-ROW(),""),"")</f>
        <v/>
      </c>
      <c r="X3827" s="8">
        <f>IF(AND(V3827=1,D3827=pas_data,E3827=pas_turno),10000-ROW(),"")</f>
        <v/>
      </c>
    </row>
    <row r="3828">
      <c r="A3828" s="3">
        <f>IF(D3828="","","TT-"&amp;TEXT(ROW()-1,"00000"))</f>
        <v/>
      </c>
      <c r="B3828" s="3">
        <f>IF(D3828="","",IF(V3828=0,"CONCLUÍDO",IF(D3828&lt;corte,"HISTÓRICO",IF(OR(AND(ISNUMBER(R3828),R3828&lt;TODAY()),AND(OR(N3828="PENDENTE",N3828="PARCIAL"),D3828&lt;TODAY()-1)),"CRÍTICO",IF(OR(AND(P3828&lt;&gt;"",S3828=""),AND(N3828="REALIZADO",M3828="PENDENTE"),AND(ISNUMBER(R3828),R3828=TODAY())),"ATENÇÃO",IF(N(K3828)=0,"PENDENTE","EM ANDAMENTO"))))))</f>
        <v/>
      </c>
      <c r="C3828" s="3">
        <f>IF(D3828="","",IF(V3828=0,"🟢 OK",IF(D3828&lt;corte,"⚪ HISTÓRICO (sem baixa)",IF(AND(ISNUMBER(R3828),R3828&lt;TODAY()),"🔴 PRAZO VENCIDO",IF(AND(OR(N3828="PENDENTE",N3828="PARCIAL"),D3828&lt;TODAY()-1),"🔴 EMBARQUE ATRASADO",IF(AND(N3828="REALIZADO",M3828="PENDENTE"),"🟡 EMBARCADO SEM FATURAR",IF(AND(P3828&lt;&gt;"",S3828="",OR(Q3828="",R3828="")),"🟡 PENDÊNCIA SEM RESPONSÁVEL/PRAZO",IF(AND(ISNUMBER(R3828),R3828=TODAY()),"🟡 VENCE HOJE",IF(AND(P3828&lt;&gt;"",S3828=""),"🟡 PENDÊNCIA ABERTA",IF(AND(N(J3828)&gt;0,N(K3828)&lt;J3828),"🟡 FALTA EXECUTAR",IF(OR(M3828="PENDENTE",M3828="PARCIAL"),"🟡 FATURAMENTO PENDENTE","🟡 EMBARQUE PENDENTE")))))))))))</f>
        <v/>
      </c>
      <c r="D3828" s="4" t="n"/>
      <c r="E3828" s="5" t="n"/>
      <c r="F3828" s="5" t="n"/>
      <c r="G3828" s="5" t="n"/>
      <c r="H3828" s="5" t="n"/>
      <c r="I3828" s="5" t="n"/>
      <c r="J3828" s="6" t="n"/>
      <c r="K3828" s="6" t="n"/>
      <c r="L3828" s="7">
        <f>IF(OR(D3828="",N(J3828)=0),"",MIN(1,N(K3828)/J3828))</f>
        <v/>
      </c>
      <c r="M3828" s="5" t="n"/>
      <c r="N3828" s="5" t="n"/>
      <c r="O3828" s="5" t="n"/>
      <c r="P3828" s="5" t="n"/>
      <c r="Q3828" s="5" t="n"/>
      <c r="R3828" s="4" t="n"/>
      <c r="S3828" s="4" t="n"/>
      <c r="T3828" s="5" t="n"/>
      <c r="U3828" s="8">
        <f>IF(AND(V3828=1,D3828&lt;&gt;""),IF(D3828&gt;=corte,TODAY()-D3828,""),"")</f>
        <v/>
      </c>
      <c r="V3828" s="8">
        <f>IF(D3828="",0,IF(OR(AND(P3828&lt;&gt;"",S3828=""),AND(N(J3828)&gt;0,N(K3828)&lt;J3828),OR(M3828="PENDENTE",M3828="PARCIAL"),OR(N3828="PENDENTE",N3828="PARCIAL")),1,0))</f>
        <v/>
      </c>
      <c r="W3828" s="8">
        <f>IF(AND(V3828=1,D3828&lt;&gt;""),IF(D3828&gt;=corte,(B3828="CRÍTICO")*1E9+(100000-D3828)*10000+10000-ROW(),""),"")</f>
        <v/>
      </c>
      <c r="X3828" s="8">
        <f>IF(AND(V3828=1,D3828=pas_data,E3828=pas_turno),10000-ROW(),"")</f>
        <v/>
      </c>
    </row>
    <row r="3829">
      <c r="A3829" s="3">
        <f>IF(D3829="","","TT-"&amp;TEXT(ROW()-1,"00000"))</f>
        <v/>
      </c>
      <c r="B3829" s="3">
        <f>IF(D3829="","",IF(V3829=0,"CONCLUÍDO",IF(D3829&lt;corte,"HISTÓRICO",IF(OR(AND(ISNUMBER(R3829),R3829&lt;TODAY()),AND(OR(N3829="PENDENTE",N3829="PARCIAL"),D3829&lt;TODAY()-1)),"CRÍTICO",IF(OR(AND(P3829&lt;&gt;"",S3829=""),AND(N3829="REALIZADO",M3829="PENDENTE"),AND(ISNUMBER(R3829),R3829=TODAY())),"ATENÇÃO",IF(N(K3829)=0,"PENDENTE","EM ANDAMENTO"))))))</f>
        <v/>
      </c>
      <c r="C3829" s="3">
        <f>IF(D3829="","",IF(V3829=0,"🟢 OK",IF(D3829&lt;corte,"⚪ HISTÓRICO (sem baixa)",IF(AND(ISNUMBER(R3829),R3829&lt;TODAY()),"🔴 PRAZO VENCIDO",IF(AND(OR(N3829="PENDENTE",N3829="PARCIAL"),D3829&lt;TODAY()-1),"🔴 EMBARQUE ATRASADO",IF(AND(N3829="REALIZADO",M3829="PENDENTE"),"🟡 EMBARCADO SEM FATURAR",IF(AND(P3829&lt;&gt;"",S3829="",OR(Q3829="",R3829="")),"🟡 PENDÊNCIA SEM RESPONSÁVEL/PRAZO",IF(AND(ISNUMBER(R3829),R3829=TODAY()),"🟡 VENCE HOJE",IF(AND(P3829&lt;&gt;"",S3829=""),"🟡 PENDÊNCIA ABERTA",IF(AND(N(J3829)&gt;0,N(K3829)&lt;J3829),"🟡 FALTA EXECUTAR",IF(OR(M3829="PENDENTE",M3829="PARCIAL"),"🟡 FATURAMENTO PENDENTE","🟡 EMBARQUE PENDENTE")))))))))))</f>
        <v/>
      </c>
      <c r="D3829" s="4" t="n"/>
      <c r="E3829" s="5" t="n"/>
      <c r="F3829" s="5" t="n"/>
      <c r="G3829" s="5" t="n"/>
      <c r="H3829" s="5" t="n"/>
      <c r="I3829" s="5" t="n"/>
      <c r="J3829" s="6" t="n"/>
      <c r="K3829" s="6" t="n"/>
      <c r="L3829" s="7">
        <f>IF(OR(D3829="",N(J3829)=0),"",MIN(1,N(K3829)/J3829))</f>
        <v/>
      </c>
      <c r="M3829" s="5" t="n"/>
      <c r="N3829" s="5" t="n"/>
      <c r="O3829" s="5" t="n"/>
      <c r="P3829" s="5" t="n"/>
      <c r="Q3829" s="5" t="n"/>
      <c r="R3829" s="4" t="n"/>
      <c r="S3829" s="4" t="n"/>
      <c r="T3829" s="5" t="n"/>
      <c r="U3829" s="8">
        <f>IF(AND(V3829=1,D3829&lt;&gt;""),IF(D3829&gt;=corte,TODAY()-D3829,""),"")</f>
        <v/>
      </c>
      <c r="V3829" s="8">
        <f>IF(D3829="",0,IF(OR(AND(P3829&lt;&gt;"",S3829=""),AND(N(J3829)&gt;0,N(K3829)&lt;J3829),OR(M3829="PENDENTE",M3829="PARCIAL"),OR(N3829="PENDENTE",N3829="PARCIAL")),1,0))</f>
        <v/>
      </c>
      <c r="W3829" s="8">
        <f>IF(AND(V3829=1,D3829&lt;&gt;""),IF(D3829&gt;=corte,(B3829="CRÍTICO")*1E9+(100000-D3829)*10000+10000-ROW(),""),"")</f>
        <v/>
      </c>
      <c r="X3829" s="8">
        <f>IF(AND(V3829=1,D3829=pas_data,E3829=pas_turno),10000-ROW(),"")</f>
        <v/>
      </c>
    </row>
    <row r="3830">
      <c r="A3830" s="3">
        <f>IF(D3830="","","TT-"&amp;TEXT(ROW()-1,"00000"))</f>
        <v/>
      </c>
      <c r="B3830" s="3">
        <f>IF(D3830="","",IF(V3830=0,"CONCLUÍDO",IF(D3830&lt;corte,"HISTÓRICO",IF(OR(AND(ISNUMBER(R3830),R3830&lt;TODAY()),AND(OR(N3830="PENDENTE",N3830="PARCIAL"),D3830&lt;TODAY()-1)),"CRÍTICO",IF(OR(AND(P3830&lt;&gt;"",S3830=""),AND(N3830="REALIZADO",M3830="PENDENTE"),AND(ISNUMBER(R3830),R3830=TODAY())),"ATENÇÃO",IF(N(K3830)=0,"PENDENTE","EM ANDAMENTO"))))))</f>
        <v/>
      </c>
      <c r="C3830" s="3">
        <f>IF(D3830="","",IF(V3830=0,"🟢 OK",IF(D3830&lt;corte,"⚪ HISTÓRICO (sem baixa)",IF(AND(ISNUMBER(R3830),R3830&lt;TODAY()),"🔴 PRAZO VENCIDO",IF(AND(OR(N3830="PENDENTE",N3830="PARCIAL"),D3830&lt;TODAY()-1),"🔴 EMBARQUE ATRASADO",IF(AND(N3830="REALIZADO",M3830="PENDENTE"),"🟡 EMBARCADO SEM FATURAR",IF(AND(P3830&lt;&gt;"",S3830="",OR(Q3830="",R3830="")),"🟡 PENDÊNCIA SEM RESPONSÁVEL/PRAZO",IF(AND(ISNUMBER(R3830),R3830=TODAY()),"🟡 VENCE HOJE",IF(AND(P3830&lt;&gt;"",S3830=""),"🟡 PENDÊNCIA ABERTA",IF(AND(N(J3830)&gt;0,N(K3830)&lt;J3830),"🟡 FALTA EXECUTAR",IF(OR(M3830="PENDENTE",M3830="PARCIAL"),"🟡 FATURAMENTO PENDENTE","🟡 EMBARQUE PENDENTE")))))))))))</f>
        <v/>
      </c>
      <c r="D3830" s="4" t="n"/>
      <c r="E3830" s="5" t="n"/>
      <c r="F3830" s="5" t="n"/>
      <c r="G3830" s="5" t="n"/>
      <c r="H3830" s="5" t="n"/>
      <c r="I3830" s="5" t="n"/>
      <c r="J3830" s="6" t="n"/>
      <c r="K3830" s="6" t="n"/>
      <c r="L3830" s="7">
        <f>IF(OR(D3830="",N(J3830)=0),"",MIN(1,N(K3830)/J3830))</f>
        <v/>
      </c>
      <c r="M3830" s="5" t="n"/>
      <c r="N3830" s="5" t="n"/>
      <c r="O3830" s="5" t="n"/>
      <c r="P3830" s="5" t="n"/>
      <c r="Q3830" s="5" t="n"/>
      <c r="R3830" s="4" t="n"/>
      <c r="S3830" s="4" t="n"/>
      <c r="T3830" s="5" t="n"/>
      <c r="U3830" s="8">
        <f>IF(AND(V3830=1,D3830&lt;&gt;""),IF(D3830&gt;=corte,TODAY()-D3830,""),"")</f>
        <v/>
      </c>
      <c r="V3830" s="8">
        <f>IF(D3830="",0,IF(OR(AND(P3830&lt;&gt;"",S3830=""),AND(N(J3830)&gt;0,N(K3830)&lt;J3830),OR(M3830="PENDENTE",M3830="PARCIAL"),OR(N3830="PENDENTE",N3830="PARCIAL")),1,0))</f>
        <v/>
      </c>
      <c r="W3830" s="8">
        <f>IF(AND(V3830=1,D3830&lt;&gt;""),IF(D3830&gt;=corte,(B3830="CRÍTICO")*1E9+(100000-D3830)*10000+10000-ROW(),""),"")</f>
        <v/>
      </c>
      <c r="X3830" s="8">
        <f>IF(AND(V3830=1,D3830=pas_data,E3830=pas_turno),10000-ROW(),"")</f>
        <v/>
      </c>
    </row>
    <row r="3831">
      <c r="A3831" s="3">
        <f>IF(D3831="","","TT-"&amp;TEXT(ROW()-1,"00000"))</f>
        <v/>
      </c>
      <c r="B3831" s="3">
        <f>IF(D3831="","",IF(V3831=0,"CONCLUÍDO",IF(D3831&lt;corte,"HISTÓRICO",IF(OR(AND(ISNUMBER(R3831),R3831&lt;TODAY()),AND(OR(N3831="PENDENTE",N3831="PARCIAL"),D3831&lt;TODAY()-1)),"CRÍTICO",IF(OR(AND(P3831&lt;&gt;"",S3831=""),AND(N3831="REALIZADO",M3831="PENDENTE"),AND(ISNUMBER(R3831),R3831=TODAY())),"ATENÇÃO",IF(N(K3831)=0,"PENDENTE","EM ANDAMENTO"))))))</f>
        <v/>
      </c>
      <c r="C3831" s="3">
        <f>IF(D3831="","",IF(V3831=0,"🟢 OK",IF(D3831&lt;corte,"⚪ HISTÓRICO (sem baixa)",IF(AND(ISNUMBER(R3831),R3831&lt;TODAY()),"🔴 PRAZO VENCIDO",IF(AND(OR(N3831="PENDENTE",N3831="PARCIAL"),D3831&lt;TODAY()-1),"🔴 EMBARQUE ATRASADO",IF(AND(N3831="REALIZADO",M3831="PENDENTE"),"🟡 EMBARCADO SEM FATURAR",IF(AND(P3831&lt;&gt;"",S3831="",OR(Q3831="",R3831="")),"🟡 PENDÊNCIA SEM RESPONSÁVEL/PRAZO",IF(AND(ISNUMBER(R3831),R3831=TODAY()),"🟡 VENCE HOJE",IF(AND(P3831&lt;&gt;"",S3831=""),"🟡 PENDÊNCIA ABERTA",IF(AND(N(J3831)&gt;0,N(K3831)&lt;J3831),"🟡 FALTA EXECUTAR",IF(OR(M3831="PENDENTE",M3831="PARCIAL"),"🟡 FATURAMENTO PENDENTE","🟡 EMBARQUE PENDENTE")))))))))))</f>
        <v/>
      </c>
      <c r="D3831" s="4" t="n"/>
      <c r="E3831" s="5" t="n"/>
      <c r="F3831" s="5" t="n"/>
      <c r="G3831" s="5" t="n"/>
      <c r="H3831" s="5" t="n"/>
      <c r="I3831" s="5" t="n"/>
      <c r="J3831" s="6" t="n"/>
      <c r="K3831" s="6" t="n"/>
      <c r="L3831" s="7">
        <f>IF(OR(D3831="",N(J3831)=0),"",MIN(1,N(K3831)/J3831))</f>
        <v/>
      </c>
      <c r="M3831" s="5" t="n"/>
      <c r="N3831" s="5" t="n"/>
      <c r="O3831" s="5" t="n"/>
      <c r="P3831" s="5" t="n"/>
      <c r="Q3831" s="5" t="n"/>
      <c r="R3831" s="4" t="n"/>
      <c r="S3831" s="4" t="n"/>
      <c r="T3831" s="5" t="n"/>
      <c r="U3831" s="8">
        <f>IF(AND(V3831=1,D3831&lt;&gt;""),IF(D3831&gt;=corte,TODAY()-D3831,""),"")</f>
        <v/>
      </c>
      <c r="V3831" s="8">
        <f>IF(D3831="",0,IF(OR(AND(P3831&lt;&gt;"",S3831=""),AND(N(J3831)&gt;0,N(K3831)&lt;J3831),OR(M3831="PENDENTE",M3831="PARCIAL"),OR(N3831="PENDENTE",N3831="PARCIAL")),1,0))</f>
        <v/>
      </c>
      <c r="W3831" s="8">
        <f>IF(AND(V3831=1,D3831&lt;&gt;""),IF(D3831&gt;=corte,(B3831="CRÍTICO")*1E9+(100000-D3831)*10000+10000-ROW(),""),"")</f>
        <v/>
      </c>
      <c r="X3831" s="8">
        <f>IF(AND(V3831=1,D3831=pas_data,E3831=pas_turno),10000-ROW(),"")</f>
        <v/>
      </c>
    </row>
    <row r="3832">
      <c r="A3832" s="3">
        <f>IF(D3832="","","TT-"&amp;TEXT(ROW()-1,"00000"))</f>
        <v/>
      </c>
      <c r="B3832" s="3">
        <f>IF(D3832="","",IF(V3832=0,"CONCLUÍDO",IF(D3832&lt;corte,"HISTÓRICO",IF(OR(AND(ISNUMBER(R3832),R3832&lt;TODAY()),AND(OR(N3832="PENDENTE",N3832="PARCIAL"),D3832&lt;TODAY()-1)),"CRÍTICO",IF(OR(AND(P3832&lt;&gt;"",S3832=""),AND(N3832="REALIZADO",M3832="PENDENTE"),AND(ISNUMBER(R3832),R3832=TODAY())),"ATENÇÃO",IF(N(K3832)=0,"PENDENTE","EM ANDAMENTO"))))))</f>
        <v/>
      </c>
      <c r="C3832" s="3">
        <f>IF(D3832="","",IF(V3832=0,"🟢 OK",IF(D3832&lt;corte,"⚪ HISTÓRICO (sem baixa)",IF(AND(ISNUMBER(R3832),R3832&lt;TODAY()),"🔴 PRAZO VENCIDO",IF(AND(OR(N3832="PENDENTE",N3832="PARCIAL"),D3832&lt;TODAY()-1),"🔴 EMBARQUE ATRASADO",IF(AND(N3832="REALIZADO",M3832="PENDENTE"),"🟡 EMBARCADO SEM FATURAR",IF(AND(P3832&lt;&gt;"",S3832="",OR(Q3832="",R3832="")),"🟡 PENDÊNCIA SEM RESPONSÁVEL/PRAZO",IF(AND(ISNUMBER(R3832),R3832=TODAY()),"🟡 VENCE HOJE",IF(AND(P3832&lt;&gt;"",S3832=""),"🟡 PENDÊNCIA ABERTA",IF(AND(N(J3832)&gt;0,N(K3832)&lt;J3832),"🟡 FALTA EXECUTAR",IF(OR(M3832="PENDENTE",M3832="PARCIAL"),"🟡 FATURAMENTO PENDENTE","🟡 EMBARQUE PENDENTE")))))))))))</f>
        <v/>
      </c>
      <c r="D3832" s="4" t="n"/>
      <c r="E3832" s="5" t="n"/>
      <c r="F3832" s="5" t="n"/>
      <c r="G3832" s="5" t="n"/>
      <c r="H3832" s="5" t="n"/>
      <c r="I3832" s="5" t="n"/>
      <c r="J3832" s="6" t="n"/>
      <c r="K3832" s="6" t="n"/>
      <c r="L3832" s="7">
        <f>IF(OR(D3832="",N(J3832)=0),"",MIN(1,N(K3832)/J3832))</f>
        <v/>
      </c>
      <c r="M3832" s="5" t="n"/>
      <c r="N3832" s="5" t="n"/>
      <c r="O3832" s="5" t="n"/>
      <c r="P3832" s="5" t="n"/>
      <c r="Q3832" s="5" t="n"/>
      <c r="R3832" s="4" t="n"/>
      <c r="S3832" s="4" t="n"/>
      <c r="T3832" s="5" t="n"/>
      <c r="U3832" s="8">
        <f>IF(AND(V3832=1,D3832&lt;&gt;""),IF(D3832&gt;=corte,TODAY()-D3832,""),"")</f>
        <v/>
      </c>
      <c r="V3832" s="8">
        <f>IF(D3832="",0,IF(OR(AND(P3832&lt;&gt;"",S3832=""),AND(N(J3832)&gt;0,N(K3832)&lt;J3832),OR(M3832="PENDENTE",M3832="PARCIAL"),OR(N3832="PENDENTE",N3832="PARCIAL")),1,0))</f>
        <v/>
      </c>
      <c r="W3832" s="8">
        <f>IF(AND(V3832=1,D3832&lt;&gt;""),IF(D3832&gt;=corte,(B3832="CRÍTICO")*1E9+(100000-D3832)*10000+10000-ROW(),""),"")</f>
        <v/>
      </c>
      <c r="X3832" s="8">
        <f>IF(AND(V3832=1,D3832=pas_data,E3832=pas_turno),10000-ROW(),"")</f>
        <v/>
      </c>
    </row>
    <row r="3833">
      <c r="A3833" s="3">
        <f>IF(D3833="","","TT-"&amp;TEXT(ROW()-1,"00000"))</f>
        <v/>
      </c>
      <c r="B3833" s="3">
        <f>IF(D3833="","",IF(V3833=0,"CONCLUÍDO",IF(D3833&lt;corte,"HISTÓRICO",IF(OR(AND(ISNUMBER(R3833),R3833&lt;TODAY()),AND(OR(N3833="PENDENTE",N3833="PARCIAL"),D3833&lt;TODAY()-1)),"CRÍTICO",IF(OR(AND(P3833&lt;&gt;"",S3833=""),AND(N3833="REALIZADO",M3833="PENDENTE"),AND(ISNUMBER(R3833),R3833=TODAY())),"ATENÇÃO",IF(N(K3833)=0,"PENDENTE","EM ANDAMENTO"))))))</f>
        <v/>
      </c>
      <c r="C3833" s="3">
        <f>IF(D3833="","",IF(V3833=0,"🟢 OK",IF(D3833&lt;corte,"⚪ HISTÓRICO (sem baixa)",IF(AND(ISNUMBER(R3833),R3833&lt;TODAY()),"🔴 PRAZO VENCIDO",IF(AND(OR(N3833="PENDENTE",N3833="PARCIAL"),D3833&lt;TODAY()-1),"🔴 EMBARQUE ATRASADO",IF(AND(N3833="REALIZADO",M3833="PENDENTE"),"🟡 EMBARCADO SEM FATURAR",IF(AND(P3833&lt;&gt;"",S3833="",OR(Q3833="",R3833="")),"🟡 PENDÊNCIA SEM RESPONSÁVEL/PRAZO",IF(AND(ISNUMBER(R3833),R3833=TODAY()),"🟡 VENCE HOJE",IF(AND(P3833&lt;&gt;"",S3833=""),"🟡 PENDÊNCIA ABERTA",IF(AND(N(J3833)&gt;0,N(K3833)&lt;J3833),"🟡 FALTA EXECUTAR",IF(OR(M3833="PENDENTE",M3833="PARCIAL"),"🟡 FATURAMENTO PENDENTE","🟡 EMBARQUE PENDENTE")))))))))))</f>
        <v/>
      </c>
      <c r="D3833" s="4" t="n"/>
      <c r="E3833" s="5" t="n"/>
      <c r="F3833" s="5" t="n"/>
      <c r="G3833" s="5" t="n"/>
      <c r="H3833" s="5" t="n"/>
      <c r="I3833" s="5" t="n"/>
      <c r="J3833" s="6" t="n"/>
      <c r="K3833" s="6" t="n"/>
      <c r="L3833" s="7">
        <f>IF(OR(D3833="",N(J3833)=0),"",MIN(1,N(K3833)/J3833))</f>
        <v/>
      </c>
      <c r="M3833" s="5" t="n"/>
      <c r="N3833" s="5" t="n"/>
      <c r="O3833" s="5" t="n"/>
      <c r="P3833" s="5" t="n"/>
      <c r="Q3833" s="5" t="n"/>
      <c r="R3833" s="4" t="n"/>
      <c r="S3833" s="4" t="n"/>
      <c r="T3833" s="5" t="n"/>
      <c r="U3833" s="8">
        <f>IF(AND(V3833=1,D3833&lt;&gt;""),IF(D3833&gt;=corte,TODAY()-D3833,""),"")</f>
        <v/>
      </c>
      <c r="V3833" s="8">
        <f>IF(D3833="",0,IF(OR(AND(P3833&lt;&gt;"",S3833=""),AND(N(J3833)&gt;0,N(K3833)&lt;J3833),OR(M3833="PENDENTE",M3833="PARCIAL"),OR(N3833="PENDENTE",N3833="PARCIAL")),1,0))</f>
        <v/>
      </c>
      <c r="W3833" s="8">
        <f>IF(AND(V3833=1,D3833&lt;&gt;""),IF(D3833&gt;=corte,(B3833="CRÍTICO")*1E9+(100000-D3833)*10000+10000-ROW(),""),"")</f>
        <v/>
      </c>
      <c r="X3833" s="8">
        <f>IF(AND(V3833=1,D3833=pas_data,E3833=pas_turno),10000-ROW(),"")</f>
        <v/>
      </c>
    </row>
    <row r="3834">
      <c r="A3834" s="3">
        <f>IF(D3834="","","TT-"&amp;TEXT(ROW()-1,"00000"))</f>
        <v/>
      </c>
      <c r="B3834" s="3">
        <f>IF(D3834="","",IF(V3834=0,"CONCLUÍDO",IF(D3834&lt;corte,"HISTÓRICO",IF(OR(AND(ISNUMBER(R3834),R3834&lt;TODAY()),AND(OR(N3834="PENDENTE",N3834="PARCIAL"),D3834&lt;TODAY()-1)),"CRÍTICO",IF(OR(AND(P3834&lt;&gt;"",S3834=""),AND(N3834="REALIZADO",M3834="PENDENTE"),AND(ISNUMBER(R3834),R3834=TODAY())),"ATENÇÃO",IF(N(K3834)=0,"PENDENTE","EM ANDAMENTO"))))))</f>
        <v/>
      </c>
      <c r="C3834" s="3">
        <f>IF(D3834="","",IF(V3834=0,"🟢 OK",IF(D3834&lt;corte,"⚪ HISTÓRICO (sem baixa)",IF(AND(ISNUMBER(R3834),R3834&lt;TODAY()),"🔴 PRAZO VENCIDO",IF(AND(OR(N3834="PENDENTE",N3834="PARCIAL"),D3834&lt;TODAY()-1),"🔴 EMBARQUE ATRASADO",IF(AND(N3834="REALIZADO",M3834="PENDENTE"),"🟡 EMBARCADO SEM FATURAR",IF(AND(P3834&lt;&gt;"",S3834="",OR(Q3834="",R3834="")),"🟡 PENDÊNCIA SEM RESPONSÁVEL/PRAZO",IF(AND(ISNUMBER(R3834),R3834=TODAY()),"🟡 VENCE HOJE",IF(AND(P3834&lt;&gt;"",S3834=""),"🟡 PENDÊNCIA ABERTA",IF(AND(N(J3834)&gt;0,N(K3834)&lt;J3834),"🟡 FALTA EXECUTAR",IF(OR(M3834="PENDENTE",M3834="PARCIAL"),"🟡 FATURAMENTO PENDENTE","🟡 EMBARQUE PENDENTE")))))))))))</f>
        <v/>
      </c>
      <c r="D3834" s="4" t="n"/>
      <c r="E3834" s="5" t="n"/>
      <c r="F3834" s="5" t="n"/>
      <c r="G3834" s="5" t="n"/>
      <c r="H3834" s="5" t="n"/>
      <c r="I3834" s="5" t="n"/>
      <c r="J3834" s="6" t="n"/>
      <c r="K3834" s="6" t="n"/>
      <c r="L3834" s="7">
        <f>IF(OR(D3834="",N(J3834)=0),"",MIN(1,N(K3834)/J3834))</f>
        <v/>
      </c>
      <c r="M3834" s="5" t="n"/>
      <c r="N3834" s="5" t="n"/>
      <c r="O3834" s="5" t="n"/>
      <c r="P3834" s="5" t="n"/>
      <c r="Q3834" s="5" t="n"/>
      <c r="R3834" s="4" t="n"/>
      <c r="S3834" s="4" t="n"/>
      <c r="T3834" s="5" t="n"/>
      <c r="U3834" s="8">
        <f>IF(AND(V3834=1,D3834&lt;&gt;""),IF(D3834&gt;=corte,TODAY()-D3834,""),"")</f>
        <v/>
      </c>
      <c r="V3834" s="8">
        <f>IF(D3834="",0,IF(OR(AND(P3834&lt;&gt;"",S3834=""),AND(N(J3834)&gt;0,N(K3834)&lt;J3834),OR(M3834="PENDENTE",M3834="PARCIAL"),OR(N3834="PENDENTE",N3834="PARCIAL")),1,0))</f>
        <v/>
      </c>
      <c r="W3834" s="8">
        <f>IF(AND(V3834=1,D3834&lt;&gt;""),IF(D3834&gt;=corte,(B3834="CRÍTICO")*1E9+(100000-D3834)*10000+10000-ROW(),""),"")</f>
        <v/>
      </c>
      <c r="X3834" s="8">
        <f>IF(AND(V3834=1,D3834=pas_data,E3834=pas_turno),10000-ROW(),"")</f>
        <v/>
      </c>
    </row>
    <row r="3835">
      <c r="A3835" s="3">
        <f>IF(D3835="","","TT-"&amp;TEXT(ROW()-1,"00000"))</f>
        <v/>
      </c>
      <c r="B3835" s="3">
        <f>IF(D3835="","",IF(V3835=0,"CONCLUÍDO",IF(D3835&lt;corte,"HISTÓRICO",IF(OR(AND(ISNUMBER(R3835),R3835&lt;TODAY()),AND(OR(N3835="PENDENTE",N3835="PARCIAL"),D3835&lt;TODAY()-1)),"CRÍTICO",IF(OR(AND(P3835&lt;&gt;"",S3835=""),AND(N3835="REALIZADO",M3835="PENDENTE"),AND(ISNUMBER(R3835),R3835=TODAY())),"ATENÇÃO",IF(N(K3835)=0,"PENDENTE","EM ANDAMENTO"))))))</f>
        <v/>
      </c>
      <c r="C3835" s="3">
        <f>IF(D3835="","",IF(V3835=0,"🟢 OK",IF(D3835&lt;corte,"⚪ HISTÓRICO (sem baixa)",IF(AND(ISNUMBER(R3835),R3835&lt;TODAY()),"🔴 PRAZO VENCIDO",IF(AND(OR(N3835="PENDENTE",N3835="PARCIAL"),D3835&lt;TODAY()-1),"🔴 EMBARQUE ATRASADO",IF(AND(N3835="REALIZADO",M3835="PENDENTE"),"🟡 EMBARCADO SEM FATURAR",IF(AND(P3835&lt;&gt;"",S3835="",OR(Q3835="",R3835="")),"🟡 PENDÊNCIA SEM RESPONSÁVEL/PRAZO",IF(AND(ISNUMBER(R3835),R3835=TODAY()),"🟡 VENCE HOJE",IF(AND(P3835&lt;&gt;"",S3835=""),"🟡 PENDÊNCIA ABERTA",IF(AND(N(J3835)&gt;0,N(K3835)&lt;J3835),"🟡 FALTA EXECUTAR",IF(OR(M3835="PENDENTE",M3835="PARCIAL"),"🟡 FATURAMENTO PENDENTE","🟡 EMBARQUE PENDENTE")))))))))))</f>
        <v/>
      </c>
      <c r="D3835" s="4" t="n"/>
      <c r="E3835" s="5" t="n"/>
      <c r="F3835" s="5" t="n"/>
      <c r="G3835" s="5" t="n"/>
      <c r="H3835" s="5" t="n"/>
      <c r="I3835" s="5" t="n"/>
      <c r="J3835" s="6" t="n"/>
      <c r="K3835" s="6" t="n"/>
      <c r="L3835" s="7">
        <f>IF(OR(D3835="",N(J3835)=0),"",MIN(1,N(K3835)/J3835))</f>
        <v/>
      </c>
      <c r="M3835" s="5" t="n"/>
      <c r="N3835" s="5" t="n"/>
      <c r="O3835" s="5" t="n"/>
      <c r="P3835" s="5" t="n"/>
      <c r="Q3835" s="5" t="n"/>
      <c r="R3835" s="4" t="n"/>
      <c r="S3835" s="4" t="n"/>
      <c r="T3835" s="5" t="n"/>
      <c r="U3835" s="8">
        <f>IF(AND(V3835=1,D3835&lt;&gt;""),IF(D3835&gt;=corte,TODAY()-D3835,""),"")</f>
        <v/>
      </c>
      <c r="V3835" s="8">
        <f>IF(D3835="",0,IF(OR(AND(P3835&lt;&gt;"",S3835=""),AND(N(J3835)&gt;0,N(K3835)&lt;J3835),OR(M3835="PENDENTE",M3835="PARCIAL"),OR(N3835="PENDENTE",N3835="PARCIAL")),1,0))</f>
        <v/>
      </c>
      <c r="W3835" s="8">
        <f>IF(AND(V3835=1,D3835&lt;&gt;""),IF(D3835&gt;=corte,(B3835="CRÍTICO")*1E9+(100000-D3835)*10000+10000-ROW(),""),"")</f>
        <v/>
      </c>
      <c r="X3835" s="8">
        <f>IF(AND(V3835=1,D3835=pas_data,E3835=pas_turno),10000-ROW(),"")</f>
        <v/>
      </c>
    </row>
    <row r="3836">
      <c r="A3836" s="3">
        <f>IF(D3836="","","TT-"&amp;TEXT(ROW()-1,"00000"))</f>
        <v/>
      </c>
      <c r="B3836" s="3">
        <f>IF(D3836="","",IF(V3836=0,"CONCLUÍDO",IF(D3836&lt;corte,"HISTÓRICO",IF(OR(AND(ISNUMBER(R3836),R3836&lt;TODAY()),AND(OR(N3836="PENDENTE",N3836="PARCIAL"),D3836&lt;TODAY()-1)),"CRÍTICO",IF(OR(AND(P3836&lt;&gt;"",S3836=""),AND(N3836="REALIZADO",M3836="PENDENTE"),AND(ISNUMBER(R3836),R3836=TODAY())),"ATENÇÃO",IF(N(K3836)=0,"PENDENTE","EM ANDAMENTO"))))))</f>
        <v/>
      </c>
      <c r="C3836" s="3">
        <f>IF(D3836="","",IF(V3836=0,"🟢 OK",IF(D3836&lt;corte,"⚪ HISTÓRICO (sem baixa)",IF(AND(ISNUMBER(R3836),R3836&lt;TODAY()),"🔴 PRAZO VENCIDO",IF(AND(OR(N3836="PENDENTE",N3836="PARCIAL"),D3836&lt;TODAY()-1),"🔴 EMBARQUE ATRASADO",IF(AND(N3836="REALIZADO",M3836="PENDENTE"),"🟡 EMBARCADO SEM FATURAR",IF(AND(P3836&lt;&gt;"",S3836="",OR(Q3836="",R3836="")),"🟡 PENDÊNCIA SEM RESPONSÁVEL/PRAZO",IF(AND(ISNUMBER(R3836),R3836=TODAY()),"🟡 VENCE HOJE",IF(AND(P3836&lt;&gt;"",S3836=""),"🟡 PENDÊNCIA ABERTA",IF(AND(N(J3836)&gt;0,N(K3836)&lt;J3836),"🟡 FALTA EXECUTAR",IF(OR(M3836="PENDENTE",M3836="PARCIAL"),"🟡 FATURAMENTO PENDENTE","🟡 EMBARQUE PENDENTE")))))))))))</f>
        <v/>
      </c>
      <c r="D3836" s="4" t="n"/>
      <c r="E3836" s="5" t="n"/>
      <c r="F3836" s="5" t="n"/>
      <c r="G3836" s="5" t="n"/>
      <c r="H3836" s="5" t="n"/>
      <c r="I3836" s="5" t="n"/>
      <c r="J3836" s="6" t="n"/>
      <c r="K3836" s="6" t="n"/>
      <c r="L3836" s="7">
        <f>IF(OR(D3836="",N(J3836)=0),"",MIN(1,N(K3836)/J3836))</f>
        <v/>
      </c>
      <c r="M3836" s="5" t="n"/>
      <c r="N3836" s="5" t="n"/>
      <c r="O3836" s="5" t="n"/>
      <c r="P3836" s="5" t="n"/>
      <c r="Q3836" s="5" t="n"/>
      <c r="R3836" s="4" t="n"/>
      <c r="S3836" s="4" t="n"/>
      <c r="T3836" s="5" t="n"/>
      <c r="U3836" s="8">
        <f>IF(AND(V3836=1,D3836&lt;&gt;""),IF(D3836&gt;=corte,TODAY()-D3836,""),"")</f>
        <v/>
      </c>
      <c r="V3836" s="8">
        <f>IF(D3836="",0,IF(OR(AND(P3836&lt;&gt;"",S3836=""),AND(N(J3836)&gt;0,N(K3836)&lt;J3836),OR(M3836="PENDENTE",M3836="PARCIAL"),OR(N3836="PENDENTE",N3836="PARCIAL")),1,0))</f>
        <v/>
      </c>
      <c r="W3836" s="8">
        <f>IF(AND(V3836=1,D3836&lt;&gt;""),IF(D3836&gt;=corte,(B3836="CRÍTICO")*1E9+(100000-D3836)*10000+10000-ROW(),""),"")</f>
        <v/>
      </c>
      <c r="X3836" s="8">
        <f>IF(AND(V3836=1,D3836=pas_data,E3836=pas_turno),10000-ROW(),"")</f>
        <v/>
      </c>
    </row>
    <row r="3837">
      <c r="A3837" s="3">
        <f>IF(D3837="","","TT-"&amp;TEXT(ROW()-1,"00000"))</f>
        <v/>
      </c>
      <c r="B3837" s="3">
        <f>IF(D3837="","",IF(V3837=0,"CONCLUÍDO",IF(D3837&lt;corte,"HISTÓRICO",IF(OR(AND(ISNUMBER(R3837),R3837&lt;TODAY()),AND(OR(N3837="PENDENTE",N3837="PARCIAL"),D3837&lt;TODAY()-1)),"CRÍTICO",IF(OR(AND(P3837&lt;&gt;"",S3837=""),AND(N3837="REALIZADO",M3837="PENDENTE"),AND(ISNUMBER(R3837),R3837=TODAY())),"ATENÇÃO",IF(N(K3837)=0,"PENDENTE","EM ANDAMENTO"))))))</f>
        <v/>
      </c>
      <c r="C3837" s="3">
        <f>IF(D3837="","",IF(V3837=0,"🟢 OK",IF(D3837&lt;corte,"⚪ HISTÓRICO (sem baixa)",IF(AND(ISNUMBER(R3837),R3837&lt;TODAY()),"🔴 PRAZO VENCIDO",IF(AND(OR(N3837="PENDENTE",N3837="PARCIAL"),D3837&lt;TODAY()-1),"🔴 EMBARQUE ATRASADO",IF(AND(N3837="REALIZADO",M3837="PENDENTE"),"🟡 EMBARCADO SEM FATURAR",IF(AND(P3837&lt;&gt;"",S3837="",OR(Q3837="",R3837="")),"🟡 PENDÊNCIA SEM RESPONSÁVEL/PRAZO",IF(AND(ISNUMBER(R3837),R3837=TODAY()),"🟡 VENCE HOJE",IF(AND(P3837&lt;&gt;"",S3837=""),"🟡 PENDÊNCIA ABERTA",IF(AND(N(J3837)&gt;0,N(K3837)&lt;J3837),"🟡 FALTA EXECUTAR",IF(OR(M3837="PENDENTE",M3837="PARCIAL"),"🟡 FATURAMENTO PENDENTE","🟡 EMBARQUE PENDENTE")))))))))))</f>
        <v/>
      </c>
      <c r="D3837" s="4" t="n"/>
      <c r="E3837" s="5" t="n"/>
      <c r="F3837" s="5" t="n"/>
      <c r="G3837" s="5" t="n"/>
      <c r="H3837" s="5" t="n"/>
      <c r="I3837" s="5" t="n"/>
      <c r="J3837" s="6" t="n"/>
      <c r="K3837" s="6" t="n"/>
      <c r="L3837" s="7">
        <f>IF(OR(D3837="",N(J3837)=0),"",MIN(1,N(K3837)/J3837))</f>
        <v/>
      </c>
      <c r="M3837" s="5" t="n"/>
      <c r="N3837" s="5" t="n"/>
      <c r="O3837" s="5" t="n"/>
      <c r="P3837" s="5" t="n"/>
      <c r="Q3837" s="5" t="n"/>
      <c r="R3837" s="4" t="n"/>
      <c r="S3837" s="4" t="n"/>
      <c r="T3837" s="5" t="n"/>
      <c r="U3837" s="8">
        <f>IF(AND(V3837=1,D3837&lt;&gt;""),IF(D3837&gt;=corte,TODAY()-D3837,""),"")</f>
        <v/>
      </c>
      <c r="V3837" s="8">
        <f>IF(D3837="",0,IF(OR(AND(P3837&lt;&gt;"",S3837=""),AND(N(J3837)&gt;0,N(K3837)&lt;J3837),OR(M3837="PENDENTE",M3837="PARCIAL"),OR(N3837="PENDENTE",N3837="PARCIAL")),1,0))</f>
        <v/>
      </c>
      <c r="W3837" s="8">
        <f>IF(AND(V3837=1,D3837&lt;&gt;""),IF(D3837&gt;=corte,(B3837="CRÍTICO")*1E9+(100000-D3837)*10000+10000-ROW(),""),"")</f>
        <v/>
      </c>
      <c r="X3837" s="8">
        <f>IF(AND(V3837=1,D3837=pas_data,E3837=pas_turno),10000-ROW(),"")</f>
        <v/>
      </c>
    </row>
    <row r="3838">
      <c r="A3838" s="3">
        <f>IF(D3838="","","TT-"&amp;TEXT(ROW()-1,"00000"))</f>
        <v/>
      </c>
      <c r="B3838" s="3">
        <f>IF(D3838="","",IF(V3838=0,"CONCLUÍDO",IF(D3838&lt;corte,"HISTÓRICO",IF(OR(AND(ISNUMBER(R3838),R3838&lt;TODAY()),AND(OR(N3838="PENDENTE",N3838="PARCIAL"),D3838&lt;TODAY()-1)),"CRÍTICO",IF(OR(AND(P3838&lt;&gt;"",S3838=""),AND(N3838="REALIZADO",M3838="PENDENTE"),AND(ISNUMBER(R3838),R3838=TODAY())),"ATENÇÃO",IF(N(K3838)=0,"PENDENTE","EM ANDAMENTO"))))))</f>
        <v/>
      </c>
      <c r="C3838" s="3">
        <f>IF(D3838="","",IF(V3838=0,"🟢 OK",IF(D3838&lt;corte,"⚪ HISTÓRICO (sem baixa)",IF(AND(ISNUMBER(R3838),R3838&lt;TODAY()),"🔴 PRAZO VENCIDO",IF(AND(OR(N3838="PENDENTE",N3838="PARCIAL"),D3838&lt;TODAY()-1),"🔴 EMBARQUE ATRASADO",IF(AND(N3838="REALIZADO",M3838="PENDENTE"),"🟡 EMBARCADO SEM FATURAR",IF(AND(P3838&lt;&gt;"",S3838="",OR(Q3838="",R3838="")),"🟡 PENDÊNCIA SEM RESPONSÁVEL/PRAZO",IF(AND(ISNUMBER(R3838),R3838=TODAY()),"🟡 VENCE HOJE",IF(AND(P3838&lt;&gt;"",S3838=""),"🟡 PENDÊNCIA ABERTA",IF(AND(N(J3838)&gt;0,N(K3838)&lt;J3838),"🟡 FALTA EXECUTAR",IF(OR(M3838="PENDENTE",M3838="PARCIAL"),"🟡 FATURAMENTO PENDENTE","🟡 EMBARQUE PENDENTE")))))))))))</f>
        <v/>
      </c>
      <c r="D3838" s="4" t="n"/>
      <c r="E3838" s="5" t="n"/>
      <c r="F3838" s="5" t="n"/>
      <c r="G3838" s="5" t="n"/>
      <c r="H3838" s="5" t="n"/>
      <c r="I3838" s="5" t="n"/>
      <c r="J3838" s="6" t="n"/>
      <c r="K3838" s="6" t="n"/>
      <c r="L3838" s="7">
        <f>IF(OR(D3838="",N(J3838)=0),"",MIN(1,N(K3838)/J3838))</f>
        <v/>
      </c>
      <c r="M3838" s="5" t="n"/>
      <c r="N3838" s="5" t="n"/>
      <c r="O3838" s="5" t="n"/>
      <c r="P3838" s="5" t="n"/>
      <c r="Q3838" s="5" t="n"/>
      <c r="R3838" s="4" t="n"/>
      <c r="S3838" s="4" t="n"/>
      <c r="T3838" s="5" t="n"/>
      <c r="U3838" s="8">
        <f>IF(AND(V3838=1,D3838&lt;&gt;""),IF(D3838&gt;=corte,TODAY()-D3838,""),"")</f>
        <v/>
      </c>
      <c r="V3838" s="8">
        <f>IF(D3838="",0,IF(OR(AND(P3838&lt;&gt;"",S3838=""),AND(N(J3838)&gt;0,N(K3838)&lt;J3838),OR(M3838="PENDENTE",M3838="PARCIAL"),OR(N3838="PENDENTE",N3838="PARCIAL")),1,0))</f>
        <v/>
      </c>
      <c r="W3838" s="8">
        <f>IF(AND(V3838=1,D3838&lt;&gt;""),IF(D3838&gt;=corte,(B3838="CRÍTICO")*1E9+(100000-D3838)*10000+10000-ROW(),""),"")</f>
        <v/>
      </c>
      <c r="X3838" s="8">
        <f>IF(AND(V3838=1,D3838=pas_data,E3838=pas_turno),10000-ROW(),"")</f>
        <v/>
      </c>
    </row>
    <row r="3839">
      <c r="A3839" s="3">
        <f>IF(D3839="","","TT-"&amp;TEXT(ROW()-1,"00000"))</f>
        <v/>
      </c>
      <c r="B3839" s="3">
        <f>IF(D3839="","",IF(V3839=0,"CONCLUÍDO",IF(D3839&lt;corte,"HISTÓRICO",IF(OR(AND(ISNUMBER(R3839),R3839&lt;TODAY()),AND(OR(N3839="PENDENTE",N3839="PARCIAL"),D3839&lt;TODAY()-1)),"CRÍTICO",IF(OR(AND(P3839&lt;&gt;"",S3839=""),AND(N3839="REALIZADO",M3839="PENDENTE"),AND(ISNUMBER(R3839),R3839=TODAY())),"ATENÇÃO",IF(N(K3839)=0,"PENDENTE","EM ANDAMENTO"))))))</f>
        <v/>
      </c>
      <c r="C3839" s="3">
        <f>IF(D3839="","",IF(V3839=0,"🟢 OK",IF(D3839&lt;corte,"⚪ HISTÓRICO (sem baixa)",IF(AND(ISNUMBER(R3839),R3839&lt;TODAY()),"🔴 PRAZO VENCIDO",IF(AND(OR(N3839="PENDENTE",N3839="PARCIAL"),D3839&lt;TODAY()-1),"🔴 EMBARQUE ATRASADO",IF(AND(N3839="REALIZADO",M3839="PENDENTE"),"🟡 EMBARCADO SEM FATURAR",IF(AND(P3839&lt;&gt;"",S3839="",OR(Q3839="",R3839="")),"🟡 PENDÊNCIA SEM RESPONSÁVEL/PRAZO",IF(AND(ISNUMBER(R3839),R3839=TODAY()),"🟡 VENCE HOJE",IF(AND(P3839&lt;&gt;"",S3839=""),"🟡 PENDÊNCIA ABERTA",IF(AND(N(J3839)&gt;0,N(K3839)&lt;J3839),"🟡 FALTA EXECUTAR",IF(OR(M3839="PENDENTE",M3839="PARCIAL"),"🟡 FATURAMENTO PENDENTE","🟡 EMBARQUE PENDENTE")))))))))))</f>
        <v/>
      </c>
      <c r="D3839" s="4" t="n"/>
      <c r="E3839" s="5" t="n"/>
      <c r="F3839" s="5" t="n"/>
      <c r="G3839" s="5" t="n"/>
      <c r="H3839" s="5" t="n"/>
      <c r="I3839" s="5" t="n"/>
      <c r="J3839" s="6" t="n"/>
      <c r="K3839" s="6" t="n"/>
      <c r="L3839" s="7">
        <f>IF(OR(D3839="",N(J3839)=0),"",MIN(1,N(K3839)/J3839))</f>
        <v/>
      </c>
      <c r="M3839" s="5" t="n"/>
      <c r="N3839" s="5" t="n"/>
      <c r="O3839" s="5" t="n"/>
      <c r="P3839" s="5" t="n"/>
      <c r="Q3839" s="5" t="n"/>
      <c r="R3839" s="4" t="n"/>
      <c r="S3839" s="4" t="n"/>
      <c r="T3839" s="5" t="n"/>
      <c r="U3839" s="8">
        <f>IF(AND(V3839=1,D3839&lt;&gt;""),IF(D3839&gt;=corte,TODAY()-D3839,""),"")</f>
        <v/>
      </c>
      <c r="V3839" s="8">
        <f>IF(D3839="",0,IF(OR(AND(P3839&lt;&gt;"",S3839=""),AND(N(J3839)&gt;0,N(K3839)&lt;J3839),OR(M3839="PENDENTE",M3839="PARCIAL"),OR(N3839="PENDENTE",N3839="PARCIAL")),1,0))</f>
        <v/>
      </c>
      <c r="W3839" s="8">
        <f>IF(AND(V3839=1,D3839&lt;&gt;""),IF(D3839&gt;=corte,(B3839="CRÍTICO")*1E9+(100000-D3839)*10000+10000-ROW(),""),"")</f>
        <v/>
      </c>
      <c r="X3839" s="8">
        <f>IF(AND(V3839=1,D3839=pas_data,E3839=pas_turno),10000-ROW(),"")</f>
        <v/>
      </c>
    </row>
    <row r="3840">
      <c r="A3840" s="3">
        <f>IF(D3840="","","TT-"&amp;TEXT(ROW()-1,"00000"))</f>
        <v/>
      </c>
      <c r="B3840" s="3">
        <f>IF(D3840="","",IF(V3840=0,"CONCLUÍDO",IF(D3840&lt;corte,"HISTÓRICO",IF(OR(AND(ISNUMBER(R3840),R3840&lt;TODAY()),AND(OR(N3840="PENDENTE",N3840="PARCIAL"),D3840&lt;TODAY()-1)),"CRÍTICO",IF(OR(AND(P3840&lt;&gt;"",S3840=""),AND(N3840="REALIZADO",M3840="PENDENTE"),AND(ISNUMBER(R3840),R3840=TODAY())),"ATENÇÃO",IF(N(K3840)=0,"PENDENTE","EM ANDAMENTO"))))))</f>
        <v/>
      </c>
      <c r="C3840" s="3">
        <f>IF(D3840="","",IF(V3840=0,"🟢 OK",IF(D3840&lt;corte,"⚪ HISTÓRICO (sem baixa)",IF(AND(ISNUMBER(R3840),R3840&lt;TODAY()),"🔴 PRAZO VENCIDO",IF(AND(OR(N3840="PENDENTE",N3840="PARCIAL"),D3840&lt;TODAY()-1),"🔴 EMBARQUE ATRASADO",IF(AND(N3840="REALIZADO",M3840="PENDENTE"),"🟡 EMBARCADO SEM FATURAR",IF(AND(P3840&lt;&gt;"",S3840="",OR(Q3840="",R3840="")),"🟡 PENDÊNCIA SEM RESPONSÁVEL/PRAZO",IF(AND(ISNUMBER(R3840),R3840=TODAY()),"🟡 VENCE HOJE",IF(AND(P3840&lt;&gt;"",S3840=""),"🟡 PENDÊNCIA ABERTA",IF(AND(N(J3840)&gt;0,N(K3840)&lt;J3840),"🟡 FALTA EXECUTAR",IF(OR(M3840="PENDENTE",M3840="PARCIAL"),"🟡 FATURAMENTO PENDENTE","🟡 EMBARQUE PENDENTE")))))))))))</f>
        <v/>
      </c>
      <c r="D3840" s="4" t="n"/>
      <c r="E3840" s="5" t="n"/>
      <c r="F3840" s="5" t="n"/>
      <c r="G3840" s="5" t="n"/>
      <c r="H3840" s="5" t="n"/>
      <c r="I3840" s="5" t="n"/>
      <c r="J3840" s="6" t="n"/>
      <c r="K3840" s="6" t="n"/>
      <c r="L3840" s="7">
        <f>IF(OR(D3840="",N(J3840)=0),"",MIN(1,N(K3840)/J3840))</f>
        <v/>
      </c>
      <c r="M3840" s="5" t="n"/>
      <c r="N3840" s="5" t="n"/>
      <c r="O3840" s="5" t="n"/>
      <c r="P3840" s="5" t="n"/>
      <c r="Q3840" s="5" t="n"/>
      <c r="R3840" s="4" t="n"/>
      <c r="S3840" s="4" t="n"/>
      <c r="T3840" s="5" t="n"/>
      <c r="U3840" s="8">
        <f>IF(AND(V3840=1,D3840&lt;&gt;""),IF(D3840&gt;=corte,TODAY()-D3840,""),"")</f>
        <v/>
      </c>
      <c r="V3840" s="8">
        <f>IF(D3840="",0,IF(OR(AND(P3840&lt;&gt;"",S3840=""),AND(N(J3840)&gt;0,N(K3840)&lt;J3840),OR(M3840="PENDENTE",M3840="PARCIAL"),OR(N3840="PENDENTE",N3840="PARCIAL")),1,0))</f>
        <v/>
      </c>
      <c r="W3840" s="8">
        <f>IF(AND(V3840=1,D3840&lt;&gt;""),IF(D3840&gt;=corte,(B3840="CRÍTICO")*1E9+(100000-D3840)*10000+10000-ROW(),""),"")</f>
        <v/>
      </c>
      <c r="X3840" s="8">
        <f>IF(AND(V3840=1,D3840=pas_data,E3840=pas_turno),10000-ROW(),"")</f>
        <v/>
      </c>
    </row>
    <row r="3841">
      <c r="A3841" s="3">
        <f>IF(D3841="","","TT-"&amp;TEXT(ROW()-1,"00000"))</f>
        <v/>
      </c>
      <c r="B3841" s="3">
        <f>IF(D3841="","",IF(V3841=0,"CONCLUÍDO",IF(D3841&lt;corte,"HISTÓRICO",IF(OR(AND(ISNUMBER(R3841),R3841&lt;TODAY()),AND(OR(N3841="PENDENTE",N3841="PARCIAL"),D3841&lt;TODAY()-1)),"CRÍTICO",IF(OR(AND(P3841&lt;&gt;"",S3841=""),AND(N3841="REALIZADO",M3841="PENDENTE"),AND(ISNUMBER(R3841),R3841=TODAY())),"ATENÇÃO",IF(N(K3841)=0,"PENDENTE","EM ANDAMENTO"))))))</f>
        <v/>
      </c>
      <c r="C3841" s="3">
        <f>IF(D3841="","",IF(V3841=0,"🟢 OK",IF(D3841&lt;corte,"⚪ HISTÓRICO (sem baixa)",IF(AND(ISNUMBER(R3841),R3841&lt;TODAY()),"🔴 PRAZO VENCIDO",IF(AND(OR(N3841="PENDENTE",N3841="PARCIAL"),D3841&lt;TODAY()-1),"🔴 EMBARQUE ATRASADO",IF(AND(N3841="REALIZADO",M3841="PENDENTE"),"🟡 EMBARCADO SEM FATURAR",IF(AND(P3841&lt;&gt;"",S3841="",OR(Q3841="",R3841="")),"🟡 PENDÊNCIA SEM RESPONSÁVEL/PRAZO",IF(AND(ISNUMBER(R3841),R3841=TODAY()),"🟡 VENCE HOJE",IF(AND(P3841&lt;&gt;"",S3841=""),"🟡 PENDÊNCIA ABERTA",IF(AND(N(J3841)&gt;0,N(K3841)&lt;J3841),"🟡 FALTA EXECUTAR",IF(OR(M3841="PENDENTE",M3841="PARCIAL"),"🟡 FATURAMENTO PENDENTE","🟡 EMBARQUE PENDENTE")))))))))))</f>
        <v/>
      </c>
      <c r="D3841" s="4" t="n"/>
      <c r="E3841" s="5" t="n"/>
      <c r="F3841" s="5" t="n"/>
      <c r="G3841" s="5" t="n"/>
      <c r="H3841" s="5" t="n"/>
      <c r="I3841" s="5" t="n"/>
      <c r="J3841" s="6" t="n"/>
      <c r="K3841" s="6" t="n"/>
      <c r="L3841" s="7">
        <f>IF(OR(D3841="",N(J3841)=0),"",MIN(1,N(K3841)/J3841))</f>
        <v/>
      </c>
      <c r="M3841" s="5" t="n"/>
      <c r="N3841" s="5" t="n"/>
      <c r="O3841" s="5" t="n"/>
      <c r="P3841" s="5" t="n"/>
      <c r="Q3841" s="5" t="n"/>
      <c r="R3841" s="4" t="n"/>
      <c r="S3841" s="4" t="n"/>
      <c r="T3841" s="5" t="n"/>
      <c r="U3841" s="8">
        <f>IF(AND(V3841=1,D3841&lt;&gt;""),IF(D3841&gt;=corte,TODAY()-D3841,""),"")</f>
        <v/>
      </c>
      <c r="V3841" s="8">
        <f>IF(D3841="",0,IF(OR(AND(P3841&lt;&gt;"",S3841=""),AND(N(J3841)&gt;0,N(K3841)&lt;J3841),OR(M3841="PENDENTE",M3841="PARCIAL"),OR(N3841="PENDENTE",N3841="PARCIAL")),1,0))</f>
        <v/>
      </c>
      <c r="W3841" s="8">
        <f>IF(AND(V3841=1,D3841&lt;&gt;""),IF(D3841&gt;=corte,(B3841="CRÍTICO")*1E9+(100000-D3841)*10000+10000-ROW(),""),"")</f>
        <v/>
      </c>
      <c r="X3841" s="8">
        <f>IF(AND(V3841=1,D3841=pas_data,E3841=pas_turno),10000-ROW(),"")</f>
        <v/>
      </c>
    </row>
    <row r="3842">
      <c r="A3842" s="3">
        <f>IF(D3842="","","TT-"&amp;TEXT(ROW()-1,"00000"))</f>
        <v/>
      </c>
      <c r="B3842" s="3">
        <f>IF(D3842="","",IF(V3842=0,"CONCLUÍDO",IF(D3842&lt;corte,"HISTÓRICO",IF(OR(AND(ISNUMBER(R3842),R3842&lt;TODAY()),AND(OR(N3842="PENDENTE",N3842="PARCIAL"),D3842&lt;TODAY()-1)),"CRÍTICO",IF(OR(AND(P3842&lt;&gt;"",S3842=""),AND(N3842="REALIZADO",M3842="PENDENTE"),AND(ISNUMBER(R3842),R3842=TODAY())),"ATENÇÃO",IF(N(K3842)=0,"PENDENTE","EM ANDAMENTO"))))))</f>
        <v/>
      </c>
      <c r="C3842" s="3">
        <f>IF(D3842="","",IF(V3842=0,"🟢 OK",IF(D3842&lt;corte,"⚪ HISTÓRICO (sem baixa)",IF(AND(ISNUMBER(R3842),R3842&lt;TODAY()),"🔴 PRAZO VENCIDO",IF(AND(OR(N3842="PENDENTE",N3842="PARCIAL"),D3842&lt;TODAY()-1),"🔴 EMBARQUE ATRASADO",IF(AND(N3842="REALIZADO",M3842="PENDENTE"),"🟡 EMBARCADO SEM FATURAR",IF(AND(P3842&lt;&gt;"",S3842="",OR(Q3842="",R3842="")),"🟡 PENDÊNCIA SEM RESPONSÁVEL/PRAZO",IF(AND(ISNUMBER(R3842),R3842=TODAY()),"🟡 VENCE HOJE",IF(AND(P3842&lt;&gt;"",S3842=""),"🟡 PENDÊNCIA ABERTA",IF(AND(N(J3842)&gt;0,N(K3842)&lt;J3842),"🟡 FALTA EXECUTAR",IF(OR(M3842="PENDENTE",M3842="PARCIAL"),"🟡 FATURAMENTO PENDENTE","🟡 EMBARQUE PENDENTE")))))))))))</f>
        <v/>
      </c>
      <c r="D3842" s="4" t="n"/>
      <c r="E3842" s="5" t="n"/>
      <c r="F3842" s="5" t="n"/>
      <c r="G3842" s="5" t="n"/>
      <c r="H3842" s="5" t="n"/>
      <c r="I3842" s="5" t="n"/>
      <c r="J3842" s="6" t="n"/>
      <c r="K3842" s="6" t="n"/>
      <c r="L3842" s="7">
        <f>IF(OR(D3842="",N(J3842)=0),"",MIN(1,N(K3842)/J3842))</f>
        <v/>
      </c>
      <c r="M3842" s="5" t="n"/>
      <c r="N3842" s="5" t="n"/>
      <c r="O3842" s="5" t="n"/>
      <c r="P3842" s="5" t="n"/>
      <c r="Q3842" s="5" t="n"/>
      <c r="R3842" s="4" t="n"/>
      <c r="S3842" s="4" t="n"/>
      <c r="T3842" s="5" t="n"/>
      <c r="U3842" s="8">
        <f>IF(AND(V3842=1,D3842&lt;&gt;""),IF(D3842&gt;=corte,TODAY()-D3842,""),"")</f>
        <v/>
      </c>
      <c r="V3842" s="8">
        <f>IF(D3842="",0,IF(OR(AND(P3842&lt;&gt;"",S3842=""),AND(N(J3842)&gt;0,N(K3842)&lt;J3842),OR(M3842="PENDENTE",M3842="PARCIAL"),OR(N3842="PENDENTE",N3842="PARCIAL")),1,0))</f>
        <v/>
      </c>
      <c r="W3842" s="8">
        <f>IF(AND(V3842=1,D3842&lt;&gt;""),IF(D3842&gt;=corte,(B3842="CRÍTICO")*1E9+(100000-D3842)*10000+10000-ROW(),""),"")</f>
        <v/>
      </c>
      <c r="X3842" s="8">
        <f>IF(AND(V3842=1,D3842=pas_data,E3842=pas_turno),10000-ROW(),"")</f>
        <v/>
      </c>
    </row>
    <row r="3843">
      <c r="A3843" s="3">
        <f>IF(D3843="","","TT-"&amp;TEXT(ROW()-1,"00000"))</f>
        <v/>
      </c>
      <c r="B3843" s="3">
        <f>IF(D3843="","",IF(V3843=0,"CONCLUÍDO",IF(D3843&lt;corte,"HISTÓRICO",IF(OR(AND(ISNUMBER(R3843),R3843&lt;TODAY()),AND(OR(N3843="PENDENTE",N3843="PARCIAL"),D3843&lt;TODAY()-1)),"CRÍTICO",IF(OR(AND(P3843&lt;&gt;"",S3843=""),AND(N3843="REALIZADO",M3843="PENDENTE"),AND(ISNUMBER(R3843),R3843=TODAY())),"ATENÇÃO",IF(N(K3843)=0,"PENDENTE","EM ANDAMENTO"))))))</f>
        <v/>
      </c>
      <c r="C3843" s="3">
        <f>IF(D3843="","",IF(V3843=0,"🟢 OK",IF(D3843&lt;corte,"⚪ HISTÓRICO (sem baixa)",IF(AND(ISNUMBER(R3843),R3843&lt;TODAY()),"🔴 PRAZO VENCIDO",IF(AND(OR(N3843="PENDENTE",N3843="PARCIAL"),D3843&lt;TODAY()-1),"🔴 EMBARQUE ATRASADO",IF(AND(N3843="REALIZADO",M3843="PENDENTE"),"🟡 EMBARCADO SEM FATURAR",IF(AND(P3843&lt;&gt;"",S3843="",OR(Q3843="",R3843="")),"🟡 PENDÊNCIA SEM RESPONSÁVEL/PRAZO",IF(AND(ISNUMBER(R3843),R3843=TODAY()),"🟡 VENCE HOJE",IF(AND(P3843&lt;&gt;"",S3843=""),"🟡 PENDÊNCIA ABERTA",IF(AND(N(J3843)&gt;0,N(K3843)&lt;J3843),"🟡 FALTA EXECUTAR",IF(OR(M3843="PENDENTE",M3843="PARCIAL"),"🟡 FATURAMENTO PENDENTE","🟡 EMBARQUE PENDENTE")))))))))))</f>
        <v/>
      </c>
      <c r="D3843" s="4" t="n"/>
      <c r="E3843" s="5" t="n"/>
      <c r="F3843" s="5" t="n"/>
      <c r="G3843" s="5" t="n"/>
      <c r="H3843" s="5" t="n"/>
      <c r="I3843" s="5" t="n"/>
      <c r="J3843" s="6" t="n"/>
      <c r="K3843" s="6" t="n"/>
      <c r="L3843" s="7">
        <f>IF(OR(D3843="",N(J3843)=0),"",MIN(1,N(K3843)/J3843))</f>
        <v/>
      </c>
      <c r="M3843" s="5" t="n"/>
      <c r="N3843" s="5" t="n"/>
      <c r="O3843" s="5" t="n"/>
      <c r="P3843" s="5" t="n"/>
      <c r="Q3843" s="5" t="n"/>
      <c r="R3843" s="4" t="n"/>
      <c r="S3843" s="4" t="n"/>
      <c r="T3843" s="5" t="n"/>
      <c r="U3843" s="8">
        <f>IF(AND(V3843=1,D3843&lt;&gt;""),IF(D3843&gt;=corte,TODAY()-D3843,""),"")</f>
        <v/>
      </c>
      <c r="V3843" s="8">
        <f>IF(D3843="",0,IF(OR(AND(P3843&lt;&gt;"",S3843=""),AND(N(J3843)&gt;0,N(K3843)&lt;J3843),OR(M3843="PENDENTE",M3843="PARCIAL"),OR(N3843="PENDENTE",N3843="PARCIAL")),1,0))</f>
        <v/>
      </c>
      <c r="W3843" s="8">
        <f>IF(AND(V3843=1,D3843&lt;&gt;""),IF(D3843&gt;=corte,(B3843="CRÍTICO")*1E9+(100000-D3843)*10000+10000-ROW(),""),"")</f>
        <v/>
      </c>
      <c r="X3843" s="8">
        <f>IF(AND(V3843=1,D3843=pas_data,E3843=pas_turno),10000-ROW(),"")</f>
        <v/>
      </c>
    </row>
    <row r="3844">
      <c r="A3844" s="3">
        <f>IF(D3844="","","TT-"&amp;TEXT(ROW()-1,"00000"))</f>
        <v/>
      </c>
      <c r="B3844" s="3">
        <f>IF(D3844="","",IF(V3844=0,"CONCLUÍDO",IF(D3844&lt;corte,"HISTÓRICO",IF(OR(AND(ISNUMBER(R3844),R3844&lt;TODAY()),AND(OR(N3844="PENDENTE",N3844="PARCIAL"),D3844&lt;TODAY()-1)),"CRÍTICO",IF(OR(AND(P3844&lt;&gt;"",S3844=""),AND(N3844="REALIZADO",M3844="PENDENTE"),AND(ISNUMBER(R3844),R3844=TODAY())),"ATENÇÃO",IF(N(K3844)=0,"PENDENTE","EM ANDAMENTO"))))))</f>
        <v/>
      </c>
      <c r="C3844" s="3">
        <f>IF(D3844="","",IF(V3844=0,"🟢 OK",IF(D3844&lt;corte,"⚪ HISTÓRICO (sem baixa)",IF(AND(ISNUMBER(R3844),R3844&lt;TODAY()),"🔴 PRAZO VENCIDO",IF(AND(OR(N3844="PENDENTE",N3844="PARCIAL"),D3844&lt;TODAY()-1),"🔴 EMBARQUE ATRASADO",IF(AND(N3844="REALIZADO",M3844="PENDENTE"),"🟡 EMBARCADO SEM FATURAR",IF(AND(P3844&lt;&gt;"",S3844="",OR(Q3844="",R3844="")),"🟡 PENDÊNCIA SEM RESPONSÁVEL/PRAZO",IF(AND(ISNUMBER(R3844),R3844=TODAY()),"🟡 VENCE HOJE",IF(AND(P3844&lt;&gt;"",S3844=""),"🟡 PENDÊNCIA ABERTA",IF(AND(N(J3844)&gt;0,N(K3844)&lt;J3844),"🟡 FALTA EXECUTAR",IF(OR(M3844="PENDENTE",M3844="PARCIAL"),"🟡 FATURAMENTO PENDENTE","🟡 EMBARQUE PENDENTE")))))))))))</f>
        <v/>
      </c>
      <c r="D3844" s="4" t="n"/>
      <c r="E3844" s="5" t="n"/>
      <c r="F3844" s="5" t="n"/>
      <c r="G3844" s="5" t="n"/>
      <c r="H3844" s="5" t="n"/>
      <c r="I3844" s="5" t="n"/>
      <c r="J3844" s="6" t="n"/>
      <c r="K3844" s="6" t="n"/>
      <c r="L3844" s="7">
        <f>IF(OR(D3844="",N(J3844)=0),"",MIN(1,N(K3844)/J3844))</f>
        <v/>
      </c>
      <c r="M3844" s="5" t="n"/>
      <c r="N3844" s="5" t="n"/>
      <c r="O3844" s="5" t="n"/>
      <c r="P3844" s="5" t="n"/>
      <c r="Q3844" s="5" t="n"/>
      <c r="R3844" s="4" t="n"/>
      <c r="S3844" s="4" t="n"/>
      <c r="T3844" s="5" t="n"/>
      <c r="U3844" s="8">
        <f>IF(AND(V3844=1,D3844&lt;&gt;""),IF(D3844&gt;=corte,TODAY()-D3844,""),"")</f>
        <v/>
      </c>
      <c r="V3844" s="8">
        <f>IF(D3844="",0,IF(OR(AND(P3844&lt;&gt;"",S3844=""),AND(N(J3844)&gt;0,N(K3844)&lt;J3844),OR(M3844="PENDENTE",M3844="PARCIAL"),OR(N3844="PENDENTE",N3844="PARCIAL")),1,0))</f>
        <v/>
      </c>
      <c r="W3844" s="8">
        <f>IF(AND(V3844=1,D3844&lt;&gt;""),IF(D3844&gt;=corte,(B3844="CRÍTICO")*1E9+(100000-D3844)*10000+10000-ROW(),""),"")</f>
        <v/>
      </c>
      <c r="X3844" s="8">
        <f>IF(AND(V3844=1,D3844=pas_data,E3844=pas_turno),10000-ROW(),"")</f>
        <v/>
      </c>
    </row>
    <row r="3845">
      <c r="A3845" s="3">
        <f>IF(D3845="","","TT-"&amp;TEXT(ROW()-1,"00000"))</f>
        <v/>
      </c>
      <c r="B3845" s="3">
        <f>IF(D3845="","",IF(V3845=0,"CONCLUÍDO",IF(D3845&lt;corte,"HISTÓRICO",IF(OR(AND(ISNUMBER(R3845),R3845&lt;TODAY()),AND(OR(N3845="PENDENTE",N3845="PARCIAL"),D3845&lt;TODAY()-1)),"CRÍTICO",IF(OR(AND(P3845&lt;&gt;"",S3845=""),AND(N3845="REALIZADO",M3845="PENDENTE"),AND(ISNUMBER(R3845),R3845=TODAY())),"ATENÇÃO",IF(N(K3845)=0,"PENDENTE","EM ANDAMENTO"))))))</f>
        <v/>
      </c>
      <c r="C3845" s="3">
        <f>IF(D3845="","",IF(V3845=0,"🟢 OK",IF(D3845&lt;corte,"⚪ HISTÓRICO (sem baixa)",IF(AND(ISNUMBER(R3845),R3845&lt;TODAY()),"🔴 PRAZO VENCIDO",IF(AND(OR(N3845="PENDENTE",N3845="PARCIAL"),D3845&lt;TODAY()-1),"🔴 EMBARQUE ATRASADO",IF(AND(N3845="REALIZADO",M3845="PENDENTE"),"🟡 EMBARCADO SEM FATURAR",IF(AND(P3845&lt;&gt;"",S3845="",OR(Q3845="",R3845="")),"🟡 PENDÊNCIA SEM RESPONSÁVEL/PRAZO",IF(AND(ISNUMBER(R3845),R3845=TODAY()),"🟡 VENCE HOJE",IF(AND(P3845&lt;&gt;"",S3845=""),"🟡 PENDÊNCIA ABERTA",IF(AND(N(J3845)&gt;0,N(K3845)&lt;J3845),"🟡 FALTA EXECUTAR",IF(OR(M3845="PENDENTE",M3845="PARCIAL"),"🟡 FATURAMENTO PENDENTE","🟡 EMBARQUE PENDENTE")))))))))))</f>
        <v/>
      </c>
      <c r="D3845" s="4" t="n"/>
      <c r="E3845" s="5" t="n"/>
      <c r="F3845" s="5" t="n"/>
      <c r="G3845" s="5" t="n"/>
      <c r="H3845" s="5" t="n"/>
      <c r="I3845" s="5" t="n"/>
      <c r="J3845" s="6" t="n"/>
      <c r="K3845" s="6" t="n"/>
      <c r="L3845" s="7">
        <f>IF(OR(D3845="",N(J3845)=0),"",MIN(1,N(K3845)/J3845))</f>
        <v/>
      </c>
      <c r="M3845" s="5" t="n"/>
      <c r="N3845" s="5" t="n"/>
      <c r="O3845" s="5" t="n"/>
      <c r="P3845" s="5" t="n"/>
      <c r="Q3845" s="5" t="n"/>
      <c r="R3845" s="4" t="n"/>
      <c r="S3845" s="4" t="n"/>
      <c r="T3845" s="5" t="n"/>
      <c r="U3845" s="8">
        <f>IF(AND(V3845=1,D3845&lt;&gt;""),IF(D3845&gt;=corte,TODAY()-D3845,""),"")</f>
        <v/>
      </c>
      <c r="V3845" s="8">
        <f>IF(D3845="",0,IF(OR(AND(P3845&lt;&gt;"",S3845=""),AND(N(J3845)&gt;0,N(K3845)&lt;J3845),OR(M3845="PENDENTE",M3845="PARCIAL"),OR(N3845="PENDENTE",N3845="PARCIAL")),1,0))</f>
        <v/>
      </c>
      <c r="W3845" s="8">
        <f>IF(AND(V3845=1,D3845&lt;&gt;""),IF(D3845&gt;=corte,(B3845="CRÍTICO")*1E9+(100000-D3845)*10000+10000-ROW(),""),"")</f>
        <v/>
      </c>
      <c r="X3845" s="8">
        <f>IF(AND(V3845=1,D3845=pas_data,E3845=pas_turno),10000-ROW(),"")</f>
        <v/>
      </c>
    </row>
    <row r="3846">
      <c r="A3846" s="3">
        <f>IF(D3846="","","TT-"&amp;TEXT(ROW()-1,"00000"))</f>
        <v/>
      </c>
      <c r="B3846" s="3">
        <f>IF(D3846="","",IF(V3846=0,"CONCLUÍDO",IF(D3846&lt;corte,"HISTÓRICO",IF(OR(AND(ISNUMBER(R3846),R3846&lt;TODAY()),AND(OR(N3846="PENDENTE",N3846="PARCIAL"),D3846&lt;TODAY()-1)),"CRÍTICO",IF(OR(AND(P3846&lt;&gt;"",S3846=""),AND(N3846="REALIZADO",M3846="PENDENTE"),AND(ISNUMBER(R3846),R3846=TODAY())),"ATENÇÃO",IF(N(K3846)=0,"PENDENTE","EM ANDAMENTO"))))))</f>
        <v/>
      </c>
      <c r="C3846" s="3">
        <f>IF(D3846="","",IF(V3846=0,"🟢 OK",IF(D3846&lt;corte,"⚪ HISTÓRICO (sem baixa)",IF(AND(ISNUMBER(R3846),R3846&lt;TODAY()),"🔴 PRAZO VENCIDO",IF(AND(OR(N3846="PENDENTE",N3846="PARCIAL"),D3846&lt;TODAY()-1),"🔴 EMBARQUE ATRASADO",IF(AND(N3846="REALIZADO",M3846="PENDENTE"),"🟡 EMBARCADO SEM FATURAR",IF(AND(P3846&lt;&gt;"",S3846="",OR(Q3846="",R3846="")),"🟡 PENDÊNCIA SEM RESPONSÁVEL/PRAZO",IF(AND(ISNUMBER(R3846),R3846=TODAY()),"🟡 VENCE HOJE",IF(AND(P3846&lt;&gt;"",S3846=""),"🟡 PENDÊNCIA ABERTA",IF(AND(N(J3846)&gt;0,N(K3846)&lt;J3846),"🟡 FALTA EXECUTAR",IF(OR(M3846="PENDENTE",M3846="PARCIAL"),"🟡 FATURAMENTO PENDENTE","🟡 EMBARQUE PENDENTE")))))))))))</f>
        <v/>
      </c>
      <c r="D3846" s="4" t="n"/>
      <c r="E3846" s="5" t="n"/>
      <c r="F3846" s="5" t="n"/>
      <c r="G3846" s="5" t="n"/>
      <c r="H3846" s="5" t="n"/>
      <c r="I3846" s="5" t="n"/>
      <c r="J3846" s="6" t="n"/>
      <c r="K3846" s="6" t="n"/>
      <c r="L3846" s="7">
        <f>IF(OR(D3846="",N(J3846)=0),"",MIN(1,N(K3846)/J3846))</f>
        <v/>
      </c>
      <c r="M3846" s="5" t="n"/>
      <c r="N3846" s="5" t="n"/>
      <c r="O3846" s="5" t="n"/>
      <c r="P3846" s="5" t="n"/>
      <c r="Q3846" s="5" t="n"/>
      <c r="R3846" s="4" t="n"/>
      <c r="S3846" s="4" t="n"/>
      <c r="T3846" s="5" t="n"/>
      <c r="U3846" s="8">
        <f>IF(AND(V3846=1,D3846&lt;&gt;""),IF(D3846&gt;=corte,TODAY()-D3846,""),"")</f>
        <v/>
      </c>
      <c r="V3846" s="8">
        <f>IF(D3846="",0,IF(OR(AND(P3846&lt;&gt;"",S3846=""),AND(N(J3846)&gt;0,N(K3846)&lt;J3846),OR(M3846="PENDENTE",M3846="PARCIAL"),OR(N3846="PENDENTE",N3846="PARCIAL")),1,0))</f>
        <v/>
      </c>
      <c r="W3846" s="8">
        <f>IF(AND(V3846=1,D3846&lt;&gt;""),IF(D3846&gt;=corte,(B3846="CRÍTICO")*1E9+(100000-D3846)*10000+10000-ROW(),""),"")</f>
        <v/>
      </c>
      <c r="X3846" s="8">
        <f>IF(AND(V3846=1,D3846=pas_data,E3846=pas_turno),10000-ROW(),"")</f>
        <v/>
      </c>
    </row>
    <row r="3847">
      <c r="A3847" s="3">
        <f>IF(D3847="","","TT-"&amp;TEXT(ROW()-1,"00000"))</f>
        <v/>
      </c>
      <c r="B3847" s="3">
        <f>IF(D3847="","",IF(V3847=0,"CONCLUÍDO",IF(D3847&lt;corte,"HISTÓRICO",IF(OR(AND(ISNUMBER(R3847),R3847&lt;TODAY()),AND(OR(N3847="PENDENTE",N3847="PARCIAL"),D3847&lt;TODAY()-1)),"CRÍTICO",IF(OR(AND(P3847&lt;&gt;"",S3847=""),AND(N3847="REALIZADO",M3847="PENDENTE"),AND(ISNUMBER(R3847),R3847=TODAY())),"ATENÇÃO",IF(N(K3847)=0,"PENDENTE","EM ANDAMENTO"))))))</f>
        <v/>
      </c>
      <c r="C3847" s="3">
        <f>IF(D3847="","",IF(V3847=0,"🟢 OK",IF(D3847&lt;corte,"⚪ HISTÓRICO (sem baixa)",IF(AND(ISNUMBER(R3847),R3847&lt;TODAY()),"🔴 PRAZO VENCIDO",IF(AND(OR(N3847="PENDENTE",N3847="PARCIAL"),D3847&lt;TODAY()-1),"🔴 EMBARQUE ATRASADO",IF(AND(N3847="REALIZADO",M3847="PENDENTE"),"🟡 EMBARCADO SEM FATURAR",IF(AND(P3847&lt;&gt;"",S3847="",OR(Q3847="",R3847="")),"🟡 PENDÊNCIA SEM RESPONSÁVEL/PRAZO",IF(AND(ISNUMBER(R3847),R3847=TODAY()),"🟡 VENCE HOJE",IF(AND(P3847&lt;&gt;"",S3847=""),"🟡 PENDÊNCIA ABERTA",IF(AND(N(J3847)&gt;0,N(K3847)&lt;J3847),"🟡 FALTA EXECUTAR",IF(OR(M3847="PENDENTE",M3847="PARCIAL"),"🟡 FATURAMENTO PENDENTE","🟡 EMBARQUE PENDENTE")))))))))))</f>
        <v/>
      </c>
      <c r="D3847" s="4" t="n"/>
      <c r="E3847" s="5" t="n"/>
      <c r="F3847" s="5" t="n"/>
      <c r="G3847" s="5" t="n"/>
      <c r="H3847" s="5" t="n"/>
      <c r="I3847" s="5" t="n"/>
      <c r="J3847" s="6" t="n"/>
      <c r="K3847" s="6" t="n"/>
      <c r="L3847" s="7">
        <f>IF(OR(D3847="",N(J3847)=0),"",MIN(1,N(K3847)/J3847))</f>
        <v/>
      </c>
      <c r="M3847" s="5" t="n"/>
      <c r="N3847" s="5" t="n"/>
      <c r="O3847" s="5" t="n"/>
      <c r="P3847" s="5" t="n"/>
      <c r="Q3847" s="5" t="n"/>
      <c r="R3847" s="4" t="n"/>
      <c r="S3847" s="4" t="n"/>
      <c r="T3847" s="5" t="n"/>
      <c r="U3847" s="8">
        <f>IF(AND(V3847=1,D3847&lt;&gt;""),IF(D3847&gt;=corte,TODAY()-D3847,""),"")</f>
        <v/>
      </c>
      <c r="V3847" s="8">
        <f>IF(D3847="",0,IF(OR(AND(P3847&lt;&gt;"",S3847=""),AND(N(J3847)&gt;0,N(K3847)&lt;J3847),OR(M3847="PENDENTE",M3847="PARCIAL"),OR(N3847="PENDENTE",N3847="PARCIAL")),1,0))</f>
        <v/>
      </c>
      <c r="W3847" s="8">
        <f>IF(AND(V3847=1,D3847&lt;&gt;""),IF(D3847&gt;=corte,(B3847="CRÍTICO")*1E9+(100000-D3847)*10000+10000-ROW(),""),"")</f>
        <v/>
      </c>
      <c r="X3847" s="8">
        <f>IF(AND(V3847=1,D3847=pas_data,E3847=pas_turno),10000-ROW(),"")</f>
        <v/>
      </c>
    </row>
    <row r="3848">
      <c r="A3848" s="3">
        <f>IF(D3848="","","TT-"&amp;TEXT(ROW()-1,"00000"))</f>
        <v/>
      </c>
      <c r="B3848" s="3">
        <f>IF(D3848="","",IF(V3848=0,"CONCLUÍDO",IF(D3848&lt;corte,"HISTÓRICO",IF(OR(AND(ISNUMBER(R3848),R3848&lt;TODAY()),AND(OR(N3848="PENDENTE",N3848="PARCIAL"),D3848&lt;TODAY()-1)),"CRÍTICO",IF(OR(AND(P3848&lt;&gt;"",S3848=""),AND(N3848="REALIZADO",M3848="PENDENTE"),AND(ISNUMBER(R3848),R3848=TODAY())),"ATENÇÃO",IF(N(K3848)=0,"PENDENTE","EM ANDAMENTO"))))))</f>
        <v/>
      </c>
      <c r="C3848" s="3">
        <f>IF(D3848="","",IF(V3848=0,"🟢 OK",IF(D3848&lt;corte,"⚪ HISTÓRICO (sem baixa)",IF(AND(ISNUMBER(R3848),R3848&lt;TODAY()),"🔴 PRAZO VENCIDO",IF(AND(OR(N3848="PENDENTE",N3848="PARCIAL"),D3848&lt;TODAY()-1),"🔴 EMBARQUE ATRASADO",IF(AND(N3848="REALIZADO",M3848="PENDENTE"),"🟡 EMBARCADO SEM FATURAR",IF(AND(P3848&lt;&gt;"",S3848="",OR(Q3848="",R3848="")),"🟡 PENDÊNCIA SEM RESPONSÁVEL/PRAZO",IF(AND(ISNUMBER(R3848),R3848=TODAY()),"🟡 VENCE HOJE",IF(AND(P3848&lt;&gt;"",S3848=""),"🟡 PENDÊNCIA ABERTA",IF(AND(N(J3848)&gt;0,N(K3848)&lt;J3848),"🟡 FALTA EXECUTAR",IF(OR(M3848="PENDENTE",M3848="PARCIAL"),"🟡 FATURAMENTO PENDENTE","🟡 EMBARQUE PENDENTE")))))))))))</f>
        <v/>
      </c>
      <c r="D3848" s="4" t="n"/>
      <c r="E3848" s="5" t="n"/>
      <c r="F3848" s="5" t="n"/>
      <c r="G3848" s="5" t="n"/>
      <c r="H3848" s="5" t="n"/>
      <c r="I3848" s="5" t="n"/>
      <c r="J3848" s="6" t="n"/>
      <c r="K3848" s="6" t="n"/>
      <c r="L3848" s="7">
        <f>IF(OR(D3848="",N(J3848)=0),"",MIN(1,N(K3848)/J3848))</f>
        <v/>
      </c>
      <c r="M3848" s="5" t="n"/>
      <c r="N3848" s="5" t="n"/>
      <c r="O3848" s="5" t="n"/>
      <c r="P3848" s="5" t="n"/>
      <c r="Q3848" s="5" t="n"/>
      <c r="R3848" s="4" t="n"/>
      <c r="S3848" s="4" t="n"/>
      <c r="T3848" s="5" t="n"/>
      <c r="U3848" s="8">
        <f>IF(AND(V3848=1,D3848&lt;&gt;""),IF(D3848&gt;=corte,TODAY()-D3848,""),"")</f>
        <v/>
      </c>
      <c r="V3848" s="8">
        <f>IF(D3848="",0,IF(OR(AND(P3848&lt;&gt;"",S3848=""),AND(N(J3848)&gt;0,N(K3848)&lt;J3848),OR(M3848="PENDENTE",M3848="PARCIAL"),OR(N3848="PENDENTE",N3848="PARCIAL")),1,0))</f>
        <v/>
      </c>
      <c r="W3848" s="8">
        <f>IF(AND(V3848=1,D3848&lt;&gt;""),IF(D3848&gt;=corte,(B3848="CRÍTICO")*1E9+(100000-D3848)*10000+10000-ROW(),""),"")</f>
        <v/>
      </c>
      <c r="X3848" s="8">
        <f>IF(AND(V3848=1,D3848=pas_data,E3848=pas_turno),10000-ROW(),"")</f>
        <v/>
      </c>
    </row>
    <row r="3849">
      <c r="A3849" s="3">
        <f>IF(D3849="","","TT-"&amp;TEXT(ROW()-1,"00000"))</f>
        <v/>
      </c>
      <c r="B3849" s="3">
        <f>IF(D3849="","",IF(V3849=0,"CONCLUÍDO",IF(D3849&lt;corte,"HISTÓRICO",IF(OR(AND(ISNUMBER(R3849),R3849&lt;TODAY()),AND(OR(N3849="PENDENTE",N3849="PARCIAL"),D3849&lt;TODAY()-1)),"CRÍTICO",IF(OR(AND(P3849&lt;&gt;"",S3849=""),AND(N3849="REALIZADO",M3849="PENDENTE"),AND(ISNUMBER(R3849),R3849=TODAY())),"ATENÇÃO",IF(N(K3849)=0,"PENDENTE","EM ANDAMENTO"))))))</f>
        <v/>
      </c>
      <c r="C3849" s="3">
        <f>IF(D3849="","",IF(V3849=0,"🟢 OK",IF(D3849&lt;corte,"⚪ HISTÓRICO (sem baixa)",IF(AND(ISNUMBER(R3849),R3849&lt;TODAY()),"🔴 PRAZO VENCIDO",IF(AND(OR(N3849="PENDENTE",N3849="PARCIAL"),D3849&lt;TODAY()-1),"🔴 EMBARQUE ATRASADO",IF(AND(N3849="REALIZADO",M3849="PENDENTE"),"🟡 EMBARCADO SEM FATURAR",IF(AND(P3849&lt;&gt;"",S3849="",OR(Q3849="",R3849="")),"🟡 PENDÊNCIA SEM RESPONSÁVEL/PRAZO",IF(AND(ISNUMBER(R3849),R3849=TODAY()),"🟡 VENCE HOJE",IF(AND(P3849&lt;&gt;"",S3849=""),"🟡 PENDÊNCIA ABERTA",IF(AND(N(J3849)&gt;0,N(K3849)&lt;J3849),"🟡 FALTA EXECUTAR",IF(OR(M3849="PENDENTE",M3849="PARCIAL"),"🟡 FATURAMENTO PENDENTE","🟡 EMBARQUE PENDENTE")))))))))))</f>
        <v/>
      </c>
      <c r="D3849" s="4" t="n"/>
      <c r="E3849" s="5" t="n"/>
      <c r="F3849" s="5" t="n"/>
      <c r="G3849" s="5" t="n"/>
      <c r="H3849" s="5" t="n"/>
      <c r="I3849" s="5" t="n"/>
      <c r="J3849" s="6" t="n"/>
      <c r="K3849" s="6" t="n"/>
      <c r="L3849" s="7">
        <f>IF(OR(D3849="",N(J3849)=0),"",MIN(1,N(K3849)/J3849))</f>
        <v/>
      </c>
      <c r="M3849" s="5" t="n"/>
      <c r="N3849" s="5" t="n"/>
      <c r="O3849" s="5" t="n"/>
      <c r="P3849" s="5" t="n"/>
      <c r="Q3849" s="5" t="n"/>
      <c r="R3849" s="4" t="n"/>
      <c r="S3849" s="4" t="n"/>
      <c r="T3849" s="5" t="n"/>
      <c r="U3849" s="8">
        <f>IF(AND(V3849=1,D3849&lt;&gt;""),IF(D3849&gt;=corte,TODAY()-D3849,""),"")</f>
        <v/>
      </c>
      <c r="V3849" s="8">
        <f>IF(D3849="",0,IF(OR(AND(P3849&lt;&gt;"",S3849=""),AND(N(J3849)&gt;0,N(K3849)&lt;J3849),OR(M3849="PENDENTE",M3849="PARCIAL"),OR(N3849="PENDENTE",N3849="PARCIAL")),1,0))</f>
        <v/>
      </c>
      <c r="W3849" s="8">
        <f>IF(AND(V3849=1,D3849&lt;&gt;""),IF(D3849&gt;=corte,(B3849="CRÍTICO")*1E9+(100000-D3849)*10000+10000-ROW(),""),"")</f>
        <v/>
      </c>
      <c r="X3849" s="8">
        <f>IF(AND(V3849=1,D3849=pas_data,E3849=pas_turno),10000-ROW(),"")</f>
        <v/>
      </c>
    </row>
    <row r="3850">
      <c r="A3850" s="3">
        <f>IF(D3850="","","TT-"&amp;TEXT(ROW()-1,"00000"))</f>
        <v/>
      </c>
      <c r="B3850" s="3">
        <f>IF(D3850="","",IF(V3850=0,"CONCLUÍDO",IF(D3850&lt;corte,"HISTÓRICO",IF(OR(AND(ISNUMBER(R3850),R3850&lt;TODAY()),AND(OR(N3850="PENDENTE",N3850="PARCIAL"),D3850&lt;TODAY()-1)),"CRÍTICO",IF(OR(AND(P3850&lt;&gt;"",S3850=""),AND(N3850="REALIZADO",M3850="PENDENTE"),AND(ISNUMBER(R3850),R3850=TODAY())),"ATENÇÃO",IF(N(K3850)=0,"PENDENTE","EM ANDAMENTO"))))))</f>
        <v/>
      </c>
      <c r="C3850" s="3">
        <f>IF(D3850="","",IF(V3850=0,"🟢 OK",IF(D3850&lt;corte,"⚪ HISTÓRICO (sem baixa)",IF(AND(ISNUMBER(R3850),R3850&lt;TODAY()),"🔴 PRAZO VENCIDO",IF(AND(OR(N3850="PENDENTE",N3850="PARCIAL"),D3850&lt;TODAY()-1),"🔴 EMBARQUE ATRASADO",IF(AND(N3850="REALIZADO",M3850="PENDENTE"),"🟡 EMBARCADO SEM FATURAR",IF(AND(P3850&lt;&gt;"",S3850="",OR(Q3850="",R3850="")),"🟡 PENDÊNCIA SEM RESPONSÁVEL/PRAZO",IF(AND(ISNUMBER(R3850),R3850=TODAY()),"🟡 VENCE HOJE",IF(AND(P3850&lt;&gt;"",S3850=""),"🟡 PENDÊNCIA ABERTA",IF(AND(N(J3850)&gt;0,N(K3850)&lt;J3850),"🟡 FALTA EXECUTAR",IF(OR(M3850="PENDENTE",M3850="PARCIAL"),"🟡 FATURAMENTO PENDENTE","🟡 EMBARQUE PENDENTE")))))))))))</f>
        <v/>
      </c>
      <c r="D3850" s="4" t="n"/>
      <c r="E3850" s="5" t="n"/>
      <c r="F3850" s="5" t="n"/>
      <c r="G3850" s="5" t="n"/>
      <c r="H3850" s="5" t="n"/>
      <c r="I3850" s="5" t="n"/>
      <c r="J3850" s="6" t="n"/>
      <c r="K3850" s="6" t="n"/>
      <c r="L3850" s="7">
        <f>IF(OR(D3850="",N(J3850)=0),"",MIN(1,N(K3850)/J3850))</f>
        <v/>
      </c>
      <c r="M3850" s="5" t="n"/>
      <c r="N3850" s="5" t="n"/>
      <c r="O3850" s="5" t="n"/>
      <c r="P3850" s="5" t="n"/>
      <c r="Q3850" s="5" t="n"/>
      <c r="R3850" s="4" t="n"/>
      <c r="S3850" s="4" t="n"/>
      <c r="T3850" s="5" t="n"/>
      <c r="U3850" s="8">
        <f>IF(AND(V3850=1,D3850&lt;&gt;""),IF(D3850&gt;=corte,TODAY()-D3850,""),"")</f>
        <v/>
      </c>
      <c r="V3850" s="8">
        <f>IF(D3850="",0,IF(OR(AND(P3850&lt;&gt;"",S3850=""),AND(N(J3850)&gt;0,N(K3850)&lt;J3850),OR(M3850="PENDENTE",M3850="PARCIAL"),OR(N3850="PENDENTE",N3850="PARCIAL")),1,0))</f>
        <v/>
      </c>
      <c r="W3850" s="8">
        <f>IF(AND(V3850=1,D3850&lt;&gt;""),IF(D3850&gt;=corte,(B3850="CRÍTICO")*1E9+(100000-D3850)*10000+10000-ROW(),""),"")</f>
        <v/>
      </c>
      <c r="X3850" s="8">
        <f>IF(AND(V3850=1,D3850=pas_data,E3850=pas_turno),10000-ROW(),"")</f>
        <v/>
      </c>
    </row>
    <row r="3851">
      <c r="A3851" s="3">
        <f>IF(D3851="","","TT-"&amp;TEXT(ROW()-1,"00000"))</f>
        <v/>
      </c>
      <c r="B3851" s="3">
        <f>IF(D3851="","",IF(V3851=0,"CONCLUÍDO",IF(D3851&lt;corte,"HISTÓRICO",IF(OR(AND(ISNUMBER(R3851),R3851&lt;TODAY()),AND(OR(N3851="PENDENTE",N3851="PARCIAL"),D3851&lt;TODAY()-1)),"CRÍTICO",IF(OR(AND(P3851&lt;&gt;"",S3851=""),AND(N3851="REALIZADO",M3851="PENDENTE"),AND(ISNUMBER(R3851),R3851=TODAY())),"ATENÇÃO",IF(N(K3851)=0,"PENDENTE","EM ANDAMENTO"))))))</f>
        <v/>
      </c>
      <c r="C3851" s="3">
        <f>IF(D3851="","",IF(V3851=0,"🟢 OK",IF(D3851&lt;corte,"⚪ HISTÓRICO (sem baixa)",IF(AND(ISNUMBER(R3851),R3851&lt;TODAY()),"🔴 PRAZO VENCIDO",IF(AND(OR(N3851="PENDENTE",N3851="PARCIAL"),D3851&lt;TODAY()-1),"🔴 EMBARQUE ATRASADO",IF(AND(N3851="REALIZADO",M3851="PENDENTE"),"🟡 EMBARCADO SEM FATURAR",IF(AND(P3851&lt;&gt;"",S3851="",OR(Q3851="",R3851="")),"🟡 PENDÊNCIA SEM RESPONSÁVEL/PRAZO",IF(AND(ISNUMBER(R3851),R3851=TODAY()),"🟡 VENCE HOJE",IF(AND(P3851&lt;&gt;"",S3851=""),"🟡 PENDÊNCIA ABERTA",IF(AND(N(J3851)&gt;0,N(K3851)&lt;J3851),"🟡 FALTA EXECUTAR",IF(OR(M3851="PENDENTE",M3851="PARCIAL"),"🟡 FATURAMENTO PENDENTE","🟡 EMBARQUE PENDENTE")))))))))))</f>
        <v/>
      </c>
      <c r="D3851" s="4" t="n"/>
      <c r="E3851" s="5" t="n"/>
      <c r="F3851" s="5" t="n"/>
      <c r="G3851" s="5" t="n"/>
      <c r="H3851" s="5" t="n"/>
      <c r="I3851" s="5" t="n"/>
      <c r="J3851" s="6" t="n"/>
      <c r="K3851" s="6" t="n"/>
      <c r="L3851" s="7">
        <f>IF(OR(D3851="",N(J3851)=0),"",MIN(1,N(K3851)/J3851))</f>
        <v/>
      </c>
      <c r="M3851" s="5" t="n"/>
      <c r="N3851" s="5" t="n"/>
      <c r="O3851" s="5" t="n"/>
      <c r="P3851" s="5" t="n"/>
      <c r="Q3851" s="5" t="n"/>
      <c r="R3851" s="4" t="n"/>
      <c r="S3851" s="4" t="n"/>
      <c r="T3851" s="5" t="n"/>
      <c r="U3851" s="8">
        <f>IF(AND(V3851=1,D3851&lt;&gt;""),IF(D3851&gt;=corte,TODAY()-D3851,""),"")</f>
        <v/>
      </c>
      <c r="V3851" s="8">
        <f>IF(D3851="",0,IF(OR(AND(P3851&lt;&gt;"",S3851=""),AND(N(J3851)&gt;0,N(K3851)&lt;J3851),OR(M3851="PENDENTE",M3851="PARCIAL"),OR(N3851="PENDENTE",N3851="PARCIAL")),1,0))</f>
        <v/>
      </c>
      <c r="W3851" s="8">
        <f>IF(AND(V3851=1,D3851&lt;&gt;""),IF(D3851&gt;=corte,(B3851="CRÍTICO")*1E9+(100000-D3851)*10000+10000-ROW(),""),"")</f>
        <v/>
      </c>
      <c r="X3851" s="8">
        <f>IF(AND(V3851=1,D3851=pas_data,E3851=pas_turno),10000-ROW(),"")</f>
        <v/>
      </c>
    </row>
    <row r="3852">
      <c r="A3852" s="3">
        <f>IF(D3852="","","TT-"&amp;TEXT(ROW()-1,"00000"))</f>
        <v/>
      </c>
      <c r="B3852" s="3">
        <f>IF(D3852="","",IF(V3852=0,"CONCLUÍDO",IF(D3852&lt;corte,"HISTÓRICO",IF(OR(AND(ISNUMBER(R3852),R3852&lt;TODAY()),AND(OR(N3852="PENDENTE",N3852="PARCIAL"),D3852&lt;TODAY()-1)),"CRÍTICO",IF(OR(AND(P3852&lt;&gt;"",S3852=""),AND(N3852="REALIZADO",M3852="PENDENTE"),AND(ISNUMBER(R3852),R3852=TODAY())),"ATENÇÃO",IF(N(K3852)=0,"PENDENTE","EM ANDAMENTO"))))))</f>
        <v/>
      </c>
      <c r="C3852" s="3">
        <f>IF(D3852="","",IF(V3852=0,"🟢 OK",IF(D3852&lt;corte,"⚪ HISTÓRICO (sem baixa)",IF(AND(ISNUMBER(R3852),R3852&lt;TODAY()),"🔴 PRAZO VENCIDO",IF(AND(OR(N3852="PENDENTE",N3852="PARCIAL"),D3852&lt;TODAY()-1),"🔴 EMBARQUE ATRASADO",IF(AND(N3852="REALIZADO",M3852="PENDENTE"),"🟡 EMBARCADO SEM FATURAR",IF(AND(P3852&lt;&gt;"",S3852="",OR(Q3852="",R3852="")),"🟡 PENDÊNCIA SEM RESPONSÁVEL/PRAZO",IF(AND(ISNUMBER(R3852),R3852=TODAY()),"🟡 VENCE HOJE",IF(AND(P3852&lt;&gt;"",S3852=""),"🟡 PENDÊNCIA ABERTA",IF(AND(N(J3852)&gt;0,N(K3852)&lt;J3852),"🟡 FALTA EXECUTAR",IF(OR(M3852="PENDENTE",M3852="PARCIAL"),"🟡 FATURAMENTO PENDENTE","🟡 EMBARQUE PENDENTE")))))))))))</f>
        <v/>
      </c>
      <c r="D3852" s="4" t="n"/>
      <c r="E3852" s="5" t="n"/>
      <c r="F3852" s="5" t="n"/>
      <c r="G3852" s="5" t="n"/>
      <c r="H3852" s="5" t="n"/>
      <c r="I3852" s="5" t="n"/>
      <c r="J3852" s="6" t="n"/>
      <c r="K3852" s="6" t="n"/>
      <c r="L3852" s="7">
        <f>IF(OR(D3852="",N(J3852)=0),"",MIN(1,N(K3852)/J3852))</f>
        <v/>
      </c>
      <c r="M3852" s="5" t="n"/>
      <c r="N3852" s="5" t="n"/>
      <c r="O3852" s="5" t="n"/>
      <c r="P3852" s="5" t="n"/>
      <c r="Q3852" s="5" t="n"/>
      <c r="R3852" s="4" t="n"/>
      <c r="S3852" s="4" t="n"/>
      <c r="T3852" s="5" t="n"/>
      <c r="U3852" s="8">
        <f>IF(AND(V3852=1,D3852&lt;&gt;""),IF(D3852&gt;=corte,TODAY()-D3852,""),"")</f>
        <v/>
      </c>
      <c r="V3852" s="8">
        <f>IF(D3852="",0,IF(OR(AND(P3852&lt;&gt;"",S3852=""),AND(N(J3852)&gt;0,N(K3852)&lt;J3852),OR(M3852="PENDENTE",M3852="PARCIAL"),OR(N3852="PENDENTE",N3852="PARCIAL")),1,0))</f>
        <v/>
      </c>
      <c r="W3852" s="8">
        <f>IF(AND(V3852=1,D3852&lt;&gt;""),IF(D3852&gt;=corte,(B3852="CRÍTICO")*1E9+(100000-D3852)*10000+10000-ROW(),""),"")</f>
        <v/>
      </c>
      <c r="X3852" s="8">
        <f>IF(AND(V3852=1,D3852=pas_data,E3852=pas_turno),10000-ROW(),"")</f>
        <v/>
      </c>
    </row>
    <row r="3853">
      <c r="A3853" s="3">
        <f>IF(D3853="","","TT-"&amp;TEXT(ROW()-1,"00000"))</f>
        <v/>
      </c>
      <c r="B3853" s="3">
        <f>IF(D3853="","",IF(V3853=0,"CONCLUÍDO",IF(D3853&lt;corte,"HISTÓRICO",IF(OR(AND(ISNUMBER(R3853),R3853&lt;TODAY()),AND(OR(N3853="PENDENTE",N3853="PARCIAL"),D3853&lt;TODAY()-1)),"CRÍTICO",IF(OR(AND(P3853&lt;&gt;"",S3853=""),AND(N3853="REALIZADO",M3853="PENDENTE"),AND(ISNUMBER(R3853),R3853=TODAY())),"ATENÇÃO",IF(N(K3853)=0,"PENDENTE","EM ANDAMENTO"))))))</f>
        <v/>
      </c>
      <c r="C3853" s="3">
        <f>IF(D3853="","",IF(V3853=0,"🟢 OK",IF(D3853&lt;corte,"⚪ HISTÓRICO (sem baixa)",IF(AND(ISNUMBER(R3853),R3853&lt;TODAY()),"🔴 PRAZO VENCIDO",IF(AND(OR(N3853="PENDENTE",N3853="PARCIAL"),D3853&lt;TODAY()-1),"🔴 EMBARQUE ATRASADO",IF(AND(N3853="REALIZADO",M3853="PENDENTE"),"🟡 EMBARCADO SEM FATURAR",IF(AND(P3853&lt;&gt;"",S3853="",OR(Q3853="",R3853="")),"🟡 PENDÊNCIA SEM RESPONSÁVEL/PRAZO",IF(AND(ISNUMBER(R3853),R3853=TODAY()),"🟡 VENCE HOJE",IF(AND(P3853&lt;&gt;"",S3853=""),"🟡 PENDÊNCIA ABERTA",IF(AND(N(J3853)&gt;0,N(K3853)&lt;J3853),"🟡 FALTA EXECUTAR",IF(OR(M3853="PENDENTE",M3853="PARCIAL"),"🟡 FATURAMENTO PENDENTE","🟡 EMBARQUE PENDENTE")))))))))))</f>
        <v/>
      </c>
      <c r="D3853" s="4" t="n"/>
      <c r="E3853" s="5" t="n"/>
      <c r="F3853" s="5" t="n"/>
      <c r="G3853" s="5" t="n"/>
      <c r="H3853" s="5" t="n"/>
      <c r="I3853" s="5" t="n"/>
      <c r="J3853" s="6" t="n"/>
      <c r="K3853" s="6" t="n"/>
      <c r="L3853" s="7">
        <f>IF(OR(D3853="",N(J3853)=0),"",MIN(1,N(K3853)/J3853))</f>
        <v/>
      </c>
      <c r="M3853" s="5" t="n"/>
      <c r="N3853" s="5" t="n"/>
      <c r="O3853" s="5" t="n"/>
      <c r="P3853" s="5" t="n"/>
      <c r="Q3853" s="5" t="n"/>
      <c r="R3853" s="4" t="n"/>
      <c r="S3853" s="4" t="n"/>
      <c r="T3853" s="5" t="n"/>
      <c r="U3853" s="8">
        <f>IF(AND(V3853=1,D3853&lt;&gt;""),IF(D3853&gt;=corte,TODAY()-D3853,""),"")</f>
        <v/>
      </c>
      <c r="V3853" s="8">
        <f>IF(D3853="",0,IF(OR(AND(P3853&lt;&gt;"",S3853=""),AND(N(J3853)&gt;0,N(K3853)&lt;J3853),OR(M3853="PENDENTE",M3853="PARCIAL"),OR(N3853="PENDENTE",N3853="PARCIAL")),1,0))</f>
        <v/>
      </c>
      <c r="W3853" s="8">
        <f>IF(AND(V3853=1,D3853&lt;&gt;""),IF(D3853&gt;=corte,(B3853="CRÍTICO")*1E9+(100000-D3853)*10000+10000-ROW(),""),"")</f>
        <v/>
      </c>
      <c r="X3853" s="8">
        <f>IF(AND(V3853=1,D3853=pas_data,E3853=pas_turno),10000-ROW(),"")</f>
        <v/>
      </c>
    </row>
    <row r="3854">
      <c r="A3854" s="3">
        <f>IF(D3854="","","TT-"&amp;TEXT(ROW()-1,"00000"))</f>
        <v/>
      </c>
      <c r="B3854" s="3">
        <f>IF(D3854="","",IF(V3854=0,"CONCLUÍDO",IF(D3854&lt;corte,"HISTÓRICO",IF(OR(AND(ISNUMBER(R3854),R3854&lt;TODAY()),AND(OR(N3854="PENDENTE",N3854="PARCIAL"),D3854&lt;TODAY()-1)),"CRÍTICO",IF(OR(AND(P3854&lt;&gt;"",S3854=""),AND(N3854="REALIZADO",M3854="PENDENTE"),AND(ISNUMBER(R3854),R3854=TODAY())),"ATENÇÃO",IF(N(K3854)=0,"PENDENTE","EM ANDAMENTO"))))))</f>
        <v/>
      </c>
      <c r="C3854" s="3">
        <f>IF(D3854="","",IF(V3854=0,"🟢 OK",IF(D3854&lt;corte,"⚪ HISTÓRICO (sem baixa)",IF(AND(ISNUMBER(R3854),R3854&lt;TODAY()),"🔴 PRAZO VENCIDO",IF(AND(OR(N3854="PENDENTE",N3854="PARCIAL"),D3854&lt;TODAY()-1),"🔴 EMBARQUE ATRASADO",IF(AND(N3854="REALIZADO",M3854="PENDENTE"),"🟡 EMBARCADO SEM FATURAR",IF(AND(P3854&lt;&gt;"",S3854="",OR(Q3854="",R3854="")),"🟡 PENDÊNCIA SEM RESPONSÁVEL/PRAZO",IF(AND(ISNUMBER(R3854),R3854=TODAY()),"🟡 VENCE HOJE",IF(AND(P3854&lt;&gt;"",S3854=""),"🟡 PENDÊNCIA ABERTA",IF(AND(N(J3854)&gt;0,N(K3854)&lt;J3854),"🟡 FALTA EXECUTAR",IF(OR(M3854="PENDENTE",M3854="PARCIAL"),"🟡 FATURAMENTO PENDENTE","🟡 EMBARQUE PENDENTE")))))))))))</f>
        <v/>
      </c>
      <c r="D3854" s="4" t="n"/>
      <c r="E3854" s="5" t="n"/>
      <c r="F3854" s="5" t="n"/>
      <c r="G3854" s="5" t="n"/>
      <c r="H3854" s="5" t="n"/>
      <c r="I3854" s="5" t="n"/>
      <c r="J3854" s="6" t="n"/>
      <c r="K3854" s="6" t="n"/>
      <c r="L3854" s="7">
        <f>IF(OR(D3854="",N(J3854)=0),"",MIN(1,N(K3854)/J3854))</f>
        <v/>
      </c>
      <c r="M3854" s="5" t="n"/>
      <c r="N3854" s="5" t="n"/>
      <c r="O3854" s="5" t="n"/>
      <c r="P3854" s="5" t="n"/>
      <c r="Q3854" s="5" t="n"/>
      <c r="R3854" s="4" t="n"/>
      <c r="S3854" s="4" t="n"/>
      <c r="T3854" s="5" t="n"/>
      <c r="U3854" s="8">
        <f>IF(AND(V3854=1,D3854&lt;&gt;""),IF(D3854&gt;=corte,TODAY()-D3854,""),"")</f>
        <v/>
      </c>
      <c r="V3854" s="8">
        <f>IF(D3854="",0,IF(OR(AND(P3854&lt;&gt;"",S3854=""),AND(N(J3854)&gt;0,N(K3854)&lt;J3854),OR(M3854="PENDENTE",M3854="PARCIAL"),OR(N3854="PENDENTE",N3854="PARCIAL")),1,0))</f>
        <v/>
      </c>
      <c r="W3854" s="8">
        <f>IF(AND(V3854=1,D3854&lt;&gt;""),IF(D3854&gt;=corte,(B3854="CRÍTICO")*1E9+(100000-D3854)*10000+10000-ROW(),""),"")</f>
        <v/>
      </c>
      <c r="X3854" s="8">
        <f>IF(AND(V3854=1,D3854=pas_data,E3854=pas_turno),10000-ROW(),"")</f>
        <v/>
      </c>
    </row>
    <row r="3855">
      <c r="A3855" s="3">
        <f>IF(D3855="","","TT-"&amp;TEXT(ROW()-1,"00000"))</f>
        <v/>
      </c>
      <c r="B3855" s="3">
        <f>IF(D3855="","",IF(V3855=0,"CONCLUÍDO",IF(D3855&lt;corte,"HISTÓRICO",IF(OR(AND(ISNUMBER(R3855),R3855&lt;TODAY()),AND(OR(N3855="PENDENTE",N3855="PARCIAL"),D3855&lt;TODAY()-1)),"CRÍTICO",IF(OR(AND(P3855&lt;&gt;"",S3855=""),AND(N3855="REALIZADO",M3855="PENDENTE"),AND(ISNUMBER(R3855),R3855=TODAY())),"ATENÇÃO",IF(N(K3855)=0,"PENDENTE","EM ANDAMENTO"))))))</f>
        <v/>
      </c>
      <c r="C3855" s="3">
        <f>IF(D3855="","",IF(V3855=0,"🟢 OK",IF(D3855&lt;corte,"⚪ HISTÓRICO (sem baixa)",IF(AND(ISNUMBER(R3855),R3855&lt;TODAY()),"🔴 PRAZO VENCIDO",IF(AND(OR(N3855="PENDENTE",N3855="PARCIAL"),D3855&lt;TODAY()-1),"🔴 EMBARQUE ATRASADO",IF(AND(N3855="REALIZADO",M3855="PENDENTE"),"🟡 EMBARCADO SEM FATURAR",IF(AND(P3855&lt;&gt;"",S3855="",OR(Q3855="",R3855="")),"🟡 PENDÊNCIA SEM RESPONSÁVEL/PRAZO",IF(AND(ISNUMBER(R3855),R3855=TODAY()),"🟡 VENCE HOJE",IF(AND(P3855&lt;&gt;"",S3855=""),"🟡 PENDÊNCIA ABERTA",IF(AND(N(J3855)&gt;0,N(K3855)&lt;J3855),"🟡 FALTA EXECUTAR",IF(OR(M3855="PENDENTE",M3855="PARCIAL"),"🟡 FATURAMENTO PENDENTE","🟡 EMBARQUE PENDENTE")))))))))))</f>
        <v/>
      </c>
      <c r="D3855" s="4" t="n"/>
      <c r="E3855" s="5" t="n"/>
      <c r="F3855" s="5" t="n"/>
      <c r="G3855" s="5" t="n"/>
      <c r="H3855" s="5" t="n"/>
      <c r="I3855" s="5" t="n"/>
      <c r="J3855" s="6" t="n"/>
      <c r="K3855" s="6" t="n"/>
      <c r="L3855" s="7">
        <f>IF(OR(D3855="",N(J3855)=0),"",MIN(1,N(K3855)/J3855))</f>
        <v/>
      </c>
      <c r="M3855" s="5" t="n"/>
      <c r="N3855" s="5" t="n"/>
      <c r="O3855" s="5" t="n"/>
      <c r="P3855" s="5" t="n"/>
      <c r="Q3855" s="5" t="n"/>
      <c r="R3855" s="4" t="n"/>
      <c r="S3855" s="4" t="n"/>
      <c r="T3855" s="5" t="n"/>
      <c r="U3855" s="8">
        <f>IF(AND(V3855=1,D3855&lt;&gt;""),IF(D3855&gt;=corte,TODAY()-D3855,""),"")</f>
        <v/>
      </c>
      <c r="V3855" s="8">
        <f>IF(D3855="",0,IF(OR(AND(P3855&lt;&gt;"",S3855=""),AND(N(J3855)&gt;0,N(K3855)&lt;J3855),OR(M3855="PENDENTE",M3855="PARCIAL"),OR(N3855="PENDENTE",N3855="PARCIAL")),1,0))</f>
        <v/>
      </c>
      <c r="W3855" s="8">
        <f>IF(AND(V3855=1,D3855&lt;&gt;""),IF(D3855&gt;=corte,(B3855="CRÍTICO")*1E9+(100000-D3855)*10000+10000-ROW(),""),"")</f>
        <v/>
      </c>
      <c r="X3855" s="8">
        <f>IF(AND(V3855=1,D3855=pas_data,E3855=pas_turno),10000-ROW(),"")</f>
        <v/>
      </c>
    </row>
    <row r="3856">
      <c r="A3856" s="3">
        <f>IF(D3856="","","TT-"&amp;TEXT(ROW()-1,"00000"))</f>
        <v/>
      </c>
      <c r="B3856" s="3">
        <f>IF(D3856="","",IF(V3856=0,"CONCLUÍDO",IF(D3856&lt;corte,"HISTÓRICO",IF(OR(AND(ISNUMBER(R3856),R3856&lt;TODAY()),AND(OR(N3856="PENDENTE",N3856="PARCIAL"),D3856&lt;TODAY()-1)),"CRÍTICO",IF(OR(AND(P3856&lt;&gt;"",S3856=""),AND(N3856="REALIZADO",M3856="PENDENTE"),AND(ISNUMBER(R3856),R3856=TODAY())),"ATENÇÃO",IF(N(K3856)=0,"PENDENTE","EM ANDAMENTO"))))))</f>
        <v/>
      </c>
      <c r="C3856" s="3">
        <f>IF(D3856="","",IF(V3856=0,"🟢 OK",IF(D3856&lt;corte,"⚪ HISTÓRICO (sem baixa)",IF(AND(ISNUMBER(R3856),R3856&lt;TODAY()),"🔴 PRAZO VENCIDO",IF(AND(OR(N3856="PENDENTE",N3856="PARCIAL"),D3856&lt;TODAY()-1),"🔴 EMBARQUE ATRASADO",IF(AND(N3856="REALIZADO",M3856="PENDENTE"),"🟡 EMBARCADO SEM FATURAR",IF(AND(P3856&lt;&gt;"",S3856="",OR(Q3856="",R3856="")),"🟡 PENDÊNCIA SEM RESPONSÁVEL/PRAZO",IF(AND(ISNUMBER(R3856),R3856=TODAY()),"🟡 VENCE HOJE",IF(AND(P3856&lt;&gt;"",S3856=""),"🟡 PENDÊNCIA ABERTA",IF(AND(N(J3856)&gt;0,N(K3856)&lt;J3856),"🟡 FALTA EXECUTAR",IF(OR(M3856="PENDENTE",M3856="PARCIAL"),"🟡 FATURAMENTO PENDENTE","🟡 EMBARQUE PENDENTE")))))))))))</f>
        <v/>
      </c>
      <c r="D3856" s="4" t="n"/>
      <c r="E3856" s="5" t="n"/>
      <c r="F3856" s="5" t="n"/>
      <c r="G3856" s="5" t="n"/>
      <c r="H3856" s="5" t="n"/>
      <c r="I3856" s="5" t="n"/>
      <c r="J3856" s="6" t="n"/>
      <c r="K3856" s="6" t="n"/>
      <c r="L3856" s="7">
        <f>IF(OR(D3856="",N(J3856)=0),"",MIN(1,N(K3856)/J3856))</f>
        <v/>
      </c>
      <c r="M3856" s="5" t="n"/>
      <c r="N3856" s="5" t="n"/>
      <c r="O3856" s="5" t="n"/>
      <c r="P3856" s="5" t="n"/>
      <c r="Q3856" s="5" t="n"/>
      <c r="R3856" s="4" t="n"/>
      <c r="S3856" s="4" t="n"/>
      <c r="T3856" s="5" t="n"/>
      <c r="U3856" s="8">
        <f>IF(AND(V3856=1,D3856&lt;&gt;""),IF(D3856&gt;=corte,TODAY()-D3856,""),"")</f>
        <v/>
      </c>
      <c r="V3856" s="8">
        <f>IF(D3856="",0,IF(OR(AND(P3856&lt;&gt;"",S3856=""),AND(N(J3856)&gt;0,N(K3856)&lt;J3856),OR(M3856="PENDENTE",M3856="PARCIAL"),OR(N3856="PENDENTE",N3856="PARCIAL")),1,0))</f>
        <v/>
      </c>
      <c r="W3856" s="8">
        <f>IF(AND(V3856=1,D3856&lt;&gt;""),IF(D3856&gt;=corte,(B3856="CRÍTICO")*1E9+(100000-D3856)*10000+10000-ROW(),""),"")</f>
        <v/>
      </c>
      <c r="X3856" s="8">
        <f>IF(AND(V3856=1,D3856=pas_data,E3856=pas_turno),10000-ROW(),"")</f>
        <v/>
      </c>
    </row>
    <row r="3857">
      <c r="A3857" s="3">
        <f>IF(D3857="","","TT-"&amp;TEXT(ROW()-1,"00000"))</f>
        <v/>
      </c>
      <c r="B3857" s="3">
        <f>IF(D3857="","",IF(V3857=0,"CONCLUÍDO",IF(D3857&lt;corte,"HISTÓRICO",IF(OR(AND(ISNUMBER(R3857),R3857&lt;TODAY()),AND(OR(N3857="PENDENTE",N3857="PARCIAL"),D3857&lt;TODAY()-1)),"CRÍTICO",IF(OR(AND(P3857&lt;&gt;"",S3857=""),AND(N3857="REALIZADO",M3857="PENDENTE"),AND(ISNUMBER(R3857),R3857=TODAY())),"ATENÇÃO",IF(N(K3857)=0,"PENDENTE","EM ANDAMENTO"))))))</f>
        <v/>
      </c>
      <c r="C3857" s="3">
        <f>IF(D3857="","",IF(V3857=0,"🟢 OK",IF(D3857&lt;corte,"⚪ HISTÓRICO (sem baixa)",IF(AND(ISNUMBER(R3857),R3857&lt;TODAY()),"🔴 PRAZO VENCIDO",IF(AND(OR(N3857="PENDENTE",N3857="PARCIAL"),D3857&lt;TODAY()-1),"🔴 EMBARQUE ATRASADO",IF(AND(N3857="REALIZADO",M3857="PENDENTE"),"🟡 EMBARCADO SEM FATURAR",IF(AND(P3857&lt;&gt;"",S3857="",OR(Q3857="",R3857="")),"🟡 PENDÊNCIA SEM RESPONSÁVEL/PRAZO",IF(AND(ISNUMBER(R3857),R3857=TODAY()),"🟡 VENCE HOJE",IF(AND(P3857&lt;&gt;"",S3857=""),"🟡 PENDÊNCIA ABERTA",IF(AND(N(J3857)&gt;0,N(K3857)&lt;J3857),"🟡 FALTA EXECUTAR",IF(OR(M3857="PENDENTE",M3857="PARCIAL"),"🟡 FATURAMENTO PENDENTE","🟡 EMBARQUE PENDENTE")))))))))))</f>
        <v/>
      </c>
      <c r="D3857" s="4" t="n"/>
      <c r="E3857" s="5" t="n"/>
      <c r="F3857" s="5" t="n"/>
      <c r="G3857" s="5" t="n"/>
      <c r="H3857" s="5" t="n"/>
      <c r="I3857" s="5" t="n"/>
      <c r="J3857" s="6" t="n"/>
      <c r="K3857" s="6" t="n"/>
      <c r="L3857" s="7">
        <f>IF(OR(D3857="",N(J3857)=0),"",MIN(1,N(K3857)/J3857))</f>
        <v/>
      </c>
      <c r="M3857" s="5" t="n"/>
      <c r="N3857" s="5" t="n"/>
      <c r="O3857" s="5" t="n"/>
      <c r="P3857" s="5" t="n"/>
      <c r="Q3857" s="5" t="n"/>
      <c r="R3857" s="4" t="n"/>
      <c r="S3857" s="4" t="n"/>
      <c r="T3857" s="5" t="n"/>
      <c r="U3857" s="8">
        <f>IF(AND(V3857=1,D3857&lt;&gt;""),IF(D3857&gt;=corte,TODAY()-D3857,""),"")</f>
        <v/>
      </c>
      <c r="V3857" s="8">
        <f>IF(D3857="",0,IF(OR(AND(P3857&lt;&gt;"",S3857=""),AND(N(J3857)&gt;0,N(K3857)&lt;J3857),OR(M3857="PENDENTE",M3857="PARCIAL"),OR(N3857="PENDENTE",N3857="PARCIAL")),1,0))</f>
        <v/>
      </c>
      <c r="W3857" s="8">
        <f>IF(AND(V3857=1,D3857&lt;&gt;""),IF(D3857&gt;=corte,(B3857="CRÍTICO")*1E9+(100000-D3857)*10000+10000-ROW(),""),"")</f>
        <v/>
      </c>
      <c r="X3857" s="8">
        <f>IF(AND(V3857=1,D3857=pas_data,E3857=pas_turno),10000-ROW(),"")</f>
        <v/>
      </c>
    </row>
    <row r="3858">
      <c r="A3858" s="3">
        <f>IF(D3858="","","TT-"&amp;TEXT(ROW()-1,"00000"))</f>
        <v/>
      </c>
      <c r="B3858" s="3">
        <f>IF(D3858="","",IF(V3858=0,"CONCLUÍDO",IF(D3858&lt;corte,"HISTÓRICO",IF(OR(AND(ISNUMBER(R3858),R3858&lt;TODAY()),AND(OR(N3858="PENDENTE",N3858="PARCIAL"),D3858&lt;TODAY()-1)),"CRÍTICO",IF(OR(AND(P3858&lt;&gt;"",S3858=""),AND(N3858="REALIZADO",M3858="PENDENTE"),AND(ISNUMBER(R3858),R3858=TODAY())),"ATENÇÃO",IF(N(K3858)=0,"PENDENTE","EM ANDAMENTO"))))))</f>
        <v/>
      </c>
      <c r="C3858" s="3">
        <f>IF(D3858="","",IF(V3858=0,"🟢 OK",IF(D3858&lt;corte,"⚪ HISTÓRICO (sem baixa)",IF(AND(ISNUMBER(R3858),R3858&lt;TODAY()),"🔴 PRAZO VENCIDO",IF(AND(OR(N3858="PENDENTE",N3858="PARCIAL"),D3858&lt;TODAY()-1),"🔴 EMBARQUE ATRASADO",IF(AND(N3858="REALIZADO",M3858="PENDENTE"),"🟡 EMBARCADO SEM FATURAR",IF(AND(P3858&lt;&gt;"",S3858="",OR(Q3858="",R3858="")),"🟡 PENDÊNCIA SEM RESPONSÁVEL/PRAZO",IF(AND(ISNUMBER(R3858),R3858=TODAY()),"🟡 VENCE HOJE",IF(AND(P3858&lt;&gt;"",S3858=""),"🟡 PENDÊNCIA ABERTA",IF(AND(N(J3858)&gt;0,N(K3858)&lt;J3858),"🟡 FALTA EXECUTAR",IF(OR(M3858="PENDENTE",M3858="PARCIAL"),"🟡 FATURAMENTO PENDENTE","🟡 EMBARQUE PENDENTE")))))))))))</f>
        <v/>
      </c>
      <c r="D3858" s="4" t="n"/>
      <c r="E3858" s="5" t="n"/>
      <c r="F3858" s="5" t="n"/>
      <c r="G3858" s="5" t="n"/>
      <c r="H3858" s="5" t="n"/>
      <c r="I3858" s="5" t="n"/>
      <c r="J3858" s="6" t="n"/>
      <c r="K3858" s="6" t="n"/>
      <c r="L3858" s="7">
        <f>IF(OR(D3858="",N(J3858)=0),"",MIN(1,N(K3858)/J3858))</f>
        <v/>
      </c>
      <c r="M3858" s="5" t="n"/>
      <c r="N3858" s="5" t="n"/>
      <c r="O3858" s="5" t="n"/>
      <c r="P3858" s="5" t="n"/>
      <c r="Q3858" s="5" t="n"/>
      <c r="R3858" s="4" t="n"/>
      <c r="S3858" s="4" t="n"/>
      <c r="T3858" s="5" t="n"/>
      <c r="U3858" s="8">
        <f>IF(AND(V3858=1,D3858&lt;&gt;""),IF(D3858&gt;=corte,TODAY()-D3858,""),"")</f>
        <v/>
      </c>
      <c r="V3858" s="8">
        <f>IF(D3858="",0,IF(OR(AND(P3858&lt;&gt;"",S3858=""),AND(N(J3858)&gt;0,N(K3858)&lt;J3858),OR(M3858="PENDENTE",M3858="PARCIAL"),OR(N3858="PENDENTE",N3858="PARCIAL")),1,0))</f>
        <v/>
      </c>
      <c r="W3858" s="8">
        <f>IF(AND(V3858=1,D3858&lt;&gt;""),IF(D3858&gt;=corte,(B3858="CRÍTICO")*1E9+(100000-D3858)*10000+10000-ROW(),""),"")</f>
        <v/>
      </c>
      <c r="X3858" s="8">
        <f>IF(AND(V3858=1,D3858=pas_data,E3858=pas_turno),10000-ROW(),"")</f>
        <v/>
      </c>
    </row>
    <row r="3859">
      <c r="A3859" s="3">
        <f>IF(D3859="","","TT-"&amp;TEXT(ROW()-1,"00000"))</f>
        <v/>
      </c>
      <c r="B3859" s="3">
        <f>IF(D3859="","",IF(V3859=0,"CONCLUÍDO",IF(D3859&lt;corte,"HISTÓRICO",IF(OR(AND(ISNUMBER(R3859),R3859&lt;TODAY()),AND(OR(N3859="PENDENTE",N3859="PARCIAL"),D3859&lt;TODAY()-1)),"CRÍTICO",IF(OR(AND(P3859&lt;&gt;"",S3859=""),AND(N3859="REALIZADO",M3859="PENDENTE"),AND(ISNUMBER(R3859),R3859=TODAY())),"ATENÇÃO",IF(N(K3859)=0,"PENDENTE","EM ANDAMENTO"))))))</f>
        <v/>
      </c>
      <c r="C3859" s="3">
        <f>IF(D3859="","",IF(V3859=0,"🟢 OK",IF(D3859&lt;corte,"⚪ HISTÓRICO (sem baixa)",IF(AND(ISNUMBER(R3859),R3859&lt;TODAY()),"🔴 PRAZO VENCIDO",IF(AND(OR(N3859="PENDENTE",N3859="PARCIAL"),D3859&lt;TODAY()-1),"🔴 EMBARQUE ATRASADO",IF(AND(N3859="REALIZADO",M3859="PENDENTE"),"🟡 EMBARCADO SEM FATURAR",IF(AND(P3859&lt;&gt;"",S3859="",OR(Q3859="",R3859="")),"🟡 PENDÊNCIA SEM RESPONSÁVEL/PRAZO",IF(AND(ISNUMBER(R3859),R3859=TODAY()),"🟡 VENCE HOJE",IF(AND(P3859&lt;&gt;"",S3859=""),"🟡 PENDÊNCIA ABERTA",IF(AND(N(J3859)&gt;0,N(K3859)&lt;J3859),"🟡 FALTA EXECUTAR",IF(OR(M3859="PENDENTE",M3859="PARCIAL"),"🟡 FATURAMENTO PENDENTE","🟡 EMBARQUE PENDENTE")))))))))))</f>
        <v/>
      </c>
      <c r="D3859" s="4" t="n"/>
      <c r="E3859" s="5" t="n"/>
      <c r="F3859" s="5" t="n"/>
      <c r="G3859" s="5" t="n"/>
      <c r="H3859" s="5" t="n"/>
      <c r="I3859" s="5" t="n"/>
      <c r="J3859" s="6" t="n"/>
      <c r="K3859" s="6" t="n"/>
      <c r="L3859" s="7">
        <f>IF(OR(D3859="",N(J3859)=0),"",MIN(1,N(K3859)/J3859))</f>
        <v/>
      </c>
      <c r="M3859" s="5" t="n"/>
      <c r="N3859" s="5" t="n"/>
      <c r="O3859" s="5" t="n"/>
      <c r="P3859" s="5" t="n"/>
      <c r="Q3859" s="5" t="n"/>
      <c r="R3859" s="4" t="n"/>
      <c r="S3859" s="4" t="n"/>
      <c r="T3859" s="5" t="n"/>
      <c r="U3859" s="8">
        <f>IF(AND(V3859=1,D3859&lt;&gt;""),IF(D3859&gt;=corte,TODAY()-D3859,""),"")</f>
        <v/>
      </c>
      <c r="V3859" s="8">
        <f>IF(D3859="",0,IF(OR(AND(P3859&lt;&gt;"",S3859=""),AND(N(J3859)&gt;0,N(K3859)&lt;J3859),OR(M3859="PENDENTE",M3859="PARCIAL"),OR(N3859="PENDENTE",N3859="PARCIAL")),1,0))</f>
        <v/>
      </c>
      <c r="W3859" s="8">
        <f>IF(AND(V3859=1,D3859&lt;&gt;""),IF(D3859&gt;=corte,(B3859="CRÍTICO")*1E9+(100000-D3859)*10000+10000-ROW(),""),"")</f>
        <v/>
      </c>
      <c r="X3859" s="8">
        <f>IF(AND(V3859=1,D3859=pas_data,E3859=pas_turno),10000-ROW(),"")</f>
        <v/>
      </c>
    </row>
    <row r="3860">
      <c r="A3860" s="3">
        <f>IF(D3860="","","TT-"&amp;TEXT(ROW()-1,"00000"))</f>
        <v/>
      </c>
      <c r="B3860" s="3">
        <f>IF(D3860="","",IF(V3860=0,"CONCLUÍDO",IF(D3860&lt;corte,"HISTÓRICO",IF(OR(AND(ISNUMBER(R3860),R3860&lt;TODAY()),AND(OR(N3860="PENDENTE",N3860="PARCIAL"),D3860&lt;TODAY()-1)),"CRÍTICO",IF(OR(AND(P3860&lt;&gt;"",S3860=""),AND(N3860="REALIZADO",M3860="PENDENTE"),AND(ISNUMBER(R3860),R3860=TODAY())),"ATENÇÃO",IF(N(K3860)=0,"PENDENTE","EM ANDAMENTO"))))))</f>
        <v/>
      </c>
      <c r="C3860" s="3">
        <f>IF(D3860="","",IF(V3860=0,"🟢 OK",IF(D3860&lt;corte,"⚪ HISTÓRICO (sem baixa)",IF(AND(ISNUMBER(R3860),R3860&lt;TODAY()),"🔴 PRAZO VENCIDO",IF(AND(OR(N3860="PENDENTE",N3860="PARCIAL"),D3860&lt;TODAY()-1),"🔴 EMBARQUE ATRASADO",IF(AND(N3860="REALIZADO",M3860="PENDENTE"),"🟡 EMBARCADO SEM FATURAR",IF(AND(P3860&lt;&gt;"",S3860="",OR(Q3860="",R3860="")),"🟡 PENDÊNCIA SEM RESPONSÁVEL/PRAZO",IF(AND(ISNUMBER(R3860),R3860=TODAY()),"🟡 VENCE HOJE",IF(AND(P3860&lt;&gt;"",S3860=""),"🟡 PENDÊNCIA ABERTA",IF(AND(N(J3860)&gt;0,N(K3860)&lt;J3860),"🟡 FALTA EXECUTAR",IF(OR(M3860="PENDENTE",M3860="PARCIAL"),"🟡 FATURAMENTO PENDENTE","🟡 EMBARQUE PENDENTE")))))))))))</f>
        <v/>
      </c>
      <c r="D3860" s="4" t="n"/>
      <c r="E3860" s="5" t="n"/>
      <c r="F3860" s="5" t="n"/>
      <c r="G3860" s="5" t="n"/>
      <c r="H3860" s="5" t="n"/>
      <c r="I3860" s="5" t="n"/>
      <c r="J3860" s="6" t="n"/>
      <c r="K3860" s="6" t="n"/>
      <c r="L3860" s="7">
        <f>IF(OR(D3860="",N(J3860)=0),"",MIN(1,N(K3860)/J3860))</f>
        <v/>
      </c>
      <c r="M3860" s="5" t="n"/>
      <c r="N3860" s="5" t="n"/>
      <c r="O3860" s="5" t="n"/>
      <c r="P3860" s="5" t="n"/>
      <c r="Q3860" s="5" t="n"/>
      <c r="R3860" s="4" t="n"/>
      <c r="S3860" s="4" t="n"/>
      <c r="T3860" s="5" t="n"/>
      <c r="U3860" s="8">
        <f>IF(AND(V3860=1,D3860&lt;&gt;""),IF(D3860&gt;=corte,TODAY()-D3860,""),"")</f>
        <v/>
      </c>
      <c r="V3860" s="8">
        <f>IF(D3860="",0,IF(OR(AND(P3860&lt;&gt;"",S3860=""),AND(N(J3860)&gt;0,N(K3860)&lt;J3860),OR(M3860="PENDENTE",M3860="PARCIAL"),OR(N3860="PENDENTE",N3860="PARCIAL")),1,0))</f>
        <v/>
      </c>
      <c r="W3860" s="8">
        <f>IF(AND(V3860=1,D3860&lt;&gt;""),IF(D3860&gt;=corte,(B3860="CRÍTICO")*1E9+(100000-D3860)*10000+10000-ROW(),""),"")</f>
        <v/>
      </c>
      <c r="X3860" s="8">
        <f>IF(AND(V3860=1,D3860=pas_data,E3860=pas_turno),10000-ROW(),"")</f>
        <v/>
      </c>
    </row>
    <row r="3861">
      <c r="A3861" s="3">
        <f>IF(D3861="","","TT-"&amp;TEXT(ROW()-1,"00000"))</f>
        <v/>
      </c>
      <c r="B3861" s="3">
        <f>IF(D3861="","",IF(V3861=0,"CONCLUÍDO",IF(D3861&lt;corte,"HISTÓRICO",IF(OR(AND(ISNUMBER(R3861),R3861&lt;TODAY()),AND(OR(N3861="PENDENTE",N3861="PARCIAL"),D3861&lt;TODAY()-1)),"CRÍTICO",IF(OR(AND(P3861&lt;&gt;"",S3861=""),AND(N3861="REALIZADO",M3861="PENDENTE"),AND(ISNUMBER(R3861),R3861=TODAY())),"ATENÇÃO",IF(N(K3861)=0,"PENDENTE","EM ANDAMENTO"))))))</f>
        <v/>
      </c>
      <c r="C3861" s="3">
        <f>IF(D3861="","",IF(V3861=0,"🟢 OK",IF(D3861&lt;corte,"⚪ HISTÓRICO (sem baixa)",IF(AND(ISNUMBER(R3861),R3861&lt;TODAY()),"🔴 PRAZO VENCIDO",IF(AND(OR(N3861="PENDENTE",N3861="PARCIAL"),D3861&lt;TODAY()-1),"🔴 EMBARQUE ATRASADO",IF(AND(N3861="REALIZADO",M3861="PENDENTE"),"🟡 EMBARCADO SEM FATURAR",IF(AND(P3861&lt;&gt;"",S3861="",OR(Q3861="",R3861="")),"🟡 PENDÊNCIA SEM RESPONSÁVEL/PRAZO",IF(AND(ISNUMBER(R3861),R3861=TODAY()),"🟡 VENCE HOJE",IF(AND(P3861&lt;&gt;"",S3861=""),"🟡 PENDÊNCIA ABERTA",IF(AND(N(J3861)&gt;0,N(K3861)&lt;J3861),"🟡 FALTA EXECUTAR",IF(OR(M3861="PENDENTE",M3861="PARCIAL"),"🟡 FATURAMENTO PENDENTE","🟡 EMBARQUE PENDENTE")))))))))))</f>
        <v/>
      </c>
      <c r="D3861" s="4" t="n"/>
      <c r="E3861" s="5" t="n"/>
      <c r="F3861" s="5" t="n"/>
      <c r="G3861" s="5" t="n"/>
      <c r="H3861" s="5" t="n"/>
      <c r="I3861" s="5" t="n"/>
      <c r="J3861" s="6" t="n"/>
      <c r="K3861" s="6" t="n"/>
      <c r="L3861" s="7">
        <f>IF(OR(D3861="",N(J3861)=0),"",MIN(1,N(K3861)/J3861))</f>
        <v/>
      </c>
      <c r="M3861" s="5" t="n"/>
      <c r="N3861" s="5" t="n"/>
      <c r="O3861" s="5" t="n"/>
      <c r="P3861" s="5" t="n"/>
      <c r="Q3861" s="5" t="n"/>
      <c r="R3861" s="4" t="n"/>
      <c r="S3861" s="4" t="n"/>
      <c r="T3861" s="5" t="n"/>
      <c r="U3861" s="8">
        <f>IF(AND(V3861=1,D3861&lt;&gt;""),IF(D3861&gt;=corte,TODAY()-D3861,""),"")</f>
        <v/>
      </c>
      <c r="V3861" s="8">
        <f>IF(D3861="",0,IF(OR(AND(P3861&lt;&gt;"",S3861=""),AND(N(J3861)&gt;0,N(K3861)&lt;J3861),OR(M3861="PENDENTE",M3861="PARCIAL"),OR(N3861="PENDENTE",N3861="PARCIAL")),1,0))</f>
        <v/>
      </c>
      <c r="W3861" s="8">
        <f>IF(AND(V3861=1,D3861&lt;&gt;""),IF(D3861&gt;=corte,(B3861="CRÍTICO")*1E9+(100000-D3861)*10000+10000-ROW(),""),"")</f>
        <v/>
      </c>
      <c r="X3861" s="8">
        <f>IF(AND(V3861=1,D3861=pas_data,E3861=pas_turno),10000-ROW(),"")</f>
        <v/>
      </c>
    </row>
    <row r="3862">
      <c r="A3862" s="3">
        <f>IF(D3862="","","TT-"&amp;TEXT(ROW()-1,"00000"))</f>
        <v/>
      </c>
      <c r="B3862" s="3">
        <f>IF(D3862="","",IF(V3862=0,"CONCLUÍDO",IF(D3862&lt;corte,"HISTÓRICO",IF(OR(AND(ISNUMBER(R3862),R3862&lt;TODAY()),AND(OR(N3862="PENDENTE",N3862="PARCIAL"),D3862&lt;TODAY()-1)),"CRÍTICO",IF(OR(AND(P3862&lt;&gt;"",S3862=""),AND(N3862="REALIZADO",M3862="PENDENTE"),AND(ISNUMBER(R3862),R3862=TODAY())),"ATENÇÃO",IF(N(K3862)=0,"PENDENTE","EM ANDAMENTO"))))))</f>
        <v/>
      </c>
      <c r="C3862" s="3">
        <f>IF(D3862="","",IF(V3862=0,"🟢 OK",IF(D3862&lt;corte,"⚪ HISTÓRICO (sem baixa)",IF(AND(ISNUMBER(R3862),R3862&lt;TODAY()),"🔴 PRAZO VENCIDO",IF(AND(OR(N3862="PENDENTE",N3862="PARCIAL"),D3862&lt;TODAY()-1),"🔴 EMBARQUE ATRASADO",IF(AND(N3862="REALIZADO",M3862="PENDENTE"),"🟡 EMBARCADO SEM FATURAR",IF(AND(P3862&lt;&gt;"",S3862="",OR(Q3862="",R3862="")),"🟡 PENDÊNCIA SEM RESPONSÁVEL/PRAZO",IF(AND(ISNUMBER(R3862),R3862=TODAY()),"🟡 VENCE HOJE",IF(AND(P3862&lt;&gt;"",S3862=""),"🟡 PENDÊNCIA ABERTA",IF(AND(N(J3862)&gt;0,N(K3862)&lt;J3862),"🟡 FALTA EXECUTAR",IF(OR(M3862="PENDENTE",M3862="PARCIAL"),"🟡 FATURAMENTO PENDENTE","🟡 EMBARQUE PENDENTE")))))))))))</f>
        <v/>
      </c>
      <c r="D3862" s="4" t="n"/>
      <c r="E3862" s="5" t="n"/>
      <c r="F3862" s="5" t="n"/>
      <c r="G3862" s="5" t="n"/>
      <c r="H3862" s="5" t="n"/>
      <c r="I3862" s="5" t="n"/>
      <c r="J3862" s="6" t="n"/>
      <c r="K3862" s="6" t="n"/>
      <c r="L3862" s="7">
        <f>IF(OR(D3862="",N(J3862)=0),"",MIN(1,N(K3862)/J3862))</f>
        <v/>
      </c>
      <c r="M3862" s="5" t="n"/>
      <c r="N3862" s="5" t="n"/>
      <c r="O3862" s="5" t="n"/>
      <c r="P3862" s="5" t="n"/>
      <c r="Q3862" s="5" t="n"/>
      <c r="R3862" s="4" t="n"/>
      <c r="S3862" s="4" t="n"/>
      <c r="T3862" s="5" t="n"/>
      <c r="U3862" s="8">
        <f>IF(AND(V3862=1,D3862&lt;&gt;""),IF(D3862&gt;=corte,TODAY()-D3862,""),"")</f>
        <v/>
      </c>
      <c r="V3862" s="8">
        <f>IF(D3862="",0,IF(OR(AND(P3862&lt;&gt;"",S3862=""),AND(N(J3862)&gt;0,N(K3862)&lt;J3862),OR(M3862="PENDENTE",M3862="PARCIAL"),OR(N3862="PENDENTE",N3862="PARCIAL")),1,0))</f>
        <v/>
      </c>
      <c r="W3862" s="8">
        <f>IF(AND(V3862=1,D3862&lt;&gt;""),IF(D3862&gt;=corte,(B3862="CRÍTICO")*1E9+(100000-D3862)*10000+10000-ROW(),""),"")</f>
        <v/>
      </c>
      <c r="X3862" s="8">
        <f>IF(AND(V3862=1,D3862=pas_data,E3862=pas_turno),10000-ROW(),"")</f>
        <v/>
      </c>
    </row>
    <row r="3863">
      <c r="A3863" s="3">
        <f>IF(D3863="","","TT-"&amp;TEXT(ROW()-1,"00000"))</f>
        <v/>
      </c>
      <c r="B3863" s="3">
        <f>IF(D3863="","",IF(V3863=0,"CONCLUÍDO",IF(D3863&lt;corte,"HISTÓRICO",IF(OR(AND(ISNUMBER(R3863),R3863&lt;TODAY()),AND(OR(N3863="PENDENTE",N3863="PARCIAL"),D3863&lt;TODAY()-1)),"CRÍTICO",IF(OR(AND(P3863&lt;&gt;"",S3863=""),AND(N3863="REALIZADO",M3863="PENDENTE"),AND(ISNUMBER(R3863),R3863=TODAY())),"ATENÇÃO",IF(N(K3863)=0,"PENDENTE","EM ANDAMENTO"))))))</f>
        <v/>
      </c>
      <c r="C3863" s="3">
        <f>IF(D3863="","",IF(V3863=0,"🟢 OK",IF(D3863&lt;corte,"⚪ HISTÓRICO (sem baixa)",IF(AND(ISNUMBER(R3863),R3863&lt;TODAY()),"🔴 PRAZO VENCIDO",IF(AND(OR(N3863="PENDENTE",N3863="PARCIAL"),D3863&lt;TODAY()-1),"🔴 EMBARQUE ATRASADO",IF(AND(N3863="REALIZADO",M3863="PENDENTE"),"🟡 EMBARCADO SEM FATURAR",IF(AND(P3863&lt;&gt;"",S3863="",OR(Q3863="",R3863="")),"🟡 PENDÊNCIA SEM RESPONSÁVEL/PRAZO",IF(AND(ISNUMBER(R3863),R3863=TODAY()),"🟡 VENCE HOJE",IF(AND(P3863&lt;&gt;"",S3863=""),"🟡 PENDÊNCIA ABERTA",IF(AND(N(J3863)&gt;0,N(K3863)&lt;J3863),"🟡 FALTA EXECUTAR",IF(OR(M3863="PENDENTE",M3863="PARCIAL"),"🟡 FATURAMENTO PENDENTE","🟡 EMBARQUE PENDENTE")))))))))))</f>
        <v/>
      </c>
      <c r="D3863" s="4" t="n"/>
      <c r="E3863" s="5" t="n"/>
      <c r="F3863" s="5" t="n"/>
      <c r="G3863" s="5" t="n"/>
      <c r="H3863" s="5" t="n"/>
      <c r="I3863" s="5" t="n"/>
      <c r="J3863" s="6" t="n"/>
      <c r="K3863" s="6" t="n"/>
      <c r="L3863" s="7">
        <f>IF(OR(D3863="",N(J3863)=0),"",MIN(1,N(K3863)/J3863))</f>
        <v/>
      </c>
      <c r="M3863" s="5" t="n"/>
      <c r="N3863" s="5" t="n"/>
      <c r="O3863" s="5" t="n"/>
      <c r="P3863" s="5" t="n"/>
      <c r="Q3863" s="5" t="n"/>
      <c r="R3863" s="4" t="n"/>
      <c r="S3863" s="4" t="n"/>
      <c r="T3863" s="5" t="n"/>
      <c r="U3863" s="8">
        <f>IF(AND(V3863=1,D3863&lt;&gt;""),IF(D3863&gt;=corte,TODAY()-D3863,""),"")</f>
        <v/>
      </c>
      <c r="V3863" s="8">
        <f>IF(D3863="",0,IF(OR(AND(P3863&lt;&gt;"",S3863=""),AND(N(J3863)&gt;0,N(K3863)&lt;J3863),OR(M3863="PENDENTE",M3863="PARCIAL"),OR(N3863="PENDENTE",N3863="PARCIAL")),1,0))</f>
        <v/>
      </c>
      <c r="W3863" s="8">
        <f>IF(AND(V3863=1,D3863&lt;&gt;""),IF(D3863&gt;=corte,(B3863="CRÍTICO")*1E9+(100000-D3863)*10000+10000-ROW(),""),"")</f>
        <v/>
      </c>
      <c r="X3863" s="8">
        <f>IF(AND(V3863=1,D3863=pas_data,E3863=pas_turno),10000-ROW(),"")</f>
        <v/>
      </c>
    </row>
    <row r="3864">
      <c r="A3864" s="3">
        <f>IF(D3864="","","TT-"&amp;TEXT(ROW()-1,"00000"))</f>
        <v/>
      </c>
      <c r="B3864" s="3">
        <f>IF(D3864="","",IF(V3864=0,"CONCLUÍDO",IF(D3864&lt;corte,"HISTÓRICO",IF(OR(AND(ISNUMBER(R3864),R3864&lt;TODAY()),AND(OR(N3864="PENDENTE",N3864="PARCIAL"),D3864&lt;TODAY()-1)),"CRÍTICO",IF(OR(AND(P3864&lt;&gt;"",S3864=""),AND(N3864="REALIZADO",M3864="PENDENTE"),AND(ISNUMBER(R3864),R3864=TODAY())),"ATENÇÃO",IF(N(K3864)=0,"PENDENTE","EM ANDAMENTO"))))))</f>
        <v/>
      </c>
      <c r="C3864" s="3">
        <f>IF(D3864="","",IF(V3864=0,"🟢 OK",IF(D3864&lt;corte,"⚪ HISTÓRICO (sem baixa)",IF(AND(ISNUMBER(R3864),R3864&lt;TODAY()),"🔴 PRAZO VENCIDO",IF(AND(OR(N3864="PENDENTE",N3864="PARCIAL"),D3864&lt;TODAY()-1),"🔴 EMBARQUE ATRASADO",IF(AND(N3864="REALIZADO",M3864="PENDENTE"),"🟡 EMBARCADO SEM FATURAR",IF(AND(P3864&lt;&gt;"",S3864="",OR(Q3864="",R3864="")),"🟡 PENDÊNCIA SEM RESPONSÁVEL/PRAZO",IF(AND(ISNUMBER(R3864),R3864=TODAY()),"🟡 VENCE HOJE",IF(AND(P3864&lt;&gt;"",S3864=""),"🟡 PENDÊNCIA ABERTA",IF(AND(N(J3864)&gt;0,N(K3864)&lt;J3864),"🟡 FALTA EXECUTAR",IF(OR(M3864="PENDENTE",M3864="PARCIAL"),"🟡 FATURAMENTO PENDENTE","🟡 EMBARQUE PENDENTE")))))))))))</f>
        <v/>
      </c>
      <c r="D3864" s="4" t="n"/>
      <c r="E3864" s="5" t="n"/>
      <c r="F3864" s="5" t="n"/>
      <c r="G3864" s="5" t="n"/>
      <c r="H3864" s="5" t="n"/>
      <c r="I3864" s="5" t="n"/>
      <c r="J3864" s="6" t="n"/>
      <c r="K3864" s="6" t="n"/>
      <c r="L3864" s="7">
        <f>IF(OR(D3864="",N(J3864)=0),"",MIN(1,N(K3864)/J3864))</f>
        <v/>
      </c>
      <c r="M3864" s="5" t="n"/>
      <c r="N3864" s="5" t="n"/>
      <c r="O3864" s="5" t="n"/>
      <c r="P3864" s="5" t="n"/>
      <c r="Q3864" s="5" t="n"/>
      <c r="R3864" s="4" t="n"/>
      <c r="S3864" s="4" t="n"/>
      <c r="T3864" s="5" t="n"/>
      <c r="U3864" s="8">
        <f>IF(AND(V3864=1,D3864&lt;&gt;""),IF(D3864&gt;=corte,TODAY()-D3864,""),"")</f>
        <v/>
      </c>
      <c r="V3864" s="8">
        <f>IF(D3864="",0,IF(OR(AND(P3864&lt;&gt;"",S3864=""),AND(N(J3864)&gt;0,N(K3864)&lt;J3864),OR(M3864="PENDENTE",M3864="PARCIAL"),OR(N3864="PENDENTE",N3864="PARCIAL")),1,0))</f>
        <v/>
      </c>
      <c r="W3864" s="8">
        <f>IF(AND(V3864=1,D3864&lt;&gt;""),IF(D3864&gt;=corte,(B3864="CRÍTICO")*1E9+(100000-D3864)*10000+10000-ROW(),""),"")</f>
        <v/>
      </c>
      <c r="X3864" s="8">
        <f>IF(AND(V3864=1,D3864=pas_data,E3864=pas_turno),10000-ROW(),"")</f>
        <v/>
      </c>
    </row>
    <row r="3865">
      <c r="A3865" s="3">
        <f>IF(D3865="","","TT-"&amp;TEXT(ROW()-1,"00000"))</f>
        <v/>
      </c>
      <c r="B3865" s="3">
        <f>IF(D3865="","",IF(V3865=0,"CONCLUÍDO",IF(D3865&lt;corte,"HISTÓRICO",IF(OR(AND(ISNUMBER(R3865),R3865&lt;TODAY()),AND(OR(N3865="PENDENTE",N3865="PARCIAL"),D3865&lt;TODAY()-1)),"CRÍTICO",IF(OR(AND(P3865&lt;&gt;"",S3865=""),AND(N3865="REALIZADO",M3865="PENDENTE"),AND(ISNUMBER(R3865),R3865=TODAY())),"ATENÇÃO",IF(N(K3865)=0,"PENDENTE","EM ANDAMENTO"))))))</f>
        <v/>
      </c>
      <c r="C3865" s="3">
        <f>IF(D3865="","",IF(V3865=0,"🟢 OK",IF(D3865&lt;corte,"⚪ HISTÓRICO (sem baixa)",IF(AND(ISNUMBER(R3865),R3865&lt;TODAY()),"🔴 PRAZO VENCIDO",IF(AND(OR(N3865="PENDENTE",N3865="PARCIAL"),D3865&lt;TODAY()-1),"🔴 EMBARQUE ATRASADO",IF(AND(N3865="REALIZADO",M3865="PENDENTE"),"🟡 EMBARCADO SEM FATURAR",IF(AND(P3865&lt;&gt;"",S3865="",OR(Q3865="",R3865="")),"🟡 PENDÊNCIA SEM RESPONSÁVEL/PRAZO",IF(AND(ISNUMBER(R3865),R3865=TODAY()),"🟡 VENCE HOJE",IF(AND(P3865&lt;&gt;"",S3865=""),"🟡 PENDÊNCIA ABERTA",IF(AND(N(J3865)&gt;0,N(K3865)&lt;J3865),"🟡 FALTA EXECUTAR",IF(OR(M3865="PENDENTE",M3865="PARCIAL"),"🟡 FATURAMENTO PENDENTE","🟡 EMBARQUE PENDENTE")))))))))))</f>
        <v/>
      </c>
      <c r="D3865" s="4" t="n"/>
      <c r="E3865" s="5" t="n"/>
      <c r="F3865" s="5" t="n"/>
      <c r="G3865" s="5" t="n"/>
      <c r="H3865" s="5" t="n"/>
      <c r="I3865" s="5" t="n"/>
      <c r="J3865" s="6" t="n"/>
      <c r="K3865" s="6" t="n"/>
      <c r="L3865" s="7">
        <f>IF(OR(D3865="",N(J3865)=0),"",MIN(1,N(K3865)/J3865))</f>
        <v/>
      </c>
      <c r="M3865" s="5" t="n"/>
      <c r="N3865" s="5" t="n"/>
      <c r="O3865" s="5" t="n"/>
      <c r="P3865" s="5" t="n"/>
      <c r="Q3865" s="5" t="n"/>
      <c r="R3865" s="4" t="n"/>
      <c r="S3865" s="4" t="n"/>
      <c r="T3865" s="5" t="n"/>
      <c r="U3865" s="8">
        <f>IF(AND(V3865=1,D3865&lt;&gt;""),IF(D3865&gt;=corte,TODAY()-D3865,""),"")</f>
        <v/>
      </c>
      <c r="V3865" s="8">
        <f>IF(D3865="",0,IF(OR(AND(P3865&lt;&gt;"",S3865=""),AND(N(J3865)&gt;0,N(K3865)&lt;J3865),OR(M3865="PENDENTE",M3865="PARCIAL"),OR(N3865="PENDENTE",N3865="PARCIAL")),1,0))</f>
        <v/>
      </c>
      <c r="W3865" s="8">
        <f>IF(AND(V3865=1,D3865&lt;&gt;""),IF(D3865&gt;=corte,(B3865="CRÍTICO")*1E9+(100000-D3865)*10000+10000-ROW(),""),"")</f>
        <v/>
      </c>
      <c r="X3865" s="8">
        <f>IF(AND(V3865=1,D3865=pas_data,E3865=pas_turno),10000-ROW(),"")</f>
        <v/>
      </c>
    </row>
    <row r="3866">
      <c r="A3866" s="3">
        <f>IF(D3866="","","TT-"&amp;TEXT(ROW()-1,"00000"))</f>
        <v/>
      </c>
      <c r="B3866" s="3">
        <f>IF(D3866="","",IF(V3866=0,"CONCLUÍDO",IF(D3866&lt;corte,"HISTÓRICO",IF(OR(AND(ISNUMBER(R3866),R3866&lt;TODAY()),AND(OR(N3866="PENDENTE",N3866="PARCIAL"),D3866&lt;TODAY()-1)),"CRÍTICO",IF(OR(AND(P3866&lt;&gt;"",S3866=""),AND(N3866="REALIZADO",M3866="PENDENTE"),AND(ISNUMBER(R3866),R3866=TODAY())),"ATENÇÃO",IF(N(K3866)=0,"PENDENTE","EM ANDAMENTO"))))))</f>
        <v/>
      </c>
      <c r="C3866" s="3">
        <f>IF(D3866="","",IF(V3866=0,"🟢 OK",IF(D3866&lt;corte,"⚪ HISTÓRICO (sem baixa)",IF(AND(ISNUMBER(R3866),R3866&lt;TODAY()),"🔴 PRAZO VENCIDO",IF(AND(OR(N3866="PENDENTE",N3866="PARCIAL"),D3866&lt;TODAY()-1),"🔴 EMBARQUE ATRASADO",IF(AND(N3866="REALIZADO",M3866="PENDENTE"),"🟡 EMBARCADO SEM FATURAR",IF(AND(P3866&lt;&gt;"",S3866="",OR(Q3866="",R3866="")),"🟡 PENDÊNCIA SEM RESPONSÁVEL/PRAZO",IF(AND(ISNUMBER(R3866),R3866=TODAY()),"🟡 VENCE HOJE",IF(AND(P3866&lt;&gt;"",S3866=""),"🟡 PENDÊNCIA ABERTA",IF(AND(N(J3866)&gt;0,N(K3866)&lt;J3866),"🟡 FALTA EXECUTAR",IF(OR(M3866="PENDENTE",M3866="PARCIAL"),"🟡 FATURAMENTO PENDENTE","🟡 EMBARQUE PENDENTE")))))))))))</f>
        <v/>
      </c>
      <c r="D3866" s="4" t="n"/>
      <c r="E3866" s="5" t="n"/>
      <c r="F3866" s="5" t="n"/>
      <c r="G3866" s="5" t="n"/>
      <c r="H3866" s="5" t="n"/>
      <c r="I3866" s="5" t="n"/>
      <c r="J3866" s="6" t="n"/>
      <c r="K3866" s="6" t="n"/>
      <c r="L3866" s="7">
        <f>IF(OR(D3866="",N(J3866)=0),"",MIN(1,N(K3866)/J3866))</f>
        <v/>
      </c>
      <c r="M3866" s="5" t="n"/>
      <c r="N3866" s="5" t="n"/>
      <c r="O3866" s="5" t="n"/>
      <c r="P3866" s="5" t="n"/>
      <c r="Q3866" s="5" t="n"/>
      <c r="R3866" s="4" t="n"/>
      <c r="S3866" s="4" t="n"/>
      <c r="T3866" s="5" t="n"/>
      <c r="U3866" s="8">
        <f>IF(AND(V3866=1,D3866&lt;&gt;""),IF(D3866&gt;=corte,TODAY()-D3866,""),"")</f>
        <v/>
      </c>
      <c r="V3866" s="8">
        <f>IF(D3866="",0,IF(OR(AND(P3866&lt;&gt;"",S3866=""),AND(N(J3866)&gt;0,N(K3866)&lt;J3866),OR(M3866="PENDENTE",M3866="PARCIAL"),OR(N3866="PENDENTE",N3866="PARCIAL")),1,0))</f>
        <v/>
      </c>
      <c r="W3866" s="8">
        <f>IF(AND(V3866=1,D3866&lt;&gt;""),IF(D3866&gt;=corte,(B3866="CRÍTICO")*1E9+(100000-D3866)*10000+10000-ROW(),""),"")</f>
        <v/>
      </c>
      <c r="X3866" s="8">
        <f>IF(AND(V3866=1,D3866=pas_data,E3866=pas_turno),10000-ROW(),"")</f>
        <v/>
      </c>
    </row>
    <row r="3867">
      <c r="A3867" s="3">
        <f>IF(D3867="","","TT-"&amp;TEXT(ROW()-1,"00000"))</f>
        <v/>
      </c>
      <c r="B3867" s="3">
        <f>IF(D3867="","",IF(V3867=0,"CONCLUÍDO",IF(D3867&lt;corte,"HISTÓRICO",IF(OR(AND(ISNUMBER(R3867),R3867&lt;TODAY()),AND(OR(N3867="PENDENTE",N3867="PARCIAL"),D3867&lt;TODAY()-1)),"CRÍTICO",IF(OR(AND(P3867&lt;&gt;"",S3867=""),AND(N3867="REALIZADO",M3867="PENDENTE"),AND(ISNUMBER(R3867),R3867=TODAY())),"ATENÇÃO",IF(N(K3867)=0,"PENDENTE","EM ANDAMENTO"))))))</f>
        <v/>
      </c>
      <c r="C3867" s="3">
        <f>IF(D3867="","",IF(V3867=0,"🟢 OK",IF(D3867&lt;corte,"⚪ HISTÓRICO (sem baixa)",IF(AND(ISNUMBER(R3867),R3867&lt;TODAY()),"🔴 PRAZO VENCIDO",IF(AND(OR(N3867="PENDENTE",N3867="PARCIAL"),D3867&lt;TODAY()-1),"🔴 EMBARQUE ATRASADO",IF(AND(N3867="REALIZADO",M3867="PENDENTE"),"🟡 EMBARCADO SEM FATURAR",IF(AND(P3867&lt;&gt;"",S3867="",OR(Q3867="",R3867="")),"🟡 PENDÊNCIA SEM RESPONSÁVEL/PRAZO",IF(AND(ISNUMBER(R3867),R3867=TODAY()),"🟡 VENCE HOJE",IF(AND(P3867&lt;&gt;"",S3867=""),"🟡 PENDÊNCIA ABERTA",IF(AND(N(J3867)&gt;0,N(K3867)&lt;J3867),"🟡 FALTA EXECUTAR",IF(OR(M3867="PENDENTE",M3867="PARCIAL"),"🟡 FATURAMENTO PENDENTE","🟡 EMBARQUE PENDENTE")))))))))))</f>
        <v/>
      </c>
      <c r="D3867" s="4" t="n"/>
      <c r="E3867" s="5" t="n"/>
      <c r="F3867" s="5" t="n"/>
      <c r="G3867" s="5" t="n"/>
      <c r="H3867" s="5" t="n"/>
      <c r="I3867" s="5" t="n"/>
      <c r="J3867" s="6" t="n"/>
      <c r="K3867" s="6" t="n"/>
      <c r="L3867" s="7">
        <f>IF(OR(D3867="",N(J3867)=0),"",MIN(1,N(K3867)/J3867))</f>
        <v/>
      </c>
      <c r="M3867" s="5" t="n"/>
      <c r="N3867" s="5" t="n"/>
      <c r="O3867" s="5" t="n"/>
      <c r="P3867" s="5" t="n"/>
      <c r="Q3867" s="5" t="n"/>
      <c r="R3867" s="4" t="n"/>
      <c r="S3867" s="4" t="n"/>
      <c r="T3867" s="5" t="n"/>
      <c r="U3867" s="8">
        <f>IF(AND(V3867=1,D3867&lt;&gt;""),IF(D3867&gt;=corte,TODAY()-D3867,""),"")</f>
        <v/>
      </c>
      <c r="V3867" s="8">
        <f>IF(D3867="",0,IF(OR(AND(P3867&lt;&gt;"",S3867=""),AND(N(J3867)&gt;0,N(K3867)&lt;J3867),OR(M3867="PENDENTE",M3867="PARCIAL"),OR(N3867="PENDENTE",N3867="PARCIAL")),1,0))</f>
        <v/>
      </c>
      <c r="W3867" s="8">
        <f>IF(AND(V3867=1,D3867&lt;&gt;""),IF(D3867&gt;=corte,(B3867="CRÍTICO")*1E9+(100000-D3867)*10000+10000-ROW(),""),"")</f>
        <v/>
      </c>
      <c r="X3867" s="8">
        <f>IF(AND(V3867=1,D3867=pas_data,E3867=pas_turno),10000-ROW(),"")</f>
        <v/>
      </c>
    </row>
    <row r="3868">
      <c r="A3868" s="3">
        <f>IF(D3868="","","TT-"&amp;TEXT(ROW()-1,"00000"))</f>
        <v/>
      </c>
      <c r="B3868" s="3">
        <f>IF(D3868="","",IF(V3868=0,"CONCLUÍDO",IF(D3868&lt;corte,"HISTÓRICO",IF(OR(AND(ISNUMBER(R3868),R3868&lt;TODAY()),AND(OR(N3868="PENDENTE",N3868="PARCIAL"),D3868&lt;TODAY()-1)),"CRÍTICO",IF(OR(AND(P3868&lt;&gt;"",S3868=""),AND(N3868="REALIZADO",M3868="PENDENTE"),AND(ISNUMBER(R3868),R3868=TODAY())),"ATENÇÃO",IF(N(K3868)=0,"PENDENTE","EM ANDAMENTO"))))))</f>
        <v/>
      </c>
      <c r="C3868" s="3">
        <f>IF(D3868="","",IF(V3868=0,"🟢 OK",IF(D3868&lt;corte,"⚪ HISTÓRICO (sem baixa)",IF(AND(ISNUMBER(R3868),R3868&lt;TODAY()),"🔴 PRAZO VENCIDO",IF(AND(OR(N3868="PENDENTE",N3868="PARCIAL"),D3868&lt;TODAY()-1),"🔴 EMBARQUE ATRASADO",IF(AND(N3868="REALIZADO",M3868="PENDENTE"),"🟡 EMBARCADO SEM FATURAR",IF(AND(P3868&lt;&gt;"",S3868="",OR(Q3868="",R3868="")),"🟡 PENDÊNCIA SEM RESPONSÁVEL/PRAZO",IF(AND(ISNUMBER(R3868),R3868=TODAY()),"🟡 VENCE HOJE",IF(AND(P3868&lt;&gt;"",S3868=""),"🟡 PENDÊNCIA ABERTA",IF(AND(N(J3868)&gt;0,N(K3868)&lt;J3868),"🟡 FALTA EXECUTAR",IF(OR(M3868="PENDENTE",M3868="PARCIAL"),"🟡 FATURAMENTO PENDENTE","🟡 EMBARQUE PENDENTE")))))))))))</f>
        <v/>
      </c>
      <c r="D3868" s="4" t="n"/>
      <c r="E3868" s="5" t="n"/>
      <c r="F3868" s="5" t="n"/>
      <c r="G3868" s="5" t="n"/>
      <c r="H3868" s="5" t="n"/>
      <c r="I3868" s="5" t="n"/>
      <c r="J3868" s="6" t="n"/>
      <c r="K3868" s="6" t="n"/>
      <c r="L3868" s="7">
        <f>IF(OR(D3868="",N(J3868)=0),"",MIN(1,N(K3868)/J3868))</f>
        <v/>
      </c>
      <c r="M3868" s="5" t="n"/>
      <c r="N3868" s="5" t="n"/>
      <c r="O3868" s="5" t="n"/>
      <c r="P3868" s="5" t="n"/>
      <c r="Q3868" s="5" t="n"/>
      <c r="R3868" s="4" t="n"/>
      <c r="S3868" s="4" t="n"/>
      <c r="T3868" s="5" t="n"/>
      <c r="U3868" s="8">
        <f>IF(AND(V3868=1,D3868&lt;&gt;""),IF(D3868&gt;=corte,TODAY()-D3868,""),"")</f>
        <v/>
      </c>
      <c r="V3868" s="8">
        <f>IF(D3868="",0,IF(OR(AND(P3868&lt;&gt;"",S3868=""),AND(N(J3868)&gt;0,N(K3868)&lt;J3868),OR(M3868="PENDENTE",M3868="PARCIAL"),OR(N3868="PENDENTE",N3868="PARCIAL")),1,0))</f>
        <v/>
      </c>
      <c r="W3868" s="8">
        <f>IF(AND(V3868=1,D3868&lt;&gt;""),IF(D3868&gt;=corte,(B3868="CRÍTICO")*1E9+(100000-D3868)*10000+10000-ROW(),""),"")</f>
        <v/>
      </c>
      <c r="X3868" s="8">
        <f>IF(AND(V3868=1,D3868=pas_data,E3868=pas_turno),10000-ROW(),"")</f>
        <v/>
      </c>
    </row>
    <row r="3869">
      <c r="A3869" s="3">
        <f>IF(D3869="","","TT-"&amp;TEXT(ROW()-1,"00000"))</f>
        <v/>
      </c>
      <c r="B3869" s="3">
        <f>IF(D3869="","",IF(V3869=0,"CONCLUÍDO",IF(D3869&lt;corte,"HISTÓRICO",IF(OR(AND(ISNUMBER(R3869),R3869&lt;TODAY()),AND(OR(N3869="PENDENTE",N3869="PARCIAL"),D3869&lt;TODAY()-1)),"CRÍTICO",IF(OR(AND(P3869&lt;&gt;"",S3869=""),AND(N3869="REALIZADO",M3869="PENDENTE"),AND(ISNUMBER(R3869),R3869=TODAY())),"ATENÇÃO",IF(N(K3869)=0,"PENDENTE","EM ANDAMENTO"))))))</f>
        <v/>
      </c>
      <c r="C3869" s="3">
        <f>IF(D3869="","",IF(V3869=0,"🟢 OK",IF(D3869&lt;corte,"⚪ HISTÓRICO (sem baixa)",IF(AND(ISNUMBER(R3869),R3869&lt;TODAY()),"🔴 PRAZO VENCIDO",IF(AND(OR(N3869="PENDENTE",N3869="PARCIAL"),D3869&lt;TODAY()-1),"🔴 EMBARQUE ATRASADO",IF(AND(N3869="REALIZADO",M3869="PENDENTE"),"🟡 EMBARCADO SEM FATURAR",IF(AND(P3869&lt;&gt;"",S3869="",OR(Q3869="",R3869="")),"🟡 PENDÊNCIA SEM RESPONSÁVEL/PRAZO",IF(AND(ISNUMBER(R3869),R3869=TODAY()),"🟡 VENCE HOJE",IF(AND(P3869&lt;&gt;"",S3869=""),"🟡 PENDÊNCIA ABERTA",IF(AND(N(J3869)&gt;0,N(K3869)&lt;J3869),"🟡 FALTA EXECUTAR",IF(OR(M3869="PENDENTE",M3869="PARCIAL"),"🟡 FATURAMENTO PENDENTE","🟡 EMBARQUE PENDENTE")))))))))))</f>
        <v/>
      </c>
      <c r="D3869" s="4" t="n"/>
      <c r="E3869" s="5" t="n"/>
      <c r="F3869" s="5" t="n"/>
      <c r="G3869" s="5" t="n"/>
      <c r="H3869" s="5" t="n"/>
      <c r="I3869" s="5" t="n"/>
      <c r="J3869" s="6" t="n"/>
      <c r="K3869" s="6" t="n"/>
      <c r="L3869" s="7">
        <f>IF(OR(D3869="",N(J3869)=0),"",MIN(1,N(K3869)/J3869))</f>
        <v/>
      </c>
      <c r="M3869" s="5" t="n"/>
      <c r="N3869" s="5" t="n"/>
      <c r="O3869" s="5" t="n"/>
      <c r="P3869" s="5" t="n"/>
      <c r="Q3869" s="5" t="n"/>
      <c r="R3869" s="4" t="n"/>
      <c r="S3869" s="4" t="n"/>
      <c r="T3869" s="5" t="n"/>
      <c r="U3869" s="8">
        <f>IF(AND(V3869=1,D3869&lt;&gt;""),IF(D3869&gt;=corte,TODAY()-D3869,""),"")</f>
        <v/>
      </c>
      <c r="V3869" s="8">
        <f>IF(D3869="",0,IF(OR(AND(P3869&lt;&gt;"",S3869=""),AND(N(J3869)&gt;0,N(K3869)&lt;J3869),OR(M3869="PENDENTE",M3869="PARCIAL"),OR(N3869="PENDENTE",N3869="PARCIAL")),1,0))</f>
        <v/>
      </c>
      <c r="W3869" s="8">
        <f>IF(AND(V3869=1,D3869&lt;&gt;""),IF(D3869&gt;=corte,(B3869="CRÍTICO")*1E9+(100000-D3869)*10000+10000-ROW(),""),"")</f>
        <v/>
      </c>
      <c r="X3869" s="8">
        <f>IF(AND(V3869=1,D3869=pas_data,E3869=pas_turno),10000-ROW(),"")</f>
        <v/>
      </c>
    </row>
    <row r="3870">
      <c r="A3870" s="3">
        <f>IF(D3870="","","TT-"&amp;TEXT(ROW()-1,"00000"))</f>
        <v/>
      </c>
      <c r="B3870" s="3">
        <f>IF(D3870="","",IF(V3870=0,"CONCLUÍDO",IF(D3870&lt;corte,"HISTÓRICO",IF(OR(AND(ISNUMBER(R3870),R3870&lt;TODAY()),AND(OR(N3870="PENDENTE",N3870="PARCIAL"),D3870&lt;TODAY()-1)),"CRÍTICO",IF(OR(AND(P3870&lt;&gt;"",S3870=""),AND(N3870="REALIZADO",M3870="PENDENTE"),AND(ISNUMBER(R3870),R3870=TODAY())),"ATENÇÃO",IF(N(K3870)=0,"PENDENTE","EM ANDAMENTO"))))))</f>
        <v/>
      </c>
      <c r="C3870" s="3">
        <f>IF(D3870="","",IF(V3870=0,"🟢 OK",IF(D3870&lt;corte,"⚪ HISTÓRICO (sem baixa)",IF(AND(ISNUMBER(R3870),R3870&lt;TODAY()),"🔴 PRAZO VENCIDO",IF(AND(OR(N3870="PENDENTE",N3870="PARCIAL"),D3870&lt;TODAY()-1),"🔴 EMBARQUE ATRASADO",IF(AND(N3870="REALIZADO",M3870="PENDENTE"),"🟡 EMBARCADO SEM FATURAR",IF(AND(P3870&lt;&gt;"",S3870="",OR(Q3870="",R3870="")),"🟡 PENDÊNCIA SEM RESPONSÁVEL/PRAZO",IF(AND(ISNUMBER(R3870),R3870=TODAY()),"🟡 VENCE HOJE",IF(AND(P3870&lt;&gt;"",S3870=""),"🟡 PENDÊNCIA ABERTA",IF(AND(N(J3870)&gt;0,N(K3870)&lt;J3870),"🟡 FALTA EXECUTAR",IF(OR(M3870="PENDENTE",M3870="PARCIAL"),"🟡 FATURAMENTO PENDENTE","🟡 EMBARQUE PENDENTE")))))))))))</f>
        <v/>
      </c>
      <c r="D3870" s="4" t="n"/>
      <c r="E3870" s="5" t="n"/>
      <c r="F3870" s="5" t="n"/>
      <c r="G3870" s="5" t="n"/>
      <c r="H3870" s="5" t="n"/>
      <c r="I3870" s="5" t="n"/>
      <c r="J3870" s="6" t="n"/>
      <c r="K3870" s="6" t="n"/>
      <c r="L3870" s="7">
        <f>IF(OR(D3870="",N(J3870)=0),"",MIN(1,N(K3870)/J3870))</f>
        <v/>
      </c>
      <c r="M3870" s="5" t="n"/>
      <c r="N3870" s="5" t="n"/>
      <c r="O3870" s="5" t="n"/>
      <c r="P3870" s="5" t="n"/>
      <c r="Q3870" s="5" t="n"/>
      <c r="R3870" s="4" t="n"/>
      <c r="S3870" s="4" t="n"/>
      <c r="T3870" s="5" t="n"/>
      <c r="U3870" s="8">
        <f>IF(AND(V3870=1,D3870&lt;&gt;""),IF(D3870&gt;=corte,TODAY()-D3870,""),"")</f>
        <v/>
      </c>
      <c r="V3870" s="8">
        <f>IF(D3870="",0,IF(OR(AND(P3870&lt;&gt;"",S3870=""),AND(N(J3870)&gt;0,N(K3870)&lt;J3870),OR(M3870="PENDENTE",M3870="PARCIAL"),OR(N3870="PENDENTE",N3870="PARCIAL")),1,0))</f>
        <v/>
      </c>
      <c r="W3870" s="8">
        <f>IF(AND(V3870=1,D3870&lt;&gt;""),IF(D3870&gt;=corte,(B3870="CRÍTICO")*1E9+(100000-D3870)*10000+10000-ROW(),""),"")</f>
        <v/>
      </c>
      <c r="X3870" s="8">
        <f>IF(AND(V3870=1,D3870=pas_data,E3870=pas_turno),10000-ROW(),"")</f>
        <v/>
      </c>
    </row>
    <row r="3871">
      <c r="A3871" s="3">
        <f>IF(D3871="","","TT-"&amp;TEXT(ROW()-1,"00000"))</f>
        <v/>
      </c>
      <c r="B3871" s="3">
        <f>IF(D3871="","",IF(V3871=0,"CONCLUÍDO",IF(D3871&lt;corte,"HISTÓRICO",IF(OR(AND(ISNUMBER(R3871),R3871&lt;TODAY()),AND(OR(N3871="PENDENTE",N3871="PARCIAL"),D3871&lt;TODAY()-1)),"CRÍTICO",IF(OR(AND(P3871&lt;&gt;"",S3871=""),AND(N3871="REALIZADO",M3871="PENDENTE"),AND(ISNUMBER(R3871),R3871=TODAY())),"ATENÇÃO",IF(N(K3871)=0,"PENDENTE","EM ANDAMENTO"))))))</f>
        <v/>
      </c>
      <c r="C3871" s="3">
        <f>IF(D3871="","",IF(V3871=0,"🟢 OK",IF(D3871&lt;corte,"⚪ HISTÓRICO (sem baixa)",IF(AND(ISNUMBER(R3871),R3871&lt;TODAY()),"🔴 PRAZO VENCIDO",IF(AND(OR(N3871="PENDENTE",N3871="PARCIAL"),D3871&lt;TODAY()-1),"🔴 EMBARQUE ATRASADO",IF(AND(N3871="REALIZADO",M3871="PENDENTE"),"🟡 EMBARCADO SEM FATURAR",IF(AND(P3871&lt;&gt;"",S3871="",OR(Q3871="",R3871="")),"🟡 PENDÊNCIA SEM RESPONSÁVEL/PRAZO",IF(AND(ISNUMBER(R3871),R3871=TODAY()),"🟡 VENCE HOJE",IF(AND(P3871&lt;&gt;"",S3871=""),"🟡 PENDÊNCIA ABERTA",IF(AND(N(J3871)&gt;0,N(K3871)&lt;J3871),"🟡 FALTA EXECUTAR",IF(OR(M3871="PENDENTE",M3871="PARCIAL"),"🟡 FATURAMENTO PENDENTE","🟡 EMBARQUE PENDENTE")))))))))))</f>
        <v/>
      </c>
      <c r="D3871" s="4" t="n"/>
      <c r="E3871" s="5" t="n"/>
      <c r="F3871" s="5" t="n"/>
      <c r="G3871" s="5" t="n"/>
      <c r="H3871" s="5" t="n"/>
      <c r="I3871" s="5" t="n"/>
      <c r="J3871" s="6" t="n"/>
      <c r="K3871" s="6" t="n"/>
      <c r="L3871" s="7">
        <f>IF(OR(D3871="",N(J3871)=0),"",MIN(1,N(K3871)/J3871))</f>
        <v/>
      </c>
      <c r="M3871" s="5" t="n"/>
      <c r="N3871" s="5" t="n"/>
      <c r="O3871" s="5" t="n"/>
      <c r="P3871" s="5" t="n"/>
      <c r="Q3871" s="5" t="n"/>
      <c r="R3871" s="4" t="n"/>
      <c r="S3871" s="4" t="n"/>
      <c r="T3871" s="5" t="n"/>
      <c r="U3871" s="8">
        <f>IF(AND(V3871=1,D3871&lt;&gt;""),IF(D3871&gt;=corte,TODAY()-D3871,""),"")</f>
        <v/>
      </c>
      <c r="V3871" s="8">
        <f>IF(D3871="",0,IF(OR(AND(P3871&lt;&gt;"",S3871=""),AND(N(J3871)&gt;0,N(K3871)&lt;J3871),OR(M3871="PENDENTE",M3871="PARCIAL"),OR(N3871="PENDENTE",N3871="PARCIAL")),1,0))</f>
        <v/>
      </c>
      <c r="W3871" s="8">
        <f>IF(AND(V3871=1,D3871&lt;&gt;""),IF(D3871&gt;=corte,(B3871="CRÍTICO")*1E9+(100000-D3871)*10000+10000-ROW(),""),"")</f>
        <v/>
      </c>
      <c r="X3871" s="8">
        <f>IF(AND(V3871=1,D3871=pas_data,E3871=pas_turno),10000-ROW(),"")</f>
        <v/>
      </c>
    </row>
    <row r="3872">
      <c r="A3872" s="3">
        <f>IF(D3872="","","TT-"&amp;TEXT(ROW()-1,"00000"))</f>
        <v/>
      </c>
      <c r="B3872" s="3">
        <f>IF(D3872="","",IF(V3872=0,"CONCLUÍDO",IF(D3872&lt;corte,"HISTÓRICO",IF(OR(AND(ISNUMBER(R3872),R3872&lt;TODAY()),AND(OR(N3872="PENDENTE",N3872="PARCIAL"),D3872&lt;TODAY()-1)),"CRÍTICO",IF(OR(AND(P3872&lt;&gt;"",S3872=""),AND(N3872="REALIZADO",M3872="PENDENTE"),AND(ISNUMBER(R3872),R3872=TODAY())),"ATENÇÃO",IF(N(K3872)=0,"PENDENTE","EM ANDAMENTO"))))))</f>
        <v/>
      </c>
      <c r="C3872" s="3">
        <f>IF(D3872="","",IF(V3872=0,"🟢 OK",IF(D3872&lt;corte,"⚪ HISTÓRICO (sem baixa)",IF(AND(ISNUMBER(R3872),R3872&lt;TODAY()),"🔴 PRAZO VENCIDO",IF(AND(OR(N3872="PENDENTE",N3872="PARCIAL"),D3872&lt;TODAY()-1),"🔴 EMBARQUE ATRASADO",IF(AND(N3872="REALIZADO",M3872="PENDENTE"),"🟡 EMBARCADO SEM FATURAR",IF(AND(P3872&lt;&gt;"",S3872="",OR(Q3872="",R3872="")),"🟡 PENDÊNCIA SEM RESPONSÁVEL/PRAZO",IF(AND(ISNUMBER(R3872),R3872=TODAY()),"🟡 VENCE HOJE",IF(AND(P3872&lt;&gt;"",S3872=""),"🟡 PENDÊNCIA ABERTA",IF(AND(N(J3872)&gt;0,N(K3872)&lt;J3872),"🟡 FALTA EXECUTAR",IF(OR(M3872="PENDENTE",M3872="PARCIAL"),"🟡 FATURAMENTO PENDENTE","🟡 EMBARQUE PENDENTE")))))))))))</f>
        <v/>
      </c>
      <c r="D3872" s="4" t="n"/>
      <c r="E3872" s="5" t="n"/>
      <c r="F3872" s="5" t="n"/>
      <c r="G3872" s="5" t="n"/>
      <c r="H3872" s="5" t="n"/>
      <c r="I3872" s="5" t="n"/>
      <c r="J3872" s="6" t="n"/>
      <c r="K3872" s="6" t="n"/>
      <c r="L3872" s="7">
        <f>IF(OR(D3872="",N(J3872)=0),"",MIN(1,N(K3872)/J3872))</f>
        <v/>
      </c>
      <c r="M3872" s="5" t="n"/>
      <c r="N3872" s="5" t="n"/>
      <c r="O3872" s="5" t="n"/>
      <c r="P3872" s="5" t="n"/>
      <c r="Q3872" s="5" t="n"/>
      <c r="R3872" s="4" t="n"/>
      <c r="S3872" s="4" t="n"/>
      <c r="T3872" s="5" t="n"/>
      <c r="U3872" s="8">
        <f>IF(AND(V3872=1,D3872&lt;&gt;""),IF(D3872&gt;=corte,TODAY()-D3872,""),"")</f>
        <v/>
      </c>
      <c r="V3872" s="8">
        <f>IF(D3872="",0,IF(OR(AND(P3872&lt;&gt;"",S3872=""),AND(N(J3872)&gt;0,N(K3872)&lt;J3872),OR(M3872="PENDENTE",M3872="PARCIAL"),OR(N3872="PENDENTE",N3872="PARCIAL")),1,0))</f>
        <v/>
      </c>
      <c r="W3872" s="8">
        <f>IF(AND(V3872=1,D3872&lt;&gt;""),IF(D3872&gt;=corte,(B3872="CRÍTICO")*1E9+(100000-D3872)*10000+10000-ROW(),""),"")</f>
        <v/>
      </c>
      <c r="X3872" s="8">
        <f>IF(AND(V3872=1,D3872=pas_data,E3872=pas_turno),10000-ROW(),"")</f>
        <v/>
      </c>
    </row>
    <row r="3873">
      <c r="A3873" s="3">
        <f>IF(D3873="","","TT-"&amp;TEXT(ROW()-1,"00000"))</f>
        <v/>
      </c>
      <c r="B3873" s="3">
        <f>IF(D3873="","",IF(V3873=0,"CONCLUÍDO",IF(D3873&lt;corte,"HISTÓRICO",IF(OR(AND(ISNUMBER(R3873),R3873&lt;TODAY()),AND(OR(N3873="PENDENTE",N3873="PARCIAL"),D3873&lt;TODAY()-1)),"CRÍTICO",IF(OR(AND(P3873&lt;&gt;"",S3873=""),AND(N3873="REALIZADO",M3873="PENDENTE"),AND(ISNUMBER(R3873),R3873=TODAY())),"ATENÇÃO",IF(N(K3873)=0,"PENDENTE","EM ANDAMENTO"))))))</f>
        <v/>
      </c>
      <c r="C3873" s="3">
        <f>IF(D3873="","",IF(V3873=0,"🟢 OK",IF(D3873&lt;corte,"⚪ HISTÓRICO (sem baixa)",IF(AND(ISNUMBER(R3873),R3873&lt;TODAY()),"🔴 PRAZO VENCIDO",IF(AND(OR(N3873="PENDENTE",N3873="PARCIAL"),D3873&lt;TODAY()-1),"🔴 EMBARQUE ATRASADO",IF(AND(N3873="REALIZADO",M3873="PENDENTE"),"🟡 EMBARCADO SEM FATURAR",IF(AND(P3873&lt;&gt;"",S3873="",OR(Q3873="",R3873="")),"🟡 PENDÊNCIA SEM RESPONSÁVEL/PRAZO",IF(AND(ISNUMBER(R3873),R3873=TODAY()),"🟡 VENCE HOJE",IF(AND(P3873&lt;&gt;"",S3873=""),"🟡 PENDÊNCIA ABERTA",IF(AND(N(J3873)&gt;0,N(K3873)&lt;J3873),"🟡 FALTA EXECUTAR",IF(OR(M3873="PENDENTE",M3873="PARCIAL"),"🟡 FATURAMENTO PENDENTE","🟡 EMBARQUE PENDENTE")))))))))))</f>
        <v/>
      </c>
      <c r="D3873" s="4" t="n"/>
      <c r="E3873" s="5" t="n"/>
      <c r="F3873" s="5" t="n"/>
      <c r="G3873" s="5" t="n"/>
      <c r="H3873" s="5" t="n"/>
      <c r="I3873" s="5" t="n"/>
      <c r="J3873" s="6" t="n"/>
      <c r="K3873" s="6" t="n"/>
      <c r="L3873" s="7">
        <f>IF(OR(D3873="",N(J3873)=0),"",MIN(1,N(K3873)/J3873))</f>
        <v/>
      </c>
      <c r="M3873" s="5" t="n"/>
      <c r="N3873" s="5" t="n"/>
      <c r="O3873" s="5" t="n"/>
      <c r="P3873" s="5" t="n"/>
      <c r="Q3873" s="5" t="n"/>
      <c r="R3873" s="4" t="n"/>
      <c r="S3873" s="4" t="n"/>
      <c r="T3873" s="5" t="n"/>
      <c r="U3873" s="8">
        <f>IF(AND(V3873=1,D3873&lt;&gt;""),IF(D3873&gt;=corte,TODAY()-D3873,""),"")</f>
        <v/>
      </c>
      <c r="V3873" s="8">
        <f>IF(D3873="",0,IF(OR(AND(P3873&lt;&gt;"",S3873=""),AND(N(J3873)&gt;0,N(K3873)&lt;J3873),OR(M3873="PENDENTE",M3873="PARCIAL"),OR(N3873="PENDENTE",N3873="PARCIAL")),1,0))</f>
        <v/>
      </c>
      <c r="W3873" s="8">
        <f>IF(AND(V3873=1,D3873&lt;&gt;""),IF(D3873&gt;=corte,(B3873="CRÍTICO")*1E9+(100000-D3873)*10000+10000-ROW(),""),"")</f>
        <v/>
      </c>
      <c r="X3873" s="8">
        <f>IF(AND(V3873=1,D3873=pas_data,E3873=pas_turno),10000-ROW(),"")</f>
        <v/>
      </c>
    </row>
    <row r="3874">
      <c r="A3874" s="3">
        <f>IF(D3874="","","TT-"&amp;TEXT(ROW()-1,"00000"))</f>
        <v/>
      </c>
      <c r="B3874" s="3">
        <f>IF(D3874="","",IF(V3874=0,"CONCLUÍDO",IF(D3874&lt;corte,"HISTÓRICO",IF(OR(AND(ISNUMBER(R3874),R3874&lt;TODAY()),AND(OR(N3874="PENDENTE",N3874="PARCIAL"),D3874&lt;TODAY()-1)),"CRÍTICO",IF(OR(AND(P3874&lt;&gt;"",S3874=""),AND(N3874="REALIZADO",M3874="PENDENTE"),AND(ISNUMBER(R3874),R3874=TODAY())),"ATENÇÃO",IF(N(K3874)=0,"PENDENTE","EM ANDAMENTO"))))))</f>
        <v/>
      </c>
      <c r="C3874" s="3">
        <f>IF(D3874="","",IF(V3874=0,"🟢 OK",IF(D3874&lt;corte,"⚪ HISTÓRICO (sem baixa)",IF(AND(ISNUMBER(R3874),R3874&lt;TODAY()),"🔴 PRAZO VENCIDO",IF(AND(OR(N3874="PENDENTE",N3874="PARCIAL"),D3874&lt;TODAY()-1),"🔴 EMBARQUE ATRASADO",IF(AND(N3874="REALIZADO",M3874="PENDENTE"),"🟡 EMBARCADO SEM FATURAR",IF(AND(P3874&lt;&gt;"",S3874="",OR(Q3874="",R3874="")),"🟡 PENDÊNCIA SEM RESPONSÁVEL/PRAZO",IF(AND(ISNUMBER(R3874),R3874=TODAY()),"🟡 VENCE HOJE",IF(AND(P3874&lt;&gt;"",S3874=""),"🟡 PENDÊNCIA ABERTA",IF(AND(N(J3874)&gt;0,N(K3874)&lt;J3874),"🟡 FALTA EXECUTAR",IF(OR(M3874="PENDENTE",M3874="PARCIAL"),"🟡 FATURAMENTO PENDENTE","🟡 EMBARQUE PENDENTE")))))))))))</f>
        <v/>
      </c>
      <c r="D3874" s="4" t="n"/>
      <c r="E3874" s="5" t="n"/>
      <c r="F3874" s="5" t="n"/>
      <c r="G3874" s="5" t="n"/>
      <c r="H3874" s="5" t="n"/>
      <c r="I3874" s="5" t="n"/>
      <c r="J3874" s="6" t="n"/>
      <c r="K3874" s="6" t="n"/>
      <c r="L3874" s="7">
        <f>IF(OR(D3874="",N(J3874)=0),"",MIN(1,N(K3874)/J3874))</f>
        <v/>
      </c>
      <c r="M3874" s="5" t="n"/>
      <c r="N3874" s="5" t="n"/>
      <c r="O3874" s="5" t="n"/>
      <c r="P3874" s="5" t="n"/>
      <c r="Q3874" s="5" t="n"/>
      <c r="R3874" s="4" t="n"/>
      <c r="S3874" s="4" t="n"/>
      <c r="T3874" s="5" t="n"/>
      <c r="U3874" s="8">
        <f>IF(AND(V3874=1,D3874&lt;&gt;""),IF(D3874&gt;=corte,TODAY()-D3874,""),"")</f>
        <v/>
      </c>
      <c r="V3874" s="8">
        <f>IF(D3874="",0,IF(OR(AND(P3874&lt;&gt;"",S3874=""),AND(N(J3874)&gt;0,N(K3874)&lt;J3874),OR(M3874="PENDENTE",M3874="PARCIAL"),OR(N3874="PENDENTE",N3874="PARCIAL")),1,0))</f>
        <v/>
      </c>
      <c r="W3874" s="8">
        <f>IF(AND(V3874=1,D3874&lt;&gt;""),IF(D3874&gt;=corte,(B3874="CRÍTICO")*1E9+(100000-D3874)*10000+10000-ROW(),""),"")</f>
        <v/>
      </c>
      <c r="X3874" s="8">
        <f>IF(AND(V3874=1,D3874=pas_data,E3874=pas_turno),10000-ROW(),"")</f>
        <v/>
      </c>
    </row>
    <row r="3875">
      <c r="A3875" s="3">
        <f>IF(D3875="","","TT-"&amp;TEXT(ROW()-1,"00000"))</f>
        <v/>
      </c>
      <c r="B3875" s="3">
        <f>IF(D3875="","",IF(V3875=0,"CONCLUÍDO",IF(D3875&lt;corte,"HISTÓRICO",IF(OR(AND(ISNUMBER(R3875),R3875&lt;TODAY()),AND(OR(N3875="PENDENTE",N3875="PARCIAL"),D3875&lt;TODAY()-1)),"CRÍTICO",IF(OR(AND(P3875&lt;&gt;"",S3875=""),AND(N3875="REALIZADO",M3875="PENDENTE"),AND(ISNUMBER(R3875),R3875=TODAY())),"ATENÇÃO",IF(N(K3875)=0,"PENDENTE","EM ANDAMENTO"))))))</f>
        <v/>
      </c>
      <c r="C3875" s="3">
        <f>IF(D3875="","",IF(V3875=0,"🟢 OK",IF(D3875&lt;corte,"⚪ HISTÓRICO (sem baixa)",IF(AND(ISNUMBER(R3875),R3875&lt;TODAY()),"🔴 PRAZO VENCIDO",IF(AND(OR(N3875="PENDENTE",N3875="PARCIAL"),D3875&lt;TODAY()-1),"🔴 EMBARQUE ATRASADO",IF(AND(N3875="REALIZADO",M3875="PENDENTE"),"🟡 EMBARCADO SEM FATURAR",IF(AND(P3875&lt;&gt;"",S3875="",OR(Q3875="",R3875="")),"🟡 PENDÊNCIA SEM RESPONSÁVEL/PRAZO",IF(AND(ISNUMBER(R3875),R3875=TODAY()),"🟡 VENCE HOJE",IF(AND(P3875&lt;&gt;"",S3875=""),"🟡 PENDÊNCIA ABERTA",IF(AND(N(J3875)&gt;0,N(K3875)&lt;J3875),"🟡 FALTA EXECUTAR",IF(OR(M3875="PENDENTE",M3875="PARCIAL"),"🟡 FATURAMENTO PENDENTE","🟡 EMBARQUE PENDENTE")))))))))))</f>
        <v/>
      </c>
      <c r="D3875" s="4" t="n"/>
      <c r="E3875" s="5" t="n"/>
      <c r="F3875" s="5" t="n"/>
      <c r="G3875" s="5" t="n"/>
      <c r="H3875" s="5" t="n"/>
      <c r="I3875" s="5" t="n"/>
      <c r="J3875" s="6" t="n"/>
      <c r="K3875" s="6" t="n"/>
      <c r="L3875" s="7">
        <f>IF(OR(D3875="",N(J3875)=0),"",MIN(1,N(K3875)/J3875))</f>
        <v/>
      </c>
      <c r="M3875" s="5" t="n"/>
      <c r="N3875" s="5" t="n"/>
      <c r="O3875" s="5" t="n"/>
      <c r="P3875" s="5" t="n"/>
      <c r="Q3875" s="5" t="n"/>
      <c r="R3875" s="4" t="n"/>
      <c r="S3875" s="4" t="n"/>
      <c r="T3875" s="5" t="n"/>
      <c r="U3875" s="8">
        <f>IF(AND(V3875=1,D3875&lt;&gt;""),IF(D3875&gt;=corte,TODAY()-D3875,""),"")</f>
        <v/>
      </c>
      <c r="V3875" s="8">
        <f>IF(D3875="",0,IF(OR(AND(P3875&lt;&gt;"",S3875=""),AND(N(J3875)&gt;0,N(K3875)&lt;J3875),OR(M3875="PENDENTE",M3875="PARCIAL"),OR(N3875="PENDENTE",N3875="PARCIAL")),1,0))</f>
        <v/>
      </c>
      <c r="W3875" s="8">
        <f>IF(AND(V3875=1,D3875&lt;&gt;""),IF(D3875&gt;=corte,(B3875="CRÍTICO")*1E9+(100000-D3875)*10000+10000-ROW(),""),"")</f>
        <v/>
      </c>
      <c r="X3875" s="8">
        <f>IF(AND(V3875=1,D3875=pas_data,E3875=pas_turno),10000-ROW(),"")</f>
        <v/>
      </c>
    </row>
    <row r="3876">
      <c r="A3876" s="3">
        <f>IF(D3876="","","TT-"&amp;TEXT(ROW()-1,"00000"))</f>
        <v/>
      </c>
      <c r="B3876" s="3">
        <f>IF(D3876="","",IF(V3876=0,"CONCLUÍDO",IF(D3876&lt;corte,"HISTÓRICO",IF(OR(AND(ISNUMBER(R3876),R3876&lt;TODAY()),AND(OR(N3876="PENDENTE",N3876="PARCIAL"),D3876&lt;TODAY()-1)),"CRÍTICO",IF(OR(AND(P3876&lt;&gt;"",S3876=""),AND(N3876="REALIZADO",M3876="PENDENTE"),AND(ISNUMBER(R3876),R3876=TODAY())),"ATENÇÃO",IF(N(K3876)=0,"PENDENTE","EM ANDAMENTO"))))))</f>
        <v/>
      </c>
      <c r="C3876" s="3">
        <f>IF(D3876="","",IF(V3876=0,"🟢 OK",IF(D3876&lt;corte,"⚪ HISTÓRICO (sem baixa)",IF(AND(ISNUMBER(R3876),R3876&lt;TODAY()),"🔴 PRAZO VENCIDO",IF(AND(OR(N3876="PENDENTE",N3876="PARCIAL"),D3876&lt;TODAY()-1),"🔴 EMBARQUE ATRASADO",IF(AND(N3876="REALIZADO",M3876="PENDENTE"),"🟡 EMBARCADO SEM FATURAR",IF(AND(P3876&lt;&gt;"",S3876="",OR(Q3876="",R3876="")),"🟡 PENDÊNCIA SEM RESPONSÁVEL/PRAZO",IF(AND(ISNUMBER(R3876),R3876=TODAY()),"🟡 VENCE HOJE",IF(AND(P3876&lt;&gt;"",S3876=""),"🟡 PENDÊNCIA ABERTA",IF(AND(N(J3876)&gt;0,N(K3876)&lt;J3876),"🟡 FALTA EXECUTAR",IF(OR(M3876="PENDENTE",M3876="PARCIAL"),"🟡 FATURAMENTO PENDENTE","🟡 EMBARQUE PENDENTE")))))))))))</f>
        <v/>
      </c>
      <c r="D3876" s="4" t="n"/>
      <c r="E3876" s="5" t="n"/>
      <c r="F3876" s="5" t="n"/>
      <c r="G3876" s="5" t="n"/>
      <c r="H3876" s="5" t="n"/>
      <c r="I3876" s="5" t="n"/>
      <c r="J3876" s="6" t="n"/>
      <c r="K3876" s="6" t="n"/>
      <c r="L3876" s="7">
        <f>IF(OR(D3876="",N(J3876)=0),"",MIN(1,N(K3876)/J3876))</f>
        <v/>
      </c>
      <c r="M3876" s="5" t="n"/>
      <c r="N3876" s="5" t="n"/>
      <c r="O3876" s="5" t="n"/>
      <c r="P3876" s="5" t="n"/>
      <c r="Q3876" s="5" t="n"/>
      <c r="R3876" s="4" t="n"/>
      <c r="S3876" s="4" t="n"/>
      <c r="T3876" s="5" t="n"/>
      <c r="U3876" s="8">
        <f>IF(AND(V3876=1,D3876&lt;&gt;""),IF(D3876&gt;=corte,TODAY()-D3876,""),"")</f>
        <v/>
      </c>
      <c r="V3876" s="8">
        <f>IF(D3876="",0,IF(OR(AND(P3876&lt;&gt;"",S3876=""),AND(N(J3876)&gt;0,N(K3876)&lt;J3876),OR(M3876="PENDENTE",M3876="PARCIAL"),OR(N3876="PENDENTE",N3876="PARCIAL")),1,0))</f>
        <v/>
      </c>
      <c r="W3876" s="8">
        <f>IF(AND(V3876=1,D3876&lt;&gt;""),IF(D3876&gt;=corte,(B3876="CRÍTICO")*1E9+(100000-D3876)*10000+10000-ROW(),""),"")</f>
        <v/>
      </c>
      <c r="X3876" s="8">
        <f>IF(AND(V3876=1,D3876=pas_data,E3876=pas_turno),10000-ROW(),"")</f>
        <v/>
      </c>
    </row>
    <row r="3877">
      <c r="A3877" s="3">
        <f>IF(D3877="","","TT-"&amp;TEXT(ROW()-1,"00000"))</f>
        <v/>
      </c>
      <c r="B3877" s="3">
        <f>IF(D3877="","",IF(V3877=0,"CONCLUÍDO",IF(D3877&lt;corte,"HISTÓRICO",IF(OR(AND(ISNUMBER(R3877),R3877&lt;TODAY()),AND(OR(N3877="PENDENTE",N3877="PARCIAL"),D3877&lt;TODAY()-1)),"CRÍTICO",IF(OR(AND(P3877&lt;&gt;"",S3877=""),AND(N3877="REALIZADO",M3877="PENDENTE"),AND(ISNUMBER(R3877),R3877=TODAY())),"ATENÇÃO",IF(N(K3877)=0,"PENDENTE","EM ANDAMENTO"))))))</f>
        <v/>
      </c>
      <c r="C3877" s="3">
        <f>IF(D3877="","",IF(V3877=0,"🟢 OK",IF(D3877&lt;corte,"⚪ HISTÓRICO (sem baixa)",IF(AND(ISNUMBER(R3877),R3877&lt;TODAY()),"🔴 PRAZO VENCIDO",IF(AND(OR(N3877="PENDENTE",N3877="PARCIAL"),D3877&lt;TODAY()-1),"🔴 EMBARQUE ATRASADO",IF(AND(N3877="REALIZADO",M3877="PENDENTE"),"🟡 EMBARCADO SEM FATURAR",IF(AND(P3877&lt;&gt;"",S3877="",OR(Q3877="",R3877="")),"🟡 PENDÊNCIA SEM RESPONSÁVEL/PRAZO",IF(AND(ISNUMBER(R3877),R3877=TODAY()),"🟡 VENCE HOJE",IF(AND(P3877&lt;&gt;"",S3877=""),"🟡 PENDÊNCIA ABERTA",IF(AND(N(J3877)&gt;0,N(K3877)&lt;J3877),"🟡 FALTA EXECUTAR",IF(OR(M3877="PENDENTE",M3877="PARCIAL"),"🟡 FATURAMENTO PENDENTE","🟡 EMBARQUE PENDENTE")))))))))))</f>
        <v/>
      </c>
      <c r="D3877" s="4" t="n"/>
      <c r="E3877" s="5" t="n"/>
      <c r="F3877" s="5" t="n"/>
      <c r="G3877" s="5" t="n"/>
      <c r="H3877" s="5" t="n"/>
      <c r="I3877" s="5" t="n"/>
      <c r="J3877" s="6" t="n"/>
      <c r="K3877" s="6" t="n"/>
      <c r="L3877" s="7">
        <f>IF(OR(D3877="",N(J3877)=0),"",MIN(1,N(K3877)/J3877))</f>
        <v/>
      </c>
      <c r="M3877" s="5" t="n"/>
      <c r="N3877" s="5" t="n"/>
      <c r="O3877" s="5" t="n"/>
      <c r="P3877" s="5" t="n"/>
      <c r="Q3877" s="5" t="n"/>
      <c r="R3877" s="4" t="n"/>
      <c r="S3877" s="4" t="n"/>
      <c r="T3877" s="5" t="n"/>
      <c r="U3877" s="8">
        <f>IF(AND(V3877=1,D3877&lt;&gt;""),IF(D3877&gt;=corte,TODAY()-D3877,""),"")</f>
        <v/>
      </c>
      <c r="V3877" s="8">
        <f>IF(D3877="",0,IF(OR(AND(P3877&lt;&gt;"",S3877=""),AND(N(J3877)&gt;0,N(K3877)&lt;J3877),OR(M3877="PENDENTE",M3877="PARCIAL"),OR(N3877="PENDENTE",N3877="PARCIAL")),1,0))</f>
        <v/>
      </c>
      <c r="W3877" s="8">
        <f>IF(AND(V3877=1,D3877&lt;&gt;""),IF(D3877&gt;=corte,(B3877="CRÍTICO")*1E9+(100000-D3877)*10000+10000-ROW(),""),"")</f>
        <v/>
      </c>
      <c r="X3877" s="8">
        <f>IF(AND(V3877=1,D3877=pas_data,E3877=pas_turno),10000-ROW(),"")</f>
        <v/>
      </c>
    </row>
    <row r="3878">
      <c r="A3878" s="3">
        <f>IF(D3878="","","TT-"&amp;TEXT(ROW()-1,"00000"))</f>
        <v/>
      </c>
      <c r="B3878" s="3">
        <f>IF(D3878="","",IF(V3878=0,"CONCLUÍDO",IF(D3878&lt;corte,"HISTÓRICO",IF(OR(AND(ISNUMBER(R3878),R3878&lt;TODAY()),AND(OR(N3878="PENDENTE",N3878="PARCIAL"),D3878&lt;TODAY()-1)),"CRÍTICO",IF(OR(AND(P3878&lt;&gt;"",S3878=""),AND(N3878="REALIZADO",M3878="PENDENTE"),AND(ISNUMBER(R3878),R3878=TODAY())),"ATENÇÃO",IF(N(K3878)=0,"PENDENTE","EM ANDAMENTO"))))))</f>
        <v/>
      </c>
      <c r="C3878" s="3">
        <f>IF(D3878="","",IF(V3878=0,"🟢 OK",IF(D3878&lt;corte,"⚪ HISTÓRICO (sem baixa)",IF(AND(ISNUMBER(R3878),R3878&lt;TODAY()),"🔴 PRAZO VENCIDO",IF(AND(OR(N3878="PENDENTE",N3878="PARCIAL"),D3878&lt;TODAY()-1),"🔴 EMBARQUE ATRASADO",IF(AND(N3878="REALIZADO",M3878="PENDENTE"),"🟡 EMBARCADO SEM FATURAR",IF(AND(P3878&lt;&gt;"",S3878="",OR(Q3878="",R3878="")),"🟡 PENDÊNCIA SEM RESPONSÁVEL/PRAZO",IF(AND(ISNUMBER(R3878),R3878=TODAY()),"🟡 VENCE HOJE",IF(AND(P3878&lt;&gt;"",S3878=""),"🟡 PENDÊNCIA ABERTA",IF(AND(N(J3878)&gt;0,N(K3878)&lt;J3878),"🟡 FALTA EXECUTAR",IF(OR(M3878="PENDENTE",M3878="PARCIAL"),"🟡 FATURAMENTO PENDENTE","🟡 EMBARQUE PENDENTE")))))))))))</f>
        <v/>
      </c>
      <c r="D3878" s="4" t="n"/>
      <c r="E3878" s="5" t="n"/>
      <c r="F3878" s="5" t="n"/>
      <c r="G3878" s="5" t="n"/>
      <c r="H3878" s="5" t="n"/>
      <c r="I3878" s="5" t="n"/>
      <c r="J3878" s="6" t="n"/>
      <c r="K3878" s="6" t="n"/>
      <c r="L3878" s="7">
        <f>IF(OR(D3878="",N(J3878)=0),"",MIN(1,N(K3878)/J3878))</f>
        <v/>
      </c>
      <c r="M3878" s="5" t="n"/>
      <c r="N3878" s="5" t="n"/>
      <c r="O3878" s="5" t="n"/>
      <c r="P3878" s="5" t="n"/>
      <c r="Q3878" s="5" t="n"/>
      <c r="R3878" s="4" t="n"/>
      <c r="S3878" s="4" t="n"/>
      <c r="T3878" s="5" t="n"/>
      <c r="U3878" s="8">
        <f>IF(AND(V3878=1,D3878&lt;&gt;""),IF(D3878&gt;=corte,TODAY()-D3878,""),"")</f>
        <v/>
      </c>
      <c r="V3878" s="8">
        <f>IF(D3878="",0,IF(OR(AND(P3878&lt;&gt;"",S3878=""),AND(N(J3878)&gt;0,N(K3878)&lt;J3878),OR(M3878="PENDENTE",M3878="PARCIAL"),OR(N3878="PENDENTE",N3878="PARCIAL")),1,0))</f>
        <v/>
      </c>
      <c r="W3878" s="8">
        <f>IF(AND(V3878=1,D3878&lt;&gt;""),IF(D3878&gt;=corte,(B3878="CRÍTICO")*1E9+(100000-D3878)*10000+10000-ROW(),""),"")</f>
        <v/>
      </c>
      <c r="X3878" s="8">
        <f>IF(AND(V3878=1,D3878=pas_data,E3878=pas_turno),10000-ROW(),"")</f>
        <v/>
      </c>
    </row>
    <row r="3879">
      <c r="A3879" s="3">
        <f>IF(D3879="","","TT-"&amp;TEXT(ROW()-1,"00000"))</f>
        <v/>
      </c>
      <c r="B3879" s="3">
        <f>IF(D3879="","",IF(V3879=0,"CONCLUÍDO",IF(D3879&lt;corte,"HISTÓRICO",IF(OR(AND(ISNUMBER(R3879),R3879&lt;TODAY()),AND(OR(N3879="PENDENTE",N3879="PARCIAL"),D3879&lt;TODAY()-1)),"CRÍTICO",IF(OR(AND(P3879&lt;&gt;"",S3879=""),AND(N3879="REALIZADO",M3879="PENDENTE"),AND(ISNUMBER(R3879),R3879=TODAY())),"ATENÇÃO",IF(N(K3879)=0,"PENDENTE","EM ANDAMENTO"))))))</f>
        <v/>
      </c>
      <c r="C3879" s="3">
        <f>IF(D3879="","",IF(V3879=0,"🟢 OK",IF(D3879&lt;corte,"⚪ HISTÓRICO (sem baixa)",IF(AND(ISNUMBER(R3879),R3879&lt;TODAY()),"🔴 PRAZO VENCIDO",IF(AND(OR(N3879="PENDENTE",N3879="PARCIAL"),D3879&lt;TODAY()-1),"🔴 EMBARQUE ATRASADO",IF(AND(N3879="REALIZADO",M3879="PENDENTE"),"🟡 EMBARCADO SEM FATURAR",IF(AND(P3879&lt;&gt;"",S3879="",OR(Q3879="",R3879="")),"🟡 PENDÊNCIA SEM RESPONSÁVEL/PRAZO",IF(AND(ISNUMBER(R3879),R3879=TODAY()),"🟡 VENCE HOJE",IF(AND(P3879&lt;&gt;"",S3879=""),"🟡 PENDÊNCIA ABERTA",IF(AND(N(J3879)&gt;0,N(K3879)&lt;J3879),"🟡 FALTA EXECUTAR",IF(OR(M3879="PENDENTE",M3879="PARCIAL"),"🟡 FATURAMENTO PENDENTE","🟡 EMBARQUE PENDENTE")))))))))))</f>
        <v/>
      </c>
      <c r="D3879" s="4" t="n"/>
      <c r="E3879" s="5" t="n"/>
      <c r="F3879" s="5" t="n"/>
      <c r="G3879" s="5" t="n"/>
      <c r="H3879" s="5" t="n"/>
      <c r="I3879" s="5" t="n"/>
      <c r="J3879" s="6" t="n"/>
      <c r="K3879" s="6" t="n"/>
      <c r="L3879" s="7">
        <f>IF(OR(D3879="",N(J3879)=0),"",MIN(1,N(K3879)/J3879))</f>
        <v/>
      </c>
      <c r="M3879" s="5" t="n"/>
      <c r="N3879" s="5" t="n"/>
      <c r="O3879" s="5" t="n"/>
      <c r="P3879" s="5" t="n"/>
      <c r="Q3879" s="5" t="n"/>
      <c r="R3879" s="4" t="n"/>
      <c r="S3879" s="4" t="n"/>
      <c r="T3879" s="5" t="n"/>
      <c r="U3879" s="8">
        <f>IF(AND(V3879=1,D3879&lt;&gt;""),IF(D3879&gt;=corte,TODAY()-D3879,""),"")</f>
        <v/>
      </c>
      <c r="V3879" s="8">
        <f>IF(D3879="",0,IF(OR(AND(P3879&lt;&gt;"",S3879=""),AND(N(J3879)&gt;0,N(K3879)&lt;J3879),OR(M3879="PENDENTE",M3879="PARCIAL"),OR(N3879="PENDENTE",N3879="PARCIAL")),1,0))</f>
        <v/>
      </c>
      <c r="W3879" s="8">
        <f>IF(AND(V3879=1,D3879&lt;&gt;""),IF(D3879&gt;=corte,(B3879="CRÍTICO")*1E9+(100000-D3879)*10000+10000-ROW(),""),"")</f>
        <v/>
      </c>
      <c r="X3879" s="8">
        <f>IF(AND(V3879=1,D3879=pas_data,E3879=pas_turno),10000-ROW(),"")</f>
        <v/>
      </c>
    </row>
    <row r="3880">
      <c r="A3880" s="3">
        <f>IF(D3880="","","TT-"&amp;TEXT(ROW()-1,"00000"))</f>
        <v/>
      </c>
      <c r="B3880" s="3">
        <f>IF(D3880="","",IF(V3880=0,"CONCLUÍDO",IF(D3880&lt;corte,"HISTÓRICO",IF(OR(AND(ISNUMBER(R3880),R3880&lt;TODAY()),AND(OR(N3880="PENDENTE",N3880="PARCIAL"),D3880&lt;TODAY()-1)),"CRÍTICO",IF(OR(AND(P3880&lt;&gt;"",S3880=""),AND(N3880="REALIZADO",M3880="PENDENTE"),AND(ISNUMBER(R3880),R3880=TODAY())),"ATENÇÃO",IF(N(K3880)=0,"PENDENTE","EM ANDAMENTO"))))))</f>
        <v/>
      </c>
      <c r="C3880" s="3">
        <f>IF(D3880="","",IF(V3880=0,"🟢 OK",IF(D3880&lt;corte,"⚪ HISTÓRICO (sem baixa)",IF(AND(ISNUMBER(R3880),R3880&lt;TODAY()),"🔴 PRAZO VENCIDO",IF(AND(OR(N3880="PENDENTE",N3880="PARCIAL"),D3880&lt;TODAY()-1),"🔴 EMBARQUE ATRASADO",IF(AND(N3880="REALIZADO",M3880="PENDENTE"),"🟡 EMBARCADO SEM FATURAR",IF(AND(P3880&lt;&gt;"",S3880="",OR(Q3880="",R3880="")),"🟡 PENDÊNCIA SEM RESPONSÁVEL/PRAZO",IF(AND(ISNUMBER(R3880),R3880=TODAY()),"🟡 VENCE HOJE",IF(AND(P3880&lt;&gt;"",S3880=""),"🟡 PENDÊNCIA ABERTA",IF(AND(N(J3880)&gt;0,N(K3880)&lt;J3880),"🟡 FALTA EXECUTAR",IF(OR(M3880="PENDENTE",M3880="PARCIAL"),"🟡 FATURAMENTO PENDENTE","🟡 EMBARQUE PENDENTE")))))))))))</f>
        <v/>
      </c>
      <c r="D3880" s="4" t="n"/>
      <c r="E3880" s="5" t="n"/>
      <c r="F3880" s="5" t="n"/>
      <c r="G3880" s="5" t="n"/>
      <c r="H3880" s="5" t="n"/>
      <c r="I3880" s="5" t="n"/>
      <c r="J3880" s="6" t="n"/>
      <c r="K3880" s="6" t="n"/>
      <c r="L3880" s="7">
        <f>IF(OR(D3880="",N(J3880)=0),"",MIN(1,N(K3880)/J3880))</f>
        <v/>
      </c>
      <c r="M3880" s="5" t="n"/>
      <c r="N3880" s="5" t="n"/>
      <c r="O3880" s="5" t="n"/>
      <c r="P3880" s="5" t="n"/>
      <c r="Q3880" s="5" t="n"/>
      <c r="R3880" s="4" t="n"/>
      <c r="S3880" s="4" t="n"/>
      <c r="T3880" s="5" t="n"/>
      <c r="U3880" s="8">
        <f>IF(AND(V3880=1,D3880&lt;&gt;""),IF(D3880&gt;=corte,TODAY()-D3880,""),"")</f>
        <v/>
      </c>
      <c r="V3880" s="8">
        <f>IF(D3880="",0,IF(OR(AND(P3880&lt;&gt;"",S3880=""),AND(N(J3880)&gt;0,N(K3880)&lt;J3880),OR(M3880="PENDENTE",M3880="PARCIAL"),OR(N3880="PENDENTE",N3880="PARCIAL")),1,0))</f>
        <v/>
      </c>
      <c r="W3880" s="8">
        <f>IF(AND(V3880=1,D3880&lt;&gt;""),IF(D3880&gt;=corte,(B3880="CRÍTICO")*1E9+(100000-D3880)*10000+10000-ROW(),""),"")</f>
        <v/>
      </c>
      <c r="X3880" s="8">
        <f>IF(AND(V3880=1,D3880=pas_data,E3880=pas_turno),10000-ROW(),"")</f>
        <v/>
      </c>
    </row>
    <row r="3881">
      <c r="A3881" s="3">
        <f>IF(D3881="","","TT-"&amp;TEXT(ROW()-1,"00000"))</f>
        <v/>
      </c>
      <c r="B3881" s="3">
        <f>IF(D3881="","",IF(V3881=0,"CONCLUÍDO",IF(D3881&lt;corte,"HISTÓRICO",IF(OR(AND(ISNUMBER(R3881),R3881&lt;TODAY()),AND(OR(N3881="PENDENTE",N3881="PARCIAL"),D3881&lt;TODAY()-1)),"CRÍTICO",IF(OR(AND(P3881&lt;&gt;"",S3881=""),AND(N3881="REALIZADO",M3881="PENDENTE"),AND(ISNUMBER(R3881),R3881=TODAY())),"ATENÇÃO",IF(N(K3881)=0,"PENDENTE","EM ANDAMENTO"))))))</f>
        <v/>
      </c>
      <c r="C3881" s="3">
        <f>IF(D3881="","",IF(V3881=0,"🟢 OK",IF(D3881&lt;corte,"⚪ HISTÓRICO (sem baixa)",IF(AND(ISNUMBER(R3881),R3881&lt;TODAY()),"🔴 PRAZO VENCIDO",IF(AND(OR(N3881="PENDENTE",N3881="PARCIAL"),D3881&lt;TODAY()-1),"🔴 EMBARQUE ATRASADO",IF(AND(N3881="REALIZADO",M3881="PENDENTE"),"🟡 EMBARCADO SEM FATURAR",IF(AND(P3881&lt;&gt;"",S3881="",OR(Q3881="",R3881="")),"🟡 PENDÊNCIA SEM RESPONSÁVEL/PRAZO",IF(AND(ISNUMBER(R3881),R3881=TODAY()),"🟡 VENCE HOJE",IF(AND(P3881&lt;&gt;"",S3881=""),"🟡 PENDÊNCIA ABERTA",IF(AND(N(J3881)&gt;0,N(K3881)&lt;J3881),"🟡 FALTA EXECUTAR",IF(OR(M3881="PENDENTE",M3881="PARCIAL"),"🟡 FATURAMENTO PENDENTE","🟡 EMBARQUE PENDENTE")))))))))))</f>
        <v/>
      </c>
      <c r="D3881" s="4" t="n"/>
      <c r="E3881" s="5" t="n"/>
      <c r="F3881" s="5" t="n"/>
      <c r="G3881" s="5" t="n"/>
      <c r="H3881" s="5" t="n"/>
      <c r="I3881" s="5" t="n"/>
      <c r="J3881" s="6" t="n"/>
      <c r="K3881" s="6" t="n"/>
      <c r="L3881" s="7">
        <f>IF(OR(D3881="",N(J3881)=0),"",MIN(1,N(K3881)/J3881))</f>
        <v/>
      </c>
      <c r="M3881" s="5" t="n"/>
      <c r="N3881" s="5" t="n"/>
      <c r="O3881" s="5" t="n"/>
      <c r="P3881" s="5" t="n"/>
      <c r="Q3881" s="5" t="n"/>
      <c r="R3881" s="4" t="n"/>
      <c r="S3881" s="4" t="n"/>
      <c r="T3881" s="5" t="n"/>
      <c r="U3881" s="8">
        <f>IF(AND(V3881=1,D3881&lt;&gt;""),IF(D3881&gt;=corte,TODAY()-D3881,""),"")</f>
        <v/>
      </c>
      <c r="V3881" s="8">
        <f>IF(D3881="",0,IF(OR(AND(P3881&lt;&gt;"",S3881=""),AND(N(J3881)&gt;0,N(K3881)&lt;J3881),OR(M3881="PENDENTE",M3881="PARCIAL"),OR(N3881="PENDENTE",N3881="PARCIAL")),1,0))</f>
        <v/>
      </c>
      <c r="W3881" s="8">
        <f>IF(AND(V3881=1,D3881&lt;&gt;""),IF(D3881&gt;=corte,(B3881="CRÍTICO")*1E9+(100000-D3881)*10000+10000-ROW(),""),"")</f>
        <v/>
      </c>
      <c r="X3881" s="8">
        <f>IF(AND(V3881=1,D3881=pas_data,E3881=pas_turno),10000-ROW(),"")</f>
        <v/>
      </c>
    </row>
    <row r="3882">
      <c r="A3882" s="3">
        <f>IF(D3882="","","TT-"&amp;TEXT(ROW()-1,"00000"))</f>
        <v/>
      </c>
      <c r="B3882" s="3">
        <f>IF(D3882="","",IF(V3882=0,"CONCLUÍDO",IF(D3882&lt;corte,"HISTÓRICO",IF(OR(AND(ISNUMBER(R3882),R3882&lt;TODAY()),AND(OR(N3882="PENDENTE",N3882="PARCIAL"),D3882&lt;TODAY()-1)),"CRÍTICO",IF(OR(AND(P3882&lt;&gt;"",S3882=""),AND(N3882="REALIZADO",M3882="PENDENTE"),AND(ISNUMBER(R3882),R3882=TODAY())),"ATENÇÃO",IF(N(K3882)=0,"PENDENTE","EM ANDAMENTO"))))))</f>
        <v/>
      </c>
      <c r="C3882" s="3">
        <f>IF(D3882="","",IF(V3882=0,"🟢 OK",IF(D3882&lt;corte,"⚪ HISTÓRICO (sem baixa)",IF(AND(ISNUMBER(R3882),R3882&lt;TODAY()),"🔴 PRAZO VENCIDO",IF(AND(OR(N3882="PENDENTE",N3882="PARCIAL"),D3882&lt;TODAY()-1),"🔴 EMBARQUE ATRASADO",IF(AND(N3882="REALIZADO",M3882="PENDENTE"),"🟡 EMBARCADO SEM FATURAR",IF(AND(P3882&lt;&gt;"",S3882="",OR(Q3882="",R3882="")),"🟡 PENDÊNCIA SEM RESPONSÁVEL/PRAZO",IF(AND(ISNUMBER(R3882),R3882=TODAY()),"🟡 VENCE HOJE",IF(AND(P3882&lt;&gt;"",S3882=""),"🟡 PENDÊNCIA ABERTA",IF(AND(N(J3882)&gt;0,N(K3882)&lt;J3882),"🟡 FALTA EXECUTAR",IF(OR(M3882="PENDENTE",M3882="PARCIAL"),"🟡 FATURAMENTO PENDENTE","🟡 EMBARQUE PENDENTE")))))))))))</f>
        <v/>
      </c>
      <c r="D3882" s="4" t="n"/>
      <c r="E3882" s="5" t="n"/>
      <c r="F3882" s="5" t="n"/>
      <c r="G3882" s="5" t="n"/>
      <c r="H3882" s="5" t="n"/>
      <c r="I3882" s="5" t="n"/>
      <c r="J3882" s="6" t="n"/>
      <c r="K3882" s="6" t="n"/>
      <c r="L3882" s="7">
        <f>IF(OR(D3882="",N(J3882)=0),"",MIN(1,N(K3882)/J3882))</f>
        <v/>
      </c>
      <c r="M3882" s="5" t="n"/>
      <c r="N3882" s="5" t="n"/>
      <c r="O3882" s="5" t="n"/>
      <c r="P3882" s="5" t="n"/>
      <c r="Q3882" s="5" t="n"/>
      <c r="R3882" s="4" t="n"/>
      <c r="S3882" s="4" t="n"/>
      <c r="T3882" s="5" t="n"/>
      <c r="U3882" s="8">
        <f>IF(AND(V3882=1,D3882&lt;&gt;""),IF(D3882&gt;=corte,TODAY()-D3882,""),"")</f>
        <v/>
      </c>
      <c r="V3882" s="8">
        <f>IF(D3882="",0,IF(OR(AND(P3882&lt;&gt;"",S3882=""),AND(N(J3882)&gt;0,N(K3882)&lt;J3882),OR(M3882="PENDENTE",M3882="PARCIAL"),OR(N3882="PENDENTE",N3882="PARCIAL")),1,0))</f>
        <v/>
      </c>
      <c r="W3882" s="8">
        <f>IF(AND(V3882=1,D3882&lt;&gt;""),IF(D3882&gt;=corte,(B3882="CRÍTICO")*1E9+(100000-D3882)*10000+10000-ROW(),""),"")</f>
        <v/>
      </c>
      <c r="X3882" s="8">
        <f>IF(AND(V3882=1,D3882=pas_data,E3882=pas_turno),10000-ROW(),"")</f>
        <v/>
      </c>
    </row>
    <row r="3883">
      <c r="A3883" s="3">
        <f>IF(D3883="","","TT-"&amp;TEXT(ROW()-1,"00000"))</f>
        <v/>
      </c>
      <c r="B3883" s="3">
        <f>IF(D3883="","",IF(V3883=0,"CONCLUÍDO",IF(D3883&lt;corte,"HISTÓRICO",IF(OR(AND(ISNUMBER(R3883),R3883&lt;TODAY()),AND(OR(N3883="PENDENTE",N3883="PARCIAL"),D3883&lt;TODAY()-1)),"CRÍTICO",IF(OR(AND(P3883&lt;&gt;"",S3883=""),AND(N3883="REALIZADO",M3883="PENDENTE"),AND(ISNUMBER(R3883),R3883=TODAY())),"ATENÇÃO",IF(N(K3883)=0,"PENDENTE","EM ANDAMENTO"))))))</f>
        <v/>
      </c>
      <c r="C3883" s="3">
        <f>IF(D3883="","",IF(V3883=0,"🟢 OK",IF(D3883&lt;corte,"⚪ HISTÓRICO (sem baixa)",IF(AND(ISNUMBER(R3883),R3883&lt;TODAY()),"🔴 PRAZO VENCIDO",IF(AND(OR(N3883="PENDENTE",N3883="PARCIAL"),D3883&lt;TODAY()-1),"🔴 EMBARQUE ATRASADO",IF(AND(N3883="REALIZADO",M3883="PENDENTE"),"🟡 EMBARCADO SEM FATURAR",IF(AND(P3883&lt;&gt;"",S3883="",OR(Q3883="",R3883="")),"🟡 PENDÊNCIA SEM RESPONSÁVEL/PRAZO",IF(AND(ISNUMBER(R3883),R3883=TODAY()),"🟡 VENCE HOJE",IF(AND(P3883&lt;&gt;"",S3883=""),"🟡 PENDÊNCIA ABERTA",IF(AND(N(J3883)&gt;0,N(K3883)&lt;J3883),"🟡 FALTA EXECUTAR",IF(OR(M3883="PENDENTE",M3883="PARCIAL"),"🟡 FATURAMENTO PENDENTE","🟡 EMBARQUE PENDENTE")))))))))))</f>
        <v/>
      </c>
      <c r="D3883" s="4" t="n"/>
      <c r="E3883" s="5" t="n"/>
      <c r="F3883" s="5" t="n"/>
      <c r="G3883" s="5" t="n"/>
      <c r="H3883" s="5" t="n"/>
      <c r="I3883" s="5" t="n"/>
      <c r="J3883" s="6" t="n"/>
      <c r="K3883" s="6" t="n"/>
      <c r="L3883" s="7">
        <f>IF(OR(D3883="",N(J3883)=0),"",MIN(1,N(K3883)/J3883))</f>
        <v/>
      </c>
      <c r="M3883" s="5" t="n"/>
      <c r="N3883" s="5" t="n"/>
      <c r="O3883" s="5" t="n"/>
      <c r="P3883" s="5" t="n"/>
      <c r="Q3883" s="5" t="n"/>
      <c r="R3883" s="4" t="n"/>
      <c r="S3883" s="4" t="n"/>
      <c r="T3883" s="5" t="n"/>
      <c r="U3883" s="8">
        <f>IF(AND(V3883=1,D3883&lt;&gt;""),IF(D3883&gt;=corte,TODAY()-D3883,""),"")</f>
        <v/>
      </c>
      <c r="V3883" s="8">
        <f>IF(D3883="",0,IF(OR(AND(P3883&lt;&gt;"",S3883=""),AND(N(J3883)&gt;0,N(K3883)&lt;J3883),OR(M3883="PENDENTE",M3883="PARCIAL"),OR(N3883="PENDENTE",N3883="PARCIAL")),1,0))</f>
        <v/>
      </c>
      <c r="W3883" s="8">
        <f>IF(AND(V3883=1,D3883&lt;&gt;""),IF(D3883&gt;=corte,(B3883="CRÍTICO")*1E9+(100000-D3883)*10000+10000-ROW(),""),"")</f>
        <v/>
      </c>
      <c r="X3883" s="8">
        <f>IF(AND(V3883=1,D3883=pas_data,E3883=pas_turno),10000-ROW(),"")</f>
        <v/>
      </c>
    </row>
    <row r="3884">
      <c r="A3884" s="3">
        <f>IF(D3884="","","TT-"&amp;TEXT(ROW()-1,"00000"))</f>
        <v/>
      </c>
      <c r="B3884" s="3">
        <f>IF(D3884="","",IF(V3884=0,"CONCLUÍDO",IF(D3884&lt;corte,"HISTÓRICO",IF(OR(AND(ISNUMBER(R3884),R3884&lt;TODAY()),AND(OR(N3884="PENDENTE",N3884="PARCIAL"),D3884&lt;TODAY()-1)),"CRÍTICO",IF(OR(AND(P3884&lt;&gt;"",S3884=""),AND(N3884="REALIZADO",M3884="PENDENTE"),AND(ISNUMBER(R3884),R3884=TODAY())),"ATENÇÃO",IF(N(K3884)=0,"PENDENTE","EM ANDAMENTO"))))))</f>
        <v/>
      </c>
      <c r="C3884" s="3">
        <f>IF(D3884="","",IF(V3884=0,"🟢 OK",IF(D3884&lt;corte,"⚪ HISTÓRICO (sem baixa)",IF(AND(ISNUMBER(R3884),R3884&lt;TODAY()),"🔴 PRAZO VENCIDO",IF(AND(OR(N3884="PENDENTE",N3884="PARCIAL"),D3884&lt;TODAY()-1),"🔴 EMBARQUE ATRASADO",IF(AND(N3884="REALIZADO",M3884="PENDENTE"),"🟡 EMBARCADO SEM FATURAR",IF(AND(P3884&lt;&gt;"",S3884="",OR(Q3884="",R3884="")),"🟡 PENDÊNCIA SEM RESPONSÁVEL/PRAZO",IF(AND(ISNUMBER(R3884),R3884=TODAY()),"🟡 VENCE HOJE",IF(AND(P3884&lt;&gt;"",S3884=""),"🟡 PENDÊNCIA ABERTA",IF(AND(N(J3884)&gt;0,N(K3884)&lt;J3884),"🟡 FALTA EXECUTAR",IF(OR(M3884="PENDENTE",M3884="PARCIAL"),"🟡 FATURAMENTO PENDENTE","🟡 EMBARQUE PENDENTE")))))))))))</f>
        <v/>
      </c>
      <c r="D3884" s="4" t="n"/>
      <c r="E3884" s="5" t="n"/>
      <c r="F3884" s="5" t="n"/>
      <c r="G3884" s="5" t="n"/>
      <c r="H3884" s="5" t="n"/>
      <c r="I3884" s="5" t="n"/>
      <c r="J3884" s="6" t="n"/>
      <c r="K3884" s="6" t="n"/>
      <c r="L3884" s="7">
        <f>IF(OR(D3884="",N(J3884)=0),"",MIN(1,N(K3884)/J3884))</f>
        <v/>
      </c>
      <c r="M3884" s="5" t="n"/>
      <c r="N3884" s="5" t="n"/>
      <c r="O3884" s="5" t="n"/>
      <c r="P3884" s="5" t="n"/>
      <c r="Q3884" s="5" t="n"/>
      <c r="R3884" s="4" t="n"/>
      <c r="S3884" s="4" t="n"/>
      <c r="T3884" s="5" t="n"/>
      <c r="U3884" s="8">
        <f>IF(AND(V3884=1,D3884&lt;&gt;""),IF(D3884&gt;=corte,TODAY()-D3884,""),"")</f>
        <v/>
      </c>
      <c r="V3884" s="8">
        <f>IF(D3884="",0,IF(OR(AND(P3884&lt;&gt;"",S3884=""),AND(N(J3884)&gt;0,N(K3884)&lt;J3884),OR(M3884="PENDENTE",M3884="PARCIAL"),OR(N3884="PENDENTE",N3884="PARCIAL")),1,0))</f>
        <v/>
      </c>
      <c r="W3884" s="8">
        <f>IF(AND(V3884=1,D3884&lt;&gt;""),IF(D3884&gt;=corte,(B3884="CRÍTICO")*1E9+(100000-D3884)*10000+10000-ROW(),""),"")</f>
        <v/>
      </c>
      <c r="X3884" s="8">
        <f>IF(AND(V3884=1,D3884=pas_data,E3884=pas_turno),10000-ROW(),"")</f>
        <v/>
      </c>
    </row>
    <row r="3885">
      <c r="A3885" s="3">
        <f>IF(D3885="","","TT-"&amp;TEXT(ROW()-1,"00000"))</f>
        <v/>
      </c>
      <c r="B3885" s="3">
        <f>IF(D3885="","",IF(V3885=0,"CONCLUÍDO",IF(D3885&lt;corte,"HISTÓRICO",IF(OR(AND(ISNUMBER(R3885),R3885&lt;TODAY()),AND(OR(N3885="PENDENTE",N3885="PARCIAL"),D3885&lt;TODAY()-1)),"CRÍTICO",IF(OR(AND(P3885&lt;&gt;"",S3885=""),AND(N3885="REALIZADO",M3885="PENDENTE"),AND(ISNUMBER(R3885),R3885=TODAY())),"ATENÇÃO",IF(N(K3885)=0,"PENDENTE","EM ANDAMENTO"))))))</f>
        <v/>
      </c>
      <c r="C3885" s="3">
        <f>IF(D3885="","",IF(V3885=0,"🟢 OK",IF(D3885&lt;corte,"⚪ HISTÓRICO (sem baixa)",IF(AND(ISNUMBER(R3885),R3885&lt;TODAY()),"🔴 PRAZO VENCIDO",IF(AND(OR(N3885="PENDENTE",N3885="PARCIAL"),D3885&lt;TODAY()-1),"🔴 EMBARQUE ATRASADO",IF(AND(N3885="REALIZADO",M3885="PENDENTE"),"🟡 EMBARCADO SEM FATURAR",IF(AND(P3885&lt;&gt;"",S3885="",OR(Q3885="",R3885="")),"🟡 PENDÊNCIA SEM RESPONSÁVEL/PRAZO",IF(AND(ISNUMBER(R3885),R3885=TODAY()),"🟡 VENCE HOJE",IF(AND(P3885&lt;&gt;"",S3885=""),"🟡 PENDÊNCIA ABERTA",IF(AND(N(J3885)&gt;0,N(K3885)&lt;J3885),"🟡 FALTA EXECUTAR",IF(OR(M3885="PENDENTE",M3885="PARCIAL"),"🟡 FATURAMENTO PENDENTE","🟡 EMBARQUE PENDENTE")))))))))))</f>
        <v/>
      </c>
      <c r="D3885" s="4" t="n"/>
      <c r="E3885" s="5" t="n"/>
      <c r="F3885" s="5" t="n"/>
      <c r="G3885" s="5" t="n"/>
      <c r="H3885" s="5" t="n"/>
      <c r="I3885" s="5" t="n"/>
      <c r="J3885" s="6" t="n"/>
      <c r="K3885" s="6" t="n"/>
      <c r="L3885" s="7">
        <f>IF(OR(D3885="",N(J3885)=0),"",MIN(1,N(K3885)/J3885))</f>
        <v/>
      </c>
      <c r="M3885" s="5" t="n"/>
      <c r="N3885" s="5" t="n"/>
      <c r="O3885" s="5" t="n"/>
      <c r="P3885" s="5" t="n"/>
      <c r="Q3885" s="5" t="n"/>
      <c r="R3885" s="4" t="n"/>
      <c r="S3885" s="4" t="n"/>
      <c r="T3885" s="5" t="n"/>
      <c r="U3885" s="8">
        <f>IF(AND(V3885=1,D3885&lt;&gt;""),IF(D3885&gt;=corte,TODAY()-D3885,""),"")</f>
        <v/>
      </c>
      <c r="V3885" s="8">
        <f>IF(D3885="",0,IF(OR(AND(P3885&lt;&gt;"",S3885=""),AND(N(J3885)&gt;0,N(K3885)&lt;J3885),OR(M3885="PENDENTE",M3885="PARCIAL"),OR(N3885="PENDENTE",N3885="PARCIAL")),1,0))</f>
        <v/>
      </c>
      <c r="W3885" s="8">
        <f>IF(AND(V3885=1,D3885&lt;&gt;""),IF(D3885&gt;=corte,(B3885="CRÍTICO")*1E9+(100000-D3885)*10000+10000-ROW(),""),"")</f>
        <v/>
      </c>
      <c r="X3885" s="8">
        <f>IF(AND(V3885=1,D3885=pas_data,E3885=pas_turno),10000-ROW(),"")</f>
        <v/>
      </c>
    </row>
    <row r="3886">
      <c r="A3886" s="3">
        <f>IF(D3886="","","TT-"&amp;TEXT(ROW()-1,"00000"))</f>
        <v/>
      </c>
      <c r="B3886" s="3">
        <f>IF(D3886="","",IF(V3886=0,"CONCLUÍDO",IF(D3886&lt;corte,"HISTÓRICO",IF(OR(AND(ISNUMBER(R3886),R3886&lt;TODAY()),AND(OR(N3886="PENDENTE",N3886="PARCIAL"),D3886&lt;TODAY()-1)),"CRÍTICO",IF(OR(AND(P3886&lt;&gt;"",S3886=""),AND(N3886="REALIZADO",M3886="PENDENTE"),AND(ISNUMBER(R3886),R3886=TODAY())),"ATENÇÃO",IF(N(K3886)=0,"PENDENTE","EM ANDAMENTO"))))))</f>
        <v/>
      </c>
      <c r="C3886" s="3">
        <f>IF(D3886="","",IF(V3886=0,"🟢 OK",IF(D3886&lt;corte,"⚪ HISTÓRICO (sem baixa)",IF(AND(ISNUMBER(R3886),R3886&lt;TODAY()),"🔴 PRAZO VENCIDO",IF(AND(OR(N3886="PENDENTE",N3886="PARCIAL"),D3886&lt;TODAY()-1),"🔴 EMBARQUE ATRASADO",IF(AND(N3886="REALIZADO",M3886="PENDENTE"),"🟡 EMBARCADO SEM FATURAR",IF(AND(P3886&lt;&gt;"",S3886="",OR(Q3886="",R3886="")),"🟡 PENDÊNCIA SEM RESPONSÁVEL/PRAZO",IF(AND(ISNUMBER(R3886),R3886=TODAY()),"🟡 VENCE HOJE",IF(AND(P3886&lt;&gt;"",S3886=""),"🟡 PENDÊNCIA ABERTA",IF(AND(N(J3886)&gt;0,N(K3886)&lt;J3886),"🟡 FALTA EXECUTAR",IF(OR(M3886="PENDENTE",M3886="PARCIAL"),"🟡 FATURAMENTO PENDENTE","🟡 EMBARQUE PENDENTE")))))))))))</f>
        <v/>
      </c>
      <c r="D3886" s="4" t="n"/>
      <c r="E3886" s="5" t="n"/>
      <c r="F3886" s="5" t="n"/>
      <c r="G3886" s="5" t="n"/>
      <c r="H3886" s="5" t="n"/>
      <c r="I3886" s="5" t="n"/>
      <c r="J3886" s="6" t="n"/>
      <c r="K3886" s="6" t="n"/>
      <c r="L3886" s="7">
        <f>IF(OR(D3886="",N(J3886)=0),"",MIN(1,N(K3886)/J3886))</f>
        <v/>
      </c>
      <c r="M3886" s="5" t="n"/>
      <c r="N3886" s="5" t="n"/>
      <c r="O3886" s="5" t="n"/>
      <c r="P3886" s="5" t="n"/>
      <c r="Q3886" s="5" t="n"/>
      <c r="R3886" s="4" t="n"/>
      <c r="S3886" s="4" t="n"/>
      <c r="T3886" s="5" t="n"/>
      <c r="U3886" s="8">
        <f>IF(AND(V3886=1,D3886&lt;&gt;""),IF(D3886&gt;=corte,TODAY()-D3886,""),"")</f>
        <v/>
      </c>
      <c r="V3886" s="8">
        <f>IF(D3886="",0,IF(OR(AND(P3886&lt;&gt;"",S3886=""),AND(N(J3886)&gt;0,N(K3886)&lt;J3886),OR(M3886="PENDENTE",M3886="PARCIAL"),OR(N3886="PENDENTE",N3886="PARCIAL")),1,0))</f>
        <v/>
      </c>
      <c r="W3886" s="8">
        <f>IF(AND(V3886=1,D3886&lt;&gt;""),IF(D3886&gt;=corte,(B3886="CRÍTICO")*1E9+(100000-D3886)*10000+10000-ROW(),""),"")</f>
        <v/>
      </c>
      <c r="X3886" s="8">
        <f>IF(AND(V3886=1,D3886=pas_data,E3886=pas_turno),10000-ROW(),"")</f>
        <v/>
      </c>
    </row>
    <row r="3887">
      <c r="A3887" s="3">
        <f>IF(D3887="","","TT-"&amp;TEXT(ROW()-1,"00000"))</f>
        <v/>
      </c>
      <c r="B3887" s="3">
        <f>IF(D3887="","",IF(V3887=0,"CONCLUÍDO",IF(D3887&lt;corte,"HISTÓRICO",IF(OR(AND(ISNUMBER(R3887),R3887&lt;TODAY()),AND(OR(N3887="PENDENTE",N3887="PARCIAL"),D3887&lt;TODAY()-1)),"CRÍTICO",IF(OR(AND(P3887&lt;&gt;"",S3887=""),AND(N3887="REALIZADO",M3887="PENDENTE"),AND(ISNUMBER(R3887),R3887=TODAY())),"ATENÇÃO",IF(N(K3887)=0,"PENDENTE","EM ANDAMENTO"))))))</f>
        <v/>
      </c>
      <c r="C3887" s="3">
        <f>IF(D3887="","",IF(V3887=0,"🟢 OK",IF(D3887&lt;corte,"⚪ HISTÓRICO (sem baixa)",IF(AND(ISNUMBER(R3887),R3887&lt;TODAY()),"🔴 PRAZO VENCIDO",IF(AND(OR(N3887="PENDENTE",N3887="PARCIAL"),D3887&lt;TODAY()-1),"🔴 EMBARQUE ATRASADO",IF(AND(N3887="REALIZADO",M3887="PENDENTE"),"🟡 EMBARCADO SEM FATURAR",IF(AND(P3887&lt;&gt;"",S3887="",OR(Q3887="",R3887="")),"🟡 PENDÊNCIA SEM RESPONSÁVEL/PRAZO",IF(AND(ISNUMBER(R3887),R3887=TODAY()),"🟡 VENCE HOJE",IF(AND(P3887&lt;&gt;"",S3887=""),"🟡 PENDÊNCIA ABERTA",IF(AND(N(J3887)&gt;0,N(K3887)&lt;J3887),"🟡 FALTA EXECUTAR",IF(OR(M3887="PENDENTE",M3887="PARCIAL"),"🟡 FATURAMENTO PENDENTE","🟡 EMBARQUE PENDENTE")))))))))))</f>
        <v/>
      </c>
      <c r="D3887" s="4" t="n"/>
      <c r="E3887" s="5" t="n"/>
      <c r="F3887" s="5" t="n"/>
      <c r="G3887" s="5" t="n"/>
      <c r="H3887" s="5" t="n"/>
      <c r="I3887" s="5" t="n"/>
      <c r="J3887" s="6" t="n"/>
      <c r="K3887" s="6" t="n"/>
      <c r="L3887" s="7">
        <f>IF(OR(D3887="",N(J3887)=0),"",MIN(1,N(K3887)/J3887))</f>
        <v/>
      </c>
      <c r="M3887" s="5" t="n"/>
      <c r="N3887" s="5" t="n"/>
      <c r="O3887" s="5" t="n"/>
      <c r="P3887" s="5" t="n"/>
      <c r="Q3887" s="5" t="n"/>
      <c r="R3887" s="4" t="n"/>
      <c r="S3887" s="4" t="n"/>
      <c r="T3887" s="5" t="n"/>
      <c r="U3887" s="8">
        <f>IF(AND(V3887=1,D3887&lt;&gt;""),IF(D3887&gt;=corte,TODAY()-D3887,""),"")</f>
        <v/>
      </c>
      <c r="V3887" s="8">
        <f>IF(D3887="",0,IF(OR(AND(P3887&lt;&gt;"",S3887=""),AND(N(J3887)&gt;0,N(K3887)&lt;J3887),OR(M3887="PENDENTE",M3887="PARCIAL"),OR(N3887="PENDENTE",N3887="PARCIAL")),1,0))</f>
        <v/>
      </c>
      <c r="W3887" s="8">
        <f>IF(AND(V3887=1,D3887&lt;&gt;""),IF(D3887&gt;=corte,(B3887="CRÍTICO")*1E9+(100000-D3887)*10000+10000-ROW(),""),"")</f>
        <v/>
      </c>
      <c r="X3887" s="8">
        <f>IF(AND(V3887=1,D3887=pas_data,E3887=pas_turno),10000-ROW(),"")</f>
        <v/>
      </c>
    </row>
    <row r="3888">
      <c r="A3888" s="3">
        <f>IF(D3888="","","TT-"&amp;TEXT(ROW()-1,"00000"))</f>
        <v/>
      </c>
      <c r="B3888" s="3">
        <f>IF(D3888="","",IF(V3888=0,"CONCLUÍDO",IF(D3888&lt;corte,"HISTÓRICO",IF(OR(AND(ISNUMBER(R3888),R3888&lt;TODAY()),AND(OR(N3888="PENDENTE",N3888="PARCIAL"),D3888&lt;TODAY()-1)),"CRÍTICO",IF(OR(AND(P3888&lt;&gt;"",S3888=""),AND(N3888="REALIZADO",M3888="PENDENTE"),AND(ISNUMBER(R3888),R3888=TODAY())),"ATENÇÃO",IF(N(K3888)=0,"PENDENTE","EM ANDAMENTO"))))))</f>
        <v/>
      </c>
      <c r="C3888" s="3">
        <f>IF(D3888="","",IF(V3888=0,"🟢 OK",IF(D3888&lt;corte,"⚪ HISTÓRICO (sem baixa)",IF(AND(ISNUMBER(R3888),R3888&lt;TODAY()),"🔴 PRAZO VENCIDO",IF(AND(OR(N3888="PENDENTE",N3888="PARCIAL"),D3888&lt;TODAY()-1),"🔴 EMBARQUE ATRASADO",IF(AND(N3888="REALIZADO",M3888="PENDENTE"),"🟡 EMBARCADO SEM FATURAR",IF(AND(P3888&lt;&gt;"",S3888="",OR(Q3888="",R3888="")),"🟡 PENDÊNCIA SEM RESPONSÁVEL/PRAZO",IF(AND(ISNUMBER(R3888),R3888=TODAY()),"🟡 VENCE HOJE",IF(AND(P3888&lt;&gt;"",S3888=""),"🟡 PENDÊNCIA ABERTA",IF(AND(N(J3888)&gt;0,N(K3888)&lt;J3888),"🟡 FALTA EXECUTAR",IF(OR(M3888="PENDENTE",M3888="PARCIAL"),"🟡 FATURAMENTO PENDENTE","🟡 EMBARQUE PENDENTE")))))))))))</f>
        <v/>
      </c>
      <c r="D3888" s="4" t="n"/>
      <c r="E3888" s="5" t="n"/>
      <c r="F3888" s="5" t="n"/>
      <c r="G3888" s="5" t="n"/>
      <c r="H3888" s="5" t="n"/>
      <c r="I3888" s="5" t="n"/>
      <c r="J3888" s="6" t="n"/>
      <c r="K3888" s="6" t="n"/>
      <c r="L3888" s="7">
        <f>IF(OR(D3888="",N(J3888)=0),"",MIN(1,N(K3888)/J3888))</f>
        <v/>
      </c>
      <c r="M3888" s="5" t="n"/>
      <c r="N3888" s="5" t="n"/>
      <c r="O3888" s="5" t="n"/>
      <c r="P3888" s="5" t="n"/>
      <c r="Q3888" s="5" t="n"/>
      <c r="R3888" s="4" t="n"/>
      <c r="S3888" s="4" t="n"/>
      <c r="T3888" s="5" t="n"/>
      <c r="U3888" s="8">
        <f>IF(AND(V3888=1,D3888&lt;&gt;""),IF(D3888&gt;=corte,TODAY()-D3888,""),"")</f>
        <v/>
      </c>
      <c r="V3888" s="8">
        <f>IF(D3888="",0,IF(OR(AND(P3888&lt;&gt;"",S3888=""),AND(N(J3888)&gt;0,N(K3888)&lt;J3888),OR(M3888="PENDENTE",M3888="PARCIAL"),OR(N3888="PENDENTE",N3888="PARCIAL")),1,0))</f>
        <v/>
      </c>
      <c r="W3888" s="8">
        <f>IF(AND(V3888=1,D3888&lt;&gt;""),IF(D3888&gt;=corte,(B3888="CRÍTICO")*1E9+(100000-D3888)*10000+10000-ROW(),""),"")</f>
        <v/>
      </c>
      <c r="X3888" s="8">
        <f>IF(AND(V3888=1,D3888=pas_data,E3888=pas_turno),10000-ROW(),"")</f>
        <v/>
      </c>
    </row>
    <row r="3889">
      <c r="A3889" s="3">
        <f>IF(D3889="","","TT-"&amp;TEXT(ROW()-1,"00000"))</f>
        <v/>
      </c>
      <c r="B3889" s="3">
        <f>IF(D3889="","",IF(V3889=0,"CONCLUÍDO",IF(D3889&lt;corte,"HISTÓRICO",IF(OR(AND(ISNUMBER(R3889),R3889&lt;TODAY()),AND(OR(N3889="PENDENTE",N3889="PARCIAL"),D3889&lt;TODAY()-1)),"CRÍTICO",IF(OR(AND(P3889&lt;&gt;"",S3889=""),AND(N3889="REALIZADO",M3889="PENDENTE"),AND(ISNUMBER(R3889),R3889=TODAY())),"ATENÇÃO",IF(N(K3889)=0,"PENDENTE","EM ANDAMENTO"))))))</f>
        <v/>
      </c>
      <c r="C3889" s="3">
        <f>IF(D3889="","",IF(V3889=0,"🟢 OK",IF(D3889&lt;corte,"⚪ HISTÓRICO (sem baixa)",IF(AND(ISNUMBER(R3889),R3889&lt;TODAY()),"🔴 PRAZO VENCIDO",IF(AND(OR(N3889="PENDENTE",N3889="PARCIAL"),D3889&lt;TODAY()-1),"🔴 EMBARQUE ATRASADO",IF(AND(N3889="REALIZADO",M3889="PENDENTE"),"🟡 EMBARCADO SEM FATURAR",IF(AND(P3889&lt;&gt;"",S3889="",OR(Q3889="",R3889="")),"🟡 PENDÊNCIA SEM RESPONSÁVEL/PRAZO",IF(AND(ISNUMBER(R3889),R3889=TODAY()),"🟡 VENCE HOJE",IF(AND(P3889&lt;&gt;"",S3889=""),"🟡 PENDÊNCIA ABERTA",IF(AND(N(J3889)&gt;0,N(K3889)&lt;J3889),"🟡 FALTA EXECUTAR",IF(OR(M3889="PENDENTE",M3889="PARCIAL"),"🟡 FATURAMENTO PENDENTE","🟡 EMBARQUE PENDENTE")))))))))))</f>
        <v/>
      </c>
      <c r="D3889" s="4" t="n"/>
      <c r="E3889" s="5" t="n"/>
      <c r="F3889" s="5" t="n"/>
      <c r="G3889" s="5" t="n"/>
      <c r="H3889" s="5" t="n"/>
      <c r="I3889" s="5" t="n"/>
      <c r="J3889" s="6" t="n"/>
      <c r="K3889" s="6" t="n"/>
      <c r="L3889" s="7">
        <f>IF(OR(D3889="",N(J3889)=0),"",MIN(1,N(K3889)/J3889))</f>
        <v/>
      </c>
      <c r="M3889" s="5" t="n"/>
      <c r="N3889" s="5" t="n"/>
      <c r="O3889" s="5" t="n"/>
      <c r="P3889" s="5" t="n"/>
      <c r="Q3889" s="5" t="n"/>
      <c r="R3889" s="4" t="n"/>
      <c r="S3889" s="4" t="n"/>
      <c r="T3889" s="5" t="n"/>
      <c r="U3889" s="8">
        <f>IF(AND(V3889=1,D3889&lt;&gt;""),IF(D3889&gt;=corte,TODAY()-D3889,""),"")</f>
        <v/>
      </c>
      <c r="V3889" s="8">
        <f>IF(D3889="",0,IF(OR(AND(P3889&lt;&gt;"",S3889=""),AND(N(J3889)&gt;0,N(K3889)&lt;J3889),OR(M3889="PENDENTE",M3889="PARCIAL"),OR(N3889="PENDENTE",N3889="PARCIAL")),1,0))</f>
        <v/>
      </c>
      <c r="W3889" s="8">
        <f>IF(AND(V3889=1,D3889&lt;&gt;""),IF(D3889&gt;=corte,(B3889="CRÍTICO")*1E9+(100000-D3889)*10000+10000-ROW(),""),"")</f>
        <v/>
      </c>
      <c r="X3889" s="8">
        <f>IF(AND(V3889=1,D3889=pas_data,E3889=pas_turno),10000-ROW(),"")</f>
        <v/>
      </c>
    </row>
    <row r="3890">
      <c r="A3890" s="3">
        <f>IF(D3890="","","TT-"&amp;TEXT(ROW()-1,"00000"))</f>
        <v/>
      </c>
      <c r="B3890" s="3">
        <f>IF(D3890="","",IF(V3890=0,"CONCLUÍDO",IF(D3890&lt;corte,"HISTÓRICO",IF(OR(AND(ISNUMBER(R3890),R3890&lt;TODAY()),AND(OR(N3890="PENDENTE",N3890="PARCIAL"),D3890&lt;TODAY()-1)),"CRÍTICO",IF(OR(AND(P3890&lt;&gt;"",S3890=""),AND(N3890="REALIZADO",M3890="PENDENTE"),AND(ISNUMBER(R3890),R3890=TODAY())),"ATENÇÃO",IF(N(K3890)=0,"PENDENTE","EM ANDAMENTO"))))))</f>
        <v/>
      </c>
      <c r="C3890" s="3">
        <f>IF(D3890="","",IF(V3890=0,"🟢 OK",IF(D3890&lt;corte,"⚪ HISTÓRICO (sem baixa)",IF(AND(ISNUMBER(R3890),R3890&lt;TODAY()),"🔴 PRAZO VENCIDO",IF(AND(OR(N3890="PENDENTE",N3890="PARCIAL"),D3890&lt;TODAY()-1),"🔴 EMBARQUE ATRASADO",IF(AND(N3890="REALIZADO",M3890="PENDENTE"),"🟡 EMBARCADO SEM FATURAR",IF(AND(P3890&lt;&gt;"",S3890="",OR(Q3890="",R3890="")),"🟡 PENDÊNCIA SEM RESPONSÁVEL/PRAZO",IF(AND(ISNUMBER(R3890),R3890=TODAY()),"🟡 VENCE HOJE",IF(AND(P3890&lt;&gt;"",S3890=""),"🟡 PENDÊNCIA ABERTA",IF(AND(N(J3890)&gt;0,N(K3890)&lt;J3890),"🟡 FALTA EXECUTAR",IF(OR(M3890="PENDENTE",M3890="PARCIAL"),"🟡 FATURAMENTO PENDENTE","🟡 EMBARQUE PENDENTE")))))))))))</f>
        <v/>
      </c>
      <c r="D3890" s="4" t="n"/>
      <c r="E3890" s="5" t="n"/>
      <c r="F3890" s="5" t="n"/>
      <c r="G3890" s="5" t="n"/>
      <c r="H3890" s="5" t="n"/>
      <c r="I3890" s="5" t="n"/>
      <c r="J3890" s="6" t="n"/>
      <c r="K3890" s="6" t="n"/>
      <c r="L3890" s="7">
        <f>IF(OR(D3890="",N(J3890)=0),"",MIN(1,N(K3890)/J3890))</f>
        <v/>
      </c>
      <c r="M3890" s="5" t="n"/>
      <c r="N3890" s="5" t="n"/>
      <c r="O3890" s="5" t="n"/>
      <c r="P3890" s="5" t="n"/>
      <c r="Q3890" s="5" t="n"/>
      <c r="R3890" s="4" t="n"/>
      <c r="S3890" s="4" t="n"/>
      <c r="T3890" s="5" t="n"/>
      <c r="U3890" s="8">
        <f>IF(AND(V3890=1,D3890&lt;&gt;""),IF(D3890&gt;=corte,TODAY()-D3890,""),"")</f>
        <v/>
      </c>
      <c r="V3890" s="8">
        <f>IF(D3890="",0,IF(OR(AND(P3890&lt;&gt;"",S3890=""),AND(N(J3890)&gt;0,N(K3890)&lt;J3890),OR(M3890="PENDENTE",M3890="PARCIAL"),OR(N3890="PENDENTE",N3890="PARCIAL")),1,0))</f>
        <v/>
      </c>
      <c r="W3890" s="8">
        <f>IF(AND(V3890=1,D3890&lt;&gt;""),IF(D3890&gt;=corte,(B3890="CRÍTICO")*1E9+(100000-D3890)*10000+10000-ROW(),""),"")</f>
        <v/>
      </c>
      <c r="X3890" s="8">
        <f>IF(AND(V3890=1,D3890=pas_data,E3890=pas_turno),10000-ROW(),"")</f>
        <v/>
      </c>
    </row>
    <row r="3891">
      <c r="A3891" s="3">
        <f>IF(D3891="","","TT-"&amp;TEXT(ROW()-1,"00000"))</f>
        <v/>
      </c>
      <c r="B3891" s="3">
        <f>IF(D3891="","",IF(V3891=0,"CONCLUÍDO",IF(D3891&lt;corte,"HISTÓRICO",IF(OR(AND(ISNUMBER(R3891),R3891&lt;TODAY()),AND(OR(N3891="PENDENTE",N3891="PARCIAL"),D3891&lt;TODAY()-1)),"CRÍTICO",IF(OR(AND(P3891&lt;&gt;"",S3891=""),AND(N3891="REALIZADO",M3891="PENDENTE"),AND(ISNUMBER(R3891),R3891=TODAY())),"ATENÇÃO",IF(N(K3891)=0,"PENDENTE","EM ANDAMENTO"))))))</f>
        <v/>
      </c>
      <c r="C3891" s="3">
        <f>IF(D3891="","",IF(V3891=0,"🟢 OK",IF(D3891&lt;corte,"⚪ HISTÓRICO (sem baixa)",IF(AND(ISNUMBER(R3891),R3891&lt;TODAY()),"🔴 PRAZO VENCIDO",IF(AND(OR(N3891="PENDENTE",N3891="PARCIAL"),D3891&lt;TODAY()-1),"🔴 EMBARQUE ATRASADO",IF(AND(N3891="REALIZADO",M3891="PENDENTE"),"🟡 EMBARCADO SEM FATURAR",IF(AND(P3891&lt;&gt;"",S3891="",OR(Q3891="",R3891="")),"🟡 PENDÊNCIA SEM RESPONSÁVEL/PRAZO",IF(AND(ISNUMBER(R3891),R3891=TODAY()),"🟡 VENCE HOJE",IF(AND(P3891&lt;&gt;"",S3891=""),"🟡 PENDÊNCIA ABERTA",IF(AND(N(J3891)&gt;0,N(K3891)&lt;J3891),"🟡 FALTA EXECUTAR",IF(OR(M3891="PENDENTE",M3891="PARCIAL"),"🟡 FATURAMENTO PENDENTE","🟡 EMBARQUE PENDENTE")))))))))))</f>
        <v/>
      </c>
      <c r="D3891" s="4" t="n"/>
      <c r="E3891" s="5" t="n"/>
      <c r="F3891" s="5" t="n"/>
      <c r="G3891" s="5" t="n"/>
      <c r="H3891" s="5" t="n"/>
      <c r="I3891" s="5" t="n"/>
      <c r="J3891" s="6" t="n"/>
      <c r="K3891" s="6" t="n"/>
      <c r="L3891" s="7">
        <f>IF(OR(D3891="",N(J3891)=0),"",MIN(1,N(K3891)/J3891))</f>
        <v/>
      </c>
      <c r="M3891" s="5" t="n"/>
      <c r="N3891" s="5" t="n"/>
      <c r="O3891" s="5" t="n"/>
      <c r="P3891" s="5" t="n"/>
      <c r="Q3891" s="5" t="n"/>
      <c r="R3891" s="4" t="n"/>
      <c r="S3891" s="4" t="n"/>
      <c r="T3891" s="5" t="n"/>
      <c r="U3891" s="8">
        <f>IF(AND(V3891=1,D3891&lt;&gt;""),IF(D3891&gt;=corte,TODAY()-D3891,""),"")</f>
        <v/>
      </c>
      <c r="V3891" s="8">
        <f>IF(D3891="",0,IF(OR(AND(P3891&lt;&gt;"",S3891=""),AND(N(J3891)&gt;0,N(K3891)&lt;J3891),OR(M3891="PENDENTE",M3891="PARCIAL"),OR(N3891="PENDENTE",N3891="PARCIAL")),1,0))</f>
        <v/>
      </c>
      <c r="W3891" s="8">
        <f>IF(AND(V3891=1,D3891&lt;&gt;""),IF(D3891&gt;=corte,(B3891="CRÍTICO")*1E9+(100000-D3891)*10000+10000-ROW(),""),"")</f>
        <v/>
      </c>
      <c r="X3891" s="8">
        <f>IF(AND(V3891=1,D3891=pas_data,E3891=pas_turno),10000-ROW(),"")</f>
        <v/>
      </c>
    </row>
    <row r="3892">
      <c r="A3892" s="3">
        <f>IF(D3892="","","TT-"&amp;TEXT(ROW()-1,"00000"))</f>
        <v/>
      </c>
      <c r="B3892" s="3">
        <f>IF(D3892="","",IF(V3892=0,"CONCLUÍDO",IF(D3892&lt;corte,"HISTÓRICO",IF(OR(AND(ISNUMBER(R3892),R3892&lt;TODAY()),AND(OR(N3892="PENDENTE",N3892="PARCIAL"),D3892&lt;TODAY()-1)),"CRÍTICO",IF(OR(AND(P3892&lt;&gt;"",S3892=""),AND(N3892="REALIZADO",M3892="PENDENTE"),AND(ISNUMBER(R3892),R3892=TODAY())),"ATENÇÃO",IF(N(K3892)=0,"PENDENTE","EM ANDAMENTO"))))))</f>
        <v/>
      </c>
      <c r="C3892" s="3">
        <f>IF(D3892="","",IF(V3892=0,"🟢 OK",IF(D3892&lt;corte,"⚪ HISTÓRICO (sem baixa)",IF(AND(ISNUMBER(R3892),R3892&lt;TODAY()),"🔴 PRAZO VENCIDO",IF(AND(OR(N3892="PENDENTE",N3892="PARCIAL"),D3892&lt;TODAY()-1),"🔴 EMBARQUE ATRASADO",IF(AND(N3892="REALIZADO",M3892="PENDENTE"),"🟡 EMBARCADO SEM FATURAR",IF(AND(P3892&lt;&gt;"",S3892="",OR(Q3892="",R3892="")),"🟡 PENDÊNCIA SEM RESPONSÁVEL/PRAZO",IF(AND(ISNUMBER(R3892),R3892=TODAY()),"🟡 VENCE HOJE",IF(AND(P3892&lt;&gt;"",S3892=""),"🟡 PENDÊNCIA ABERTA",IF(AND(N(J3892)&gt;0,N(K3892)&lt;J3892),"🟡 FALTA EXECUTAR",IF(OR(M3892="PENDENTE",M3892="PARCIAL"),"🟡 FATURAMENTO PENDENTE","🟡 EMBARQUE PENDENTE")))))))))))</f>
        <v/>
      </c>
      <c r="D3892" s="4" t="n"/>
      <c r="E3892" s="5" t="n"/>
      <c r="F3892" s="5" t="n"/>
      <c r="G3892" s="5" t="n"/>
      <c r="H3892" s="5" t="n"/>
      <c r="I3892" s="5" t="n"/>
      <c r="J3892" s="6" t="n"/>
      <c r="K3892" s="6" t="n"/>
      <c r="L3892" s="7">
        <f>IF(OR(D3892="",N(J3892)=0),"",MIN(1,N(K3892)/J3892))</f>
        <v/>
      </c>
      <c r="M3892" s="5" t="n"/>
      <c r="N3892" s="5" t="n"/>
      <c r="O3892" s="5" t="n"/>
      <c r="P3892" s="5" t="n"/>
      <c r="Q3892" s="5" t="n"/>
      <c r="R3892" s="4" t="n"/>
      <c r="S3892" s="4" t="n"/>
      <c r="T3892" s="5" t="n"/>
      <c r="U3892" s="8">
        <f>IF(AND(V3892=1,D3892&lt;&gt;""),IF(D3892&gt;=corte,TODAY()-D3892,""),"")</f>
        <v/>
      </c>
      <c r="V3892" s="8">
        <f>IF(D3892="",0,IF(OR(AND(P3892&lt;&gt;"",S3892=""),AND(N(J3892)&gt;0,N(K3892)&lt;J3892),OR(M3892="PENDENTE",M3892="PARCIAL"),OR(N3892="PENDENTE",N3892="PARCIAL")),1,0))</f>
        <v/>
      </c>
      <c r="W3892" s="8">
        <f>IF(AND(V3892=1,D3892&lt;&gt;""),IF(D3892&gt;=corte,(B3892="CRÍTICO")*1E9+(100000-D3892)*10000+10000-ROW(),""),"")</f>
        <v/>
      </c>
      <c r="X3892" s="8">
        <f>IF(AND(V3892=1,D3892=pas_data,E3892=pas_turno),10000-ROW(),"")</f>
        <v/>
      </c>
    </row>
    <row r="3893">
      <c r="A3893" s="3">
        <f>IF(D3893="","","TT-"&amp;TEXT(ROW()-1,"00000"))</f>
        <v/>
      </c>
      <c r="B3893" s="3">
        <f>IF(D3893="","",IF(V3893=0,"CONCLUÍDO",IF(D3893&lt;corte,"HISTÓRICO",IF(OR(AND(ISNUMBER(R3893),R3893&lt;TODAY()),AND(OR(N3893="PENDENTE",N3893="PARCIAL"),D3893&lt;TODAY()-1)),"CRÍTICO",IF(OR(AND(P3893&lt;&gt;"",S3893=""),AND(N3893="REALIZADO",M3893="PENDENTE"),AND(ISNUMBER(R3893),R3893=TODAY())),"ATENÇÃO",IF(N(K3893)=0,"PENDENTE","EM ANDAMENTO"))))))</f>
        <v/>
      </c>
      <c r="C3893" s="3">
        <f>IF(D3893="","",IF(V3893=0,"🟢 OK",IF(D3893&lt;corte,"⚪ HISTÓRICO (sem baixa)",IF(AND(ISNUMBER(R3893),R3893&lt;TODAY()),"🔴 PRAZO VENCIDO",IF(AND(OR(N3893="PENDENTE",N3893="PARCIAL"),D3893&lt;TODAY()-1),"🔴 EMBARQUE ATRASADO",IF(AND(N3893="REALIZADO",M3893="PENDENTE"),"🟡 EMBARCADO SEM FATURAR",IF(AND(P3893&lt;&gt;"",S3893="",OR(Q3893="",R3893="")),"🟡 PENDÊNCIA SEM RESPONSÁVEL/PRAZO",IF(AND(ISNUMBER(R3893),R3893=TODAY()),"🟡 VENCE HOJE",IF(AND(P3893&lt;&gt;"",S3893=""),"🟡 PENDÊNCIA ABERTA",IF(AND(N(J3893)&gt;0,N(K3893)&lt;J3893),"🟡 FALTA EXECUTAR",IF(OR(M3893="PENDENTE",M3893="PARCIAL"),"🟡 FATURAMENTO PENDENTE","🟡 EMBARQUE PENDENTE")))))))))))</f>
        <v/>
      </c>
      <c r="D3893" s="4" t="n"/>
      <c r="E3893" s="5" t="n"/>
      <c r="F3893" s="5" t="n"/>
      <c r="G3893" s="5" t="n"/>
      <c r="H3893" s="5" t="n"/>
      <c r="I3893" s="5" t="n"/>
      <c r="J3893" s="6" t="n"/>
      <c r="K3893" s="6" t="n"/>
      <c r="L3893" s="7">
        <f>IF(OR(D3893="",N(J3893)=0),"",MIN(1,N(K3893)/J3893))</f>
        <v/>
      </c>
      <c r="M3893" s="5" t="n"/>
      <c r="N3893" s="5" t="n"/>
      <c r="O3893" s="5" t="n"/>
      <c r="P3893" s="5" t="n"/>
      <c r="Q3893" s="5" t="n"/>
      <c r="R3893" s="4" t="n"/>
      <c r="S3893" s="4" t="n"/>
      <c r="T3893" s="5" t="n"/>
      <c r="U3893" s="8">
        <f>IF(AND(V3893=1,D3893&lt;&gt;""),IF(D3893&gt;=corte,TODAY()-D3893,""),"")</f>
        <v/>
      </c>
      <c r="V3893" s="8">
        <f>IF(D3893="",0,IF(OR(AND(P3893&lt;&gt;"",S3893=""),AND(N(J3893)&gt;0,N(K3893)&lt;J3893),OR(M3893="PENDENTE",M3893="PARCIAL"),OR(N3893="PENDENTE",N3893="PARCIAL")),1,0))</f>
        <v/>
      </c>
      <c r="W3893" s="8">
        <f>IF(AND(V3893=1,D3893&lt;&gt;""),IF(D3893&gt;=corte,(B3893="CRÍTICO")*1E9+(100000-D3893)*10000+10000-ROW(),""),"")</f>
        <v/>
      </c>
      <c r="X3893" s="8">
        <f>IF(AND(V3893=1,D3893=pas_data,E3893=pas_turno),10000-ROW(),"")</f>
        <v/>
      </c>
    </row>
    <row r="3894">
      <c r="A3894" s="3">
        <f>IF(D3894="","","TT-"&amp;TEXT(ROW()-1,"00000"))</f>
        <v/>
      </c>
      <c r="B3894" s="3">
        <f>IF(D3894="","",IF(V3894=0,"CONCLUÍDO",IF(D3894&lt;corte,"HISTÓRICO",IF(OR(AND(ISNUMBER(R3894),R3894&lt;TODAY()),AND(OR(N3894="PENDENTE",N3894="PARCIAL"),D3894&lt;TODAY()-1)),"CRÍTICO",IF(OR(AND(P3894&lt;&gt;"",S3894=""),AND(N3894="REALIZADO",M3894="PENDENTE"),AND(ISNUMBER(R3894),R3894=TODAY())),"ATENÇÃO",IF(N(K3894)=0,"PENDENTE","EM ANDAMENTO"))))))</f>
        <v/>
      </c>
      <c r="C3894" s="3">
        <f>IF(D3894="","",IF(V3894=0,"🟢 OK",IF(D3894&lt;corte,"⚪ HISTÓRICO (sem baixa)",IF(AND(ISNUMBER(R3894),R3894&lt;TODAY()),"🔴 PRAZO VENCIDO",IF(AND(OR(N3894="PENDENTE",N3894="PARCIAL"),D3894&lt;TODAY()-1),"🔴 EMBARQUE ATRASADO",IF(AND(N3894="REALIZADO",M3894="PENDENTE"),"🟡 EMBARCADO SEM FATURAR",IF(AND(P3894&lt;&gt;"",S3894="",OR(Q3894="",R3894="")),"🟡 PENDÊNCIA SEM RESPONSÁVEL/PRAZO",IF(AND(ISNUMBER(R3894),R3894=TODAY()),"🟡 VENCE HOJE",IF(AND(P3894&lt;&gt;"",S3894=""),"🟡 PENDÊNCIA ABERTA",IF(AND(N(J3894)&gt;0,N(K3894)&lt;J3894),"🟡 FALTA EXECUTAR",IF(OR(M3894="PENDENTE",M3894="PARCIAL"),"🟡 FATURAMENTO PENDENTE","🟡 EMBARQUE PENDENTE")))))))))))</f>
        <v/>
      </c>
      <c r="D3894" s="4" t="n"/>
      <c r="E3894" s="5" t="n"/>
      <c r="F3894" s="5" t="n"/>
      <c r="G3894" s="5" t="n"/>
      <c r="H3894" s="5" t="n"/>
      <c r="I3894" s="5" t="n"/>
      <c r="J3894" s="6" t="n"/>
      <c r="K3894" s="6" t="n"/>
      <c r="L3894" s="7">
        <f>IF(OR(D3894="",N(J3894)=0),"",MIN(1,N(K3894)/J3894))</f>
        <v/>
      </c>
      <c r="M3894" s="5" t="n"/>
      <c r="N3894" s="5" t="n"/>
      <c r="O3894" s="5" t="n"/>
      <c r="P3894" s="5" t="n"/>
      <c r="Q3894" s="5" t="n"/>
      <c r="R3894" s="4" t="n"/>
      <c r="S3894" s="4" t="n"/>
      <c r="T3894" s="5" t="n"/>
      <c r="U3894" s="8">
        <f>IF(AND(V3894=1,D3894&lt;&gt;""),IF(D3894&gt;=corte,TODAY()-D3894,""),"")</f>
        <v/>
      </c>
      <c r="V3894" s="8">
        <f>IF(D3894="",0,IF(OR(AND(P3894&lt;&gt;"",S3894=""),AND(N(J3894)&gt;0,N(K3894)&lt;J3894),OR(M3894="PENDENTE",M3894="PARCIAL"),OR(N3894="PENDENTE",N3894="PARCIAL")),1,0))</f>
        <v/>
      </c>
      <c r="W3894" s="8">
        <f>IF(AND(V3894=1,D3894&lt;&gt;""),IF(D3894&gt;=corte,(B3894="CRÍTICO")*1E9+(100000-D3894)*10000+10000-ROW(),""),"")</f>
        <v/>
      </c>
      <c r="X3894" s="8">
        <f>IF(AND(V3894=1,D3894=pas_data,E3894=pas_turno),10000-ROW(),"")</f>
        <v/>
      </c>
    </row>
    <row r="3895">
      <c r="A3895" s="3">
        <f>IF(D3895="","","TT-"&amp;TEXT(ROW()-1,"00000"))</f>
        <v/>
      </c>
      <c r="B3895" s="3">
        <f>IF(D3895="","",IF(V3895=0,"CONCLUÍDO",IF(D3895&lt;corte,"HISTÓRICO",IF(OR(AND(ISNUMBER(R3895),R3895&lt;TODAY()),AND(OR(N3895="PENDENTE",N3895="PARCIAL"),D3895&lt;TODAY()-1)),"CRÍTICO",IF(OR(AND(P3895&lt;&gt;"",S3895=""),AND(N3895="REALIZADO",M3895="PENDENTE"),AND(ISNUMBER(R3895),R3895=TODAY())),"ATENÇÃO",IF(N(K3895)=0,"PENDENTE","EM ANDAMENTO"))))))</f>
        <v/>
      </c>
      <c r="C3895" s="3">
        <f>IF(D3895="","",IF(V3895=0,"🟢 OK",IF(D3895&lt;corte,"⚪ HISTÓRICO (sem baixa)",IF(AND(ISNUMBER(R3895),R3895&lt;TODAY()),"🔴 PRAZO VENCIDO",IF(AND(OR(N3895="PENDENTE",N3895="PARCIAL"),D3895&lt;TODAY()-1),"🔴 EMBARQUE ATRASADO",IF(AND(N3895="REALIZADO",M3895="PENDENTE"),"🟡 EMBARCADO SEM FATURAR",IF(AND(P3895&lt;&gt;"",S3895="",OR(Q3895="",R3895="")),"🟡 PENDÊNCIA SEM RESPONSÁVEL/PRAZO",IF(AND(ISNUMBER(R3895),R3895=TODAY()),"🟡 VENCE HOJE",IF(AND(P3895&lt;&gt;"",S3895=""),"🟡 PENDÊNCIA ABERTA",IF(AND(N(J3895)&gt;0,N(K3895)&lt;J3895),"🟡 FALTA EXECUTAR",IF(OR(M3895="PENDENTE",M3895="PARCIAL"),"🟡 FATURAMENTO PENDENTE","🟡 EMBARQUE PENDENTE")))))))))))</f>
        <v/>
      </c>
      <c r="D3895" s="4" t="n"/>
      <c r="E3895" s="5" t="n"/>
      <c r="F3895" s="5" t="n"/>
      <c r="G3895" s="5" t="n"/>
      <c r="H3895" s="5" t="n"/>
      <c r="I3895" s="5" t="n"/>
      <c r="J3895" s="6" t="n"/>
      <c r="K3895" s="6" t="n"/>
      <c r="L3895" s="7">
        <f>IF(OR(D3895="",N(J3895)=0),"",MIN(1,N(K3895)/J3895))</f>
        <v/>
      </c>
      <c r="M3895" s="5" t="n"/>
      <c r="N3895" s="5" t="n"/>
      <c r="O3895" s="5" t="n"/>
      <c r="P3895" s="5" t="n"/>
      <c r="Q3895" s="5" t="n"/>
      <c r="R3895" s="4" t="n"/>
      <c r="S3895" s="4" t="n"/>
      <c r="T3895" s="5" t="n"/>
      <c r="U3895" s="8">
        <f>IF(AND(V3895=1,D3895&lt;&gt;""),IF(D3895&gt;=corte,TODAY()-D3895,""),"")</f>
        <v/>
      </c>
      <c r="V3895" s="8">
        <f>IF(D3895="",0,IF(OR(AND(P3895&lt;&gt;"",S3895=""),AND(N(J3895)&gt;0,N(K3895)&lt;J3895),OR(M3895="PENDENTE",M3895="PARCIAL"),OR(N3895="PENDENTE",N3895="PARCIAL")),1,0))</f>
        <v/>
      </c>
      <c r="W3895" s="8">
        <f>IF(AND(V3895=1,D3895&lt;&gt;""),IF(D3895&gt;=corte,(B3895="CRÍTICO")*1E9+(100000-D3895)*10000+10000-ROW(),""),"")</f>
        <v/>
      </c>
      <c r="X3895" s="8">
        <f>IF(AND(V3895=1,D3895=pas_data,E3895=pas_turno),10000-ROW(),"")</f>
        <v/>
      </c>
    </row>
    <row r="3896">
      <c r="A3896" s="3">
        <f>IF(D3896="","","TT-"&amp;TEXT(ROW()-1,"00000"))</f>
        <v/>
      </c>
      <c r="B3896" s="3">
        <f>IF(D3896="","",IF(V3896=0,"CONCLUÍDO",IF(D3896&lt;corte,"HISTÓRICO",IF(OR(AND(ISNUMBER(R3896),R3896&lt;TODAY()),AND(OR(N3896="PENDENTE",N3896="PARCIAL"),D3896&lt;TODAY()-1)),"CRÍTICO",IF(OR(AND(P3896&lt;&gt;"",S3896=""),AND(N3896="REALIZADO",M3896="PENDENTE"),AND(ISNUMBER(R3896),R3896=TODAY())),"ATENÇÃO",IF(N(K3896)=0,"PENDENTE","EM ANDAMENTO"))))))</f>
        <v/>
      </c>
      <c r="C3896" s="3">
        <f>IF(D3896="","",IF(V3896=0,"🟢 OK",IF(D3896&lt;corte,"⚪ HISTÓRICO (sem baixa)",IF(AND(ISNUMBER(R3896),R3896&lt;TODAY()),"🔴 PRAZO VENCIDO",IF(AND(OR(N3896="PENDENTE",N3896="PARCIAL"),D3896&lt;TODAY()-1),"🔴 EMBARQUE ATRASADO",IF(AND(N3896="REALIZADO",M3896="PENDENTE"),"🟡 EMBARCADO SEM FATURAR",IF(AND(P3896&lt;&gt;"",S3896="",OR(Q3896="",R3896="")),"🟡 PENDÊNCIA SEM RESPONSÁVEL/PRAZO",IF(AND(ISNUMBER(R3896),R3896=TODAY()),"🟡 VENCE HOJE",IF(AND(P3896&lt;&gt;"",S3896=""),"🟡 PENDÊNCIA ABERTA",IF(AND(N(J3896)&gt;0,N(K3896)&lt;J3896),"🟡 FALTA EXECUTAR",IF(OR(M3896="PENDENTE",M3896="PARCIAL"),"🟡 FATURAMENTO PENDENTE","🟡 EMBARQUE PENDENTE")))))))))))</f>
        <v/>
      </c>
      <c r="D3896" s="4" t="n"/>
      <c r="E3896" s="5" t="n"/>
      <c r="F3896" s="5" t="n"/>
      <c r="G3896" s="5" t="n"/>
      <c r="H3896" s="5" t="n"/>
      <c r="I3896" s="5" t="n"/>
      <c r="J3896" s="6" t="n"/>
      <c r="K3896" s="6" t="n"/>
      <c r="L3896" s="7">
        <f>IF(OR(D3896="",N(J3896)=0),"",MIN(1,N(K3896)/J3896))</f>
        <v/>
      </c>
      <c r="M3896" s="5" t="n"/>
      <c r="N3896" s="5" t="n"/>
      <c r="O3896" s="5" t="n"/>
      <c r="P3896" s="5" t="n"/>
      <c r="Q3896" s="5" t="n"/>
      <c r="R3896" s="4" t="n"/>
      <c r="S3896" s="4" t="n"/>
      <c r="T3896" s="5" t="n"/>
      <c r="U3896" s="8">
        <f>IF(AND(V3896=1,D3896&lt;&gt;""),IF(D3896&gt;=corte,TODAY()-D3896,""),"")</f>
        <v/>
      </c>
      <c r="V3896" s="8">
        <f>IF(D3896="",0,IF(OR(AND(P3896&lt;&gt;"",S3896=""),AND(N(J3896)&gt;0,N(K3896)&lt;J3896),OR(M3896="PENDENTE",M3896="PARCIAL"),OR(N3896="PENDENTE",N3896="PARCIAL")),1,0))</f>
        <v/>
      </c>
      <c r="W3896" s="8">
        <f>IF(AND(V3896=1,D3896&lt;&gt;""),IF(D3896&gt;=corte,(B3896="CRÍTICO")*1E9+(100000-D3896)*10000+10000-ROW(),""),"")</f>
        <v/>
      </c>
      <c r="X3896" s="8">
        <f>IF(AND(V3896=1,D3896=pas_data,E3896=pas_turno),10000-ROW(),"")</f>
        <v/>
      </c>
    </row>
    <row r="3897">
      <c r="A3897" s="3">
        <f>IF(D3897="","","TT-"&amp;TEXT(ROW()-1,"00000"))</f>
        <v/>
      </c>
      <c r="B3897" s="3">
        <f>IF(D3897="","",IF(V3897=0,"CONCLUÍDO",IF(D3897&lt;corte,"HISTÓRICO",IF(OR(AND(ISNUMBER(R3897),R3897&lt;TODAY()),AND(OR(N3897="PENDENTE",N3897="PARCIAL"),D3897&lt;TODAY()-1)),"CRÍTICO",IF(OR(AND(P3897&lt;&gt;"",S3897=""),AND(N3897="REALIZADO",M3897="PENDENTE"),AND(ISNUMBER(R3897),R3897=TODAY())),"ATENÇÃO",IF(N(K3897)=0,"PENDENTE","EM ANDAMENTO"))))))</f>
        <v/>
      </c>
      <c r="C3897" s="3">
        <f>IF(D3897="","",IF(V3897=0,"🟢 OK",IF(D3897&lt;corte,"⚪ HISTÓRICO (sem baixa)",IF(AND(ISNUMBER(R3897),R3897&lt;TODAY()),"🔴 PRAZO VENCIDO",IF(AND(OR(N3897="PENDENTE",N3897="PARCIAL"),D3897&lt;TODAY()-1),"🔴 EMBARQUE ATRASADO",IF(AND(N3897="REALIZADO",M3897="PENDENTE"),"🟡 EMBARCADO SEM FATURAR",IF(AND(P3897&lt;&gt;"",S3897="",OR(Q3897="",R3897="")),"🟡 PENDÊNCIA SEM RESPONSÁVEL/PRAZO",IF(AND(ISNUMBER(R3897),R3897=TODAY()),"🟡 VENCE HOJE",IF(AND(P3897&lt;&gt;"",S3897=""),"🟡 PENDÊNCIA ABERTA",IF(AND(N(J3897)&gt;0,N(K3897)&lt;J3897),"🟡 FALTA EXECUTAR",IF(OR(M3897="PENDENTE",M3897="PARCIAL"),"🟡 FATURAMENTO PENDENTE","🟡 EMBARQUE PENDENTE")))))))))))</f>
        <v/>
      </c>
      <c r="D3897" s="4" t="n"/>
      <c r="E3897" s="5" t="n"/>
      <c r="F3897" s="5" t="n"/>
      <c r="G3897" s="5" t="n"/>
      <c r="H3897" s="5" t="n"/>
      <c r="I3897" s="5" t="n"/>
      <c r="J3897" s="6" t="n"/>
      <c r="K3897" s="6" t="n"/>
      <c r="L3897" s="7">
        <f>IF(OR(D3897="",N(J3897)=0),"",MIN(1,N(K3897)/J3897))</f>
        <v/>
      </c>
      <c r="M3897" s="5" t="n"/>
      <c r="N3897" s="5" t="n"/>
      <c r="O3897" s="5" t="n"/>
      <c r="P3897" s="5" t="n"/>
      <c r="Q3897" s="5" t="n"/>
      <c r="R3897" s="4" t="n"/>
      <c r="S3897" s="4" t="n"/>
      <c r="T3897" s="5" t="n"/>
      <c r="U3897" s="8">
        <f>IF(AND(V3897=1,D3897&lt;&gt;""),IF(D3897&gt;=corte,TODAY()-D3897,""),"")</f>
        <v/>
      </c>
      <c r="V3897" s="8">
        <f>IF(D3897="",0,IF(OR(AND(P3897&lt;&gt;"",S3897=""),AND(N(J3897)&gt;0,N(K3897)&lt;J3897),OR(M3897="PENDENTE",M3897="PARCIAL"),OR(N3897="PENDENTE",N3897="PARCIAL")),1,0))</f>
        <v/>
      </c>
      <c r="W3897" s="8">
        <f>IF(AND(V3897=1,D3897&lt;&gt;""),IF(D3897&gt;=corte,(B3897="CRÍTICO")*1E9+(100000-D3897)*10000+10000-ROW(),""),"")</f>
        <v/>
      </c>
      <c r="X3897" s="8">
        <f>IF(AND(V3897=1,D3897=pas_data,E3897=pas_turno),10000-ROW(),"")</f>
        <v/>
      </c>
    </row>
    <row r="3898">
      <c r="A3898" s="3">
        <f>IF(D3898="","","TT-"&amp;TEXT(ROW()-1,"00000"))</f>
        <v/>
      </c>
      <c r="B3898" s="3">
        <f>IF(D3898="","",IF(V3898=0,"CONCLUÍDO",IF(D3898&lt;corte,"HISTÓRICO",IF(OR(AND(ISNUMBER(R3898),R3898&lt;TODAY()),AND(OR(N3898="PENDENTE",N3898="PARCIAL"),D3898&lt;TODAY()-1)),"CRÍTICO",IF(OR(AND(P3898&lt;&gt;"",S3898=""),AND(N3898="REALIZADO",M3898="PENDENTE"),AND(ISNUMBER(R3898),R3898=TODAY())),"ATENÇÃO",IF(N(K3898)=0,"PENDENTE","EM ANDAMENTO"))))))</f>
        <v/>
      </c>
      <c r="C3898" s="3">
        <f>IF(D3898="","",IF(V3898=0,"🟢 OK",IF(D3898&lt;corte,"⚪ HISTÓRICO (sem baixa)",IF(AND(ISNUMBER(R3898),R3898&lt;TODAY()),"🔴 PRAZO VENCIDO",IF(AND(OR(N3898="PENDENTE",N3898="PARCIAL"),D3898&lt;TODAY()-1),"🔴 EMBARQUE ATRASADO",IF(AND(N3898="REALIZADO",M3898="PENDENTE"),"🟡 EMBARCADO SEM FATURAR",IF(AND(P3898&lt;&gt;"",S3898="",OR(Q3898="",R3898="")),"🟡 PENDÊNCIA SEM RESPONSÁVEL/PRAZO",IF(AND(ISNUMBER(R3898),R3898=TODAY()),"🟡 VENCE HOJE",IF(AND(P3898&lt;&gt;"",S3898=""),"🟡 PENDÊNCIA ABERTA",IF(AND(N(J3898)&gt;0,N(K3898)&lt;J3898),"🟡 FALTA EXECUTAR",IF(OR(M3898="PENDENTE",M3898="PARCIAL"),"🟡 FATURAMENTO PENDENTE","🟡 EMBARQUE PENDENTE")))))))))))</f>
        <v/>
      </c>
      <c r="D3898" s="4" t="n"/>
      <c r="E3898" s="5" t="n"/>
      <c r="F3898" s="5" t="n"/>
      <c r="G3898" s="5" t="n"/>
      <c r="H3898" s="5" t="n"/>
      <c r="I3898" s="5" t="n"/>
      <c r="J3898" s="6" t="n"/>
      <c r="K3898" s="6" t="n"/>
      <c r="L3898" s="7">
        <f>IF(OR(D3898="",N(J3898)=0),"",MIN(1,N(K3898)/J3898))</f>
        <v/>
      </c>
      <c r="M3898" s="5" t="n"/>
      <c r="N3898" s="5" t="n"/>
      <c r="O3898" s="5" t="n"/>
      <c r="P3898" s="5" t="n"/>
      <c r="Q3898" s="5" t="n"/>
      <c r="R3898" s="4" t="n"/>
      <c r="S3898" s="4" t="n"/>
      <c r="T3898" s="5" t="n"/>
      <c r="U3898" s="8">
        <f>IF(AND(V3898=1,D3898&lt;&gt;""),IF(D3898&gt;=corte,TODAY()-D3898,""),"")</f>
        <v/>
      </c>
      <c r="V3898" s="8">
        <f>IF(D3898="",0,IF(OR(AND(P3898&lt;&gt;"",S3898=""),AND(N(J3898)&gt;0,N(K3898)&lt;J3898),OR(M3898="PENDENTE",M3898="PARCIAL"),OR(N3898="PENDENTE",N3898="PARCIAL")),1,0))</f>
        <v/>
      </c>
      <c r="W3898" s="8">
        <f>IF(AND(V3898=1,D3898&lt;&gt;""),IF(D3898&gt;=corte,(B3898="CRÍTICO")*1E9+(100000-D3898)*10000+10000-ROW(),""),"")</f>
        <v/>
      </c>
      <c r="X3898" s="8">
        <f>IF(AND(V3898=1,D3898=pas_data,E3898=pas_turno),10000-ROW(),"")</f>
        <v/>
      </c>
    </row>
    <row r="3899">
      <c r="A3899" s="3">
        <f>IF(D3899="","","TT-"&amp;TEXT(ROW()-1,"00000"))</f>
        <v/>
      </c>
      <c r="B3899" s="3">
        <f>IF(D3899="","",IF(V3899=0,"CONCLUÍDO",IF(D3899&lt;corte,"HISTÓRICO",IF(OR(AND(ISNUMBER(R3899),R3899&lt;TODAY()),AND(OR(N3899="PENDENTE",N3899="PARCIAL"),D3899&lt;TODAY()-1)),"CRÍTICO",IF(OR(AND(P3899&lt;&gt;"",S3899=""),AND(N3899="REALIZADO",M3899="PENDENTE"),AND(ISNUMBER(R3899),R3899=TODAY())),"ATENÇÃO",IF(N(K3899)=0,"PENDENTE","EM ANDAMENTO"))))))</f>
        <v/>
      </c>
      <c r="C3899" s="3">
        <f>IF(D3899="","",IF(V3899=0,"🟢 OK",IF(D3899&lt;corte,"⚪ HISTÓRICO (sem baixa)",IF(AND(ISNUMBER(R3899),R3899&lt;TODAY()),"🔴 PRAZO VENCIDO",IF(AND(OR(N3899="PENDENTE",N3899="PARCIAL"),D3899&lt;TODAY()-1),"🔴 EMBARQUE ATRASADO",IF(AND(N3899="REALIZADO",M3899="PENDENTE"),"🟡 EMBARCADO SEM FATURAR",IF(AND(P3899&lt;&gt;"",S3899="",OR(Q3899="",R3899="")),"🟡 PENDÊNCIA SEM RESPONSÁVEL/PRAZO",IF(AND(ISNUMBER(R3899),R3899=TODAY()),"🟡 VENCE HOJE",IF(AND(P3899&lt;&gt;"",S3899=""),"🟡 PENDÊNCIA ABERTA",IF(AND(N(J3899)&gt;0,N(K3899)&lt;J3899),"🟡 FALTA EXECUTAR",IF(OR(M3899="PENDENTE",M3899="PARCIAL"),"🟡 FATURAMENTO PENDENTE","🟡 EMBARQUE PENDENTE")))))))))))</f>
        <v/>
      </c>
      <c r="D3899" s="4" t="n"/>
      <c r="E3899" s="5" t="n"/>
      <c r="F3899" s="5" t="n"/>
      <c r="G3899" s="5" t="n"/>
      <c r="H3899" s="5" t="n"/>
      <c r="I3899" s="5" t="n"/>
      <c r="J3899" s="6" t="n"/>
      <c r="K3899" s="6" t="n"/>
      <c r="L3899" s="7">
        <f>IF(OR(D3899="",N(J3899)=0),"",MIN(1,N(K3899)/J3899))</f>
        <v/>
      </c>
      <c r="M3899" s="5" t="n"/>
      <c r="N3899" s="5" t="n"/>
      <c r="O3899" s="5" t="n"/>
      <c r="P3899" s="5" t="n"/>
      <c r="Q3899" s="5" t="n"/>
      <c r="R3899" s="4" t="n"/>
      <c r="S3899" s="4" t="n"/>
      <c r="T3899" s="5" t="n"/>
      <c r="U3899" s="8">
        <f>IF(AND(V3899=1,D3899&lt;&gt;""),IF(D3899&gt;=corte,TODAY()-D3899,""),"")</f>
        <v/>
      </c>
      <c r="V3899" s="8">
        <f>IF(D3899="",0,IF(OR(AND(P3899&lt;&gt;"",S3899=""),AND(N(J3899)&gt;0,N(K3899)&lt;J3899),OR(M3899="PENDENTE",M3899="PARCIAL"),OR(N3899="PENDENTE",N3899="PARCIAL")),1,0))</f>
        <v/>
      </c>
      <c r="W3899" s="8">
        <f>IF(AND(V3899=1,D3899&lt;&gt;""),IF(D3899&gt;=corte,(B3899="CRÍTICO")*1E9+(100000-D3899)*10000+10000-ROW(),""),"")</f>
        <v/>
      </c>
      <c r="X3899" s="8">
        <f>IF(AND(V3899=1,D3899=pas_data,E3899=pas_turno),10000-ROW(),"")</f>
        <v/>
      </c>
    </row>
    <row r="3900">
      <c r="A3900" s="3">
        <f>IF(D3900="","","TT-"&amp;TEXT(ROW()-1,"00000"))</f>
        <v/>
      </c>
      <c r="B3900" s="3">
        <f>IF(D3900="","",IF(V3900=0,"CONCLUÍDO",IF(D3900&lt;corte,"HISTÓRICO",IF(OR(AND(ISNUMBER(R3900),R3900&lt;TODAY()),AND(OR(N3900="PENDENTE",N3900="PARCIAL"),D3900&lt;TODAY()-1)),"CRÍTICO",IF(OR(AND(P3900&lt;&gt;"",S3900=""),AND(N3900="REALIZADO",M3900="PENDENTE"),AND(ISNUMBER(R3900),R3900=TODAY())),"ATENÇÃO",IF(N(K3900)=0,"PENDENTE","EM ANDAMENTO"))))))</f>
        <v/>
      </c>
      <c r="C3900" s="3">
        <f>IF(D3900="","",IF(V3900=0,"🟢 OK",IF(D3900&lt;corte,"⚪ HISTÓRICO (sem baixa)",IF(AND(ISNUMBER(R3900),R3900&lt;TODAY()),"🔴 PRAZO VENCIDO",IF(AND(OR(N3900="PENDENTE",N3900="PARCIAL"),D3900&lt;TODAY()-1),"🔴 EMBARQUE ATRASADO",IF(AND(N3900="REALIZADO",M3900="PENDENTE"),"🟡 EMBARCADO SEM FATURAR",IF(AND(P3900&lt;&gt;"",S3900="",OR(Q3900="",R3900="")),"🟡 PENDÊNCIA SEM RESPONSÁVEL/PRAZO",IF(AND(ISNUMBER(R3900),R3900=TODAY()),"🟡 VENCE HOJE",IF(AND(P3900&lt;&gt;"",S3900=""),"🟡 PENDÊNCIA ABERTA",IF(AND(N(J3900)&gt;0,N(K3900)&lt;J3900),"🟡 FALTA EXECUTAR",IF(OR(M3900="PENDENTE",M3900="PARCIAL"),"🟡 FATURAMENTO PENDENTE","🟡 EMBARQUE PENDENTE")))))))))))</f>
        <v/>
      </c>
      <c r="D3900" s="4" t="n"/>
      <c r="E3900" s="5" t="n"/>
      <c r="F3900" s="5" t="n"/>
      <c r="G3900" s="5" t="n"/>
      <c r="H3900" s="5" t="n"/>
      <c r="I3900" s="5" t="n"/>
      <c r="J3900" s="6" t="n"/>
      <c r="K3900" s="6" t="n"/>
      <c r="L3900" s="7">
        <f>IF(OR(D3900="",N(J3900)=0),"",MIN(1,N(K3900)/J3900))</f>
        <v/>
      </c>
      <c r="M3900" s="5" t="n"/>
      <c r="N3900" s="5" t="n"/>
      <c r="O3900" s="5" t="n"/>
      <c r="P3900" s="5" t="n"/>
      <c r="Q3900" s="5" t="n"/>
      <c r="R3900" s="4" t="n"/>
      <c r="S3900" s="4" t="n"/>
      <c r="T3900" s="5" t="n"/>
      <c r="U3900" s="8">
        <f>IF(AND(V3900=1,D3900&lt;&gt;""),IF(D3900&gt;=corte,TODAY()-D3900,""),"")</f>
        <v/>
      </c>
      <c r="V3900" s="8">
        <f>IF(D3900="",0,IF(OR(AND(P3900&lt;&gt;"",S3900=""),AND(N(J3900)&gt;0,N(K3900)&lt;J3900),OR(M3900="PENDENTE",M3900="PARCIAL"),OR(N3900="PENDENTE",N3900="PARCIAL")),1,0))</f>
        <v/>
      </c>
      <c r="W3900" s="8">
        <f>IF(AND(V3900=1,D3900&lt;&gt;""),IF(D3900&gt;=corte,(B3900="CRÍTICO")*1E9+(100000-D3900)*10000+10000-ROW(),""),"")</f>
        <v/>
      </c>
      <c r="X3900" s="8">
        <f>IF(AND(V3900=1,D3900=pas_data,E3900=pas_turno),10000-ROW(),"")</f>
        <v/>
      </c>
    </row>
    <row r="3901">
      <c r="A3901" s="3">
        <f>IF(D3901="","","TT-"&amp;TEXT(ROW()-1,"00000"))</f>
        <v/>
      </c>
      <c r="B3901" s="3">
        <f>IF(D3901="","",IF(V3901=0,"CONCLUÍDO",IF(D3901&lt;corte,"HISTÓRICO",IF(OR(AND(ISNUMBER(R3901),R3901&lt;TODAY()),AND(OR(N3901="PENDENTE",N3901="PARCIAL"),D3901&lt;TODAY()-1)),"CRÍTICO",IF(OR(AND(P3901&lt;&gt;"",S3901=""),AND(N3901="REALIZADO",M3901="PENDENTE"),AND(ISNUMBER(R3901),R3901=TODAY())),"ATENÇÃO",IF(N(K3901)=0,"PENDENTE","EM ANDAMENTO"))))))</f>
        <v/>
      </c>
      <c r="C3901" s="3">
        <f>IF(D3901="","",IF(V3901=0,"🟢 OK",IF(D3901&lt;corte,"⚪ HISTÓRICO (sem baixa)",IF(AND(ISNUMBER(R3901),R3901&lt;TODAY()),"🔴 PRAZO VENCIDO",IF(AND(OR(N3901="PENDENTE",N3901="PARCIAL"),D3901&lt;TODAY()-1),"🔴 EMBARQUE ATRASADO",IF(AND(N3901="REALIZADO",M3901="PENDENTE"),"🟡 EMBARCADO SEM FATURAR",IF(AND(P3901&lt;&gt;"",S3901="",OR(Q3901="",R3901="")),"🟡 PENDÊNCIA SEM RESPONSÁVEL/PRAZO",IF(AND(ISNUMBER(R3901),R3901=TODAY()),"🟡 VENCE HOJE",IF(AND(P3901&lt;&gt;"",S3901=""),"🟡 PENDÊNCIA ABERTA",IF(AND(N(J3901)&gt;0,N(K3901)&lt;J3901),"🟡 FALTA EXECUTAR",IF(OR(M3901="PENDENTE",M3901="PARCIAL"),"🟡 FATURAMENTO PENDENTE","🟡 EMBARQUE PENDENTE")))))))))))</f>
        <v/>
      </c>
      <c r="D3901" s="4" t="n"/>
      <c r="E3901" s="5" t="n"/>
      <c r="F3901" s="5" t="n"/>
      <c r="G3901" s="5" t="n"/>
      <c r="H3901" s="5" t="n"/>
      <c r="I3901" s="5" t="n"/>
      <c r="J3901" s="6" t="n"/>
      <c r="K3901" s="6" t="n"/>
      <c r="L3901" s="7">
        <f>IF(OR(D3901="",N(J3901)=0),"",MIN(1,N(K3901)/J3901))</f>
        <v/>
      </c>
      <c r="M3901" s="5" t="n"/>
      <c r="N3901" s="5" t="n"/>
      <c r="O3901" s="5" t="n"/>
      <c r="P3901" s="5" t="n"/>
      <c r="Q3901" s="5" t="n"/>
      <c r="R3901" s="4" t="n"/>
      <c r="S3901" s="4" t="n"/>
      <c r="T3901" s="5" t="n"/>
      <c r="U3901" s="8">
        <f>IF(AND(V3901=1,D3901&lt;&gt;""),IF(D3901&gt;=corte,TODAY()-D3901,""),"")</f>
        <v/>
      </c>
      <c r="V3901" s="8">
        <f>IF(D3901="",0,IF(OR(AND(P3901&lt;&gt;"",S3901=""),AND(N(J3901)&gt;0,N(K3901)&lt;J3901),OR(M3901="PENDENTE",M3901="PARCIAL"),OR(N3901="PENDENTE",N3901="PARCIAL")),1,0))</f>
        <v/>
      </c>
      <c r="W3901" s="8">
        <f>IF(AND(V3901=1,D3901&lt;&gt;""),IF(D3901&gt;=corte,(B3901="CRÍTICO")*1E9+(100000-D3901)*10000+10000-ROW(),""),"")</f>
        <v/>
      </c>
      <c r="X3901" s="8">
        <f>IF(AND(V3901=1,D3901=pas_data,E3901=pas_turno),10000-ROW(),"")</f>
        <v/>
      </c>
    </row>
    <row r="3902">
      <c r="A3902" s="3">
        <f>IF(D3902="","","TT-"&amp;TEXT(ROW()-1,"00000"))</f>
        <v/>
      </c>
      <c r="B3902" s="3">
        <f>IF(D3902="","",IF(V3902=0,"CONCLUÍDO",IF(D3902&lt;corte,"HISTÓRICO",IF(OR(AND(ISNUMBER(R3902),R3902&lt;TODAY()),AND(OR(N3902="PENDENTE",N3902="PARCIAL"),D3902&lt;TODAY()-1)),"CRÍTICO",IF(OR(AND(P3902&lt;&gt;"",S3902=""),AND(N3902="REALIZADO",M3902="PENDENTE"),AND(ISNUMBER(R3902),R3902=TODAY())),"ATENÇÃO",IF(N(K3902)=0,"PENDENTE","EM ANDAMENTO"))))))</f>
        <v/>
      </c>
      <c r="C3902" s="3">
        <f>IF(D3902="","",IF(V3902=0,"🟢 OK",IF(D3902&lt;corte,"⚪ HISTÓRICO (sem baixa)",IF(AND(ISNUMBER(R3902),R3902&lt;TODAY()),"🔴 PRAZO VENCIDO",IF(AND(OR(N3902="PENDENTE",N3902="PARCIAL"),D3902&lt;TODAY()-1),"🔴 EMBARQUE ATRASADO",IF(AND(N3902="REALIZADO",M3902="PENDENTE"),"🟡 EMBARCADO SEM FATURAR",IF(AND(P3902&lt;&gt;"",S3902="",OR(Q3902="",R3902="")),"🟡 PENDÊNCIA SEM RESPONSÁVEL/PRAZO",IF(AND(ISNUMBER(R3902),R3902=TODAY()),"🟡 VENCE HOJE",IF(AND(P3902&lt;&gt;"",S3902=""),"🟡 PENDÊNCIA ABERTA",IF(AND(N(J3902)&gt;0,N(K3902)&lt;J3902),"🟡 FALTA EXECUTAR",IF(OR(M3902="PENDENTE",M3902="PARCIAL"),"🟡 FATURAMENTO PENDENTE","🟡 EMBARQUE PENDENTE")))))))))))</f>
        <v/>
      </c>
      <c r="D3902" s="4" t="n"/>
      <c r="E3902" s="5" t="n"/>
      <c r="F3902" s="5" t="n"/>
      <c r="G3902" s="5" t="n"/>
      <c r="H3902" s="5" t="n"/>
      <c r="I3902" s="5" t="n"/>
      <c r="J3902" s="6" t="n"/>
      <c r="K3902" s="6" t="n"/>
      <c r="L3902" s="7">
        <f>IF(OR(D3902="",N(J3902)=0),"",MIN(1,N(K3902)/J3902))</f>
        <v/>
      </c>
      <c r="M3902" s="5" t="n"/>
      <c r="N3902" s="5" t="n"/>
      <c r="O3902" s="5" t="n"/>
      <c r="P3902" s="5" t="n"/>
      <c r="Q3902" s="5" t="n"/>
      <c r="R3902" s="4" t="n"/>
      <c r="S3902" s="4" t="n"/>
      <c r="T3902" s="5" t="n"/>
      <c r="U3902" s="8">
        <f>IF(AND(V3902=1,D3902&lt;&gt;""),IF(D3902&gt;=corte,TODAY()-D3902,""),"")</f>
        <v/>
      </c>
      <c r="V3902" s="8">
        <f>IF(D3902="",0,IF(OR(AND(P3902&lt;&gt;"",S3902=""),AND(N(J3902)&gt;0,N(K3902)&lt;J3902),OR(M3902="PENDENTE",M3902="PARCIAL"),OR(N3902="PENDENTE",N3902="PARCIAL")),1,0))</f>
        <v/>
      </c>
      <c r="W3902" s="8">
        <f>IF(AND(V3902=1,D3902&lt;&gt;""),IF(D3902&gt;=corte,(B3902="CRÍTICO")*1E9+(100000-D3902)*10000+10000-ROW(),""),"")</f>
        <v/>
      </c>
      <c r="X3902" s="8">
        <f>IF(AND(V3902=1,D3902=pas_data,E3902=pas_turno),10000-ROW(),"")</f>
        <v/>
      </c>
    </row>
    <row r="3903">
      <c r="A3903" s="3">
        <f>IF(D3903="","","TT-"&amp;TEXT(ROW()-1,"00000"))</f>
        <v/>
      </c>
      <c r="B3903" s="3">
        <f>IF(D3903="","",IF(V3903=0,"CONCLUÍDO",IF(D3903&lt;corte,"HISTÓRICO",IF(OR(AND(ISNUMBER(R3903),R3903&lt;TODAY()),AND(OR(N3903="PENDENTE",N3903="PARCIAL"),D3903&lt;TODAY()-1)),"CRÍTICO",IF(OR(AND(P3903&lt;&gt;"",S3903=""),AND(N3903="REALIZADO",M3903="PENDENTE"),AND(ISNUMBER(R3903),R3903=TODAY())),"ATENÇÃO",IF(N(K3903)=0,"PENDENTE","EM ANDAMENTO"))))))</f>
        <v/>
      </c>
      <c r="C3903" s="3">
        <f>IF(D3903="","",IF(V3903=0,"🟢 OK",IF(D3903&lt;corte,"⚪ HISTÓRICO (sem baixa)",IF(AND(ISNUMBER(R3903),R3903&lt;TODAY()),"🔴 PRAZO VENCIDO",IF(AND(OR(N3903="PENDENTE",N3903="PARCIAL"),D3903&lt;TODAY()-1),"🔴 EMBARQUE ATRASADO",IF(AND(N3903="REALIZADO",M3903="PENDENTE"),"🟡 EMBARCADO SEM FATURAR",IF(AND(P3903&lt;&gt;"",S3903="",OR(Q3903="",R3903="")),"🟡 PENDÊNCIA SEM RESPONSÁVEL/PRAZO",IF(AND(ISNUMBER(R3903),R3903=TODAY()),"🟡 VENCE HOJE",IF(AND(P3903&lt;&gt;"",S3903=""),"🟡 PENDÊNCIA ABERTA",IF(AND(N(J3903)&gt;0,N(K3903)&lt;J3903),"🟡 FALTA EXECUTAR",IF(OR(M3903="PENDENTE",M3903="PARCIAL"),"🟡 FATURAMENTO PENDENTE","🟡 EMBARQUE PENDENTE")))))))))))</f>
        <v/>
      </c>
      <c r="D3903" s="4" t="n"/>
      <c r="E3903" s="5" t="n"/>
      <c r="F3903" s="5" t="n"/>
      <c r="G3903" s="5" t="n"/>
      <c r="H3903" s="5" t="n"/>
      <c r="I3903" s="5" t="n"/>
      <c r="J3903" s="6" t="n"/>
      <c r="K3903" s="6" t="n"/>
      <c r="L3903" s="7">
        <f>IF(OR(D3903="",N(J3903)=0),"",MIN(1,N(K3903)/J3903))</f>
        <v/>
      </c>
      <c r="M3903" s="5" t="n"/>
      <c r="N3903" s="5" t="n"/>
      <c r="O3903" s="5" t="n"/>
      <c r="P3903" s="5" t="n"/>
      <c r="Q3903" s="5" t="n"/>
      <c r="R3903" s="4" t="n"/>
      <c r="S3903" s="4" t="n"/>
      <c r="T3903" s="5" t="n"/>
      <c r="U3903" s="8">
        <f>IF(AND(V3903=1,D3903&lt;&gt;""),IF(D3903&gt;=corte,TODAY()-D3903,""),"")</f>
        <v/>
      </c>
      <c r="V3903" s="8">
        <f>IF(D3903="",0,IF(OR(AND(P3903&lt;&gt;"",S3903=""),AND(N(J3903)&gt;0,N(K3903)&lt;J3903),OR(M3903="PENDENTE",M3903="PARCIAL"),OR(N3903="PENDENTE",N3903="PARCIAL")),1,0))</f>
        <v/>
      </c>
      <c r="W3903" s="8">
        <f>IF(AND(V3903=1,D3903&lt;&gt;""),IF(D3903&gt;=corte,(B3903="CRÍTICO")*1E9+(100000-D3903)*10000+10000-ROW(),""),"")</f>
        <v/>
      </c>
      <c r="X3903" s="8">
        <f>IF(AND(V3903=1,D3903=pas_data,E3903=pas_turno),10000-ROW(),"")</f>
        <v/>
      </c>
    </row>
    <row r="3904">
      <c r="A3904" s="3">
        <f>IF(D3904="","","TT-"&amp;TEXT(ROW()-1,"00000"))</f>
        <v/>
      </c>
      <c r="B3904" s="3">
        <f>IF(D3904="","",IF(V3904=0,"CONCLUÍDO",IF(D3904&lt;corte,"HISTÓRICO",IF(OR(AND(ISNUMBER(R3904),R3904&lt;TODAY()),AND(OR(N3904="PENDENTE",N3904="PARCIAL"),D3904&lt;TODAY()-1)),"CRÍTICO",IF(OR(AND(P3904&lt;&gt;"",S3904=""),AND(N3904="REALIZADO",M3904="PENDENTE"),AND(ISNUMBER(R3904),R3904=TODAY())),"ATENÇÃO",IF(N(K3904)=0,"PENDENTE","EM ANDAMENTO"))))))</f>
        <v/>
      </c>
      <c r="C3904" s="3">
        <f>IF(D3904="","",IF(V3904=0,"🟢 OK",IF(D3904&lt;corte,"⚪ HISTÓRICO (sem baixa)",IF(AND(ISNUMBER(R3904),R3904&lt;TODAY()),"🔴 PRAZO VENCIDO",IF(AND(OR(N3904="PENDENTE",N3904="PARCIAL"),D3904&lt;TODAY()-1),"🔴 EMBARQUE ATRASADO",IF(AND(N3904="REALIZADO",M3904="PENDENTE"),"🟡 EMBARCADO SEM FATURAR",IF(AND(P3904&lt;&gt;"",S3904="",OR(Q3904="",R3904="")),"🟡 PENDÊNCIA SEM RESPONSÁVEL/PRAZO",IF(AND(ISNUMBER(R3904),R3904=TODAY()),"🟡 VENCE HOJE",IF(AND(P3904&lt;&gt;"",S3904=""),"🟡 PENDÊNCIA ABERTA",IF(AND(N(J3904)&gt;0,N(K3904)&lt;J3904),"🟡 FALTA EXECUTAR",IF(OR(M3904="PENDENTE",M3904="PARCIAL"),"🟡 FATURAMENTO PENDENTE","🟡 EMBARQUE PENDENTE")))))))))))</f>
        <v/>
      </c>
      <c r="D3904" s="4" t="n"/>
      <c r="E3904" s="5" t="n"/>
      <c r="F3904" s="5" t="n"/>
      <c r="G3904" s="5" t="n"/>
      <c r="H3904" s="5" t="n"/>
      <c r="I3904" s="5" t="n"/>
      <c r="J3904" s="6" t="n"/>
      <c r="K3904" s="6" t="n"/>
      <c r="L3904" s="7">
        <f>IF(OR(D3904="",N(J3904)=0),"",MIN(1,N(K3904)/J3904))</f>
        <v/>
      </c>
      <c r="M3904" s="5" t="n"/>
      <c r="N3904" s="5" t="n"/>
      <c r="O3904" s="5" t="n"/>
      <c r="P3904" s="5" t="n"/>
      <c r="Q3904" s="5" t="n"/>
      <c r="R3904" s="4" t="n"/>
      <c r="S3904" s="4" t="n"/>
      <c r="T3904" s="5" t="n"/>
      <c r="U3904" s="8">
        <f>IF(AND(V3904=1,D3904&lt;&gt;""),IF(D3904&gt;=corte,TODAY()-D3904,""),"")</f>
        <v/>
      </c>
      <c r="V3904" s="8">
        <f>IF(D3904="",0,IF(OR(AND(P3904&lt;&gt;"",S3904=""),AND(N(J3904)&gt;0,N(K3904)&lt;J3904),OR(M3904="PENDENTE",M3904="PARCIAL"),OR(N3904="PENDENTE",N3904="PARCIAL")),1,0))</f>
        <v/>
      </c>
      <c r="W3904" s="8">
        <f>IF(AND(V3904=1,D3904&lt;&gt;""),IF(D3904&gt;=corte,(B3904="CRÍTICO")*1E9+(100000-D3904)*10000+10000-ROW(),""),"")</f>
        <v/>
      </c>
      <c r="X3904" s="8">
        <f>IF(AND(V3904=1,D3904=pas_data,E3904=pas_turno),10000-ROW(),"")</f>
        <v/>
      </c>
    </row>
    <row r="3905">
      <c r="A3905" s="3">
        <f>IF(D3905="","","TT-"&amp;TEXT(ROW()-1,"00000"))</f>
        <v/>
      </c>
      <c r="B3905" s="3">
        <f>IF(D3905="","",IF(V3905=0,"CONCLUÍDO",IF(D3905&lt;corte,"HISTÓRICO",IF(OR(AND(ISNUMBER(R3905),R3905&lt;TODAY()),AND(OR(N3905="PENDENTE",N3905="PARCIAL"),D3905&lt;TODAY()-1)),"CRÍTICO",IF(OR(AND(P3905&lt;&gt;"",S3905=""),AND(N3905="REALIZADO",M3905="PENDENTE"),AND(ISNUMBER(R3905),R3905=TODAY())),"ATENÇÃO",IF(N(K3905)=0,"PENDENTE","EM ANDAMENTO"))))))</f>
        <v/>
      </c>
      <c r="C3905" s="3">
        <f>IF(D3905="","",IF(V3905=0,"🟢 OK",IF(D3905&lt;corte,"⚪ HISTÓRICO (sem baixa)",IF(AND(ISNUMBER(R3905),R3905&lt;TODAY()),"🔴 PRAZO VENCIDO",IF(AND(OR(N3905="PENDENTE",N3905="PARCIAL"),D3905&lt;TODAY()-1),"🔴 EMBARQUE ATRASADO",IF(AND(N3905="REALIZADO",M3905="PENDENTE"),"🟡 EMBARCADO SEM FATURAR",IF(AND(P3905&lt;&gt;"",S3905="",OR(Q3905="",R3905="")),"🟡 PENDÊNCIA SEM RESPONSÁVEL/PRAZO",IF(AND(ISNUMBER(R3905),R3905=TODAY()),"🟡 VENCE HOJE",IF(AND(P3905&lt;&gt;"",S3905=""),"🟡 PENDÊNCIA ABERTA",IF(AND(N(J3905)&gt;0,N(K3905)&lt;J3905),"🟡 FALTA EXECUTAR",IF(OR(M3905="PENDENTE",M3905="PARCIAL"),"🟡 FATURAMENTO PENDENTE","🟡 EMBARQUE PENDENTE")))))))))))</f>
        <v/>
      </c>
      <c r="D3905" s="4" t="n"/>
      <c r="E3905" s="5" t="n"/>
      <c r="F3905" s="5" t="n"/>
      <c r="G3905" s="5" t="n"/>
      <c r="H3905" s="5" t="n"/>
      <c r="I3905" s="5" t="n"/>
      <c r="J3905" s="6" t="n"/>
      <c r="K3905" s="6" t="n"/>
      <c r="L3905" s="7">
        <f>IF(OR(D3905="",N(J3905)=0),"",MIN(1,N(K3905)/J3905))</f>
        <v/>
      </c>
      <c r="M3905" s="5" t="n"/>
      <c r="N3905" s="5" t="n"/>
      <c r="O3905" s="5" t="n"/>
      <c r="P3905" s="5" t="n"/>
      <c r="Q3905" s="5" t="n"/>
      <c r="R3905" s="4" t="n"/>
      <c r="S3905" s="4" t="n"/>
      <c r="T3905" s="5" t="n"/>
      <c r="U3905" s="8">
        <f>IF(AND(V3905=1,D3905&lt;&gt;""),IF(D3905&gt;=corte,TODAY()-D3905,""),"")</f>
        <v/>
      </c>
      <c r="V3905" s="8">
        <f>IF(D3905="",0,IF(OR(AND(P3905&lt;&gt;"",S3905=""),AND(N(J3905)&gt;0,N(K3905)&lt;J3905),OR(M3905="PENDENTE",M3905="PARCIAL"),OR(N3905="PENDENTE",N3905="PARCIAL")),1,0))</f>
        <v/>
      </c>
      <c r="W3905" s="8">
        <f>IF(AND(V3905=1,D3905&lt;&gt;""),IF(D3905&gt;=corte,(B3905="CRÍTICO")*1E9+(100000-D3905)*10000+10000-ROW(),""),"")</f>
        <v/>
      </c>
      <c r="X3905" s="8">
        <f>IF(AND(V3905=1,D3905=pas_data,E3905=pas_turno),10000-ROW(),"")</f>
        <v/>
      </c>
    </row>
    <row r="3906">
      <c r="A3906" s="3">
        <f>IF(D3906="","","TT-"&amp;TEXT(ROW()-1,"00000"))</f>
        <v/>
      </c>
      <c r="B3906" s="3">
        <f>IF(D3906="","",IF(V3906=0,"CONCLUÍDO",IF(D3906&lt;corte,"HISTÓRICO",IF(OR(AND(ISNUMBER(R3906),R3906&lt;TODAY()),AND(OR(N3906="PENDENTE",N3906="PARCIAL"),D3906&lt;TODAY()-1)),"CRÍTICO",IF(OR(AND(P3906&lt;&gt;"",S3906=""),AND(N3906="REALIZADO",M3906="PENDENTE"),AND(ISNUMBER(R3906),R3906=TODAY())),"ATENÇÃO",IF(N(K3906)=0,"PENDENTE","EM ANDAMENTO"))))))</f>
        <v/>
      </c>
      <c r="C3906" s="3">
        <f>IF(D3906="","",IF(V3906=0,"🟢 OK",IF(D3906&lt;corte,"⚪ HISTÓRICO (sem baixa)",IF(AND(ISNUMBER(R3906),R3906&lt;TODAY()),"🔴 PRAZO VENCIDO",IF(AND(OR(N3906="PENDENTE",N3906="PARCIAL"),D3906&lt;TODAY()-1),"🔴 EMBARQUE ATRASADO",IF(AND(N3906="REALIZADO",M3906="PENDENTE"),"🟡 EMBARCADO SEM FATURAR",IF(AND(P3906&lt;&gt;"",S3906="",OR(Q3906="",R3906="")),"🟡 PENDÊNCIA SEM RESPONSÁVEL/PRAZO",IF(AND(ISNUMBER(R3906),R3906=TODAY()),"🟡 VENCE HOJE",IF(AND(P3906&lt;&gt;"",S3906=""),"🟡 PENDÊNCIA ABERTA",IF(AND(N(J3906)&gt;0,N(K3906)&lt;J3906),"🟡 FALTA EXECUTAR",IF(OR(M3906="PENDENTE",M3906="PARCIAL"),"🟡 FATURAMENTO PENDENTE","🟡 EMBARQUE PENDENTE")))))))))))</f>
        <v/>
      </c>
      <c r="D3906" s="4" t="n"/>
      <c r="E3906" s="5" t="n"/>
      <c r="F3906" s="5" t="n"/>
      <c r="G3906" s="5" t="n"/>
      <c r="H3906" s="5" t="n"/>
      <c r="I3906" s="5" t="n"/>
      <c r="J3906" s="6" t="n"/>
      <c r="K3906" s="6" t="n"/>
      <c r="L3906" s="7">
        <f>IF(OR(D3906="",N(J3906)=0),"",MIN(1,N(K3906)/J3906))</f>
        <v/>
      </c>
      <c r="M3906" s="5" t="n"/>
      <c r="N3906" s="5" t="n"/>
      <c r="O3906" s="5" t="n"/>
      <c r="P3906" s="5" t="n"/>
      <c r="Q3906" s="5" t="n"/>
      <c r="R3906" s="4" t="n"/>
      <c r="S3906" s="4" t="n"/>
      <c r="T3906" s="5" t="n"/>
      <c r="U3906" s="8">
        <f>IF(AND(V3906=1,D3906&lt;&gt;""),IF(D3906&gt;=corte,TODAY()-D3906,""),"")</f>
        <v/>
      </c>
      <c r="V3906" s="8">
        <f>IF(D3906="",0,IF(OR(AND(P3906&lt;&gt;"",S3906=""),AND(N(J3906)&gt;0,N(K3906)&lt;J3906),OR(M3906="PENDENTE",M3906="PARCIAL"),OR(N3906="PENDENTE",N3906="PARCIAL")),1,0))</f>
        <v/>
      </c>
      <c r="W3906" s="8">
        <f>IF(AND(V3906=1,D3906&lt;&gt;""),IF(D3906&gt;=corte,(B3906="CRÍTICO")*1E9+(100000-D3906)*10000+10000-ROW(),""),"")</f>
        <v/>
      </c>
      <c r="X3906" s="8">
        <f>IF(AND(V3906=1,D3906=pas_data,E3906=pas_turno),10000-ROW(),"")</f>
        <v/>
      </c>
    </row>
    <row r="3907">
      <c r="A3907" s="3">
        <f>IF(D3907="","","TT-"&amp;TEXT(ROW()-1,"00000"))</f>
        <v/>
      </c>
      <c r="B3907" s="3">
        <f>IF(D3907="","",IF(V3907=0,"CONCLUÍDO",IF(D3907&lt;corte,"HISTÓRICO",IF(OR(AND(ISNUMBER(R3907),R3907&lt;TODAY()),AND(OR(N3907="PENDENTE",N3907="PARCIAL"),D3907&lt;TODAY()-1)),"CRÍTICO",IF(OR(AND(P3907&lt;&gt;"",S3907=""),AND(N3907="REALIZADO",M3907="PENDENTE"),AND(ISNUMBER(R3907),R3907=TODAY())),"ATENÇÃO",IF(N(K3907)=0,"PENDENTE","EM ANDAMENTO"))))))</f>
        <v/>
      </c>
      <c r="C3907" s="3">
        <f>IF(D3907="","",IF(V3907=0,"🟢 OK",IF(D3907&lt;corte,"⚪ HISTÓRICO (sem baixa)",IF(AND(ISNUMBER(R3907),R3907&lt;TODAY()),"🔴 PRAZO VENCIDO",IF(AND(OR(N3907="PENDENTE",N3907="PARCIAL"),D3907&lt;TODAY()-1),"🔴 EMBARQUE ATRASADO",IF(AND(N3907="REALIZADO",M3907="PENDENTE"),"🟡 EMBARCADO SEM FATURAR",IF(AND(P3907&lt;&gt;"",S3907="",OR(Q3907="",R3907="")),"🟡 PENDÊNCIA SEM RESPONSÁVEL/PRAZO",IF(AND(ISNUMBER(R3907),R3907=TODAY()),"🟡 VENCE HOJE",IF(AND(P3907&lt;&gt;"",S3907=""),"🟡 PENDÊNCIA ABERTA",IF(AND(N(J3907)&gt;0,N(K3907)&lt;J3907),"🟡 FALTA EXECUTAR",IF(OR(M3907="PENDENTE",M3907="PARCIAL"),"🟡 FATURAMENTO PENDENTE","🟡 EMBARQUE PENDENTE")))))))))))</f>
        <v/>
      </c>
      <c r="D3907" s="4" t="n"/>
      <c r="E3907" s="5" t="n"/>
      <c r="F3907" s="5" t="n"/>
      <c r="G3907" s="5" t="n"/>
      <c r="H3907" s="5" t="n"/>
      <c r="I3907" s="5" t="n"/>
      <c r="J3907" s="6" t="n"/>
      <c r="K3907" s="6" t="n"/>
      <c r="L3907" s="7">
        <f>IF(OR(D3907="",N(J3907)=0),"",MIN(1,N(K3907)/J3907))</f>
        <v/>
      </c>
      <c r="M3907" s="5" t="n"/>
      <c r="N3907" s="5" t="n"/>
      <c r="O3907" s="5" t="n"/>
      <c r="P3907" s="5" t="n"/>
      <c r="Q3907" s="5" t="n"/>
      <c r="R3907" s="4" t="n"/>
      <c r="S3907" s="4" t="n"/>
      <c r="T3907" s="5" t="n"/>
      <c r="U3907" s="8">
        <f>IF(AND(V3907=1,D3907&lt;&gt;""),IF(D3907&gt;=corte,TODAY()-D3907,""),"")</f>
        <v/>
      </c>
      <c r="V3907" s="8">
        <f>IF(D3907="",0,IF(OR(AND(P3907&lt;&gt;"",S3907=""),AND(N(J3907)&gt;0,N(K3907)&lt;J3907),OR(M3907="PENDENTE",M3907="PARCIAL"),OR(N3907="PENDENTE",N3907="PARCIAL")),1,0))</f>
        <v/>
      </c>
      <c r="W3907" s="8">
        <f>IF(AND(V3907=1,D3907&lt;&gt;""),IF(D3907&gt;=corte,(B3907="CRÍTICO")*1E9+(100000-D3907)*10000+10000-ROW(),""),"")</f>
        <v/>
      </c>
      <c r="X3907" s="8">
        <f>IF(AND(V3907=1,D3907=pas_data,E3907=pas_turno),10000-ROW(),"")</f>
        <v/>
      </c>
    </row>
    <row r="3908">
      <c r="A3908" s="3">
        <f>IF(D3908="","","TT-"&amp;TEXT(ROW()-1,"00000"))</f>
        <v/>
      </c>
      <c r="B3908" s="3">
        <f>IF(D3908="","",IF(V3908=0,"CONCLUÍDO",IF(D3908&lt;corte,"HISTÓRICO",IF(OR(AND(ISNUMBER(R3908),R3908&lt;TODAY()),AND(OR(N3908="PENDENTE",N3908="PARCIAL"),D3908&lt;TODAY()-1)),"CRÍTICO",IF(OR(AND(P3908&lt;&gt;"",S3908=""),AND(N3908="REALIZADO",M3908="PENDENTE"),AND(ISNUMBER(R3908),R3908=TODAY())),"ATENÇÃO",IF(N(K3908)=0,"PENDENTE","EM ANDAMENTO"))))))</f>
        <v/>
      </c>
      <c r="C3908" s="3">
        <f>IF(D3908="","",IF(V3908=0,"🟢 OK",IF(D3908&lt;corte,"⚪ HISTÓRICO (sem baixa)",IF(AND(ISNUMBER(R3908),R3908&lt;TODAY()),"🔴 PRAZO VENCIDO",IF(AND(OR(N3908="PENDENTE",N3908="PARCIAL"),D3908&lt;TODAY()-1),"🔴 EMBARQUE ATRASADO",IF(AND(N3908="REALIZADO",M3908="PENDENTE"),"🟡 EMBARCADO SEM FATURAR",IF(AND(P3908&lt;&gt;"",S3908="",OR(Q3908="",R3908="")),"🟡 PENDÊNCIA SEM RESPONSÁVEL/PRAZO",IF(AND(ISNUMBER(R3908),R3908=TODAY()),"🟡 VENCE HOJE",IF(AND(P3908&lt;&gt;"",S3908=""),"🟡 PENDÊNCIA ABERTA",IF(AND(N(J3908)&gt;0,N(K3908)&lt;J3908),"🟡 FALTA EXECUTAR",IF(OR(M3908="PENDENTE",M3908="PARCIAL"),"🟡 FATURAMENTO PENDENTE","🟡 EMBARQUE PENDENTE")))))))))))</f>
        <v/>
      </c>
      <c r="D3908" s="4" t="n"/>
      <c r="E3908" s="5" t="n"/>
      <c r="F3908" s="5" t="n"/>
      <c r="G3908" s="5" t="n"/>
      <c r="H3908" s="5" t="n"/>
      <c r="I3908" s="5" t="n"/>
      <c r="J3908" s="6" t="n"/>
      <c r="K3908" s="6" t="n"/>
      <c r="L3908" s="7">
        <f>IF(OR(D3908="",N(J3908)=0),"",MIN(1,N(K3908)/J3908))</f>
        <v/>
      </c>
      <c r="M3908" s="5" t="n"/>
      <c r="N3908" s="5" t="n"/>
      <c r="O3908" s="5" t="n"/>
      <c r="P3908" s="5" t="n"/>
      <c r="Q3908" s="5" t="n"/>
      <c r="R3908" s="4" t="n"/>
      <c r="S3908" s="4" t="n"/>
      <c r="T3908" s="5" t="n"/>
      <c r="U3908" s="8">
        <f>IF(AND(V3908=1,D3908&lt;&gt;""),IF(D3908&gt;=corte,TODAY()-D3908,""),"")</f>
        <v/>
      </c>
      <c r="V3908" s="8">
        <f>IF(D3908="",0,IF(OR(AND(P3908&lt;&gt;"",S3908=""),AND(N(J3908)&gt;0,N(K3908)&lt;J3908),OR(M3908="PENDENTE",M3908="PARCIAL"),OR(N3908="PENDENTE",N3908="PARCIAL")),1,0))</f>
        <v/>
      </c>
      <c r="W3908" s="8">
        <f>IF(AND(V3908=1,D3908&lt;&gt;""),IF(D3908&gt;=corte,(B3908="CRÍTICO")*1E9+(100000-D3908)*10000+10000-ROW(),""),"")</f>
        <v/>
      </c>
      <c r="X3908" s="8">
        <f>IF(AND(V3908=1,D3908=pas_data,E3908=pas_turno),10000-ROW(),"")</f>
        <v/>
      </c>
    </row>
    <row r="3909">
      <c r="A3909" s="3">
        <f>IF(D3909="","","TT-"&amp;TEXT(ROW()-1,"00000"))</f>
        <v/>
      </c>
      <c r="B3909" s="3">
        <f>IF(D3909="","",IF(V3909=0,"CONCLUÍDO",IF(D3909&lt;corte,"HISTÓRICO",IF(OR(AND(ISNUMBER(R3909),R3909&lt;TODAY()),AND(OR(N3909="PENDENTE",N3909="PARCIAL"),D3909&lt;TODAY()-1)),"CRÍTICO",IF(OR(AND(P3909&lt;&gt;"",S3909=""),AND(N3909="REALIZADO",M3909="PENDENTE"),AND(ISNUMBER(R3909),R3909=TODAY())),"ATENÇÃO",IF(N(K3909)=0,"PENDENTE","EM ANDAMENTO"))))))</f>
        <v/>
      </c>
      <c r="C3909" s="3">
        <f>IF(D3909="","",IF(V3909=0,"🟢 OK",IF(D3909&lt;corte,"⚪ HISTÓRICO (sem baixa)",IF(AND(ISNUMBER(R3909),R3909&lt;TODAY()),"🔴 PRAZO VENCIDO",IF(AND(OR(N3909="PENDENTE",N3909="PARCIAL"),D3909&lt;TODAY()-1),"🔴 EMBARQUE ATRASADO",IF(AND(N3909="REALIZADO",M3909="PENDENTE"),"🟡 EMBARCADO SEM FATURAR",IF(AND(P3909&lt;&gt;"",S3909="",OR(Q3909="",R3909="")),"🟡 PENDÊNCIA SEM RESPONSÁVEL/PRAZO",IF(AND(ISNUMBER(R3909),R3909=TODAY()),"🟡 VENCE HOJE",IF(AND(P3909&lt;&gt;"",S3909=""),"🟡 PENDÊNCIA ABERTA",IF(AND(N(J3909)&gt;0,N(K3909)&lt;J3909),"🟡 FALTA EXECUTAR",IF(OR(M3909="PENDENTE",M3909="PARCIAL"),"🟡 FATURAMENTO PENDENTE","🟡 EMBARQUE PENDENTE")))))))))))</f>
        <v/>
      </c>
      <c r="D3909" s="4" t="n"/>
      <c r="E3909" s="5" t="n"/>
      <c r="F3909" s="5" t="n"/>
      <c r="G3909" s="5" t="n"/>
      <c r="H3909" s="5" t="n"/>
      <c r="I3909" s="5" t="n"/>
      <c r="J3909" s="6" t="n"/>
      <c r="K3909" s="6" t="n"/>
      <c r="L3909" s="7">
        <f>IF(OR(D3909="",N(J3909)=0),"",MIN(1,N(K3909)/J3909))</f>
        <v/>
      </c>
      <c r="M3909" s="5" t="n"/>
      <c r="N3909" s="5" t="n"/>
      <c r="O3909" s="5" t="n"/>
      <c r="P3909" s="5" t="n"/>
      <c r="Q3909" s="5" t="n"/>
      <c r="R3909" s="4" t="n"/>
      <c r="S3909" s="4" t="n"/>
      <c r="T3909" s="5" t="n"/>
      <c r="U3909" s="8">
        <f>IF(AND(V3909=1,D3909&lt;&gt;""),IF(D3909&gt;=corte,TODAY()-D3909,""),"")</f>
        <v/>
      </c>
      <c r="V3909" s="8">
        <f>IF(D3909="",0,IF(OR(AND(P3909&lt;&gt;"",S3909=""),AND(N(J3909)&gt;0,N(K3909)&lt;J3909),OR(M3909="PENDENTE",M3909="PARCIAL"),OR(N3909="PENDENTE",N3909="PARCIAL")),1,0))</f>
        <v/>
      </c>
      <c r="W3909" s="8">
        <f>IF(AND(V3909=1,D3909&lt;&gt;""),IF(D3909&gt;=corte,(B3909="CRÍTICO")*1E9+(100000-D3909)*10000+10000-ROW(),""),"")</f>
        <v/>
      </c>
      <c r="X3909" s="8">
        <f>IF(AND(V3909=1,D3909=pas_data,E3909=pas_turno),10000-ROW(),"")</f>
        <v/>
      </c>
    </row>
    <row r="3910">
      <c r="A3910" s="3">
        <f>IF(D3910="","","TT-"&amp;TEXT(ROW()-1,"00000"))</f>
        <v/>
      </c>
      <c r="B3910" s="3">
        <f>IF(D3910="","",IF(V3910=0,"CONCLUÍDO",IF(D3910&lt;corte,"HISTÓRICO",IF(OR(AND(ISNUMBER(R3910),R3910&lt;TODAY()),AND(OR(N3910="PENDENTE",N3910="PARCIAL"),D3910&lt;TODAY()-1)),"CRÍTICO",IF(OR(AND(P3910&lt;&gt;"",S3910=""),AND(N3910="REALIZADO",M3910="PENDENTE"),AND(ISNUMBER(R3910),R3910=TODAY())),"ATENÇÃO",IF(N(K3910)=0,"PENDENTE","EM ANDAMENTO"))))))</f>
        <v/>
      </c>
      <c r="C3910" s="3">
        <f>IF(D3910="","",IF(V3910=0,"🟢 OK",IF(D3910&lt;corte,"⚪ HISTÓRICO (sem baixa)",IF(AND(ISNUMBER(R3910),R3910&lt;TODAY()),"🔴 PRAZO VENCIDO",IF(AND(OR(N3910="PENDENTE",N3910="PARCIAL"),D3910&lt;TODAY()-1),"🔴 EMBARQUE ATRASADO",IF(AND(N3910="REALIZADO",M3910="PENDENTE"),"🟡 EMBARCADO SEM FATURAR",IF(AND(P3910&lt;&gt;"",S3910="",OR(Q3910="",R3910="")),"🟡 PENDÊNCIA SEM RESPONSÁVEL/PRAZO",IF(AND(ISNUMBER(R3910),R3910=TODAY()),"🟡 VENCE HOJE",IF(AND(P3910&lt;&gt;"",S3910=""),"🟡 PENDÊNCIA ABERTA",IF(AND(N(J3910)&gt;0,N(K3910)&lt;J3910),"🟡 FALTA EXECUTAR",IF(OR(M3910="PENDENTE",M3910="PARCIAL"),"🟡 FATURAMENTO PENDENTE","🟡 EMBARQUE PENDENTE")))))))))))</f>
        <v/>
      </c>
      <c r="D3910" s="4" t="n"/>
      <c r="E3910" s="5" t="n"/>
      <c r="F3910" s="5" t="n"/>
      <c r="G3910" s="5" t="n"/>
      <c r="H3910" s="5" t="n"/>
      <c r="I3910" s="5" t="n"/>
      <c r="J3910" s="6" t="n"/>
      <c r="K3910" s="6" t="n"/>
      <c r="L3910" s="7">
        <f>IF(OR(D3910="",N(J3910)=0),"",MIN(1,N(K3910)/J3910))</f>
        <v/>
      </c>
      <c r="M3910" s="5" t="n"/>
      <c r="N3910" s="5" t="n"/>
      <c r="O3910" s="5" t="n"/>
      <c r="P3910" s="5" t="n"/>
      <c r="Q3910" s="5" t="n"/>
      <c r="R3910" s="4" t="n"/>
      <c r="S3910" s="4" t="n"/>
      <c r="T3910" s="5" t="n"/>
      <c r="U3910" s="8">
        <f>IF(AND(V3910=1,D3910&lt;&gt;""),IF(D3910&gt;=corte,TODAY()-D3910,""),"")</f>
        <v/>
      </c>
      <c r="V3910" s="8">
        <f>IF(D3910="",0,IF(OR(AND(P3910&lt;&gt;"",S3910=""),AND(N(J3910)&gt;0,N(K3910)&lt;J3910),OR(M3910="PENDENTE",M3910="PARCIAL"),OR(N3910="PENDENTE",N3910="PARCIAL")),1,0))</f>
        <v/>
      </c>
      <c r="W3910" s="8">
        <f>IF(AND(V3910=1,D3910&lt;&gt;""),IF(D3910&gt;=corte,(B3910="CRÍTICO")*1E9+(100000-D3910)*10000+10000-ROW(),""),"")</f>
        <v/>
      </c>
      <c r="X3910" s="8">
        <f>IF(AND(V3910=1,D3910=pas_data,E3910=pas_turno),10000-ROW(),"")</f>
        <v/>
      </c>
    </row>
    <row r="3911">
      <c r="A3911" s="3">
        <f>IF(D3911="","","TT-"&amp;TEXT(ROW()-1,"00000"))</f>
        <v/>
      </c>
      <c r="B3911" s="3">
        <f>IF(D3911="","",IF(V3911=0,"CONCLUÍDO",IF(D3911&lt;corte,"HISTÓRICO",IF(OR(AND(ISNUMBER(R3911),R3911&lt;TODAY()),AND(OR(N3911="PENDENTE",N3911="PARCIAL"),D3911&lt;TODAY()-1)),"CRÍTICO",IF(OR(AND(P3911&lt;&gt;"",S3911=""),AND(N3911="REALIZADO",M3911="PENDENTE"),AND(ISNUMBER(R3911),R3911=TODAY())),"ATENÇÃO",IF(N(K3911)=0,"PENDENTE","EM ANDAMENTO"))))))</f>
        <v/>
      </c>
      <c r="C3911" s="3">
        <f>IF(D3911="","",IF(V3911=0,"🟢 OK",IF(D3911&lt;corte,"⚪ HISTÓRICO (sem baixa)",IF(AND(ISNUMBER(R3911),R3911&lt;TODAY()),"🔴 PRAZO VENCIDO",IF(AND(OR(N3911="PENDENTE",N3911="PARCIAL"),D3911&lt;TODAY()-1),"🔴 EMBARQUE ATRASADO",IF(AND(N3911="REALIZADO",M3911="PENDENTE"),"🟡 EMBARCADO SEM FATURAR",IF(AND(P3911&lt;&gt;"",S3911="",OR(Q3911="",R3911="")),"🟡 PENDÊNCIA SEM RESPONSÁVEL/PRAZO",IF(AND(ISNUMBER(R3911),R3911=TODAY()),"🟡 VENCE HOJE",IF(AND(P3911&lt;&gt;"",S3911=""),"🟡 PENDÊNCIA ABERTA",IF(AND(N(J3911)&gt;0,N(K3911)&lt;J3911),"🟡 FALTA EXECUTAR",IF(OR(M3911="PENDENTE",M3911="PARCIAL"),"🟡 FATURAMENTO PENDENTE","🟡 EMBARQUE PENDENTE")))))))))))</f>
        <v/>
      </c>
      <c r="D3911" s="4" t="n"/>
      <c r="E3911" s="5" t="n"/>
      <c r="F3911" s="5" t="n"/>
      <c r="G3911" s="5" t="n"/>
      <c r="H3911" s="5" t="n"/>
      <c r="I3911" s="5" t="n"/>
      <c r="J3911" s="6" t="n"/>
      <c r="K3911" s="6" t="n"/>
      <c r="L3911" s="7">
        <f>IF(OR(D3911="",N(J3911)=0),"",MIN(1,N(K3911)/J3911))</f>
        <v/>
      </c>
      <c r="M3911" s="5" t="n"/>
      <c r="N3911" s="5" t="n"/>
      <c r="O3911" s="5" t="n"/>
      <c r="P3911" s="5" t="n"/>
      <c r="Q3911" s="5" t="n"/>
      <c r="R3911" s="4" t="n"/>
      <c r="S3911" s="4" t="n"/>
      <c r="T3911" s="5" t="n"/>
      <c r="U3911" s="8">
        <f>IF(AND(V3911=1,D3911&lt;&gt;""),IF(D3911&gt;=corte,TODAY()-D3911,""),"")</f>
        <v/>
      </c>
      <c r="V3911" s="8">
        <f>IF(D3911="",0,IF(OR(AND(P3911&lt;&gt;"",S3911=""),AND(N(J3911)&gt;0,N(K3911)&lt;J3911),OR(M3911="PENDENTE",M3911="PARCIAL"),OR(N3911="PENDENTE",N3911="PARCIAL")),1,0))</f>
        <v/>
      </c>
      <c r="W3911" s="8">
        <f>IF(AND(V3911=1,D3911&lt;&gt;""),IF(D3911&gt;=corte,(B3911="CRÍTICO")*1E9+(100000-D3911)*10000+10000-ROW(),""),"")</f>
        <v/>
      </c>
      <c r="X3911" s="8">
        <f>IF(AND(V3911=1,D3911=pas_data,E3911=pas_turno),10000-ROW(),"")</f>
        <v/>
      </c>
    </row>
    <row r="3912">
      <c r="A3912" s="3">
        <f>IF(D3912="","","TT-"&amp;TEXT(ROW()-1,"00000"))</f>
        <v/>
      </c>
      <c r="B3912" s="3">
        <f>IF(D3912="","",IF(V3912=0,"CONCLUÍDO",IF(D3912&lt;corte,"HISTÓRICO",IF(OR(AND(ISNUMBER(R3912),R3912&lt;TODAY()),AND(OR(N3912="PENDENTE",N3912="PARCIAL"),D3912&lt;TODAY()-1)),"CRÍTICO",IF(OR(AND(P3912&lt;&gt;"",S3912=""),AND(N3912="REALIZADO",M3912="PENDENTE"),AND(ISNUMBER(R3912),R3912=TODAY())),"ATENÇÃO",IF(N(K3912)=0,"PENDENTE","EM ANDAMENTO"))))))</f>
        <v/>
      </c>
      <c r="C3912" s="3">
        <f>IF(D3912="","",IF(V3912=0,"🟢 OK",IF(D3912&lt;corte,"⚪ HISTÓRICO (sem baixa)",IF(AND(ISNUMBER(R3912),R3912&lt;TODAY()),"🔴 PRAZO VENCIDO",IF(AND(OR(N3912="PENDENTE",N3912="PARCIAL"),D3912&lt;TODAY()-1),"🔴 EMBARQUE ATRASADO",IF(AND(N3912="REALIZADO",M3912="PENDENTE"),"🟡 EMBARCADO SEM FATURAR",IF(AND(P3912&lt;&gt;"",S3912="",OR(Q3912="",R3912="")),"🟡 PENDÊNCIA SEM RESPONSÁVEL/PRAZO",IF(AND(ISNUMBER(R3912),R3912=TODAY()),"🟡 VENCE HOJE",IF(AND(P3912&lt;&gt;"",S3912=""),"🟡 PENDÊNCIA ABERTA",IF(AND(N(J3912)&gt;0,N(K3912)&lt;J3912),"🟡 FALTA EXECUTAR",IF(OR(M3912="PENDENTE",M3912="PARCIAL"),"🟡 FATURAMENTO PENDENTE","🟡 EMBARQUE PENDENTE")))))))))))</f>
        <v/>
      </c>
      <c r="D3912" s="4" t="n"/>
      <c r="E3912" s="5" t="n"/>
      <c r="F3912" s="5" t="n"/>
      <c r="G3912" s="5" t="n"/>
      <c r="H3912" s="5" t="n"/>
      <c r="I3912" s="5" t="n"/>
      <c r="J3912" s="6" t="n"/>
      <c r="K3912" s="6" t="n"/>
      <c r="L3912" s="7">
        <f>IF(OR(D3912="",N(J3912)=0),"",MIN(1,N(K3912)/J3912))</f>
        <v/>
      </c>
      <c r="M3912" s="5" t="n"/>
      <c r="N3912" s="5" t="n"/>
      <c r="O3912" s="5" t="n"/>
      <c r="P3912" s="5" t="n"/>
      <c r="Q3912" s="5" t="n"/>
      <c r="R3912" s="4" t="n"/>
      <c r="S3912" s="4" t="n"/>
      <c r="T3912" s="5" t="n"/>
      <c r="U3912" s="8">
        <f>IF(AND(V3912=1,D3912&lt;&gt;""),IF(D3912&gt;=corte,TODAY()-D3912,""),"")</f>
        <v/>
      </c>
      <c r="V3912" s="8">
        <f>IF(D3912="",0,IF(OR(AND(P3912&lt;&gt;"",S3912=""),AND(N(J3912)&gt;0,N(K3912)&lt;J3912),OR(M3912="PENDENTE",M3912="PARCIAL"),OR(N3912="PENDENTE",N3912="PARCIAL")),1,0))</f>
        <v/>
      </c>
      <c r="W3912" s="8">
        <f>IF(AND(V3912=1,D3912&lt;&gt;""),IF(D3912&gt;=corte,(B3912="CRÍTICO")*1E9+(100000-D3912)*10000+10000-ROW(),""),"")</f>
        <v/>
      </c>
      <c r="X3912" s="8">
        <f>IF(AND(V3912=1,D3912=pas_data,E3912=pas_turno),10000-ROW(),"")</f>
        <v/>
      </c>
    </row>
    <row r="3913">
      <c r="A3913" s="3">
        <f>IF(D3913="","","TT-"&amp;TEXT(ROW()-1,"00000"))</f>
        <v/>
      </c>
      <c r="B3913" s="3">
        <f>IF(D3913="","",IF(V3913=0,"CONCLUÍDO",IF(D3913&lt;corte,"HISTÓRICO",IF(OR(AND(ISNUMBER(R3913),R3913&lt;TODAY()),AND(OR(N3913="PENDENTE",N3913="PARCIAL"),D3913&lt;TODAY()-1)),"CRÍTICO",IF(OR(AND(P3913&lt;&gt;"",S3913=""),AND(N3913="REALIZADO",M3913="PENDENTE"),AND(ISNUMBER(R3913),R3913=TODAY())),"ATENÇÃO",IF(N(K3913)=0,"PENDENTE","EM ANDAMENTO"))))))</f>
        <v/>
      </c>
      <c r="C3913" s="3">
        <f>IF(D3913="","",IF(V3913=0,"🟢 OK",IF(D3913&lt;corte,"⚪ HISTÓRICO (sem baixa)",IF(AND(ISNUMBER(R3913),R3913&lt;TODAY()),"🔴 PRAZO VENCIDO",IF(AND(OR(N3913="PENDENTE",N3913="PARCIAL"),D3913&lt;TODAY()-1),"🔴 EMBARQUE ATRASADO",IF(AND(N3913="REALIZADO",M3913="PENDENTE"),"🟡 EMBARCADO SEM FATURAR",IF(AND(P3913&lt;&gt;"",S3913="",OR(Q3913="",R3913="")),"🟡 PENDÊNCIA SEM RESPONSÁVEL/PRAZO",IF(AND(ISNUMBER(R3913),R3913=TODAY()),"🟡 VENCE HOJE",IF(AND(P3913&lt;&gt;"",S3913=""),"🟡 PENDÊNCIA ABERTA",IF(AND(N(J3913)&gt;0,N(K3913)&lt;J3913),"🟡 FALTA EXECUTAR",IF(OR(M3913="PENDENTE",M3913="PARCIAL"),"🟡 FATURAMENTO PENDENTE","🟡 EMBARQUE PENDENTE")))))))))))</f>
        <v/>
      </c>
      <c r="D3913" s="4" t="n"/>
      <c r="E3913" s="5" t="n"/>
      <c r="F3913" s="5" t="n"/>
      <c r="G3913" s="5" t="n"/>
      <c r="H3913" s="5" t="n"/>
      <c r="I3913" s="5" t="n"/>
      <c r="J3913" s="6" t="n"/>
      <c r="K3913" s="6" t="n"/>
      <c r="L3913" s="7">
        <f>IF(OR(D3913="",N(J3913)=0),"",MIN(1,N(K3913)/J3913))</f>
        <v/>
      </c>
      <c r="M3913" s="5" t="n"/>
      <c r="N3913" s="5" t="n"/>
      <c r="O3913" s="5" t="n"/>
      <c r="P3913" s="5" t="n"/>
      <c r="Q3913" s="5" t="n"/>
      <c r="R3913" s="4" t="n"/>
      <c r="S3913" s="4" t="n"/>
      <c r="T3913" s="5" t="n"/>
      <c r="U3913" s="8">
        <f>IF(AND(V3913=1,D3913&lt;&gt;""),IF(D3913&gt;=corte,TODAY()-D3913,""),"")</f>
        <v/>
      </c>
      <c r="V3913" s="8">
        <f>IF(D3913="",0,IF(OR(AND(P3913&lt;&gt;"",S3913=""),AND(N(J3913)&gt;0,N(K3913)&lt;J3913),OR(M3913="PENDENTE",M3913="PARCIAL"),OR(N3913="PENDENTE",N3913="PARCIAL")),1,0))</f>
        <v/>
      </c>
      <c r="W3913" s="8">
        <f>IF(AND(V3913=1,D3913&lt;&gt;""),IF(D3913&gt;=corte,(B3913="CRÍTICO")*1E9+(100000-D3913)*10000+10000-ROW(),""),"")</f>
        <v/>
      </c>
      <c r="X3913" s="8">
        <f>IF(AND(V3913=1,D3913=pas_data,E3913=pas_turno),10000-ROW(),"")</f>
        <v/>
      </c>
    </row>
    <row r="3914">
      <c r="A3914" s="3">
        <f>IF(D3914="","","TT-"&amp;TEXT(ROW()-1,"00000"))</f>
        <v/>
      </c>
      <c r="B3914" s="3">
        <f>IF(D3914="","",IF(V3914=0,"CONCLUÍDO",IF(D3914&lt;corte,"HISTÓRICO",IF(OR(AND(ISNUMBER(R3914),R3914&lt;TODAY()),AND(OR(N3914="PENDENTE",N3914="PARCIAL"),D3914&lt;TODAY()-1)),"CRÍTICO",IF(OR(AND(P3914&lt;&gt;"",S3914=""),AND(N3914="REALIZADO",M3914="PENDENTE"),AND(ISNUMBER(R3914),R3914=TODAY())),"ATENÇÃO",IF(N(K3914)=0,"PENDENTE","EM ANDAMENTO"))))))</f>
        <v/>
      </c>
      <c r="C3914" s="3">
        <f>IF(D3914="","",IF(V3914=0,"🟢 OK",IF(D3914&lt;corte,"⚪ HISTÓRICO (sem baixa)",IF(AND(ISNUMBER(R3914),R3914&lt;TODAY()),"🔴 PRAZO VENCIDO",IF(AND(OR(N3914="PENDENTE",N3914="PARCIAL"),D3914&lt;TODAY()-1),"🔴 EMBARQUE ATRASADO",IF(AND(N3914="REALIZADO",M3914="PENDENTE"),"🟡 EMBARCADO SEM FATURAR",IF(AND(P3914&lt;&gt;"",S3914="",OR(Q3914="",R3914="")),"🟡 PENDÊNCIA SEM RESPONSÁVEL/PRAZO",IF(AND(ISNUMBER(R3914),R3914=TODAY()),"🟡 VENCE HOJE",IF(AND(P3914&lt;&gt;"",S3914=""),"🟡 PENDÊNCIA ABERTA",IF(AND(N(J3914)&gt;0,N(K3914)&lt;J3914),"🟡 FALTA EXECUTAR",IF(OR(M3914="PENDENTE",M3914="PARCIAL"),"🟡 FATURAMENTO PENDENTE","🟡 EMBARQUE PENDENTE")))))))))))</f>
        <v/>
      </c>
      <c r="D3914" s="4" t="n"/>
      <c r="E3914" s="5" t="n"/>
      <c r="F3914" s="5" t="n"/>
      <c r="G3914" s="5" t="n"/>
      <c r="H3914" s="5" t="n"/>
      <c r="I3914" s="5" t="n"/>
      <c r="J3914" s="6" t="n"/>
      <c r="K3914" s="6" t="n"/>
      <c r="L3914" s="7">
        <f>IF(OR(D3914="",N(J3914)=0),"",MIN(1,N(K3914)/J3914))</f>
        <v/>
      </c>
      <c r="M3914" s="5" t="n"/>
      <c r="N3914" s="5" t="n"/>
      <c r="O3914" s="5" t="n"/>
      <c r="P3914" s="5" t="n"/>
      <c r="Q3914" s="5" t="n"/>
      <c r="R3914" s="4" t="n"/>
      <c r="S3914" s="4" t="n"/>
      <c r="T3914" s="5" t="n"/>
      <c r="U3914" s="8">
        <f>IF(AND(V3914=1,D3914&lt;&gt;""),IF(D3914&gt;=corte,TODAY()-D3914,""),"")</f>
        <v/>
      </c>
      <c r="V3914" s="8">
        <f>IF(D3914="",0,IF(OR(AND(P3914&lt;&gt;"",S3914=""),AND(N(J3914)&gt;0,N(K3914)&lt;J3914),OR(M3914="PENDENTE",M3914="PARCIAL"),OR(N3914="PENDENTE",N3914="PARCIAL")),1,0))</f>
        <v/>
      </c>
      <c r="W3914" s="8">
        <f>IF(AND(V3914=1,D3914&lt;&gt;""),IF(D3914&gt;=corte,(B3914="CRÍTICO")*1E9+(100000-D3914)*10000+10000-ROW(),""),"")</f>
        <v/>
      </c>
      <c r="X3914" s="8">
        <f>IF(AND(V3914=1,D3914=pas_data,E3914=pas_turno),10000-ROW(),"")</f>
        <v/>
      </c>
    </row>
    <row r="3915">
      <c r="A3915" s="3">
        <f>IF(D3915="","","TT-"&amp;TEXT(ROW()-1,"00000"))</f>
        <v/>
      </c>
      <c r="B3915" s="3">
        <f>IF(D3915="","",IF(V3915=0,"CONCLUÍDO",IF(D3915&lt;corte,"HISTÓRICO",IF(OR(AND(ISNUMBER(R3915),R3915&lt;TODAY()),AND(OR(N3915="PENDENTE",N3915="PARCIAL"),D3915&lt;TODAY()-1)),"CRÍTICO",IF(OR(AND(P3915&lt;&gt;"",S3915=""),AND(N3915="REALIZADO",M3915="PENDENTE"),AND(ISNUMBER(R3915),R3915=TODAY())),"ATENÇÃO",IF(N(K3915)=0,"PENDENTE","EM ANDAMENTO"))))))</f>
        <v/>
      </c>
      <c r="C3915" s="3">
        <f>IF(D3915="","",IF(V3915=0,"🟢 OK",IF(D3915&lt;corte,"⚪ HISTÓRICO (sem baixa)",IF(AND(ISNUMBER(R3915),R3915&lt;TODAY()),"🔴 PRAZO VENCIDO",IF(AND(OR(N3915="PENDENTE",N3915="PARCIAL"),D3915&lt;TODAY()-1),"🔴 EMBARQUE ATRASADO",IF(AND(N3915="REALIZADO",M3915="PENDENTE"),"🟡 EMBARCADO SEM FATURAR",IF(AND(P3915&lt;&gt;"",S3915="",OR(Q3915="",R3915="")),"🟡 PENDÊNCIA SEM RESPONSÁVEL/PRAZO",IF(AND(ISNUMBER(R3915),R3915=TODAY()),"🟡 VENCE HOJE",IF(AND(P3915&lt;&gt;"",S3915=""),"🟡 PENDÊNCIA ABERTA",IF(AND(N(J3915)&gt;0,N(K3915)&lt;J3915),"🟡 FALTA EXECUTAR",IF(OR(M3915="PENDENTE",M3915="PARCIAL"),"🟡 FATURAMENTO PENDENTE","🟡 EMBARQUE PENDENTE")))))))))))</f>
        <v/>
      </c>
      <c r="D3915" s="4" t="n"/>
      <c r="E3915" s="5" t="n"/>
      <c r="F3915" s="5" t="n"/>
      <c r="G3915" s="5" t="n"/>
      <c r="H3915" s="5" t="n"/>
      <c r="I3915" s="5" t="n"/>
      <c r="J3915" s="6" t="n"/>
      <c r="K3915" s="6" t="n"/>
      <c r="L3915" s="7">
        <f>IF(OR(D3915="",N(J3915)=0),"",MIN(1,N(K3915)/J3915))</f>
        <v/>
      </c>
      <c r="M3915" s="5" t="n"/>
      <c r="N3915" s="5" t="n"/>
      <c r="O3915" s="5" t="n"/>
      <c r="P3915" s="5" t="n"/>
      <c r="Q3915" s="5" t="n"/>
      <c r="R3915" s="4" t="n"/>
      <c r="S3915" s="4" t="n"/>
      <c r="T3915" s="5" t="n"/>
      <c r="U3915" s="8">
        <f>IF(AND(V3915=1,D3915&lt;&gt;""),IF(D3915&gt;=corte,TODAY()-D3915,""),"")</f>
        <v/>
      </c>
      <c r="V3915" s="8">
        <f>IF(D3915="",0,IF(OR(AND(P3915&lt;&gt;"",S3915=""),AND(N(J3915)&gt;0,N(K3915)&lt;J3915),OR(M3915="PENDENTE",M3915="PARCIAL"),OR(N3915="PENDENTE",N3915="PARCIAL")),1,0))</f>
        <v/>
      </c>
      <c r="W3915" s="8">
        <f>IF(AND(V3915=1,D3915&lt;&gt;""),IF(D3915&gt;=corte,(B3915="CRÍTICO")*1E9+(100000-D3915)*10000+10000-ROW(),""),"")</f>
        <v/>
      </c>
      <c r="X3915" s="8">
        <f>IF(AND(V3915=1,D3915=pas_data,E3915=pas_turno),10000-ROW(),"")</f>
        <v/>
      </c>
    </row>
    <row r="3916">
      <c r="A3916" s="3">
        <f>IF(D3916="","","TT-"&amp;TEXT(ROW()-1,"00000"))</f>
        <v/>
      </c>
      <c r="B3916" s="3">
        <f>IF(D3916="","",IF(V3916=0,"CONCLUÍDO",IF(D3916&lt;corte,"HISTÓRICO",IF(OR(AND(ISNUMBER(R3916),R3916&lt;TODAY()),AND(OR(N3916="PENDENTE",N3916="PARCIAL"),D3916&lt;TODAY()-1)),"CRÍTICO",IF(OR(AND(P3916&lt;&gt;"",S3916=""),AND(N3916="REALIZADO",M3916="PENDENTE"),AND(ISNUMBER(R3916),R3916=TODAY())),"ATENÇÃO",IF(N(K3916)=0,"PENDENTE","EM ANDAMENTO"))))))</f>
        <v/>
      </c>
      <c r="C3916" s="3">
        <f>IF(D3916="","",IF(V3916=0,"🟢 OK",IF(D3916&lt;corte,"⚪ HISTÓRICO (sem baixa)",IF(AND(ISNUMBER(R3916),R3916&lt;TODAY()),"🔴 PRAZO VENCIDO",IF(AND(OR(N3916="PENDENTE",N3916="PARCIAL"),D3916&lt;TODAY()-1),"🔴 EMBARQUE ATRASADO",IF(AND(N3916="REALIZADO",M3916="PENDENTE"),"🟡 EMBARCADO SEM FATURAR",IF(AND(P3916&lt;&gt;"",S3916="",OR(Q3916="",R3916="")),"🟡 PENDÊNCIA SEM RESPONSÁVEL/PRAZO",IF(AND(ISNUMBER(R3916),R3916=TODAY()),"🟡 VENCE HOJE",IF(AND(P3916&lt;&gt;"",S3916=""),"🟡 PENDÊNCIA ABERTA",IF(AND(N(J3916)&gt;0,N(K3916)&lt;J3916),"🟡 FALTA EXECUTAR",IF(OR(M3916="PENDENTE",M3916="PARCIAL"),"🟡 FATURAMENTO PENDENTE","🟡 EMBARQUE PENDENTE")))))))))))</f>
        <v/>
      </c>
      <c r="D3916" s="4" t="n"/>
      <c r="E3916" s="5" t="n"/>
      <c r="F3916" s="5" t="n"/>
      <c r="G3916" s="5" t="n"/>
      <c r="H3916" s="5" t="n"/>
      <c r="I3916" s="5" t="n"/>
      <c r="J3916" s="6" t="n"/>
      <c r="K3916" s="6" t="n"/>
      <c r="L3916" s="7">
        <f>IF(OR(D3916="",N(J3916)=0),"",MIN(1,N(K3916)/J3916))</f>
        <v/>
      </c>
      <c r="M3916" s="5" t="n"/>
      <c r="N3916" s="5" t="n"/>
      <c r="O3916" s="5" t="n"/>
      <c r="P3916" s="5" t="n"/>
      <c r="Q3916" s="5" t="n"/>
      <c r="R3916" s="4" t="n"/>
      <c r="S3916" s="4" t="n"/>
      <c r="T3916" s="5" t="n"/>
      <c r="U3916" s="8">
        <f>IF(AND(V3916=1,D3916&lt;&gt;""),IF(D3916&gt;=corte,TODAY()-D3916,""),"")</f>
        <v/>
      </c>
      <c r="V3916" s="8">
        <f>IF(D3916="",0,IF(OR(AND(P3916&lt;&gt;"",S3916=""),AND(N(J3916)&gt;0,N(K3916)&lt;J3916),OR(M3916="PENDENTE",M3916="PARCIAL"),OR(N3916="PENDENTE",N3916="PARCIAL")),1,0))</f>
        <v/>
      </c>
      <c r="W3916" s="8">
        <f>IF(AND(V3916=1,D3916&lt;&gt;""),IF(D3916&gt;=corte,(B3916="CRÍTICO")*1E9+(100000-D3916)*10000+10000-ROW(),""),"")</f>
        <v/>
      </c>
      <c r="X3916" s="8">
        <f>IF(AND(V3916=1,D3916=pas_data,E3916=pas_turno),10000-ROW(),"")</f>
        <v/>
      </c>
    </row>
    <row r="3917">
      <c r="A3917" s="3">
        <f>IF(D3917="","","TT-"&amp;TEXT(ROW()-1,"00000"))</f>
        <v/>
      </c>
      <c r="B3917" s="3">
        <f>IF(D3917="","",IF(V3917=0,"CONCLUÍDO",IF(D3917&lt;corte,"HISTÓRICO",IF(OR(AND(ISNUMBER(R3917),R3917&lt;TODAY()),AND(OR(N3917="PENDENTE",N3917="PARCIAL"),D3917&lt;TODAY()-1)),"CRÍTICO",IF(OR(AND(P3917&lt;&gt;"",S3917=""),AND(N3917="REALIZADO",M3917="PENDENTE"),AND(ISNUMBER(R3917),R3917=TODAY())),"ATENÇÃO",IF(N(K3917)=0,"PENDENTE","EM ANDAMENTO"))))))</f>
        <v/>
      </c>
      <c r="C3917" s="3">
        <f>IF(D3917="","",IF(V3917=0,"🟢 OK",IF(D3917&lt;corte,"⚪ HISTÓRICO (sem baixa)",IF(AND(ISNUMBER(R3917),R3917&lt;TODAY()),"🔴 PRAZO VENCIDO",IF(AND(OR(N3917="PENDENTE",N3917="PARCIAL"),D3917&lt;TODAY()-1),"🔴 EMBARQUE ATRASADO",IF(AND(N3917="REALIZADO",M3917="PENDENTE"),"🟡 EMBARCADO SEM FATURAR",IF(AND(P3917&lt;&gt;"",S3917="",OR(Q3917="",R3917="")),"🟡 PENDÊNCIA SEM RESPONSÁVEL/PRAZO",IF(AND(ISNUMBER(R3917),R3917=TODAY()),"🟡 VENCE HOJE",IF(AND(P3917&lt;&gt;"",S3917=""),"🟡 PENDÊNCIA ABERTA",IF(AND(N(J3917)&gt;0,N(K3917)&lt;J3917),"🟡 FALTA EXECUTAR",IF(OR(M3917="PENDENTE",M3917="PARCIAL"),"🟡 FATURAMENTO PENDENTE","🟡 EMBARQUE PENDENTE")))))))))))</f>
        <v/>
      </c>
      <c r="D3917" s="4" t="n"/>
      <c r="E3917" s="5" t="n"/>
      <c r="F3917" s="5" t="n"/>
      <c r="G3917" s="5" t="n"/>
      <c r="H3917" s="5" t="n"/>
      <c r="I3917" s="5" t="n"/>
      <c r="J3917" s="6" t="n"/>
      <c r="K3917" s="6" t="n"/>
      <c r="L3917" s="7">
        <f>IF(OR(D3917="",N(J3917)=0),"",MIN(1,N(K3917)/J3917))</f>
        <v/>
      </c>
      <c r="M3917" s="5" t="n"/>
      <c r="N3917" s="5" t="n"/>
      <c r="O3917" s="5" t="n"/>
      <c r="P3917" s="5" t="n"/>
      <c r="Q3917" s="5" t="n"/>
      <c r="R3917" s="4" t="n"/>
      <c r="S3917" s="4" t="n"/>
      <c r="T3917" s="5" t="n"/>
      <c r="U3917" s="8">
        <f>IF(AND(V3917=1,D3917&lt;&gt;""),IF(D3917&gt;=corte,TODAY()-D3917,""),"")</f>
        <v/>
      </c>
      <c r="V3917" s="8">
        <f>IF(D3917="",0,IF(OR(AND(P3917&lt;&gt;"",S3917=""),AND(N(J3917)&gt;0,N(K3917)&lt;J3917),OR(M3917="PENDENTE",M3917="PARCIAL"),OR(N3917="PENDENTE",N3917="PARCIAL")),1,0))</f>
        <v/>
      </c>
      <c r="W3917" s="8">
        <f>IF(AND(V3917=1,D3917&lt;&gt;""),IF(D3917&gt;=corte,(B3917="CRÍTICO")*1E9+(100000-D3917)*10000+10000-ROW(),""),"")</f>
        <v/>
      </c>
      <c r="X3917" s="8">
        <f>IF(AND(V3917=1,D3917=pas_data,E3917=pas_turno),10000-ROW(),"")</f>
        <v/>
      </c>
    </row>
    <row r="3918">
      <c r="A3918" s="3">
        <f>IF(D3918="","","TT-"&amp;TEXT(ROW()-1,"00000"))</f>
        <v/>
      </c>
      <c r="B3918" s="3">
        <f>IF(D3918="","",IF(V3918=0,"CONCLUÍDO",IF(D3918&lt;corte,"HISTÓRICO",IF(OR(AND(ISNUMBER(R3918),R3918&lt;TODAY()),AND(OR(N3918="PENDENTE",N3918="PARCIAL"),D3918&lt;TODAY()-1)),"CRÍTICO",IF(OR(AND(P3918&lt;&gt;"",S3918=""),AND(N3918="REALIZADO",M3918="PENDENTE"),AND(ISNUMBER(R3918),R3918=TODAY())),"ATENÇÃO",IF(N(K3918)=0,"PENDENTE","EM ANDAMENTO"))))))</f>
        <v/>
      </c>
      <c r="C3918" s="3">
        <f>IF(D3918="","",IF(V3918=0,"🟢 OK",IF(D3918&lt;corte,"⚪ HISTÓRICO (sem baixa)",IF(AND(ISNUMBER(R3918),R3918&lt;TODAY()),"🔴 PRAZO VENCIDO",IF(AND(OR(N3918="PENDENTE",N3918="PARCIAL"),D3918&lt;TODAY()-1),"🔴 EMBARQUE ATRASADO",IF(AND(N3918="REALIZADO",M3918="PENDENTE"),"🟡 EMBARCADO SEM FATURAR",IF(AND(P3918&lt;&gt;"",S3918="",OR(Q3918="",R3918="")),"🟡 PENDÊNCIA SEM RESPONSÁVEL/PRAZO",IF(AND(ISNUMBER(R3918),R3918=TODAY()),"🟡 VENCE HOJE",IF(AND(P3918&lt;&gt;"",S3918=""),"🟡 PENDÊNCIA ABERTA",IF(AND(N(J3918)&gt;0,N(K3918)&lt;J3918),"🟡 FALTA EXECUTAR",IF(OR(M3918="PENDENTE",M3918="PARCIAL"),"🟡 FATURAMENTO PENDENTE","🟡 EMBARQUE PENDENTE")))))))))))</f>
        <v/>
      </c>
      <c r="D3918" s="4" t="n"/>
      <c r="E3918" s="5" t="n"/>
      <c r="F3918" s="5" t="n"/>
      <c r="G3918" s="5" t="n"/>
      <c r="H3918" s="5" t="n"/>
      <c r="I3918" s="5" t="n"/>
      <c r="J3918" s="6" t="n"/>
      <c r="K3918" s="6" t="n"/>
      <c r="L3918" s="7">
        <f>IF(OR(D3918="",N(J3918)=0),"",MIN(1,N(K3918)/J3918))</f>
        <v/>
      </c>
      <c r="M3918" s="5" t="n"/>
      <c r="N3918" s="5" t="n"/>
      <c r="O3918" s="5" t="n"/>
      <c r="P3918" s="5" t="n"/>
      <c r="Q3918" s="5" t="n"/>
      <c r="R3918" s="4" t="n"/>
      <c r="S3918" s="4" t="n"/>
      <c r="T3918" s="5" t="n"/>
      <c r="U3918" s="8">
        <f>IF(AND(V3918=1,D3918&lt;&gt;""),IF(D3918&gt;=corte,TODAY()-D3918,""),"")</f>
        <v/>
      </c>
      <c r="V3918" s="8">
        <f>IF(D3918="",0,IF(OR(AND(P3918&lt;&gt;"",S3918=""),AND(N(J3918)&gt;0,N(K3918)&lt;J3918),OR(M3918="PENDENTE",M3918="PARCIAL"),OR(N3918="PENDENTE",N3918="PARCIAL")),1,0))</f>
        <v/>
      </c>
      <c r="W3918" s="8">
        <f>IF(AND(V3918=1,D3918&lt;&gt;""),IF(D3918&gt;=corte,(B3918="CRÍTICO")*1E9+(100000-D3918)*10000+10000-ROW(),""),"")</f>
        <v/>
      </c>
      <c r="X3918" s="8">
        <f>IF(AND(V3918=1,D3918=pas_data,E3918=pas_turno),10000-ROW(),"")</f>
        <v/>
      </c>
    </row>
    <row r="3919">
      <c r="A3919" s="3">
        <f>IF(D3919="","","TT-"&amp;TEXT(ROW()-1,"00000"))</f>
        <v/>
      </c>
      <c r="B3919" s="3">
        <f>IF(D3919="","",IF(V3919=0,"CONCLUÍDO",IF(D3919&lt;corte,"HISTÓRICO",IF(OR(AND(ISNUMBER(R3919),R3919&lt;TODAY()),AND(OR(N3919="PENDENTE",N3919="PARCIAL"),D3919&lt;TODAY()-1)),"CRÍTICO",IF(OR(AND(P3919&lt;&gt;"",S3919=""),AND(N3919="REALIZADO",M3919="PENDENTE"),AND(ISNUMBER(R3919),R3919=TODAY())),"ATENÇÃO",IF(N(K3919)=0,"PENDENTE","EM ANDAMENTO"))))))</f>
        <v/>
      </c>
      <c r="C3919" s="3">
        <f>IF(D3919="","",IF(V3919=0,"🟢 OK",IF(D3919&lt;corte,"⚪ HISTÓRICO (sem baixa)",IF(AND(ISNUMBER(R3919),R3919&lt;TODAY()),"🔴 PRAZO VENCIDO",IF(AND(OR(N3919="PENDENTE",N3919="PARCIAL"),D3919&lt;TODAY()-1),"🔴 EMBARQUE ATRASADO",IF(AND(N3919="REALIZADO",M3919="PENDENTE"),"🟡 EMBARCADO SEM FATURAR",IF(AND(P3919&lt;&gt;"",S3919="",OR(Q3919="",R3919="")),"🟡 PENDÊNCIA SEM RESPONSÁVEL/PRAZO",IF(AND(ISNUMBER(R3919),R3919=TODAY()),"🟡 VENCE HOJE",IF(AND(P3919&lt;&gt;"",S3919=""),"🟡 PENDÊNCIA ABERTA",IF(AND(N(J3919)&gt;0,N(K3919)&lt;J3919),"🟡 FALTA EXECUTAR",IF(OR(M3919="PENDENTE",M3919="PARCIAL"),"🟡 FATURAMENTO PENDENTE","🟡 EMBARQUE PENDENTE")))))))))))</f>
        <v/>
      </c>
      <c r="D3919" s="4" t="n"/>
      <c r="E3919" s="5" t="n"/>
      <c r="F3919" s="5" t="n"/>
      <c r="G3919" s="5" t="n"/>
      <c r="H3919" s="5" t="n"/>
      <c r="I3919" s="5" t="n"/>
      <c r="J3919" s="6" t="n"/>
      <c r="K3919" s="6" t="n"/>
      <c r="L3919" s="7">
        <f>IF(OR(D3919="",N(J3919)=0),"",MIN(1,N(K3919)/J3919))</f>
        <v/>
      </c>
      <c r="M3919" s="5" t="n"/>
      <c r="N3919" s="5" t="n"/>
      <c r="O3919" s="5" t="n"/>
      <c r="P3919" s="5" t="n"/>
      <c r="Q3919" s="5" t="n"/>
      <c r="R3919" s="4" t="n"/>
      <c r="S3919" s="4" t="n"/>
      <c r="T3919" s="5" t="n"/>
      <c r="U3919" s="8">
        <f>IF(AND(V3919=1,D3919&lt;&gt;""),IF(D3919&gt;=corte,TODAY()-D3919,""),"")</f>
        <v/>
      </c>
      <c r="V3919" s="8">
        <f>IF(D3919="",0,IF(OR(AND(P3919&lt;&gt;"",S3919=""),AND(N(J3919)&gt;0,N(K3919)&lt;J3919),OR(M3919="PENDENTE",M3919="PARCIAL"),OR(N3919="PENDENTE",N3919="PARCIAL")),1,0))</f>
        <v/>
      </c>
      <c r="W3919" s="8">
        <f>IF(AND(V3919=1,D3919&lt;&gt;""),IF(D3919&gt;=corte,(B3919="CRÍTICO")*1E9+(100000-D3919)*10000+10000-ROW(),""),"")</f>
        <v/>
      </c>
      <c r="X3919" s="8">
        <f>IF(AND(V3919=1,D3919=pas_data,E3919=pas_turno),10000-ROW(),"")</f>
        <v/>
      </c>
    </row>
    <row r="3920">
      <c r="A3920" s="3">
        <f>IF(D3920="","","TT-"&amp;TEXT(ROW()-1,"00000"))</f>
        <v/>
      </c>
      <c r="B3920" s="3">
        <f>IF(D3920="","",IF(V3920=0,"CONCLUÍDO",IF(D3920&lt;corte,"HISTÓRICO",IF(OR(AND(ISNUMBER(R3920),R3920&lt;TODAY()),AND(OR(N3920="PENDENTE",N3920="PARCIAL"),D3920&lt;TODAY()-1)),"CRÍTICO",IF(OR(AND(P3920&lt;&gt;"",S3920=""),AND(N3920="REALIZADO",M3920="PENDENTE"),AND(ISNUMBER(R3920),R3920=TODAY())),"ATENÇÃO",IF(N(K3920)=0,"PENDENTE","EM ANDAMENTO"))))))</f>
        <v/>
      </c>
      <c r="C3920" s="3">
        <f>IF(D3920="","",IF(V3920=0,"🟢 OK",IF(D3920&lt;corte,"⚪ HISTÓRICO (sem baixa)",IF(AND(ISNUMBER(R3920),R3920&lt;TODAY()),"🔴 PRAZO VENCIDO",IF(AND(OR(N3920="PENDENTE",N3920="PARCIAL"),D3920&lt;TODAY()-1),"🔴 EMBARQUE ATRASADO",IF(AND(N3920="REALIZADO",M3920="PENDENTE"),"🟡 EMBARCADO SEM FATURAR",IF(AND(P3920&lt;&gt;"",S3920="",OR(Q3920="",R3920="")),"🟡 PENDÊNCIA SEM RESPONSÁVEL/PRAZO",IF(AND(ISNUMBER(R3920),R3920=TODAY()),"🟡 VENCE HOJE",IF(AND(P3920&lt;&gt;"",S3920=""),"🟡 PENDÊNCIA ABERTA",IF(AND(N(J3920)&gt;0,N(K3920)&lt;J3920),"🟡 FALTA EXECUTAR",IF(OR(M3920="PENDENTE",M3920="PARCIAL"),"🟡 FATURAMENTO PENDENTE","🟡 EMBARQUE PENDENTE")))))))))))</f>
        <v/>
      </c>
      <c r="D3920" s="4" t="n"/>
      <c r="E3920" s="5" t="n"/>
      <c r="F3920" s="5" t="n"/>
      <c r="G3920" s="5" t="n"/>
      <c r="H3920" s="5" t="n"/>
      <c r="I3920" s="5" t="n"/>
      <c r="J3920" s="6" t="n"/>
      <c r="K3920" s="6" t="n"/>
      <c r="L3920" s="7">
        <f>IF(OR(D3920="",N(J3920)=0),"",MIN(1,N(K3920)/J3920))</f>
        <v/>
      </c>
      <c r="M3920" s="5" t="n"/>
      <c r="N3920" s="5" t="n"/>
      <c r="O3920" s="5" t="n"/>
      <c r="P3920" s="5" t="n"/>
      <c r="Q3920" s="5" t="n"/>
      <c r="R3920" s="4" t="n"/>
      <c r="S3920" s="4" t="n"/>
      <c r="T3920" s="5" t="n"/>
      <c r="U3920" s="8">
        <f>IF(AND(V3920=1,D3920&lt;&gt;""),IF(D3920&gt;=corte,TODAY()-D3920,""),"")</f>
        <v/>
      </c>
      <c r="V3920" s="8">
        <f>IF(D3920="",0,IF(OR(AND(P3920&lt;&gt;"",S3920=""),AND(N(J3920)&gt;0,N(K3920)&lt;J3920),OR(M3920="PENDENTE",M3920="PARCIAL"),OR(N3920="PENDENTE",N3920="PARCIAL")),1,0))</f>
        <v/>
      </c>
      <c r="W3920" s="8">
        <f>IF(AND(V3920=1,D3920&lt;&gt;""),IF(D3920&gt;=corte,(B3920="CRÍTICO")*1E9+(100000-D3920)*10000+10000-ROW(),""),"")</f>
        <v/>
      </c>
      <c r="X3920" s="8">
        <f>IF(AND(V3920=1,D3920=pas_data,E3920=pas_turno),10000-ROW(),"")</f>
        <v/>
      </c>
    </row>
    <row r="3921">
      <c r="A3921" s="3">
        <f>IF(D3921="","","TT-"&amp;TEXT(ROW()-1,"00000"))</f>
        <v/>
      </c>
      <c r="B3921" s="3">
        <f>IF(D3921="","",IF(V3921=0,"CONCLUÍDO",IF(D3921&lt;corte,"HISTÓRICO",IF(OR(AND(ISNUMBER(R3921),R3921&lt;TODAY()),AND(OR(N3921="PENDENTE",N3921="PARCIAL"),D3921&lt;TODAY()-1)),"CRÍTICO",IF(OR(AND(P3921&lt;&gt;"",S3921=""),AND(N3921="REALIZADO",M3921="PENDENTE"),AND(ISNUMBER(R3921),R3921=TODAY())),"ATENÇÃO",IF(N(K3921)=0,"PENDENTE","EM ANDAMENTO"))))))</f>
        <v/>
      </c>
      <c r="C3921" s="3">
        <f>IF(D3921="","",IF(V3921=0,"🟢 OK",IF(D3921&lt;corte,"⚪ HISTÓRICO (sem baixa)",IF(AND(ISNUMBER(R3921),R3921&lt;TODAY()),"🔴 PRAZO VENCIDO",IF(AND(OR(N3921="PENDENTE",N3921="PARCIAL"),D3921&lt;TODAY()-1),"🔴 EMBARQUE ATRASADO",IF(AND(N3921="REALIZADO",M3921="PENDENTE"),"🟡 EMBARCADO SEM FATURAR",IF(AND(P3921&lt;&gt;"",S3921="",OR(Q3921="",R3921="")),"🟡 PENDÊNCIA SEM RESPONSÁVEL/PRAZO",IF(AND(ISNUMBER(R3921),R3921=TODAY()),"🟡 VENCE HOJE",IF(AND(P3921&lt;&gt;"",S3921=""),"🟡 PENDÊNCIA ABERTA",IF(AND(N(J3921)&gt;0,N(K3921)&lt;J3921),"🟡 FALTA EXECUTAR",IF(OR(M3921="PENDENTE",M3921="PARCIAL"),"🟡 FATURAMENTO PENDENTE","🟡 EMBARQUE PENDENTE")))))))))))</f>
        <v/>
      </c>
      <c r="D3921" s="4" t="n"/>
      <c r="E3921" s="5" t="n"/>
      <c r="F3921" s="5" t="n"/>
      <c r="G3921" s="5" t="n"/>
      <c r="H3921" s="5" t="n"/>
      <c r="I3921" s="5" t="n"/>
      <c r="J3921" s="6" t="n"/>
      <c r="K3921" s="6" t="n"/>
      <c r="L3921" s="7">
        <f>IF(OR(D3921="",N(J3921)=0),"",MIN(1,N(K3921)/J3921))</f>
        <v/>
      </c>
      <c r="M3921" s="5" t="n"/>
      <c r="N3921" s="5" t="n"/>
      <c r="O3921" s="5" t="n"/>
      <c r="P3921" s="5" t="n"/>
      <c r="Q3921" s="5" t="n"/>
      <c r="R3921" s="4" t="n"/>
      <c r="S3921" s="4" t="n"/>
      <c r="T3921" s="5" t="n"/>
      <c r="U3921" s="8">
        <f>IF(AND(V3921=1,D3921&lt;&gt;""),IF(D3921&gt;=corte,TODAY()-D3921,""),"")</f>
        <v/>
      </c>
      <c r="V3921" s="8">
        <f>IF(D3921="",0,IF(OR(AND(P3921&lt;&gt;"",S3921=""),AND(N(J3921)&gt;0,N(K3921)&lt;J3921),OR(M3921="PENDENTE",M3921="PARCIAL"),OR(N3921="PENDENTE",N3921="PARCIAL")),1,0))</f>
        <v/>
      </c>
      <c r="W3921" s="8">
        <f>IF(AND(V3921=1,D3921&lt;&gt;""),IF(D3921&gt;=corte,(B3921="CRÍTICO")*1E9+(100000-D3921)*10000+10000-ROW(),""),"")</f>
        <v/>
      </c>
      <c r="X3921" s="8">
        <f>IF(AND(V3921=1,D3921=pas_data,E3921=pas_turno),10000-ROW(),"")</f>
        <v/>
      </c>
    </row>
    <row r="3922">
      <c r="A3922" s="3">
        <f>IF(D3922="","","TT-"&amp;TEXT(ROW()-1,"00000"))</f>
        <v/>
      </c>
      <c r="B3922" s="3">
        <f>IF(D3922="","",IF(V3922=0,"CONCLUÍDO",IF(D3922&lt;corte,"HISTÓRICO",IF(OR(AND(ISNUMBER(R3922),R3922&lt;TODAY()),AND(OR(N3922="PENDENTE",N3922="PARCIAL"),D3922&lt;TODAY()-1)),"CRÍTICO",IF(OR(AND(P3922&lt;&gt;"",S3922=""),AND(N3922="REALIZADO",M3922="PENDENTE"),AND(ISNUMBER(R3922),R3922=TODAY())),"ATENÇÃO",IF(N(K3922)=0,"PENDENTE","EM ANDAMENTO"))))))</f>
        <v/>
      </c>
      <c r="C3922" s="3">
        <f>IF(D3922="","",IF(V3922=0,"🟢 OK",IF(D3922&lt;corte,"⚪ HISTÓRICO (sem baixa)",IF(AND(ISNUMBER(R3922),R3922&lt;TODAY()),"🔴 PRAZO VENCIDO",IF(AND(OR(N3922="PENDENTE",N3922="PARCIAL"),D3922&lt;TODAY()-1),"🔴 EMBARQUE ATRASADO",IF(AND(N3922="REALIZADO",M3922="PENDENTE"),"🟡 EMBARCADO SEM FATURAR",IF(AND(P3922&lt;&gt;"",S3922="",OR(Q3922="",R3922="")),"🟡 PENDÊNCIA SEM RESPONSÁVEL/PRAZO",IF(AND(ISNUMBER(R3922),R3922=TODAY()),"🟡 VENCE HOJE",IF(AND(P3922&lt;&gt;"",S3922=""),"🟡 PENDÊNCIA ABERTA",IF(AND(N(J3922)&gt;0,N(K3922)&lt;J3922),"🟡 FALTA EXECUTAR",IF(OR(M3922="PENDENTE",M3922="PARCIAL"),"🟡 FATURAMENTO PENDENTE","🟡 EMBARQUE PENDENTE")))))))))))</f>
        <v/>
      </c>
      <c r="D3922" s="4" t="n"/>
      <c r="E3922" s="5" t="n"/>
      <c r="F3922" s="5" t="n"/>
      <c r="G3922" s="5" t="n"/>
      <c r="H3922" s="5" t="n"/>
      <c r="I3922" s="5" t="n"/>
      <c r="J3922" s="6" t="n"/>
      <c r="K3922" s="6" t="n"/>
      <c r="L3922" s="7">
        <f>IF(OR(D3922="",N(J3922)=0),"",MIN(1,N(K3922)/J3922))</f>
        <v/>
      </c>
      <c r="M3922" s="5" t="n"/>
      <c r="N3922" s="5" t="n"/>
      <c r="O3922" s="5" t="n"/>
      <c r="P3922" s="5" t="n"/>
      <c r="Q3922" s="5" t="n"/>
      <c r="R3922" s="4" t="n"/>
      <c r="S3922" s="4" t="n"/>
      <c r="T3922" s="5" t="n"/>
      <c r="U3922" s="8">
        <f>IF(AND(V3922=1,D3922&lt;&gt;""),IF(D3922&gt;=corte,TODAY()-D3922,""),"")</f>
        <v/>
      </c>
      <c r="V3922" s="8">
        <f>IF(D3922="",0,IF(OR(AND(P3922&lt;&gt;"",S3922=""),AND(N(J3922)&gt;0,N(K3922)&lt;J3922),OR(M3922="PENDENTE",M3922="PARCIAL"),OR(N3922="PENDENTE",N3922="PARCIAL")),1,0))</f>
        <v/>
      </c>
      <c r="W3922" s="8">
        <f>IF(AND(V3922=1,D3922&lt;&gt;""),IF(D3922&gt;=corte,(B3922="CRÍTICO")*1E9+(100000-D3922)*10000+10000-ROW(),""),"")</f>
        <v/>
      </c>
      <c r="X3922" s="8">
        <f>IF(AND(V3922=1,D3922=pas_data,E3922=pas_turno),10000-ROW(),"")</f>
        <v/>
      </c>
    </row>
    <row r="3923">
      <c r="A3923" s="3">
        <f>IF(D3923="","","TT-"&amp;TEXT(ROW()-1,"00000"))</f>
        <v/>
      </c>
      <c r="B3923" s="3">
        <f>IF(D3923="","",IF(V3923=0,"CONCLUÍDO",IF(D3923&lt;corte,"HISTÓRICO",IF(OR(AND(ISNUMBER(R3923),R3923&lt;TODAY()),AND(OR(N3923="PENDENTE",N3923="PARCIAL"),D3923&lt;TODAY()-1)),"CRÍTICO",IF(OR(AND(P3923&lt;&gt;"",S3923=""),AND(N3923="REALIZADO",M3923="PENDENTE"),AND(ISNUMBER(R3923),R3923=TODAY())),"ATENÇÃO",IF(N(K3923)=0,"PENDENTE","EM ANDAMENTO"))))))</f>
        <v/>
      </c>
      <c r="C3923" s="3">
        <f>IF(D3923="","",IF(V3923=0,"🟢 OK",IF(D3923&lt;corte,"⚪ HISTÓRICO (sem baixa)",IF(AND(ISNUMBER(R3923),R3923&lt;TODAY()),"🔴 PRAZO VENCIDO",IF(AND(OR(N3923="PENDENTE",N3923="PARCIAL"),D3923&lt;TODAY()-1),"🔴 EMBARQUE ATRASADO",IF(AND(N3923="REALIZADO",M3923="PENDENTE"),"🟡 EMBARCADO SEM FATURAR",IF(AND(P3923&lt;&gt;"",S3923="",OR(Q3923="",R3923="")),"🟡 PENDÊNCIA SEM RESPONSÁVEL/PRAZO",IF(AND(ISNUMBER(R3923),R3923=TODAY()),"🟡 VENCE HOJE",IF(AND(P3923&lt;&gt;"",S3923=""),"🟡 PENDÊNCIA ABERTA",IF(AND(N(J3923)&gt;0,N(K3923)&lt;J3923),"🟡 FALTA EXECUTAR",IF(OR(M3923="PENDENTE",M3923="PARCIAL"),"🟡 FATURAMENTO PENDENTE","🟡 EMBARQUE PENDENTE")))))))))))</f>
        <v/>
      </c>
      <c r="D3923" s="4" t="n"/>
      <c r="E3923" s="5" t="n"/>
      <c r="F3923" s="5" t="n"/>
      <c r="G3923" s="5" t="n"/>
      <c r="H3923" s="5" t="n"/>
      <c r="I3923" s="5" t="n"/>
      <c r="J3923" s="6" t="n"/>
      <c r="K3923" s="6" t="n"/>
      <c r="L3923" s="7">
        <f>IF(OR(D3923="",N(J3923)=0),"",MIN(1,N(K3923)/J3923))</f>
        <v/>
      </c>
      <c r="M3923" s="5" t="n"/>
      <c r="N3923" s="5" t="n"/>
      <c r="O3923" s="5" t="n"/>
      <c r="P3923" s="5" t="n"/>
      <c r="Q3923" s="5" t="n"/>
      <c r="R3923" s="4" t="n"/>
      <c r="S3923" s="4" t="n"/>
      <c r="T3923" s="5" t="n"/>
      <c r="U3923" s="8">
        <f>IF(AND(V3923=1,D3923&lt;&gt;""),IF(D3923&gt;=corte,TODAY()-D3923,""),"")</f>
        <v/>
      </c>
      <c r="V3923" s="8">
        <f>IF(D3923="",0,IF(OR(AND(P3923&lt;&gt;"",S3923=""),AND(N(J3923)&gt;0,N(K3923)&lt;J3923),OR(M3923="PENDENTE",M3923="PARCIAL"),OR(N3923="PENDENTE",N3923="PARCIAL")),1,0))</f>
        <v/>
      </c>
      <c r="W3923" s="8">
        <f>IF(AND(V3923=1,D3923&lt;&gt;""),IF(D3923&gt;=corte,(B3923="CRÍTICO")*1E9+(100000-D3923)*10000+10000-ROW(),""),"")</f>
        <v/>
      </c>
      <c r="X3923" s="8">
        <f>IF(AND(V3923=1,D3923=pas_data,E3923=pas_turno),10000-ROW(),"")</f>
        <v/>
      </c>
    </row>
    <row r="3924">
      <c r="A3924" s="3">
        <f>IF(D3924="","","TT-"&amp;TEXT(ROW()-1,"00000"))</f>
        <v/>
      </c>
      <c r="B3924" s="3">
        <f>IF(D3924="","",IF(V3924=0,"CONCLUÍDO",IF(D3924&lt;corte,"HISTÓRICO",IF(OR(AND(ISNUMBER(R3924),R3924&lt;TODAY()),AND(OR(N3924="PENDENTE",N3924="PARCIAL"),D3924&lt;TODAY()-1)),"CRÍTICO",IF(OR(AND(P3924&lt;&gt;"",S3924=""),AND(N3924="REALIZADO",M3924="PENDENTE"),AND(ISNUMBER(R3924),R3924=TODAY())),"ATENÇÃO",IF(N(K3924)=0,"PENDENTE","EM ANDAMENTO"))))))</f>
        <v/>
      </c>
      <c r="C3924" s="3">
        <f>IF(D3924="","",IF(V3924=0,"🟢 OK",IF(D3924&lt;corte,"⚪ HISTÓRICO (sem baixa)",IF(AND(ISNUMBER(R3924),R3924&lt;TODAY()),"🔴 PRAZO VENCIDO",IF(AND(OR(N3924="PENDENTE",N3924="PARCIAL"),D3924&lt;TODAY()-1),"🔴 EMBARQUE ATRASADO",IF(AND(N3924="REALIZADO",M3924="PENDENTE"),"🟡 EMBARCADO SEM FATURAR",IF(AND(P3924&lt;&gt;"",S3924="",OR(Q3924="",R3924="")),"🟡 PENDÊNCIA SEM RESPONSÁVEL/PRAZO",IF(AND(ISNUMBER(R3924),R3924=TODAY()),"🟡 VENCE HOJE",IF(AND(P3924&lt;&gt;"",S3924=""),"🟡 PENDÊNCIA ABERTA",IF(AND(N(J3924)&gt;0,N(K3924)&lt;J3924),"🟡 FALTA EXECUTAR",IF(OR(M3924="PENDENTE",M3924="PARCIAL"),"🟡 FATURAMENTO PENDENTE","🟡 EMBARQUE PENDENTE")))))))))))</f>
        <v/>
      </c>
      <c r="D3924" s="4" t="n"/>
      <c r="E3924" s="5" t="n"/>
      <c r="F3924" s="5" t="n"/>
      <c r="G3924" s="5" t="n"/>
      <c r="H3924" s="5" t="n"/>
      <c r="I3924" s="5" t="n"/>
      <c r="J3924" s="6" t="n"/>
      <c r="K3924" s="6" t="n"/>
      <c r="L3924" s="7">
        <f>IF(OR(D3924="",N(J3924)=0),"",MIN(1,N(K3924)/J3924))</f>
        <v/>
      </c>
      <c r="M3924" s="5" t="n"/>
      <c r="N3924" s="5" t="n"/>
      <c r="O3924" s="5" t="n"/>
      <c r="P3924" s="5" t="n"/>
      <c r="Q3924" s="5" t="n"/>
      <c r="R3924" s="4" t="n"/>
      <c r="S3924" s="4" t="n"/>
      <c r="T3924" s="5" t="n"/>
      <c r="U3924" s="8">
        <f>IF(AND(V3924=1,D3924&lt;&gt;""),IF(D3924&gt;=corte,TODAY()-D3924,""),"")</f>
        <v/>
      </c>
      <c r="V3924" s="8">
        <f>IF(D3924="",0,IF(OR(AND(P3924&lt;&gt;"",S3924=""),AND(N(J3924)&gt;0,N(K3924)&lt;J3924),OR(M3924="PENDENTE",M3924="PARCIAL"),OR(N3924="PENDENTE",N3924="PARCIAL")),1,0))</f>
        <v/>
      </c>
      <c r="W3924" s="8">
        <f>IF(AND(V3924=1,D3924&lt;&gt;""),IF(D3924&gt;=corte,(B3924="CRÍTICO")*1E9+(100000-D3924)*10000+10000-ROW(),""),"")</f>
        <v/>
      </c>
      <c r="X3924" s="8">
        <f>IF(AND(V3924=1,D3924=pas_data,E3924=pas_turno),10000-ROW(),"")</f>
        <v/>
      </c>
    </row>
    <row r="3925">
      <c r="A3925" s="3">
        <f>IF(D3925="","","TT-"&amp;TEXT(ROW()-1,"00000"))</f>
        <v/>
      </c>
      <c r="B3925" s="3">
        <f>IF(D3925="","",IF(V3925=0,"CONCLUÍDO",IF(D3925&lt;corte,"HISTÓRICO",IF(OR(AND(ISNUMBER(R3925),R3925&lt;TODAY()),AND(OR(N3925="PENDENTE",N3925="PARCIAL"),D3925&lt;TODAY()-1)),"CRÍTICO",IF(OR(AND(P3925&lt;&gt;"",S3925=""),AND(N3925="REALIZADO",M3925="PENDENTE"),AND(ISNUMBER(R3925),R3925=TODAY())),"ATENÇÃO",IF(N(K3925)=0,"PENDENTE","EM ANDAMENTO"))))))</f>
        <v/>
      </c>
      <c r="C3925" s="3">
        <f>IF(D3925="","",IF(V3925=0,"🟢 OK",IF(D3925&lt;corte,"⚪ HISTÓRICO (sem baixa)",IF(AND(ISNUMBER(R3925),R3925&lt;TODAY()),"🔴 PRAZO VENCIDO",IF(AND(OR(N3925="PENDENTE",N3925="PARCIAL"),D3925&lt;TODAY()-1),"🔴 EMBARQUE ATRASADO",IF(AND(N3925="REALIZADO",M3925="PENDENTE"),"🟡 EMBARCADO SEM FATURAR",IF(AND(P3925&lt;&gt;"",S3925="",OR(Q3925="",R3925="")),"🟡 PENDÊNCIA SEM RESPONSÁVEL/PRAZO",IF(AND(ISNUMBER(R3925),R3925=TODAY()),"🟡 VENCE HOJE",IF(AND(P3925&lt;&gt;"",S3925=""),"🟡 PENDÊNCIA ABERTA",IF(AND(N(J3925)&gt;0,N(K3925)&lt;J3925),"🟡 FALTA EXECUTAR",IF(OR(M3925="PENDENTE",M3925="PARCIAL"),"🟡 FATURAMENTO PENDENTE","🟡 EMBARQUE PENDENTE")))))))))))</f>
        <v/>
      </c>
      <c r="D3925" s="4" t="n"/>
      <c r="E3925" s="5" t="n"/>
      <c r="F3925" s="5" t="n"/>
      <c r="G3925" s="5" t="n"/>
      <c r="H3925" s="5" t="n"/>
      <c r="I3925" s="5" t="n"/>
      <c r="J3925" s="6" t="n"/>
      <c r="K3925" s="6" t="n"/>
      <c r="L3925" s="7">
        <f>IF(OR(D3925="",N(J3925)=0),"",MIN(1,N(K3925)/J3925))</f>
        <v/>
      </c>
      <c r="M3925" s="5" t="n"/>
      <c r="N3925" s="5" t="n"/>
      <c r="O3925" s="5" t="n"/>
      <c r="P3925" s="5" t="n"/>
      <c r="Q3925" s="5" t="n"/>
      <c r="R3925" s="4" t="n"/>
      <c r="S3925" s="4" t="n"/>
      <c r="T3925" s="5" t="n"/>
      <c r="U3925" s="8">
        <f>IF(AND(V3925=1,D3925&lt;&gt;""),IF(D3925&gt;=corte,TODAY()-D3925,""),"")</f>
        <v/>
      </c>
      <c r="V3925" s="8">
        <f>IF(D3925="",0,IF(OR(AND(P3925&lt;&gt;"",S3925=""),AND(N(J3925)&gt;0,N(K3925)&lt;J3925),OR(M3925="PENDENTE",M3925="PARCIAL"),OR(N3925="PENDENTE",N3925="PARCIAL")),1,0))</f>
        <v/>
      </c>
      <c r="W3925" s="8">
        <f>IF(AND(V3925=1,D3925&lt;&gt;""),IF(D3925&gt;=corte,(B3925="CRÍTICO")*1E9+(100000-D3925)*10000+10000-ROW(),""),"")</f>
        <v/>
      </c>
      <c r="X3925" s="8">
        <f>IF(AND(V3925=1,D3925=pas_data,E3925=pas_turno),10000-ROW(),"")</f>
        <v/>
      </c>
    </row>
    <row r="3926">
      <c r="A3926" s="3">
        <f>IF(D3926="","","TT-"&amp;TEXT(ROW()-1,"00000"))</f>
        <v/>
      </c>
      <c r="B3926" s="3">
        <f>IF(D3926="","",IF(V3926=0,"CONCLUÍDO",IF(D3926&lt;corte,"HISTÓRICO",IF(OR(AND(ISNUMBER(R3926),R3926&lt;TODAY()),AND(OR(N3926="PENDENTE",N3926="PARCIAL"),D3926&lt;TODAY()-1)),"CRÍTICO",IF(OR(AND(P3926&lt;&gt;"",S3926=""),AND(N3926="REALIZADO",M3926="PENDENTE"),AND(ISNUMBER(R3926),R3926=TODAY())),"ATENÇÃO",IF(N(K3926)=0,"PENDENTE","EM ANDAMENTO"))))))</f>
        <v/>
      </c>
      <c r="C3926" s="3">
        <f>IF(D3926="","",IF(V3926=0,"🟢 OK",IF(D3926&lt;corte,"⚪ HISTÓRICO (sem baixa)",IF(AND(ISNUMBER(R3926),R3926&lt;TODAY()),"🔴 PRAZO VENCIDO",IF(AND(OR(N3926="PENDENTE",N3926="PARCIAL"),D3926&lt;TODAY()-1),"🔴 EMBARQUE ATRASADO",IF(AND(N3926="REALIZADO",M3926="PENDENTE"),"🟡 EMBARCADO SEM FATURAR",IF(AND(P3926&lt;&gt;"",S3926="",OR(Q3926="",R3926="")),"🟡 PENDÊNCIA SEM RESPONSÁVEL/PRAZO",IF(AND(ISNUMBER(R3926),R3926=TODAY()),"🟡 VENCE HOJE",IF(AND(P3926&lt;&gt;"",S3926=""),"🟡 PENDÊNCIA ABERTA",IF(AND(N(J3926)&gt;0,N(K3926)&lt;J3926),"🟡 FALTA EXECUTAR",IF(OR(M3926="PENDENTE",M3926="PARCIAL"),"🟡 FATURAMENTO PENDENTE","🟡 EMBARQUE PENDENTE")))))))))))</f>
        <v/>
      </c>
      <c r="D3926" s="4" t="n"/>
      <c r="E3926" s="5" t="n"/>
      <c r="F3926" s="5" t="n"/>
      <c r="G3926" s="5" t="n"/>
      <c r="H3926" s="5" t="n"/>
      <c r="I3926" s="5" t="n"/>
      <c r="J3926" s="6" t="n"/>
      <c r="K3926" s="6" t="n"/>
      <c r="L3926" s="7">
        <f>IF(OR(D3926="",N(J3926)=0),"",MIN(1,N(K3926)/J3926))</f>
        <v/>
      </c>
      <c r="M3926" s="5" t="n"/>
      <c r="N3926" s="5" t="n"/>
      <c r="O3926" s="5" t="n"/>
      <c r="P3926" s="5" t="n"/>
      <c r="Q3926" s="5" t="n"/>
      <c r="R3926" s="4" t="n"/>
      <c r="S3926" s="4" t="n"/>
      <c r="T3926" s="5" t="n"/>
      <c r="U3926" s="8">
        <f>IF(AND(V3926=1,D3926&lt;&gt;""),IF(D3926&gt;=corte,TODAY()-D3926,""),"")</f>
        <v/>
      </c>
      <c r="V3926" s="8">
        <f>IF(D3926="",0,IF(OR(AND(P3926&lt;&gt;"",S3926=""),AND(N(J3926)&gt;0,N(K3926)&lt;J3926),OR(M3926="PENDENTE",M3926="PARCIAL"),OR(N3926="PENDENTE",N3926="PARCIAL")),1,0))</f>
        <v/>
      </c>
      <c r="W3926" s="8">
        <f>IF(AND(V3926=1,D3926&lt;&gt;""),IF(D3926&gt;=corte,(B3926="CRÍTICO")*1E9+(100000-D3926)*10000+10000-ROW(),""),"")</f>
        <v/>
      </c>
      <c r="X3926" s="8">
        <f>IF(AND(V3926=1,D3926=pas_data,E3926=pas_turno),10000-ROW(),"")</f>
        <v/>
      </c>
    </row>
    <row r="3927">
      <c r="A3927" s="3">
        <f>IF(D3927="","","TT-"&amp;TEXT(ROW()-1,"00000"))</f>
        <v/>
      </c>
      <c r="B3927" s="3">
        <f>IF(D3927="","",IF(V3927=0,"CONCLUÍDO",IF(D3927&lt;corte,"HISTÓRICO",IF(OR(AND(ISNUMBER(R3927),R3927&lt;TODAY()),AND(OR(N3927="PENDENTE",N3927="PARCIAL"),D3927&lt;TODAY()-1)),"CRÍTICO",IF(OR(AND(P3927&lt;&gt;"",S3927=""),AND(N3927="REALIZADO",M3927="PENDENTE"),AND(ISNUMBER(R3927),R3927=TODAY())),"ATENÇÃO",IF(N(K3927)=0,"PENDENTE","EM ANDAMENTO"))))))</f>
        <v/>
      </c>
      <c r="C3927" s="3">
        <f>IF(D3927="","",IF(V3927=0,"🟢 OK",IF(D3927&lt;corte,"⚪ HISTÓRICO (sem baixa)",IF(AND(ISNUMBER(R3927),R3927&lt;TODAY()),"🔴 PRAZO VENCIDO",IF(AND(OR(N3927="PENDENTE",N3927="PARCIAL"),D3927&lt;TODAY()-1),"🔴 EMBARQUE ATRASADO",IF(AND(N3927="REALIZADO",M3927="PENDENTE"),"🟡 EMBARCADO SEM FATURAR",IF(AND(P3927&lt;&gt;"",S3927="",OR(Q3927="",R3927="")),"🟡 PENDÊNCIA SEM RESPONSÁVEL/PRAZO",IF(AND(ISNUMBER(R3927),R3927=TODAY()),"🟡 VENCE HOJE",IF(AND(P3927&lt;&gt;"",S3927=""),"🟡 PENDÊNCIA ABERTA",IF(AND(N(J3927)&gt;0,N(K3927)&lt;J3927),"🟡 FALTA EXECUTAR",IF(OR(M3927="PENDENTE",M3927="PARCIAL"),"🟡 FATURAMENTO PENDENTE","🟡 EMBARQUE PENDENTE")))))))))))</f>
        <v/>
      </c>
      <c r="D3927" s="4" t="n"/>
      <c r="E3927" s="5" t="n"/>
      <c r="F3927" s="5" t="n"/>
      <c r="G3927" s="5" t="n"/>
      <c r="H3927" s="5" t="n"/>
      <c r="I3927" s="5" t="n"/>
      <c r="J3927" s="6" t="n"/>
      <c r="K3927" s="6" t="n"/>
      <c r="L3927" s="7">
        <f>IF(OR(D3927="",N(J3927)=0),"",MIN(1,N(K3927)/J3927))</f>
        <v/>
      </c>
      <c r="M3927" s="5" t="n"/>
      <c r="N3927" s="5" t="n"/>
      <c r="O3927" s="5" t="n"/>
      <c r="P3927" s="5" t="n"/>
      <c r="Q3927" s="5" t="n"/>
      <c r="R3927" s="4" t="n"/>
      <c r="S3927" s="4" t="n"/>
      <c r="T3927" s="5" t="n"/>
      <c r="U3927" s="8">
        <f>IF(AND(V3927=1,D3927&lt;&gt;""),IF(D3927&gt;=corte,TODAY()-D3927,""),"")</f>
        <v/>
      </c>
      <c r="V3927" s="8">
        <f>IF(D3927="",0,IF(OR(AND(P3927&lt;&gt;"",S3927=""),AND(N(J3927)&gt;0,N(K3927)&lt;J3927),OR(M3927="PENDENTE",M3927="PARCIAL"),OR(N3927="PENDENTE",N3927="PARCIAL")),1,0))</f>
        <v/>
      </c>
      <c r="W3927" s="8">
        <f>IF(AND(V3927=1,D3927&lt;&gt;""),IF(D3927&gt;=corte,(B3927="CRÍTICO")*1E9+(100000-D3927)*10000+10000-ROW(),""),"")</f>
        <v/>
      </c>
      <c r="X3927" s="8">
        <f>IF(AND(V3927=1,D3927=pas_data,E3927=pas_turno),10000-ROW(),"")</f>
        <v/>
      </c>
    </row>
    <row r="3928">
      <c r="A3928" s="3">
        <f>IF(D3928="","","TT-"&amp;TEXT(ROW()-1,"00000"))</f>
        <v/>
      </c>
      <c r="B3928" s="3">
        <f>IF(D3928="","",IF(V3928=0,"CONCLUÍDO",IF(D3928&lt;corte,"HISTÓRICO",IF(OR(AND(ISNUMBER(R3928),R3928&lt;TODAY()),AND(OR(N3928="PENDENTE",N3928="PARCIAL"),D3928&lt;TODAY()-1)),"CRÍTICO",IF(OR(AND(P3928&lt;&gt;"",S3928=""),AND(N3928="REALIZADO",M3928="PENDENTE"),AND(ISNUMBER(R3928),R3928=TODAY())),"ATENÇÃO",IF(N(K3928)=0,"PENDENTE","EM ANDAMENTO"))))))</f>
        <v/>
      </c>
      <c r="C3928" s="3">
        <f>IF(D3928="","",IF(V3928=0,"🟢 OK",IF(D3928&lt;corte,"⚪ HISTÓRICO (sem baixa)",IF(AND(ISNUMBER(R3928),R3928&lt;TODAY()),"🔴 PRAZO VENCIDO",IF(AND(OR(N3928="PENDENTE",N3928="PARCIAL"),D3928&lt;TODAY()-1),"🔴 EMBARQUE ATRASADO",IF(AND(N3928="REALIZADO",M3928="PENDENTE"),"🟡 EMBARCADO SEM FATURAR",IF(AND(P3928&lt;&gt;"",S3928="",OR(Q3928="",R3928="")),"🟡 PENDÊNCIA SEM RESPONSÁVEL/PRAZO",IF(AND(ISNUMBER(R3928),R3928=TODAY()),"🟡 VENCE HOJE",IF(AND(P3928&lt;&gt;"",S3928=""),"🟡 PENDÊNCIA ABERTA",IF(AND(N(J3928)&gt;0,N(K3928)&lt;J3928),"🟡 FALTA EXECUTAR",IF(OR(M3928="PENDENTE",M3928="PARCIAL"),"🟡 FATURAMENTO PENDENTE","🟡 EMBARQUE PENDENTE")))))))))))</f>
        <v/>
      </c>
      <c r="D3928" s="4" t="n"/>
      <c r="E3928" s="5" t="n"/>
      <c r="F3928" s="5" t="n"/>
      <c r="G3928" s="5" t="n"/>
      <c r="H3928" s="5" t="n"/>
      <c r="I3928" s="5" t="n"/>
      <c r="J3928" s="6" t="n"/>
      <c r="K3928" s="6" t="n"/>
      <c r="L3928" s="7">
        <f>IF(OR(D3928="",N(J3928)=0),"",MIN(1,N(K3928)/J3928))</f>
        <v/>
      </c>
      <c r="M3928" s="5" t="n"/>
      <c r="N3928" s="5" t="n"/>
      <c r="O3928" s="5" t="n"/>
      <c r="P3928" s="5" t="n"/>
      <c r="Q3928" s="5" t="n"/>
      <c r="R3928" s="4" t="n"/>
      <c r="S3928" s="4" t="n"/>
      <c r="T3928" s="5" t="n"/>
      <c r="U3928" s="8">
        <f>IF(AND(V3928=1,D3928&lt;&gt;""),IF(D3928&gt;=corte,TODAY()-D3928,""),"")</f>
        <v/>
      </c>
      <c r="V3928" s="8">
        <f>IF(D3928="",0,IF(OR(AND(P3928&lt;&gt;"",S3928=""),AND(N(J3928)&gt;0,N(K3928)&lt;J3928),OR(M3928="PENDENTE",M3928="PARCIAL"),OR(N3928="PENDENTE",N3928="PARCIAL")),1,0))</f>
        <v/>
      </c>
      <c r="W3928" s="8">
        <f>IF(AND(V3928=1,D3928&lt;&gt;""),IF(D3928&gt;=corte,(B3928="CRÍTICO")*1E9+(100000-D3928)*10000+10000-ROW(),""),"")</f>
        <v/>
      </c>
      <c r="X3928" s="8">
        <f>IF(AND(V3928=1,D3928=pas_data,E3928=pas_turno),10000-ROW(),"")</f>
        <v/>
      </c>
    </row>
    <row r="3929">
      <c r="A3929" s="3">
        <f>IF(D3929="","","TT-"&amp;TEXT(ROW()-1,"00000"))</f>
        <v/>
      </c>
      <c r="B3929" s="3">
        <f>IF(D3929="","",IF(V3929=0,"CONCLUÍDO",IF(D3929&lt;corte,"HISTÓRICO",IF(OR(AND(ISNUMBER(R3929),R3929&lt;TODAY()),AND(OR(N3929="PENDENTE",N3929="PARCIAL"),D3929&lt;TODAY()-1)),"CRÍTICO",IF(OR(AND(P3929&lt;&gt;"",S3929=""),AND(N3929="REALIZADO",M3929="PENDENTE"),AND(ISNUMBER(R3929),R3929=TODAY())),"ATENÇÃO",IF(N(K3929)=0,"PENDENTE","EM ANDAMENTO"))))))</f>
        <v/>
      </c>
      <c r="C3929" s="3">
        <f>IF(D3929="","",IF(V3929=0,"🟢 OK",IF(D3929&lt;corte,"⚪ HISTÓRICO (sem baixa)",IF(AND(ISNUMBER(R3929),R3929&lt;TODAY()),"🔴 PRAZO VENCIDO",IF(AND(OR(N3929="PENDENTE",N3929="PARCIAL"),D3929&lt;TODAY()-1),"🔴 EMBARQUE ATRASADO",IF(AND(N3929="REALIZADO",M3929="PENDENTE"),"🟡 EMBARCADO SEM FATURAR",IF(AND(P3929&lt;&gt;"",S3929="",OR(Q3929="",R3929="")),"🟡 PENDÊNCIA SEM RESPONSÁVEL/PRAZO",IF(AND(ISNUMBER(R3929),R3929=TODAY()),"🟡 VENCE HOJE",IF(AND(P3929&lt;&gt;"",S3929=""),"🟡 PENDÊNCIA ABERTA",IF(AND(N(J3929)&gt;0,N(K3929)&lt;J3929),"🟡 FALTA EXECUTAR",IF(OR(M3929="PENDENTE",M3929="PARCIAL"),"🟡 FATURAMENTO PENDENTE","🟡 EMBARQUE PENDENTE")))))))))))</f>
        <v/>
      </c>
      <c r="D3929" s="4" t="n"/>
      <c r="E3929" s="5" t="n"/>
      <c r="F3929" s="5" t="n"/>
      <c r="G3929" s="5" t="n"/>
      <c r="H3929" s="5" t="n"/>
      <c r="I3929" s="5" t="n"/>
      <c r="J3929" s="6" t="n"/>
      <c r="K3929" s="6" t="n"/>
      <c r="L3929" s="7">
        <f>IF(OR(D3929="",N(J3929)=0),"",MIN(1,N(K3929)/J3929))</f>
        <v/>
      </c>
      <c r="M3929" s="5" t="n"/>
      <c r="N3929" s="5" t="n"/>
      <c r="O3929" s="5" t="n"/>
      <c r="P3929" s="5" t="n"/>
      <c r="Q3929" s="5" t="n"/>
      <c r="R3929" s="4" t="n"/>
      <c r="S3929" s="4" t="n"/>
      <c r="T3929" s="5" t="n"/>
      <c r="U3929" s="8">
        <f>IF(AND(V3929=1,D3929&lt;&gt;""),IF(D3929&gt;=corte,TODAY()-D3929,""),"")</f>
        <v/>
      </c>
      <c r="V3929" s="8">
        <f>IF(D3929="",0,IF(OR(AND(P3929&lt;&gt;"",S3929=""),AND(N(J3929)&gt;0,N(K3929)&lt;J3929),OR(M3929="PENDENTE",M3929="PARCIAL"),OR(N3929="PENDENTE",N3929="PARCIAL")),1,0))</f>
        <v/>
      </c>
      <c r="W3929" s="8">
        <f>IF(AND(V3929=1,D3929&lt;&gt;""),IF(D3929&gt;=corte,(B3929="CRÍTICO")*1E9+(100000-D3929)*10000+10000-ROW(),""),"")</f>
        <v/>
      </c>
      <c r="X3929" s="8">
        <f>IF(AND(V3929=1,D3929=pas_data,E3929=pas_turno),10000-ROW(),"")</f>
        <v/>
      </c>
    </row>
    <row r="3930">
      <c r="A3930" s="3">
        <f>IF(D3930="","","TT-"&amp;TEXT(ROW()-1,"00000"))</f>
        <v/>
      </c>
      <c r="B3930" s="3">
        <f>IF(D3930="","",IF(V3930=0,"CONCLUÍDO",IF(D3930&lt;corte,"HISTÓRICO",IF(OR(AND(ISNUMBER(R3930),R3930&lt;TODAY()),AND(OR(N3930="PENDENTE",N3930="PARCIAL"),D3930&lt;TODAY()-1)),"CRÍTICO",IF(OR(AND(P3930&lt;&gt;"",S3930=""),AND(N3930="REALIZADO",M3930="PENDENTE"),AND(ISNUMBER(R3930),R3930=TODAY())),"ATENÇÃO",IF(N(K3930)=0,"PENDENTE","EM ANDAMENTO"))))))</f>
        <v/>
      </c>
      <c r="C3930" s="3">
        <f>IF(D3930="","",IF(V3930=0,"🟢 OK",IF(D3930&lt;corte,"⚪ HISTÓRICO (sem baixa)",IF(AND(ISNUMBER(R3930),R3930&lt;TODAY()),"🔴 PRAZO VENCIDO",IF(AND(OR(N3930="PENDENTE",N3930="PARCIAL"),D3930&lt;TODAY()-1),"🔴 EMBARQUE ATRASADO",IF(AND(N3930="REALIZADO",M3930="PENDENTE"),"🟡 EMBARCADO SEM FATURAR",IF(AND(P3930&lt;&gt;"",S3930="",OR(Q3930="",R3930="")),"🟡 PENDÊNCIA SEM RESPONSÁVEL/PRAZO",IF(AND(ISNUMBER(R3930),R3930=TODAY()),"🟡 VENCE HOJE",IF(AND(P3930&lt;&gt;"",S3930=""),"🟡 PENDÊNCIA ABERTA",IF(AND(N(J3930)&gt;0,N(K3930)&lt;J3930),"🟡 FALTA EXECUTAR",IF(OR(M3930="PENDENTE",M3930="PARCIAL"),"🟡 FATURAMENTO PENDENTE","🟡 EMBARQUE PENDENTE")))))))))))</f>
        <v/>
      </c>
      <c r="D3930" s="4" t="n"/>
      <c r="E3930" s="5" t="n"/>
      <c r="F3930" s="5" t="n"/>
      <c r="G3930" s="5" t="n"/>
      <c r="H3930" s="5" t="n"/>
      <c r="I3930" s="5" t="n"/>
      <c r="J3930" s="6" t="n"/>
      <c r="K3930" s="6" t="n"/>
      <c r="L3930" s="7">
        <f>IF(OR(D3930="",N(J3930)=0),"",MIN(1,N(K3930)/J3930))</f>
        <v/>
      </c>
      <c r="M3930" s="5" t="n"/>
      <c r="N3930" s="5" t="n"/>
      <c r="O3930" s="5" t="n"/>
      <c r="P3930" s="5" t="n"/>
      <c r="Q3930" s="5" t="n"/>
      <c r="R3930" s="4" t="n"/>
      <c r="S3930" s="4" t="n"/>
      <c r="T3930" s="5" t="n"/>
      <c r="U3930" s="8">
        <f>IF(AND(V3930=1,D3930&lt;&gt;""),IF(D3930&gt;=corte,TODAY()-D3930,""),"")</f>
        <v/>
      </c>
      <c r="V3930" s="8">
        <f>IF(D3930="",0,IF(OR(AND(P3930&lt;&gt;"",S3930=""),AND(N(J3930)&gt;0,N(K3930)&lt;J3930),OR(M3930="PENDENTE",M3930="PARCIAL"),OR(N3930="PENDENTE",N3930="PARCIAL")),1,0))</f>
        <v/>
      </c>
      <c r="W3930" s="8">
        <f>IF(AND(V3930=1,D3930&lt;&gt;""),IF(D3930&gt;=corte,(B3930="CRÍTICO")*1E9+(100000-D3930)*10000+10000-ROW(),""),"")</f>
        <v/>
      </c>
      <c r="X3930" s="8">
        <f>IF(AND(V3930=1,D3930=pas_data,E3930=pas_turno),10000-ROW(),"")</f>
        <v/>
      </c>
    </row>
    <row r="3931">
      <c r="A3931" s="3">
        <f>IF(D3931="","","TT-"&amp;TEXT(ROW()-1,"00000"))</f>
        <v/>
      </c>
      <c r="B3931" s="3">
        <f>IF(D3931="","",IF(V3931=0,"CONCLUÍDO",IF(D3931&lt;corte,"HISTÓRICO",IF(OR(AND(ISNUMBER(R3931),R3931&lt;TODAY()),AND(OR(N3931="PENDENTE",N3931="PARCIAL"),D3931&lt;TODAY()-1)),"CRÍTICO",IF(OR(AND(P3931&lt;&gt;"",S3931=""),AND(N3931="REALIZADO",M3931="PENDENTE"),AND(ISNUMBER(R3931),R3931=TODAY())),"ATENÇÃO",IF(N(K3931)=0,"PENDENTE","EM ANDAMENTO"))))))</f>
        <v/>
      </c>
      <c r="C3931" s="3">
        <f>IF(D3931="","",IF(V3931=0,"🟢 OK",IF(D3931&lt;corte,"⚪ HISTÓRICO (sem baixa)",IF(AND(ISNUMBER(R3931),R3931&lt;TODAY()),"🔴 PRAZO VENCIDO",IF(AND(OR(N3931="PENDENTE",N3931="PARCIAL"),D3931&lt;TODAY()-1),"🔴 EMBARQUE ATRASADO",IF(AND(N3931="REALIZADO",M3931="PENDENTE"),"🟡 EMBARCADO SEM FATURAR",IF(AND(P3931&lt;&gt;"",S3931="",OR(Q3931="",R3931="")),"🟡 PENDÊNCIA SEM RESPONSÁVEL/PRAZO",IF(AND(ISNUMBER(R3931),R3931=TODAY()),"🟡 VENCE HOJE",IF(AND(P3931&lt;&gt;"",S3931=""),"🟡 PENDÊNCIA ABERTA",IF(AND(N(J3931)&gt;0,N(K3931)&lt;J3931),"🟡 FALTA EXECUTAR",IF(OR(M3931="PENDENTE",M3931="PARCIAL"),"🟡 FATURAMENTO PENDENTE","🟡 EMBARQUE PENDENTE")))))))))))</f>
        <v/>
      </c>
      <c r="D3931" s="4" t="n"/>
      <c r="E3931" s="5" t="n"/>
      <c r="F3931" s="5" t="n"/>
      <c r="G3931" s="5" t="n"/>
      <c r="H3931" s="5" t="n"/>
      <c r="I3931" s="5" t="n"/>
      <c r="J3931" s="6" t="n"/>
      <c r="K3931" s="6" t="n"/>
      <c r="L3931" s="7">
        <f>IF(OR(D3931="",N(J3931)=0),"",MIN(1,N(K3931)/J3931))</f>
        <v/>
      </c>
      <c r="M3931" s="5" t="n"/>
      <c r="N3931" s="5" t="n"/>
      <c r="O3931" s="5" t="n"/>
      <c r="P3931" s="5" t="n"/>
      <c r="Q3931" s="5" t="n"/>
      <c r="R3931" s="4" t="n"/>
      <c r="S3931" s="4" t="n"/>
      <c r="T3931" s="5" t="n"/>
      <c r="U3931" s="8">
        <f>IF(AND(V3931=1,D3931&lt;&gt;""),IF(D3931&gt;=corte,TODAY()-D3931,""),"")</f>
        <v/>
      </c>
      <c r="V3931" s="8">
        <f>IF(D3931="",0,IF(OR(AND(P3931&lt;&gt;"",S3931=""),AND(N(J3931)&gt;0,N(K3931)&lt;J3931),OR(M3931="PENDENTE",M3931="PARCIAL"),OR(N3931="PENDENTE",N3931="PARCIAL")),1,0))</f>
        <v/>
      </c>
      <c r="W3931" s="8">
        <f>IF(AND(V3931=1,D3931&lt;&gt;""),IF(D3931&gt;=corte,(B3931="CRÍTICO")*1E9+(100000-D3931)*10000+10000-ROW(),""),"")</f>
        <v/>
      </c>
      <c r="X3931" s="8">
        <f>IF(AND(V3931=1,D3931=pas_data,E3931=pas_turno),10000-ROW(),"")</f>
        <v/>
      </c>
    </row>
    <row r="3932">
      <c r="A3932" s="3">
        <f>IF(D3932="","","TT-"&amp;TEXT(ROW()-1,"00000"))</f>
        <v/>
      </c>
      <c r="B3932" s="3">
        <f>IF(D3932="","",IF(V3932=0,"CONCLUÍDO",IF(D3932&lt;corte,"HISTÓRICO",IF(OR(AND(ISNUMBER(R3932),R3932&lt;TODAY()),AND(OR(N3932="PENDENTE",N3932="PARCIAL"),D3932&lt;TODAY()-1)),"CRÍTICO",IF(OR(AND(P3932&lt;&gt;"",S3932=""),AND(N3932="REALIZADO",M3932="PENDENTE"),AND(ISNUMBER(R3932),R3932=TODAY())),"ATENÇÃO",IF(N(K3932)=0,"PENDENTE","EM ANDAMENTO"))))))</f>
        <v/>
      </c>
      <c r="C3932" s="3">
        <f>IF(D3932="","",IF(V3932=0,"🟢 OK",IF(D3932&lt;corte,"⚪ HISTÓRICO (sem baixa)",IF(AND(ISNUMBER(R3932),R3932&lt;TODAY()),"🔴 PRAZO VENCIDO",IF(AND(OR(N3932="PENDENTE",N3932="PARCIAL"),D3932&lt;TODAY()-1),"🔴 EMBARQUE ATRASADO",IF(AND(N3932="REALIZADO",M3932="PENDENTE"),"🟡 EMBARCADO SEM FATURAR",IF(AND(P3932&lt;&gt;"",S3932="",OR(Q3932="",R3932="")),"🟡 PENDÊNCIA SEM RESPONSÁVEL/PRAZO",IF(AND(ISNUMBER(R3932),R3932=TODAY()),"🟡 VENCE HOJE",IF(AND(P3932&lt;&gt;"",S3932=""),"🟡 PENDÊNCIA ABERTA",IF(AND(N(J3932)&gt;0,N(K3932)&lt;J3932),"🟡 FALTA EXECUTAR",IF(OR(M3932="PENDENTE",M3932="PARCIAL"),"🟡 FATURAMENTO PENDENTE","🟡 EMBARQUE PENDENTE")))))))))))</f>
        <v/>
      </c>
      <c r="D3932" s="4" t="n"/>
      <c r="E3932" s="5" t="n"/>
      <c r="F3932" s="5" t="n"/>
      <c r="G3932" s="5" t="n"/>
      <c r="H3932" s="5" t="n"/>
      <c r="I3932" s="5" t="n"/>
      <c r="J3932" s="6" t="n"/>
      <c r="K3932" s="6" t="n"/>
      <c r="L3932" s="7">
        <f>IF(OR(D3932="",N(J3932)=0),"",MIN(1,N(K3932)/J3932))</f>
        <v/>
      </c>
      <c r="M3932" s="5" t="n"/>
      <c r="N3932" s="5" t="n"/>
      <c r="O3932" s="5" t="n"/>
      <c r="P3932" s="5" t="n"/>
      <c r="Q3932" s="5" t="n"/>
      <c r="R3932" s="4" t="n"/>
      <c r="S3932" s="4" t="n"/>
      <c r="T3932" s="5" t="n"/>
      <c r="U3932" s="8">
        <f>IF(AND(V3932=1,D3932&lt;&gt;""),IF(D3932&gt;=corte,TODAY()-D3932,""),"")</f>
        <v/>
      </c>
      <c r="V3932" s="8">
        <f>IF(D3932="",0,IF(OR(AND(P3932&lt;&gt;"",S3932=""),AND(N(J3932)&gt;0,N(K3932)&lt;J3932),OR(M3932="PENDENTE",M3932="PARCIAL"),OR(N3932="PENDENTE",N3932="PARCIAL")),1,0))</f>
        <v/>
      </c>
      <c r="W3932" s="8">
        <f>IF(AND(V3932=1,D3932&lt;&gt;""),IF(D3932&gt;=corte,(B3932="CRÍTICO")*1E9+(100000-D3932)*10000+10000-ROW(),""),"")</f>
        <v/>
      </c>
      <c r="X3932" s="8">
        <f>IF(AND(V3932=1,D3932=pas_data,E3932=pas_turno),10000-ROW(),"")</f>
        <v/>
      </c>
    </row>
    <row r="3933">
      <c r="A3933" s="3">
        <f>IF(D3933="","","TT-"&amp;TEXT(ROW()-1,"00000"))</f>
        <v/>
      </c>
      <c r="B3933" s="3">
        <f>IF(D3933="","",IF(V3933=0,"CONCLUÍDO",IF(D3933&lt;corte,"HISTÓRICO",IF(OR(AND(ISNUMBER(R3933),R3933&lt;TODAY()),AND(OR(N3933="PENDENTE",N3933="PARCIAL"),D3933&lt;TODAY()-1)),"CRÍTICO",IF(OR(AND(P3933&lt;&gt;"",S3933=""),AND(N3933="REALIZADO",M3933="PENDENTE"),AND(ISNUMBER(R3933),R3933=TODAY())),"ATENÇÃO",IF(N(K3933)=0,"PENDENTE","EM ANDAMENTO"))))))</f>
        <v/>
      </c>
      <c r="C3933" s="3">
        <f>IF(D3933="","",IF(V3933=0,"🟢 OK",IF(D3933&lt;corte,"⚪ HISTÓRICO (sem baixa)",IF(AND(ISNUMBER(R3933),R3933&lt;TODAY()),"🔴 PRAZO VENCIDO",IF(AND(OR(N3933="PENDENTE",N3933="PARCIAL"),D3933&lt;TODAY()-1),"🔴 EMBARQUE ATRASADO",IF(AND(N3933="REALIZADO",M3933="PENDENTE"),"🟡 EMBARCADO SEM FATURAR",IF(AND(P3933&lt;&gt;"",S3933="",OR(Q3933="",R3933="")),"🟡 PENDÊNCIA SEM RESPONSÁVEL/PRAZO",IF(AND(ISNUMBER(R3933),R3933=TODAY()),"🟡 VENCE HOJE",IF(AND(P3933&lt;&gt;"",S3933=""),"🟡 PENDÊNCIA ABERTA",IF(AND(N(J3933)&gt;0,N(K3933)&lt;J3933),"🟡 FALTA EXECUTAR",IF(OR(M3933="PENDENTE",M3933="PARCIAL"),"🟡 FATURAMENTO PENDENTE","🟡 EMBARQUE PENDENTE")))))))))))</f>
        <v/>
      </c>
      <c r="D3933" s="4" t="n"/>
      <c r="E3933" s="5" t="n"/>
      <c r="F3933" s="5" t="n"/>
      <c r="G3933" s="5" t="n"/>
      <c r="H3933" s="5" t="n"/>
      <c r="I3933" s="5" t="n"/>
      <c r="J3933" s="6" t="n"/>
      <c r="K3933" s="6" t="n"/>
      <c r="L3933" s="7">
        <f>IF(OR(D3933="",N(J3933)=0),"",MIN(1,N(K3933)/J3933))</f>
        <v/>
      </c>
      <c r="M3933" s="5" t="n"/>
      <c r="N3933" s="5" t="n"/>
      <c r="O3933" s="5" t="n"/>
      <c r="P3933" s="5" t="n"/>
      <c r="Q3933" s="5" t="n"/>
      <c r="R3933" s="4" t="n"/>
      <c r="S3933" s="4" t="n"/>
      <c r="T3933" s="5" t="n"/>
      <c r="U3933" s="8">
        <f>IF(AND(V3933=1,D3933&lt;&gt;""),IF(D3933&gt;=corte,TODAY()-D3933,""),"")</f>
        <v/>
      </c>
      <c r="V3933" s="8">
        <f>IF(D3933="",0,IF(OR(AND(P3933&lt;&gt;"",S3933=""),AND(N(J3933)&gt;0,N(K3933)&lt;J3933),OR(M3933="PENDENTE",M3933="PARCIAL"),OR(N3933="PENDENTE",N3933="PARCIAL")),1,0))</f>
        <v/>
      </c>
      <c r="W3933" s="8">
        <f>IF(AND(V3933=1,D3933&lt;&gt;""),IF(D3933&gt;=corte,(B3933="CRÍTICO")*1E9+(100000-D3933)*10000+10000-ROW(),""),"")</f>
        <v/>
      </c>
      <c r="X3933" s="8">
        <f>IF(AND(V3933=1,D3933=pas_data,E3933=pas_turno),10000-ROW(),"")</f>
        <v/>
      </c>
    </row>
    <row r="3934">
      <c r="A3934" s="3">
        <f>IF(D3934="","","TT-"&amp;TEXT(ROW()-1,"00000"))</f>
        <v/>
      </c>
      <c r="B3934" s="3">
        <f>IF(D3934="","",IF(V3934=0,"CONCLUÍDO",IF(D3934&lt;corte,"HISTÓRICO",IF(OR(AND(ISNUMBER(R3934),R3934&lt;TODAY()),AND(OR(N3934="PENDENTE",N3934="PARCIAL"),D3934&lt;TODAY()-1)),"CRÍTICO",IF(OR(AND(P3934&lt;&gt;"",S3934=""),AND(N3934="REALIZADO",M3934="PENDENTE"),AND(ISNUMBER(R3934),R3934=TODAY())),"ATENÇÃO",IF(N(K3934)=0,"PENDENTE","EM ANDAMENTO"))))))</f>
        <v/>
      </c>
      <c r="C3934" s="3">
        <f>IF(D3934="","",IF(V3934=0,"🟢 OK",IF(D3934&lt;corte,"⚪ HISTÓRICO (sem baixa)",IF(AND(ISNUMBER(R3934),R3934&lt;TODAY()),"🔴 PRAZO VENCIDO",IF(AND(OR(N3934="PENDENTE",N3934="PARCIAL"),D3934&lt;TODAY()-1),"🔴 EMBARQUE ATRASADO",IF(AND(N3934="REALIZADO",M3934="PENDENTE"),"🟡 EMBARCADO SEM FATURAR",IF(AND(P3934&lt;&gt;"",S3934="",OR(Q3934="",R3934="")),"🟡 PENDÊNCIA SEM RESPONSÁVEL/PRAZO",IF(AND(ISNUMBER(R3934),R3934=TODAY()),"🟡 VENCE HOJE",IF(AND(P3934&lt;&gt;"",S3934=""),"🟡 PENDÊNCIA ABERTA",IF(AND(N(J3934)&gt;0,N(K3934)&lt;J3934),"🟡 FALTA EXECUTAR",IF(OR(M3934="PENDENTE",M3934="PARCIAL"),"🟡 FATURAMENTO PENDENTE","🟡 EMBARQUE PENDENTE")))))))))))</f>
        <v/>
      </c>
      <c r="D3934" s="4" t="n"/>
      <c r="E3934" s="5" t="n"/>
      <c r="F3934" s="5" t="n"/>
      <c r="G3934" s="5" t="n"/>
      <c r="H3934" s="5" t="n"/>
      <c r="I3934" s="5" t="n"/>
      <c r="J3934" s="6" t="n"/>
      <c r="K3934" s="6" t="n"/>
      <c r="L3934" s="7">
        <f>IF(OR(D3934="",N(J3934)=0),"",MIN(1,N(K3934)/J3934))</f>
        <v/>
      </c>
      <c r="M3934" s="5" t="n"/>
      <c r="N3934" s="5" t="n"/>
      <c r="O3934" s="5" t="n"/>
      <c r="P3934" s="5" t="n"/>
      <c r="Q3934" s="5" t="n"/>
      <c r="R3934" s="4" t="n"/>
      <c r="S3934" s="4" t="n"/>
      <c r="T3934" s="5" t="n"/>
      <c r="U3934" s="8">
        <f>IF(AND(V3934=1,D3934&lt;&gt;""),IF(D3934&gt;=corte,TODAY()-D3934,""),"")</f>
        <v/>
      </c>
      <c r="V3934" s="8">
        <f>IF(D3934="",0,IF(OR(AND(P3934&lt;&gt;"",S3934=""),AND(N(J3934)&gt;0,N(K3934)&lt;J3934),OR(M3934="PENDENTE",M3934="PARCIAL"),OR(N3934="PENDENTE",N3934="PARCIAL")),1,0))</f>
        <v/>
      </c>
      <c r="W3934" s="8">
        <f>IF(AND(V3934=1,D3934&lt;&gt;""),IF(D3934&gt;=corte,(B3934="CRÍTICO")*1E9+(100000-D3934)*10000+10000-ROW(),""),"")</f>
        <v/>
      </c>
      <c r="X3934" s="8">
        <f>IF(AND(V3934=1,D3934=pas_data,E3934=pas_turno),10000-ROW(),"")</f>
        <v/>
      </c>
    </row>
    <row r="3935">
      <c r="A3935" s="3">
        <f>IF(D3935="","","TT-"&amp;TEXT(ROW()-1,"00000"))</f>
        <v/>
      </c>
      <c r="B3935" s="3">
        <f>IF(D3935="","",IF(V3935=0,"CONCLUÍDO",IF(D3935&lt;corte,"HISTÓRICO",IF(OR(AND(ISNUMBER(R3935),R3935&lt;TODAY()),AND(OR(N3935="PENDENTE",N3935="PARCIAL"),D3935&lt;TODAY()-1)),"CRÍTICO",IF(OR(AND(P3935&lt;&gt;"",S3935=""),AND(N3935="REALIZADO",M3935="PENDENTE"),AND(ISNUMBER(R3935),R3935=TODAY())),"ATENÇÃO",IF(N(K3935)=0,"PENDENTE","EM ANDAMENTO"))))))</f>
        <v/>
      </c>
      <c r="C3935" s="3">
        <f>IF(D3935="","",IF(V3935=0,"🟢 OK",IF(D3935&lt;corte,"⚪ HISTÓRICO (sem baixa)",IF(AND(ISNUMBER(R3935),R3935&lt;TODAY()),"🔴 PRAZO VENCIDO",IF(AND(OR(N3935="PENDENTE",N3935="PARCIAL"),D3935&lt;TODAY()-1),"🔴 EMBARQUE ATRASADO",IF(AND(N3935="REALIZADO",M3935="PENDENTE"),"🟡 EMBARCADO SEM FATURAR",IF(AND(P3935&lt;&gt;"",S3935="",OR(Q3935="",R3935="")),"🟡 PENDÊNCIA SEM RESPONSÁVEL/PRAZO",IF(AND(ISNUMBER(R3935),R3935=TODAY()),"🟡 VENCE HOJE",IF(AND(P3935&lt;&gt;"",S3935=""),"🟡 PENDÊNCIA ABERTA",IF(AND(N(J3935)&gt;0,N(K3935)&lt;J3935),"🟡 FALTA EXECUTAR",IF(OR(M3935="PENDENTE",M3935="PARCIAL"),"🟡 FATURAMENTO PENDENTE","🟡 EMBARQUE PENDENTE")))))))))))</f>
        <v/>
      </c>
      <c r="D3935" s="4" t="n"/>
      <c r="E3935" s="5" t="n"/>
      <c r="F3935" s="5" t="n"/>
      <c r="G3935" s="5" t="n"/>
      <c r="H3935" s="5" t="n"/>
      <c r="I3935" s="5" t="n"/>
      <c r="J3935" s="6" t="n"/>
      <c r="K3935" s="6" t="n"/>
      <c r="L3935" s="7">
        <f>IF(OR(D3935="",N(J3935)=0),"",MIN(1,N(K3935)/J3935))</f>
        <v/>
      </c>
      <c r="M3935" s="5" t="n"/>
      <c r="N3935" s="5" t="n"/>
      <c r="O3935" s="5" t="n"/>
      <c r="P3935" s="5" t="n"/>
      <c r="Q3935" s="5" t="n"/>
      <c r="R3935" s="4" t="n"/>
      <c r="S3935" s="4" t="n"/>
      <c r="T3935" s="5" t="n"/>
      <c r="U3935" s="8">
        <f>IF(AND(V3935=1,D3935&lt;&gt;""),IF(D3935&gt;=corte,TODAY()-D3935,""),"")</f>
        <v/>
      </c>
      <c r="V3935" s="8">
        <f>IF(D3935="",0,IF(OR(AND(P3935&lt;&gt;"",S3935=""),AND(N(J3935)&gt;0,N(K3935)&lt;J3935),OR(M3935="PENDENTE",M3935="PARCIAL"),OR(N3935="PENDENTE",N3935="PARCIAL")),1,0))</f>
        <v/>
      </c>
      <c r="W3935" s="8">
        <f>IF(AND(V3935=1,D3935&lt;&gt;""),IF(D3935&gt;=corte,(B3935="CRÍTICO")*1E9+(100000-D3935)*10000+10000-ROW(),""),"")</f>
        <v/>
      </c>
      <c r="X3935" s="8">
        <f>IF(AND(V3935=1,D3935=pas_data,E3935=pas_turno),10000-ROW(),"")</f>
        <v/>
      </c>
    </row>
    <row r="3936">
      <c r="A3936" s="3">
        <f>IF(D3936="","","TT-"&amp;TEXT(ROW()-1,"00000"))</f>
        <v/>
      </c>
      <c r="B3936" s="3">
        <f>IF(D3936="","",IF(V3936=0,"CONCLUÍDO",IF(D3936&lt;corte,"HISTÓRICO",IF(OR(AND(ISNUMBER(R3936),R3936&lt;TODAY()),AND(OR(N3936="PENDENTE",N3936="PARCIAL"),D3936&lt;TODAY()-1)),"CRÍTICO",IF(OR(AND(P3936&lt;&gt;"",S3936=""),AND(N3936="REALIZADO",M3936="PENDENTE"),AND(ISNUMBER(R3936),R3936=TODAY())),"ATENÇÃO",IF(N(K3936)=0,"PENDENTE","EM ANDAMENTO"))))))</f>
        <v/>
      </c>
      <c r="C3936" s="3">
        <f>IF(D3936="","",IF(V3936=0,"🟢 OK",IF(D3936&lt;corte,"⚪ HISTÓRICO (sem baixa)",IF(AND(ISNUMBER(R3936),R3936&lt;TODAY()),"🔴 PRAZO VENCIDO",IF(AND(OR(N3936="PENDENTE",N3936="PARCIAL"),D3936&lt;TODAY()-1),"🔴 EMBARQUE ATRASADO",IF(AND(N3936="REALIZADO",M3936="PENDENTE"),"🟡 EMBARCADO SEM FATURAR",IF(AND(P3936&lt;&gt;"",S3936="",OR(Q3936="",R3936="")),"🟡 PENDÊNCIA SEM RESPONSÁVEL/PRAZO",IF(AND(ISNUMBER(R3936),R3936=TODAY()),"🟡 VENCE HOJE",IF(AND(P3936&lt;&gt;"",S3936=""),"🟡 PENDÊNCIA ABERTA",IF(AND(N(J3936)&gt;0,N(K3936)&lt;J3936),"🟡 FALTA EXECUTAR",IF(OR(M3936="PENDENTE",M3936="PARCIAL"),"🟡 FATURAMENTO PENDENTE","🟡 EMBARQUE PENDENTE")))))))))))</f>
        <v/>
      </c>
      <c r="D3936" s="4" t="n"/>
      <c r="E3936" s="5" t="n"/>
      <c r="F3936" s="5" t="n"/>
      <c r="G3936" s="5" t="n"/>
      <c r="H3936" s="5" t="n"/>
      <c r="I3936" s="5" t="n"/>
      <c r="J3936" s="6" t="n"/>
      <c r="K3936" s="6" t="n"/>
      <c r="L3936" s="7">
        <f>IF(OR(D3936="",N(J3936)=0),"",MIN(1,N(K3936)/J3936))</f>
        <v/>
      </c>
      <c r="M3936" s="5" t="n"/>
      <c r="N3936" s="5" t="n"/>
      <c r="O3936" s="5" t="n"/>
      <c r="P3936" s="5" t="n"/>
      <c r="Q3936" s="5" t="n"/>
      <c r="R3936" s="4" t="n"/>
      <c r="S3936" s="4" t="n"/>
      <c r="T3936" s="5" t="n"/>
      <c r="U3936" s="8">
        <f>IF(AND(V3936=1,D3936&lt;&gt;""),IF(D3936&gt;=corte,TODAY()-D3936,""),"")</f>
        <v/>
      </c>
      <c r="V3936" s="8">
        <f>IF(D3936="",0,IF(OR(AND(P3936&lt;&gt;"",S3936=""),AND(N(J3936)&gt;0,N(K3936)&lt;J3936),OR(M3936="PENDENTE",M3936="PARCIAL"),OR(N3936="PENDENTE",N3936="PARCIAL")),1,0))</f>
        <v/>
      </c>
      <c r="W3936" s="8">
        <f>IF(AND(V3936=1,D3936&lt;&gt;""),IF(D3936&gt;=corte,(B3936="CRÍTICO")*1E9+(100000-D3936)*10000+10000-ROW(),""),"")</f>
        <v/>
      </c>
      <c r="X3936" s="8">
        <f>IF(AND(V3936=1,D3936=pas_data,E3936=pas_turno),10000-ROW(),"")</f>
        <v/>
      </c>
    </row>
    <row r="3937">
      <c r="A3937" s="3">
        <f>IF(D3937="","","TT-"&amp;TEXT(ROW()-1,"00000"))</f>
        <v/>
      </c>
      <c r="B3937" s="3">
        <f>IF(D3937="","",IF(V3937=0,"CONCLUÍDO",IF(D3937&lt;corte,"HISTÓRICO",IF(OR(AND(ISNUMBER(R3937),R3937&lt;TODAY()),AND(OR(N3937="PENDENTE",N3937="PARCIAL"),D3937&lt;TODAY()-1)),"CRÍTICO",IF(OR(AND(P3937&lt;&gt;"",S3937=""),AND(N3937="REALIZADO",M3937="PENDENTE"),AND(ISNUMBER(R3937),R3937=TODAY())),"ATENÇÃO",IF(N(K3937)=0,"PENDENTE","EM ANDAMENTO"))))))</f>
        <v/>
      </c>
      <c r="C3937" s="3">
        <f>IF(D3937="","",IF(V3937=0,"🟢 OK",IF(D3937&lt;corte,"⚪ HISTÓRICO (sem baixa)",IF(AND(ISNUMBER(R3937),R3937&lt;TODAY()),"🔴 PRAZO VENCIDO",IF(AND(OR(N3937="PENDENTE",N3937="PARCIAL"),D3937&lt;TODAY()-1),"🔴 EMBARQUE ATRASADO",IF(AND(N3937="REALIZADO",M3937="PENDENTE"),"🟡 EMBARCADO SEM FATURAR",IF(AND(P3937&lt;&gt;"",S3937="",OR(Q3937="",R3937="")),"🟡 PENDÊNCIA SEM RESPONSÁVEL/PRAZO",IF(AND(ISNUMBER(R3937),R3937=TODAY()),"🟡 VENCE HOJE",IF(AND(P3937&lt;&gt;"",S3937=""),"🟡 PENDÊNCIA ABERTA",IF(AND(N(J3937)&gt;0,N(K3937)&lt;J3937),"🟡 FALTA EXECUTAR",IF(OR(M3937="PENDENTE",M3937="PARCIAL"),"🟡 FATURAMENTO PENDENTE","🟡 EMBARQUE PENDENTE")))))))))))</f>
        <v/>
      </c>
      <c r="D3937" s="4" t="n"/>
      <c r="E3937" s="5" t="n"/>
      <c r="F3937" s="5" t="n"/>
      <c r="G3937" s="5" t="n"/>
      <c r="H3937" s="5" t="n"/>
      <c r="I3937" s="5" t="n"/>
      <c r="J3937" s="6" t="n"/>
      <c r="K3937" s="6" t="n"/>
      <c r="L3937" s="7">
        <f>IF(OR(D3937="",N(J3937)=0),"",MIN(1,N(K3937)/J3937))</f>
        <v/>
      </c>
      <c r="M3937" s="5" t="n"/>
      <c r="N3937" s="5" t="n"/>
      <c r="O3937" s="5" t="n"/>
      <c r="P3937" s="5" t="n"/>
      <c r="Q3937" s="5" t="n"/>
      <c r="R3937" s="4" t="n"/>
      <c r="S3937" s="4" t="n"/>
      <c r="T3937" s="5" t="n"/>
      <c r="U3937" s="8">
        <f>IF(AND(V3937=1,D3937&lt;&gt;""),IF(D3937&gt;=corte,TODAY()-D3937,""),"")</f>
        <v/>
      </c>
      <c r="V3937" s="8">
        <f>IF(D3937="",0,IF(OR(AND(P3937&lt;&gt;"",S3937=""),AND(N(J3937)&gt;0,N(K3937)&lt;J3937),OR(M3937="PENDENTE",M3937="PARCIAL"),OR(N3937="PENDENTE",N3937="PARCIAL")),1,0))</f>
        <v/>
      </c>
      <c r="W3937" s="8">
        <f>IF(AND(V3937=1,D3937&lt;&gt;""),IF(D3937&gt;=corte,(B3937="CRÍTICO")*1E9+(100000-D3937)*10000+10000-ROW(),""),"")</f>
        <v/>
      </c>
      <c r="X3937" s="8">
        <f>IF(AND(V3937=1,D3937=pas_data,E3937=pas_turno),10000-ROW(),"")</f>
        <v/>
      </c>
    </row>
    <row r="3938">
      <c r="A3938" s="3">
        <f>IF(D3938="","","TT-"&amp;TEXT(ROW()-1,"00000"))</f>
        <v/>
      </c>
      <c r="B3938" s="3">
        <f>IF(D3938="","",IF(V3938=0,"CONCLUÍDO",IF(D3938&lt;corte,"HISTÓRICO",IF(OR(AND(ISNUMBER(R3938),R3938&lt;TODAY()),AND(OR(N3938="PENDENTE",N3938="PARCIAL"),D3938&lt;TODAY()-1)),"CRÍTICO",IF(OR(AND(P3938&lt;&gt;"",S3938=""),AND(N3938="REALIZADO",M3938="PENDENTE"),AND(ISNUMBER(R3938),R3938=TODAY())),"ATENÇÃO",IF(N(K3938)=0,"PENDENTE","EM ANDAMENTO"))))))</f>
        <v/>
      </c>
      <c r="C3938" s="3">
        <f>IF(D3938="","",IF(V3938=0,"🟢 OK",IF(D3938&lt;corte,"⚪ HISTÓRICO (sem baixa)",IF(AND(ISNUMBER(R3938),R3938&lt;TODAY()),"🔴 PRAZO VENCIDO",IF(AND(OR(N3938="PENDENTE",N3938="PARCIAL"),D3938&lt;TODAY()-1),"🔴 EMBARQUE ATRASADO",IF(AND(N3938="REALIZADO",M3938="PENDENTE"),"🟡 EMBARCADO SEM FATURAR",IF(AND(P3938&lt;&gt;"",S3938="",OR(Q3938="",R3938="")),"🟡 PENDÊNCIA SEM RESPONSÁVEL/PRAZO",IF(AND(ISNUMBER(R3938),R3938=TODAY()),"🟡 VENCE HOJE",IF(AND(P3938&lt;&gt;"",S3938=""),"🟡 PENDÊNCIA ABERTA",IF(AND(N(J3938)&gt;0,N(K3938)&lt;J3938),"🟡 FALTA EXECUTAR",IF(OR(M3938="PENDENTE",M3938="PARCIAL"),"🟡 FATURAMENTO PENDENTE","🟡 EMBARQUE PENDENTE")))))))))))</f>
        <v/>
      </c>
      <c r="D3938" s="4" t="n"/>
      <c r="E3938" s="5" t="n"/>
      <c r="F3938" s="5" t="n"/>
      <c r="G3938" s="5" t="n"/>
      <c r="H3938" s="5" t="n"/>
      <c r="I3938" s="5" t="n"/>
      <c r="J3938" s="6" t="n"/>
      <c r="K3938" s="6" t="n"/>
      <c r="L3938" s="7">
        <f>IF(OR(D3938="",N(J3938)=0),"",MIN(1,N(K3938)/J3938))</f>
        <v/>
      </c>
      <c r="M3938" s="5" t="n"/>
      <c r="N3938" s="5" t="n"/>
      <c r="O3938" s="5" t="n"/>
      <c r="P3938" s="5" t="n"/>
      <c r="Q3938" s="5" t="n"/>
      <c r="R3938" s="4" t="n"/>
      <c r="S3938" s="4" t="n"/>
      <c r="T3938" s="5" t="n"/>
      <c r="U3938" s="8">
        <f>IF(AND(V3938=1,D3938&lt;&gt;""),IF(D3938&gt;=corte,TODAY()-D3938,""),"")</f>
        <v/>
      </c>
      <c r="V3938" s="8">
        <f>IF(D3938="",0,IF(OR(AND(P3938&lt;&gt;"",S3938=""),AND(N(J3938)&gt;0,N(K3938)&lt;J3938),OR(M3938="PENDENTE",M3938="PARCIAL"),OR(N3938="PENDENTE",N3938="PARCIAL")),1,0))</f>
        <v/>
      </c>
      <c r="W3938" s="8">
        <f>IF(AND(V3938=1,D3938&lt;&gt;""),IF(D3938&gt;=corte,(B3938="CRÍTICO")*1E9+(100000-D3938)*10000+10000-ROW(),""),"")</f>
        <v/>
      </c>
      <c r="X3938" s="8">
        <f>IF(AND(V3938=1,D3938=pas_data,E3938=pas_turno),10000-ROW(),"")</f>
        <v/>
      </c>
    </row>
    <row r="3939">
      <c r="A3939" s="3">
        <f>IF(D3939="","","TT-"&amp;TEXT(ROW()-1,"00000"))</f>
        <v/>
      </c>
      <c r="B3939" s="3">
        <f>IF(D3939="","",IF(V3939=0,"CONCLUÍDO",IF(D3939&lt;corte,"HISTÓRICO",IF(OR(AND(ISNUMBER(R3939),R3939&lt;TODAY()),AND(OR(N3939="PENDENTE",N3939="PARCIAL"),D3939&lt;TODAY()-1)),"CRÍTICO",IF(OR(AND(P3939&lt;&gt;"",S3939=""),AND(N3939="REALIZADO",M3939="PENDENTE"),AND(ISNUMBER(R3939),R3939=TODAY())),"ATENÇÃO",IF(N(K3939)=0,"PENDENTE","EM ANDAMENTO"))))))</f>
        <v/>
      </c>
      <c r="C3939" s="3">
        <f>IF(D3939="","",IF(V3939=0,"🟢 OK",IF(D3939&lt;corte,"⚪ HISTÓRICO (sem baixa)",IF(AND(ISNUMBER(R3939),R3939&lt;TODAY()),"🔴 PRAZO VENCIDO",IF(AND(OR(N3939="PENDENTE",N3939="PARCIAL"),D3939&lt;TODAY()-1),"🔴 EMBARQUE ATRASADO",IF(AND(N3939="REALIZADO",M3939="PENDENTE"),"🟡 EMBARCADO SEM FATURAR",IF(AND(P3939&lt;&gt;"",S3939="",OR(Q3939="",R3939="")),"🟡 PENDÊNCIA SEM RESPONSÁVEL/PRAZO",IF(AND(ISNUMBER(R3939),R3939=TODAY()),"🟡 VENCE HOJE",IF(AND(P3939&lt;&gt;"",S3939=""),"🟡 PENDÊNCIA ABERTA",IF(AND(N(J3939)&gt;0,N(K3939)&lt;J3939),"🟡 FALTA EXECUTAR",IF(OR(M3939="PENDENTE",M3939="PARCIAL"),"🟡 FATURAMENTO PENDENTE","🟡 EMBARQUE PENDENTE")))))))))))</f>
        <v/>
      </c>
      <c r="D3939" s="4" t="n"/>
      <c r="E3939" s="5" t="n"/>
      <c r="F3939" s="5" t="n"/>
      <c r="G3939" s="5" t="n"/>
      <c r="H3939" s="5" t="n"/>
      <c r="I3939" s="5" t="n"/>
      <c r="J3939" s="6" t="n"/>
      <c r="K3939" s="6" t="n"/>
      <c r="L3939" s="7">
        <f>IF(OR(D3939="",N(J3939)=0),"",MIN(1,N(K3939)/J3939))</f>
        <v/>
      </c>
      <c r="M3939" s="5" t="n"/>
      <c r="N3939" s="5" t="n"/>
      <c r="O3939" s="5" t="n"/>
      <c r="P3939" s="5" t="n"/>
      <c r="Q3939" s="5" t="n"/>
      <c r="R3939" s="4" t="n"/>
      <c r="S3939" s="4" t="n"/>
      <c r="T3939" s="5" t="n"/>
      <c r="U3939" s="8">
        <f>IF(AND(V3939=1,D3939&lt;&gt;""),IF(D3939&gt;=corte,TODAY()-D3939,""),"")</f>
        <v/>
      </c>
      <c r="V3939" s="8">
        <f>IF(D3939="",0,IF(OR(AND(P3939&lt;&gt;"",S3939=""),AND(N(J3939)&gt;0,N(K3939)&lt;J3939),OR(M3939="PENDENTE",M3939="PARCIAL"),OR(N3939="PENDENTE",N3939="PARCIAL")),1,0))</f>
        <v/>
      </c>
      <c r="W3939" s="8">
        <f>IF(AND(V3939=1,D3939&lt;&gt;""),IF(D3939&gt;=corte,(B3939="CRÍTICO")*1E9+(100000-D3939)*10000+10000-ROW(),""),"")</f>
        <v/>
      </c>
      <c r="X3939" s="8">
        <f>IF(AND(V3939=1,D3939=pas_data,E3939=pas_turno),10000-ROW(),"")</f>
        <v/>
      </c>
    </row>
    <row r="3940">
      <c r="A3940" s="3">
        <f>IF(D3940="","","TT-"&amp;TEXT(ROW()-1,"00000"))</f>
        <v/>
      </c>
      <c r="B3940" s="3">
        <f>IF(D3940="","",IF(V3940=0,"CONCLUÍDO",IF(D3940&lt;corte,"HISTÓRICO",IF(OR(AND(ISNUMBER(R3940),R3940&lt;TODAY()),AND(OR(N3940="PENDENTE",N3940="PARCIAL"),D3940&lt;TODAY()-1)),"CRÍTICO",IF(OR(AND(P3940&lt;&gt;"",S3940=""),AND(N3940="REALIZADO",M3940="PENDENTE"),AND(ISNUMBER(R3940),R3940=TODAY())),"ATENÇÃO",IF(N(K3940)=0,"PENDENTE","EM ANDAMENTO"))))))</f>
        <v/>
      </c>
      <c r="C3940" s="3">
        <f>IF(D3940="","",IF(V3940=0,"🟢 OK",IF(D3940&lt;corte,"⚪ HISTÓRICO (sem baixa)",IF(AND(ISNUMBER(R3940),R3940&lt;TODAY()),"🔴 PRAZO VENCIDO",IF(AND(OR(N3940="PENDENTE",N3940="PARCIAL"),D3940&lt;TODAY()-1),"🔴 EMBARQUE ATRASADO",IF(AND(N3940="REALIZADO",M3940="PENDENTE"),"🟡 EMBARCADO SEM FATURAR",IF(AND(P3940&lt;&gt;"",S3940="",OR(Q3940="",R3940="")),"🟡 PENDÊNCIA SEM RESPONSÁVEL/PRAZO",IF(AND(ISNUMBER(R3940),R3940=TODAY()),"🟡 VENCE HOJE",IF(AND(P3940&lt;&gt;"",S3940=""),"🟡 PENDÊNCIA ABERTA",IF(AND(N(J3940)&gt;0,N(K3940)&lt;J3940),"🟡 FALTA EXECUTAR",IF(OR(M3940="PENDENTE",M3940="PARCIAL"),"🟡 FATURAMENTO PENDENTE","🟡 EMBARQUE PENDENTE")))))))))))</f>
        <v/>
      </c>
      <c r="D3940" s="4" t="n"/>
      <c r="E3940" s="5" t="n"/>
      <c r="F3940" s="5" t="n"/>
      <c r="G3940" s="5" t="n"/>
      <c r="H3940" s="5" t="n"/>
      <c r="I3940" s="5" t="n"/>
      <c r="J3940" s="6" t="n"/>
      <c r="K3940" s="6" t="n"/>
      <c r="L3940" s="7">
        <f>IF(OR(D3940="",N(J3940)=0),"",MIN(1,N(K3940)/J3940))</f>
        <v/>
      </c>
      <c r="M3940" s="5" t="n"/>
      <c r="N3940" s="5" t="n"/>
      <c r="O3940" s="5" t="n"/>
      <c r="P3940" s="5" t="n"/>
      <c r="Q3940" s="5" t="n"/>
      <c r="R3940" s="4" t="n"/>
      <c r="S3940" s="4" t="n"/>
      <c r="T3940" s="5" t="n"/>
      <c r="U3940" s="8">
        <f>IF(AND(V3940=1,D3940&lt;&gt;""),IF(D3940&gt;=corte,TODAY()-D3940,""),"")</f>
        <v/>
      </c>
      <c r="V3940" s="8">
        <f>IF(D3940="",0,IF(OR(AND(P3940&lt;&gt;"",S3940=""),AND(N(J3940)&gt;0,N(K3940)&lt;J3940),OR(M3940="PENDENTE",M3940="PARCIAL"),OR(N3940="PENDENTE",N3940="PARCIAL")),1,0))</f>
        <v/>
      </c>
      <c r="W3940" s="8">
        <f>IF(AND(V3940=1,D3940&lt;&gt;""),IF(D3940&gt;=corte,(B3940="CRÍTICO")*1E9+(100000-D3940)*10000+10000-ROW(),""),"")</f>
        <v/>
      </c>
      <c r="X3940" s="8">
        <f>IF(AND(V3940=1,D3940=pas_data,E3940=pas_turno),10000-ROW(),"")</f>
        <v/>
      </c>
    </row>
    <row r="3941">
      <c r="A3941" s="3">
        <f>IF(D3941="","","TT-"&amp;TEXT(ROW()-1,"00000"))</f>
        <v/>
      </c>
      <c r="B3941" s="3">
        <f>IF(D3941="","",IF(V3941=0,"CONCLUÍDO",IF(D3941&lt;corte,"HISTÓRICO",IF(OR(AND(ISNUMBER(R3941),R3941&lt;TODAY()),AND(OR(N3941="PENDENTE",N3941="PARCIAL"),D3941&lt;TODAY()-1)),"CRÍTICO",IF(OR(AND(P3941&lt;&gt;"",S3941=""),AND(N3941="REALIZADO",M3941="PENDENTE"),AND(ISNUMBER(R3941),R3941=TODAY())),"ATENÇÃO",IF(N(K3941)=0,"PENDENTE","EM ANDAMENTO"))))))</f>
        <v/>
      </c>
      <c r="C3941" s="3">
        <f>IF(D3941="","",IF(V3941=0,"🟢 OK",IF(D3941&lt;corte,"⚪ HISTÓRICO (sem baixa)",IF(AND(ISNUMBER(R3941),R3941&lt;TODAY()),"🔴 PRAZO VENCIDO",IF(AND(OR(N3941="PENDENTE",N3941="PARCIAL"),D3941&lt;TODAY()-1),"🔴 EMBARQUE ATRASADO",IF(AND(N3941="REALIZADO",M3941="PENDENTE"),"🟡 EMBARCADO SEM FATURAR",IF(AND(P3941&lt;&gt;"",S3941="",OR(Q3941="",R3941="")),"🟡 PENDÊNCIA SEM RESPONSÁVEL/PRAZO",IF(AND(ISNUMBER(R3941),R3941=TODAY()),"🟡 VENCE HOJE",IF(AND(P3941&lt;&gt;"",S3941=""),"🟡 PENDÊNCIA ABERTA",IF(AND(N(J3941)&gt;0,N(K3941)&lt;J3941),"🟡 FALTA EXECUTAR",IF(OR(M3941="PENDENTE",M3941="PARCIAL"),"🟡 FATURAMENTO PENDENTE","🟡 EMBARQUE PENDENTE")))))))))))</f>
        <v/>
      </c>
      <c r="D3941" s="4" t="n"/>
      <c r="E3941" s="5" t="n"/>
      <c r="F3941" s="5" t="n"/>
      <c r="G3941" s="5" t="n"/>
      <c r="H3941" s="5" t="n"/>
      <c r="I3941" s="5" t="n"/>
      <c r="J3941" s="6" t="n"/>
      <c r="K3941" s="6" t="n"/>
      <c r="L3941" s="7">
        <f>IF(OR(D3941="",N(J3941)=0),"",MIN(1,N(K3941)/J3941))</f>
        <v/>
      </c>
      <c r="M3941" s="5" t="n"/>
      <c r="N3941" s="5" t="n"/>
      <c r="O3941" s="5" t="n"/>
      <c r="P3941" s="5" t="n"/>
      <c r="Q3941" s="5" t="n"/>
      <c r="R3941" s="4" t="n"/>
      <c r="S3941" s="4" t="n"/>
      <c r="T3941" s="5" t="n"/>
      <c r="U3941" s="8">
        <f>IF(AND(V3941=1,D3941&lt;&gt;""),IF(D3941&gt;=corte,TODAY()-D3941,""),"")</f>
        <v/>
      </c>
      <c r="V3941" s="8">
        <f>IF(D3941="",0,IF(OR(AND(P3941&lt;&gt;"",S3941=""),AND(N(J3941)&gt;0,N(K3941)&lt;J3941),OR(M3941="PENDENTE",M3941="PARCIAL"),OR(N3941="PENDENTE",N3941="PARCIAL")),1,0))</f>
        <v/>
      </c>
      <c r="W3941" s="8">
        <f>IF(AND(V3941=1,D3941&lt;&gt;""),IF(D3941&gt;=corte,(B3941="CRÍTICO")*1E9+(100000-D3941)*10000+10000-ROW(),""),"")</f>
        <v/>
      </c>
      <c r="X3941" s="8">
        <f>IF(AND(V3941=1,D3941=pas_data,E3941=pas_turno),10000-ROW(),"")</f>
        <v/>
      </c>
    </row>
    <row r="3942">
      <c r="A3942" s="3">
        <f>IF(D3942="","","TT-"&amp;TEXT(ROW()-1,"00000"))</f>
        <v/>
      </c>
      <c r="B3942" s="3">
        <f>IF(D3942="","",IF(V3942=0,"CONCLUÍDO",IF(D3942&lt;corte,"HISTÓRICO",IF(OR(AND(ISNUMBER(R3942),R3942&lt;TODAY()),AND(OR(N3942="PENDENTE",N3942="PARCIAL"),D3942&lt;TODAY()-1)),"CRÍTICO",IF(OR(AND(P3942&lt;&gt;"",S3942=""),AND(N3942="REALIZADO",M3942="PENDENTE"),AND(ISNUMBER(R3942),R3942=TODAY())),"ATENÇÃO",IF(N(K3942)=0,"PENDENTE","EM ANDAMENTO"))))))</f>
        <v/>
      </c>
      <c r="C3942" s="3">
        <f>IF(D3942="","",IF(V3942=0,"🟢 OK",IF(D3942&lt;corte,"⚪ HISTÓRICO (sem baixa)",IF(AND(ISNUMBER(R3942),R3942&lt;TODAY()),"🔴 PRAZO VENCIDO",IF(AND(OR(N3942="PENDENTE",N3942="PARCIAL"),D3942&lt;TODAY()-1),"🔴 EMBARQUE ATRASADO",IF(AND(N3942="REALIZADO",M3942="PENDENTE"),"🟡 EMBARCADO SEM FATURAR",IF(AND(P3942&lt;&gt;"",S3942="",OR(Q3942="",R3942="")),"🟡 PENDÊNCIA SEM RESPONSÁVEL/PRAZO",IF(AND(ISNUMBER(R3942),R3942=TODAY()),"🟡 VENCE HOJE",IF(AND(P3942&lt;&gt;"",S3942=""),"🟡 PENDÊNCIA ABERTA",IF(AND(N(J3942)&gt;0,N(K3942)&lt;J3942),"🟡 FALTA EXECUTAR",IF(OR(M3942="PENDENTE",M3942="PARCIAL"),"🟡 FATURAMENTO PENDENTE","🟡 EMBARQUE PENDENTE")))))))))))</f>
        <v/>
      </c>
      <c r="D3942" s="4" t="n"/>
      <c r="E3942" s="5" t="n"/>
      <c r="F3942" s="5" t="n"/>
      <c r="G3942" s="5" t="n"/>
      <c r="H3942" s="5" t="n"/>
      <c r="I3942" s="5" t="n"/>
      <c r="J3942" s="6" t="n"/>
      <c r="K3942" s="6" t="n"/>
      <c r="L3942" s="7">
        <f>IF(OR(D3942="",N(J3942)=0),"",MIN(1,N(K3942)/J3942))</f>
        <v/>
      </c>
      <c r="M3942" s="5" t="n"/>
      <c r="N3942" s="5" t="n"/>
      <c r="O3942" s="5" t="n"/>
      <c r="P3942" s="5" t="n"/>
      <c r="Q3942" s="5" t="n"/>
      <c r="R3942" s="4" t="n"/>
      <c r="S3942" s="4" t="n"/>
      <c r="T3942" s="5" t="n"/>
      <c r="U3942" s="8">
        <f>IF(AND(V3942=1,D3942&lt;&gt;""),IF(D3942&gt;=corte,TODAY()-D3942,""),"")</f>
        <v/>
      </c>
      <c r="V3942" s="8">
        <f>IF(D3942="",0,IF(OR(AND(P3942&lt;&gt;"",S3942=""),AND(N(J3942)&gt;0,N(K3942)&lt;J3942),OR(M3942="PENDENTE",M3942="PARCIAL"),OR(N3942="PENDENTE",N3942="PARCIAL")),1,0))</f>
        <v/>
      </c>
      <c r="W3942" s="8">
        <f>IF(AND(V3942=1,D3942&lt;&gt;""),IF(D3942&gt;=corte,(B3942="CRÍTICO")*1E9+(100000-D3942)*10000+10000-ROW(),""),"")</f>
        <v/>
      </c>
      <c r="X3942" s="8">
        <f>IF(AND(V3942=1,D3942=pas_data,E3942=pas_turno),10000-ROW(),"")</f>
        <v/>
      </c>
    </row>
    <row r="3943">
      <c r="A3943" s="3">
        <f>IF(D3943="","","TT-"&amp;TEXT(ROW()-1,"00000"))</f>
        <v/>
      </c>
      <c r="B3943" s="3">
        <f>IF(D3943="","",IF(V3943=0,"CONCLUÍDO",IF(D3943&lt;corte,"HISTÓRICO",IF(OR(AND(ISNUMBER(R3943),R3943&lt;TODAY()),AND(OR(N3943="PENDENTE",N3943="PARCIAL"),D3943&lt;TODAY()-1)),"CRÍTICO",IF(OR(AND(P3943&lt;&gt;"",S3943=""),AND(N3943="REALIZADO",M3943="PENDENTE"),AND(ISNUMBER(R3943),R3943=TODAY())),"ATENÇÃO",IF(N(K3943)=0,"PENDENTE","EM ANDAMENTO"))))))</f>
        <v/>
      </c>
      <c r="C3943" s="3">
        <f>IF(D3943="","",IF(V3943=0,"🟢 OK",IF(D3943&lt;corte,"⚪ HISTÓRICO (sem baixa)",IF(AND(ISNUMBER(R3943),R3943&lt;TODAY()),"🔴 PRAZO VENCIDO",IF(AND(OR(N3943="PENDENTE",N3943="PARCIAL"),D3943&lt;TODAY()-1),"🔴 EMBARQUE ATRASADO",IF(AND(N3943="REALIZADO",M3943="PENDENTE"),"🟡 EMBARCADO SEM FATURAR",IF(AND(P3943&lt;&gt;"",S3943="",OR(Q3943="",R3943="")),"🟡 PENDÊNCIA SEM RESPONSÁVEL/PRAZO",IF(AND(ISNUMBER(R3943),R3943=TODAY()),"🟡 VENCE HOJE",IF(AND(P3943&lt;&gt;"",S3943=""),"🟡 PENDÊNCIA ABERTA",IF(AND(N(J3943)&gt;0,N(K3943)&lt;J3943),"🟡 FALTA EXECUTAR",IF(OR(M3943="PENDENTE",M3943="PARCIAL"),"🟡 FATURAMENTO PENDENTE","🟡 EMBARQUE PENDENTE")))))))))))</f>
        <v/>
      </c>
      <c r="D3943" s="4" t="n"/>
      <c r="E3943" s="5" t="n"/>
      <c r="F3943" s="5" t="n"/>
      <c r="G3943" s="5" t="n"/>
      <c r="H3943" s="5" t="n"/>
      <c r="I3943" s="5" t="n"/>
      <c r="J3943" s="6" t="n"/>
      <c r="K3943" s="6" t="n"/>
      <c r="L3943" s="7">
        <f>IF(OR(D3943="",N(J3943)=0),"",MIN(1,N(K3943)/J3943))</f>
        <v/>
      </c>
      <c r="M3943" s="5" t="n"/>
      <c r="N3943" s="5" t="n"/>
      <c r="O3943" s="5" t="n"/>
      <c r="P3943" s="5" t="n"/>
      <c r="Q3943" s="5" t="n"/>
      <c r="R3943" s="4" t="n"/>
      <c r="S3943" s="4" t="n"/>
      <c r="T3943" s="5" t="n"/>
      <c r="U3943" s="8">
        <f>IF(AND(V3943=1,D3943&lt;&gt;""),IF(D3943&gt;=corte,TODAY()-D3943,""),"")</f>
        <v/>
      </c>
      <c r="V3943" s="8">
        <f>IF(D3943="",0,IF(OR(AND(P3943&lt;&gt;"",S3943=""),AND(N(J3943)&gt;0,N(K3943)&lt;J3943),OR(M3943="PENDENTE",M3943="PARCIAL"),OR(N3943="PENDENTE",N3943="PARCIAL")),1,0))</f>
        <v/>
      </c>
      <c r="W3943" s="8">
        <f>IF(AND(V3943=1,D3943&lt;&gt;""),IF(D3943&gt;=corte,(B3943="CRÍTICO")*1E9+(100000-D3943)*10000+10000-ROW(),""),"")</f>
        <v/>
      </c>
      <c r="X3943" s="8">
        <f>IF(AND(V3943=1,D3943=pas_data,E3943=pas_turno),10000-ROW(),"")</f>
        <v/>
      </c>
    </row>
    <row r="3944">
      <c r="A3944" s="3">
        <f>IF(D3944="","","TT-"&amp;TEXT(ROW()-1,"00000"))</f>
        <v/>
      </c>
      <c r="B3944" s="3">
        <f>IF(D3944="","",IF(V3944=0,"CONCLUÍDO",IF(D3944&lt;corte,"HISTÓRICO",IF(OR(AND(ISNUMBER(R3944),R3944&lt;TODAY()),AND(OR(N3944="PENDENTE",N3944="PARCIAL"),D3944&lt;TODAY()-1)),"CRÍTICO",IF(OR(AND(P3944&lt;&gt;"",S3944=""),AND(N3944="REALIZADO",M3944="PENDENTE"),AND(ISNUMBER(R3944),R3944=TODAY())),"ATENÇÃO",IF(N(K3944)=0,"PENDENTE","EM ANDAMENTO"))))))</f>
        <v/>
      </c>
      <c r="C3944" s="3">
        <f>IF(D3944="","",IF(V3944=0,"🟢 OK",IF(D3944&lt;corte,"⚪ HISTÓRICO (sem baixa)",IF(AND(ISNUMBER(R3944),R3944&lt;TODAY()),"🔴 PRAZO VENCIDO",IF(AND(OR(N3944="PENDENTE",N3944="PARCIAL"),D3944&lt;TODAY()-1),"🔴 EMBARQUE ATRASADO",IF(AND(N3944="REALIZADO",M3944="PENDENTE"),"🟡 EMBARCADO SEM FATURAR",IF(AND(P3944&lt;&gt;"",S3944="",OR(Q3944="",R3944="")),"🟡 PENDÊNCIA SEM RESPONSÁVEL/PRAZO",IF(AND(ISNUMBER(R3944),R3944=TODAY()),"🟡 VENCE HOJE",IF(AND(P3944&lt;&gt;"",S3944=""),"🟡 PENDÊNCIA ABERTA",IF(AND(N(J3944)&gt;0,N(K3944)&lt;J3944),"🟡 FALTA EXECUTAR",IF(OR(M3944="PENDENTE",M3944="PARCIAL"),"🟡 FATURAMENTO PENDENTE","🟡 EMBARQUE PENDENTE")))))))))))</f>
        <v/>
      </c>
      <c r="D3944" s="4" t="n"/>
      <c r="E3944" s="5" t="n"/>
      <c r="F3944" s="5" t="n"/>
      <c r="G3944" s="5" t="n"/>
      <c r="H3944" s="5" t="n"/>
      <c r="I3944" s="5" t="n"/>
      <c r="J3944" s="6" t="n"/>
      <c r="K3944" s="6" t="n"/>
      <c r="L3944" s="7">
        <f>IF(OR(D3944="",N(J3944)=0),"",MIN(1,N(K3944)/J3944))</f>
        <v/>
      </c>
      <c r="M3944" s="5" t="n"/>
      <c r="N3944" s="5" t="n"/>
      <c r="O3944" s="5" t="n"/>
      <c r="P3944" s="5" t="n"/>
      <c r="Q3944" s="5" t="n"/>
      <c r="R3944" s="4" t="n"/>
      <c r="S3944" s="4" t="n"/>
      <c r="T3944" s="5" t="n"/>
      <c r="U3944" s="8">
        <f>IF(AND(V3944=1,D3944&lt;&gt;""),IF(D3944&gt;=corte,TODAY()-D3944,""),"")</f>
        <v/>
      </c>
      <c r="V3944" s="8">
        <f>IF(D3944="",0,IF(OR(AND(P3944&lt;&gt;"",S3944=""),AND(N(J3944)&gt;0,N(K3944)&lt;J3944),OR(M3944="PENDENTE",M3944="PARCIAL"),OR(N3944="PENDENTE",N3944="PARCIAL")),1,0))</f>
        <v/>
      </c>
      <c r="W3944" s="8">
        <f>IF(AND(V3944=1,D3944&lt;&gt;""),IF(D3944&gt;=corte,(B3944="CRÍTICO")*1E9+(100000-D3944)*10000+10000-ROW(),""),"")</f>
        <v/>
      </c>
      <c r="X3944" s="8">
        <f>IF(AND(V3944=1,D3944=pas_data,E3944=pas_turno),10000-ROW(),"")</f>
        <v/>
      </c>
    </row>
    <row r="3945">
      <c r="A3945" s="3">
        <f>IF(D3945="","","TT-"&amp;TEXT(ROW()-1,"00000"))</f>
        <v/>
      </c>
      <c r="B3945" s="3">
        <f>IF(D3945="","",IF(V3945=0,"CONCLUÍDO",IF(D3945&lt;corte,"HISTÓRICO",IF(OR(AND(ISNUMBER(R3945),R3945&lt;TODAY()),AND(OR(N3945="PENDENTE",N3945="PARCIAL"),D3945&lt;TODAY()-1)),"CRÍTICO",IF(OR(AND(P3945&lt;&gt;"",S3945=""),AND(N3945="REALIZADO",M3945="PENDENTE"),AND(ISNUMBER(R3945),R3945=TODAY())),"ATENÇÃO",IF(N(K3945)=0,"PENDENTE","EM ANDAMENTO"))))))</f>
        <v/>
      </c>
      <c r="C3945" s="3">
        <f>IF(D3945="","",IF(V3945=0,"🟢 OK",IF(D3945&lt;corte,"⚪ HISTÓRICO (sem baixa)",IF(AND(ISNUMBER(R3945),R3945&lt;TODAY()),"🔴 PRAZO VENCIDO",IF(AND(OR(N3945="PENDENTE",N3945="PARCIAL"),D3945&lt;TODAY()-1),"🔴 EMBARQUE ATRASADO",IF(AND(N3945="REALIZADO",M3945="PENDENTE"),"🟡 EMBARCADO SEM FATURAR",IF(AND(P3945&lt;&gt;"",S3945="",OR(Q3945="",R3945="")),"🟡 PENDÊNCIA SEM RESPONSÁVEL/PRAZO",IF(AND(ISNUMBER(R3945),R3945=TODAY()),"🟡 VENCE HOJE",IF(AND(P3945&lt;&gt;"",S3945=""),"🟡 PENDÊNCIA ABERTA",IF(AND(N(J3945)&gt;0,N(K3945)&lt;J3945),"🟡 FALTA EXECUTAR",IF(OR(M3945="PENDENTE",M3945="PARCIAL"),"🟡 FATURAMENTO PENDENTE","🟡 EMBARQUE PENDENTE")))))))))))</f>
        <v/>
      </c>
      <c r="D3945" s="4" t="n"/>
      <c r="E3945" s="5" t="n"/>
      <c r="F3945" s="5" t="n"/>
      <c r="G3945" s="5" t="n"/>
      <c r="H3945" s="5" t="n"/>
      <c r="I3945" s="5" t="n"/>
      <c r="J3945" s="6" t="n"/>
      <c r="K3945" s="6" t="n"/>
      <c r="L3945" s="7">
        <f>IF(OR(D3945="",N(J3945)=0),"",MIN(1,N(K3945)/J3945))</f>
        <v/>
      </c>
      <c r="M3945" s="5" t="n"/>
      <c r="N3945" s="5" t="n"/>
      <c r="O3945" s="5" t="n"/>
      <c r="P3945" s="5" t="n"/>
      <c r="Q3945" s="5" t="n"/>
      <c r="R3945" s="4" t="n"/>
      <c r="S3945" s="4" t="n"/>
      <c r="T3945" s="5" t="n"/>
      <c r="U3945" s="8">
        <f>IF(AND(V3945=1,D3945&lt;&gt;""),IF(D3945&gt;=corte,TODAY()-D3945,""),"")</f>
        <v/>
      </c>
      <c r="V3945" s="8">
        <f>IF(D3945="",0,IF(OR(AND(P3945&lt;&gt;"",S3945=""),AND(N(J3945)&gt;0,N(K3945)&lt;J3945),OR(M3945="PENDENTE",M3945="PARCIAL"),OR(N3945="PENDENTE",N3945="PARCIAL")),1,0))</f>
        <v/>
      </c>
      <c r="W3945" s="8">
        <f>IF(AND(V3945=1,D3945&lt;&gt;""),IF(D3945&gt;=corte,(B3945="CRÍTICO")*1E9+(100000-D3945)*10000+10000-ROW(),""),"")</f>
        <v/>
      </c>
      <c r="X3945" s="8">
        <f>IF(AND(V3945=1,D3945=pas_data,E3945=pas_turno),10000-ROW(),"")</f>
        <v/>
      </c>
    </row>
    <row r="3946">
      <c r="A3946" s="3">
        <f>IF(D3946="","","TT-"&amp;TEXT(ROW()-1,"00000"))</f>
        <v/>
      </c>
      <c r="B3946" s="3">
        <f>IF(D3946="","",IF(V3946=0,"CONCLUÍDO",IF(D3946&lt;corte,"HISTÓRICO",IF(OR(AND(ISNUMBER(R3946),R3946&lt;TODAY()),AND(OR(N3946="PENDENTE",N3946="PARCIAL"),D3946&lt;TODAY()-1)),"CRÍTICO",IF(OR(AND(P3946&lt;&gt;"",S3946=""),AND(N3946="REALIZADO",M3946="PENDENTE"),AND(ISNUMBER(R3946),R3946=TODAY())),"ATENÇÃO",IF(N(K3946)=0,"PENDENTE","EM ANDAMENTO"))))))</f>
        <v/>
      </c>
      <c r="C3946" s="3">
        <f>IF(D3946="","",IF(V3946=0,"🟢 OK",IF(D3946&lt;corte,"⚪ HISTÓRICO (sem baixa)",IF(AND(ISNUMBER(R3946),R3946&lt;TODAY()),"🔴 PRAZO VENCIDO",IF(AND(OR(N3946="PENDENTE",N3946="PARCIAL"),D3946&lt;TODAY()-1),"🔴 EMBARQUE ATRASADO",IF(AND(N3946="REALIZADO",M3946="PENDENTE"),"🟡 EMBARCADO SEM FATURAR",IF(AND(P3946&lt;&gt;"",S3946="",OR(Q3946="",R3946="")),"🟡 PENDÊNCIA SEM RESPONSÁVEL/PRAZO",IF(AND(ISNUMBER(R3946),R3946=TODAY()),"🟡 VENCE HOJE",IF(AND(P3946&lt;&gt;"",S3946=""),"🟡 PENDÊNCIA ABERTA",IF(AND(N(J3946)&gt;0,N(K3946)&lt;J3946),"🟡 FALTA EXECUTAR",IF(OR(M3946="PENDENTE",M3946="PARCIAL"),"🟡 FATURAMENTO PENDENTE","🟡 EMBARQUE PENDENTE")))))))))))</f>
        <v/>
      </c>
      <c r="D3946" s="4" t="n"/>
      <c r="E3946" s="5" t="n"/>
      <c r="F3946" s="5" t="n"/>
      <c r="G3946" s="5" t="n"/>
      <c r="H3946" s="5" t="n"/>
      <c r="I3946" s="5" t="n"/>
      <c r="J3946" s="6" t="n"/>
      <c r="K3946" s="6" t="n"/>
      <c r="L3946" s="7">
        <f>IF(OR(D3946="",N(J3946)=0),"",MIN(1,N(K3946)/J3946))</f>
        <v/>
      </c>
      <c r="M3946" s="5" t="n"/>
      <c r="N3946" s="5" t="n"/>
      <c r="O3946" s="5" t="n"/>
      <c r="P3946" s="5" t="n"/>
      <c r="Q3946" s="5" t="n"/>
      <c r="R3946" s="4" t="n"/>
      <c r="S3946" s="4" t="n"/>
      <c r="T3946" s="5" t="n"/>
      <c r="U3946" s="8">
        <f>IF(AND(V3946=1,D3946&lt;&gt;""),IF(D3946&gt;=corte,TODAY()-D3946,""),"")</f>
        <v/>
      </c>
      <c r="V3946" s="8">
        <f>IF(D3946="",0,IF(OR(AND(P3946&lt;&gt;"",S3946=""),AND(N(J3946)&gt;0,N(K3946)&lt;J3946),OR(M3946="PENDENTE",M3946="PARCIAL"),OR(N3946="PENDENTE",N3946="PARCIAL")),1,0))</f>
        <v/>
      </c>
      <c r="W3946" s="8">
        <f>IF(AND(V3946=1,D3946&lt;&gt;""),IF(D3946&gt;=corte,(B3946="CRÍTICO")*1E9+(100000-D3946)*10000+10000-ROW(),""),"")</f>
        <v/>
      </c>
      <c r="X3946" s="8">
        <f>IF(AND(V3946=1,D3946=pas_data,E3946=pas_turno),10000-ROW(),"")</f>
        <v/>
      </c>
    </row>
    <row r="3947">
      <c r="A3947" s="3">
        <f>IF(D3947="","","TT-"&amp;TEXT(ROW()-1,"00000"))</f>
        <v/>
      </c>
      <c r="B3947" s="3">
        <f>IF(D3947="","",IF(V3947=0,"CONCLUÍDO",IF(D3947&lt;corte,"HISTÓRICO",IF(OR(AND(ISNUMBER(R3947),R3947&lt;TODAY()),AND(OR(N3947="PENDENTE",N3947="PARCIAL"),D3947&lt;TODAY()-1)),"CRÍTICO",IF(OR(AND(P3947&lt;&gt;"",S3947=""),AND(N3947="REALIZADO",M3947="PENDENTE"),AND(ISNUMBER(R3947),R3947=TODAY())),"ATENÇÃO",IF(N(K3947)=0,"PENDENTE","EM ANDAMENTO"))))))</f>
        <v/>
      </c>
      <c r="C3947" s="3">
        <f>IF(D3947="","",IF(V3947=0,"🟢 OK",IF(D3947&lt;corte,"⚪ HISTÓRICO (sem baixa)",IF(AND(ISNUMBER(R3947),R3947&lt;TODAY()),"🔴 PRAZO VENCIDO",IF(AND(OR(N3947="PENDENTE",N3947="PARCIAL"),D3947&lt;TODAY()-1),"🔴 EMBARQUE ATRASADO",IF(AND(N3947="REALIZADO",M3947="PENDENTE"),"🟡 EMBARCADO SEM FATURAR",IF(AND(P3947&lt;&gt;"",S3947="",OR(Q3947="",R3947="")),"🟡 PENDÊNCIA SEM RESPONSÁVEL/PRAZO",IF(AND(ISNUMBER(R3947),R3947=TODAY()),"🟡 VENCE HOJE",IF(AND(P3947&lt;&gt;"",S3947=""),"🟡 PENDÊNCIA ABERTA",IF(AND(N(J3947)&gt;0,N(K3947)&lt;J3947),"🟡 FALTA EXECUTAR",IF(OR(M3947="PENDENTE",M3947="PARCIAL"),"🟡 FATURAMENTO PENDENTE","🟡 EMBARQUE PENDENTE")))))))))))</f>
        <v/>
      </c>
      <c r="D3947" s="4" t="n"/>
      <c r="E3947" s="5" t="n"/>
      <c r="F3947" s="5" t="n"/>
      <c r="G3947" s="5" t="n"/>
      <c r="H3947" s="5" t="n"/>
      <c r="I3947" s="5" t="n"/>
      <c r="J3947" s="6" t="n"/>
      <c r="K3947" s="6" t="n"/>
      <c r="L3947" s="7">
        <f>IF(OR(D3947="",N(J3947)=0),"",MIN(1,N(K3947)/J3947))</f>
        <v/>
      </c>
      <c r="M3947" s="5" t="n"/>
      <c r="N3947" s="5" t="n"/>
      <c r="O3947" s="5" t="n"/>
      <c r="P3947" s="5" t="n"/>
      <c r="Q3947" s="5" t="n"/>
      <c r="R3947" s="4" t="n"/>
      <c r="S3947" s="4" t="n"/>
      <c r="T3947" s="5" t="n"/>
      <c r="U3947" s="8">
        <f>IF(AND(V3947=1,D3947&lt;&gt;""),IF(D3947&gt;=corte,TODAY()-D3947,""),"")</f>
        <v/>
      </c>
      <c r="V3947" s="8">
        <f>IF(D3947="",0,IF(OR(AND(P3947&lt;&gt;"",S3947=""),AND(N(J3947)&gt;0,N(K3947)&lt;J3947),OR(M3947="PENDENTE",M3947="PARCIAL"),OR(N3947="PENDENTE",N3947="PARCIAL")),1,0))</f>
        <v/>
      </c>
      <c r="W3947" s="8">
        <f>IF(AND(V3947=1,D3947&lt;&gt;""),IF(D3947&gt;=corte,(B3947="CRÍTICO")*1E9+(100000-D3947)*10000+10000-ROW(),""),"")</f>
        <v/>
      </c>
      <c r="X3947" s="8">
        <f>IF(AND(V3947=1,D3947=pas_data,E3947=pas_turno),10000-ROW(),"")</f>
        <v/>
      </c>
    </row>
    <row r="3948">
      <c r="A3948" s="3">
        <f>IF(D3948="","","TT-"&amp;TEXT(ROW()-1,"00000"))</f>
        <v/>
      </c>
      <c r="B3948" s="3">
        <f>IF(D3948="","",IF(V3948=0,"CONCLUÍDO",IF(D3948&lt;corte,"HISTÓRICO",IF(OR(AND(ISNUMBER(R3948),R3948&lt;TODAY()),AND(OR(N3948="PENDENTE",N3948="PARCIAL"),D3948&lt;TODAY()-1)),"CRÍTICO",IF(OR(AND(P3948&lt;&gt;"",S3948=""),AND(N3948="REALIZADO",M3948="PENDENTE"),AND(ISNUMBER(R3948),R3948=TODAY())),"ATENÇÃO",IF(N(K3948)=0,"PENDENTE","EM ANDAMENTO"))))))</f>
        <v/>
      </c>
      <c r="C3948" s="3">
        <f>IF(D3948="","",IF(V3948=0,"🟢 OK",IF(D3948&lt;corte,"⚪ HISTÓRICO (sem baixa)",IF(AND(ISNUMBER(R3948),R3948&lt;TODAY()),"🔴 PRAZO VENCIDO",IF(AND(OR(N3948="PENDENTE",N3948="PARCIAL"),D3948&lt;TODAY()-1),"🔴 EMBARQUE ATRASADO",IF(AND(N3948="REALIZADO",M3948="PENDENTE"),"🟡 EMBARCADO SEM FATURAR",IF(AND(P3948&lt;&gt;"",S3948="",OR(Q3948="",R3948="")),"🟡 PENDÊNCIA SEM RESPONSÁVEL/PRAZO",IF(AND(ISNUMBER(R3948),R3948=TODAY()),"🟡 VENCE HOJE",IF(AND(P3948&lt;&gt;"",S3948=""),"🟡 PENDÊNCIA ABERTA",IF(AND(N(J3948)&gt;0,N(K3948)&lt;J3948),"🟡 FALTA EXECUTAR",IF(OR(M3948="PENDENTE",M3948="PARCIAL"),"🟡 FATURAMENTO PENDENTE","🟡 EMBARQUE PENDENTE")))))))))))</f>
        <v/>
      </c>
      <c r="D3948" s="4" t="n"/>
      <c r="E3948" s="5" t="n"/>
      <c r="F3948" s="5" t="n"/>
      <c r="G3948" s="5" t="n"/>
      <c r="H3948" s="5" t="n"/>
      <c r="I3948" s="5" t="n"/>
      <c r="J3948" s="6" t="n"/>
      <c r="K3948" s="6" t="n"/>
      <c r="L3948" s="7">
        <f>IF(OR(D3948="",N(J3948)=0),"",MIN(1,N(K3948)/J3948))</f>
        <v/>
      </c>
      <c r="M3948" s="5" t="n"/>
      <c r="N3948" s="5" t="n"/>
      <c r="O3948" s="5" t="n"/>
      <c r="P3948" s="5" t="n"/>
      <c r="Q3948" s="5" t="n"/>
      <c r="R3948" s="4" t="n"/>
      <c r="S3948" s="4" t="n"/>
      <c r="T3948" s="5" t="n"/>
      <c r="U3948" s="8">
        <f>IF(AND(V3948=1,D3948&lt;&gt;""),IF(D3948&gt;=corte,TODAY()-D3948,""),"")</f>
        <v/>
      </c>
      <c r="V3948" s="8">
        <f>IF(D3948="",0,IF(OR(AND(P3948&lt;&gt;"",S3948=""),AND(N(J3948)&gt;0,N(K3948)&lt;J3948),OR(M3948="PENDENTE",M3948="PARCIAL"),OR(N3948="PENDENTE",N3948="PARCIAL")),1,0))</f>
        <v/>
      </c>
      <c r="W3948" s="8">
        <f>IF(AND(V3948=1,D3948&lt;&gt;""),IF(D3948&gt;=corte,(B3948="CRÍTICO")*1E9+(100000-D3948)*10000+10000-ROW(),""),"")</f>
        <v/>
      </c>
      <c r="X3948" s="8">
        <f>IF(AND(V3948=1,D3948=pas_data,E3948=pas_turno),10000-ROW(),"")</f>
        <v/>
      </c>
    </row>
    <row r="3949">
      <c r="A3949" s="3">
        <f>IF(D3949="","","TT-"&amp;TEXT(ROW()-1,"00000"))</f>
        <v/>
      </c>
      <c r="B3949" s="3">
        <f>IF(D3949="","",IF(V3949=0,"CONCLUÍDO",IF(D3949&lt;corte,"HISTÓRICO",IF(OR(AND(ISNUMBER(R3949),R3949&lt;TODAY()),AND(OR(N3949="PENDENTE",N3949="PARCIAL"),D3949&lt;TODAY()-1)),"CRÍTICO",IF(OR(AND(P3949&lt;&gt;"",S3949=""),AND(N3949="REALIZADO",M3949="PENDENTE"),AND(ISNUMBER(R3949),R3949=TODAY())),"ATENÇÃO",IF(N(K3949)=0,"PENDENTE","EM ANDAMENTO"))))))</f>
        <v/>
      </c>
      <c r="C3949" s="3">
        <f>IF(D3949="","",IF(V3949=0,"🟢 OK",IF(D3949&lt;corte,"⚪ HISTÓRICO (sem baixa)",IF(AND(ISNUMBER(R3949),R3949&lt;TODAY()),"🔴 PRAZO VENCIDO",IF(AND(OR(N3949="PENDENTE",N3949="PARCIAL"),D3949&lt;TODAY()-1),"🔴 EMBARQUE ATRASADO",IF(AND(N3949="REALIZADO",M3949="PENDENTE"),"🟡 EMBARCADO SEM FATURAR",IF(AND(P3949&lt;&gt;"",S3949="",OR(Q3949="",R3949="")),"🟡 PENDÊNCIA SEM RESPONSÁVEL/PRAZO",IF(AND(ISNUMBER(R3949),R3949=TODAY()),"🟡 VENCE HOJE",IF(AND(P3949&lt;&gt;"",S3949=""),"🟡 PENDÊNCIA ABERTA",IF(AND(N(J3949)&gt;0,N(K3949)&lt;J3949),"🟡 FALTA EXECUTAR",IF(OR(M3949="PENDENTE",M3949="PARCIAL"),"🟡 FATURAMENTO PENDENTE","🟡 EMBARQUE PENDENTE")))))))))))</f>
        <v/>
      </c>
      <c r="D3949" s="4" t="n"/>
      <c r="E3949" s="5" t="n"/>
      <c r="F3949" s="5" t="n"/>
      <c r="G3949" s="5" t="n"/>
      <c r="H3949" s="5" t="n"/>
      <c r="I3949" s="5" t="n"/>
      <c r="J3949" s="6" t="n"/>
      <c r="K3949" s="6" t="n"/>
      <c r="L3949" s="7">
        <f>IF(OR(D3949="",N(J3949)=0),"",MIN(1,N(K3949)/J3949))</f>
        <v/>
      </c>
      <c r="M3949" s="5" t="n"/>
      <c r="N3949" s="5" t="n"/>
      <c r="O3949" s="5" t="n"/>
      <c r="P3949" s="5" t="n"/>
      <c r="Q3949" s="5" t="n"/>
      <c r="R3949" s="4" t="n"/>
      <c r="S3949" s="4" t="n"/>
      <c r="T3949" s="5" t="n"/>
      <c r="U3949" s="8">
        <f>IF(AND(V3949=1,D3949&lt;&gt;""),IF(D3949&gt;=corte,TODAY()-D3949,""),"")</f>
        <v/>
      </c>
      <c r="V3949" s="8">
        <f>IF(D3949="",0,IF(OR(AND(P3949&lt;&gt;"",S3949=""),AND(N(J3949)&gt;0,N(K3949)&lt;J3949),OR(M3949="PENDENTE",M3949="PARCIAL"),OR(N3949="PENDENTE",N3949="PARCIAL")),1,0))</f>
        <v/>
      </c>
      <c r="W3949" s="8">
        <f>IF(AND(V3949=1,D3949&lt;&gt;""),IF(D3949&gt;=corte,(B3949="CRÍTICO")*1E9+(100000-D3949)*10000+10000-ROW(),""),"")</f>
        <v/>
      </c>
      <c r="X3949" s="8">
        <f>IF(AND(V3949=1,D3949=pas_data,E3949=pas_turno),10000-ROW(),"")</f>
        <v/>
      </c>
    </row>
    <row r="3950">
      <c r="A3950" s="3">
        <f>IF(D3950="","","TT-"&amp;TEXT(ROW()-1,"00000"))</f>
        <v/>
      </c>
      <c r="B3950" s="3">
        <f>IF(D3950="","",IF(V3950=0,"CONCLUÍDO",IF(D3950&lt;corte,"HISTÓRICO",IF(OR(AND(ISNUMBER(R3950),R3950&lt;TODAY()),AND(OR(N3950="PENDENTE",N3950="PARCIAL"),D3950&lt;TODAY()-1)),"CRÍTICO",IF(OR(AND(P3950&lt;&gt;"",S3950=""),AND(N3950="REALIZADO",M3950="PENDENTE"),AND(ISNUMBER(R3950),R3950=TODAY())),"ATENÇÃO",IF(N(K3950)=0,"PENDENTE","EM ANDAMENTO"))))))</f>
        <v/>
      </c>
      <c r="C3950" s="3">
        <f>IF(D3950="","",IF(V3950=0,"🟢 OK",IF(D3950&lt;corte,"⚪ HISTÓRICO (sem baixa)",IF(AND(ISNUMBER(R3950),R3950&lt;TODAY()),"🔴 PRAZO VENCIDO",IF(AND(OR(N3950="PENDENTE",N3950="PARCIAL"),D3950&lt;TODAY()-1),"🔴 EMBARQUE ATRASADO",IF(AND(N3950="REALIZADO",M3950="PENDENTE"),"🟡 EMBARCADO SEM FATURAR",IF(AND(P3950&lt;&gt;"",S3950="",OR(Q3950="",R3950="")),"🟡 PENDÊNCIA SEM RESPONSÁVEL/PRAZO",IF(AND(ISNUMBER(R3950),R3950=TODAY()),"🟡 VENCE HOJE",IF(AND(P3950&lt;&gt;"",S3950=""),"🟡 PENDÊNCIA ABERTA",IF(AND(N(J3950)&gt;0,N(K3950)&lt;J3950),"🟡 FALTA EXECUTAR",IF(OR(M3950="PENDENTE",M3950="PARCIAL"),"🟡 FATURAMENTO PENDENTE","🟡 EMBARQUE PENDENTE")))))))))))</f>
        <v/>
      </c>
      <c r="D3950" s="4" t="n"/>
      <c r="E3950" s="5" t="n"/>
      <c r="F3950" s="5" t="n"/>
      <c r="G3950" s="5" t="n"/>
      <c r="H3950" s="5" t="n"/>
      <c r="I3950" s="5" t="n"/>
      <c r="J3950" s="6" t="n"/>
      <c r="K3950" s="6" t="n"/>
      <c r="L3950" s="7">
        <f>IF(OR(D3950="",N(J3950)=0),"",MIN(1,N(K3950)/J3950))</f>
        <v/>
      </c>
      <c r="M3950" s="5" t="n"/>
      <c r="N3950" s="5" t="n"/>
      <c r="O3950" s="5" t="n"/>
      <c r="P3950" s="5" t="n"/>
      <c r="Q3950" s="5" t="n"/>
      <c r="R3950" s="4" t="n"/>
      <c r="S3950" s="4" t="n"/>
      <c r="T3950" s="5" t="n"/>
      <c r="U3950" s="8">
        <f>IF(AND(V3950=1,D3950&lt;&gt;""),IF(D3950&gt;=corte,TODAY()-D3950,""),"")</f>
        <v/>
      </c>
      <c r="V3950" s="8">
        <f>IF(D3950="",0,IF(OR(AND(P3950&lt;&gt;"",S3950=""),AND(N(J3950)&gt;0,N(K3950)&lt;J3950),OR(M3950="PENDENTE",M3950="PARCIAL"),OR(N3950="PENDENTE",N3950="PARCIAL")),1,0))</f>
        <v/>
      </c>
      <c r="W3950" s="8">
        <f>IF(AND(V3950=1,D3950&lt;&gt;""),IF(D3950&gt;=corte,(B3950="CRÍTICO")*1E9+(100000-D3950)*10000+10000-ROW(),""),"")</f>
        <v/>
      </c>
      <c r="X3950" s="8">
        <f>IF(AND(V3950=1,D3950=pas_data,E3950=pas_turno),10000-ROW(),"")</f>
        <v/>
      </c>
    </row>
    <row r="3951">
      <c r="A3951" s="3">
        <f>IF(D3951="","","TT-"&amp;TEXT(ROW()-1,"00000"))</f>
        <v/>
      </c>
      <c r="B3951" s="3">
        <f>IF(D3951="","",IF(V3951=0,"CONCLUÍDO",IF(D3951&lt;corte,"HISTÓRICO",IF(OR(AND(ISNUMBER(R3951),R3951&lt;TODAY()),AND(OR(N3951="PENDENTE",N3951="PARCIAL"),D3951&lt;TODAY()-1)),"CRÍTICO",IF(OR(AND(P3951&lt;&gt;"",S3951=""),AND(N3951="REALIZADO",M3951="PENDENTE"),AND(ISNUMBER(R3951),R3951=TODAY())),"ATENÇÃO",IF(N(K3951)=0,"PENDENTE","EM ANDAMENTO"))))))</f>
        <v/>
      </c>
      <c r="C3951" s="3">
        <f>IF(D3951="","",IF(V3951=0,"🟢 OK",IF(D3951&lt;corte,"⚪ HISTÓRICO (sem baixa)",IF(AND(ISNUMBER(R3951),R3951&lt;TODAY()),"🔴 PRAZO VENCIDO",IF(AND(OR(N3951="PENDENTE",N3951="PARCIAL"),D3951&lt;TODAY()-1),"🔴 EMBARQUE ATRASADO",IF(AND(N3951="REALIZADO",M3951="PENDENTE"),"🟡 EMBARCADO SEM FATURAR",IF(AND(P3951&lt;&gt;"",S3951="",OR(Q3951="",R3951="")),"🟡 PENDÊNCIA SEM RESPONSÁVEL/PRAZO",IF(AND(ISNUMBER(R3951),R3951=TODAY()),"🟡 VENCE HOJE",IF(AND(P3951&lt;&gt;"",S3951=""),"🟡 PENDÊNCIA ABERTA",IF(AND(N(J3951)&gt;0,N(K3951)&lt;J3951),"🟡 FALTA EXECUTAR",IF(OR(M3951="PENDENTE",M3951="PARCIAL"),"🟡 FATURAMENTO PENDENTE","🟡 EMBARQUE PENDENTE")))))))))))</f>
        <v/>
      </c>
      <c r="D3951" s="4" t="n"/>
      <c r="E3951" s="5" t="n"/>
      <c r="F3951" s="5" t="n"/>
      <c r="G3951" s="5" t="n"/>
      <c r="H3951" s="5" t="n"/>
      <c r="I3951" s="5" t="n"/>
      <c r="J3951" s="6" t="n"/>
      <c r="K3951" s="6" t="n"/>
      <c r="L3951" s="7">
        <f>IF(OR(D3951="",N(J3951)=0),"",MIN(1,N(K3951)/J3951))</f>
        <v/>
      </c>
      <c r="M3951" s="5" t="n"/>
      <c r="N3951" s="5" t="n"/>
      <c r="O3951" s="5" t="n"/>
      <c r="P3951" s="5" t="n"/>
      <c r="Q3951" s="5" t="n"/>
      <c r="R3951" s="4" t="n"/>
      <c r="S3951" s="4" t="n"/>
      <c r="T3951" s="5" t="n"/>
      <c r="U3951" s="8">
        <f>IF(AND(V3951=1,D3951&lt;&gt;""),IF(D3951&gt;=corte,TODAY()-D3951,""),"")</f>
        <v/>
      </c>
      <c r="V3951" s="8">
        <f>IF(D3951="",0,IF(OR(AND(P3951&lt;&gt;"",S3951=""),AND(N(J3951)&gt;0,N(K3951)&lt;J3951),OR(M3951="PENDENTE",M3951="PARCIAL"),OR(N3951="PENDENTE",N3951="PARCIAL")),1,0))</f>
        <v/>
      </c>
      <c r="W3951" s="8">
        <f>IF(AND(V3951=1,D3951&lt;&gt;""),IF(D3951&gt;=corte,(B3951="CRÍTICO")*1E9+(100000-D3951)*10000+10000-ROW(),""),"")</f>
        <v/>
      </c>
      <c r="X3951" s="8">
        <f>IF(AND(V3951=1,D3951=pas_data,E3951=pas_turno),10000-ROW(),"")</f>
        <v/>
      </c>
    </row>
    <row r="3952">
      <c r="A3952" s="3">
        <f>IF(D3952="","","TT-"&amp;TEXT(ROW()-1,"00000"))</f>
        <v/>
      </c>
      <c r="B3952" s="3">
        <f>IF(D3952="","",IF(V3952=0,"CONCLUÍDO",IF(D3952&lt;corte,"HISTÓRICO",IF(OR(AND(ISNUMBER(R3952),R3952&lt;TODAY()),AND(OR(N3952="PENDENTE",N3952="PARCIAL"),D3952&lt;TODAY()-1)),"CRÍTICO",IF(OR(AND(P3952&lt;&gt;"",S3952=""),AND(N3952="REALIZADO",M3952="PENDENTE"),AND(ISNUMBER(R3952),R3952=TODAY())),"ATENÇÃO",IF(N(K3952)=0,"PENDENTE","EM ANDAMENTO"))))))</f>
        <v/>
      </c>
      <c r="C3952" s="3">
        <f>IF(D3952="","",IF(V3952=0,"🟢 OK",IF(D3952&lt;corte,"⚪ HISTÓRICO (sem baixa)",IF(AND(ISNUMBER(R3952),R3952&lt;TODAY()),"🔴 PRAZO VENCIDO",IF(AND(OR(N3952="PENDENTE",N3952="PARCIAL"),D3952&lt;TODAY()-1),"🔴 EMBARQUE ATRASADO",IF(AND(N3952="REALIZADO",M3952="PENDENTE"),"🟡 EMBARCADO SEM FATURAR",IF(AND(P3952&lt;&gt;"",S3952="",OR(Q3952="",R3952="")),"🟡 PENDÊNCIA SEM RESPONSÁVEL/PRAZO",IF(AND(ISNUMBER(R3952),R3952=TODAY()),"🟡 VENCE HOJE",IF(AND(P3952&lt;&gt;"",S3952=""),"🟡 PENDÊNCIA ABERTA",IF(AND(N(J3952)&gt;0,N(K3952)&lt;J3952),"🟡 FALTA EXECUTAR",IF(OR(M3952="PENDENTE",M3952="PARCIAL"),"🟡 FATURAMENTO PENDENTE","🟡 EMBARQUE PENDENTE")))))))))))</f>
        <v/>
      </c>
      <c r="D3952" s="4" t="n"/>
      <c r="E3952" s="5" t="n"/>
      <c r="F3952" s="5" t="n"/>
      <c r="G3952" s="5" t="n"/>
      <c r="H3952" s="5" t="n"/>
      <c r="I3952" s="5" t="n"/>
      <c r="J3952" s="6" t="n"/>
      <c r="K3952" s="6" t="n"/>
      <c r="L3952" s="7">
        <f>IF(OR(D3952="",N(J3952)=0),"",MIN(1,N(K3952)/J3952))</f>
        <v/>
      </c>
      <c r="M3952" s="5" t="n"/>
      <c r="N3952" s="5" t="n"/>
      <c r="O3952" s="5" t="n"/>
      <c r="P3952" s="5" t="n"/>
      <c r="Q3952" s="5" t="n"/>
      <c r="R3952" s="4" t="n"/>
      <c r="S3952" s="4" t="n"/>
      <c r="T3952" s="5" t="n"/>
      <c r="U3952" s="8">
        <f>IF(AND(V3952=1,D3952&lt;&gt;""),IF(D3952&gt;=corte,TODAY()-D3952,""),"")</f>
        <v/>
      </c>
      <c r="V3952" s="8">
        <f>IF(D3952="",0,IF(OR(AND(P3952&lt;&gt;"",S3952=""),AND(N(J3952)&gt;0,N(K3952)&lt;J3952),OR(M3952="PENDENTE",M3952="PARCIAL"),OR(N3952="PENDENTE",N3952="PARCIAL")),1,0))</f>
        <v/>
      </c>
      <c r="W3952" s="8">
        <f>IF(AND(V3952=1,D3952&lt;&gt;""),IF(D3952&gt;=corte,(B3952="CRÍTICO")*1E9+(100000-D3952)*10000+10000-ROW(),""),"")</f>
        <v/>
      </c>
      <c r="X3952" s="8">
        <f>IF(AND(V3952=1,D3952=pas_data,E3952=pas_turno),10000-ROW(),"")</f>
        <v/>
      </c>
    </row>
    <row r="3953">
      <c r="A3953" s="3">
        <f>IF(D3953="","","TT-"&amp;TEXT(ROW()-1,"00000"))</f>
        <v/>
      </c>
      <c r="B3953" s="3">
        <f>IF(D3953="","",IF(V3953=0,"CONCLUÍDO",IF(D3953&lt;corte,"HISTÓRICO",IF(OR(AND(ISNUMBER(R3953),R3953&lt;TODAY()),AND(OR(N3953="PENDENTE",N3953="PARCIAL"),D3953&lt;TODAY()-1)),"CRÍTICO",IF(OR(AND(P3953&lt;&gt;"",S3953=""),AND(N3953="REALIZADO",M3953="PENDENTE"),AND(ISNUMBER(R3953),R3953=TODAY())),"ATENÇÃO",IF(N(K3953)=0,"PENDENTE","EM ANDAMENTO"))))))</f>
        <v/>
      </c>
      <c r="C3953" s="3">
        <f>IF(D3953="","",IF(V3953=0,"🟢 OK",IF(D3953&lt;corte,"⚪ HISTÓRICO (sem baixa)",IF(AND(ISNUMBER(R3953),R3953&lt;TODAY()),"🔴 PRAZO VENCIDO",IF(AND(OR(N3953="PENDENTE",N3953="PARCIAL"),D3953&lt;TODAY()-1),"🔴 EMBARQUE ATRASADO",IF(AND(N3953="REALIZADO",M3953="PENDENTE"),"🟡 EMBARCADO SEM FATURAR",IF(AND(P3953&lt;&gt;"",S3953="",OR(Q3953="",R3953="")),"🟡 PENDÊNCIA SEM RESPONSÁVEL/PRAZO",IF(AND(ISNUMBER(R3953),R3953=TODAY()),"🟡 VENCE HOJE",IF(AND(P3953&lt;&gt;"",S3953=""),"🟡 PENDÊNCIA ABERTA",IF(AND(N(J3953)&gt;0,N(K3953)&lt;J3953),"🟡 FALTA EXECUTAR",IF(OR(M3953="PENDENTE",M3953="PARCIAL"),"🟡 FATURAMENTO PENDENTE","🟡 EMBARQUE PENDENTE")))))))))))</f>
        <v/>
      </c>
      <c r="D3953" s="4" t="n"/>
      <c r="E3953" s="5" t="n"/>
      <c r="F3953" s="5" t="n"/>
      <c r="G3953" s="5" t="n"/>
      <c r="H3953" s="5" t="n"/>
      <c r="I3953" s="5" t="n"/>
      <c r="J3953" s="6" t="n"/>
      <c r="K3953" s="6" t="n"/>
      <c r="L3953" s="7">
        <f>IF(OR(D3953="",N(J3953)=0),"",MIN(1,N(K3953)/J3953))</f>
        <v/>
      </c>
      <c r="M3953" s="5" t="n"/>
      <c r="N3953" s="5" t="n"/>
      <c r="O3953" s="5" t="n"/>
      <c r="P3953" s="5" t="n"/>
      <c r="Q3953" s="5" t="n"/>
      <c r="R3953" s="4" t="n"/>
      <c r="S3953" s="4" t="n"/>
      <c r="T3953" s="5" t="n"/>
      <c r="U3953" s="8">
        <f>IF(AND(V3953=1,D3953&lt;&gt;""),IF(D3953&gt;=corte,TODAY()-D3953,""),"")</f>
        <v/>
      </c>
      <c r="V3953" s="8">
        <f>IF(D3953="",0,IF(OR(AND(P3953&lt;&gt;"",S3953=""),AND(N(J3953)&gt;0,N(K3953)&lt;J3953),OR(M3953="PENDENTE",M3953="PARCIAL"),OR(N3953="PENDENTE",N3953="PARCIAL")),1,0))</f>
        <v/>
      </c>
      <c r="W3953" s="8">
        <f>IF(AND(V3953=1,D3953&lt;&gt;""),IF(D3953&gt;=corte,(B3953="CRÍTICO")*1E9+(100000-D3953)*10000+10000-ROW(),""),"")</f>
        <v/>
      </c>
      <c r="X3953" s="8">
        <f>IF(AND(V3953=1,D3953=pas_data,E3953=pas_turno),10000-ROW(),"")</f>
        <v/>
      </c>
    </row>
    <row r="3954">
      <c r="A3954" s="3">
        <f>IF(D3954="","","TT-"&amp;TEXT(ROW()-1,"00000"))</f>
        <v/>
      </c>
      <c r="B3954" s="3">
        <f>IF(D3954="","",IF(V3954=0,"CONCLUÍDO",IF(D3954&lt;corte,"HISTÓRICO",IF(OR(AND(ISNUMBER(R3954),R3954&lt;TODAY()),AND(OR(N3954="PENDENTE",N3954="PARCIAL"),D3954&lt;TODAY()-1)),"CRÍTICO",IF(OR(AND(P3954&lt;&gt;"",S3954=""),AND(N3954="REALIZADO",M3954="PENDENTE"),AND(ISNUMBER(R3954),R3954=TODAY())),"ATENÇÃO",IF(N(K3954)=0,"PENDENTE","EM ANDAMENTO"))))))</f>
        <v/>
      </c>
      <c r="C3954" s="3">
        <f>IF(D3954="","",IF(V3954=0,"🟢 OK",IF(D3954&lt;corte,"⚪ HISTÓRICO (sem baixa)",IF(AND(ISNUMBER(R3954),R3954&lt;TODAY()),"🔴 PRAZO VENCIDO",IF(AND(OR(N3954="PENDENTE",N3954="PARCIAL"),D3954&lt;TODAY()-1),"🔴 EMBARQUE ATRASADO",IF(AND(N3954="REALIZADO",M3954="PENDENTE"),"🟡 EMBARCADO SEM FATURAR",IF(AND(P3954&lt;&gt;"",S3954="",OR(Q3954="",R3954="")),"🟡 PENDÊNCIA SEM RESPONSÁVEL/PRAZO",IF(AND(ISNUMBER(R3954),R3954=TODAY()),"🟡 VENCE HOJE",IF(AND(P3954&lt;&gt;"",S3954=""),"🟡 PENDÊNCIA ABERTA",IF(AND(N(J3954)&gt;0,N(K3954)&lt;J3954),"🟡 FALTA EXECUTAR",IF(OR(M3954="PENDENTE",M3954="PARCIAL"),"🟡 FATURAMENTO PENDENTE","🟡 EMBARQUE PENDENTE")))))))))))</f>
        <v/>
      </c>
      <c r="D3954" s="4" t="n"/>
      <c r="E3954" s="5" t="n"/>
      <c r="F3954" s="5" t="n"/>
      <c r="G3954" s="5" t="n"/>
      <c r="H3954" s="5" t="n"/>
      <c r="I3954" s="5" t="n"/>
      <c r="J3954" s="6" t="n"/>
      <c r="K3954" s="6" t="n"/>
      <c r="L3954" s="7">
        <f>IF(OR(D3954="",N(J3954)=0),"",MIN(1,N(K3954)/J3954))</f>
        <v/>
      </c>
      <c r="M3954" s="5" t="n"/>
      <c r="N3954" s="5" t="n"/>
      <c r="O3954" s="5" t="n"/>
      <c r="P3954" s="5" t="n"/>
      <c r="Q3954" s="5" t="n"/>
      <c r="R3954" s="4" t="n"/>
      <c r="S3954" s="4" t="n"/>
      <c r="T3954" s="5" t="n"/>
      <c r="U3954" s="8">
        <f>IF(AND(V3954=1,D3954&lt;&gt;""),IF(D3954&gt;=corte,TODAY()-D3954,""),"")</f>
        <v/>
      </c>
      <c r="V3954" s="8">
        <f>IF(D3954="",0,IF(OR(AND(P3954&lt;&gt;"",S3954=""),AND(N(J3954)&gt;0,N(K3954)&lt;J3954),OR(M3954="PENDENTE",M3954="PARCIAL"),OR(N3954="PENDENTE",N3954="PARCIAL")),1,0))</f>
        <v/>
      </c>
      <c r="W3954" s="8">
        <f>IF(AND(V3954=1,D3954&lt;&gt;""),IF(D3954&gt;=corte,(B3954="CRÍTICO")*1E9+(100000-D3954)*10000+10000-ROW(),""),"")</f>
        <v/>
      </c>
      <c r="X3954" s="8">
        <f>IF(AND(V3954=1,D3954=pas_data,E3954=pas_turno),10000-ROW(),"")</f>
        <v/>
      </c>
    </row>
    <row r="3955">
      <c r="A3955" s="3">
        <f>IF(D3955="","","TT-"&amp;TEXT(ROW()-1,"00000"))</f>
        <v/>
      </c>
      <c r="B3955" s="3">
        <f>IF(D3955="","",IF(V3955=0,"CONCLUÍDO",IF(D3955&lt;corte,"HISTÓRICO",IF(OR(AND(ISNUMBER(R3955),R3955&lt;TODAY()),AND(OR(N3955="PENDENTE",N3955="PARCIAL"),D3955&lt;TODAY()-1)),"CRÍTICO",IF(OR(AND(P3955&lt;&gt;"",S3955=""),AND(N3955="REALIZADO",M3955="PENDENTE"),AND(ISNUMBER(R3955),R3955=TODAY())),"ATENÇÃO",IF(N(K3955)=0,"PENDENTE","EM ANDAMENTO"))))))</f>
        <v/>
      </c>
      <c r="C3955" s="3">
        <f>IF(D3955="","",IF(V3955=0,"🟢 OK",IF(D3955&lt;corte,"⚪ HISTÓRICO (sem baixa)",IF(AND(ISNUMBER(R3955),R3955&lt;TODAY()),"🔴 PRAZO VENCIDO",IF(AND(OR(N3955="PENDENTE",N3955="PARCIAL"),D3955&lt;TODAY()-1),"🔴 EMBARQUE ATRASADO",IF(AND(N3955="REALIZADO",M3955="PENDENTE"),"🟡 EMBARCADO SEM FATURAR",IF(AND(P3955&lt;&gt;"",S3955="",OR(Q3955="",R3955="")),"🟡 PENDÊNCIA SEM RESPONSÁVEL/PRAZO",IF(AND(ISNUMBER(R3955),R3955=TODAY()),"🟡 VENCE HOJE",IF(AND(P3955&lt;&gt;"",S3955=""),"🟡 PENDÊNCIA ABERTA",IF(AND(N(J3955)&gt;0,N(K3955)&lt;J3955),"🟡 FALTA EXECUTAR",IF(OR(M3955="PENDENTE",M3955="PARCIAL"),"🟡 FATURAMENTO PENDENTE","🟡 EMBARQUE PENDENTE")))))))))))</f>
        <v/>
      </c>
      <c r="D3955" s="4" t="n"/>
      <c r="E3955" s="5" t="n"/>
      <c r="F3955" s="5" t="n"/>
      <c r="G3955" s="5" t="n"/>
      <c r="H3955" s="5" t="n"/>
      <c r="I3955" s="5" t="n"/>
      <c r="J3955" s="6" t="n"/>
      <c r="K3955" s="6" t="n"/>
      <c r="L3955" s="7">
        <f>IF(OR(D3955="",N(J3955)=0),"",MIN(1,N(K3955)/J3955))</f>
        <v/>
      </c>
      <c r="M3955" s="5" t="n"/>
      <c r="N3955" s="5" t="n"/>
      <c r="O3955" s="5" t="n"/>
      <c r="P3955" s="5" t="n"/>
      <c r="Q3955" s="5" t="n"/>
      <c r="R3955" s="4" t="n"/>
      <c r="S3955" s="4" t="n"/>
      <c r="T3955" s="5" t="n"/>
      <c r="U3955" s="8">
        <f>IF(AND(V3955=1,D3955&lt;&gt;""),IF(D3955&gt;=corte,TODAY()-D3955,""),"")</f>
        <v/>
      </c>
      <c r="V3955" s="8">
        <f>IF(D3955="",0,IF(OR(AND(P3955&lt;&gt;"",S3955=""),AND(N(J3955)&gt;0,N(K3955)&lt;J3955),OR(M3955="PENDENTE",M3955="PARCIAL"),OR(N3955="PENDENTE",N3955="PARCIAL")),1,0))</f>
        <v/>
      </c>
      <c r="W3955" s="8">
        <f>IF(AND(V3955=1,D3955&lt;&gt;""),IF(D3955&gt;=corte,(B3955="CRÍTICO")*1E9+(100000-D3955)*10000+10000-ROW(),""),"")</f>
        <v/>
      </c>
      <c r="X3955" s="8">
        <f>IF(AND(V3955=1,D3955=pas_data,E3955=pas_turno),10000-ROW(),"")</f>
        <v/>
      </c>
    </row>
    <row r="3956">
      <c r="A3956" s="3">
        <f>IF(D3956="","","TT-"&amp;TEXT(ROW()-1,"00000"))</f>
        <v/>
      </c>
      <c r="B3956" s="3">
        <f>IF(D3956="","",IF(V3956=0,"CONCLUÍDO",IF(D3956&lt;corte,"HISTÓRICO",IF(OR(AND(ISNUMBER(R3956),R3956&lt;TODAY()),AND(OR(N3956="PENDENTE",N3956="PARCIAL"),D3956&lt;TODAY()-1)),"CRÍTICO",IF(OR(AND(P3956&lt;&gt;"",S3956=""),AND(N3956="REALIZADO",M3956="PENDENTE"),AND(ISNUMBER(R3956),R3956=TODAY())),"ATENÇÃO",IF(N(K3956)=0,"PENDENTE","EM ANDAMENTO"))))))</f>
        <v/>
      </c>
      <c r="C3956" s="3">
        <f>IF(D3956="","",IF(V3956=0,"🟢 OK",IF(D3956&lt;corte,"⚪ HISTÓRICO (sem baixa)",IF(AND(ISNUMBER(R3956),R3956&lt;TODAY()),"🔴 PRAZO VENCIDO",IF(AND(OR(N3956="PENDENTE",N3956="PARCIAL"),D3956&lt;TODAY()-1),"🔴 EMBARQUE ATRASADO",IF(AND(N3956="REALIZADO",M3956="PENDENTE"),"🟡 EMBARCADO SEM FATURAR",IF(AND(P3956&lt;&gt;"",S3956="",OR(Q3956="",R3956="")),"🟡 PENDÊNCIA SEM RESPONSÁVEL/PRAZO",IF(AND(ISNUMBER(R3956),R3956=TODAY()),"🟡 VENCE HOJE",IF(AND(P3956&lt;&gt;"",S3956=""),"🟡 PENDÊNCIA ABERTA",IF(AND(N(J3956)&gt;0,N(K3956)&lt;J3956),"🟡 FALTA EXECUTAR",IF(OR(M3956="PENDENTE",M3956="PARCIAL"),"🟡 FATURAMENTO PENDENTE","🟡 EMBARQUE PENDENTE")))))))))))</f>
        <v/>
      </c>
      <c r="D3956" s="4" t="n"/>
      <c r="E3956" s="5" t="n"/>
      <c r="F3956" s="5" t="n"/>
      <c r="G3956" s="5" t="n"/>
      <c r="H3956" s="5" t="n"/>
      <c r="I3956" s="5" t="n"/>
      <c r="J3956" s="6" t="n"/>
      <c r="K3956" s="6" t="n"/>
      <c r="L3956" s="7">
        <f>IF(OR(D3956="",N(J3956)=0),"",MIN(1,N(K3956)/J3956))</f>
        <v/>
      </c>
      <c r="M3956" s="5" t="n"/>
      <c r="N3956" s="5" t="n"/>
      <c r="O3956" s="5" t="n"/>
      <c r="P3956" s="5" t="n"/>
      <c r="Q3956" s="5" t="n"/>
      <c r="R3956" s="4" t="n"/>
      <c r="S3956" s="4" t="n"/>
      <c r="T3956" s="5" t="n"/>
      <c r="U3956" s="8">
        <f>IF(AND(V3956=1,D3956&lt;&gt;""),IF(D3956&gt;=corte,TODAY()-D3956,""),"")</f>
        <v/>
      </c>
      <c r="V3956" s="8">
        <f>IF(D3956="",0,IF(OR(AND(P3956&lt;&gt;"",S3956=""),AND(N(J3956)&gt;0,N(K3956)&lt;J3956),OR(M3956="PENDENTE",M3956="PARCIAL"),OR(N3956="PENDENTE",N3956="PARCIAL")),1,0))</f>
        <v/>
      </c>
      <c r="W3956" s="8">
        <f>IF(AND(V3956=1,D3956&lt;&gt;""),IF(D3956&gt;=corte,(B3956="CRÍTICO")*1E9+(100000-D3956)*10000+10000-ROW(),""),"")</f>
        <v/>
      </c>
      <c r="X3956" s="8">
        <f>IF(AND(V3956=1,D3956=pas_data,E3956=pas_turno),10000-ROW(),"")</f>
        <v/>
      </c>
    </row>
    <row r="3957">
      <c r="A3957" s="3">
        <f>IF(D3957="","","TT-"&amp;TEXT(ROW()-1,"00000"))</f>
        <v/>
      </c>
      <c r="B3957" s="3">
        <f>IF(D3957="","",IF(V3957=0,"CONCLUÍDO",IF(D3957&lt;corte,"HISTÓRICO",IF(OR(AND(ISNUMBER(R3957),R3957&lt;TODAY()),AND(OR(N3957="PENDENTE",N3957="PARCIAL"),D3957&lt;TODAY()-1)),"CRÍTICO",IF(OR(AND(P3957&lt;&gt;"",S3957=""),AND(N3957="REALIZADO",M3957="PENDENTE"),AND(ISNUMBER(R3957),R3957=TODAY())),"ATENÇÃO",IF(N(K3957)=0,"PENDENTE","EM ANDAMENTO"))))))</f>
        <v/>
      </c>
      <c r="C3957" s="3">
        <f>IF(D3957="","",IF(V3957=0,"🟢 OK",IF(D3957&lt;corte,"⚪ HISTÓRICO (sem baixa)",IF(AND(ISNUMBER(R3957),R3957&lt;TODAY()),"🔴 PRAZO VENCIDO",IF(AND(OR(N3957="PENDENTE",N3957="PARCIAL"),D3957&lt;TODAY()-1),"🔴 EMBARQUE ATRASADO",IF(AND(N3957="REALIZADO",M3957="PENDENTE"),"🟡 EMBARCADO SEM FATURAR",IF(AND(P3957&lt;&gt;"",S3957="",OR(Q3957="",R3957="")),"🟡 PENDÊNCIA SEM RESPONSÁVEL/PRAZO",IF(AND(ISNUMBER(R3957),R3957=TODAY()),"🟡 VENCE HOJE",IF(AND(P3957&lt;&gt;"",S3957=""),"🟡 PENDÊNCIA ABERTA",IF(AND(N(J3957)&gt;0,N(K3957)&lt;J3957),"🟡 FALTA EXECUTAR",IF(OR(M3957="PENDENTE",M3957="PARCIAL"),"🟡 FATURAMENTO PENDENTE","🟡 EMBARQUE PENDENTE")))))))))))</f>
        <v/>
      </c>
      <c r="D3957" s="4" t="n"/>
      <c r="E3957" s="5" t="n"/>
      <c r="F3957" s="5" t="n"/>
      <c r="G3957" s="5" t="n"/>
      <c r="H3957" s="5" t="n"/>
      <c r="I3957" s="5" t="n"/>
      <c r="J3957" s="6" t="n"/>
      <c r="K3957" s="6" t="n"/>
      <c r="L3957" s="7">
        <f>IF(OR(D3957="",N(J3957)=0),"",MIN(1,N(K3957)/J3957))</f>
        <v/>
      </c>
      <c r="M3957" s="5" t="n"/>
      <c r="N3957" s="5" t="n"/>
      <c r="O3957" s="5" t="n"/>
      <c r="P3957" s="5" t="n"/>
      <c r="Q3957" s="5" t="n"/>
      <c r="R3957" s="4" t="n"/>
      <c r="S3957" s="4" t="n"/>
      <c r="T3957" s="5" t="n"/>
      <c r="U3957" s="8">
        <f>IF(AND(V3957=1,D3957&lt;&gt;""),IF(D3957&gt;=corte,TODAY()-D3957,""),"")</f>
        <v/>
      </c>
      <c r="V3957" s="8">
        <f>IF(D3957="",0,IF(OR(AND(P3957&lt;&gt;"",S3957=""),AND(N(J3957)&gt;0,N(K3957)&lt;J3957),OR(M3957="PENDENTE",M3957="PARCIAL"),OR(N3957="PENDENTE",N3957="PARCIAL")),1,0))</f>
        <v/>
      </c>
      <c r="W3957" s="8">
        <f>IF(AND(V3957=1,D3957&lt;&gt;""),IF(D3957&gt;=corte,(B3957="CRÍTICO")*1E9+(100000-D3957)*10000+10000-ROW(),""),"")</f>
        <v/>
      </c>
      <c r="X3957" s="8">
        <f>IF(AND(V3957=1,D3957=pas_data,E3957=pas_turno),10000-ROW(),"")</f>
        <v/>
      </c>
    </row>
    <row r="3958">
      <c r="A3958" s="3">
        <f>IF(D3958="","","TT-"&amp;TEXT(ROW()-1,"00000"))</f>
        <v/>
      </c>
      <c r="B3958" s="3">
        <f>IF(D3958="","",IF(V3958=0,"CONCLUÍDO",IF(D3958&lt;corte,"HISTÓRICO",IF(OR(AND(ISNUMBER(R3958),R3958&lt;TODAY()),AND(OR(N3958="PENDENTE",N3958="PARCIAL"),D3958&lt;TODAY()-1)),"CRÍTICO",IF(OR(AND(P3958&lt;&gt;"",S3958=""),AND(N3958="REALIZADO",M3958="PENDENTE"),AND(ISNUMBER(R3958),R3958=TODAY())),"ATENÇÃO",IF(N(K3958)=0,"PENDENTE","EM ANDAMENTO"))))))</f>
        <v/>
      </c>
      <c r="C3958" s="3">
        <f>IF(D3958="","",IF(V3958=0,"🟢 OK",IF(D3958&lt;corte,"⚪ HISTÓRICO (sem baixa)",IF(AND(ISNUMBER(R3958),R3958&lt;TODAY()),"🔴 PRAZO VENCIDO",IF(AND(OR(N3958="PENDENTE",N3958="PARCIAL"),D3958&lt;TODAY()-1),"🔴 EMBARQUE ATRASADO",IF(AND(N3958="REALIZADO",M3958="PENDENTE"),"🟡 EMBARCADO SEM FATURAR",IF(AND(P3958&lt;&gt;"",S3958="",OR(Q3958="",R3958="")),"🟡 PENDÊNCIA SEM RESPONSÁVEL/PRAZO",IF(AND(ISNUMBER(R3958),R3958=TODAY()),"🟡 VENCE HOJE",IF(AND(P3958&lt;&gt;"",S3958=""),"🟡 PENDÊNCIA ABERTA",IF(AND(N(J3958)&gt;0,N(K3958)&lt;J3958),"🟡 FALTA EXECUTAR",IF(OR(M3958="PENDENTE",M3958="PARCIAL"),"🟡 FATURAMENTO PENDENTE","🟡 EMBARQUE PENDENTE")))))))))))</f>
        <v/>
      </c>
      <c r="D3958" s="4" t="n"/>
      <c r="E3958" s="5" t="n"/>
      <c r="F3958" s="5" t="n"/>
      <c r="G3958" s="5" t="n"/>
      <c r="H3958" s="5" t="n"/>
      <c r="I3958" s="5" t="n"/>
      <c r="J3958" s="6" t="n"/>
      <c r="K3958" s="6" t="n"/>
      <c r="L3958" s="7">
        <f>IF(OR(D3958="",N(J3958)=0),"",MIN(1,N(K3958)/J3958))</f>
        <v/>
      </c>
      <c r="M3958" s="5" t="n"/>
      <c r="N3958" s="5" t="n"/>
      <c r="O3958" s="5" t="n"/>
      <c r="P3958" s="5" t="n"/>
      <c r="Q3958" s="5" t="n"/>
      <c r="R3958" s="4" t="n"/>
      <c r="S3958" s="4" t="n"/>
      <c r="T3958" s="5" t="n"/>
      <c r="U3958" s="8">
        <f>IF(AND(V3958=1,D3958&lt;&gt;""),IF(D3958&gt;=corte,TODAY()-D3958,""),"")</f>
        <v/>
      </c>
      <c r="V3958" s="8">
        <f>IF(D3958="",0,IF(OR(AND(P3958&lt;&gt;"",S3958=""),AND(N(J3958)&gt;0,N(K3958)&lt;J3958),OR(M3958="PENDENTE",M3958="PARCIAL"),OR(N3958="PENDENTE",N3958="PARCIAL")),1,0))</f>
        <v/>
      </c>
      <c r="W3958" s="8">
        <f>IF(AND(V3958=1,D3958&lt;&gt;""),IF(D3958&gt;=corte,(B3958="CRÍTICO")*1E9+(100000-D3958)*10000+10000-ROW(),""),"")</f>
        <v/>
      </c>
      <c r="X3958" s="8">
        <f>IF(AND(V3958=1,D3958=pas_data,E3958=pas_turno),10000-ROW(),"")</f>
        <v/>
      </c>
    </row>
    <row r="3959">
      <c r="A3959" s="3">
        <f>IF(D3959="","","TT-"&amp;TEXT(ROW()-1,"00000"))</f>
        <v/>
      </c>
      <c r="B3959" s="3">
        <f>IF(D3959="","",IF(V3959=0,"CONCLUÍDO",IF(D3959&lt;corte,"HISTÓRICO",IF(OR(AND(ISNUMBER(R3959),R3959&lt;TODAY()),AND(OR(N3959="PENDENTE",N3959="PARCIAL"),D3959&lt;TODAY()-1)),"CRÍTICO",IF(OR(AND(P3959&lt;&gt;"",S3959=""),AND(N3959="REALIZADO",M3959="PENDENTE"),AND(ISNUMBER(R3959),R3959=TODAY())),"ATENÇÃO",IF(N(K3959)=0,"PENDENTE","EM ANDAMENTO"))))))</f>
        <v/>
      </c>
      <c r="C3959" s="3">
        <f>IF(D3959="","",IF(V3959=0,"🟢 OK",IF(D3959&lt;corte,"⚪ HISTÓRICO (sem baixa)",IF(AND(ISNUMBER(R3959),R3959&lt;TODAY()),"🔴 PRAZO VENCIDO",IF(AND(OR(N3959="PENDENTE",N3959="PARCIAL"),D3959&lt;TODAY()-1),"🔴 EMBARQUE ATRASADO",IF(AND(N3959="REALIZADO",M3959="PENDENTE"),"🟡 EMBARCADO SEM FATURAR",IF(AND(P3959&lt;&gt;"",S3959="",OR(Q3959="",R3959="")),"🟡 PENDÊNCIA SEM RESPONSÁVEL/PRAZO",IF(AND(ISNUMBER(R3959),R3959=TODAY()),"🟡 VENCE HOJE",IF(AND(P3959&lt;&gt;"",S3959=""),"🟡 PENDÊNCIA ABERTA",IF(AND(N(J3959)&gt;0,N(K3959)&lt;J3959),"🟡 FALTA EXECUTAR",IF(OR(M3959="PENDENTE",M3959="PARCIAL"),"🟡 FATURAMENTO PENDENTE","🟡 EMBARQUE PENDENTE")))))))))))</f>
        <v/>
      </c>
      <c r="D3959" s="4" t="n"/>
      <c r="E3959" s="5" t="n"/>
      <c r="F3959" s="5" t="n"/>
      <c r="G3959" s="5" t="n"/>
      <c r="H3959" s="5" t="n"/>
      <c r="I3959" s="5" t="n"/>
      <c r="J3959" s="6" t="n"/>
      <c r="K3959" s="6" t="n"/>
      <c r="L3959" s="7">
        <f>IF(OR(D3959="",N(J3959)=0),"",MIN(1,N(K3959)/J3959))</f>
        <v/>
      </c>
      <c r="M3959" s="5" t="n"/>
      <c r="N3959" s="5" t="n"/>
      <c r="O3959" s="5" t="n"/>
      <c r="P3959" s="5" t="n"/>
      <c r="Q3959" s="5" t="n"/>
      <c r="R3959" s="4" t="n"/>
      <c r="S3959" s="4" t="n"/>
      <c r="T3959" s="5" t="n"/>
      <c r="U3959" s="8">
        <f>IF(AND(V3959=1,D3959&lt;&gt;""),IF(D3959&gt;=corte,TODAY()-D3959,""),"")</f>
        <v/>
      </c>
      <c r="V3959" s="8">
        <f>IF(D3959="",0,IF(OR(AND(P3959&lt;&gt;"",S3959=""),AND(N(J3959)&gt;0,N(K3959)&lt;J3959),OR(M3959="PENDENTE",M3959="PARCIAL"),OR(N3959="PENDENTE",N3959="PARCIAL")),1,0))</f>
        <v/>
      </c>
      <c r="W3959" s="8">
        <f>IF(AND(V3959=1,D3959&lt;&gt;""),IF(D3959&gt;=corte,(B3959="CRÍTICO")*1E9+(100000-D3959)*10000+10000-ROW(),""),"")</f>
        <v/>
      </c>
      <c r="X3959" s="8">
        <f>IF(AND(V3959=1,D3959=pas_data,E3959=pas_turno),10000-ROW(),"")</f>
        <v/>
      </c>
    </row>
    <row r="3960">
      <c r="A3960" s="3">
        <f>IF(D3960="","","TT-"&amp;TEXT(ROW()-1,"00000"))</f>
        <v/>
      </c>
      <c r="B3960" s="3">
        <f>IF(D3960="","",IF(V3960=0,"CONCLUÍDO",IF(D3960&lt;corte,"HISTÓRICO",IF(OR(AND(ISNUMBER(R3960),R3960&lt;TODAY()),AND(OR(N3960="PENDENTE",N3960="PARCIAL"),D3960&lt;TODAY()-1)),"CRÍTICO",IF(OR(AND(P3960&lt;&gt;"",S3960=""),AND(N3960="REALIZADO",M3960="PENDENTE"),AND(ISNUMBER(R3960),R3960=TODAY())),"ATENÇÃO",IF(N(K3960)=0,"PENDENTE","EM ANDAMENTO"))))))</f>
        <v/>
      </c>
      <c r="C3960" s="3">
        <f>IF(D3960="","",IF(V3960=0,"🟢 OK",IF(D3960&lt;corte,"⚪ HISTÓRICO (sem baixa)",IF(AND(ISNUMBER(R3960),R3960&lt;TODAY()),"🔴 PRAZO VENCIDO",IF(AND(OR(N3960="PENDENTE",N3960="PARCIAL"),D3960&lt;TODAY()-1),"🔴 EMBARQUE ATRASADO",IF(AND(N3960="REALIZADO",M3960="PENDENTE"),"🟡 EMBARCADO SEM FATURAR",IF(AND(P3960&lt;&gt;"",S3960="",OR(Q3960="",R3960="")),"🟡 PENDÊNCIA SEM RESPONSÁVEL/PRAZO",IF(AND(ISNUMBER(R3960),R3960=TODAY()),"🟡 VENCE HOJE",IF(AND(P3960&lt;&gt;"",S3960=""),"🟡 PENDÊNCIA ABERTA",IF(AND(N(J3960)&gt;0,N(K3960)&lt;J3960),"🟡 FALTA EXECUTAR",IF(OR(M3960="PENDENTE",M3960="PARCIAL"),"🟡 FATURAMENTO PENDENTE","🟡 EMBARQUE PENDENTE")))))))))))</f>
        <v/>
      </c>
      <c r="D3960" s="4" t="n"/>
      <c r="E3960" s="5" t="n"/>
      <c r="F3960" s="5" t="n"/>
      <c r="G3960" s="5" t="n"/>
      <c r="H3960" s="5" t="n"/>
      <c r="I3960" s="5" t="n"/>
      <c r="J3960" s="6" t="n"/>
      <c r="K3960" s="6" t="n"/>
      <c r="L3960" s="7">
        <f>IF(OR(D3960="",N(J3960)=0),"",MIN(1,N(K3960)/J3960))</f>
        <v/>
      </c>
      <c r="M3960" s="5" t="n"/>
      <c r="N3960" s="5" t="n"/>
      <c r="O3960" s="5" t="n"/>
      <c r="P3960" s="5" t="n"/>
      <c r="Q3960" s="5" t="n"/>
      <c r="R3960" s="4" t="n"/>
      <c r="S3960" s="4" t="n"/>
      <c r="T3960" s="5" t="n"/>
      <c r="U3960" s="8">
        <f>IF(AND(V3960=1,D3960&lt;&gt;""),IF(D3960&gt;=corte,TODAY()-D3960,""),"")</f>
        <v/>
      </c>
      <c r="V3960" s="8">
        <f>IF(D3960="",0,IF(OR(AND(P3960&lt;&gt;"",S3960=""),AND(N(J3960)&gt;0,N(K3960)&lt;J3960),OR(M3960="PENDENTE",M3960="PARCIAL"),OR(N3960="PENDENTE",N3960="PARCIAL")),1,0))</f>
        <v/>
      </c>
      <c r="W3960" s="8">
        <f>IF(AND(V3960=1,D3960&lt;&gt;""),IF(D3960&gt;=corte,(B3960="CRÍTICO")*1E9+(100000-D3960)*10000+10000-ROW(),""),"")</f>
        <v/>
      </c>
      <c r="X3960" s="8">
        <f>IF(AND(V3960=1,D3960=pas_data,E3960=pas_turno),10000-ROW(),"")</f>
        <v/>
      </c>
    </row>
    <row r="3961">
      <c r="A3961" s="3">
        <f>IF(D3961="","","TT-"&amp;TEXT(ROW()-1,"00000"))</f>
        <v/>
      </c>
      <c r="B3961" s="3">
        <f>IF(D3961="","",IF(V3961=0,"CONCLUÍDO",IF(D3961&lt;corte,"HISTÓRICO",IF(OR(AND(ISNUMBER(R3961),R3961&lt;TODAY()),AND(OR(N3961="PENDENTE",N3961="PARCIAL"),D3961&lt;TODAY()-1)),"CRÍTICO",IF(OR(AND(P3961&lt;&gt;"",S3961=""),AND(N3961="REALIZADO",M3961="PENDENTE"),AND(ISNUMBER(R3961),R3961=TODAY())),"ATENÇÃO",IF(N(K3961)=0,"PENDENTE","EM ANDAMENTO"))))))</f>
        <v/>
      </c>
      <c r="C3961" s="3">
        <f>IF(D3961="","",IF(V3961=0,"🟢 OK",IF(D3961&lt;corte,"⚪ HISTÓRICO (sem baixa)",IF(AND(ISNUMBER(R3961),R3961&lt;TODAY()),"🔴 PRAZO VENCIDO",IF(AND(OR(N3961="PENDENTE",N3961="PARCIAL"),D3961&lt;TODAY()-1),"🔴 EMBARQUE ATRASADO",IF(AND(N3961="REALIZADO",M3961="PENDENTE"),"🟡 EMBARCADO SEM FATURAR",IF(AND(P3961&lt;&gt;"",S3961="",OR(Q3961="",R3961="")),"🟡 PENDÊNCIA SEM RESPONSÁVEL/PRAZO",IF(AND(ISNUMBER(R3961),R3961=TODAY()),"🟡 VENCE HOJE",IF(AND(P3961&lt;&gt;"",S3961=""),"🟡 PENDÊNCIA ABERTA",IF(AND(N(J3961)&gt;0,N(K3961)&lt;J3961),"🟡 FALTA EXECUTAR",IF(OR(M3961="PENDENTE",M3961="PARCIAL"),"🟡 FATURAMENTO PENDENTE","🟡 EMBARQUE PENDENTE")))))))))))</f>
        <v/>
      </c>
      <c r="D3961" s="4" t="n"/>
      <c r="E3961" s="5" t="n"/>
      <c r="F3961" s="5" t="n"/>
      <c r="G3961" s="5" t="n"/>
      <c r="H3961" s="5" t="n"/>
      <c r="I3961" s="5" t="n"/>
      <c r="J3961" s="6" t="n"/>
      <c r="K3961" s="6" t="n"/>
      <c r="L3961" s="7">
        <f>IF(OR(D3961="",N(J3961)=0),"",MIN(1,N(K3961)/J3961))</f>
        <v/>
      </c>
      <c r="M3961" s="5" t="n"/>
      <c r="N3961" s="5" t="n"/>
      <c r="O3961" s="5" t="n"/>
      <c r="P3961" s="5" t="n"/>
      <c r="Q3961" s="5" t="n"/>
      <c r="R3961" s="4" t="n"/>
      <c r="S3961" s="4" t="n"/>
      <c r="T3961" s="5" t="n"/>
      <c r="U3961" s="8">
        <f>IF(AND(V3961=1,D3961&lt;&gt;""),IF(D3961&gt;=corte,TODAY()-D3961,""),"")</f>
        <v/>
      </c>
      <c r="V3961" s="8">
        <f>IF(D3961="",0,IF(OR(AND(P3961&lt;&gt;"",S3961=""),AND(N(J3961)&gt;0,N(K3961)&lt;J3961),OR(M3961="PENDENTE",M3961="PARCIAL"),OR(N3961="PENDENTE",N3961="PARCIAL")),1,0))</f>
        <v/>
      </c>
      <c r="W3961" s="8">
        <f>IF(AND(V3961=1,D3961&lt;&gt;""),IF(D3961&gt;=corte,(B3961="CRÍTICO")*1E9+(100000-D3961)*10000+10000-ROW(),""),"")</f>
        <v/>
      </c>
      <c r="X3961" s="8">
        <f>IF(AND(V3961=1,D3961=pas_data,E3961=pas_turno),10000-ROW(),"")</f>
        <v/>
      </c>
    </row>
    <row r="3962">
      <c r="A3962" s="3">
        <f>IF(D3962="","","TT-"&amp;TEXT(ROW()-1,"00000"))</f>
        <v/>
      </c>
      <c r="B3962" s="3">
        <f>IF(D3962="","",IF(V3962=0,"CONCLUÍDO",IF(D3962&lt;corte,"HISTÓRICO",IF(OR(AND(ISNUMBER(R3962),R3962&lt;TODAY()),AND(OR(N3962="PENDENTE",N3962="PARCIAL"),D3962&lt;TODAY()-1)),"CRÍTICO",IF(OR(AND(P3962&lt;&gt;"",S3962=""),AND(N3962="REALIZADO",M3962="PENDENTE"),AND(ISNUMBER(R3962),R3962=TODAY())),"ATENÇÃO",IF(N(K3962)=0,"PENDENTE","EM ANDAMENTO"))))))</f>
        <v/>
      </c>
      <c r="C3962" s="3">
        <f>IF(D3962="","",IF(V3962=0,"🟢 OK",IF(D3962&lt;corte,"⚪ HISTÓRICO (sem baixa)",IF(AND(ISNUMBER(R3962),R3962&lt;TODAY()),"🔴 PRAZO VENCIDO",IF(AND(OR(N3962="PENDENTE",N3962="PARCIAL"),D3962&lt;TODAY()-1),"🔴 EMBARQUE ATRASADO",IF(AND(N3962="REALIZADO",M3962="PENDENTE"),"🟡 EMBARCADO SEM FATURAR",IF(AND(P3962&lt;&gt;"",S3962="",OR(Q3962="",R3962="")),"🟡 PENDÊNCIA SEM RESPONSÁVEL/PRAZO",IF(AND(ISNUMBER(R3962),R3962=TODAY()),"🟡 VENCE HOJE",IF(AND(P3962&lt;&gt;"",S3962=""),"🟡 PENDÊNCIA ABERTA",IF(AND(N(J3962)&gt;0,N(K3962)&lt;J3962),"🟡 FALTA EXECUTAR",IF(OR(M3962="PENDENTE",M3962="PARCIAL"),"🟡 FATURAMENTO PENDENTE","🟡 EMBARQUE PENDENTE")))))))))))</f>
        <v/>
      </c>
      <c r="D3962" s="4" t="n"/>
      <c r="E3962" s="5" t="n"/>
      <c r="F3962" s="5" t="n"/>
      <c r="G3962" s="5" t="n"/>
      <c r="H3962" s="5" t="n"/>
      <c r="I3962" s="5" t="n"/>
      <c r="J3962" s="6" t="n"/>
      <c r="K3962" s="6" t="n"/>
      <c r="L3962" s="7">
        <f>IF(OR(D3962="",N(J3962)=0),"",MIN(1,N(K3962)/J3962))</f>
        <v/>
      </c>
      <c r="M3962" s="5" t="n"/>
      <c r="N3962" s="5" t="n"/>
      <c r="O3962" s="5" t="n"/>
      <c r="P3962" s="5" t="n"/>
      <c r="Q3962" s="5" t="n"/>
      <c r="R3962" s="4" t="n"/>
      <c r="S3962" s="4" t="n"/>
      <c r="T3962" s="5" t="n"/>
      <c r="U3962" s="8">
        <f>IF(AND(V3962=1,D3962&lt;&gt;""),IF(D3962&gt;=corte,TODAY()-D3962,""),"")</f>
        <v/>
      </c>
      <c r="V3962" s="8">
        <f>IF(D3962="",0,IF(OR(AND(P3962&lt;&gt;"",S3962=""),AND(N(J3962)&gt;0,N(K3962)&lt;J3962),OR(M3962="PENDENTE",M3962="PARCIAL"),OR(N3962="PENDENTE",N3962="PARCIAL")),1,0))</f>
        <v/>
      </c>
      <c r="W3962" s="8">
        <f>IF(AND(V3962=1,D3962&lt;&gt;""),IF(D3962&gt;=corte,(B3962="CRÍTICO")*1E9+(100000-D3962)*10000+10000-ROW(),""),"")</f>
        <v/>
      </c>
      <c r="X3962" s="8">
        <f>IF(AND(V3962=1,D3962=pas_data,E3962=pas_turno),10000-ROW(),"")</f>
        <v/>
      </c>
    </row>
    <row r="3963">
      <c r="A3963" s="3">
        <f>IF(D3963="","","TT-"&amp;TEXT(ROW()-1,"00000"))</f>
        <v/>
      </c>
      <c r="B3963" s="3">
        <f>IF(D3963="","",IF(V3963=0,"CONCLUÍDO",IF(D3963&lt;corte,"HISTÓRICO",IF(OR(AND(ISNUMBER(R3963),R3963&lt;TODAY()),AND(OR(N3963="PENDENTE",N3963="PARCIAL"),D3963&lt;TODAY()-1)),"CRÍTICO",IF(OR(AND(P3963&lt;&gt;"",S3963=""),AND(N3963="REALIZADO",M3963="PENDENTE"),AND(ISNUMBER(R3963),R3963=TODAY())),"ATENÇÃO",IF(N(K3963)=0,"PENDENTE","EM ANDAMENTO"))))))</f>
        <v/>
      </c>
      <c r="C3963" s="3">
        <f>IF(D3963="","",IF(V3963=0,"🟢 OK",IF(D3963&lt;corte,"⚪ HISTÓRICO (sem baixa)",IF(AND(ISNUMBER(R3963),R3963&lt;TODAY()),"🔴 PRAZO VENCIDO",IF(AND(OR(N3963="PENDENTE",N3963="PARCIAL"),D3963&lt;TODAY()-1),"🔴 EMBARQUE ATRASADO",IF(AND(N3963="REALIZADO",M3963="PENDENTE"),"🟡 EMBARCADO SEM FATURAR",IF(AND(P3963&lt;&gt;"",S3963="",OR(Q3963="",R3963="")),"🟡 PENDÊNCIA SEM RESPONSÁVEL/PRAZO",IF(AND(ISNUMBER(R3963),R3963=TODAY()),"🟡 VENCE HOJE",IF(AND(P3963&lt;&gt;"",S3963=""),"🟡 PENDÊNCIA ABERTA",IF(AND(N(J3963)&gt;0,N(K3963)&lt;J3963),"🟡 FALTA EXECUTAR",IF(OR(M3963="PENDENTE",M3963="PARCIAL"),"🟡 FATURAMENTO PENDENTE","🟡 EMBARQUE PENDENTE")))))))))))</f>
        <v/>
      </c>
      <c r="D3963" s="4" t="n"/>
      <c r="E3963" s="5" t="n"/>
      <c r="F3963" s="5" t="n"/>
      <c r="G3963" s="5" t="n"/>
      <c r="H3963" s="5" t="n"/>
      <c r="I3963" s="5" t="n"/>
      <c r="J3963" s="6" t="n"/>
      <c r="K3963" s="6" t="n"/>
      <c r="L3963" s="7">
        <f>IF(OR(D3963="",N(J3963)=0),"",MIN(1,N(K3963)/J3963))</f>
        <v/>
      </c>
      <c r="M3963" s="5" t="n"/>
      <c r="N3963" s="5" t="n"/>
      <c r="O3963" s="5" t="n"/>
      <c r="P3963" s="5" t="n"/>
      <c r="Q3963" s="5" t="n"/>
      <c r="R3963" s="4" t="n"/>
      <c r="S3963" s="4" t="n"/>
      <c r="T3963" s="5" t="n"/>
      <c r="U3963" s="8">
        <f>IF(AND(V3963=1,D3963&lt;&gt;""),IF(D3963&gt;=corte,TODAY()-D3963,""),"")</f>
        <v/>
      </c>
      <c r="V3963" s="8">
        <f>IF(D3963="",0,IF(OR(AND(P3963&lt;&gt;"",S3963=""),AND(N(J3963)&gt;0,N(K3963)&lt;J3963),OR(M3963="PENDENTE",M3963="PARCIAL"),OR(N3963="PENDENTE",N3963="PARCIAL")),1,0))</f>
        <v/>
      </c>
      <c r="W3963" s="8">
        <f>IF(AND(V3963=1,D3963&lt;&gt;""),IF(D3963&gt;=corte,(B3963="CRÍTICO")*1E9+(100000-D3963)*10000+10000-ROW(),""),"")</f>
        <v/>
      </c>
      <c r="X3963" s="8">
        <f>IF(AND(V3963=1,D3963=pas_data,E3963=pas_turno),10000-ROW(),"")</f>
        <v/>
      </c>
    </row>
    <row r="3964">
      <c r="A3964" s="3">
        <f>IF(D3964="","","TT-"&amp;TEXT(ROW()-1,"00000"))</f>
        <v/>
      </c>
      <c r="B3964" s="3">
        <f>IF(D3964="","",IF(V3964=0,"CONCLUÍDO",IF(D3964&lt;corte,"HISTÓRICO",IF(OR(AND(ISNUMBER(R3964),R3964&lt;TODAY()),AND(OR(N3964="PENDENTE",N3964="PARCIAL"),D3964&lt;TODAY()-1)),"CRÍTICO",IF(OR(AND(P3964&lt;&gt;"",S3964=""),AND(N3964="REALIZADO",M3964="PENDENTE"),AND(ISNUMBER(R3964),R3964=TODAY())),"ATENÇÃO",IF(N(K3964)=0,"PENDENTE","EM ANDAMENTO"))))))</f>
        <v/>
      </c>
      <c r="C3964" s="3">
        <f>IF(D3964="","",IF(V3964=0,"🟢 OK",IF(D3964&lt;corte,"⚪ HISTÓRICO (sem baixa)",IF(AND(ISNUMBER(R3964),R3964&lt;TODAY()),"🔴 PRAZO VENCIDO",IF(AND(OR(N3964="PENDENTE",N3964="PARCIAL"),D3964&lt;TODAY()-1),"🔴 EMBARQUE ATRASADO",IF(AND(N3964="REALIZADO",M3964="PENDENTE"),"🟡 EMBARCADO SEM FATURAR",IF(AND(P3964&lt;&gt;"",S3964="",OR(Q3964="",R3964="")),"🟡 PENDÊNCIA SEM RESPONSÁVEL/PRAZO",IF(AND(ISNUMBER(R3964),R3964=TODAY()),"🟡 VENCE HOJE",IF(AND(P3964&lt;&gt;"",S3964=""),"🟡 PENDÊNCIA ABERTA",IF(AND(N(J3964)&gt;0,N(K3964)&lt;J3964),"🟡 FALTA EXECUTAR",IF(OR(M3964="PENDENTE",M3964="PARCIAL"),"🟡 FATURAMENTO PENDENTE","🟡 EMBARQUE PENDENTE")))))))))))</f>
        <v/>
      </c>
      <c r="D3964" s="4" t="n"/>
      <c r="E3964" s="5" t="n"/>
      <c r="F3964" s="5" t="n"/>
      <c r="G3964" s="5" t="n"/>
      <c r="H3964" s="5" t="n"/>
      <c r="I3964" s="5" t="n"/>
      <c r="J3964" s="6" t="n"/>
      <c r="K3964" s="6" t="n"/>
      <c r="L3964" s="7">
        <f>IF(OR(D3964="",N(J3964)=0),"",MIN(1,N(K3964)/J3964))</f>
        <v/>
      </c>
      <c r="M3964" s="5" t="n"/>
      <c r="N3964" s="5" t="n"/>
      <c r="O3964" s="5" t="n"/>
      <c r="P3964" s="5" t="n"/>
      <c r="Q3964" s="5" t="n"/>
      <c r="R3964" s="4" t="n"/>
      <c r="S3964" s="4" t="n"/>
      <c r="T3964" s="5" t="n"/>
      <c r="U3964" s="8">
        <f>IF(AND(V3964=1,D3964&lt;&gt;""),IF(D3964&gt;=corte,TODAY()-D3964,""),"")</f>
        <v/>
      </c>
      <c r="V3964" s="8">
        <f>IF(D3964="",0,IF(OR(AND(P3964&lt;&gt;"",S3964=""),AND(N(J3964)&gt;0,N(K3964)&lt;J3964),OR(M3964="PENDENTE",M3964="PARCIAL"),OR(N3964="PENDENTE",N3964="PARCIAL")),1,0))</f>
        <v/>
      </c>
      <c r="W3964" s="8">
        <f>IF(AND(V3964=1,D3964&lt;&gt;""),IF(D3964&gt;=corte,(B3964="CRÍTICO")*1E9+(100000-D3964)*10000+10000-ROW(),""),"")</f>
        <v/>
      </c>
      <c r="X3964" s="8">
        <f>IF(AND(V3964=1,D3964=pas_data,E3964=pas_turno),10000-ROW(),"")</f>
        <v/>
      </c>
    </row>
    <row r="3965">
      <c r="A3965" s="3">
        <f>IF(D3965="","","TT-"&amp;TEXT(ROW()-1,"00000"))</f>
        <v/>
      </c>
      <c r="B3965" s="3">
        <f>IF(D3965="","",IF(V3965=0,"CONCLUÍDO",IF(D3965&lt;corte,"HISTÓRICO",IF(OR(AND(ISNUMBER(R3965),R3965&lt;TODAY()),AND(OR(N3965="PENDENTE",N3965="PARCIAL"),D3965&lt;TODAY()-1)),"CRÍTICO",IF(OR(AND(P3965&lt;&gt;"",S3965=""),AND(N3965="REALIZADO",M3965="PENDENTE"),AND(ISNUMBER(R3965),R3965=TODAY())),"ATENÇÃO",IF(N(K3965)=0,"PENDENTE","EM ANDAMENTO"))))))</f>
        <v/>
      </c>
      <c r="C3965" s="3">
        <f>IF(D3965="","",IF(V3965=0,"🟢 OK",IF(D3965&lt;corte,"⚪ HISTÓRICO (sem baixa)",IF(AND(ISNUMBER(R3965),R3965&lt;TODAY()),"🔴 PRAZO VENCIDO",IF(AND(OR(N3965="PENDENTE",N3965="PARCIAL"),D3965&lt;TODAY()-1),"🔴 EMBARQUE ATRASADO",IF(AND(N3965="REALIZADO",M3965="PENDENTE"),"🟡 EMBARCADO SEM FATURAR",IF(AND(P3965&lt;&gt;"",S3965="",OR(Q3965="",R3965="")),"🟡 PENDÊNCIA SEM RESPONSÁVEL/PRAZO",IF(AND(ISNUMBER(R3965),R3965=TODAY()),"🟡 VENCE HOJE",IF(AND(P3965&lt;&gt;"",S3965=""),"🟡 PENDÊNCIA ABERTA",IF(AND(N(J3965)&gt;0,N(K3965)&lt;J3965),"🟡 FALTA EXECUTAR",IF(OR(M3965="PENDENTE",M3965="PARCIAL"),"🟡 FATURAMENTO PENDENTE","🟡 EMBARQUE PENDENTE")))))))))))</f>
        <v/>
      </c>
      <c r="D3965" s="4" t="n"/>
      <c r="E3965" s="5" t="n"/>
      <c r="F3965" s="5" t="n"/>
      <c r="G3965" s="5" t="n"/>
      <c r="H3965" s="5" t="n"/>
      <c r="I3965" s="5" t="n"/>
      <c r="J3965" s="6" t="n"/>
      <c r="K3965" s="6" t="n"/>
      <c r="L3965" s="7">
        <f>IF(OR(D3965="",N(J3965)=0),"",MIN(1,N(K3965)/J3965))</f>
        <v/>
      </c>
      <c r="M3965" s="5" t="n"/>
      <c r="N3965" s="5" t="n"/>
      <c r="O3965" s="5" t="n"/>
      <c r="P3965" s="5" t="n"/>
      <c r="Q3965" s="5" t="n"/>
      <c r="R3965" s="4" t="n"/>
      <c r="S3965" s="4" t="n"/>
      <c r="T3965" s="5" t="n"/>
      <c r="U3965" s="8">
        <f>IF(AND(V3965=1,D3965&lt;&gt;""),IF(D3965&gt;=corte,TODAY()-D3965,""),"")</f>
        <v/>
      </c>
      <c r="V3965" s="8">
        <f>IF(D3965="",0,IF(OR(AND(P3965&lt;&gt;"",S3965=""),AND(N(J3965)&gt;0,N(K3965)&lt;J3965),OR(M3965="PENDENTE",M3965="PARCIAL"),OR(N3965="PENDENTE",N3965="PARCIAL")),1,0))</f>
        <v/>
      </c>
      <c r="W3965" s="8">
        <f>IF(AND(V3965=1,D3965&lt;&gt;""),IF(D3965&gt;=corte,(B3965="CRÍTICO")*1E9+(100000-D3965)*10000+10000-ROW(),""),"")</f>
        <v/>
      </c>
      <c r="X3965" s="8">
        <f>IF(AND(V3965=1,D3965=pas_data,E3965=pas_turno),10000-ROW(),"")</f>
        <v/>
      </c>
    </row>
    <row r="3966">
      <c r="A3966" s="3">
        <f>IF(D3966="","","TT-"&amp;TEXT(ROW()-1,"00000"))</f>
        <v/>
      </c>
      <c r="B3966" s="3">
        <f>IF(D3966="","",IF(V3966=0,"CONCLUÍDO",IF(D3966&lt;corte,"HISTÓRICO",IF(OR(AND(ISNUMBER(R3966),R3966&lt;TODAY()),AND(OR(N3966="PENDENTE",N3966="PARCIAL"),D3966&lt;TODAY()-1)),"CRÍTICO",IF(OR(AND(P3966&lt;&gt;"",S3966=""),AND(N3966="REALIZADO",M3966="PENDENTE"),AND(ISNUMBER(R3966),R3966=TODAY())),"ATENÇÃO",IF(N(K3966)=0,"PENDENTE","EM ANDAMENTO"))))))</f>
        <v/>
      </c>
      <c r="C3966" s="3">
        <f>IF(D3966="","",IF(V3966=0,"🟢 OK",IF(D3966&lt;corte,"⚪ HISTÓRICO (sem baixa)",IF(AND(ISNUMBER(R3966),R3966&lt;TODAY()),"🔴 PRAZO VENCIDO",IF(AND(OR(N3966="PENDENTE",N3966="PARCIAL"),D3966&lt;TODAY()-1),"🔴 EMBARQUE ATRASADO",IF(AND(N3966="REALIZADO",M3966="PENDENTE"),"🟡 EMBARCADO SEM FATURAR",IF(AND(P3966&lt;&gt;"",S3966="",OR(Q3966="",R3966="")),"🟡 PENDÊNCIA SEM RESPONSÁVEL/PRAZO",IF(AND(ISNUMBER(R3966),R3966=TODAY()),"🟡 VENCE HOJE",IF(AND(P3966&lt;&gt;"",S3966=""),"🟡 PENDÊNCIA ABERTA",IF(AND(N(J3966)&gt;0,N(K3966)&lt;J3966),"🟡 FALTA EXECUTAR",IF(OR(M3966="PENDENTE",M3966="PARCIAL"),"🟡 FATURAMENTO PENDENTE","🟡 EMBARQUE PENDENTE")))))))))))</f>
        <v/>
      </c>
      <c r="D3966" s="4" t="n"/>
      <c r="E3966" s="5" t="n"/>
      <c r="F3966" s="5" t="n"/>
      <c r="G3966" s="5" t="n"/>
      <c r="H3966" s="5" t="n"/>
      <c r="I3966" s="5" t="n"/>
      <c r="J3966" s="6" t="n"/>
      <c r="K3966" s="6" t="n"/>
      <c r="L3966" s="7">
        <f>IF(OR(D3966="",N(J3966)=0),"",MIN(1,N(K3966)/J3966))</f>
        <v/>
      </c>
      <c r="M3966" s="5" t="n"/>
      <c r="N3966" s="5" t="n"/>
      <c r="O3966" s="5" t="n"/>
      <c r="P3966" s="5" t="n"/>
      <c r="Q3966" s="5" t="n"/>
      <c r="R3966" s="4" t="n"/>
      <c r="S3966" s="4" t="n"/>
      <c r="T3966" s="5" t="n"/>
      <c r="U3966" s="8">
        <f>IF(AND(V3966=1,D3966&lt;&gt;""),IF(D3966&gt;=corte,TODAY()-D3966,""),"")</f>
        <v/>
      </c>
      <c r="V3966" s="8">
        <f>IF(D3966="",0,IF(OR(AND(P3966&lt;&gt;"",S3966=""),AND(N(J3966)&gt;0,N(K3966)&lt;J3966),OR(M3966="PENDENTE",M3966="PARCIAL"),OR(N3966="PENDENTE",N3966="PARCIAL")),1,0))</f>
        <v/>
      </c>
      <c r="W3966" s="8">
        <f>IF(AND(V3966=1,D3966&lt;&gt;""),IF(D3966&gt;=corte,(B3966="CRÍTICO")*1E9+(100000-D3966)*10000+10000-ROW(),""),"")</f>
        <v/>
      </c>
      <c r="X3966" s="8">
        <f>IF(AND(V3966=1,D3966=pas_data,E3966=pas_turno),10000-ROW(),"")</f>
        <v/>
      </c>
    </row>
    <row r="3967">
      <c r="A3967" s="3">
        <f>IF(D3967="","","TT-"&amp;TEXT(ROW()-1,"00000"))</f>
        <v/>
      </c>
      <c r="B3967" s="3">
        <f>IF(D3967="","",IF(V3967=0,"CONCLUÍDO",IF(D3967&lt;corte,"HISTÓRICO",IF(OR(AND(ISNUMBER(R3967),R3967&lt;TODAY()),AND(OR(N3967="PENDENTE",N3967="PARCIAL"),D3967&lt;TODAY()-1)),"CRÍTICO",IF(OR(AND(P3967&lt;&gt;"",S3967=""),AND(N3967="REALIZADO",M3967="PENDENTE"),AND(ISNUMBER(R3967),R3967=TODAY())),"ATENÇÃO",IF(N(K3967)=0,"PENDENTE","EM ANDAMENTO"))))))</f>
        <v/>
      </c>
      <c r="C3967" s="3">
        <f>IF(D3967="","",IF(V3967=0,"🟢 OK",IF(D3967&lt;corte,"⚪ HISTÓRICO (sem baixa)",IF(AND(ISNUMBER(R3967),R3967&lt;TODAY()),"🔴 PRAZO VENCIDO",IF(AND(OR(N3967="PENDENTE",N3967="PARCIAL"),D3967&lt;TODAY()-1),"🔴 EMBARQUE ATRASADO",IF(AND(N3967="REALIZADO",M3967="PENDENTE"),"🟡 EMBARCADO SEM FATURAR",IF(AND(P3967&lt;&gt;"",S3967="",OR(Q3967="",R3967="")),"🟡 PENDÊNCIA SEM RESPONSÁVEL/PRAZO",IF(AND(ISNUMBER(R3967),R3967=TODAY()),"🟡 VENCE HOJE",IF(AND(P3967&lt;&gt;"",S3967=""),"🟡 PENDÊNCIA ABERTA",IF(AND(N(J3967)&gt;0,N(K3967)&lt;J3967),"🟡 FALTA EXECUTAR",IF(OR(M3967="PENDENTE",M3967="PARCIAL"),"🟡 FATURAMENTO PENDENTE","🟡 EMBARQUE PENDENTE")))))))))))</f>
        <v/>
      </c>
      <c r="D3967" s="4" t="n"/>
      <c r="E3967" s="5" t="n"/>
      <c r="F3967" s="5" t="n"/>
      <c r="G3967" s="5" t="n"/>
      <c r="H3967" s="5" t="n"/>
      <c r="I3967" s="5" t="n"/>
      <c r="J3967" s="6" t="n"/>
      <c r="K3967" s="6" t="n"/>
      <c r="L3967" s="7">
        <f>IF(OR(D3967="",N(J3967)=0),"",MIN(1,N(K3967)/J3967))</f>
        <v/>
      </c>
      <c r="M3967" s="5" t="n"/>
      <c r="N3967" s="5" t="n"/>
      <c r="O3967" s="5" t="n"/>
      <c r="P3967" s="5" t="n"/>
      <c r="Q3967" s="5" t="n"/>
      <c r="R3967" s="4" t="n"/>
      <c r="S3967" s="4" t="n"/>
      <c r="T3967" s="5" t="n"/>
      <c r="U3967" s="8">
        <f>IF(AND(V3967=1,D3967&lt;&gt;""),IF(D3967&gt;=corte,TODAY()-D3967,""),"")</f>
        <v/>
      </c>
      <c r="V3967" s="8">
        <f>IF(D3967="",0,IF(OR(AND(P3967&lt;&gt;"",S3967=""),AND(N(J3967)&gt;0,N(K3967)&lt;J3967),OR(M3967="PENDENTE",M3967="PARCIAL"),OR(N3967="PENDENTE",N3967="PARCIAL")),1,0))</f>
        <v/>
      </c>
      <c r="W3967" s="8">
        <f>IF(AND(V3967=1,D3967&lt;&gt;""),IF(D3967&gt;=corte,(B3967="CRÍTICO")*1E9+(100000-D3967)*10000+10000-ROW(),""),"")</f>
        <v/>
      </c>
      <c r="X3967" s="8">
        <f>IF(AND(V3967=1,D3967=pas_data,E3967=pas_turno),10000-ROW(),"")</f>
        <v/>
      </c>
    </row>
    <row r="3968">
      <c r="A3968" s="3">
        <f>IF(D3968="","","TT-"&amp;TEXT(ROW()-1,"00000"))</f>
        <v/>
      </c>
      <c r="B3968" s="3">
        <f>IF(D3968="","",IF(V3968=0,"CONCLUÍDO",IF(D3968&lt;corte,"HISTÓRICO",IF(OR(AND(ISNUMBER(R3968),R3968&lt;TODAY()),AND(OR(N3968="PENDENTE",N3968="PARCIAL"),D3968&lt;TODAY()-1)),"CRÍTICO",IF(OR(AND(P3968&lt;&gt;"",S3968=""),AND(N3968="REALIZADO",M3968="PENDENTE"),AND(ISNUMBER(R3968),R3968=TODAY())),"ATENÇÃO",IF(N(K3968)=0,"PENDENTE","EM ANDAMENTO"))))))</f>
        <v/>
      </c>
      <c r="C3968" s="3">
        <f>IF(D3968="","",IF(V3968=0,"🟢 OK",IF(D3968&lt;corte,"⚪ HISTÓRICO (sem baixa)",IF(AND(ISNUMBER(R3968),R3968&lt;TODAY()),"🔴 PRAZO VENCIDO",IF(AND(OR(N3968="PENDENTE",N3968="PARCIAL"),D3968&lt;TODAY()-1),"🔴 EMBARQUE ATRASADO",IF(AND(N3968="REALIZADO",M3968="PENDENTE"),"🟡 EMBARCADO SEM FATURAR",IF(AND(P3968&lt;&gt;"",S3968="",OR(Q3968="",R3968="")),"🟡 PENDÊNCIA SEM RESPONSÁVEL/PRAZO",IF(AND(ISNUMBER(R3968),R3968=TODAY()),"🟡 VENCE HOJE",IF(AND(P3968&lt;&gt;"",S3968=""),"🟡 PENDÊNCIA ABERTA",IF(AND(N(J3968)&gt;0,N(K3968)&lt;J3968),"🟡 FALTA EXECUTAR",IF(OR(M3968="PENDENTE",M3968="PARCIAL"),"🟡 FATURAMENTO PENDENTE","🟡 EMBARQUE PENDENTE")))))))))))</f>
        <v/>
      </c>
      <c r="D3968" s="4" t="n"/>
      <c r="E3968" s="5" t="n"/>
      <c r="F3968" s="5" t="n"/>
      <c r="G3968" s="5" t="n"/>
      <c r="H3968" s="5" t="n"/>
      <c r="I3968" s="5" t="n"/>
      <c r="J3968" s="6" t="n"/>
      <c r="K3968" s="6" t="n"/>
      <c r="L3968" s="7">
        <f>IF(OR(D3968="",N(J3968)=0),"",MIN(1,N(K3968)/J3968))</f>
        <v/>
      </c>
      <c r="M3968" s="5" t="n"/>
      <c r="N3968" s="5" t="n"/>
      <c r="O3968" s="5" t="n"/>
      <c r="P3968" s="5" t="n"/>
      <c r="Q3968" s="5" t="n"/>
      <c r="R3968" s="4" t="n"/>
      <c r="S3968" s="4" t="n"/>
      <c r="T3968" s="5" t="n"/>
      <c r="U3968" s="8">
        <f>IF(AND(V3968=1,D3968&lt;&gt;""),IF(D3968&gt;=corte,TODAY()-D3968,""),"")</f>
        <v/>
      </c>
      <c r="V3968" s="8">
        <f>IF(D3968="",0,IF(OR(AND(P3968&lt;&gt;"",S3968=""),AND(N(J3968)&gt;0,N(K3968)&lt;J3968),OR(M3968="PENDENTE",M3968="PARCIAL"),OR(N3968="PENDENTE",N3968="PARCIAL")),1,0))</f>
        <v/>
      </c>
      <c r="W3968" s="8">
        <f>IF(AND(V3968=1,D3968&lt;&gt;""),IF(D3968&gt;=corte,(B3968="CRÍTICO")*1E9+(100000-D3968)*10000+10000-ROW(),""),"")</f>
        <v/>
      </c>
      <c r="X3968" s="8">
        <f>IF(AND(V3968=1,D3968=pas_data,E3968=pas_turno),10000-ROW(),"")</f>
        <v/>
      </c>
    </row>
    <row r="3969">
      <c r="A3969" s="3">
        <f>IF(D3969="","","TT-"&amp;TEXT(ROW()-1,"00000"))</f>
        <v/>
      </c>
      <c r="B3969" s="3">
        <f>IF(D3969="","",IF(V3969=0,"CONCLUÍDO",IF(D3969&lt;corte,"HISTÓRICO",IF(OR(AND(ISNUMBER(R3969),R3969&lt;TODAY()),AND(OR(N3969="PENDENTE",N3969="PARCIAL"),D3969&lt;TODAY()-1)),"CRÍTICO",IF(OR(AND(P3969&lt;&gt;"",S3969=""),AND(N3969="REALIZADO",M3969="PENDENTE"),AND(ISNUMBER(R3969),R3969=TODAY())),"ATENÇÃO",IF(N(K3969)=0,"PENDENTE","EM ANDAMENTO"))))))</f>
        <v/>
      </c>
      <c r="C3969" s="3">
        <f>IF(D3969="","",IF(V3969=0,"🟢 OK",IF(D3969&lt;corte,"⚪ HISTÓRICO (sem baixa)",IF(AND(ISNUMBER(R3969),R3969&lt;TODAY()),"🔴 PRAZO VENCIDO",IF(AND(OR(N3969="PENDENTE",N3969="PARCIAL"),D3969&lt;TODAY()-1),"🔴 EMBARQUE ATRASADO",IF(AND(N3969="REALIZADO",M3969="PENDENTE"),"🟡 EMBARCADO SEM FATURAR",IF(AND(P3969&lt;&gt;"",S3969="",OR(Q3969="",R3969="")),"🟡 PENDÊNCIA SEM RESPONSÁVEL/PRAZO",IF(AND(ISNUMBER(R3969),R3969=TODAY()),"🟡 VENCE HOJE",IF(AND(P3969&lt;&gt;"",S3969=""),"🟡 PENDÊNCIA ABERTA",IF(AND(N(J3969)&gt;0,N(K3969)&lt;J3969),"🟡 FALTA EXECUTAR",IF(OR(M3969="PENDENTE",M3969="PARCIAL"),"🟡 FATURAMENTO PENDENTE","🟡 EMBARQUE PENDENTE")))))))))))</f>
        <v/>
      </c>
      <c r="D3969" s="4" t="n"/>
      <c r="E3969" s="5" t="n"/>
      <c r="F3969" s="5" t="n"/>
      <c r="G3969" s="5" t="n"/>
      <c r="H3969" s="5" t="n"/>
      <c r="I3969" s="5" t="n"/>
      <c r="J3969" s="6" t="n"/>
      <c r="K3969" s="6" t="n"/>
      <c r="L3969" s="7">
        <f>IF(OR(D3969="",N(J3969)=0),"",MIN(1,N(K3969)/J3969))</f>
        <v/>
      </c>
      <c r="M3969" s="5" t="n"/>
      <c r="N3969" s="5" t="n"/>
      <c r="O3969" s="5" t="n"/>
      <c r="P3969" s="5" t="n"/>
      <c r="Q3969" s="5" t="n"/>
      <c r="R3969" s="4" t="n"/>
      <c r="S3969" s="4" t="n"/>
      <c r="T3969" s="5" t="n"/>
      <c r="U3969" s="8">
        <f>IF(AND(V3969=1,D3969&lt;&gt;""),IF(D3969&gt;=corte,TODAY()-D3969,""),"")</f>
        <v/>
      </c>
      <c r="V3969" s="8">
        <f>IF(D3969="",0,IF(OR(AND(P3969&lt;&gt;"",S3969=""),AND(N(J3969)&gt;0,N(K3969)&lt;J3969),OR(M3969="PENDENTE",M3969="PARCIAL"),OR(N3969="PENDENTE",N3969="PARCIAL")),1,0))</f>
        <v/>
      </c>
      <c r="W3969" s="8">
        <f>IF(AND(V3969=1,D3969&lt;&gt;""),IF(D3969&gt;=corte,(B3969="CRÍTICO")*1E9+(100000-D3969)*10000+10000-ROW(),""),"")</f>
        <v/>
      </c>
      <c r="X3969" s="8">
        <f>IF(AND(V3969=1,D3969=pas_data,E3969=pas_turno),10000-ROW(),"")</f>
        <v/>
      </c>
    </row>
    <row r="3970">
      <c r="A3970" s="3">
        <f>IF(D3970="","","TT-"&amp;TEXT(ROW()-1,"00000"))</f>
        <v/>
      </c>
      <c r="B3970" s="3">
        <f>IF(D3970="","",IF(V3970=0,"CONCLUÍDO",IF(D3970&lt;corte,"HISTÓRICO",IF(OR(AND(ISNUMBER(R3970),R3970&lt;TODAY()),AND(OR(N3970="PENDENTE",N3970="PARCIAL"),D3970&lt;TODAY()-1)),"CRÍTICO",IF(OR(AND(P3970&lt;&gt;"",S3970=""),AND(N3970="REALIZADO",M3970="PENDENTE"),AND(ISNUMBER(R3970),R3970=TODAY())),"ATENÇÃO",IF(N(K3970)=0,"PENDENTE","EM ANDAMENTO"))))))</f>
        <v/>
      </c>
      <c r="C3970" s="3">
        <f>IF(D3970="","",IF(V3970=0,"🟢 OK",IF(D3970&lt;corte,"⚪ HISTÓRICO (sem baixa)",IF(AND(ISNUMBER(R3970),R3970&lt;TODAY()),"🔴 PRAZO VENCIDO",IF(AND(OR(N3970="PENDENTE",N3970="PARCIAL"),D3970&lt;TODAY()-1),"🔴 EMBARQUE ATRASADO",IF(AND(N3970="REALIZADO",M3970="PENDENTE"),"🟡 EMBARCADO SEM FATURAR",IF(AND(P3970&lt;&gt;"",S3970="",OR(Q3970="",R3970="")),"🟡 PENDÊNCIA SEM RESPONSÁVEL/PRAZO",IF(AND(ISNUMBER(R3970),R3970=TODAY()),"🟡 VENCE HOJE",IF(AND(P3970&lt;&gt;"",S3970=""),"🟡 PENDÊNCIA ABERTA",IF(AND(N(J3970)&gt;0,N(K3970)&lt;J3970),"🟡 FALTA EXECUTAR",IF(OR(M3970="PENDENTE",M3970="PARCIAL"),"🟡 FATURAMENTO PENDENTE","🟡 EMBARQUE PENDENTE")))))))))))</f>
        <v/>
      </c>
      <c r="D3970" s="4" t="n"/>
      <c r="E3970" s="5" t="n"/>
      <c r="F3970" s="5" t="n"/>
      <c r="G3970" s="5" t="n"/>
      <c r="H3970" s="5" t="n"/>
      <c r="I3970" s="5" t="n"/>
      <c r="J3970" s="6" t="n"/>
      <c r="K3970" s="6" t="n"/>
      <c r="L3970" s="7">
        <f>IF(OR(D3970="",N(J3970)=0),"",MIN(1,N(K3970)/J3970))</f>
        <v/>
      </c>
      <c r="M3970" s="5" t="n"/>
      <c r="N3970" s="5" t="n"/>
      <c r="O3970" s="5" t="n"/>
      <c r="P3970" s="5" t="n"/>
      <c r="Q3970" s="5" t="n"/>
      <c r="R3970" s="4" t="n"/>
      <c r="S3970" s="4" t="n"/>
      <c r="T3970" s="5" t="n"/>
      <c r="U3970" s="8">
        <f>IF(AND(V3970=1,D3970&lt;&gt;""),IF(D3970&gt;=corte,TODAY()-D3970,""),"")</f>
        <v/>
      </c>
      <c r="V3970" s="8">
        <f>IF(D3970="",0,IF(OR(AND(P3970&lt;&gt;"",S3970=""),AND(N(J3970)&gt;0,N(K3970)&lt;J3970),OR(M3970="PENDENTE",M3970="PARCIAL"),OR(N3970="PENDENTE",N3970="PARCIAL")),1,0))</f>
        <v/>
      </c>
      <c r="W3970" s="8">
        <f>IF(AND(V3970=1,D3970&lt;&gt;""),IF(D3970&gt;=corte,(B3970="CRÍTICO")*1E9+(100000-D3970)*10000+10000-ROW(),""),"")</f>
        <v/>
      </c>
      <c r="X3970" s="8">
        <f>IF(AND(V3970=1,D3970=pas_data,E3970=pas_turno),10000-ROW(),"")</f>
        <v/>
      </c>
    </row>
    <row r="3971">
      <c r="A3971" s="3">
        <f>IF(D3971="","","TT-"&amp;TEXT(ROW()-1,"00000"))</f>
        <v/>
      </c>
      <c r="B3971" s="3">
        <f>IF(D3971="","",IF(V3971=0,"CONCLUÍDO",IF(D3971&lt;corte,"HISTÓRICO",IF(OR(AND(ISNUMBER(R3971),R3971&lt;TODAY()),AND(OR(N3971="PENDENTE",N3971="PARCIAL"),D3971&lt;TODAY()-1)),"CRÍTICO",IF(OR(AND(P3971&lt;&gt;"",S3971=""),AND(N3971="REALIZADO",M3971="PENDENTE"),AND(ISNUMBER(R3971),R3971=TODAY())),"ATENÇÃO",IF(N(K3971)=0,"PENDENTE","EM ANDAMENTO"))))))</f>
        <v/>
      </c>
      <c r="C3971" s="3">
        <f>IF(D3971="","",IF(V3971=0,"🟢 OK",IF(D3971&lt;corte,"⚪ HISTÓRICO (sem baixa)",IF(AND(ISNUMBER(R3971),R3971&lt;TODAY()),"🔴 PRAZO VENCIDO",IF(AND(OR(N3971="PENDENTE",N3971="PARCIAL"),D3971&lt;TODAY()-1),"🔴 EMBARQUE ATRASADO",IF(AND(N3971="REALIZADO",M3971="PENDENTE"),"🟡 EMBARCADO SEM FATURAR",IF(AND(P3971&lt;&gt;"",S3971="",OR(Q3971="",R3971="")),"🟡 PENDÊNCIA SEM RESPONSÁVEL/PRAZO",IF(AND(ISNUMBER(R3971),R3971=TODAY()),"🟡 VENCE HOJE",IF(AND(P3971&lt;&gt;"",S3971=""),"🟡 PENDÊNCIA ABERTA",IF(AND(N(J3971)&gt;0,N(K3971)&lt;J3971),"🟡 FALTA EXECUTAR",IF(OR(M3971="PENDENTE",M3971="PARCIAL"),"🟡 FATURAMENTO PENDENTE","🟡 EMBARQUE PENDENTE")))))))))))</f>
        <v/>
      </c>
      <c r="D3971" s="4" t="n"/>
      <c r="E3971" s="5" t="n"/>
      <c r="F3971" s="5" t="n"/>
      <c r="G3971" s="5" t="n"/>
      <c r="H3971" s="5" t="n"/>
      <c r="I3971" s="5" t="n"/>
      <c r="J3971" s="6" t="n"/>
      <c r="K3971" s="6" t="n"/>
      <c r="L3971" s="7">
        <f>IF(OR(D3971="",N(J3971)=0),"",MIN(1,N(K3971)/J3971))</f>
        <v/>
      </c>
      <c r="M3971" s="5" t="n"/>
      <c r="N3971" s="5" t="n"/>
      <c r="O3971" s="5" t="n"/>
      <c r="P3971" s="5" t="n"/>
      <c r="Q3971" s="5" t="n"/>
      <c r="R3971" s="4" t="n"/>
      <c r="S3971" s="4" t="n"/>
      <c r="T3971" s="5" t="n"/>
      <c r="U3971" s="8">
        <f>IF(AND(V3971=1,D3971&lt;&gt;""),IF(D3971&gt;=corte,TODAY()-D3971,""),"")</f>
        <v/>
      </c>
      <c r="V3971" s="8">
        <f>IF(D3971="",0,IF(OR(AND(P3971&lt;&gt;"",S3971=""),AND(N(J3971)&gt;0,N(K3971)&lt;J3971),OR(M3971="PENDENTE",M3971="PARCIAL"),OR(N3971="PENDENTE",N3971="PARCIAL")),1,0))</f>
        <v/>
      </c>
      <c r="W3971" s="8">
        <f>IF(AND(V3971=1,D3971&lt;&gt;""),IF(D3971&gt;=corte,(B3971="CRÍTICO")*1E9+(100000-D3971)*10000+10000-ROW(),""),"")</f>
        <v/>
      </c>
      <c r="X3971" s="8">
        <f>IF(AND(V3971=1,D3971=pas_data,E3971=pas_turno),10000-ROW(),"")</f>
        <v/>
      </c>
    </row>
    <row r="3972">
      <c r="A3972" s="3">
        <f>IF(D3972="","","TT-"&amp;TEXT(ROW()-1,"00000"))</f>
        <v/>
      </c>
      <c r="B3972" s="3">
        <f>IF(D3972="","",IF(V3972=0,"CONCLUÍDO",IF(D3972&lt;corte,"HISTÓRICO",IF(OR(AND(ISNUMBER(R3972),R3972&lt;TODAY()),AND(OR(N3972="PENDENTE",N3972="PARCIAL"),D3972&lt;TODAY()-1)),"CRÍTICO",IF(OR(AND(P3972&lt;&gt;"",S3972=""),AND(N3972="REALIZADO",M3972="PENDENTE"),AND(ISNUMBER(R3972),R3972=TODAY())),"ATENÇÃO",IF(N(K3972)=0,"PENDENTE","EM ANDAMENTO"))))))</f>
        <v/>
      </c>
      <c r="C3972" s="3">
        <f>IF(D3972="","",IF(V3972=0,"🟢 OK",IF(D3972&lt;corte,"⚪ HISTÓRICO (sem baixa)",IF(AND(ISNUMBER(R3972),R3972&lt;TODAY()),"🔴 PRAZO VENCIDO",IF(AND(OR(N3972="PENDENTE",N3972="PARCIAL"),D3972&lt;TODAY()-1),"🔴 EMBARQUE ATRASADO",IF(AND(N3972="REALIZADO",M3972="PENDENTE"),"🟡 EMBARCADO SEM FATURAR",IF(AND(P3972&lt;&gt;"",S3972="",OR(Q3972="",R3972="")),"🟡 PENDÊNCIA SEM RESPONSÁVEL/PRAZO",IF(AND(ISNUMBER(R3972),R3972=TODAY()),"🟡 VENCE HOJE",IF(AND(P3972&lt;&gt;"",S3972=""),"🟡 PENDÊNCIA ABERTA",IF(AND(N(J3972)&gt;0,N(K3972)&lt;J3972),"🟡 FALTA EXECUTAR",IF(OR(M3972="PENDENTE",M3972="PARCIAL"),"🟡 FATURAMENTO PENDENTE","🟡 EMBARQUE PENDENTE")))))))))))</f>
        <v/>
      </c>
      <c r="D3972" s="4" t="n"/>
      <c r="E3972" s="5" t="n"/>
      <c r="F3972" s="5" t="n"/>
      <c r="G3972" s="5" t="n"/>
      <c r="H3972" s="5" t="n"/>
      <c r="I3972" s="5" t="n"/>
      <c r="J3972" s="6" t="n"/>
      <c r="K3972" s="6" t="n"/>
      <c r="L3972" s="7">
        <f>IF(OR(D3972="",N(J3972)=0),"",MIN(1,N(K3972)/J3972))</f>
        <v/>
      </c>
      <c r="M3972" s="5" t="n"/>
      <c r="N3972" s="5" t="n"/>
      <c r="O3972" s="5" t="n"/>
      <c r="P3972" s="5" t="n"/>
      <c r="Q3972" s="5" t="n"/>
      <c r="R3972" s="4" t="n"/>
      <c r="S3972" s="4" t="n"/>
      <c r="T3972" s="5" t="n"/>
      <c r="U3972" s="8">
        <f>IF(AND(V3972=1,D3972&lt;&gt;""),IF(D3972&gt;=corte,TODAY()-D3972,""),"")</f>
        <v/>
      </c>
      <c r="V3972" s="8">
        <f>IF(D3972="",0,IF(OR(AND(P3972&lt;&gt;"",S3972=""),AND(N(J3972)&gt;0,N(K3972)&lt;J3972),OR(M3972="PENDENTE",M3972="PARCIAL"),OR(N3972="PENDENTE",N3972="PARCIAL")),1,0))</f>
        <v/>
      </c>
      <c r="W3972" s="8">
        <f>IF(AND(V3972=1,D3972&lt;&gt;""),IF(D3972&gt;=corte,(B3972="CRÍTICO")*1E9+(100000-D3972)*10000+10000-ROW(),""),"")</f>
        <v/>
      </c>
      <c r="X3972" s="8">
        <f>IF(AND(V3972=1,D3972=pas_data,E3972=pas_turno),10000-ROW(),"")</f>
        <v/>
      </c>
    </row>
    <row r="3973">
      <c r="A3973" s="3">
        <f>IF(D3973="","","TT-"&amp;TEXT(ROW()-1,"00000"))</f>
        <v/>
      </c>
      <c r="B3973" s="3">
        <f>IF(D3973="","",IF(V3973=0,"CONCLUÍDO",IF(D3973&lt;corte,"HISTÓRICO",IF(OR(AND(ISNUMBER(R3973),R3973&lt;TODAY()),AND(OR(N3973="PENDENTE",N3973="PARCIAL"),D3973&lt;TODAY()-1)),"CRÍTICO",IF(OR(AND(P3973&lt;&gt;"",S3973=""),AND(N3973="REALIZADO",M3973="PENDENTE"),AND(ISNUMBER(R3973),R3973=TODAY())),"ATENÇÃO",IF(N(K3973)=0,"PENDENTE","EM ANDAMENTO"))))))</f>
        <v/>
      </c>
      <c r="C3973" s="3">
        <f>IF(D3973="","",IF(V3973=0,"🟢 OK",IF(D3973&lt;corte,"⚪ HISTÓRICO (sem baixa)",IF(AND(ISNUMBER(R3973),R3973&lt;TODAY()),"🔴 PRAZO VENCIDO",IF(AND(OR(N3973="PENDENTE",N3973="PARCIAL"),D3973&lt;TODAY()-1),"🔴 EMBARQUE ATRASADO",IF(AND(N3973="REALIZADO",M3973="PENDENTE"),"🟡 EMBARCADO SEM FATURAR",IF(AND(P3973&lt;&gt;"",S3973="",OR(Q3973="",R3973="")),"🟡 PENDÊNCIA SEM RESPONSÁVEL/PRAZO",IF(AND(ISNUMBER(R3973),R3973=TODAY()),"🟡 VENCE HOJE",IF(AND(P3973&lt;&gt;"",S3973=""),"🟡 PENDÊNCIA ABERTA",IF(AND(N(J3973)&gt;0,N(K3973)&lt;J3973),"🟡 FALTA EXECUTAR",IF(OR(M3973="PENDENTE",M3973="PARCIAL"),"🟡 FATURAMENTO PENDENTE","🟡 EMBARQUE PENDENTE")))))))))))</f>
        <v/>
      </c>
      <c r="D3973" s="4" t="n"/>
      <c r="E3973" s="5" t="n"/>
      <c r="F3973" s="5" t="n"/>
      <c r="G3973" s="5" t="n"/>
      <c r="H3973" s="5" t="n"/>
      <c r="I3973" s="5" t="n"/>
      <c r="J3973" s="6" t="n"/>
      <c r="K3973" s="6" t="n"/>
      <c r="L3973" s="7">
        <f>IF(OR(D3973="",N(J3973)=0),"",MIN(1,N(K3973)/J3973))</f>
        <v/>
      </c>
      <c r="M3973" s="5" t="n"/>
      <c r="N3973" s="5" t="n"/>
      <c r="O3973" s="5" t="n"/>
      <c r="P3973" s="5" t="n"/>
      <c r="Q3973" s="5" t="n"/>
      <c r="R3973" s="4" t="n"/>
      <c r="S3973" s="4" t="n"/>
      <c r="T3973" s="5" t="n"/>
      <c r="U3973" s="8">
        <f>IF(AND(V3973=1,D3973&lt;&gt;""),IF(D3973&gt;=corte,TODAY()-D3973,""),"")</f>
        <v/>
      </c>
      <c r="V3973" s="8">
        <f>IF(D3973="",0,IF(OR(AND(P3973&lt;&gt;"",S3973=""),AND(N(J3973)&gt;0,N(K3973)&lt;J3973),OR(M3973="PENDENTE",M3973="PARCIAL"),OR(N3973="PENDENTE",N3973="PARCIAL")),1,0))</f>
        <v/>
      </c>
      <c r="W3973" s="8">
        <f>IF(AND(V3973=1,D3973&lt;&gt;""),IF(D3973&gt;=corte,(B3973="CRÍTICO")*1E9+(100000-D3973)*10000+10000-ROW(),""),"")</f>
        <v/>
      </c>
      <c r="X3973" s="8">
        <f>IF(AND(V3973=1,D3973=pas_data,E3973=pas_turno),10000-ROW(),"")</f>
        <v/>
      </c>
    </row>
    <row r="3974">
      <c r="A3974" s="3">
        <f>IF(D3974="","","TT-"&amp;TEXT(ROW()-1,"00000"))</f>
        <v/>
      </c>
      <c r="B3974" s="3">
        <f>IF(D3974="","",IF(V3974=0,"CONCLUÍDO",IF(D3974&lt;corte,"HISTÓRICO",IF(OR(AND(ISNUMBER(R3974),R3974&lt;TODAY()),AND(OR(N3974="PENDENTE",N3974="PARCIAL"),D3974&lt;TODAY()-1)),"CRÍTICO",IF(OR(AND(P3974&lt;&gt;"",S3974=""),AND(N3974="REALIZADO",M3974="PENDENTE"),AND(ISNUMBER(R3974),R3974=TODAY())),"ATENÇÃO",IF(N(K3974)=0,"PENDENTE","EM ANDAMENTO"))))))</f>
        <v/>
      </c>
      <c r="C3974" s="3">
        <f>IF(D3974="","",IF(V3974=0,"🟢 OK",IF(D3974&lt;corte,"⚪ HISTÓRICO (sem baixa)",IF(AND(ISNUMBER(R3974),R3974&lt;TODAY()),"🔴 PRAZO VENCIDO",IF(AND(OR(N3974="PENDENTE",N3974="PARCIAL"),D3974&lt;TODAY()-1),"🔴 EMBARQUE ATRASADO",IF(AND(N3974="REALIZADO",M3974="PENDENTE"),"🟡 EMBARCADO SEM FATURAR",IF(AND(P3974&lt;&gt;"",S3974="",OR(Q3974="",R3974="")),"🟡 PENDÊNCIA SEM RESPONSÁVEL/PRAZO",IF(AND(ISNUMBER(R3974),R3974=TODAY()),"🟡 VENCE HOJE",IF(AND(P3974&lt;&gt;"",S3974=""),"🟡 PENDÊNCIA ABERTA",IF(AND(N(J3974)&gt;0,N(K3974)&lt;J3974),"🟡 FALTA EXECUTAR",IF(OR(M3974="PENDENTE",M3974="PARCIAL"),"🟡 FATURAMENTO PENDENTE","🟡 EMBARQUE PENDENTE")))))))))))</f>
        <v/>
      </c>
      <c r="D3974" s="4" t="n"/>
      <c r="E3974" s="5" t="n"/>
      <c r="F3974" s="5" t="n"/>
      <c r="G3974" s="5" t="n"/>
      <c r="H3974" s="5" t="n"/>
      <c r="I3974" s="5" t="n"/>
      <c r="J3974" s="6" t="n"/>
      <c r="K3974" s="6" t="n"/>
      <c r="L3974" s="7">
        <f>IF(OR(D3974="",N(J3974)=0),"",MIN(1,N(K3974)/J3974))</f>
        <v/>
      </c>
      <c r="M3974" s="5" t="n"/>
      <c r="N3974" s="5" t="n"/>
      <c r="O3974" s="5" t="n"/>
      <c r="P3974" s="5" t="n"/>
      <c r="Q3974" s="5" t="n"/>
      <c r="R3974" s="4" t="n"/>
      <c r="S3974" s="4" t="n"/>
      <c r="T3974" s="5" t="n"/>
      <c r="U3974" s="8">
        <f>IF(AND(V3974=1,D3974&lt;&gt;""),IF(D3974&gt;=corte,TODAY()-D3974,""),"")</f>
        <v/>
      </c>
      <c r="V3974" s="8">
        <f>IF(D3974="",0,IF(OR(AND(P3974&lt;&gt;"",S3974=""),AND(N(J3974)&gt;0,N(K3974)&lt;J3974),OR(M3974="PENDENTE",M3974="PARCIAL"),OR(N3974="PENDENTE",N3974="PARCIAL")),1,0))</f>
        <v/>
      </c>
      <c r="W3974" s="8">
        <f>IF(AND(V3974=1,D3974&lt;&gt;""),IF(D3974&gt;=corte,(B3974="CRÍTICO")*1E9+(100000-D3974)*10000+10000-ROW(),""),"")</f>
        <v/>
      </c>
      <c r="X3974" s="8">
        <f>IF(AND(V3974=1,D3974=pas_data,E3974=pas_turno),10000-ROW(),"")</f>
        <v/>
      </c>
    </row>
    <row r="3975">
      <c r="A3975" s="3">
        <f>IF(D3975="","","TT-"&amp;TEXT(ROW()-1,"00000"))</f>
        <v/>
      </c>
      <c r="B3975" s="3">
        <f>IF(D3975="","",IF(V3975=0,"CONCLUÍDO",IF(D3975&lt;corte,"HISTÓRICO",IF(OR(AND(ISNUMBER(R3975),R3975&lt;TODAY()),AND(OR(N3975="PENDENTE",N3975="PARCIAL"),D3975&lt;TODAY()-1)),"CRÍTICO",IF(OR(AND(P3975&lt;&gt;"",S3975=""),AND(N3975="REALIZADO",M3975="PENDENTE"),AND(ISNUMBER(R3975),R3975=TODAY())),"ATENÇÃO",IF(N(K3975)=0,"PENDENTE","EM ANDAMENTO"))))))</f>
        <v/>
      </c>
      <c r="C3975" s="3">
        <f>IF(D3975="","",IF(V3975=0,"🟢 OK",IF(D3975&lt;corte,"⚪ HISTÓRICO (sem baixa)",IF(AND(ISNUMBER(R3975),R3975&lt;TODAY()),"🔴 PRAZO VENCIDO",IF(AND(OR(N3975="PENDENTE",N3975="PARCIAL"),D3975&lt;TODAY()-1),"🔴 EMBARQUE ATRASADO",IF(AND(N3975="REALIZADO",M3975="PENDENTE"),"🟡 EMBARCADO SEM FATURAR",IF(AND(P3975&lt;&gt;"",S3975="",OR(Q3975="",R3975="")),"🟡 PENDÊNCIA SEM RESPONSÁVEL/PRAZO",IF(AND(ISNUMBER(R3975),R3975=TODAY()),"🟡 VENCE HOJE",IF(AND(P3975&lt;&gt;"",S3975=""),"🟡 PENDÊNCIA ABERTA",IF(AND(N(J3975)&gt;0,N(K3975)&lt;J3975),"🟡 FALTA EXECUTAR",IF(OR(M3975="PENDENTE",M3975="PARCIAL"),"🟡 FATURAMENTO PENDENTE","🟡 EMBARQUE PENDENTE")))))))))))</f>
        <v/>
      </c>
      <c r="D3975" s="4" t="n"/>
      <c r="E3975" s="5" t="n"/>
      <c r="F3975" s="5" t="n"/>
      <c r="G3975" s="5" t="n"/>
      <c r="H3975" s="5" t="n"/>
      <c r="I3975" s="5" t="n"/>
      <c r="J3975" s="6" t="n"/>
      <c r="K3975" s="6" t="n"/>
      <c r="L3975" s="7">
        <f>IF(OR(D3975="",N(J3975)=0),"",MIN(1,N(K3975)/J3975))</f>
        <v/>
      </c>
      <c r="M3975" s="5" t="n"/>
      <c r="N3975" s="5" t="n"/>
      <c r="O3975" s="5" t="n"/>
      <c r="P3975" s="5" t="n"/>
      <c r="Q3975" s="5" t="n"/>
      <c r="R3975" s="4" t="n"/>
      <c r="S3975" s="4" t="n"/>
      <c r="T3975" s="5" t="n"/>
      <c r="U3975" s="8">
        <f>IF(AND(V3975=1,D3975&lt;&gt;""),IF(D3975&gt;=corte,TODAY()-D3975,""),"")</f>
        <v/>
      </c>
      <c r="V3975" s="8">
        <f>IF(D3975="",0,IF(OR(AND(P3975&lt;&gt;"",S3975=""),AND(N(J3975)&gt;0,N(K3975)&lt;J3975),OR(M3975="PENDENTE",M3975="PARCIAL"),OR(N3975="PENDENTE",N3975="PARCIAL")),1,0))</f>
        <v/>
      </c>
      <c r="W3975" s="8">
        <f>IF(AND(V3975=1,D3975&lt;&gt;""),IF(D3975&gt;=corte,(B3975="CRÍTICO")*1E9+(100000-D3975)*10000+10000-ROW(),""),"")</f>
        <v/>
      </c>
      <c r="X3975" s="8">
        <f>IF(AND(V3975=1,D3975=pas_data,E3975=pas_turno),10000-ROW(),"")</f>
        <v/>
      </c>
    </row>
    <row r="3976">
      <c r="A3976" s="3">
        <f>IF(D3976="","","TT-"&amp;TEXT(ROW()-1,"00000"))</f>
        <v/>
      </c>
      <c r="B3976" s="3">
        <f>IF(D3976="","",IF(V3976=0,"CONCLUÍDO",IF(D3976&lt;corte,"HISTÓRICO",IF(OR(AND(ISNUMBER(R3976),R3976&lt;TODAY()),AND(OR(N3976="PENDENTE",N3976="PARCIAL"),D3976&lt;TODAY()-1)),"CRÍTICO",IF(OR(AND(P3976&lt;&gt;"",S3976=""),AND(N3976="REALIZADO",M3976="PENDENTE"),AND(ISNUMBER(R3976),R3976=TODAY())),"ATENÇÃO",IF(N(K3976)=0,"PENDENTE","EM ANDAMENTO"))))))</f>
        <v/>
      </c>
      <c r="C3976" s="3">
        <f>IF(D3976="","",IF(V3976=0,"🟢 OK",IF(D3976&lt;corte,"⚪ HISTÓRICO (sem baixa)",IF(AND(ISNUMBER(R3976),R3976&lt;TODAY()),"🔴 PRAZO VENCIDO",IF(AND(OR(N3976="PENDENTE",N3976="PARCIAL"),D3976&lt;TODAY()-1),"🔴 EMBARQUE ATRASADO",IF(AND(N3976="REALIZADO",M3976="PENDENTE"),"🟡 EMBARCADO SEM FATURAR",IF(AND(P3976&lt;&gt;"",S3976="",OR(Q3976="",R3976="")),"🟡 PENDÊNCIA SEM RESPONSÁVEL/PRAZO",IF(AND(ISNUMBER(R3976),R3976=TODAY()),"🟡 VENCE HOJE",IF(AND(P3976&lt;&gt;"",S3976=""),"🟡 PENDÊNCIA ABERTA",IF(AND(N(J3976)&gt;0,N(K3976)&lt;J3976),"🟡 FALTA EXECUTAR",IF(OR(M3976="PENDENTE",M3976="PARCIAL"),"🟡 FATURAMENTO PENDENTE","🟡 EMBARQUE PENDENTE")))))))))))</f>
        <v/>
      </c>
      <c r="D3976" s="4" t="n"/>
      <c r="E3976" s="5" t="n"/>
      <c r="F3976" s="5" t="n"/>
      <c r="G3976" s="5" t="n"/>
      <c r="H3976" s="5" t="n"/>
      <c r="I3976" s="5" t="n"/>
      <c r="J3976" s="6" t="n"/>
      <c r="K3976" s="6" t="n"/>
      <c r="L3976" s="7">
        <f>IF(OR(D3976="",N(J3976)=0),"",MIN(1,N(K3976)/J3976))</f>
        <v/>
      </c>
      <c r="M3976" s="5" t="n"/>
      <c r="N3976" s="5" t="n"/>
      <c r="O3976" s="5" t="n"/>
      <c r="P3976" s="5" t="n"/>
      <c r="Q3976" s="5" t="n"/>
      <c r="R3976" s="4" t="n"/>
      <c r="S3976" s="4" t="n"/>
      <c r="T3976" s="5" t="n"/>
      <c r="U3976" s="8">
        <f>IF(AND(V3976=1,D3976&lt;&gt;""),IF(D3976&gt;=corte,TODAY()-D3976,""),"")</f>
        <v/>
      </c>
      <c r="V3976" s="8">
        <f>IF(D3976="",0,IF(OR(AND(P3976&lt;&gt;"",S3976=""),AND(N(J3976)&gt;0,N(K3976)&lt;J3976),OR(M3976="PENDENTE",M3976="PARCIAL"),OR(N3976="PENDENTE",N3976="PARCIAL")),1,0))</f>
        <v/>
      </c>
      <c r="W3976" s="8">
        <f>IF(AND(V3976=1,D3976&lt;&gt;""),IF(D3976&gt;=corte,(B3976="CRÍTICO")*1E9+(100000-D3976)*10000+10000-ROW(),""),"")</f>
        <v/>
      </c>
      <c r="X3976" s="8">
        <f>IF(AND(V3976=1,D3976=pas_data,E3976=pas_turno),10000-ROW(),"")</f>
        <v/>
      </c>
    </row>
    <row r="3977">
      <c r="A3977" s="3">
        <f>IF(D3977="","","TT-"&amp;TEXT(ROW()-1,"00000"))</f>
        <v/>
      </c>
      <c r="B3977" s="3">
        <f>IF(D3977="","",IF(V3977=0,"CONCLUÍDO",IF(D3977&lt;corte,"HISTÓRICO",IF(OR(AND(ISNUMBER(R3977),R3977&lt;TODAY()),AND(OR(N3977="PENDENTE",N3977="PARCIAL"),D3977&lt;TODAY()-1)),"CRÍTICO",IF(OR(AND(P3977&lt;&gt;"",S3977=""),AND(N3977="REALIZADO",M3977="PENDENTE"),AND(ISNUMBER(R3977),R3977=TODAY())),"ATENÇÃO",IF(N(K3977)=0,"PENDENTE","EM ANDAMENTO"))))))</f>
        <v/>
      </c>
      <c r="C3977" s="3">
        <f>IF(D3977="","",IF(V3977=0,"🟢 OK",IF(D3977&lt;corte,"⚪ HISTÓRICO (sem baixa)",IF(AND(ISNUMBER(R3977),R3977&lt;TODAY()),"🔴 PRAZO VENCIDO",IF(AND(OR(N3977="PENDENTE",N3977="PARCIAL"),D3977&lt;TODAY()-1),"🔴 EMBARQUE ATRASADO",IF(AND(N3977="REALIZADO",M3977="PENDENTE"),"🟡 EMBARCADO SEM FATURAR",IF(AND(P3977&lt;&gt;"",S3977="",OR(Q3977="",R3977="")),"🟡 PENDÊNCIA SEM RESPONSÁVEL/PRAZO",IF(AND(ISNUMBER(R3977),R3977=TODAY()),"🟡 VENCE HOJE",IF(AND(P3977&lt;&gt;"",S3977=""),"🟡 PENDÊNCIA ABERTA",IF(AND(N(J3977)&gt;0,N(K3977)&lt;J3977),"🟡 FALTA EXECUTAR",IF(OR(M3977="PENDENTE",M3977="PARCIAL"),"🟡 FATURAMENTO PENDENTE","🟡 EMBARQUE PENDENTE")))))))))))</f>
        <v/>
      </c>
      <c r="D3977" s="4" t="n"/>
      <c r="E3977" s="5" t="n"/>
      <c r="F3977" s="5" t="n"/>
      <c r="G3977" s="5" t="n"/>
      <c r="H3977" s="5" t="n"/>
      <c r="I3977" s="5" t="n"/>
      <c r="J3977" s="6" t="n"/>
      <c r="K3977" s="6" t="n"/>
      <c r="L3977" s="7">
        <f>IF(OR(D3977="",N(J3977)=0),"",MIN(1,N(K3977)/J3977))</f>
        <v/>
      </c>
      <c r="M3977" s="5" t="n"/>
      <c r="N3977" s="5" t="n"/>
      <c r="O3977" s="5" t="n"/>
      <c r="P3977" s="5" t="n"/>
      <c r="Q3977" s="5" t="n"/>
      <c r="R3977" s="4" t="n"/>
      <c r="S3977" s="4" t="n"/>
      <c r="T3977" s="5" t="n"/>
      <c r="U3977" s="8">
        <f>IF(AND(V3977=1,D3977&lt;&gt;""),IF(D3977&gt;=corte,TODAY()-D3977,""),"")</f>
        <v/>
      </c>
      <c r="V3977" s="8">
        <f>IF(D3977="",0,IF(OR(AND(P3977&lt;&gt;"",S3977=""),AND(N(J3977)&gt;0,N(K3977)&lt;J3977),OR(M3977="PENDENTE",M3977="PARCIAL"),OR(N3977="PENDENTE",N3977="PARCIAL")),1,0))</f>
        <v/>
      </c>
      <c r="W3977" s="8">
        <f>IF(AND(V3977=1,D3977&lt;&gt;""),IF(D3977&gt;=corte,(B3977="CRÍTICO")*1E9+(100000-D3977)*10000+10000-ROW(),""),"")</f>
        <v/>
      </c>
      <c r="X3977" s="8">
        <f>IF(AND(V3977=1,D3977=pas_data,E3977=pas_turno),10000-ROW(),"")</f>
        <v/>
      </c>
    </row>
    <row r="3978">
      <c r="A3978" s="3">
        <f>IF(D3978="","","TT-"&amp;TEXT(ROW()-1,"00000"))</f>
        <v/>
      </c>
      <c r="B3978" s="3">
        <f>IF(D3978="","",IF(V3978=0,"CONCLUÍDO",IF(D3978&lt;corte,"HISTÓRICO",IF(OR(AND(ISNUMBER(R3978),R3978&lt;TODAY()),AND(OR(N3978="PENDENTE",N3978="PARCIAL"),D3978&lt;TODAY()-1)),"CRÍTICO",IF(OR(AND(P3978&lt;&gt;"",S3978=""),AND(N3978="REALIZADO",M3978="PENDENTE"),AND(ISNUMBER(R3978),R3978=TODAY())),"ATENÇÃO",IF(N(K3978)=0,"PENDENTE","EM ANDAMENTO"))))))</f>
        <v/>
      </c>
      <c r="C3978" s="3">
        <f>IF(D3978="","",IF(V3978=0,"🟢 OK",IF(D3978&lt;corte,"⚪ HISTÓRICO (sem baixa)",IF(AND(ISNUMBER(R3978),R3978&lt;TODAY()),"🔴 PRAZO VENCIDO",IF(AND(OR(N3978="PENDENTE",N3978="PARCIAL"),D3978&lt;TODAY()-1),"🔴 EMBARQUE ATRASADO",IF(AND(N3978="REALIZADO",M3978="PENDENTE"),"🟡 EMBARCADO SEM FATURAR",IF(AND(P3978&lt;&gt;"",S3978="",OR(Q3978="",R3978="")),"🟡 PENDÊNCIA SEM RESPONSÁVEL/PRAZO",IF(AND(ISNUMBER(R3978),R3978=TODAY()),"🟡 VENCE HOJE",IF(AND(P3978&lt;&gt;"",S3978=""),"🟡 PENDÊNCIA ABERTA",IF(AND(N(J3978)&gt;0,N(K3978)&lt;J3978),"🟡 FALTA EXECUTAR",IF(OR(M3978="PENDENTE",M3978="PARCIAL"),"🟡 FATURAMENTO PENDENTE","🟡 EMBARQUE PENDENTE")))))))))))</f>
        <v/>
      </c>
      <c r="D3978" s="4" t="n"/>
      <c r="E3978" s="5" t="n"/>
      <c r="F3978" s="5" t="n"/>
      <c r="G3978" s="5" t="n"/>
      <c r="H3978" s="5" t="n"/>
      <c r="I3978" s="5" t="n"/>
      <c r="J3978" s="6" t="n"/>
      <c r="K3978" s="6" t="n"/>
      <c r="L3978" s="7">
        <f>IF(OR(D3978="",N(J3978)=0),"",MIN(1,N(K3978)/J3978))</f>
        <v/>
      </c>
      <c r="M3978" s="5" t="n"/>
      <c r="N3978" s="5" t="n"/>
      <c r="O3978" s="5" t="n"/>
      <c r="P3978" s="5" t="n"/>
      <c r="Q3978" s="5" t="n"/>
      <c r="R3978" s="4" t="n"/>
      <c r="S3978" s="4" t="n"/>
      <c r="T3978" s="5" t="n"/>
      <c r="U3978" s="8">
        <f>IF(AND(V3978=1,D3978&lt;&gt;""),IF(D3978&gt;=corte,TODAY()-D3978,""),"")</f>
        <v/>
      </c>
      <c r="V3978" s="8">
        <f>IF(D3978="",0,IF(OR(AND(P3978&lt;&gt;"",S3978=""),AND(N(J3978)&gt;0,N(K3978)&lt;J3978),OR(M3978="PENDENTE",M3978="PARCIAL"),OR(N3978="PENDENTE",N3978="PARCIAL")),1,0))</f>
        <v/>
      </c>
      <c r="W3978" s="8">
        <f>IF(AND(V3978=1,D3978&lt;&gt;""),IF(D3978&gt;=corte,(B3978="CRÍTICO")*1E9+(100000-D3978)*10000+10000-ROW(),""),"")</f>
        <v/>
      </c>
      <c r="X3978" s="8">
        <f>IF(AND(V3978=1,D3978=pas_data,E3978=pas_turno),10000-ROW(),"")</f>
        <v/>
      </c>
    </row>
    <row r="3979">
      <c r="A3979" s="3">
        <f>IF(D3979="","","TT-"&amp;TEXT(ROW()-1,"00000"))</f>
        <v/>
      </c>
      <c r="B3979" s="3">
        <f>IF(D3979="","",IF(V3979=0,"CONCLUÍDO",IF(D3979&lt;corte,"HISTÓRICO",IF(OR(AND(ISNUMBER(R3979),R3979&lt;TODAY()),AND(OR(N3979="PENDENTE",N3979="PARCIAL"),D3979&lt;TODAY()-1)),"CRÍTICO",IF(OR(AND(P3979&lt;&gt;"",S3979=""),AND(N3979="REALIZADO",M3979="PENDENTE"),AND(ISNUMBER(R3979),R3979=TODAY())),"ATENÇÃO",IF(N(K3979)=0,"PENDENTE","EM ANDAMENTO"))))))</f>
        <v/>
      </c>
      <c r="C3979" s="3">
        <f>IF(D3979="","",IF(V3979=0,"🟢 OK",IF(D3979&lt;corte,"⚪ HISTÓRICO (sem baixa)",IF(AND(ISNUMBER(R3979),R3979&lt;TODAY()),"🔴 PRAZO VENCIDO",IF(AND(OR(N3979="PENDENTE",N3979="PARCIAL"),D3979&lt;TODAY()-1),"🔴 EMBARQUE ATRASADO",IF(AND(N3979="REALIZADO",M3979="PENDENTE"),"🟡 EMBARCADO SEM FATURAR",IF(AND(P3979&lt;&gt;"",S3979="",OR(Q3979="",R3979="")),"🟡 PENDÊNCIA SEM RESPONSÁVEL/PRAZO",IF(AND(ISNUMBER(R3979),R3979=TODAY()),"🟡 VENCE HOJE",IF(AND(P3979&lt;&gt;"",S3979=""),"🟡 PENDÊNCIA ABERTA",IF(AND(N(J3979)&gt;0,N(K3979)&lt;J3979),"🟡 FALTA EXECUTAR",IF(OR(M3979="PENDENTE",M3979="PARCIAL"),"🟡 FATURAMENTO PENDENTE","🟡 EMBARQUE PENDENTE")))))))))))</f>
        <v/>
      </c>
      <c r="D3979" s="4" t="n"/>
      <c r="E3979" s="5" t="n"/>
      <c r="F3979" s="5" t="n"/>
      <c r="G3979" s="5" t="n"/>
      <c r="H3979" s="5" t="n"/>
      <c r="I3979" s="5" t="n"/>
      <c r="J3979" s="6" t="n"/>
      <c r="K3979" s="6" t="n"/>
      <c r="L3979" s="7">
        <f>IF(OR(D3979="",N(J3979)=0),"",MIN(1,N(K3979)/J3979))</f>
        <v/>
      </c>
      <c r="M3979" s="5" t="n"/>
      <c r="N3979" s="5" t="n"/>
      <c r="O3979" s="5" t="n"/>
      <c r="P3979" s="5" t="n"/>
      <c r="Q3979" s="5" t="n"/>
      <c r="R3979" s="4" t="n"/>
      <c r="S3979" s="4" t="n"/>
      <c r="T3979" s="5" t="n"/>
      <c r="U3979" s="8">
        <f>IF(AND(V3979=1,D3979&lt;&gt;""),IF(D3979&gt;=corte,TODAY()-D3979,""),"")</f>
        <v/>
      </c>
      <c r="V3979" s="8">
        <f>IF(D3979="",0,IF(OR(AND(P3979&lt;&gt;"",S3979=""),AND(N(J3979)&gt;0,N(K3979)&lt;J3979),OR(M3979="PENDENTE",M3979="PARCIAL"),OR(N3979="PENDENTE",N3979="PARCIAL")),1,0))</f>
        <v/>
      </c>
      <c r="W3979" s="8">
        <f>IF(AND(V3979=1,D3979&lt;&gt;""),IF(D3979&gt;=corte,(B3979="CRÍTICO")*1E9+(100000-D3979)*10000+10000-ROW(),""),"")</f>
        <v/>
      </c>
      <c r="X3979" s="8">
        <f>IF(AND(V3979=1,D3979=pas_data,E3979=pas_turno),10000-ROW(),"")</f>
        <v/>
      </c>
    </row>
    <row r="3980">
      <c r="A3980" s="3">
        <f>IF(D3980="","","TT-"&amp;TEXT(ROW()-1,"00000"))</f>
        <v/>
      </c>
      <c r="B3980" s="3">
        <f>IF(D3980="","",IF(V3980=0,"CONCLUÍDO",IF(D3980&lt;corte,"HISTÓRICO",IF(OR(AND(ISNUMBER(R3980),R3980&lt;TODAY()),AND(OR(N3980="PENDENTE",N3980="PARCIAL"),D3980&lt;TODAY()-1)),"CRÍTICO",IF(OR(AND(P3980&lt;&gt;"",S3980=""),AND(N3980="REALIZADO",M3980="PENDENTE"),AND(ISNUMBER(R3980),R3980=TODAY())),"ATENÇÃO",IF(N(K3980)=0,"PENDENTE","EM ANDAMENTO"))))))</f>
        <v/>
      </c>
      <c r="C3980" s="3">
        <f>IF(D3980="","",IF(V3980=0,"🟢 OK",IF(D3980&lt;corte,"⚪ HISTÓRICO (sem baixa)",IF(AND(ISNUMBER(R3980),R3980&lt;TODAY()),"🔴 PRAZO VENCIDO",IF(AND(OR(N3980="PENDENTE",N3980="PARCIAL"),D3980&lt;TODAY()-1),"🔴 EMBARQUE ATRASADO",IF(AND(N3980="REALIZADO",M3980="PENDENTE"),"🟡 EMBARCADO SEM FATURAR",IF(AND(P3980&lt;&gt;"",S3980="",OR(Q3980="",R3980="")),"🟡 PENDÊNCIA SEM RESPONSÁVEL/PRAZO",IF(AND(ISNUMBER(R3980),R3980=TODAY()),"🟡 VENCE HOJE",IF(AND(P3980&lt;&gt;"",S3980=""),"🟡 PENDÊNCIA ABERTA",IF(AND(N(J3980)&gt;0,N(K3980)&lt;J3980),"🟡 FALTA EXECUTAR",IF(OR(M3980="PENDENTE",M3980="PARCIAL"),"🟡 FATURAMENTO PENDENTE","🟡 EMBARQUE PENDENTE")))))))))))</f>
        <v/>
      </c>
      <c r="D3980" s="4" t="n"/>
      <c r="E3980" s="5" t="n"/>
      <c r="F3980" s="5" t="n"/>
      <c r="G3980" s="5" t="n"/>
      <c r="H3980" s="5" t="n"/>
      <c r="I3980" s="5" t="n"/>
      <c r="J3980" s="6" t="n"/>
      <c r="K3980" s="6" t="n"/>
      <c r="L3980" s="7">
        <f>IF(OR(D3980="",N(J3980)=0),"",MIN(1,N(K3980)/J3980))</f>
        <v/>
      </c>
      <c r="M3980" s="5" t="n"/>
      <c r="N3980" s="5" t="n"/>
      <c r="O3980" s="5" t="n"/>
      <c r="P3980" s="5" t="n"/>
      <c r="Q3980" s="5" t="n"/>
      <c r="R3980" s="4" t="n"/>
      <c r="S3980" s="4" t="n"/>
      <c r="T3980" s="5" t="n"/>
      <c r="U3980" s="8">
        <f>IF(AND(V3980=1,D3980&lt;&gt;""),IF(D3980&gt;=corte,TODAY()-D3980,""),"")</f>
        <v/>
      </c>
      <c r="V3980" s="8">
        <f>IF(D3980="",0,IF(OR(AND(P3980&lt;&gt;"",S3980=""),AND(N(J3980)&gt;0,N(K3980)&lt;J3980),OR(M3980="PENDENTE",M3980="PARCIAL"),OR(N3980="PENDENTE",N3980="PARCIAL")),1,0))</f>
        <v/>
      </c>
      <c r="W3980" s="8">
        <f>IF(AND(V3980=1,D3980&lt;&gt;""),IF(D3980&gt;=corte,(B3980="CRÍTICO")*1E9+(100000-D3980)*10000+10000-ROW(),""),"")</f>
        <v/>
      </c>
      <c r="X3980" s="8">
        <f>IF(AND(V3980=1,D3980=pas_data,E3980=pas_turno),10000-ROW(),"")</f>
        <v/>
      </c>
    </row>
    <row r="3981">
      <c r="A3981" s="3">
        <f>IF(D3981="","","TT-"&amp;TEXT(ROW()-1,"00000"))</f>
        <v/>
      </c>
      <c r="B3981" s="3">
        <f>IF(D3981="","",IF(V3981=0,"CONCLUÍDO",IF(D3981&lt;corte,"HISTÓRICO",IF(OR(AND(ISNUMBER(R3981),R3981&lt;TODAY()),AND(OR(N3981="PENDENTE",N3981="PARCIAL"),D3981&lt;TODAY()-1)),"CRÍTICO",IF(OR(AND(P3981&lt;&gt;"",S3981=""),AND(N3981="REALIZADO",M3981="PENDENTE"),AND(ISNUMBER(R3981),R3981=TODAY())),"ATENÇÃO",IF(N(K3981)=0,"PENDENTE","EM ANDAMENTO"))))))</f>
        <v/>
      </c>
      <c r="C3981" s="3">
        <f>IF(D3981="","",IF(V3981=0,"🟢 OK",IF(D3981&lt;corte,"⚪ HISTÓRICO (sem baixa)",IF(AND(ISNUMBER(R3981),R3981&lt;TODAY()),"🔴 PRAZO VENCIDO",IF(AND(OR(N3981="PENDENTE",N3981="PARCIAL"),D3981&lt;TODAY()-1),"🔴 EMBARQUE ATRASADO",IF(AND(N3981="REALIZADO",M3981="PENDENTE"),"🟡 EMBARCADO SEM FATURAR",IF(AND(P3981&lt;&gt;"",S3981="",OR(Q3981="",R3981="")),"🟡 PENDÊNCIA SEM RESPONSÁVEL/PRAZO",IF(AND(ISNUMBER(R3981),R3981=TODAY()),"🟡 VENCE HOJE",IF(AND(P3981&lt;&gt;"",S3981=""),"🟡 PENDÊNCIA ABERTA",IF(AND(N(J3981)&gt;0,N(K3981)&lt;J3981),"🟡 FALTA EXECUTAR",IF(OR(M3981="PENDENTE",M3981="PARCIAL"),"🟡 FATURAMENTO PENDENTE","🟡 EMBARQUE PENDENTE")))))))))))</f>
        <v/>
      </c>
      <c r="D3981" s="4" t="n"/>
      <c r="E3981" s="5" t="n"/>
      <c r="F3981" s="5" t="n"/>
      <c r="G3981" s="5" t="n"/>
      <c r="H3981" s="5" t="n"/>
      <c r="I3981" s="5" t="n"/>
      <c r="J3981" s="6" t="n"/>
      <c r="K3981" s="6" t="n"/>
      <c r="L3981" s="7">
        <f>IF(OR(D3981="",N(J3981)=0),"",MIN(1,N(K3981)/J3981))</f>
        <v/>
      </c>
      <c r="M3981" s="5" t="n"/>
      <c r="N3981" s="5" t="n"/>
      <c r="O3981" s="5" t="n"/>
      <c r="P3981" s="5" t="n"/>
      <c r="Q3981" s="5" t="n"/>
      <c r="R3981" s="4" t="n"/>
      <c r="S3981" s="4" t="n"/>
      <c r="T3981" s="5" t="n"/>
      <c r="U3981" s="8">
        <f>IF(AND(V3981=1,D3981&lt;&gt;""),IF(D3981&gt;=corte,TODAY()-D3981,""),"")</f>
        <v/>
      </c>
      <c r="V3981" s="8">
        <f>IF(D3981="",0,IF(OR(AND(P3981&lt;&gt;"",S3981=""),AND(N(J3981)&gt;0,N(K3981)&lt;J3981),OR(M3981="PENDENTE",M3981="PARCIAL"),OR(N3981="PENDENTE",N3981="PARCIAL")),1,0))</f>
        <v/>
      </c>
      <c r="W3981" s="8">
        <f>IF(AND(V3981=1,D3981&lt;&gt;""),IF(D3981&gt;=corte,(B3981="CRÍTICO")*1E9+(100000-D3981)*10000+10000-ROW(),""),"")</f>
        <v/>
      </c>
      <c r="X3981" s="8">
        <f>IF(AND(V3981=1,D3981=pas_data,E3981=pas_turno),10000-ROW(),"")</f>
        <v/>
      </c>
    </row>
    <row r="3982">
      <c r="A3982" s="3">
        <f>IF(D3982="","","TT-"&amp;TEXT(ROW()-1,"00000"))</f>
        <v/>
      </c>
      <c r="B3982" s="3">
        <f>IF(D3982="","",IF(V3982=0,"CONCLUÍDO",IF(D3982&lt;corte,"HISTÓRICO",IF(OR(AND(ISNUMBER(R3982),R3982&lt;TODAY()),AND(OR(N3982="PENDENTE",N3982="PARCIAL"),D3982&lt;TODAY()-1)),"CRÍTICO",IF(OR(AND(P3982&lt;&gt;"",S3982=""),AND(N3982="REALIZADO",M3982="PENDENTE"),AND(ISNUMBER(R3982),R3982=TODAY())),"ATENÇÃO",IF(N(K3982)=0,"PENDENTE","EM ANDAMENTO"))))))</f>
        <v/>
      </c>
      <c r="C3982" s="3">
        <f>IF(D3982="","",IF(V3982=0,"🟢 OK",IF(D3982&lt;corte,"⚪ HISTÓRICO (sem baixa)",IF(AND(ISNUMBER(R3982),R3982&lt;TODAY()),"🔴 PRAZO VENCIDO",IF(AND(OR(N3982="PENDENTE",N3982="PARCIAL"),D3982&lt;TODAY()-1),"🔴 EMBARQUE ATRASADO",IF(AND(N3982="REALIZADO",M3982="PENDENTE"),"🟡 EMBARCADO SEM FATURAR",IF(AND(P3982&lt;&gt;"",S3982="",OR(Q3982="",R3982="")),"🟡 PENDÊNCIA SEM RESPONSÁVEL/PRAZO",IF(AND(ISNUMBER(R3982),R3982=TODAY()),"🟡 VENCE HOJE",IF(AND(P3982&lt;&gt;"",S3982=""),"🟡 PENDÊNCIA ABERTA",IF(AND(N(J3982)&gt;0,N(K3982)&lt;J3982),"🟡 FALTA EXECUTAR",IF(OR(M3982="PENDENTE",M3982="PARCIAL"),"🟡 FATURAMENTO PENDENTE","🟡 EMBARQUE PENDENTE")))))))))))</f>
        <v/>
      </c>
      <c r="D3982" s="4" t="n"/>
      <c r="E3982" s="5" t="n"/>
      <c r="F3982" s="5" t="n"/>
      <c r="G3982" s="5" t="n"/>
      <c r="H3982" s="5" t="n"/>
      <c r="I3982" s="5" t="n"/>
      <c r="J3982" s="6" t="n"/>
      <c r="K3982" s="6" t="n"/>
      <c r="L3982" s="7">
        <f>IF(OR(D3982="",N(J3982)=0),"",MIN(1,N(K3982)/J3982))</f>
        <v/>
      </c>
      <c r="M3982" s="5" t="n"/>
      <c r="N3982" s="5" t="n"/>
      <c r="O3982" s="5" t="n"/>
      <c r="P3982" s="5" t="n"/>
      <c r="Q3982" s="5" t="n"/>
      <c r="R3982" s="4" t="n"/>
      <c r="S3982" s="4" t="n"/>
      <c r="T3982" s="5" t="n"/>
      <c r="U3982" s="8">
        <f>IF(AND(V3982=1,D3982&lt;&gt;""),IF(D3982&gt;=corte,TODAY()-D3982,""),"")</f>
        <v/>
      </c>
      <c r="V3982" s="8">
        <f>IF(D3982="",0,IF(OR(AND(P3982&lt;&gt;"",S3982=""),AND(N(J3982)&gt;0,N(K3982)&lt;J3982),OR(M3982="PENDENTE",M3982="PARCIAL"),OR(N3982="PENDENTE",N3982="PARCIAL")),1,0))</f>
        <v/>
      </c>
      <c r="W3982" s="8">
        <f>IF(AND(V3982=1,D3982&lt;&gt;""),IF(D3982&gt;=corte,(B3982="CRÍTICO")*1E9+(100000-D3982)*10000+10000-ROW(),""),"")</f>
        <v/>
      </c>
      <c r="X3982" s="8">
        <f>IF(AND(V3982=1,D3982=pas_data,E3982=pas_turno),10000-ROW(),"")</f>
        <v/>
      </c>
    </row>
    <row r="3983">
      <c r="A3983" s="3">
        <f>IF(D3983="","","TT-"&amp;TEXT(ROW()-1,"00000"))</f>
        <v/>
      </c>
      <c r="B3983" s="3">
        <f>IF(D3983="","",IF(V3983=0,"CONCLUÍDO",IF(D3983&lt;corte,"HISTÓRICO",IF(OR(AND(ISNUMBER(R3983),R3983&lt;TODAY()),AND(OR(N3983="PENDENTE",N3983="PARCIAL"),D3983&lt;TODAY()-1)),"CRÍTICO",IF(OR(AND(P3983&lt;&gt;"",S3983=""),AND(N3983="REALIZADO",M3983="PENDENTE"),AND(ISNUMBER(R3983),R3983=TODAY())),"ATENÇÃO",IF(N(K3983)=0,"PENDENTE","EM ANDAMENTO"))))))</f>
        <v/>
      </c>
      <c r="C3983" s="3">
        <f>IF(D3983="","",IF(V3983=0,"🟢 OK",IF(D3983&lt;corte,"⚪ HISTÓRICO (sem baixa)",IF(AND(ISNUMBER(R3983),R3983&lt;TODAY()),"🔴 PRAZO VENCIDO",IF(AND(OR(N3983="PENDENTE",N3983="PARCIAL"),D3983&lt;TODAY()-1),"🔴 EMBARQUE ATRASADO",IF(AND(N3983="REALIZADO",M3983="PENDENTE"),"🟡 EMBARCADO SEM FATURAR",IF(AND(P3983&lt;&gt;"",S3983="",OR(Q3983="",R3983="")),"🟡 PENDÊNCIA SEM RESPONSÁVEL/PRAZO",IF(AND(ISNUMBER(R3983),R3983=TODAY()),"🟡 VENCE HOJE",IF(AND(P3983&lt;&gt;"",S3983=""),"🟡 PENDÊNCIA ABERTA",IF(AND(N(J3983)&gt;0,N(K3983)&lt;J3983),"🟡 FALTA EXECUTAR",IF(OR(M3983="PENDENTE",M3983="PARCIAL"),"🟡 FATURAMENTO PENDENTE","🟡 EMBARQUE PENDENTE")))))))))))</f>
        <v/>
      </c>
      <c r="D3983" s="4" t="n"/>
      <c r="E3983" s="5" t="n"/>
      <c r="F3983" s="5" t="n"/>
      <c r="G3983" s="5" t="n"/>
      <c r="H3983" s="5" t="n"/>
      <c r="I3983" s="5" t="n"/>
      <c r="J3983" s="6" t="n"/>
      <c r="K3983" s="6" t="n"/>
      <c r="L3983" s="7">
        <f>IF(OR(D3983="",N(J3983)=0),"",MIN(1,N(K3983)/J3983))</f>
        <v/>
      </c>
      <c r="M3983" s="5" t="n"/>
      <c r="N3983" s="5" t="n"/>
      <c r="O3983" s="5" t="n"/>
      <c r="P3983" s="5" t="n"/>
      <c r="Q3983" s="5" t="n"/>
      <c r="R3983" s="4" t="n"/>
      <c r="S3983" s="4" t="n"/>
      <c r="T3983" s="5" t="n"/>
      <c r="U3983" s="8">
        <f>IF(AND(V3983=1,D3983&lt;&gt;""),IF(D3983&gt;=corte,TODAY()-D3983,""),"")</f>
        <v/>
      </c>
      <c r="V3983" s="8">
        <f>IF(D3983="",0,IF(OR(AND(P3983&lt;&gt;"",S3983=""),AND(N(J3983)&gt;0,N(K3983)&lt;J3983),OR(M3983="PENDENTE",M3983="PARCIAL"),OR(N3983="PENDENTE",N3983="PARCIAL")),1,0))</f>
        <v/>
      </c>
      <c r="W3983" s="8">
        <f>IF(AND(V3983=1,D3983&lt;&gt;""),IF(D3983&gt;=corte,(B3983="CRÍTICO")*1E9+(100000-D3983)*10000+10000-ROW(),""),"")</f>
        <v/>
      </c>
      <c r="X3983" s="8">
        <f>IF(AND(V3983=1,D3983=pas_data,E3983=pas_turno),10000-ROW(),"")</f>
        <v/>
      </c>
    </row>
    <row r="3984">
      <c r="A3984" s="3">
        <f>IF(D3984="","","TT-"&amp;TEXT(ROW()-1,"00000"))</f>
        <v/>
      </c>
      <c r="B3984" s="3">
        <f>IF(D3984="","",IF(V3984=0,"CONCLUÍDO",IF(D3984&lt;corte,"HISTÓRICO",IF(OR(AND(ISNUMBER(R3984),R3984&lt;TODAY()),AND(OR(N3984="PENDENTE",N3984="PARCIAL"),D3984&lt;TODAY()-1)),"CRÍTICO",IF(OR(AND(P3984&lt;&gt;"",S3984=""),AND(N3984="REALIZADO",M3984="PENDENTE"),AND(ISNUMBER(R3984),R3984=TODAY())),"ATENÇÃO",IF(N(K3984)=0,"PENDENTE","EM ANDAMENTO"))))))</f>
        <v/>
      </c>
      <c r="C3984" s="3">
        <f>IF(D3984="","",IF(V3984=0,"🟢 OK",IF(D3984&lt;corte,"⚪ HISTÓRICO (sem baixa)",IF(AND(ISNUMBER(R3984),R3984&lt;TODAY()),"🔴 PRAZO VENCIDO",IF(AND(OR(N3984="PENDENTE",N3984="PARCIAL"),D3984&lt;TODAY()-1),"🔴 EMBARQUE ATRASADO",IF(AND(N3984="REALIZADO",M3984="PENDENTE"),"🟡 EMBARCADO SEM FATURAR",IF(AND(P3984&lt;&gt;"",S3984="",OR(Q3984="",R3984="")),"🟡 PENDÊNCIA SEM RESPONSÁVEL/PRAZO",IF(AND(ISNUMBER(R3984),R3984=TODAY()),"🟡 VENCE HOJE",IF(AND(P3984&lt;&gt;"",S3984=""),"🟡 PENDÊNCIA ABERTA",IF(AND(N(J3984)&gt;0,N(K3984)&lt;J3984),"🟡 FALTA EXECUTAR",IF(OR(M3984="PENDENTE",M3984="PARCIAL"),"🟡 FATURAMENTO PENDENTE","🟡 EMBARQUE PENDENTE")))))))))))</f>
        <v/>
      </c>
      <c r="D3984" s="4" t="n"/>
      <c r="E3984" s="5" t="n"/>
      <c r="F3984" s="5" t="n"/>
      <c r="G3984" s="5" t="n"/>
      <c r="H3984" s="5" t="n"/>
      <c r="I3984" s="5" t="n"/>
      <c r="J3984" s="6" t="n"/>
      <c r="K3984" s="6" t="n"/>
      <c r="L3984" s="7">
        <f>IF(OR(D3984="",N(J3984)=0),"",MIN(1,N(K3984)/J3984))</f>
        <v/>
      </c>
      <c r="M3984" s="5" t="n"/>
      <c r="N3984" s="5" t="n"/>
      <c r="O3984" s="5" t="n"/>
      <c r="P3984" s="5" t="n"/>
      <c r="Q3984" s="5" t="n"/>
      <c r="R3984" s="4" t="n"/>
      <c r="S3984" s="4" t="n"/>
      <c r="T3984" s="5" t="n"/>
      <c r="U3984" s="8">
        <f>IF(AND(V3984=1,D3984&lt;&gt;""),IF(D3984&gt;=corte,TODAY()-D3984,""),"")</f>
        <v/>
      </c>
      <c r="V3984" s="8">
        <f>IF(D3984="",0,IF(OR(AND(P3984&lt;&gt;"",S3984=""),AND(N(J3984)&gt;0,N(K3984)&lt;J3984),OR(M3984="PENDENTE",M3984="PARCIAL"),OR(N3984="PENDENTE",N3984="PARCIAL")),1,0))</f>
        <v/>
      </c>
      <c r="W3984" s="8">
        <f>IF(AND(V3984=1,D3984&lt;&gt;""),IF(D3984&gt;=corte,(B3984="CRÍTICO")*1E9+(100000-D3984)*10000+10000-ROW(),""),"")</f>
        <v/>
      </c>
      <c r="X3984" s="8">
        <f>IF(AND(V3984=1,D3984=pas_data,E3984=pas_turno),10000-ROW(),"")</f>
        <v/>
      </c>
    </row>
    <row r="3985">
      <c r="A3985" s="3">
        <f>IF(D3985="","","TT-"&amp;TEXT(ROW()-1,"00000"))</f>
        <v/>
      </c>
      <c r="B3985" s="3">
        <f>IF(D3985="","",IF(V3985=0,"CONCLUÍDO",IF(D3985&lt;corte,"HISTÓRICO",IF(OR(AND(ISNUMBER(R3985),R3985&lt;TODAY()),AND(OR(N3985="PENDENTE",N3985="PARCIAL"),D3985&lt;TODAY()-1)),"CRÍTICO",IF(OR(AND(P3985&lt;&gt;"",S3985=""),AND(N3985="REALIZADO",M3985="PENDENTE"),AND(ISNUMBER(R3985),R3985=TODAY())),"ATENÇÃO",IF(N(K3985)=0,"PENDENTE","EM ANDAMENTO"))))))</f>
        <v/>
      </c>
      <c r="C3985" s="3">
        <f>IF(D3985="","",IF(V3985=0,"🟢 OK",IF(D3985&lt;corte,"⚪ HISTÓRICO (sem baixa)",IF(AND(ISNUMBER(R3985),R3985&lt;TODAY()),"🔴 PRAZO VENCIDO",IF(AND(OR(N3985="PENDENTE",N3985="PARCIAL"),D3985&lt;TODAY()-1),"🔴 EMBARQUE ATRASADO",IF(AND(N3985="REALIZADO",M3985="PENDENTE"),"🟡 EMBARCADO SEM FATURAR",IF(AND(P3985&lt;&gt;"",S3985="",OR(Q3985="",R3985="")),"🟡 PENDÊNCIA SEM RESPONSÁVEL/PRAZO",IF(AND(ISNUMBER(R3985),R3985=TODAY()),"🟡 VENCE HOJE",IF(AND(P3985&lt;&gt;"",S3985=""),"🟡 PENDÊNCIA ABERTA",IF(AND(N(J3985)&gt;0,N(K3985)&lt;J3985),"🟡 FALTA EXECUTAR",IF(OR(M3985="PENDENTE",M3985="PARCIAL"),"🟡 FATURAMENTO PENDENTE","🟡 EMBARQUE PENDENTE")))))))))))</f>
        <v/>
      </c>
      <c r="D3985" s="4" t="n"/>
      <c r="E3985" s="5" t="n"/>
      <c r="F3985" s="5" t="n"/>
      <c r="G3985" s="5" t="n"/>
      <c r="H3985" s="5" t="n"/>
      <c r="I3985" s="5" t="n"/>
      <c r="J3985" s="6" t="n"/>
      <c r="K3985" s="6" t="n"/>
      <c r="L3985" s="7">
        <f>IF(OR(D3985="",N(J3985)=0),"",MIN(1,N(K3985)/J3985))</f>
        <v/>
      </c>
      <c r="M3985" s="5" t="n"/>
      <c r="N3985" s="5" t="n"/>
      <c r="O3985" s="5" t="n"/>
      <c r="P3985" s="5" t="n"/>
      <c r="Q3985" s="5" t="n"/>
      <c r="R3985" s="4" t="n"/>
      <c r="S3985" s="4" t="n"/>
      <c r="T3985" s="5" t="n"/>
      <c r="U3985" s="8">
        <f>IF(AND(V3985=1,D3985&lt;&gt;""),IF(D3985&gt;=corte,TODAY()-D3985,""),"")</f>
        <v/>
      </c>
      <c r="V3985" s="8">
        <f>IF(D3985="",0,IF(OR(AND(P3985&lt;&gt;"",S3985=""),AND(N(J3985)&gt;0,N(K3985)&lt;J3985),OR(M3985="PENDENTE",M3985="PARCIAL"),OR(N3985="PENDENTE",N3985="PARCIAL")),1,0))</f>
        <v/>
      </c>
      <c r="W3985" s="8">
        <f>IF(AND(V3985=1,D3985&lt;&gt;""),IF(D3985&gt;=corte,(B3985="CRÍTICO")*1E9+(100000-D3985)*10000+10000-ROW(),""),"")</f>
        <v/>
      </c>
      <c r="X3985" s="8">
        <f>IF(AND(V3985=1,D3985=pas_data,E3985=pas_turno),10000-ROW(),"")</f>
        <v/>
      </c>
    </row>
    <row r="3986">
      <c r="A3986" s="3">
        <f>IF(D3986="","","TT-"&amp;TEXT(ROW()-1,"00000"))</f>
        <v/>
      </c>
      <c r="B3986" s="3">
        <f>IF(D3986="","",IF(V3986=0,"CONCLUÍDO",IF(D3986&lt;corte,"HISTÓRICO",IF(OR(AND(ISNUMBER(R3986),R3986&lt;TODAY()),AND(OR(N3986="PENDENTE",N3986="PARCIAL"),D3986&lt;TODAY()-1)),"CRÍTICO",IF(OR(AND(P3986&lt;&gt;"",S3986=""),AND(N3986="REALIZADO",M3986="PENDENTE"),AND(ISNUMBER(R3986),R3986=TODAY())),"ATENÇÃO",IF(N(K3986)=0,"PENDENTE","EM ANDAMENTO"))))))</f>
        <v/>
      </c>
      <c r="C3986" s="3">
        <f>IF(D3986="","",IF(V3986=0,"🟢 OK",IF(D3986&lt;corte,"⚪ HISTÓRICO (sem baixa)",IF(AND(ISNUMBER(R3986),R3986&lt;TODAY()),"🔴 PRAZO VENCIDO",IF(AND(OR(N3986="PENDENTE",N3986="PARCIAL"),D3986&lt;TODAY()-1),"🔴 EMBARQUE ATRASADO",IF(AND(N3986="REALIZADO",M3986="PENDENTE"),"🟡 EMBARCADO SEM FATURAR",IF(AND(P3986&lt;&gt;"",S3986="",OR(Q3986="",R3986="")),"🟡 PENDÊNCIA SEM RESPONSÁVEL/PRAZO",IF(AND(ISNUMBER(R3986),R3986=TODAY()),"🟡 VENCE HOJE",IF(AND(P3986&lt;&gt;"",S3986=""),"🟡 PENDÊNCIA ABERTA",IF(AND(N(J3986)&gt;0,N(K3986)&lt;J3986),"🟡 FALTA EXECUTAR",IF(OR(M3986="PENDENTE",M3986="PARCIAL"),"🟡 FATURAMENTO PENDENTE","🟡 EMBARQUE PENDENTE")))))))))))</f>
        <v/>
      </c>
      <c r="D3986" s="4" t="n"/>
      <c r="E3986" s="5" t="n"/>
      <c r="F3986" s="5" t="n"/>
      <c r="G3986" s="5" t="n"/>
      <c r="H3986" s="5" t="n"/>
      <c r="I3986" s="5" t="n"/>
      <c r="J3986" s="6" t="n"/>
      <c r="K3986" s="6" t="n"/>
      <c r="L3986" s="7">
        <f>IF(OR(D3986="",N(J3986)=0),"",MIN(1,N(K3986)/J3986))</f>
        <v/>
      </c>
      <c r="M3986" s="5" t="n"/>
      <c r="N3986" s="5" t="n"/>
      <c r="O3986" s="5" t="n"/>
      <c r="P3986" s="5" t="n"/>
      <c r="Q3986" s="5" t="n"/>
      <c r="R3986" s="4" t="n"/>
      <c r="S3986" s="4" t="n"/>
      <c r="T3986" s="5" t="n"/>
      <c r="U3986" s="8">
        <f>IF(AND(V3986=1,D3986&lt;&gt;""),IF(D3986&gt;=corte,TODAY()-D3986,""),"")</f>
        <v/>
      </c>
      <c r="V3986" s="8">
        <f>IF(D3986="",0,IF(OR(AND(P3986&lt;&gt;"",S3986=""),AND(N(J3986)&gt;0,N(K3986)&lt;J3986),OR(M3986="PENDENTE",M3986="PARCIAL"),OR(N3986="PENDENTE",N3986="PARCIAL")),1,0))</f>
        <v/>
      </c>
      <c r="W3986" s="8">
        <f>IF(AND(V3986=1,D3986&lt;&gt;""),IF(D3986&gt;=corte,(B3986="CRÍTICO")*1E9+(100000-D3986)*10000+10000-ROW(),""),"")</f>
        <v/>
      </c>
      <c r="X3986" s="8">
        <f>IF(AND(V3986=1,D3986=pas_data,E3986=pas_turno),10000-ROW(),"")</f>
        <v/>
      </c>
    </row>
    <row r="3987">
      <c r="A3987" s="3">
        <f>IF(D3987="","","TT-"&amp;TEXT(ROW()-1,"00000"))</f>
        <v/>
      </c>
      <c r="B3987" s="3">
        <f>IF(D3987="","",IF(V3987=0,"CONCLUÍDO",IF(D3987&lt;corte,"HISTÓRICO",IF(OR(AND(ISNUMBER(R3987),R3987&lt;TODAY()),AND(OR(N3987="PENDENTE",N3987="PARCIAL"),D3987&lt;TODAY()-1)),"CRÍTICO",IF(OR(AND(P3987&lt;&gt;"",S3987=""),AND(N3987="REALIZADO",M3987="PENDENTE"),AND(ISNUMBER(R3987),R3987=TODAY())),"ATENÇÃO",IF(N(K3987)=0,"PENDENTE","EM ANDAMENTO"))))))</f>
        <v/>
      </c>
      <c r="C3987" s="3">
        <f>IF(D3987="","",IF(V3987=0,"🟢 OK",IF(D3987&lt;corte,"⚪ HISTÓRICO (sem baixa)",IF(AND(ISNUMBER(R3987),R3987&lt;TODAY()),"🔴 PRAZO VENCIDO",IF(AND(OR(N3987="PENDENTE",N3987="PARCIAL"),D3987&lt;TODAY()-1),"🔴 EMBARQUE ATRASADO",IF(AND(N3987="REALIZADO",M3987="PENDENTE"),"🟡 EMBARCADO SEM FATURAR",IF(AND(P3987&lt;&gt;"",S3987="",OR(Q3987="",R3987="")),"🟡 PENDÊNCIA SEM RESPONSÁVEL/PRAZO",IF(AND(ISNUMBER(R3987),R3987=TODAY()),"🟡 VENCE HOJE",IF(AND(P3987&lt;&gt;"",S3987=""),"🟡 PENDÊNCIA ABERTA",IF(AND(N(J3987)&gt;0,N(K3987)&lt;J3987),"🟡 FALTA EXECUTAR",IF(OR(M3987="PENDENTE",M3987="PARCIAL"),"🟡 FATURAMENTO PENDENTE","🟡 EMBARQUE PENDENTE")))))))))))</f>
        <v/>
      </c>
      <c r="D3987" s="4" t="n"/>
      <c r="E3987" s="5" t="n"/>
      <c r="F3987" s="5" t="n"/>
      <c r="G3987" s="5" t="n"/>
      <c r="H3987" s="5" t="n"/>
      <c r="I3987" s="5" t="n"/>
      <c r="J3987" s="6" t="n"/>
      <c r="K3987" s="6" t="n"/>
      <c r="L3987" s="7">
        <f>IF(OR(D3987="",N(J3987)=0),"",MIN(1,N(K3987)/J3987))</f>
        <v/>
      </c>
      <c r="M3987" s="5" t="n"/>
      <c r="N3987" s="5" t="n"/>
      <c r="O3987" s="5" t="n"/>
      <c r="P3987" s="5" t="n"/>
      <c r="Q3987" s="5" t="n"/>
      <c r="R3987" s="4" t="n"/>
      <c r="S3987" s="4" t="n"/>
      <c r="T3987" s="5" t="n"/>
      <c r="U3987" s="8">
        <f>IF(AND(V3987=1,D3987&lt;&gt;""),IF(D3987&gt;=corte,TODAY()-D3987,""),"")</f>
        <v/>
      </c>
      <c r="V3987" s="8">
        <f>IF(D3987="",0,IF(OR(AND(P3987&lt;&gt;"",S3987=""),AND(N(J3987)&gt;0,N(K3987)&lt;J3987),OR(M3987="PENDENTE",M3987="PARCIAL"),OR(N3987="PENDENTE",N3987="PARCIAL")),1,0))</f>
        <v/>
      </c>
      <c r="W3987" s="8">
        <f>IF(AND(V3987=1,D3987&lt;&gt;""),IF(D3987&gt;=corte,(B3987="CRÍTICO")*1E9+(100000-D3987)*10000+10000-ROW(),""),"")</f>
        <v/>
      </c>
      <c r="X3987" s="8">
        <f>IF(AND(V3987=1,D3987=pas_data,E3987=pas_turno),10000-ROW(),"")</f>
        <v/>
      </c>
    </row>
    <row r="3988">
      <c r="A3988" s="3">
        <f>IF(D3988="","","TT-"&amp;TEXT(ROW()-1,"00000"))</f>
        <v/>
      </c>
      <c r="B3988" s="3">
        <f>IF(D3988="","",IF(V3988=0,"CONCLUÍDO",IF(D3988&lt;corte,"HISTÓRICO",IF(OR(AND(ISNUMBER(R3988),R3988&lt;TODAY()),AND(OR(N3988="PENDENTE",N3988="PARCIAL"),D3988&lt;TODAY()-1)),"CRÍTICO",IF(OR(AND(P3988&lt;&gt;"",S3988=""),AND(N3988="REALIZADO",M3988="PENDENTE"),AND(ISNUMBER(R3988),R3988=TODAY())),"ATENÇÃO",IF(N(K3988)=0,"PENDENTE","EM ANDAMENTO"))))))</f>
        <v/>
      </c>
      <c r="C3988" s="3">
        <f>IF(D3988="","",IF(V3988=0,"🟢 OK",IF(D3988&lt;corte,"⚪ HISTÓRICO (sem baixa)",IF(AND(ISNUMBER(R3988),R3988&lt;TODAY()),"🔴 PRAZO VENCIDO",IF(AND(OR(N3988="PENDENTE",N3988="PARCIAL"),D3988&lt;TODAY()-1),"🔴 EMBARQUE ATRASADO",IF(AND(N3988="REALIZADO",M3988="PENDENTE"),"🟡 EMBARCADO SEM FATURAR",IF(AND(P3988&lt;&gt;"",S3988="",OR(Q3988="",R3988="")),"🟡 PENDÊNCIA SEM RESPONSÁVEL/PRAZO",IF(AND(ISNUMBER(R3988),R3988=TODAY()),"🟡 VENCE HOJE",IF(AND(P3988&lt;&gt;"",S3988=""),"🟡 PENDÊNCIA ABERTA",IF(AND(N(J3988)&gt;0,N(K3988)&lt;J3988),"🟡 FALTA EXECUTAR",IF(OR(M3988="PENDENTE",M3988="PARCIAL"),"🟡 FATURAMENTO PENDENTE","🟡 EMBARQUE PENDENTE")))))))))))</f>
        <v/>
      </c>
      <c r="D3988" s="4" t="n"/>
      <c r="E3988" s="5" t="n"/>
      <c r="F3988" s="5" t="n"/>
      <c r="G3988" s="5" t="n"/>
      <c r="H3988" s="5" t="n"/>
      <c r="I3988" s="5" t="n"/>
      <c r="J3988" s="6" t="n"/>
      <c r="K3988" s="6" t="n"/>
      <c r="L3988" s="7">
        <f>IF(OR(D3988="",N(J3988)=0),"",MIN(1,N(K3988)/J3988))</f>
        <v/>
      </c>
      <c r="M3988" s="5" t="n"/>
      <c r="N3988" s="5" t="n"/>
      <c r="O3988" s="5" t="n"/>
      <c r="P3988" s="5" t="n"/>
      <c r="Q3988" s="5" t="n"/>
      <c r="R3988" s="4" t="n"/>
      <c r="S3988" s="4" t="n"/>
      <c r="T3988" s="5" t="n"/>
      <c r="U3988" s="8">
        <f>IF(AND(V3988=1,D3988&lt;&gt;""),IF(D3988&gt;=corte,TODAY()-D3988,""),"")</f>
        <v/>
      </c>
      <c r="V3988" s="8">
        <f>IF(D3988="",0,IF(OR(AND(P3988&lt;&gt;"",S3988=""),AND(N(J3988)&gt;0,N(K3988)&lt;J3988),OR(M3988="PENDENTE",M3988="PARCIAL"),OR(N3988="PENDENTE",N3988="PARCIAL")),1,0))</f>
        <v/>
      </c>
      <c r="W3988" s="8">
        <f>IF(AND(V3988=1,D3988&lt;&gt;""),IF(D3988&gt;=corte,(B3988="CRÍTICO")*1E9+(100000-D3988)*10000+10000-ROW(),""),"")</f>
        <v/>
      </c>
      <c r="X3988" s="8">
        <f>IF(AND(V3988=1,D3988=pas_data,E3988=pas_turno),10000-ROW(),"")</f>
        <v/>
      </c>
    </row>
    <row r="3989">
      <c r="A3989" s="3">
        <f>IF(D3989="","","TT-"&amp;TEXT(ROW()-1,"00000"))</f>
        <v/>
      </c>
      <c r="B3989" s="3">
        <f>IF(D3989="","",IF(V3989=0,"CONCLUÍDO",IF(D3989&lt;corte,"HISTÓRICO",IF(OR(AND(ISNUMBER(R3989),R3989&lt;TODAY()),AND(OR(N3989="PENDENTE",N3989="PARCIAL"),D3989&lt;TODAY()-1)),"CRÍTICO",IF(OR(AND(P3989&lt;&gt;"",S3989=""),AND(N3989="REALIZADO",M3989="PENDENTE"),AND(ISNUMBER(R3989),R3989=TODAY())),"ATENÇÃO",IF(N(K3989)=0,"PENDENTE","EM ANDAMENTO"))))))</f>
        <v/>
      </c>
      <c r="C3989" s="3">
        <f>IF(D3989="","",IF(V3989=0,"🟢 OK",IF(D3989&lt;corte,"⚪ HISTÓRICO (sem baixa)",IF(AND(ISNUMBER(R3989),R3989&lt;TODAY()),"🔴 PRAZO VENCIDO",IF(AND(OR(N3989="PENDENTE",N3989="PARCIAL"),D3989&lt;TODAY()-1),"🔴 EMBARQUE ATRASADO",IF(AND(N3989="REALIZADO",M3989="PENDENTE"),"🟡 EMBARCADO SEM FATURAR",IF(AND(P3989&lt;&gt;"",S3989="",OR(Q3989="",R3989="")),"🟡 PENDÊNCIA SEM RESPONSÁVEL/PRAZO",IF(AND(ISNUMBER(R3989),R3989=TODAY()),"🟡 VENCE HOJE",IF(AND(P3989&lt;&gt;"",S3989=""),"🟡 PENDÊNCIA ABERTA",IF(AND(N(J3989)&gt;0,N(K3989)&lt;J3989),"🟡 FALTA EXECUTAR",IF(OR(M3989="PENDENTE",M3989="PARCIAL"),"🟡 FATURAMENTO PENDENTE","🟡 EMBARQUE PENDENTE")))))))))))</f>
        <v/>
      </c>
      <c r="D3989" s="4" t="n"/>
      <c r="E3989" s="5" t="n"/>
      <c r="F3989" s="5" t="n"/>
      <c r="G3989" s="5" t="n"/>
      <c r="H3989" s="5" t="n"/>
      <c r="I3989" s="5" t="n"/>
      <c r="J3989" s="6" t="n"/>
      <c r="K3989" s="6" t="n"/>
      <c r="L3989" s="7">
        <f>IF(OR(D3989="",N(J3989)=0),"",MIN(1,N(K3989)/J3989))</f>
        <v/>
      </c>
      <c r="M3989" s="5" t="n"/>
      <c r="N3989" s="5" t="n"/>
      <c r="O3989" s="5" t="n"/>
      <c r="P3989" s="5" t="n"/>
      <c r="Q3989" s="5" t="n"/>
      <c r="R3989" s="4" t="n"/>
      <c r="S3989" s="4" t="n"/>
      <c r="T3989" s="5" t="n"/>
      <c r="U3989" s="8">
        <f>IF(AND(V3989=1,D3989&lt;&gt;""),IF(D3989&gt;=corte,TODAY()-D3989,""),"")</f>
        <v/>
      </c>
      <c r="V3989" s="8">
        <f>IF(D3989="",0,IF(OR(AND(P3989&lt;&gt;"",S3989=""),AND(N(J3989)&gt;0,N(K3989)&lt;J3989),OR(M3989="PENDENTE",M3989="PARCIAL"),OR(N3989="PENDENTE",N3989="PARCIAL")),1,0))</f>
        <v/>
      </c>
      <c r="W3989" s="8">
        <f>IF(AND(V3989=1,D3989&lt;&gt;""),IF(D3989&gt;=corte,(B3989="CRÍTICO")*1E9+(100000-D3989)*10000+10000-ROW(),""),"")</f>
        <v/>
      </c>
      <c r="X3989" s="8">
        <f>IF(AND(V3989=1,D3989=pas_data,E3989=pas_turno),10000-ROW(),"")</f>
        <v/>
      </c>
    </row>
    <row r="3990">
      <c r="A3990" s="3">
        <f>IF(D3990="","","TT-"&amp;TEXT(ROW()-1,"00000"))</f>
        <v/>
      </c>
      <c r="B3990" s="3">
        <f>IF(D3990="","",IF(V3990=0,"CONCLUÍDO",IF(D3990&lt;corte,"HISTÓRICO",IF(OR(AND(ISNUMBER(R3990),R3990&lt;TODAY()),AND(OR(N3990="PENDENTE",N3990="PARCIAL"),D3990&lt;TODAY()-1)),"CRÍTICO",IF(OR(AND(P3990&lt;&gt;"",S3990=""),AND(N3990="REALIZADO",M3990="PENDENTE"),AND(ISNUMBER(R3990),R3990=TODAY())),"ATENÇÃO",IF(N(K3990)=0,"PENDENTE","EM ANDAMENTO"))))))</f>
        <v/>
      </c>
      <c r="C3990" s="3">
        <f>IF(D3990="","",IF(V3990=0,"🟢 OK",IF(D3990&lt;corte,"⚪ HISTÓRICO (sem baixa)",IF(AND(ISNUMBER(R3990),R3990&lt;TODAY()),"🔴 PRAZO VENCIDO",IF(AND(OR(N3990="PENDENTE",N3990="PARCIAL"),D3990&lt;TODAY()-1),"🔴 EMBARQUE ATRASADO",IF(AND(N3990="REALIZADO",M3990="PENDENTE"),"🟡 EMBARCADO SEM FATURAR",IF(AND(P3990&lt;&gt;"",S3990="",OR(Q3990="",R3990="")),"🟡 PENDÊNCIA SEM RESPONSÁVEL/PRAZO",IF(AND(ISNUMBER(R3990),R3990=TODAY()),"🟡 VENCE HOJE",IF(AND(P3990&lt;&gt;"",S3990=""),"🟡 PENDÊNCIA ABERTA",IF(AND(N(J3990)&gt;0,N(K3990)&lt;J3990),"🟡 FALTA EXECUTAR",IF(OR(M3990="PENDENTE",M3990="PARCIAL"),"🟡 FATURAMENTO PENDENTE","🟡 EMBARQUE PENDENTE")))))))))))</f>
        <v/>
      </c>
      <c r="D3990" s="4" t="n"/>
      <c r="E3990" s="5" t="n"/>
      <c r="F3990" s="5" t="n"/>
      <c r="G3990" s="5" t="n"/>
      <c r="H3990" s="5" t="n"/>
      <c r="I3990" s="5" t="n"/>
      <c r="J3990" s="6" t="n"/>
      <c r="K3990" s="6" t="n"/>
      <c r="L3990" s="7">
        <f>IF(OR(D3990="",N(J3990)=0),"",MIN(1,N(K3990)/J3990))</f>
        <v/>
      </c>
      <c r="M3990" s="5" t="n"/>
      <c r="N3990" s="5" t="n"/>
      <c r="O3990" s="5" t="n"/>
      <c r="P3990" s="5" t="n"/>
      <c r="Q3990" s="5" t="n"/>
      <c r="R3990" s="4" t="n"/>
      <c r="S3990" s="4" t="n"/>
      <c r="T3990" s="5" t="n"/>
      <c r="U3990" s="8">
        <f>IF(AND(V3990=1,D3990&lt;&gt;""),IF(D3990&gt;=corte,TODAY()-D3990,""),"")</f>
        <v/>
      </c>
      <c r="V3990" s="8">
        <f>IF(D3990="",0,IF(OR(AND(P3990&lt;&gt;"",S3990=""),AND(N(J3990)&gt;0,N(K3990)&lt;J3990),OR(M3990="PENDENTE",M3990="PARCIAL"),OR(N3990="PENDENTE",N3990="PARCIAL")),1,0))</f>
        <v/>
      </c>
      <c r="W3990" s="8">
        <f>IF(AND(V3990=1,D3990&lt;&gt;""),IF(D3990&gt;=corte,(B3990="CRÍTICO")*1E9+(100000-D3990)*10000+10000-ROW(),""),"")</f>
        <v/>
      </c>
      <c r="X3990" s="8">
        <f>IF(AND(V3990=1,D3990=pas_data,E3990=pas_turno),10000-ROW(),"")</f>
        <v/>
      </c>
    </row>
    <row r="3991">
      <c r="A3991" s="3">
        <f>IF(D3991="","","TT-"&amp;TEXT(ROW()-1,"00000"))</f>
        <v/>
      </c>
      <c r="B3991" s="3">
        <f>IF(D3991="","",IF(V3991=0,"CONCLUÍDO",IF(D3991&lt;corte,"HISTÓRICO",IF(OR(AND(ISNUMBER(R3991),R3991&lt;TODAY()),AND(OR(N3991="PENDENTE",N3991="PARCIAL"),D3991&lt;TODAY()-1)),"CRÍTICO",IF(OR(AND(P3991&lt;&gt;"",S3991=""),AND(N3991="REALIZADO",M3991="PENDENTE"),AND(ISNUMBER(R3991),R3991=TODAY())),"ATENÇÃO",IF(N(K3991)=0,"PENDENTE","EM ANDAMENTO"))))))</f>
        <v/>
      </c>
      <c r="C3991" s="3">
        <f>IF(D3991="","",IF(V3991=0,"🟢 OK",IF(D3991&lt;corte,"⚪ HISTÓRICO (sem baixa)",IF(AND(ISNUMBER(R3991),R3991&lt;TODAY()),"🔴 PRAZO VENCIDO",IF(AND(OR(N3991="PENDENTE",N3991="PARCIAL"),D3991&lt;TODAY()-1),"🔴 EMBARQUE ATRASADO",IF(AND(N3991="REALIZADO",M3991="PENDENTE"),"🟡 EMBARCADO SEM FATURAR",IF(AND(P3991&lt;&gt;"",S3991="",OR(Q3991="",R3991="")),"🟡 PENDÊNCIA SEM RESPONSÁVEL/PRAZO",IF(AND(ISNUMBER(R3991),R3991=TODAY()),"🟡 VENCE HOJE",IF(AND(P3991&lt;&gt;"",S3991=""),"🟡 PENDÊNCIA ABERTA",IF(AND(N(J3991)&gt;0,N(K3991)&lt;J3991),"🟡 FALTA EXECUTAR",IF(OR(M3991="PENDENTE",M3991="PARCIAL"),"🟡 FATURAMENTO PENDENTE","🟡 EMBARQUE PENDENTE")))))))))))</f>
        <v/>
      </c>
      <c r="D3991" s="4" t="n"/>
      <c r="E3991" s="5" t="n"/>
      <c r="F3991" s="5" t="n"/>
      <c r="G3991" s="5" t="n"/>
      <c r="H3991" s="5" t="n"/>
      <c r="I3991" s="5" t="n"/>
      <c r="J3991" s="6" t="n"/>
      <c r="K3991" s="6" t="n"/>
      <c r="L3991" s="7">
        <f>IF(OR(D3991="",N(J3991)=0),"",MIN(1,N(K3991)/J3991))</f>
        <v/>
      </c>
      <c r="M3991" s="5" t="n"/>
      <c r="N3991" s="5" t="n"/>
      <c r="O3991" s="5" t="n"/>
      <c r="P3991" s="5" t="n"/>
      <c r="Q3991" s="5" t="n"/>
      <c r="R3991" s="4" t="n"/>
      <c r="S3991" s="4" t="n"/>
      <c r="T3991" s="5" t="n"/>
      <c r="U3991" s="8">
        <f>IF(AND(V3991=1,D3991&lt;&gt;""),IF(D3991&gt;=corte,TODAY()-D3991,""),"")</f>
        <v/>
      </c>
      <c r="V3991" s="8">
        <f>IF(D3991="",0,IF(OR(AND(P3991&lt;&gt;"",S3991=""),AND(N(J3991)&gt;0,N(K3991)&lt;J3991),OR(M3991="PENDENTE",M3991="PARCIAL"),OR(N3991="PENDENTE",N3991="PARCIAL")),1,0))</f>
        <v/>
      </c>
      <c r="W3991" s="8">
        <f>IF(AND(V3991=1,D3991&lt;&gt;""),IF(D3991&gt;=corte,(B3991="CRÍTICO")*1E9+(100000-D3991)*10000+10000-ROW(),""),"")</f>
        <v/>
      </c>
      <c r="X3991" s="8">
        <f>IF(AND(V3991=1,D3991=pas_data,E3991=pas_turno),10000-ROW(),"")</f>
        <v/>
      </c>
    </row>
    <row r="3992">
      <c r="A3992" s="3">
        <f>IF(D3992="","","TT-"&amp;TEXT(ROW()-1,"00000"))</f>
        <v/>
      </c>
      <c r="B3992" s="3">
        <f>IF(D3992="","",IF(V3992=0,"CONCLUÍDO",IF(D3992&lt;corte,"HISTÓRICO",IF(OR(AND(ISNUMBER(R3992),R3992&lt;TODAY()),AND(OR(N3992="PENDENTE",N3992="PARCIAL"),D3992&lt;TODAY()-1)),"CRÍTICO",IF(OR(AND(P3992&lt;&gt;"",S3992=""),AND(N3992="REALIZADO",M3992="PENDENTE"),AND(ISNUMBER(R3992),R3992=TODAY())),"ATENÇÃO",IF(N(K3992)=0,"PENDENTE","EM ANDAMENTO"))))))</f>
        <v/>
      </c>
      <c r="C3992" s="3">
        <f>IF(D3992="","",IF(V3992=0,"🟢 OK",IF(D3992&lt;corte,"⚪ HISTÓRICO (sem baixa)",IF(AND(ISNUMBER(R3992),R3992&lt;TODAY()),"🔴 PRAZO VENCIDO",IF(AND(OR(N3992="PENDENTE",N3992="PARCIAL"),D3992&lt;TODAY()-1),"🔴 EMBARQUE ATRASADO",IF(AND(N3992="REALIZADO",M3992="PENDENTE"),"🟡 EMBARCADO SEM FATURAR",IF(AND(P3992&lt;&gt;"",S3992="",OR(Q3992="",R3992="")),"🟡 PENDÊNCIA SEM RESPONSÁVEL/PRAZO",IF(AND(ISNUMBER(R3992),R3992=TODAY()),"🟡 VENCE HOJE",IF(AND(P3992&lt;&gt;"",S3992=""),"🟡 PENDÊNCIA ABERTA",IF(AND(N(J3992)&gt;0,N(K3992)&lt;J3992),"🟡 FALTA EXECUTAR",IF(OR(M3992="PENDENTE",M3992="PARCIAL"),"🟡 FATURAMENTO PENDENTE","🟡 EMBARQUE PENDENTE")))))))))))</f>
        <v/>
      </c>
      <c r="D3992" s="4" t="n"/>
      <c r="E3992" s="5" t="n"/>
      <c r="F3992" s="5" t="n"/>
      <c r="G3992" s="5" t="n"/>
      <c r="H3992" s="5" t="n"/>
      <c r="I3992" s="5" t="n"/>
      <c r="J3992" s="6" t="n"/>
      <c r="K3992" s="6" t="n"/>
      <c r="L3992" s="7">
        <f>IF(OR(D3992="",N(J3992)=0),"",MIN(1,N(K3992)/J3992))</f>
        <v/>
      </c>
      <c r="M3992" s="5" t="n"/>
      <c r="N3992" s="5" t="n"/>
      <c r="O3992" s="5" t="n"/>
      <c r="P3992" s="5" t="n"/>
      <c r="Q3992" s="5" t="n"/>
      <c r="R3992" s="4" t="n"/>
      <c r="S3992" s="4" t="n"/>
      <c r="T3992" s="5" t="n"/>
      <c r="U3992" s="8">
        <f>IF(AND(V3992=1,D3992&lt;&gt;""),IF(D3992&gt;=corte,TODAY()-D3992,""),"")</f>
        <v/>
      </c>
      <c r="V3992" s="8">
        <f>IF(D3992="",0,IF(OR(AND(P3992&lt;&gt;"",S3992=""),AND(N(J3992)&gt;0,N(K3992)&lt;J3992),OR(M3992="PENDENTE",M3992="PARCIAL"),OR(N3992="PENDENTE",N3992="PARCIAL")),1,0))</f>
        <v/>
      </c>
      <c r="W3992" s="8">
        <f>IF(AND(V3992=1,D3992&lt;&gt;""),IF(D3992&gt;=corte,(B3992="CRÍTICO")*1E9+(100000-D3992)*10000+10000-ROW(),""),"")</f>
        <v/>
      </c>
      <c r="X3992" s="8">
        <f>IF(AND(V3992=1,D3992=pas_data,E3992=pas_turno),10000-ROW(),"")</f>
        <v/>
      </c>
    </row>
    <row r="3993">
      <c r="A3993" s="3">
        <f>IF(D3993="","","TT-"&amp;TEXT(ROW()-1,"00000"))</f>
        <v/>
      </c>
      <c r="B3993" s="3">
        <f>IF(D3993="","",IF(V3993=0,"CONCLUÍDO",IF(D3993&lt;corte,"HISTÓRICO",IF(OR(AND(ISNUMBER(R3993),R3993&lt;TODAY()),AND(OR(N3993="PENDENTE",N3993="PARCIAL"),D3993&lt;TODAY()-1)),"CRÍTICO",IF(OR(AND(P3993&lt;&gt;"",S3993=""),AND(N3993="REALIZADO",M3993="PENDENTE"),AND(ISNUMBER(R3993),R3993=TODAY())),"ATENÇÃO",IF(N(K3993)=0,"PENDENTE","EM ANDAMENTO"))))))</f>
        <v/>
      </c>
      <c r="C3993" s="3">
        <f>IF(D3993="","",IF(V3993=0,"🟢 OK",IF(D3993&lt;corte,"⚪ HISTÓRICO (sem baixa)",IF(AND(ISNUMBER(R3993),R3993&lt;TODAY()),"🔴 PRAZO VENCIDO",IF(AND(OR(N3993="PENDENTE",N3993="PARCIAL"),D3993&lt;TODAY()-1),"🔴 EMBARQUE ATRASADO",IF(AND(N3993="REALIZADO",M3993="PENDENTE"),"🟡 EMBARCADO SEM FATURAR",IF(AND(P3993&lt;&gt;"",S3993="",OR(Q3993="",R3993="")),"🟡 PENDÊNCIA SEM RESPONSÁVEL/PRAZO",IF(AND(ISNUMBER(R3993),R3993=TODAY()),"🟡 VENCE HOJE",IF(AND(P3993&lt;&gt;"",S3993=""),"🟡 PENDÊNCIA ABERTA",IF(AND(N(J3993)&gt;0,N(K3993)&lt;J3993),"🟡 FALTA EXECUTAR",IF(OR(M3993="PENDENTE",M3993="PARCIAL"),"🟡 FATURAMENTO PENDENTE","🟡 EMBARQUE PENDENTE")))))))))))</f>
        <v/>
      </c>
      <c r="D3993" s="4" t="n"/>
      <c r="E3993" s="5" t="n"/>
      <c r="F3993" s="5" t="n"/>
      <c r="G3993" s="5" t="n"/>
      <c r="H3993" s="5" t="n"/>
      <c r="I3993" s="5" t="n"/>
      <c r="J3993" s="6" t="n"/>
      <c r="K3993" s="6" t="n"/>
      <c r="L3993" s="7">
        <f>IF(OR(D3993="",N(J3993)=0),"",MIN(1,N(K3993)/J3993))</f>
        <v/>
      </c>
      <c r="M3993" s="5" t="n"/>
      <c r="N3993" s="5" t="n"/>
      <c r="O3993" s="5" t="n"/>
      <c r="P3993" s="5" t="n"/>
      <c r="Q3993" s="5" t="n"/>
      <c r="R3993" s="4" t="n"/>
      <c r="S3993" s="4" t="n"/>
      <c r="T3993" s="5" t="n"/>
      <c r="U3993" s="8">
        <f>IF(AND(V3993=1,D3993&lt;&gt;""),IF(D3993&gt;=corte,TODAY()-D3993,""),"")</f>
        <v/>
      </c>
      <c r="V3993" s="8">
        <f>IF(D3993="",0,IF(OR(AND(P3993&lt;&gt;"",S3993=""),AND(N(J3993)&gt;0,N(K3993)&lt;J3993),OR(M3993="PENDENTE",M3993="PARCIAL"),OR(N3993="PENDENTE",N3993="PARCIAL")),1,0))</f>
        <v/>
      </c>
      <c r="W3993" s="8">
        <f>IF(AND(V3993=1,D3993&lt;&gt;""),IF(D3993&gt;=corte,(B3993="CRÍTICO")*1E9+(100000-D3993)*10000+10000-ROW(),""),"")</f>
        <v/>
      </c>
      <c r="X3993" s="8">
        <f>IF(AND(V3993=1,D3993=pas_data,E3993=pas_turno),10000-ROW(),"")</f>
        <v/>
      </c>
    </row>
    <row r="3994">
      <c r="A3994" s="3">
        <f>IF(D3994="","","TT-"&amp;TEXT(ROW()-1,"00000"))</f>
        <v/>
      </c>
      <c r="B3994" s="3">
        <f>IF(D3994="","",IF(V3994=0,"CONCLUÍDO",IF(D3994&lt;corte,"HISTÓRICO",IF(OR(AND(ISNUMBER(R3994),R3994&lt;TODAY()),AND(OR(N3994="PENDENTE",N3994="PARCIAL"),D3994&lt;TODAY()-1)),"CRÍTICO",IF(OR(AND(P3994&lt;&gt;"",S3994=""),AND(N3994="REALIZADO",M3994="PENDENTE"),AND(ISNUMBER(R3994),R3994=TODAY())),"ATENÇÃO",IF(N(K3994)=0,"PENDENTE","EM ANDAMENTO"))))))</f>
        <v/>
      </c>
      <c r="C3994" s="3">
        <f>IF(D3994="","",IF(V3994=0,"🟢 OK",IF(D3994&lt;corte,"⚪ HISTÓRICO (sem baixa)",IF(AND(ISNUMBER(R3994),R3994&lt;TODAY()),"🔴 PRAZO VENCIDO",IF(AND(OR(N3994="PENDENTE",N3994="PARCIAL"),D3994&lt;TODAY()-1),"🔴 EMBARQUE ATRASADO",IF(AND(N3994="REALIZADO",M3994="PENDENTE"),"🟡 EMBARCADO SEM FATURAR",IF(AND(P3994&lt;&gt;"",S3994="",OR(Q3994="",R3994="")),"🟡 PENDÊNCIA SEM RESPONSÁVEL/PRAZO",IF(AND(ISNUMBER(R3994),R3994=TODAY()),"🟡 VENCE HOJE",IF(AND(P3994&lt;&gt;"",S3994=""),"🟡 PENDÊNCIA ABERTA",IF(AND(N(J3994)&gt;0,N(K3994)&lt;J3994),"🟡 FALTA EXECUTAR",IF(OR(M3994="PENDENTE",M3994="PARCIAL"),"🟡 FATURAMENTO PENDENTE","🟡 EMBARQUE PENDENTE")))))))))))</f>
        <v/>
      </c>
      <c r="D3994" s="4" t="n"/>
      <c r="E3994" s="5" t="n"/>
      <c r="F3994" s="5" t="n"/>
      <c r="G3994" s="5" t="n"/>
      <c r="H3994" s="5" t="n"/>
      <c r="I3994" s="5" t="n"/>
      <c r="J3994" s="6" t="n"/>
      <c r="K3994" s="6" t="n"/>
      <c r="L3994" s="7">
        <f>IF(OR(D3994="",N(J3994)=0),"",MIN(1,N(K3994)/J3994))</f>
        <v/>
      </c>
      <c r="M3994" s="5" t="n"/>
      <c r="N3994" s="5" t="n"/>
      <c r="O3994" s="5" t="n"/>
      <c r="P3994" s="5" t="n"/>
      <c r="Q3994" s="5" t="n"/>
      <c r="R3994" s="4" t="n"/>
      <c r="S3994" s="4" t="n"/>
      <c r="T3994" s="5" t="n"/>
      <c r="U3994" s="8">
        <f>IF(AND(V3994=1,D3994&lt;&gt;""),IF(D3994&gt;=corte,TODAY()-D3994,""),"")</f>
        <v/>
      </c>
      <c r="V3994" s="8">
        <f>IF(D3994="",0,IF(OR(AND(P3994&lt;&gt;"",S3994=""),AND(N(J3994)&gt;0,N(K3994)&lt;J3994),OR(M3994="PENDENTE",M3994="PARCIAL"),OR(N3994="PENDENTE",N3994="PARCIAL")),1,0))</f>
        <v/>
      </c>
      <c r="W3994" s="8">
        <f>IF(AND(V3994=1,D3994&lt;&gt;""),IF(D3994&gt;=corte,(B3994="CRÍTICO")*1E9+(100000-D3994)*10000+10000-ROW(),""),"")</f>
        <v/>
      </c>
      <c r="X3994" s="8">
        <f>IF(AND(V3994=1,D3994=pas_data,E3994=pas_turno),10000-ROW(),"")</f>
        <v/>
      </c>
    </row>
    <row r="3995">
      <c r="A3995" s="3">
        <f>IF(D3995="","","TT-"&amp;TEXT(ROW()-1,"00000"))</f>
        <v/>
      </c>
      <c r="B3995" s="3">
        <f>IF(D3995="","",IF(V3995=0,"CONCLUÍDO",IF(D3995&lt;corte,"HISTÓRICO",IF(OR(AND(ISNUMBER(R3995),R3995&lt;TODAY()),AND(OR(N3995="PENDENTE",N3995="PARCIAL"),D3995&lt;TODAY()-1)),"CRÍTICO",IF(OR(AND(P3995&lt;&gt;"",S3995=""),AND(N3995="REALIZADO",M3995="PENDENTE"),AND(ISNUMBER(R3995),R3995=TODAY())),"ATENÇÃO",IF(N(K3995)=0,"PENDENTE","EM ANDAMENTO"))))))</f>
        <v/>
      </c>
      <c r="C3995" s="3">
        <f>IF(D3995="","",IF(V3995=0,"🟢 OK",IF(D3995&lt;corte,"⚪ HISTÓRICO (sem baixa)",IF(AND(ISNUMBER(R3995),R3995&lt;TODAY()),"🔴 PRAZO VENCIDO",IF(AND(OR(N3995="PENDENTE",N3995="PARCIAL"),D3995&lt;TODAY()-1),"🔴 EMBARQUE ATRASADO",IF(AND(N3995="REALIZADO",M3995="PENDENTE"),"🟡 EMBARCADO SEM FATURAR",IF(AND(P3995&lt;&gt;"",S3995="",OR(Q3995="",R3995="")),"🟡 PENDÊNCIA SEM RESPONSÁVEL/PRAZO",IF(AND(ISNUMBER(R3995),R3995=TODAY()),"🟡 VENCE HOJE",IF(AND(P3995&lt;&gt;"",S3995=""),"🟡 PENDÊNCIA ABERTA",IF(AND(N(J3995)&gt;0,N(K3995)&lt;J3995),"🟡 FALTA EXECUTAR",IF(OR(M3995="PENDENTE",M3995="PARCIAL"),"🟡 FATURAMENTO PENDENTE","🟡 EMBARQUE PENDENTE")))))))))))</f>
        <v/>
      </c>
      <c r="D3995" s="4" t="n"/>
      <c r="E3995" s="5" t="n"/>
      <c r="F3995" s="5" t="n"/>
      <c r="G3995" s="5" t="n"/>
      <c r="H3995" s="5" t="n"/>
      <c r="I3995" s="5" t="n"/>
      <c r="J3995" s="6" t="n"/>
      <c r="K3995" s="6" t="n"/>
      <c r="L3995" s="7">
        <f>IF(OR(D3995="",N(J3995)=0),"",MIN(1,N(K3995)/J3995))</f>
        <v/>
      </c>
      <c r="M3995" s="5" t="n"/>
      <c r="N3995" s="5" t="n"/>
      <c r="O3995" s="5" t="n"/>
      <c r="P3995" s="5" t="n"/>
      <c r="Q3995" s="5" t="n"/>
      <c r="R3995" s="4" t="n"/>
      <c r="S3995" s="4" t="n"/>
      <c r="T3995" s="5" t="n"/>
      <c r="U3995" s="8">
        <f>IF(AND(V3995=1,D3995&lt;&gt;""),IF(D3995&gt;=corte,TODAY()-D3995,""),"")</f>
        <v/>
      </c>
      <c r="V3995" s="8">
        <f>IF(D3995="",0,IF(OR(AND(P3995&lt;&gt;"",S3995=""),AND(N(J3995)&gt;0,N(K3995)&lt;J3995),OR(M3995="PENDENTE",M3995="PARCIAL"),OR(N3995="PENDENTE",N3995="PARCIAL")),1,0))</f>
        <v/>
      </c>
      <c r="W3995" s="8">
        <f>IF(AND(V3995=1,D3995&lt;&gt;""),IF(D3995&gt;=corte,(B3995="CRÍTICO")*1E9+(100000-D3995)*10000+10000-ROW(),""),"")</f>
        <v/>
      </c>
      <c r="X3995" s="8">
        <f>IF(AND(V3995=1,D3995=pas_data,E3995=pas_turno),10000-ROW(),"")</f>
        <v/>
      </c>
    </row>
    <row r="3996">
      <c r="A3996" s="3">
        <f>IF(D3996="","","TT-"&amp;TEXT(ROW()-1,"00000"))</f>
        <v/>
      </c>
      <c r="B3996" s="3">
        <f>IF(D3996="","",IF(V3996=0,"CONCLUÍDO",IF(D3996&lt;corte,"HISTÓRICO",IF(OR(AND(ISNUMBER(R3996),R3996&lt;TODAY()),AND(OR(N3996="PENDENTE",N3996="PARCIAL"),D3996&lt;TODAY()-1)),"CRÍTICO",IF(OR(AND(P3996&lt;&gt;"",S3996=""),AND(N3996="REALIZADO",M3996="PENDENTE"),AND(ISNUMBER(R3996),R3996=TODAY())),"ATENÇÃO",IF(N(K3996)=0,"PENDENTE","EM ANDAMENTO"))))))</f>
        <v/>
      </c>
      <c r="C3996" s="3">
        <f>IF(D3996="","",IF(V3996=0,"🟢 OK",IF(D3996&lt;corte,"⚪ HISTÓRICO (sem baixa)",IF(AND(ISNUMBER(R3996),R3996&lt;TODAY()),"🔴 PRAZO VENCIDO",IF(AND(OR(N3996="PENDENTE",N3996="PARCIAL"),D3996&lt;TODAY()-1),"🔴 EMBARQUE ATRASADO",IF(AND(N3996="REALIZADO",M3996="PENDENTE"),"🟡 EMBARCADO SEM FATURAR",IF(AND(P3996&lt;&gt;"",S3996="",OR(Q3996="",R3996="")),"🟡 PENDÊNCIA SEM RESPONSÁVEL/PRAZO",IF(AND(ISNUMBER(R3996),R3996=TODAY()),"🟡 VENCE HOJE",IF(AND(P3996&lt;&gt;"",S3996=""),"🟡 PENDÊNCIA ABERTA",IF(AND(N(J3996)&gt;0,N(K3996)&lt;J3996),"🟡 FALTA EXECUTAR",IF(OR(M3996="PENDENTE",M3996="PARCIAL"),"🟡 FATURAMENTO PENDENTE","🟡 EMBARQUE PENDENTE")))))))))))</f>
        <v/>
      </c>
      <c r="D3996" s="4" t="n"/>
      <c r="E3996" s="5" t="n"/>
      <c r="F3996" s="5" t="n"/>
      <c r="G3996" s="5" t="n"/>
      <c r="H3996" s="5" t="n"/>
      <c r="I3996" s="5" t="n"/>
      <c r="J3996" s="6" t="n"/>
      <c r="K3996" s="6" t="n"/>
      <c r="L3996" s="7">
        <f>IF(OR(D3996="",N(J3996)=0),"",MIN(1,N(K3996)/J3996))</f>
        <v/>
      </c>
      <c r="M3996" s="5" t="n"/>
      <c r="N3996" s="5" t="n"/>
      <c r="O3996" s="5" t="n"/>
      <c r="P3996" s="5" t="n"/>
      <c r="Q3996" s="5" t="n"/>
      <c r="R3996" s="4" t="n"/>
      <c r="S3996" s="4" t="n"/>
      <c r="T3996" s="5" t="n"/>
      <c r="U3996" s="8">
        <f>IF(AND(V3996=1,D3996&lt;&gt;""),IF(D3996&gt;=corte,TODAY()-D3996,""),"")</f>
        <v/>
      </c>
      <c r="V3996" s="8">
        <f>IF(D3996="",0,IF(OR(AND(P3996&lt;&gt;"",S3996=""),AND(N(J3996)&gt;0,N(K3996)&lt;J3996),OR(M3996="PENDENTE",M3996="PARCIAL"),OR(N3996="PENDENTE",N3996="PARCIAL")),1,0))</f>
        <v/>
      </c>
      <c r="W3996" s="8">
        <f>IF(AND(V3996=1,D3996&lt;&gt;""),IF(D3996&gt;=corte,(B3996="CRÍTICO")*1E9+(100000-D3996)*10000+10000-ROW(),""),"")</f>
        <v/>
      </c>
      <c r="X3996" s="8">
        <f>IF(AND(V3996=1,D3996=pas_data,E3996=pas_turno),10000-ROW(),"")</f>
        <v/>
      </c>
    </row>
    <row r="3997">
      <c r="A3997" s="3">
        <f>IF(D3997="","","TT-"&amp;TEXT(ROW()-1,"00000"))</f>
        <v/>
      </c>
      <c r="B3997" s="3">
        <f>IF(D3997="","",IF(V3997=0,"CONCLUÍDO",IF(D3997&lt;corte,"HISTÓRICO",IF(OR(AND(ISNUMBER(R3997),R3997&lt;TODAY()),AND(OR(N3997="PENDENTE",N3997="PARCIAL"),D3997&lt;TODAY()-1)),"CRÍTICO",IF(OR(AND(P3997&lt;&gt;"",S3997=""),AND(N3997="REALIZADO",M3997="PENDENTE"),AND(ISNUMBER(R3997),R3997=TODAY())),"ATENÇÃO",IF(N(K3997)=0,"PENDENTE","EM ANDAMENTO"))))))</f>
        <v/>
      </c>
      <c r="C3997" s="3">
        <f>IF(D3997="","",IF(V3997=0,"🟢 OK",IF(D3997&lt;corte,"⚪ HISTÓRICO (sem baixa)",IF(AND(ISNUMBER(R3997),R3997&lt;TODAY()),"🔴 PRAZO VENCIDO",IF(AND(OR(N3997="PENDENTE",N3997="PARCIAL"),D3997&lt;TODAY()-1),"🔴 EMBARQUE ATRASADO",IF(AND(N3997="REALIZADO",M3997="PENDENTE"),"🟡 EMBARCADO SEM FATURAR",IF(AND(P3997&lt;&gt;"",S3997="",OR(Q3997="",R3997="")),"🟡 PENDÊNCIA SEM RESPONSÁVEL/PRAZO",IF(AND(ISNUMBER(R3997),R3997=TODAY()),"🟡 VENCE HOJE",IF(AND(P3997&lt;&gt;"",S3997=""),"🟡 PENDÊNCIA ABERTA",IF(AND(N(J3997)&gt;0,N(K3997)&lt;J3997),"🟡 FALTA EXECUTAR",IF(OR(M3997="PENDENTE",M3997="PARCIAL"),"🟡 FATURAMENTO PENDENTE","🟡 EMBARQUE PENDENTE")))))))))))</f>
        <v/>
      </c>
      <c r="D3997" s="4" t="n"/>
      <c r="E3997" s="5" t="n"/>
      <c r="F3997" s="5" t="n"/>
      <c r="G3997" s="5" t="n"/>
      <c r="H3997" s="5" t="n"/>
      <c r="I3997" s="5" t="n"/>
      <c r="J3997" s="6" t="n"/>
      <c r="K3997" s="6" t="n"/>
      <c r="L3997" s="7">
        <f>IF(OR(D3997="",N(J3997)=0),"",MIN(1,N(K3997)/J3997))</f>
        <v/>
      </c>
      <c r="M3997" s="5" t="n"/>
      <c r="N3997" s="5" t="n"/>
      <c r="O3997" s="5" t="n"/>
      <c r="P3997" s="5" t="n"/>
      <c r="Q3997" s="5" t="n"/>
      <c r="R3997" s="4" t="n"/>
      <c r="S3997" s="4" t="n"/>
      <c r="T3997" s="5" t="n"/>
      <c r="U3997" s="8">
        <f>IF(AND(V3997=1,D3997&lt;&gt;""),IF(D3997&gt;=corte,TODAY()-D3997,""),"")</f>
        <v/>
      </c>
      <c r="V3997" s="8">
        <f>IF(D3997="",0,IF(OR(AND(P3997&lt;&gt;"",S3997=""),AND(N(J3997)&gt;0,N(K3997)&lt;J3997),OR(M3997="PENDENTE",M3997="PARCIAL"),OR(N3997="PENDENTE",N3997="PARCIAL")),1,0))</f>
        <v/>
      </c>
      <c r="W3997" s="8">
        <f>IF(AND(V3997=1,D3997&lt;&gt;""),IF(D3997&gt;=corte,(B3997="CRÍTICO")*1E9+(100000-D3997)*10000+10000-ROW(),""),"")</f>
        <v/>
      </c>
      <c r="X3997" s="8">
        <f>IF(AND(V3997=1,D3997=pas_data,E3997=pas_turno),10000-ROW(),"")</f>
        <v/>
      </c>
    </row>
    <row r="3998">
      <c r="A3998" s="3">
        <f>IF(D3998="","","TT-"&amp;TEXT(ROW()-1,"00000"))</f>
        <v/>
      </c>
      <c r="B3998" s="3">
        <f>IF(D3998="","",IF(V3998=0,"CONCLUÍDO",IF(D3998&lt;corte,"HISTÓRICO",IF(OR(AND(ISNUMBER(R3998),R3998&lt;TODAY()),AND(OR(N3998="PENDENTE",N3998="PARCIAL"),D3998&lt;TODAY()-1)),"CRÍTICO",IF(OR(AND(P3998&lt;&gt;"",S3998=""),AND(N3998="REALIZADO",M3998="PENDENTE"),AND(ISNUMBER(R3998),R3998=TODAY())),"ATENÇÃO",IF(N(K3998)=0,"PENDENTE","EM ANDAMENTO"))))))</f>
        <v/>
      </c>
      <c r="C3998" s="3">
        <f>IF(D3998="","",IF(V3998=0,"🟢 OK",IF(D3998&lt;corte,"⚪ HISTÓRICO (sem baixa)",IF(AND(ISNUMBER(R3998),R3998&lt;TODAY()),"🔴 PRAZO VENCIDO",IF(AND(OR(N3998="PENDENTE",N3998="PARCIAL"),D3998&lt;TODAY()-1),"🔴 EMBARQUE ATRASADO",IF(AND(N3998="REALIZADO",M3998="PENDENTE"),"🟡 EMBARCADO SEM FATURAR",IF(AND(P3998&lt;&gt;"",S3998="",OR(Q3998="",R3998="")),"🟡 PENDÊNCIA SEM RESPONSÁVEL/PRAZO",IF(AND(ISNUMBER(R3998),R3998=TODAY()),"🟡 VENCE HOJE",IF(AND(P3998&lt;&gt;"",S3998=""),"🟡 PENDÊNCIA ABERTA",IF(AND(N(J3998)&gt;0,N(K3998)&lt;J3998),"🟡 FALTA EXECUTAR",IF(OR(M3998="PENDENTE",M3998="PARCIAL"),"🟡 FATURAMENTO PENDENTE","🟡 EMBARQUE PENDENTE")))))))))))</f>
        <v/>
      </c>
      <c r="D3998" s="4" t="n"/>
      <c r="E3998" s="5" t="n"/>
      <c r="F3998" s="5" t="n"/>
      <c r="G3998" s="5" t="n"/>
      <c r="H3998" s="5" t="n"/>
      <c r="I3998" s="5" t="n"/>
      <c r="J3998" s="6" t="n"/>
      <c r="K3998" s="6" t="n"/>
      <c r="L3998" s="7">
        <f>IF(OR(D3998="",N(J3998)=0),"",MIN(1,N(K3998)/J3998))</f>
        <v/>
      </c>
      <c r="M3998" s="5" t="n"/>
      <c r="N3998" s="5" t="n"/>
      <c r="O3998" s="5" t="n"/>
      <c r="P3998" s="5" t="n"/>
      <c r="Q3998" s="5" t="n"/>
      <c r="R3998" s="4" t="n"/>
      <c r="S3998" s="4" t="n"/>
      <c r="T3998" s="5" t="n"/>
      <c r="U3998" s="8">
        <f>IF(AND(V3998=1,D3998&lt;&gt;""),IF(D3998&gt;=corte,TODAY()-D3998,""),"")</f>
        <v/>
      </c>
      <c r="V3998" s="8">
        <f>IF(D3998="",0,IF(OR(AND(P3998&lt;&gt;"",S3998=""),AND(N(J3998)&gt;0,N(K3998)&lt;J3998),OR(M3998="PENDENTE",M3998="PARCIAL"),OR(N3998="PENDENTE",N3998="PARCIAL")),1,0))</f>
        <v/>
      </c>
      <c r="W3998" s="8">
        <f>IF(AND(V3998=1,D3998&lt;&gt;""),IF(D3998&gt;=corte,(B3998="CRÍTICO")*1E9+(100000-D3998)*10000+10000-ROW(),""),"")</f>
        <v/>
      </c>
      <c r="X3998" s="8">
        <f>IF(AND(V3998=1,D3998=pas_data,E3998=pas_turno),10000-ROW(),"")</f>
        <v/>
      </c>
    </row>
    <row r="3999">
      <c r="A3999" s="3">
        <f>IF(D3999="","","TT-"&amp;TEXT(ROW()-1,"00000"))</f>
        <v/>
      </c>
      <c r="B3999" s="3">
        <f>IF(D3999="","",IF(V3999=0,"CONCLUÍDO",IF(D3999&lt;corte,"HISTÓRICO",IF(OR(AND(ISNUMBER(R3999),R3999&lt;TODAY()),AND(OR(N3999="PENDENTE",N3999="PARCIAL"),D3999&lt;TODAY()-1)),"CRÍTICO",IF(OR(AND(P3999&lt;&gt;"",S3999=""),AND(N3999="REALIZADO",M3999="PENDENTE"),AND(ISNUMBER(R3999),R3999=TODAY())),"ATENÇÃO",IF(N(K3999)=0,"PENDENTE","EM ANDAMENTO"))))))</f>
        <v/>
      </c>
      <c r="C3999" s="3">
        <f>IF(D3999="","",IF(V3999=0,"🟢 OK",IF(D3999&lt;corte,"⚪ HISTÓRICO (sem baixa)",IF(AND(ISNUMBER(R3999),R3999&lt;TODAY()),"🔴 PRAZO VENCIDO",IF(AND(OR(N3999="PENDENTE",N3999="PARCIAL"),D3999&lt;TODAY()-1),"🔴 EMBARQUE ATRASADO",IF(AND(N3999="REALIZADO",M3999="PENDENTE"),"🟡 EMBARCADO SEM FATURAR",IF(AND(P3999&lt;&gt;"",S3999="",OR(Q3999="",R3999="")),"🟡 PENDÊNCIA SEM RESPONSÁVEL/PRAZO",IF(AND(ISNUMBER(R3999),R3999=TODAY()),"🟡 VENCE HOJE",IF(AND(P3999&lt;&gt;"",S3999=""),"🟡 PENDÊNCIA ABERTA",IF(AND(N(J3999)&gt;0,N(K3999)&lt;J3999),"🟡 FALTA EXECUTAR",IF(OR(M3999="PENDENTE",M3999="PARCIAL"),"🟡 FATURAMENTO PENDENTE","🟡 EMBARQUE PENDENTE")))))))))))</f>
        <v/>
      </c>
      <c r="D3999" s="4" t="n"/>
      <c r="E3999" s="5" t="n"/>
      <c r="F3999" s="5" t="n"/>
      <c r="G3999" s="5" t="n"/>
      <c r="H3999" s="5" t="n"/>
      <c r="I3999" s="5" t="n"/>
      <c r="J3999" s="6" t="n"/>
      <c r="K3999" s="6" t="n"/>
      <c r="L3999" s="7">
        <f>IF(OR(D3999="",N(J3999)=0),"",MIN(1,N(K3999)/J3999))</f>
        <v/>
      </c>
      <c r="M3999" s="5" t="n"/>
      <c r="N3999" s="5" t="n"/>
      <c r="O3999" s="5" t="n"/>
      <c r="P3999" s="5" t="n"/>
      <c r="Q3999" s="5" t="n"/>
      <c r="R3999" s="4" t="n"/>
      <c r="S3999" s="4" t="n"/>
      <c r="T3999" s="5" t="n"/>
      <c r="U3999" s="8">
        <f>IF(AND(V3999=1,D3999&lt;&gt;""),IF(D3999&gt;=corte,TODAY()-D3999,""),"")</f>
        <v/>
      </c>
      <c r="V3999" s="8">
        <f>IF(D3999="",0,IF(OR(AND(P3999&lt;&gt;"",S3999=""),AND(N(J3999)&gt;0,N(K3999)&lt;J3999),OR(M3999="PENDENTE",M3999="PARCIAL"),OR(N3999="PENDENTE",N3999="PARCIAL")),1,0))</f>
        <v/>
      </c>
      <c r="W3999" s="8">
        <f>IF(AND(V3999=1,D3999&lt;&gt;""),IF(D3999&gt;=corte,(B3999="CRÍTICO")*1E9+(100000-D3999)*10000+10000-ROW(),""),"")</f>
        <v/>
      </c>
      <c r="X3999" s="8">
        <f>IF(AND(V3999=1,D3999=pas_data,E3999=pas_turno),10000-ROW(),"")</f>
        <v/>
      </c>
    </row>
    <row r="4000">
      <c r="A4000" s="3">
        <f>IF(D4000="","","TT-"&amp;TEXT(ROW()-1,"00000"))</f>
        <v/>
      </c>
      <c r="B4000" s="3">
        <f>IF(D4000="","",IF(V4000=0,"CONCLUÍDO",IF(D4000&lt;corte,"HISTÓRICO",IF(OR(AND(ISNUMBER(R4000),R4000&lt;TODAY()),AND(OR(N4000="PENDENTE",N4000="PARCIAL"),D4000&lt;TODAY()-1)),"CRÍTICO",IF(OR(AND(P4000&lt;&gt;"",S4000=""),AND(N4000="REALIZADO",M4000="PENDENTE"),AND(ISNUMBER(R4000),R4000=TODAY())),"ATENÇÃO",IF(N(K4000)=0,"PENDENTE","EM ANDAMENTO"))))))</f>
        <v/>
      </c>
      <c r="C4000" s="3">
        <f>IF(D4000="","",IF(V4000=0,"🟢 OK",IF(D4000&lt;corte,"⚪ HISTÓRICO (sem baixa)",IF(AND(ISNUMBER(R4000),R4000&lt;TODAY()),"🔴 PRAZO VENCIDO",IF(AND(OR(N4000="PENDENTE",N4000="PARCIAL"),D4000&lt;TODAY()-1),"🔴 EMBARQUE ATRASADO",IF(AND(N4000="REALIZADO",M4000="PENDENTE"),"🟡 EMBARCADO SEM FATURAR",IF(AND(P4000&lt;&gt;"",S4000="",OR(Q4000="",R4000="")),"🟡 PENDÊNCIA SEM RESPONSÁVEL/PRAZO",IF(AND(ISNUMBER(R4000),R4000=TODAY()),"🟡 VENCE HOJE",IF(AND(P4000&lt;&gt;"",S4000=""),"🟡 PENDÊNCIA ABERTA",IF(AND(N(J4000)&gt;0,N(K4000)&lt;J4000),"🟡 FALTA EXECUTAR",IF(OR(M4000="PENDENTE",M4000="PARCIAL"),"🟡 FATURAMENTO PENDENTE","🟡 EMBARQUE PENDENTE")))))))))))</f>
        <v/>
      </c>
      <c r="D4000" s="4" t="n"/>
      <c r="E4000" s="5" t="n"/>
      <c r="F4000" s="5" t="n"/>
      <c r="G4000" s="5" t="n"/>
      <c r="H4000" s="5" t="n"/>
      <c r="I4000" s="5" t="n"/>
      <c r="J4000" s="6" t="n"/>
      <c r="K4000" s="6" t="n"/>
      <c r="L4000" s="7">
        <f>IF(OR(D4000="",N(J4000)=0),"",MIN(1,N(K4000)/J4000))</f>
        <v/>
      </c>
      <c r="M4000" s="5" t="n"/>
      <c r="N4000" s="5" t="n"/>
      <c r="O4000" s="5" t="n"/>
      <c r="P4000" s="5" t="n"/>
      <c r="Q4000" s="5" t="n"/>
      <c r="R4000" s="4" t="n"/>
      <c r="S4000" s="4" t="n"/>
      <c r="T4000" s="5" t="n"/>
      <c r="U4000" s="8">
        <f>IF(AND(V4000=1,D4000&lt;&gt;""),IF(D4000&gt;=corte,TODAY()-D4000,""),"")</f>
        <v/>
      </c>
      <c r="V4000" s="8">
        <f>IF(D4000="",0,IF(OR(AND(P4000&lt;&gt;"",S4000=""),AND(N(J4000)&gt;0,N(K4000)&lt;J4000),OR(M4000="PENDENTE",M4000="PARCIAL"),OR(N4000="PENDENTE",N4000="PARCIAL")),1,0))</f>
        <v/>
      </c>
      <c r="W4000" s="8">
        <f>IF(AND(V4000=1,D4000&lt;&gt;""),IF(D4000&gt;=corte,(B4000="CRÍTICO")*1E9+(100000-D4000)*10000+10000-ROW(),""),"")</f>
        <v/>
      </c>
      <c r="X4000" s="8">
        <f>IF(AND(V4000=1,D4000=pas_data,E4000=pas_turno),10000-ROW(),"")</f>
        <v/>
      </c>
    </row>
    <row r="4001">
      <c r="A4001" s="3">
        <f>IF(D4001="","","TT-"&amp;TEXT(ROW()-1,"00000"))</f>
        <v/>
      </c>
      <c r="B4001" s="3">
        <f>IF(D4001="","",IF(V4001=0,"CONCLUÍDO",IF(D4001&lt;corte,"HISTÓRICO",IF(OR(AND(ISNUMBER(R4001),R4001&lt;TODAY()),AND(OR(N4001="PENDENTE",N4001="PARCIAL"),D4001&lt;TODAY()-1)),"CRÍTICO",IF(OR(AND(P4001&lt;&gt;"",S4001=""),AND(N4001="REALIZADO",M4001="PENDENTE"),AND(ISNUMBER(R4001),R4001=TODAY())),"ATENÇÃO",IF(N(K4001)=0,"PENDENTE","EM ANDAMENTO"))))))</f>
        <v/>
      </c>
      <c r="C4001" s="3">
        <f>IF(D4001="","",IF(V4001=0,"🟢 OK",IF(D4001&lt;corte,"⚪ HISTÓRICO (sem baixa)",IF(AND(ISNUMBER(R4001),R4001&lt;TODAY()),"🔴 PRAZO VENCIDO",IF(AND(OR(N4001="PENDENTE",N4001="PARCIAL"),D4001&lt;TODAY()-1),"🔴 EMBARQUE ATRASADO",IF(AND(N4001="REALIZADO",M4001="PENDENTE"),"🟡 EMBARCADO SEM FATURAR",IF(AND(P4001&lt;&gt;"",S4001="",OR(Q4001="",R4001="")),"🟡 PENDÊNCIA SEM RESPONSÁVEL/PRAZO",IF(AND(ISNUMBER(R4001),R4001=TODAY()),"🟡 VENCE HOJE",IF(AND(P4001&lt;&gt;"",S4001=""),"🟡 PENDÊNCIA ABERTA",IF(AND(N(J4001)&gt;0,N(K4001)&lt;J4001),"🟡 FALTA EXECUTAR",IF(OR(M4001="PENDENTE",M4001="PARCIAL"),"🟡 FATURAMENTO PENDENTE","🟡 EMBARQUE PENDENTE")))))))))))</f>
        <v/>
      </c>
      <c r="D4001" s="4" t="n"/>
      <c r="E4001" s="5" t="n"/>
      <c r="F4001" s="5" t="n"/>
      <c r="G4001" s="5" t="n"/>
      <c r="H4001" s="5" t="n"/>
      <c r="I4001" s="5" t="n"/>
      <c r="J4001" s="6" t="n"/>
      <c r="K4001" s="6" t="n"/>
      <c r="L4001" s="7">
        <f>IF(OR(D4001="",N(J4001)=0),"",MIN(1,N(K4001)/J4001))</f>
        <v/>
      </c>
      <c r="M4001" s="5" t="n"/>
      <c r="N4001" s="5" t="n"/>
      <c r="O4001" s="5" t="n"/>
      <c r="P4001" s="5" t="n"/>
      <c r="Q4001" s="5" t="n"/>
      <c r="R4001" s="4" t="n"/>
      <c r="S4001" s="4" t="n"/>
      <c r="T4001" s="5" t="n"/>
      <c r="U4001" s="8">
        <f>IF(AND(V4001=1,D4001&lt;&gt;""),IF(D4001&gt;=corte,TODAY()-D4001,""),"")</f>
        <v/>
      </c>
      <c r="V4001" s="8">
        <f>IF(D4001="",0,IF(OR(AND(P4001&lt;&gt;"",S4001=""),AND(N(J4001)&gt;0,N(K4001)&lt;J4001),OR(M4001="PENDENTE",M4001="PARCIAL"),OR(N4001="PENDENTE",N4001="PARCIAL")),1,0))</f>
        <v/>
      </c>
      <c r="W4001" s="8">
        <f>IF(AND(V4001=1,D4001&lt;&gt;""),IF(D4001&gt;=corte,(B4001="CRÍTICO")*1E9+(100000-D4001)*10000+10000-ROW(),""),"")</f>
        <v/>
      </c>
      <c r="X4001" s="8">
        <f>IF(AND(V4001=1,D4001=pas_data,E4001=pas_turno),10000-ROW(),"")</f>
        <v/>
      </c>
    </row>
    <row r="4002">
      <c r="A4002" s="3">
        <f>IF(D4002="","","TT-"&amp;TEXT(ROW()-1,"00000"))</f>
        <v/>
      </c>
      <c r="B4002" s="3">
        <f>IF(D4002="","",IF(V4002=0,"CONCLUÍDO",IF(D4002&lt;corte,"HISTÓRICO",IF(OR(AND(ISNUMBER(R4002),R4002&lt;TODAY()),AND(OR(N4002="PENDENTE",N4002="PARCIAL"),D4002&lt;TODAY()-1)),"CRÍTICO",IF(OR(AND(P4002&lt;&gt;"",S4002=""),AND(N4002="REALIZADO",M4002="PENDENTE"),AND(ISNUMBER(R4002),R4002=TODAY())),"ATENÇÃO",IF(N(K4002)=0,"PENDENTE","EM ANDAMENTO"))))))</f>
        <v/>
      </c>
      <c r="C4002" s="3">
        <f>IF(D4002="","",IF(V4002=0,"🟢 OK",IF(D4002&lt;corte,"⚪ HISTÓRICO (sem baixa)",IF(AND(ISNUMBER(R4002),R4002&lt;TODAY()),"🔴 PRAZO VENCIDO",IF(AND(OR(N4002="PENDENTE",N4002="PARCIAL"),D4002&lt;TODAY()-1),"🔴 EMBARQUE ATRASADO",IF(AND(N4002="REALIZADO",M4002="PENDENTE"),"🟡 EMBARCADO SEM FATURAR",IF(AND(P4002&lt;&gt;"",S4002="",OR(Q4002="",R4002="")),"🟡 PENDÊNCIA SEM RESPONSÁVEL/PRAZO",IF(AND(ISNUMBER(R4002),R4002=TODAY()),"🟡 VENCE HOJE",IF(AND(P4002&lt;&gt;"",S4002=""),"🟡 PENDÊNCIA ABERTA",IF(AND(N(J4002)&gt;0,N(K4002)&lt;J4002),"🟡 FALTA EXECUTAR",IF(OR(M4002="PENDENTE",M4002="PARCIAL"),"🟡 FATURAMENTO PENDENTE","🟡 EMBARQUE PENDENTE")))))))))))</f>
        <v/>
      </c>
      <c r="D4002" s="4" t="n"/>
      <c r="E4002" s="5" t="n"/>
      <c r="F4002" s="5" t="n"/>
      <c r="G4002" s="5" t="n"/>
      <c r="H4002" s="5" t="n"/>
      <c r="I4002" s="5" t="n"/>
      <c r="J4002" s="6" t="n"/>
      <c r="K4002" s="6" t="n"/>
      <c r="L4002" s="7">
        <f>IF(OR(D4002="",N(J4002)=0),"",MIN(1,N(K4002)/J4002))</f>
        <v/>
      </c>
      <c r="M4002" s="5" t="n"/>
      <c r="N4002" s="5" t="n"/>
      <c r="O4002" s="5" t="n"/>
      <c r="P4002" s="5" t="n"/>
      <c r="Q4002" s="5" t="n"/>
      <c r="R4002" s="4" t="n"/>
      <c r="S4002" s="4" t="n"/>
      <c r="T4002" s="5" t="n"/>
      <c r="U4002" s="8">
        <f>IF(AND(V4002=1,D4002&lt;&gt;""),IF(D4002&gt;=corte,TODAY()-D4002,""),"")</f>
        <v/>
      </c>
      <c r="V4002" s="8">
        <f>IF(D4002="",0,IF(OR(AND(P4002&lt;&gt;"",S4002=""),AND(N(J4002)&gt;0,N(K4002)&lt;J4002),OR(M4002="PENDENTE",M4002="PARCIAL"),OR(N4002="PENDENTE",N4002="PARCIAL")),1,0))</f>
        <v/>
      </c>
      <c r="W4002" s="8">
        <f>IF(AND(V4002=1,D4002&lt;&gt;""),IF(D4002&gt;=corte,(B4002="CRÍTICO")*1E9+(100000-D4002)*10000+10000-ROW(),""),"")</f>
        <v/>
      </c>
      <c r="X4002" s="8">
        <f>IF(AND(V4002=1,D4002=pas_data,E4002=pas_turno),10000-ROW(),"")</f>
        <v/>
      </c>
    </row>
    <row r="4003">
      <c r="A4003" s="3">
        <f>IF(D4003="","","TT-"&amp;TEXT(ROW()-1,"00000"))</f>
        <v/>
      </c>
      <c r="B4003" s="3">
        <f>IF(D4003="","",IF(V4003=0,"CONCLUÍDO",IF(D4003&lt;corte,"HISTÓRICO",IF(OR(AND(ISNUMBER(R4003),R4003&lt;TODAY()),AND(OR(N4003="PENDENTE",N4003="PARCIAL"),D4003&lt;TODAY()-1)),"CRÍTICO",IF(OR(AND(P4003&lt;&gt;"",S4003=""),AND(N4003="REALIZADO",M4003="PENDENTE"),AND(ISNUMBER(R4003),R4003=TODAY())),"ATENÇÃO",IF(N(K4003)=0,"PENDENTE","EM ANDAMENTO"))))))</f>
        <v/>
      </c>
      <c r="C4003" s="3">
        <f>IF(D4003="","",IF(V4003=0,"🟢 OK",IF(D4003&lt;corte,"⚪ HISTÓRICO (sem baixa)",IF(AND(ISNUMBER(R4003),R4003&lt;TODAY()),"🔴 PRAZO VENCIDO",IF(AND(OR(N4003="PENDENTE",N4003="PARCIAL"),D4003&lt;TODAY()-1),"🔴 EMBARQUE ATRASADO",IF(AND(N4003="REALIZADO",M4003="PENDENTE"),"🟡 EMBARCADO SEM FATURAR",IF(AND(P4003&lt;&gt;"",S4003="",OR(Q4003="",R4003="")),"🟡 PENDÊNCIA SEM RESPONSÁVEL/PRAZO",IF(AND(ISNUMBER(R4003),R4003=TODAY()),"🟡 VENCE HOJE",IF(AND(P4003&lt;&gt;"",S4003=""),"🟡 PENDÊNCIA ABERTA",IF(AND(N(J4003)&gt;0,N(K4003)&lt;J4003),"🟡 FALTA EXECUTAR",IF(OR(M4003="PENDENTE",M4003="PARCIAL"),"🟡 FATURAMENTO PENDENTE","🟡 EMBARQUE PENDENTE")))))))))))</f>
        <v/>
      </c>
      <c r="D4003" s="4" t="n"/>
      <c r="E4003" s="5" t="n"/>
      <c r="F4003" s="5" t="n"/>
      <c r="G4003" s="5" t="n"/>
      <c r="H4003" s="5" t="n"/>
      <c r="I4003" s="5" t="n"/>
      <c r="J4003" s="6" t="n"/>
      <c r="K4003" s="6" t="n"/>
      <c r="L4003" s="7">
        <f>IF(OR(D4003="",N(J4003)=0),"",MIN(1,N(K4003)/J4003))</f>
        <v/>
      </c>
      <c r="M4003" s="5" t="n"/>
      <c r="N4003" s="5" t="n"/>
      <c r="O4003" s="5" t="n"/>
      <c r="P4003" s="5" t="n"/>
      <c r="Q4003" s="5" t="n"/>
      <c r="R4003" s="4" t="n"/>
      <c r="S4003" s="4" t="n"/>
      <c r="T4003" s="5" t="n"/>
      <c r="U4003" s="8">
        <f>IF(AND(V4003=1,D4003&lt;&gt;""),IF(D4003&gt;=corte,TODAY()-D4003,""),"")</f>
        <v/>
      </c>
      <c r="V4003" s="8">
        <f>IF(D4003="",0,IF(OR(AND(P4003&lt;&gt;"",S4003=""),AND(N(J4003)&gt;0,N(K4003)&lt;J4003),OR(M4003="PENDENTE",M4003="PARCIAL"),OR(N4003="PENDENTE",N4003="PARCIAL")),1,0))</f>
        <v/>
      </c>
      <c r="W4003" s="8">
        <f>IF(AND(V4003=1,D4003&lt;&gt;""),IF(D4003&gt;=corte,(B4003="CRÍTICO")*1E9+(100000-D4003)*10000+10000-ROW(),""),"")</f>
        <v/>
      </c>
      <c r="X4003" s="8">
        <f>IF(AND(V4003=1,D4003=pas_data,E4003=pas_turno),10000-ROW(),"")</f>
        <v/>
      </c>
    </row>
    <row r="4004">
      <c r="A4004" s="3">
        <f>IF(D4004="","","TT-"&amp;TEXT(ROW()-1,"00000"))</f>
        <v/>
      </c>
      <c r="B4004" s="3">
        <f>IF(D4004="","",IF(V4004=0,"CONCLUÍDO",IF(D4004&lt;corte,"HISTÓRICO",IF(OR(AND(ISNUMBER(R4004),R4004&lt;TODAY()),AND(OR(N4004="PENDENTE",N4004="PARCIAL"),D4004&lt;TODAY()-1)),"CRÍTICO",IF(OR(AND(P4004&lt;&gt;"",S4004=""),AND(N4004="REALIZADO",M4004="PENDENTE"),AND(ISNUMBER(R4004),R4004=TODAY())),"ATENÇÃO",IF(N(K4004)=0,"PENDENTE","EM ANDAMENTO"))))))</f>
        <v/>
      </c>
      <c r="C4004" s="3">
        <f>IF(D4004="","",IF(V4004=0,"🟢 OK",IF(D4004&lt;corte,"⚪ HISTÓRICO (sem baixa)",IF(AND(ISNUMBER(R4004),R4004&lt;TODAY()),"🔴 PRAZO VENCIDO",IF(AND(OR(N4004="PENDENTE",N4004="PARCIAL"),D4004&lt;TODAY()-1),"🔴 EMBARQUE ATRASADO",IF(AND(N4004="REALIZADO",M4004="PENDENTE"),"🟡 EMBARCADO SEM FATURAR",IF(AND(P4004&lt;&gt;"",S4004="",OR(Q4004="",R4004="")),"🟡 PENDÊNCIA SEM RESPONSÁVEL/PRAZO",IF(AND(ISNUMBER(R4004),R4004=TODAY()),"🟡 VENCE HOJE",IF(AND(P4004&lt;&gt;"",S4004=""),"🟡 PENDÊNCIA ABERTA",IF(AND(N(J4004)&gt;0,N(K4004)&lt;J4004),"🟡 FALTA EXECUTAR",IF(OR(M4004="PENDENTE",M4004="PARCIAL"),"🟡 FATURAMENTO PENDENTE","🟡 EMBARQUE PENDENTE")))))))))))</f>
        <v/>
      </c>
      <c r="D4004" s="4" t="n"/>
      <c r="E4004" s="5" t="n"/>
      <c r="F4004" s="5" t="n"/>
      <c r="G4004" s="5" t="n"/>
      <c r="H4004" s="5" t="n"/>
      <c r="I4004" s="5" t="n"/>
      <c r="J4004" s="6" t="n"/>
      <c r="K4004" s="6" t="n"/>
      <c r="L4004" s="7">
        <f>IF(OR(D4004="",N(J4004)=0),"",MIN(1,N(K4004)/J4004))</f>
        <v/>
      </c>
      <c r="M4004" s="5" t="n"/>
      <c r="N4004" s="5" t="n"/>
      <c r="O4004" s="5" t="n"/>
      <c r="P4004" s="5" t="n"/>
      <c r="Q4004" s="5" t="n"/>
      <c r="R4004" s="4" t="n"/>
      <c r="S4004" s="4" t="n"/>
      <c r="T4004" s="5" t="n"/>
      <c r="U4004" s="8">
        <f>IF(AND(V4004=1,D4004&lt;&gt;""),IF(D4004&gt;=corte,TODAY()-D4004,""),"")</f>
        <v/>
      </c>
      <c r="V4004" s="8">
        <f>IF(D4004="",0,IF(OR(AND(P4004&lt;&gt;"",S4004=""),AND(N(J4004)&gt;0,N(K4004)&lt;J4004),OR(M4004="PENDENTE",M4004="PARCIAL"),OR(N4004="PENDENTE",N4004="PARCIAL")),1,0))</f>
        <v/>
      </c>
      <c r="W4004" s="8">
        <f>IF(AND(V4004=1,D4004&lt;&gt;""),IF(D4004&gt;=corte,(B4004="CRÍTICO")*1E9+(100000-D4004)*10000+10000-ROW(),""),"")</f>
        <v/>
      </c>
      <c r="X4004" s="8">
        <f>IF(AND(V4004=1,D4004=pas_data,E4004=pas_turno),10000-ROW(),"")</f>
        <v/>
      </c>
    </row>
    <row r="4005">
      <c r="A4005" s="3">
        <f>IF(D4005="","","TT-"&amp;TEXT(ROW()-1,"00000"))</f>
        <v/>
      </c>
      <c r="B4005" s="3">
        <f>IF(D4005="","",IF(V4005=0,"CONCLUÍDO",IF(D4005&lt;corte,"HISTÓRICO",IF(OR(AND(ISNUMBER(R4005),R4005&lt;TODAY()),AND(OR(N4005="PENDENTE",N4005="PARCIAL"),D4005&lt;TODAY()-1)),"CRÍTICO",IF(OR(AND(P4005&lt;&gt;"",S4005=""),AND(N4005="REALIZADO",M4005="PENDENTE"),AND(ISNUMBER(R4005),R4005=TODAY())),"ATENÇÃO",IF(N(K4005)=0,"PENDENTE","EM ANDAMENTO"))))))</f>
        <v/>
      </c>
      <c r="C4005" s="3">
        <f>IF(D4005="","",IF(V4005=0,"🟢 OK",IF(D4005&lt;corte,"⚪ HISTÓRICO (sem baixa)",IF(AND(ISNUMBER(R4005),R4005&lt;TODAY()),"🔴 PRAZO VENCIDO",IF(AND(OR(N4005="PENDENTE",N4005="PARCIAL"),D4005&lt;TODAY()-1),"🔴 EMBARQUE ATRASADO",IF(AND(N4005="REALIZADO",M4005="PENDENTE"),"🟡 EMBARCADO SEM FATURAR",IF(AND(P4005&lt;&gt;"",S4005="",OR(Q4005="",R4005="")),"🟡 PENDÊNCIA SEM RESPONSÁVEL/PRAZO",IF(AND(ISNUMBER(R4005),R4005=TODAY()),"🟡 VENCE HOJE",IF(AND(P4005&lt;&gt;"",S4005=""),"🟡 PENDÊNCIA ABERTA",IF(AND(N(J4005)&gt;0,N(K4005)&lt;J4005),"🟡 FALTA EXECUTAR",IF(OR(M4005="PENDENTE",M4005="PARCIAL"),"🟡 FATURAMENTO PENDENTE","🟡 EMBARQUE PENDENTE")))))))))))</f>
        <v/>
      </c>
      <c r="D4005" s="4" t="n"/>
      <c r="E4005" s="5" t="n"/>
      <c r="F4005" s="5" t="n"/>
      <c r="G4005" s="5" t="n"/>
      <c r="H4005" s="5" t="n"/>
      <c r="I4005" s="5" t="n"/>
      <c r="J4005" s="6" t="n"/>
      <c r="K4005" s="6" t="n"/>
      <c r="L4005" s="7">
        <f>IF(OR(D4005="",N(J4005)=0),"",MIN(1,N(K4005)/J4005))</f>
        <v/>
      </c>
      <c r="M4005" s="5" t="n"/>
      <c r="N4005" s="5" t="n"/>
      <c r="O4005" s="5" t="n"/>
      <c r="P4005" s="5" t="n"/>
      <c r="Q4005" s="5" t="n"/>
      <c r="R4005" s="4" t="n"/>
      <c r="S4005" s="4" t="n"/>
      <c r="T4005" s="5" t="n"/>
      <c r="U4005" s="8">
        <f>IF(AND(V4005=1,D4005&lt;&gt;""),IF(D4005&gt;=corte,TODAY()-D4005,""),"")</f>
        <v/>
      </c>
      <c r="V4005" s="8">
        <f>IF(D4005="",0,IF(OR(AND(P4005&lt;&gt;"",S4005=""),AND(N(J4005)&gt;0,N(K4005)&lt;J4005),OR(M4005="PENDENTE",M4005="PARCIAL"),OR(N4005="PENDENTE",N4005="PARCIAL")),1,0))</f>
        <v/>
      </c>
      <c r="W4005" s="8">
        <f>IF(AND(V4005=1,D4005&lt;&gt;""),IF(D4005&gt;=corte,(B4005="CRÍTICO")*1E9+(100000-D4005)*10000+10000-ROW(),""),"")</f>
        <v/>
      </c>
      <c r="X4005" s="8">
        <f>IF(AND(V4005=1,D4005=pas_data,E4005=pas_turno),10000-ROW(),"")</f>
        <v/>
      </c>
    </row>
    <row r="4006">
      <c r="A4006" s="3">
        <f>IF(D4006="","","TT-"&amp;TEXT(ROW()-1,"00000"))</f>
        <v/>
      </c>
      <c r="B4006" s="3">
        <f>IF(D4006="","",IF(V4006=0,"CONCLUÍDO",IF(D4006&lt;corte,"HISTÓRICO",IF(OR(AND(ISNUMBER(R4006),R4006&lt;TODAY()),AND(OR(N4006="PENDENTE",N4006="PARCIAL"),D4006&lt;TODAY()-1)),"CRÍTICO",IF(OR(AND(P4006&lt;&gt;"",S4006=""),AND(N4006="REALIZADO",M4006="PENDENTE"),AND(ISNUMBER(R4006),R4006=TODAY())),"ATENÇÃO",IF(N(K4006)=0,"PENDENTE","EM ANDAMENTO"))))))</f>
        <v/>
      </c>
      <c r="C4006" s="3">
        <f>IF(D4006="","",IF(V4006=0,"🟢 OK",IF(D4006&lt;corte,"⚪ HISTÓRICO (sem baixa)",IF(AND(ISNUMBER(R4006),R4006&lt;TODAY()),"🔴 PRAZO VENCIDO",IF(AND(OR(N4006="PENDENTE",N4006="PARCIAL"),D4006&lt;TODAY()-1),"🔴 EMBARQUE ATRASADO",IF(AND(N4006="REALIZADO",M4006="PENDENTE"),"🟡 EMBARCADO SEM FATURAR",IF(AND(P4006&lt;&gt;"",S4006="",OR(Q4006="",R4006="")),"🟡 PENDÊNCIA SEM RESPONSÁVEL/PRAZO",IF(AND(ISNUMBER(R4006),R4006=TODAY()),"🟡 VENCE HOJE",IF(AND(P4006&lt;&gt;"",S4006=""),"🟡 PENDÊNCIA ABERTA",IF(AND(N(J4006)&gt;0,N(K4006)&lt;J4006),"🟡 FALTA EXECUTAR",IF(OR(M4006="PENDENTE",M4006="PARCIAL"),"🟡 FATURAMENTO PENDENTE","🟡 EMBARQUE PENDENTE")))))))))))</f>
        <v/>
      </c>
      <c r="D4006" s="4" t="n"/>
      <c r="E4006" s="5" t="n"/>
      <c r="F4006" s="5" t="n"/>
      <c r="G4006" s="5" t="n"/>
      <c r="H4006" s="5" t="n"/>
      <c r="I4006" s="5" t="n"/>
      <c r="J4006" s="6" t="n"/>
      <c r="K4006" s="6" t="n"/>
      <c r="L4006" s="7">
        <f>IF(OR(D4006="",N(J4006)=0),"",MIN(1,N(K4006)/J4006))</f>
        <v/>
      </c>
      <c r="M4006" s="5" t="n"/>
      <c r="N4006" s="5" t="n"/>
      <c r="O4006" s="5" t="n"/>
      <c r="P4006" s="5" t="n"/>
      <c r="Q4006" s="5" t="n"/>
      <c r="R4006" s="4" t="n"/>
      <c r="S4006" s="4" t="n"/>
      <c r="T4006" s="5" t="n"/>
      <c r="U4006" s="8">
        <f>IF(AND(V4006=1,D4006&lt;&gt;""),IF(D4006&gt;=corte,TODAY()-D4006,""),"")</f>
        <v/>
      </c>
      <c r="V4006" s="8">
        <f>IF(D4006="",0,IF(OR(AND(P4006&lt;&gt;"",S4006=""),AND(N(J4006)&gt;0,N(K4006)&lt;J4006),OR(M4006="PENDENTE",M4006="PARCIAL"),OR(N4006="PENDENTE",N4006="PARCIAL")),1,0))</f>
        <v/>
      </c>
      <c r="W4006" s="8">
        <f>IF(AND(V4006=1,D4006&lt;&gt;""),IF(D4006&gt;=corte,(B4006="CRÍTICO")*1E9+(100000-D4006)*10000+10000-ROW(),""),"")</f>
        <v/>
      </c>
      <c r="X4006" s="8">
        <f>IF(AND(V4006=1,D4006=pas_data,E4006=pas_turno),10000-ROW(),"")</f>
        <v/>
      </c>
    </row>
    <row r="4007">
      <c r="A4007" s="3">
        <f>IF(D4007="","","TT-"&amp;TEXT(ROW()-1,"00000"))</f>
        <v/>
      </c>
      <c r="B4007" s="3">
        <f>IF(D4007="","",IF(V4007=0,"CONCLUÍDO",IF(D4007&lt;corte,"HISTÓRICO",IF(OR(AND(ISNUMBER(R4007),R4007&lt;TODAY()),AND(OR(N4007="PENDENTE",N4007="PARCIAL"),D4007&lt;TODAY()-1)),"CRÍTICO",IF(OR(AND(P4007&lt;&gt;"",S4007=""),AND(N4007="REALIZADO",M4007="PENDENTE"),AND(ISNUMBER(R4007),R4007=TODAY())),"ATENÇÃO",IF(N(K4007)=0,"PENDENTE","EM ANDAMENTO"))))))</f>
        <v/>
      </c>
      <c r="C4007" s="3">
        <f>IF(D4007="","",IF(V4007=0,"🟢 OK",IF(D4007&lt;corte,"⚪ HISTÓRICO (sem baixa)",IF(AND(ISNUMBER(R4007),R4007&lt;TODAY()),"🔴 PRAZO VENCIDO",IF(AND(OR(N4007="PENDENTE",N4007="PARCIAL"),D4007&lt;TODAY()-1),"🔴 EMBARQUE ATRASADO",IF(AND(N4007="REALIZADO",M4007="PENDENTE"),"🟡 EMBARCADO SEM FATURAR",IF(AND(P4007&lt;&gt;"",S4007="",OR(Q4007="",R4007="")),"🟡 PENDÊNCIA SEM RESPONSÁVEL/PRAZO",IF(AND(ISNUMBER(R4007),R4007=TODAY()),"🟡 VENCE HOJE",IF(AND(P4007&lt;&gt;"",S4007=""),"🟡 PENDÊNCIA ABERTA",IF(AND(N(J4007)&gt;0,N(K4007)&lt;J4007),"🟡 FALTA EXECUTAR",IF(OR(M4007="PENDENTE",M4007="PARCIAL"),"🟡 FATURAMENTO PENDENTE","🟡 EMBARQUE PENDENTE")))))))))))</f>
        <v/>
      </c>
      <c r="D4007" s="4" t="n"/>
      <c r="E4007" s="5" t="n"/>
      <c r="F4007" s="5" t="n"/>
      <c r="G4007" s="5" t="n"/>
      <c r="H4007" s="5" t="n"/>
      <c r="I4007" s="5" t="n"/>
      <c r="J4007" s="6" t="n"/>
      <c r="K4007" s="6" t="n"/>
      <c r="L4007" s="7">
        <f>IF(OR(D4007="",N(J4007)=0),"",MIN(1,N(K4007)/J4007))</f>
        <v/>
      </c>
      <c r="M4007" s="5" t="n"/>
      <c r="N4007" s="5" t="n"/>
      <c r="O4007" s="5" t="n"/>
      <c r="P4007" s="5" t="n"/>
      <c r="Q4007" s="5" t="n"/>
      <c r="R4007" s="4" t="n"/>
      <c r="S4007" s="4" t="n"/>
      <c r="T4007" s="5" t="n"/>
      <c r="U4007" s="8">
        <f>IF(AND(V4007=1,D4007&lt;&gt;""),IF(D4007&gt;=corte,TODAY()-D4007,""),"")</f>
        <v/>
      </c>
      <c r="V4007" s="8">
        <f>IF(D4007="",0,IF(OR(AND(P4007&lt;&gt;"",S4007=""),AND(N(J4007)&gt;0,N(K4007)&lt;J4007),OR(M4007="PENDENTE",M4007="PARCIAL"),OR(N4007="PENDENTE",N4007="PARCIAL")),1,0))</f>
        <v/>
      </c>
      <c r="W4007" s="8">
        <f>IF(AND(V4007=1,D4007&lt;&gt;""),IF(D4007&gt;=corte,(B4007="CRÍTICO")*1E9+(100000-D4007)*10000+10000-ROW(),""),"")</f>
        <v/>
      </c>
      <c r="X4007" s="8">
        <f>IF(AND(V4007=1,D4007=pas_data,E4007=pas_turno),10000-ROW(),"")</f>
        <v/>
      </c>
    </row>
    <row r="4008">
      <c r="A4008" s="3">
        <f>IF(D4008="","","TT-"&amp;TEXT(ROW()-1,"00000"))</f>
        <v/>
      </c>
      <c r="B4008" s="3">
        <f>IF(D4008="","",IF(V4008=0,"CONCLUÍDO",IF(D4008&lt;corte,"HISTÓRICO",IF(OR(AND(ISNUMBER(R4008),R4008&lt;TODAY()),AND(OR(N4008="PENDENTE",N4008="PARCIAL"),D4008&lt;TODAY()-1)),"CRÍTICO",IF(OR(AND(P4008&lt;&gt;"",S4008=""),AND(N4008="REALIZADO",M4008="PENDENTE"),AND(ISNUMBER(R4008),R4008=TODAY())),"ATENÇÃO",IF(N(K4008)=0,"PENDENTE","EM ANDAMENTO"))))))</f>
        <v/>
      </c>
      <c r="C4008" s="3">
        <f>IF(D4008="","",IF(V4008=0,"🟢 OK",IF(D4008&lt;corte,"⚪ HISTÓRICO (sem baixa)",IF(AND(ISNUMBER(R4008),R4008&lt;TODAY()),"🔴 PRAZO VENCIDO",IF(AND(OR(N4008="PENDENTE",N4008="PARCIAL"),D4008&lt;TODAY()-1),"🔴 EMBARQUE ATRASADO",IF(AND(N4008="REALIZADO",M4008="PENDENTE"),"🟡 EMBARCADO SEM FATURAR",IF(AND(P4008&lt;&gt;"",S4008="",OR(Q4008="",R4008="")),"🟡 PENDÊNCIA SEM RESPONSÁVEL/PRAZO",IF(AND(ISNUMBER(R4008),R4008=TODAY()),"🟡 VENCE HOJE",IF(AND(P4008&lt;&gt;"",S4008=""),"🟡 PENDÊNCIA ABERTA",IF(AND(N(J4008)&gt;0,N(K4008)&lt;J4008),"🟡 FALTA EXECUTAR",IF(OR(M4008="PENDENTE",M4008="PARCIAL"),"🟡 FATURAMENTO PENDENTE","🟡 EMBARQUE PENDENTE")))))))))))</f>
        <v/>
      </c>
      <c r="D4008" s="4" t="n"/>
      <c r="E4008" s="5" t="n"/>
      <c r="F4008" s="5" t="n"/>
      <c r="G4008" s="5" t="n"/>
      <c r="H4008" s="5" t="n"/>
      <c r="I4008" s="5" t="n"/>
      <c r="J4008" s="6" t="n"/>
      <c r="K4008" s="6" t="n"/>
      <c r="L4008" s="7">
        <f>IF(OR(D4008="",N(J4008)=0),"",MIN(1,N(K4008)/J4008))</f>
        <v/>
      </c>
      <c r="M4008" s="5" t="n"/>
      <c r="N4008" s="5" t="n"/>
      <c r="O4008" s="5" t="n"/>
      <c r="P4008" s="5" t="n"/>
      <c r="Q4008" s="5" t="n"/>
      <c r="R4008" s="4" t="n"/>
      <c r="S4008" s="4" t="n"/>
      <c r="T4008" s="5" t="n"/>
      <c r="U4008" s="8">
        <f>IF(AND(V4008=1,D4008&lt;&gt;""),IF(D4008&gt;=corte,TODAY()-D4008,""),"")</f>
        <v/>
      </c>
      <c r="V4008" s="8">
        <f>IF(D4008="",0,IF(OR(AND(P4008&lt;&gt;"",S4008=""),AND(N(J4008)&gt;0,N(K4008)&lt;J4008),OR(M4008="PENDENTE",M4008="PARCIAL"),OR(N4008="PENDENTE",N4008="PARCIAL")),1,0))</f>
        <v/>
      </c>
      <c r="W4008" s="8">
        <f>IF(AND(V4008=1,D4008&lt;&gt;""),IF(D4008&gt;=corte,(B4008="CRÍTICO")*1E9+(100000-D4008)*10000+10000-ROW(),""),"")</f>
        <v/>
      </c>
      <c r="X4008" s="8">
        <f>IF(AND(V4008=1,D4008=pas_data,E4008=pas_turno),10000-ROW(),"")</f>
        <v/>
      </c>
    </row>
    <row r="4009">
      <c r="A4009" s="3">
        <f>IF(D4009="","","TT-"&amp;TEXT(ROW()-1,"00000"))</f>
        <v/>
      </c>
      <c r="B4009" s="3">
        <f>IF(D4009="","",IF(V4009=0,"CONCLUÍDO",IF(D4009&lt;corte,"HISTÓRICO",IF(OR(AND(ISNUMBER(R4009),R4009&lt;TODAY()),AND(OR(N4009="PENDENTE",N4009="PARCIAL"),D4009&lt;TODAY()-1)),"CRÍTICO",IF(OR(AND(P4009&lt;&gt;"",S4009=""),AND(N4009="REALIZADO",M4009="PENDENTE"),AND(ISNUMBER(R4009),R4009=TODAY())),"ATENÇÃO",IF(N(K4009)=0,"PENDENTE","EM ANDAMENTO"))))))</f>
        <v/>
      </c>
      <c r="C4009" s="3">
        <f>IF(D4009="","",IF(V4009=0,"🟢 OK",IF(D4009&lt;corte,"⚪ HISTÓRICO (sem baixa)",IF(AND(ISNUMBER(R4009),R4009&lt;TODAY()),"🔴 PRAZO VENCIDO",IF(AND(OR(N4009="PENDENTE",N4009="PARCIAL"),D4009&lt;TODAY()-1),"🔴 EMBARQUE ATRASADO",IF(AND(N4009="REALIZADO",M4009="PENDENTE"),"🟡 EMBARCADO SEM FATURAR",IF(AND(P4009&lt;&gt;"",S4009="",OR(Q4009="",R4009="")),"🟡 PENDÊNCIA SEM RESPONSÁVEL/PRAZO",IF(AND(ISNUMBER(R4009),R4009=TODAY()),"🟡 VENCE HOJE",IF(AND(P4009&lt;&gt;"",S4009=""),"🟡 PENDÊNCIA ABERTA",IF(AND(N(J4009)&gt;0,N(K4009)&lt;J4009),"🟡 FALTA EXECUTAR",IF(OR(M4009="PENDENTE",M4009="PARCIAL"),"🟡 FATURAMENTO PENDENTE","🟡 EMBARQUE PENDENTE")))))))))))</f>
        <v/>
      </c>
      <c r="D4009" s="4" t="n"/>
      <c r="E4009" s="5" t="n"/>
      <c r="F4009" s="5" t="n"/>
      <c r="G4009" s="5" t="n"/>
      <c r="H4009" s="5" t="n"/>
      <c r="I4009" s="5" t="n"/>
      <c r="J4009" s="6" t="n"/>
      <c r="K4009" s="6" t="n"/>
      <c r="L4009" s="7">
        <f>IF(OR(D4009="",N(J4009)=0),"",MIN(1,N(K4009)/J4009))</f>
        <v/>
      </c>
      <c r="M4009" s="5" t="n"/>
      <c r="N4009" s="5" t="n"/>
      <c r="O4009" s="5" t="n"/>
      <c r="P4009" s="5" t="n"/>
      <c r="Q4009" s="5" t="n"/>
      <c r="R4009" s="4" t="n"/>
      <c r="S4009" s="4" t="n"/>
      <c r="T4009" s="5" t="n"/>
      <c r="U4009" s="8">
        <f>IF(AND(V4009=1,D4009&lt;&gt;""),IF(D4009&gt;=corte,TODAY()-D4009,""),"")</f>
        <v/>
      </c>
      <c r="V4009" s="8">
        <f>IF(D4009="",0,IF(OR(AND(P4009&lt;&gt;"",S4009=""),AND(N(J4009)&gt;0,N(K4009)&lt;J4009),OR(M4009="PENDENTE",M4009="PARCIAL"),OR(N4009="PENDENTE",N4009="PARCIAL")),1,0))</f>
        <v/>
      </c>
      <c r="W4009" s="8">
        <f>IF(AND(V4009=1,D4009&lt;&gt;""),IF(D4009&gt;=corte,(B4009="CRÍTICO")*1E9+(100000-D4009)*10000+10000-ROW(),""),"")</f>
        <v/>
      </c>
      <c r="X4009" s="8">
        <f>IF(AND(V4009=1,D4009=pas_data,E4009=pas_turno),10000-ROW(),"")</f>
        <v/>
      </c>
    </row>
    <row r="4010">
      <c r="A4010" s="3">
        <f>IF(D4010="","","TT-"&amp;TEXT(ROW()-1,"00000"))</f>
        <v/>
      </c>
      <c r="B4010" s="3">
        <f>IF(D4010="","",IF(V4010=0,"CONCLUÍDO",IF(D4010&lt;corte,"HISTÓRICO",IF(OR(AND(ISNUMBER(R4010),R4010&lt;TODAY()),AND(OR(N4010="PENDENTE",N4010="PARCIAL"),D4010&lt;TODAY()-1)),"CRÍTICO",IF(OR(AND(P4010&lt;&gt;"",S4010=""),AND(N4010="REALIZADO",M4010="PENDENTE"),AND(ISNUMBER(R4010),R4010=TODAY())),"ATENÇÃO",IF(N(K4010)=0,"PENDENTE","EM ANDAMENTO"))))))</f>
        <v/>
      </c>
      <c r="C4010" s="3">
        <f>IF(D4010="","",IF(V4010=0,"🟢 OK",IF(D4010&lt;corte,"⚪ HISTÓRICO (sem baixa)",IF(AND(ISNUMBER(R4010),R4010&lt;TODAY()),"🔴 PRAZO VENCIDO",IF(AND(OR(N4010="PENDENTE",N4010="PARCIAL"),D4010&lt;TODAY()-1),"🔴 EMBARQUE ATRASADO",IF(AND(N4010="REALIZADO",M4010="PENDENTE"),"🟡 EMBARCADO SEM FATURAR",IF(AND(P4010&lt;&gt;"",S4010="",OR(Q4010="",R4010="")),"🟡 PENDÊNCIA SEM RESPONSÁVEL/PRAZO",IF(AND(ISNUMBER(R4010),R4010=TODAY()),"🟡 VENCE HOJE",IF(AND(P4010&lt;&gt;"",S4010=""),"🟡 PENDÊNCIA ABERTA",IF(AND(N(J4010)&gt;0,N(K4010)&lt;J4010),"🟡 FALTA EXECUTAR",IF(OR(M4010="PENDENTE",M4010="PARCIAL"),"🟡 FATURAMENTO PENDENTE","🟡 EMBARQUE PENDENTE")))))))))))</f>
        <v/>
      </c>
      <c r="D4010" s="4" t="n"/>
      <c r="E4010" s="5" t="n"/>
      <c r="F4010" s="5" t="n"/>
      <c r="G4010" s="5" t="n"/>
      <c r="H4010" s="5" t="n"/>
      <c r="I4010" s="5" t="n"/>
      <c r="J4010" s="6" t="n"/>
      <c r="K4010" s="6" t="n"/>
      <c r="L4010" s="7">
        <f>IF(OR(D4010="",N(J4010)=0),"",MIN(1,N(K4010)/J4010))</f>
        <v/>
      </c>
      <c r="M4010" s="5" t="n"/>
      <c r="N4010" s="5" t="n"/>
      <c r="O4010" s="5" t="n"/>
      <c r="P4010" s="5" t="n"/>
      <c r="Q4010" s="5" t="n"/>
      <c r="R4010" s="4" t="n"/>
      <c r="S4010" s="4" t="n"/>
      <c r="T4010" s="5" t="n"/>
      <c r="U4010" s="8">
        <f>IF(AND(V4010=1,D4010&lt;&gt;""),IF(D4010&gt;=corte,TODAY()-D4010,""),"")</f>
        <v/>
      </c>
      <c r="V4010" s="8">
        <f>IF(D4010="",0,IF(OR(AND(P4010&lt;&gt;"",S4010=""),AND(N(J4010)&gt;0,N(K4010)&lt;J4010),OR(M4010="PENDENTE",M4010="PARCIAL"),OR(N4010="PENDENTE",N4010="PARCIAL")),1,0))</f>
        <v/>
      </c>
      <c r="W4010" s="8">
        <f>IF(AND(V4010=1,D4010&lt;&gt;""),IF(D4010&gt;=corte,(B4010="CRÍTICO")*1E9+(100000-D4010)*10000+10000-ROW(),""),"")</f>
        <v/>
      </c>
      <c r="X4010" s="8">
        <f>IF(AND(V4010=1,D4010=pas_data,E4010=pas_turno),10000-ROW(),"")</f>
        <v/>
      </c>
    </row>
    <row r="4011">
      <c r="A4011" s="3">
        <f>IF(D4011="","","TT-"&amp;TEXT(ROW()-1,"00000"))</f>
        <v/>
      </c>
      <c r="B4011" s="3">
        <f>IF(D4011="","",IF(V4011=0,"CONCLUÍDO",IF(D4011&lt;corte,"HISTÓRICO",IF(OR(AND(ISNUMBER(R4011),R4011&lt;TODAY()),AND(OR(N4011="PENDENTE",N4011="PARCIAL"),D4011&lt;TODAY()-1)),"CRÍTICO",IF(OR(AND(P4011&lt;&gt;"",S4011=""),AND(N4011="REALIZADO",M4011="PENDENTE"),AND(ISNUMBER(R4011),R4011=TODAY())),"ATENÇÃO",IF(N(K4011)=0,"PENDENTE","EM ANDAMENTO"))))))</f>
        <v/>
      </c>
      <c r="C4011" s="3">
        <f>IF(D4011="","",IF(V4011=0,"🟢 OK",IF(D4011&lt;corte,"⚪ HISTÓRICO (sem baixa)",IF(AND(ISNUMBER(R4011),R4011&lt;TODAY()),"🔴 PRAZO VENCIDO",IF(AND(OR(N4011="PENDENTE",N4011="PARCIAL"),D4011&lt;TODAY()-1),"🔴 EMBARQUE ATRASADO",IF(AND(N4011="REALIZADO",M4011="PENDENTE"),"🟡 EMBARCADO SEM FATURAR",IF(AND(P4011&lt;&gt;"",S4011="",OR(Q4011="",R4011="")),"🟡 PENDÊNCIA SEM RESPONSÁVEL/PRAZO",IF(AND(ISNUMBER(R4011),R4011=TODAY()),"🟡 VENCE HOJE",IF(AND(P4011&lt;&gt;"",S4011=""),"🟡 PENDÊNCIA ABERTA",IF(AND(N(J4011)&gt;0,N(K4011)&lt;J4011),"🟡 FALTA EXECUTAR",IF(OR(M4011="PENDENTE",M4011="PARCIAL"),"🟡 FATURAMENTO PENDENTE","🟡 EMBARQUE PENDENTE")))))))))))</f>
        <v/>
      </c>
      <c r="D4011" s="4" t="n"/>
      <c r="E4011" s="5" t="n"/>
      <c r="F4011" s="5" t="n"/>
      <c r="G4011" s="5" t="n"/>
      <c r="H4011" s="5" t="n"/>
      <c r="I4011" s="5" t="n"/>
      <c r="J4011" s="6" t="n"/>
      <c r="K4011" s="6" t="n"/>
      <c r="L4011" s="7">
        <f>IF(OR(D4011="",N(J4011)=0),"",MIN(1,N(K4011)/J4011))</f>
        <v/>
      </c>
      <c r="M4011" s="5" t="n"/>
      <c r="N4011" s="5" t="n"/>
      <c r="O4011" s="5" t="n"/>
      <c r="P4011" s="5" t="n"/>
      <c r="Q4011" s="5" t="n"/>
      <c r="R4011" s="4" t="n"/>
      <c r="S4011" s="4" t="n"/>
      <c r="T4011" s="5" t="n"/>
      <c r="U4011" s="8">
        <f>IF(AND(V4011=1,D4011&lt;&gt;""),IF(D4011&gt;=corte,TODAY()-D4011,""),"")</f>
        <v/>
      </c>
      <c r="V4011" s="8">
        <f>IF(D4011="",0,IF(OR(AND(P4011&lt;&gt;"",S4011=""),AND(N(J4011)&gt;0,N(K4011)&lt;J4011),OR(M4011="PENDENTE",M4011="PARCIAL"),OR(N4011="PENDENTE",N4011="PARCIAL")),1,0))</f>
        <v/>
      </c>
      <c r="W4011" s="8">
        <f>IF(AND(V4011=1,D4011&lt;&gt;""),IF(D4011&gt;=corte,(B4011="CRÍTICO")*1E9+(100000-D4011)*10000+10000-ROW(),""),"")</f>
        <v/>
      </c>
      <c r="X4011" s="8">
        <f>IF(AND(V4011=1,D4011=pas_data,E4011=pas_turno),10000-ROW(),"")</f>
        <v/>
      </c>
    </row>
    <row r="4012">
      <c r="A4012" s="3">
        <f>IF(D4012="","","TT-"&amp;TEXT(ROW()-1,"00000"))</f>
        <v/>
      </c>
      <c r="B4012" s="3">
        <f>IF(D4012="","",IF(V4012=0,"CONCLUÍDO",IF(D4012&lt;corte,"HISTÓRICO",IF(OR(AND(ISNUMBER(R4012),R4012&lt;TODAY()),AND(OR(N4012="PENDENTE",N4012="PARCIAL"),D4012&lt;TODAY()-1)),"CRÍTICO",IF(OR(AND(P4012&lt;&gt;"",S4012=""),AND(N4012="REALIZADO",M4012="PENDENTE"),AND(ISNUMBER(R4012),R4012=TODAY())),"ATENÇÃO",IF(N(K4012)=0,"PENDENTE","EM ANDAMENTO"))))))</f>
        <v/>
      </c>
      <c r="C4012" s="3">
        <f>IF(D4012="","",IF(V4012=0,"🟢 OK",IF(D4012&lt;corte,"⚪ HISTÓRICO (sem baixa)",IF(AND(ISNUMBER(R4012),R4012&lt;TODAY()),"🔴 PRAZO VENCIDO",IF(AND(OR(N4012="PENDENTE",N4012="PARCIAL"),D4012&lt;TODAY()-1),"🔴 EMBARQUE ATRASADO",IF(AND(N4012="REALIZADO",M4012="PENDENTE"),"🟡 EMBARCADO SEM FATURAR",IF(AND(P4012&lt;&gt;"",S4012="",OR(Q4012="",R4012="")),"🟡 PENDÊNCIA SEM RESPONSÁVEL/PRAZO",IF(AND(ISNUMBER(R4012),R4012=TODAY()),"🟡 VENCE HOJE",IF(AND(P4012&lt;&gt;"",S4012=""),"🟡 PENDÊNCIA ABERTA",IF(AND(N(J4012)&gt;0,N(K4012)&lt;J4012),"🟡 FALTA EXECUTAR",IF(OR(M4012="PENDENTE",M4012="PARCIAL"),"🟡 FATURAMENTO PENDENTE","🟡 EMBARQUE PENDENTE")))))))))))</f>
        <v/>
      </c>
      <c r="D4012" s="4" t="n"/>
      <c r="E4012" s="5" t="n"/>
      <c r="F4012" s="5" t="n"/>
      <c r="G4012" s="5" t="n"/>
      <c r="H4012" s="5" t="n"/>
      <c r="I4012" s="5" t="n"/>
      <c r="J4012" s="6" t="n"/>
      <c r="K4012" s="6" t="n"/>
      <c r="L4012" s="7">
        <f>IF(OR(D4012="",N(J4012)=0),"",MIN(1,N(K4012)/J4012))</f>
        <v/>
      </c>
      <c r="M4012" s="5" t="n"/>
      <c r="N4012" s="5" t="n"/>
      <c r="O4012" s="5" t="n"/>
      <c r="P4012" s="5" t="n"/>
      <c r="Q4012" s="5" t="n"/>
      <c r="R4012" s="4" t="n"/>
      <c r="S4012" s="4" t="n"/>
      <c r="T4012" s="5" t="n"/>
      <c r="U4012" s="8">
        <f>IF(AND(V4012=1,D4012&lt;&gt;""),IF(D4012&gt;=corte,TODAY()-D4012,""),"")</f>
        <v/>
      </c>
      <c r="V4012" s="8">
        <f>IF(D4012="",0,IF(OR(AND(P4012&lt;&gt;"",S4012=""),AND(N(J4012)&gt;0,N(K4012)&lt;J4012),OR(M4012="PENDENTE",M4012="PARCIAL"),OR(N4012="PENDENTE",N4012="PARCIAL")),1,0))</f>
        <v/>
      </c>
      <c r="W4012" s="8">
        <f>IF(AND(V4012=1,D4012&lt;&gt;""),IF(D4012&gt;=corte,(B4012="CRÍTICO")*1E9+(100000-D4012)*10000+10000-ROW(),""),"")</f>
        <v/>
      </c>
      <c r="X4012" s="8">
        <f>IF(AND(V4012=1,D4012=pas_data,E4012=pas_turno),10000-ROW(),"")</f>
        <v/>
      </c>
    </row>
    <row r="4013">
      <c r="A4013" s="3">
        <f>IF(D4013="","","TT-"&amp;TEXT(ROW()-1,"00000"))</f>
        <v/>
      </c>
      <c r="B4013" s="3">
        <f>IF(D4013="","",IF(V4013=0,"CONCLUÍDO",IF(D4013&lt;corte,"HISTÓRICO",IF(OR(AND(ISNUMBER(R4013),R4013&lt;TODAY()),AND(OR(N4013="PENDENTE",N4013="PARCIAL"),D4013&lt;TODAY()-1)),"CRÍTICO",IF(OR(AND(P4013&lt;&gt;"",S4013=""),AND(N4013="REALIZADO",M4013="PENDENTE"),AND(ISNUMBER(R4013),R4013=TODAY())),"ATENÇÃO",IF(N(K4013)=0,"PENDENTE","EM ANDAMENTO"))))))</f>
        <v/>
      </c>
      <c r="C4013" s="3">
        <f>IF(D4013="","",IF(V4013=0,"🟢 OK",IF(D4013&lt;corte,"⚪ HISTÓRICO (sem baixa)",IF(AND(ISNUMBER(R4013),R4013&lt;TODAY()),"🔴 PRAZO VENCIDO",IF(AND(OR(N4013="PENDENTE",N4013="PARCIAL"),D4013&lt;TODAY()-1),"🔴 EMBARQUE ATRASADO",IF(AND(N4013="REALIZADO",M4013="PENDENTE"),"🟡 EMBARCADO SEM FATURAR",IF(AND(P4013&lt;&gt;"",S4013="",OR(Q4013="",R4013="")),"🟡 PENDÊNCIA SEM RESPONSÁVEL/PRAZO",IF(AND(ISNUMBER(R4013),R4013=TODAY()),"🟡 VENCE HOJE",IF(AND(P4013&lt;&gt;"",S4013=""),"🟡 PENDÊNCIA ABERTA",IF(AND(N(J4013)&gt;0,N(K4013)&lt;J4013),"🟡 FALTA EXECUTAR",IF(OR(M4013="PENDENTE",M4013="PARCIAL"),"🟡 FATURAMENTO PENDENTE","🟡 EMBARQUE PENDENTE")))))))))))</f>
        <v/>
      </c>
      <c r="D4013" s="4" t="n"/>
      <c r="E4013" s="5" t="n"/>
      <c r="F4013" s="5" t="n"/>
      <c r="G4013" s="5" t="n"/>
      <c r="H4013" s="5" t="n"/>
      <c r="I4013" s="5" t="n"/>
      <c r="J4013" s="6" t="n"/>
      <c r="K4013" s="6" t="n"/>
      <c r="L4013" s="7">
        <f>IF(OR(D4013="",N(J4013)=0),"",MIN(1,N(K4013)/J4013))</f>
        <v/>
      </c>
      <c r="M4013" s="5" t="n"/>
      <c r="N4013" s="5" t="n"/>
      <c r="O4013" s="5" t="n"/>
      <c r="P4013" s="5" t="n"/>
      <c r="Q4013" s="5" t="n"/>
      <c r="R4013" s="4" t="n"/>
      <c r="S4013" s="4" t="n"/>
      <c r="T4013" s="5" t="n"/>
      <c r="U4013" s="8">
        <f>IF(AND(V4013=1,D4013&lt;&gt;""),IF(D4013&gt;=corte,TODAY()-D4013,""),"")</f>
        <v/>
      </c>
      <c r="V4013" s="8">
        <f>IF(D4013="",0,IF(OR(AND(P4013&lt;&gt;"",S4013=""),AND(N(J4013)&gt;0,N(K4013)&lt;J4013),OR(M4013="PENDENTE",M4013="PARCIAL"),OR(N4013="PENDENTE",N4013="PARCIAL")),1,0))</f>
        <v/>
      </c>
      <c r="W4013" s="8">
        <f>IF(AND(V4013=1,D4013&lt;&gt;""),IF(D4013&gt;=corte,(B4013="CRÍTICO")*1E9+(100000-D4013)*10000+10000-ROW(),""),"")</f>
        <v/>
      </c>
      <c r="X4013" s="8">
        <f>IF(AND(V4013=1,D4013=pas_data,E4013=pas_turno),10000-ROW(),"")</f>
        <v/>
      </c>
    </row>
    <row r="4014">
      <c r="A4014" s="3">
        <f>IF(D4014="","","TT-"&amp;TEXT(ROW()-1,"00000"))</f>
        <v/>
      </c>
      <c r="B4014" s="3">
        <f>IF(D4014="","",IF(V4014=0,"CONCLUÍDO",IF(D4014&lt;corte,"HISTÓRICO",IF(OR(AND(ISNUMBER(R4014),R4014&lt;TODAY()),AND(OR(N4014="PENDENTE",N4014="PARCIAL"),D4014&lt;TODAY()-1)),"CRÍTICO",IF(OR(AND(P4014&lt;&gt;"",S4014=""),AND(N4014="REALIZADO",M4014="PENDENTE"),AND(ISNUMBER(R4014),R4014=TODAY())),"ATENÇÃO",IF(N(K4014)=0,"PENDENTE","EM ANDAMENTO"))))))</f>
        <v/>
      </c>
      <c r="C4014" s="3">
        <f>IF(D4014="","",IF(V4014=0,"🟢 OK",IF(D4014&lt;corte,"⚪ HISTÓRICO (sem baixa)",IF(AND(ISNUMBER(R4014),R4014&lt;TODAY()),"🔴 PRAZO VENCIDO",IF(AND(OR(N4014="PENDENTE",N4014="PARCIAL"),D4014&lt;TODAY()-1),"🔴 EMBARQUE ATRASADO",IF(AND(N4014="REALIZADO",M4014="PENDENTE"),"🟡 EMBARCADO SEM FATURAR",IF(AND(P4014&lt;&gt;"",S4014="",OR(Q4014="",R4014="")),"🟡 PENDÊNCIA SEM RESPONSÁVEL/PRAZO",IF(AND(ISNUMBER(R4014),R4014=TODAY()),"🟡 VENCE HOJE",IF(AND(P4014&lt;&gt;"",S4014=""),"🟡 PENDÊNCIA ABERTA",IF(AND(N(J4014)&gt;0,N(K4014)&lt;J4014),"🟡 FALTA EXECUTAR",IF(OR(M4014="PENDENTE",M4014="PARCIAL"),"🟡 FATURAMENTO PENDENTE","🟡 EMBARQUE PENDENTE")))))))))))</f>
        <v/>
      </c>
      <c r="D4014" s="4" t="n"/>
      <c r="E4014" s="5" t="n"/>
      <c r="F4014" s="5" t="n"/>
      <c r="G4014" s="5" t="n"/>
      <c r="H4014" s="5" t="n"/>
      <c r="I4014" s="5" t="n"/>
      <c r="J4014" s="6" t="n"/>
      <c r="K4014" s="6" t="n"/>
      <c r="L4014" s="7">
        <f>IF(OR(D4014="",N(J4014)=0),"",MIN(1,N(K4014)/J4014))</f>
        <v/>
      </c>
      <c r="M4014" s="5" t="n"/>
      <c r="N4014" s="5" t="n"/>
      <c r="O4014" s="5" t="n"/>
      <c r="P4014" s="5" t="n"/>
      <c r="Q4014" s="5" t="n"/>
      <c r="R4014" s="4" t="n"/>
      <c r="S4014" s="4" t="n"/>
      <c r="T4014" s="5" t="n"/>
      <c r="U4014" s="8">
        <f>IF(AND(V4014=1,D4014&lt;&gt;""),IF(D4014&gt;=corte,TODAY()-D4014,""),"")</f>
        <v/>
      </c>
      <c r="V4014" s="8">
        <f>IF(D4014="",0,IF(OR(AND(P4014&lt;&gt;"",S4014=""),AND(N(J4014)&gt;0,N(K4014)&lt;J4014),OR(M4014="PENDENTE",M4014="PARCIAL"),OR(N4014="PENDENTE",N4014="PARCIAL")),1,0))</f>
        <v/>
      </c>
      <c r="W4014" s="8">
        <f>IF(AND(V4014=1,D4014&lt;&gt;""),IF(D4014&gt;=corte,(B4014="CRÍTICO")*1E9+(100000-D4014)*10000+10000-ROW(),""),"")</f>
        <v/>
      </c>
      <c r="X4014" s="8">
        <f>IF(AND(V4014=1,D4014=pas_data,E4014=pas_turno),10000-ROW(),"")</f>
        <v/>
      </c>
    </row>
    <row r="4015">
      <c r="A4015" s="3">
        <f>IF(D4015="","","TT-"&amp;TEXT(ROW()-1,"00000"))</f>
        <v/>
      </c>
      <c r="B4015" s="3">
        <f>IF(D4015="","",IF(V4015=0,"CONCLUÍDO",IF(D4015&lt;corte,"HISTÓRICO",IF(OR(AND(ISNUMBER(R4015),R4015&lt;TODAY()),AND(OR(N4015="PENDENTE",N4015="PARCIAL"),D4015&lt;TODAY()-1)),"CRÍTICO",IF(OR(AND(P4015&lt;&gt;"",S4015=""),AND(N4015="REALIZADO",M4015="PENDENTE"),AND(ISNUMBER(R4015),R4015=TODAY())),"ATENÇÃO",IF(N(K4015)=0,"PENDENTE","EM ANDAMENTO"))))))</f>
        <v/>
      </c>
      <c r="C4015" s="3">
        <f>IF(D4015="","",IF(V4015=0,"🟢 OK",IF(D4015&lt;corte,"⚪ HISTÓRICO (sem baixa)",IF(AND(ISNUMBER(R4015),R4015&lt;TODAY()),"🔴 PRAZO VENCIDO",IF(AND(OR(N4015="PENDENTE",N4015="PARCIAL"),D4015&lt;TODAY()-1),"🔴 EMBARQUE ATRASADO",IF(AND(N4015="REALIZADO",M4015="PENDENTE"),"🟡 EMBARCADO SEM FATURAR",IF(AND(P4015&lt;&gt;"",S4015="",OR(Q4015="",R4015="")),"🟡 PENDÊNCIA SEM RESPONSÁVEL/PRAZO",IF(AND(ISNUMBER(R4015),R4015=TODAY()),"🟡 VENCE HOJE",IF(AND(P4015&lt;&gt;"",S4015=""),"🟡 PENDÊNCIA ABERTA",IF(AND(N(J4015)&gt;0,N(K4015)&lt;J4015),"🟡 FALTA EXECUTAR",IF(OR(M4015="PENDENTE",M4015="PARCIAL"),"🟡 FATURAMENTO PENDENTE","🟡 EMBARQUE PENDENTE")))))))))))</f>
        <v/>
      </c>
      <c r="D4015" s="4" t="n"/>
      <c r="E4015" s="5" t="n"/>
      <c r="F4015" s="5" t="n"/>
      <c r="G4015" s="5" t="n"/>
      <c r="H4015" s="5" t="n"/>
      <c r="I4015" s="5" t="n"/>
      <c r="J4015" s="6" t="n"/>
      <c r="K4015" s="6" t="n"/>
      <c r="L4015" s="7">
        <f>IF(OR(D4015="",N(J4015)=0),"",MIN(1,N(K4015)/J4015))</f>
        <v/>
      </c>
      <c r="M4015" s="5" t="n"/>
      <c r="N4015" s="5" t="n"/>
      <c r="O4015" s="5" t="n"/>
      <c r="P4015" s="5" t="n"/>
      <c r="Q4015" s="5" t="n"/>
      <c r="R4015" s="4" t="n"/>
      <c r="S4015" s="4" t="n"/>
      <c r="T4015" s="5" t="n"/>
      <c r="U4015" s="8">
        <f>IF(AND(V4015=1,D4015&lt;&gt;""),IF(D4015&gt;=corte,TODAY()-D4015,""),"")</f>
        <v/>
      </c>
      <c r="V4015" s="8">
        <f>IF(D4015="",0,IF(OR(AND(P4015&lt;&gt;"",S4015=""),AND(N(J4015)&gt;0,N(K4015)&lt;J4015),OR(M4015="PENDENTE",M4015="PARCIAL"),OR(N4015="PENDENTE",N4015="PARCIAL")),1,0))</f>
        <v/>
      </c>
      <c r="W4015" s="8">
        <f>IF(AND(V4015=1,D4015&lt;&gt;""),IF(D4015&gt;=corte,(B4015="CRÍTICO")*1E9+(100000-D4015)*10000+10000-ROW(),""),"")</f>
        <v/>
      </c>
      <c r="X4015" s="8">
        <f>IF(AND(V4015=1,D4015=pas_data,E4015=pas_turno),10000-ROW(),"")</f>
        <v/>
      </c>
    </row>
    <row r="4016">
      <c r="A4016" s="3">
        <f>IF(D4016="","","TT-"&amp;TEXT(ROW()-1,"00000"))</f>
        <v/>
      </c>
      <c r="B4016" s="3">
        <f>IF(D4016="","",IF(V4016=0,"CONCLUÍDO",IF(D4016&lt;corte,"HISTÓRICO",IF(OR(AND(ISNUMBER(R4016),R4016&lt;TODAY()),AND(OR(N4016="PENDENTE",N4016="PARCIAL"),D4016&lt;TODAY()-1)),"CRÍTICO",IF(OR(AND(P4016&lt;&gt;"",S4016=""),AND(N4016="REALIZADO",M4016="PENDENTE"),AND(ISNUMBER(R4016),R4016=TODAY())),"ATENÇÃO",IF(N(K4016)=0,"PENDENTE","EM ANDAMENTO"))))))</f>
        <v/>
      </c>
      <c r="C4016" s="3">
        <f>IF(D4016="","",IF(V4016=0,"🟢 OK",IF(D4016&lt;corte,"⚪ HISTÓRICO (sem baixa)",IF(AND(ISNUMBER(R4016),R4016&lt;TODAY()),"🔴 PRAZO VENCIDO",IF(AND(OR(N4016="PENDENTE",N4016="PARCIAL"),D4016&lt;TODAY()-1),"🔴 EMBARQUE ATRASADO",IF(AND(N4016="REALIZADO",M4016="PENDENTE"),"🟡 EMBARCADO SEM FATURAR",IF(AND(P4016&lt;&gt;"",S4016="",OR(Q4016="",R4016="")),"🟡 PENDÊNCIA SEM RESPONSÁVEL/PRAZO",IF(AND(ISNUMBER(R4016),R4016=TODAY()),"🟡 VENCE HOJE",IF(AND(P4016&lt;&gt;"",S4016=""),"🟡 PENDÊNCIA ABERTA",IF(AND(N(J4016)&gt;0,N(K4016)&lt;J4016),"🟡 FALTA EXECUTAR",IF(OR(M4016="PENDENTE",M4016="PARCIAL"),"🟡 FATURAMENTO PENDENTE","🟡 EMBARQUE PENDENTE")))))))))))</f>
        <v/>
      </c>
      <c r="D4016" s="4" t="n"/>
      <c r="E4016" s="5" t="n"/>
      <c r="F4016" s="5" t="n"/>
      <c r="G4016" s="5" t="n"/>
      <c r="H4016" s="5" t="n"/>
      <c r="I4016" s="5" t="n"/>
      <c r="J4016" s="6" t="n"/>
      <c r="K4016" s="6" t="n"/>
      <c r="L4016" s="7">
        <f>IF(OR(D4016="",N(J4016)=0),"",MIN(1,N(K4016)/J4016))</f>
        <v/>
      </c>
      <c r="M4016" s="5" t="n"/>
      <c r="N4016" s="5" t="n"/>
      <c r="O4016" s="5" t="n"/>
      <c r="P4016" s="5" t="n"/>
      <c r="Q4016" s="5" t="n"/>
      <c r="R4016" s="4" t="n"/>
      <c r="S4016" s="4" t="n"/>
      <c r="T4016" s="5" t="n"/>
      <c r="U4016" s="8">
        <f>IF(AND(V4016=1,D4016&lt;&gt;""),IF(D4016&gt;=corte,TODAY()-D4016,""),"")</f>
        <v/>
      </c>
      <c r="V4016" s="8">
        <f>IF(D4016="",0,IF(OR(AND(P4016&lt;&gt;"",S4016=""),AND(N(J4016)&gt;0,N(K4016)&lt;J4016),OR(M4016="PENDENTE",M4016="PARCIAL"),OR(N4016="PENDENTE",N4016="PARCIAL")),1,0))</f>
        <v/>
      </c>
      <c r="W4016" s="8">
        <f>IF(AND(V4016=1,D4016&lt;&gt;""),IF(D4016&gt;=corte,(B4016="CRÍTICO")*1E9+(100000-D4016)*10000+10000-ROW(),""),"")</f>
        <v/>
      </c>
      <c r="X4016" s="8">
        <f>IF(AND(V4016=1,D4016=pas_data,E4016=pas_turno),10000-ROW(),"")</f>
        <v/>
      </c>
    </row>
    <row r="4017">
      <c r="A4017" s="3">
        <f>IF(D4017="","","TT-"&amp;TEXT(ROW()-1,"00000"))</f>
        <v/>
      </c>
      <c r="B4017" s="3">
        <f>IF(D4017="","",IF(V4017=0,"CONCLUÍDO",IF(D4017&lt;corte,"HISTÓRICO",IF(OR(AND(ISNUMBER(R4017),R4017&lt;TODAY()),AND(OR(N4017="PENDENTE",N4017="PARCIAL"),D4017&lt;TODAY()-1)),"CRÍTICO",IF(OR(AND(P4017&lt;&gt;"",S4017=""),AND(N4017="REALIZADO",M4017="PENDENTE"),AND(ISNUMBER(R4017),R4017=TODAY())),"ATENÇÃO",IF(N(K4017)=0,"PENDENTE","EM ANDAMENTO"))))))</f>
        <v/>
      </c>
      <c r="C4017" s="3">
        <f>IF(D4017="","",IF(V4017=0,"🟢 OK",IF(D4017&lt;corte,"⚪ HISTÓRICO (sem baixa)",IF(AND(ISNUMBER(R4017),R4017&lt;TODAY()),"🔴 PRAZO VENCIDO",IF(AND(OR(N4017="PENDENTE",N4017="PARCIAL"),D4017&lt;TODAY()-1),"🔴 EMBARQUE ATRASADO",IF(AND(N4017="REALIZADO",M4017="PENDENTE"),"🟡 EMBARCADO SEM FATURAR",IF(AND(P4017&lt;&gt;"",S4017="",OR(Q4017="",R4017="")),"🟡 PENDÊNCIA SEM RESPONSÁVEL/PRAZO",IF(AND(ISNUMBER(R4017),R4017=TODAY()),"🟡 VENCE HOJE",IF(AND(P4017&lt;&gt;"",S4017=""),"🟡 PENDÊNCIA ABERTA",IF(AND(N(J4017)&gt;0,N(K4017)&lt;J4017),"🟡 FALTA EXECUTAR",IF(OR(M4017="PENDENTE",M4017="PARCIAL"),"🟡 FATURAMENTO PENDENTE","🟡 EMBARQUE PENDENTE")))))))))))</f>
        <v/>
      </c>
      <c r="D4017" s="4" t="n"/>
      <c r="E4017" s="5" t="n"/>
      <c r="F4017" s="5" t="n"/>
      <c r="G4017" s="5" t="n"/>
      <c r="H4017" s="5" t="n"/>
      <c r="I4017" s="5" t="n"/>
      <c r="J4017" s="6" t="n"/>
      <c r="K4017" s="6" t="n"/>
      <c r="L4017" s="7">
        <f>IF(OR(D4017="",N(J4017)=0),"",MIN(1,N(K4017)/J4017))</f>
        <v/>
      </c>
      <c r="M4017" s="5" t="n"/>
      <c r="N4017" s="5" t="n"/>
      <c r="O4017" s="5" t="n"/>
      <c r="P4017" s="5" t="n"/>
      <c r="Q4017" s="5" t="n"/>
      <c r="R4017" s="4" t="n"/>
      <c r="S4017" s="4" t="n"/>
      <c r="T4017" s="5" t="n"/>
      <c r="U4017" s="8">
        <f>IF(AND(V4017=1,D4017&lt;&gt;""),IF(D4017&gt;=corte,TODAY()-D4017,""),"")</f>
        <v/>
      </c>
      <c r="V4017" s="8">
        <f>IF(D4017="",0,IF(OR(AND(P4017&lt;&gt;"",S4017=""),AND(N(J4017)&gt;0,N(K4017)&lt;J4017),OR(M4017="PENDENTE",M4017="PARCIAL"),OR(N4017="PENDENTE",N4017="PARCIAL")),1,0))</f>
        <v/>
      </c>
      <c r="W4017" s="8">
        <f>IF(AND(V4017=1,D4017&lt;&gt;""),IF(D4017&gt;=corte,(B4017="CRÍTICO")*1E9+(100000-D4017)*10000+10000-ROW(),""),"")</f>
        <v/>
      </c>
      <c r="X4017" s="8">
        <f>IF(AND(V4017=1,D4017=pas_data,E4017=pas_turno),10000-ROW(),"")</f>
        <v/>
      </c>
    </row>
    <row r="4018">
      <c r="A4018" s="3">
        <f>IF(D4018="","","TT-"&amp;TEXT(ROW()-1,"00000"))</f>
        <v/>
      </c>
      <c r="B4018" s="3">
        <f>IF(D4018="","",IF(V4018=0,"CONCLUÍDO",IF(D4018&lt;corte,"HISTÓRICO",IF(OR(AND(ISNUMBER(R4018),R4018&lt;TODAY()),AND(OR(N4018="PENDENTE",N4018="PARCIAL"),D4018&lt;TODAY()-1)),"CRÍTICO",IF(OR(AND(P4018&lt;&gt;"",S4018=""),AND(N4018="REALIZADO",M4018="PENDENTE"),AND(ISNUMBER(R4018),R4018=TODAY())),"ATENÇÃO",IF(N(K4018)=0,"PENDENTE","EM ANDAMENTO"))))))</f>
        <v/>
      </c>
      <c r="C4018" s="3">
        <f>IF(D4018="","",IF(V4018=0,"🟢 OK",IF(D4018&lt;corte,"⚪ HISTÓRICO (sem baixa)",IF(AND(ISNUMBER(R4018),R4018&lt;TODAY()),"🔴 PRAZO VENCIDO",IF(AND(OR(N4018="PENDENTE",N4018="PARCIAL"),D4018&lt;TODAY()-1),"🔴 EMBARQUE ATRASADO",IF(AND(N4018="REALIZADO",M4018="PENDENTE"),"🟡 EMBARCADO SEM FATURAR",IF(AND(P4018&lt;&gt;"",S4018="",OR(Q4018="",R4018="")),"🟡 PENDÊNCIA SEM RESPONSÁVEL/PRAZO",IF(AND(ISNUMBER(R4018),R4018=TODAY()),"🟡 VENCE HOJE",IF(AND(P4018&lt;&gt;"",S4018=""),"🟡 PENDÊNCIA ABERTA",IF(AND(N(J4018)&gt;0,N(K4018)&lt;J4018),"🟡 FALTA EXECUTAR",IF(OR(M4018="PENDENTE",M4018="PARCIAL"),"🟡 FATURAMENTO PENDENTE","🟡 EMBARQUE PENDENTE")))))))))))</f>
        <v/>
      </c>
      <c r="D4018" s="4" t="n"/>
      <c r="E4018" s="5" t="n"/>
      <c r="F4018" s="5" t="n"/>
      <c r="G4018" s="5" t="n"/>
      <c r="H4018" s="5" t="n"/>
      <c r="I4018" s="5" t="n"/>
      <c r="J4018" s="6" t="n"/>
      <c r="K4018" s="6" t="n"/>
      <c r="L4018" s="7">
        <f>IF(OR(D4018="",N(J4018)=0),"",MIN(1,N(K4018)/J4018))</f>
        <v/>
      </c>
      <c r="M4018" s="5" t="n"/>
      <c r="N4018" s="5" t="n"/>
      <c r="O4018" s="5" t="n"/>
      <c r="P4018" s="5" t="n"/>
      <c r="Q4018" s="5" t="n"/>
      <c r="R4018" s="4" t="n"/>
      <c r="S4018" s="4" t="n"/>
      <c r="T4018" s="5" t="n"/>
      <c r="U4018" s="8">
        <f>IF(AND(V4018=1,D4018&lt;&gt;""),IF(D4018&gt;=corte,TODAY()-D4018,""),"")</f>
        <v/>
      </c>
      <c r="V4018" s="8">
        <f>IF(D4018="",0,IF(OR(AND(P4018&lt;&gt;"",S4018=""),AND(N(J4018)&gt;0,N(K4018)&lt;J4018),OR(M4018="PENDENTE",M4018="PARCIAL"),OR(N4018="PENDENTE",N4018="PARCIAL")),1,0))</f>
        <v/>
      </c>
      <c r="W4018" s="8">
        <f>IF(AND(V4018=1,D4018&lt;&gt;""),IF(D4018&gt;=corte,(B4018="CRÍTICO")*1E9+(100000-D4018)*10000+10000-ROW(),""),"")</f>
        <v/>
      </c>
      <c r="X4018" s="8">
        <f>IF(AND(V4018=1,D4018=pas_data,E4018=pas_turno),10000-ROW(),"")</f>
        <v/>
      </c>
    </row>
    <row r="4019">
      <c r="A4019" s="3">
        <f>IF(D4019="","","TT-"&amp;TEXT(ROW()-1,"00000"))</f>
        <v/>
      </c>
      <c r="B4019" s="3">
        <f>IF(D4019="","",IF(V4019=0,"CONCLUÍDO",IF(D4019&lt;corte,"HISTÓRICO",IF(OR(AND(ISNUMBER(R4019),R4019&lt;TODAY()),AND(OR(N4019="PENDENTE",N4019="PARCIAL"),D4019&lt;TODAY()-1)),"CRÍTICO",IF(OR(AND(P4019&lt;&gt;"",S4019=""),AND(N4019="REALIZADO",M4019="PENDENTE"),AND(ISNUMBER(R4019),R4019=TODAY())),"ATENÇÃO",IF(N(K4019)=0,"PENDENTE","EM ANDAMENTO"))))))</f>
        <v/>
      </c>
      <c r="C4019" s="3">
        <f>IF(D4019="","",IF(V4019=0,"🟢 OK",IF(D4019&lt;corte,"⚪ HISTÓRICO (sem baixa)",IF(AND(ISNUMBER(R4019),R4019&lt;TODAY()),"🔴 PRAZO VENCIDO",IF(AND(OR(N4019="PENDENTE",N4019="PARCIAL"),D4019&lt;TODAY()-1),"🔴 EMBARQUE ATRASADO",IF(AND(N4019="REALIZADO",M4019="PENDENTE"),"🟡 EMBARCADO SEM FATURAR",IF(AND(P4019&lt;&gt;"",S4019="",OR(Q4019="",R4019="")),"🟡 PENDÊNCIA SEM RESPONSÁVEL/PRAZO",IF(AND(ISNUMBER(R4019),R4019=TODAY()),"🟡 VENCE HOJE",IF(AND(P4019&lt;&gt;"",S4019=""),"🟡 PENDÊNCIA ABERTA",IF(AND(N(J4019)&gt;0,N(K4019)&lt;J4019),"🟡 FALTA EXECUTAR",IF(OR(M4019="PENDENTE",M4019="PARCIAL"),"🟡 FATURAMENTO PENDENTE","🟡 EMBARQUE PENDENTE")))))))))))</f>
        <v/>
      </c>
      <c r="D4019" s="4" t="n"/>
      <c r="E4019" s="5" t="n"/>
      <c r="F4019" s="5" t="n"/>
      <c r="G4019" s="5" t="n"/>
      <c r="H4019" s="5" t="n"/>
      <c r="I4019" s="5" t="n"/>
      <c r="J4019" s="6" t="n"/>
      <c r="K4019" s="6" t="n"/>
      <c r="L4019" s="7">
        <f>IF(OR(D4019="",N(J4019)=0),"",MIN(1,N(K4019)/J4019))</f>
        <v/>
      </c>
      <c r="M4019" s="5" t="n"/>
      <c r="N4019" s="5" t="n"/>
      <c r="O4019" s="5" t="n"/>
      <c r="P4019" s="5" t="n"/>
      <c r="Q4019" s="5" t="n"/>
      <c r="R4019" s="4" t="n"/>
      <c r="S4019" s="4" t="n"/>
      <c r="T4019" s="5" t="n"/>
      <c r="U4019" s="8">
        <f>IF(AND(V4019=1,D4019&lt;&gt;""),IF(D4019&gt;=corte,TODAY()-D4019,""),"")</f>
        <v/>
      </c>
      <c r="V4019" s="8">
        <f>IF(D4019="",0,IF(OR(AND(P4019&lt;&gt;"",S4019=""),AND(N(J4019)&gt;0,N(K4019)&lt;J4019),OR(M4019="PENDENTE",M4019="PARCIAL"),OR(N4019="PENDENTE",N4019="PARCIAL")),1,0))</f>
        <v/>
      </c>
      <c r="W4019" s="8">
        <f>IF(AND(V4019=1,D4019&lt;&gt;""),IF(D4019&gt;=corte,(B4019="CRÍTICO")*1E9+(100000-D4019)*10000+10000-ROW(),""),"")</f>
        <v/>
      </c>
      <c r="X4019" s="8">
        <f>IF(AND(V4019=1,D4019=pas_data,E4019=pas_turno),10000-ROW(),"")</f>
        <v/>
      </c>
    </row>
    <row r="4020">
      <c r="A4020" s="3">
        <f>IF(D4020="","","TT-"&amp;TEXT(ROW()-1,"00000"))</f>
        <v/>
      </c>
      <c r="B4020" s="3">
        <f>IF(D4020="","",IF(V4020=0,"CONCLUÍDO",IF(D4020&lt;corte,"HISTÓRICO",IF(OR(AND(ISNUMBER(R4020),R4020&lt;TODAY()),AND(OR(N4020="PENDENTE",N4020="PARCIAL"),D4020&lt;TODAY()-1)),"CRÍTICO",IF(OR(AND(P4020&lt;&gt;"",S4020=""),AND(N4020="REALIZADO",M4020="PENDENTE"),AND(ISNUMBER(R4020),R4020=TODAY())),"ATENÇÃO",IF(N(K4020)=0,"PENDENTE","EM ANDAMENTO"))))))</f>
        <v/>
      </c>
      <c r="C4020" s="3">
        <f>IF(D4020="","",IF(V4020=0,"🟢 OK",IF(D4020&lt;corte,"⚪ HISTÓRICO (sem baixa)",IF(AND(ISNUMBER(R4020),R4020&lt;TODAY()),"🔴 PRAZO VENCIDO",IF(AND(OR(N4020="PENDENTE",N4020="PARCIAL"),D4020&lt;TODAY()-1),"🔴 EMBARQUE ATRASADO",IF(AND(N4020="REALIZADO",M4020="PENDENTE"),"🟡 EMBARCADO SEM FATURAR",IF(AND(P4020&lt;&gt;"",S4020="",OR(Q4020="",R4020="")),"🟡 PENDÊNCIA SEM RESPONSÁVEL/PRAZO",IF(AND(ISNUMBER(R4020),R4020=TODAY()),"🟡 VENCE HOJE",IF(AND(P4020&lt;&gt;"",S4020=""),"🟡 PENDÊNCIA ABERTA",IF(AND(N(J4020)&gt;0,N(K4020)&lt;J4020),"🟡 FALTA EXECUTAR",IF(OR(M4020="PENDENTE",M4020="PARCIAL"),"🟡 FATURAMENTO PENDENTE","🟡 EMBARQUE PENDENTE")))))))))))</f>
        <v/>
      </c>
      <c r="D4020" s="4" t="n"/>
      <c r="E4020" s="5" t="n"/>
      <c r="F4020" s="5" t="n"/>
      <c r="G4020" s="5" t="n"/>
      <c r="H4020" s="5" t="n"/>
      <c r="I4020" s="5" t="n"/>
      <c r="J4020" s="6" t="n"/>
      <c r="K4020" s="6" t="n"/>
      <c r="L4020" s="7">
        <f>IF(OR(D4020="",N(J4020)=0),"",MIN(1,N(K4020)/J4020))</f>
        <v/>
      </c>
      <c r="M4020" s="5" t="n"/>
      <c r="N4020" s="5" t="n"/>
      <c r="O4020" s="5" t="n"/>
      <c r="P4020" s="5" t="n"/>
      <c r="Q4020" s="5" t="n"/>
      <c r="R4020" s="4" t="n"/>
      <c r="S4020" s="4" t="n"/>
      <c r="T4020" s="5" t="n"/>
      <c r="U4020" s="8">
        <f>IF(AND(V4020=1,D4020&lt;&gt;""),IF(D4020&gt;=corte,TODAY()-D4020,""),"")</f>
        <v/>
      </c>
      <c r="V4020" s="8">
        <f>IF(D4020="",0,IF(OR(AND(P4020&lt;&gt;"",S4020=""),AND(N(J4020)&gt;0,N(K4020)&lt;J4020),OR(M4020="PENDENTE",M4020="PARCIAL"),OR(N4020="PENDENTE",N4020="PARCIAL")),1,0))</f>
        <v/>
      </c>
      <c r="W4020" s="8">
        <f>IF(AND(V4020=1,D4020&lt;&gt;""),IF(D4020&gt;=corte,(B4020="CRÍTICO")*1E9+(100000-D4020)*10000+10000-ROW(),""),"")</f>
        <v/>
      </c>
      <c r="X4020" s="8">
        <f>IF(AND(V4020=1,D4020=pas_data,E4020=pas_turno),10000-ROW(),"")</f>
        <v/>
      </c>
    </row>
    <row r="4021">
      <c r="A4021" s="3">
        <f>IF(D4021="","","TT-"&amp;TEXT(ROW()-1,"00000"))</f>
        <v/>
      </c>
      <c r="B4021" s="3">
        <f>IF(D4021="","",IF(V4021=0,"CONCLUÍDO",IF(D4021&lt;corte,"HISTÓRICO",IF(OR(AND(ISNUMBER(R4021),R4021&lt;TODAY()),AND(OR(N4021="PENDENTE",N4021="PARCIAL"),D4021&lt;TODAY()-1)),"CRÍTICO",IF(OR(AND(P4021&lt;&gt;"",S4021=""),AND(N4021="REALIZADO",M4021="PENDENTE"),AND(ISNUMBER(R4021),R4021=TODAY())),"ATENÇÃO",IF(N(K4021)=0,"PENDENTE","EM ANDAMENTO"))))))</f>
        <v/>
      </c>
      <c r="C4021" s="3">
        <f>IF(D4021="","",IF(V4021=0,"🟢 OK",IF(D4021&lt;corte,"⚪ HISTÓRICO (sem baixa)",IF(AND(ISNUMBER(R4021),R4021&lt;TODAY()),"🔴 PRAZO VENCIDO",IF(AND(OR(N4021="PENDENTE",N4021="PARCIAL"),D4021&lt;TODAY()-1),"🔴 EMBARQUE ATRASADO",IF(AND(N4021="REALIZADO",M4021="PENDENTE"),"🟡 EMBARCADO SEM FATURAR",IF(AND(P4021&lt;&gt;"",S4021="",OR(Q4021="",R4021="")),"🟡 PENDÊNCIA SEM RESPONSÁVEL/PRAZO",IF(AND(ISNUMBER(R4021),R4021=TODAY()),"🟡 VENCE HOJE",IF(AND(P4021&lt;&gt;"",S4021=""),"🟡 PENDÊNCIA ABERTA",IF(AND(N(J4021)&gt;0,N(K4021)&lt;J4021),"🟡 FALTA EXECUTAR",IF(OR(M4021="PENDENTE",M4021="PARCIAL"),"🟡 FATURAMENTO PENDENTE","🟡 EMBARQUE PENDENTE")))))))))))</f>
        <v/>
      </c>
      <c r="D4021" s="4" t="n"/>
      <c r="E4021" s="5" t="n"/>
      <c r="F4021" s="5" t="n"/>
      <c r="G4021" s="5" t="n"/>
      <c r="H4021" s="5" t="n"/>
      <c r="I4021" s="5" t="n"/>
      <c r="J4021" s="6" t="n"/>
      <c r="K4021" s="6" t="n"/>
      <c r="L4021" s="7">
        <f>IF(OR(D4021="",N(J4021)=0),"",MIN(1,N(K4021)/J4021))</f>
        <v/>
      </c>
      <c r="M4021" s="5" t="n"/>
      <c r="N4021" s="5" t="n"/>
      <c r="O4021" s="5" t="n"/>
      <c r="P4021" s="5" t="n"/>
      <c r="Q4021" s="5" t="n"/>
      <c r="R4021" s="4" t="n"/>
      <c r="S4021" s="4" t="n"/>
      <c r="T4021" s="5" t="n"/>
      <c r="U4021" s="8">
        <f>IF(AND(V4021=1,D4021&lt;&gt;""),IF(D4021&gt;=corte,TODAY()-D4021,""),"")</f>
        <v/>
      </c>
      <c r="V4021" s="8">
        <f>IF(D4021="",0,IF(OR(AND(P4021&lt;&gt;"",S4021=""),AND(N(J4021)&gt;0,N(K4021)&lt;J4021),OR(M4021="PENDENTE",M4021="PARCIAL"),OR(N4021="PENDENTE",N4021="PARCIAL")),1,0))</f>
        <v/>
      </c>
      <c r="W4021" s="8">
        <f>IF(AND(V4021=1,D4021&lt;&gt;""),IF(D4021&gt;=corte,(B4021="CRÍTICO")*1E9+(100000-D4021)*10000+10000-ROW(),""),"")</f>
        <v/>
      </c>
      <c r="X4021" s="8">
        <f>IF(AND(V4021=1,D4021=pas_data,E4021=pas_turno),10000-ROW(),"")</f>
        <v/>
      </c>
    </row>
    <row r="4022">
      <c r="A4022" s="3">
        <f>IF(D4022="","","TT-"&amp;TEXT(ROW()-1,"00000"))</f>
        <v/>
      </c>
      <c r="B4022" s="3">
        <f>IF(D4022="","",IF(V4022=0,"CONCLUÍDO",IF(D4022&lt;corte,"HISTÓRICO",IF(OR(AND(ISNUMBER(R4022),R4022&lt;TODAY()),AND(OR(N4022="PENDENTE",N4022="PARCIAL"),D4022&lt;TODAY()-1)),"CRÍTICO",IF(OR(AND(P4022&lt;&gt;"",S4022=""),AND(N4022="REALIZADO",M4022="PENDENTE"),AND(ISNUMBER(R4022),R4022=TODAY())),"ATENÇÃO",IF(N(K4022)=0,"PENDENTE","EM ANDAMENTO"))))))</f>
        <v/>
      </c>
      <c r="C4022" s="3">
        <f>IF(D4022="","",IF(V4022=0,"🟢 OK",IF(D4022&lt;corte,"⚪ HISTÓRICO (sem baixa)",IF(AND(ISNUMBER(R4022),R4022&lt;TODAY()),"🔴 PRAZO VENCIDO",IF(AND(OR(N4022="PENDENTE",N4022="PARCIAL"),D4022&lt;TODAY()-1),"🔴 EMBARQUE ATRASADO",IF(AND(N4022="REALIZADO",M4022="PENDENTE"),"🟡 EMBARCADO SEM FATURAR",IF(AND(P4022&lt;&gt;"",S4022="",OR(Q4022="",R4022="")),"🟡 PENDÊNCIA SEM RESPONSÁVEL/PRAZO",IF(AND(ISNUMBER(R4022),R4022=TODAY()),"🟡 VENCE HOJE",IF(AND(P4022&lt;&gt;"",S4022=""),"🟡 PENDÊNCIA ABERTA",IF(AND(N(J4022)&gt;0,N(K4022)&lt;J4022),"🟡 FALTA EXECUTAR",IF(OR(M4022="PENDENTE",M4022="PARCIAL"),"🟡 FATURAMENTO PENDENTE","🟡 EMBARQUE PENDENTE")))))))))))</f>
        <v/>
      </c>
      <c r="D4022" s="4" t="n"/>
      <c r="E4022" s="5" t="n"/>
      <c r="F4022" s="5" t="n"/>
      <c r="G4022" s="5" t="n"/>
      <c r="H4022" s="5" t="n"/>
      <c r="I4022" s="5" t="n"/>
      <c r="J4022" s="6" t="n"/>
      <c r="K4022" s="6" t="n"/>
      <c r="L4022" s="7">
        <f>IF(OR(D4022="",N(J4022)=0),"",MIN(1,N(K4022)/J4022))</f>
        <v/>
      </c>
      <c r="M4022" s="5" t="n"/>
      <c r="N4022" s="5" t="n"/>
      <c r="O4022" s="5" t="n"/>
      <c r="P4022" s="5" t="n"/>
      <c r="Q4022" s="5" t="n"/>
      <c r="R4022" s="4" t="n"/>
      <c r="S4022" s="4" t="n"/>
      <c r="T4022" s="5" t="n"/>
      <c r="U4022" s="8">
        <f>IF(AND(V4022=1,D4022&lt;&gt;""),IF(D4022&gt;=corte,TODAY()-D4022,""),"")</f>
        <v/>
      </c>
      <c r="V4022" s="8">
        <f>IF(D4022="",0,IF(OR(AND(P4022&lt;&gt;"",S4022=""),AND(N(J4022)&gt;0,N(K4022)&lt;J4022),OR(M4022="PENDENTE",M4022="PARCIAL"),OR(N4022="PENDENTE",N4022="PARCIAL")),1,0))</f>
        <v/>
      </c>
      <c r="W4022" s="8">
        <f>IF(AND(V4022=1,D4022&lt;&gt;""),IF(D4022&gt;=corte,(B4022="CRÍTICO")*1E9+(100000-D4022)*10000+10000-ROW(),""),"")</f>
        <v/>
      </c>
      <c r="X4022" s="8">
        <f>IF(AND(V4022=1,D4022=pas_data,E4022=pas_turno),10000-ROW(),"")</f>
        <v/>
      </c>
    </row>
    <row r="4023">
      <c r="A4023" s="3">
        <f>IF(D4023="","","TT-"&amp;TEXT(ROW()-1,"00000"))</f>
        <v/>
      </c>
      <c r="B4023" s="3">
        <f>IF(D4023="","",IF(V4023=0,"CONCLUÍDO",IF(D4023&lt;corte,"HISTÓRICO",IF(OR(AND(ISNUMBER(R4023),R4023&lt;TODAY()),AND(OR(N4023="PENDENTE",N4023="PARCIAL"),D4023&lt;TODAY()-1)),"CRÍTICO",IF(OR(AND(P4023&lt;&gt;"",S4023=""),AND(N4023="REALIZADO",M4023="PENDENTE"),AND(ISNUMBER(R4023),R4023=TODAY())),"ATENÇÃO",IF(N(K4023)=0,"PENDENTE","EM ANDAMENTO"))))))</f>
        <v/>
      </c>
      <c r="C4023" s="3">
        <f>IF(D4023="","",IF(V4023=0,"🟢 OK",IF(D4023&lt;corte,"⚪ HISTÓRICO (sem baixa)",IF(AND(ISNUMBER(R4023),R4023&lt;TODAY()),"🔴 PRAZO VENCIDO",IF(AND(OR(N4023="PENDENTE",N4023="PARCIAL"),D4023&lt;TODAY()-1),"🔴 EMBARQUE ATRASADO",IF(AND(N4023="REALIZADO",M4023="PENDENTE"),"🟡 EMBARCADO SEM FATURAR",IF(AND(P4023&lt;&gt;"",S4023="",OR(Q4023="",R4023="")),"🟡 PENDÊNCIA SEM RESPONSÁVEL/PRAZO",IF(AND(ISNUMBER(R4023),R4023=TODAY()),"🟡 VENCE HOJE",IF(AND(P4023&lt;&gt;"",S4023=""),"🟡 PENDÊNCIA ABERTA",IF(AND(N(J4023)&gt;0,N(K4023)&lt;J4023),"🟡 FALTA EXECUTAR",IF(OR(M4023="PENDENTE",M4023="PARCIAL"),"🟡 FATURAMENTO PENDENTE","🟡 EMBARQUE PENDENTE")))))))))))</f>
        <v/>
      </c>
      <c r="D4023" s="4" t="n"/>
      <c r="E4023" s="5" t="n"/>
      <c r="F4023" s="5" t="n"/>
      <c r="G4023" s="5" t="n"/>
      <c r="H4023" s="5" t="n"/>
      <c r="I4023" s="5" t="n"/>
      <c r="J4023" s="6" t="n"/>
      <c r="K4023" s="6" t="n"/>
      <c r="L4023" s="7">
        <f>IF(OR(D4023="",N(J4023)=0),"",MIN(1,N(K4023)/J4023))</f>
        <v/>
      </c>
      <c r="M4023" s="5" t="n"/>
      <c r="N4023" s="5" t="n"/>
      <c r="O4023" s="5" t="n"/>
      <c r="P4023" s="5" t="n"/>
      <c r="Q4023" s="5" t="n"/>
      <c r="R4023" s="4" t="n"/>
      <c r="S4023" s="4" t="n"/>
      <c r="T4023" s="5" t="n"/>
      <c r="U4023" s="8">
        <f>IF(AND(V4023=1,D4023&lt;&gt;""),IF(D4023&gt;=corte,TODAY()-D4023,""),"")</f>
        <v/>
      </c>
      <c r="V4023" s="8">
        <f>IF(D4023="",0,IF(OR(AND(P4023&lt;&gt;"",S4023=""),AND(N(J4023)&gt;0,N(K4023)&lt;J4023),OR(M4023="PENDENTE",M4023="PARCIAL"),OR(N4023="PENDENTE",N4023="PARCIAL")),1,0))</f>
        <v/>
      </c>
      <c r="W4023" s="8">
        <f>IF(AND(V4023=1,D4023&lt;&gt;""),IF(D4023&gt;=corte,(B4023="CRÍTICO")*1E9+(100000-D4023)*10000+10000-ROW(),""),"")</f>
        <v/>
      </c>
      <c r="X4023" s="8">
        <f>IF(AND(V4023=1,D4023=pas_data,E4023=pas_turno),10000-ROW(),"")</f>
        <v/>
      </c>
    </row>
    <row r="4024">
      <c r="A4024" s="3">
        <f>IF(D4024="","","TT-"&amp;TEXT(ROW()-1,"00000"))</f>
        <v/>
      </c>
      <c r="B4024" s="3">
        <f>IF(D4024="","",IF(V4024=0,"CONCLUÍDO",IF(D4024&lt;corte,"HISTÓRICO",IF(OR(AND(ISNUMBER(R4024),R4024&lt;TODAY()),AND(OR(N4024="PENDENTE",N4024="PARCIAL"),D4024&lt;TODAY()-1)),"CRÍTICO",IF(OR(AND(P4024&lt;&gt;"",S4024=""),AND(N4024="REALIZADO",M4024="PENDENTE"),AND(ISNUMBER(R4024),R4024=TODAY())),"ATENÇÃO",IF(N(K4024)=0,"PENDENTE","EM ANDAMENTO"))))))</f>
        <v/>
      </c>
      <c r="C4024" s="3">
        <f>IF(D4024="","",IF(V4024=0,"🟢 OK",IF(D4024&lt;corte,"⚪ HISTÓRICO (sem baixa)",IF(AND(ISNUMBER(R4024),R4024&lt;TODAY()),"🔴 PRAZO VENCIDO",IF(AND(OR(N4024="PENDENTE",N4024="PARCIAL"),D4024&lt;TODAY()-1),"🔴 EMBARQUE ATRASADO",IF(AND(N4024="REALIZADO",M4024="PENDENTE"),"🟡 EMBARCADO SEM FATURAR",IF(AND(P4024&lt;&gt;"",S4024="",OR(Q4024="",R4024="")),"🟡 PENDÊNCIA SEM RESPONSÁVEL/PRAZO",IF(AND(ISNUMBER(R4024),R4024=TODAY()),"🟡 VENCE HOJE",IF(AND(P4024&lt;&gt;"",S4024=""),"🟡 PENDÊNCIA ABERTA",IF(AND(N(J4024)&gt;0,N(K4024)&lt;J4024),"🟡 FALTA EXECUTAR",IF(OR(M4024="PENDENTE",M4024="PARCIAL"),"🟡 FATURAMENTO PENDENTE","🟡 EMBARQUE PENDENTE")))))))))))</f>
        <v/>
      </c>
      <c r="D4024" s="4" t="n"/>
      <c r="E4024" s="5" t="n"/>
      <c r="F4024" s="5" t="n"/>
      <c r="G4024" s="5" t="n"/>
      <c r="H4024" s="5" t="n"/>
      <c r="I4024" s="5" t="n"/>
      <c r="J4024" s="6" t="n"/>
      <c r="K4024" s="6" t="n"/>
      <c r="L4024" s="7">
        <f>IF(OR(D4024="",N(J4024)=0),"",MIN(1,N(K4024)/J4024))</f>
        <v/>
      </c>
      <c r="M4024" s="5" t="n"/>
      <c r="N4024" s="5" t="n"/>
      <c r="O4024" s="5" t="n"/>
      <c r="P4024" s="5" t="n"/>
      <c r="Q4024" s="5" t="n"/>
      <c r="R4024" s="4" t="n"/>
      <c r="S4024" s="4" t="n"/>
      <c r="T4024" s="5" t="n"/>
      <c r="U4024" s="8">
        <f>IF(AND(V4024=1,D4024&lt;&gt;""),IF(D4024&gt;=corte,TODAY()-D4024,""),"")</f>
        <v/>
      </c>
      <c r="V4024" s="8">
        <f>IF(D4024="",0,IF(OR(AND(P4024&lt;&gt;"",S4024=""),AND(N(J4024)&gt;0,N(K4024)&lt;J4024),OR(M4024="PENDENTE",M4024="PARCIAL"),OR(N4024="PENDENTE",N4024="PARCIAL")),1,0))</f>
        <v/>
      </c>
      <c r="W4024" s="8">
        <f>IF(AND(V4024=1,D4024&lt;&gt;""),IF(D4024&gt;=corte,(B4024="CRÍTICO")*1E9+(100000-D4024)*10000+10000-ROW(),""),"")</f>
        <v/>
      </c>
      <c r="X4024" s="8">
        <f>IF(AND(V4024=1,D4024=pas_data,E4024=pas_turno),10000-ROW(),"")</f>
        <v/>
      </c>
    </row>
    <row r="4025">
      <c r="A4025" s="3">
        <f>IF(D4025="","","TT-"&amp;TEXT(ROW()-1,"00000"))</f>
        <v/>
      </c>
      <c r="B4025" s="3">
        <f>IF(D4025="","",IF(V4025=0,"CONCLUÍDO",IF(D4025&lt;corte,"HISTÓRICO",IF(OR(AND(ISNUMBER(R4025),R4025&lt;TODAY()),AND(OR(N4025="PENDENTE",N4025="PARCIAL"),D4025&lt;TODAY()-1)),"CRÍTICO",IF(OR(AND(P4025&lt;&gt;"",S4025=""),AND(N4025="REALIZADO",M4025="PENDENTE"),AND(ISNUMBER(R4025),R4025=TODAY())),"ATENÇÃO",IF(N(K4025)=0,"PENDENTE","EM ANDAMENTO"))))))</f>
        <v/>
      </c>
      <c r="C4025" s="3">
        <f>IF(D4025="","",IF(V4025=0,"🟢 OK",IF(D4025&lt;corte,"⚪ HISTÓRICO (sem baixa)",IF(AND(ISNUMBER(R4025),R4025&lt;TODAY()),"🔴 PRAZO VENCIDO",IF(AND(OR(N4025="PENDENTE",N4025="PARCIAL"),D4025&lt;TODAY()-1),"🔴 EMBARQUE ATRASADO",IF(AND(N4025="REALIZADO",M4025="PENDENTE"),"🟡 EMBARCADO SEM FATURAR",IF(AND(P4025&lt;&gt;"",S4025="",OR(Q4025="",R4025="")),"🟡 PENDÊNCIA SEM RESPONSÁVEL/PRAZO",IF(AND(ISNUMBER(R4025),R4025=TODAY()),"🟡 VENCE HOJE",IF(AND(P4025&lt;&gt;"",S4025=""),"🟡 PENDÊNCIA ABERTA",IF(AND(N(J4025)&gt;0,N(K4025)&lt;J4025),"🟡 FALTA EXECUTAR",IF(OR(M4025="PENDENTE",M4025="PARCIAL"),"🟡 FATURAMENTO PENDENTE","🟡 EMBARQUE PENDENTE")))))))))))</f>
        <v/>
      </c>
      <c r="D4025" s="4" t="n"/>
      <c r="E4025" s="5" t="n"/>
      <c r="F4025" s="5" t="n"/>
      <c r="G4025" s="5" t="n"/>
      <c r="H4025" s="5" t="n"/>
      <c r="I4025" s="5" t="n"/>
      <c r="J4025" s="6" t="n"/>
      <c r="K4025" s="6" t="n"/>
      <c r="L4025" s="7">
        <f>IF(OR(D4025="",N(J4025)=0),"",MIN(1,N(K4025)/J4025))</f>
        <v/>
      </c>
      <c r="M4025" s="5" t="n"/>
      <c r="N4025" s="5" t="n"/>
      <c r="O4025" s="5" t="n"/>
      <c r="P4025" s="5" t="n"/>
      <c r="Q4025" s="5" t="n"/>
      <c r="R4025" s="4" t="n"/>
      <c r="S4025" s="4" t="n"/>
      <c r="T4025" s="5" t="n"/>
      <c r="U4025" s="8">
        <f>IF(AND(V4025=1,D4025&lt;&gt;""),IF(D4025&gt;=corte,TODAY()-D4025,""),"")</f>
        <v/>
      </c>
      <c r="V4025" s="8">
        <f>IF(D4025="",0,IF(OR(AND(P4025&lt;&gt;"",S4025=""),AND(N(J4025)&gt;0,N(K4025)&lt;J4025),OR(M4025="PENDENTE",M4025="PARCIAL"),OR(N4025="PENDENTE",N4025="PARCIAL")),1,0))</f>
        <v/>
      </c>
      <c r="W4025" s="8">
        <f>IF(AND(V4025=1,D4025&lt;&gt;""),IF(D4025&gt;=corte,(B4025="CRÍTICO")*1E9+(100000-D4025)*10000+10000-ROW(),""),"")</f>
        <v/>
      </c>
      <c r="X4025" s="8">
        <f>IF(AND(V4025=1,D4025=pas_data,E4025=pas_turno),10000-ROW(),"")</f>
        <v/>
      </c>
    </row>
    <row r="4026">
      <c r="A4026" s="3">
        <f>IF(D4026="","","TT-"&amp;TEXT(ROW()-1,"00000"))</f>
        <v/>
      </c>
      <c r="B4026" s="3">
        <f>IF(D4026="","",IF(V4026=0,"CONCLUÍDO",IF(D4026&lt;corte,"HISTÓRICO",IF(OR(AND(ISNUMBER(R4026),R4026&lt;TODAY()),AND(OR(N4026="PENDENTE",N4026="PARCIAL"),D4026&lt;TODAY()-1)),"CRÍTICO",IF(OR(AND(P4026&lt;&gt;"",S4026=""),AND(N4026="REALIZADO",M4026="PENDENTE"),AND(ISNUMBER(R4026),R4026=TODAY())),"ATENÇÃO",IF(N(K4026)=0,"PENDENTE","EM ANDAMENTO"))))))</f>
        <v/>
      </c>
      <c r="C4026" s="3">
        <f>IF(D4026="","",IF(V4026=0,"🟢 OK",IF(D4026&lt;corte,"⚪ HISTÓRICO (sem baixa)",IF(AND(ISNUMBER(R4026),R4026&lt;TODAY()),"🔴 PRAZO VENCIDO",IF(AND(OR(N4026="PENDENTE",N4026="PARCIAL"),D4026&lt;TODAY()-1),"🔴 EMBARQUE ATRASADO",IF(AND(N4026="REALIZADO",M4026="PENDENTE"),"🟡 EMBARCADO SEM FATURAR",IF(AND(P4026&lt;&gt;"",S4026="",OR(Q4026="",R4026="")),"🟡 PENDÊNCIA SEM RESPONSÁVEL/PRAZO",IF(AND(ISNUMBER(R4026),R4026=TODAY()),"🟡 VENCE HOJE",IF(AND(P4026&lt;&gt;"",S4026=""),"🟡 PENDÊNCIA ABERTA",IF(AND(N(J4026)&gt;0,N(K4026)&lt;J4026),"🟡 FALTA EXECUTAR",IF(OR(M4026="PENDENTE",M4026="PARCIAL"),"🟡 FATURAMENTO PENDENTE","🟡 EMBARQUE PENDENTE")))))))))))</f>
        <v/>
      </c>
      <c r="D4026" s="4" t="n"/>
      <c r="E4026" s="5" t="n"/>
      <c r="F4026" s="5" t="n"/>
      <c r="G4026" s="5" t="n"/>
      <c r="H4026" s="5" t="n"/>
      <c r="I4026" s="5" t="n"/>
      <c r="J4026" s="6" t="n"/>
      <c r="K4026" s="6" t="n"/>
      <c r="L4026" s="7">
        <f>IF(OR(D4026="",N(J4026)=0),"",MIN(1,N(K4026)/J4026))</f>
        <v/>
      </c>
      <c r="M4026" s="5" t="n"/>
      <c r="N4026" s="5" t="n"/>
      <c r="O4026" s="5" t="n"/>
      <c r="P4026" s="5" t="n"/>
      <c r="Q4026" s="5" t="n"/>
      <c r="R4026" s="4" t="n"/>
      <c r="S4026" s="4" t="n"/>
      <c r="T4026" s="5" t="n"/>
      <c r="U4026" s="8">
        <f>IF(AND(V4026=1,D4026&lt;&gt;""),IF(D4026&gt;=corte,TODAY()-D4026,""),"")</f>
        <v/>
      </c>
      <c r="V4026" s="8">
        <f>IF(D4026="",0,IF(OR(AND(P4026&lt;&gt;"",S4026=""),AND(N(J4026)&gt;0,N(K4026)&lt;J4026),OR(M4026="PENDENTE",M4026="PARCIAL"),OR(N4026="PENDENTE",N4026="PARCIAL")),1,0))</f>
        <v/>
      </c>
      <c r="W4026" s="8">
        <f>IF(AND(V4026=1,D4026&lt;&gt;""),IF(D4026&gt;=corte,(B4026="CRÍTICO")*1E9+(100000-D4026)*10000+10000-ROW(),""),"")</f>
        <v/>
      </c>
      <c r="X4026" s="8">
        <f>IF(AND(V4026=1,D4026=pas_data,E4026=pas_turno),10000-ROW(),"")</f>
        <v/>
      </c>
    </row>
    <row r="4027">
      <c r="A4027" s="3">
        <f>IF(D4027="","","TT-"&amp;TEXT(ROW()-1,"00000"))</f>
        <v/>
      </c>
      <c r="B4027" s="3">
        <f>IF(D4027="","",IF(V4027=0,"CONCLUÍDO",IF(D4027&lt;corte,"HISTÓRICO",IF(OR(AND(ISNUMBER(R4027),R4027&lt;TODAY()),AND(OR(N4027="PENDENTE",N4027="PARCIAL"),D4027&lt;TODAY()-1)),"CRÍTICO",IF(OR(AND(P4027&lt;&gt;"",S4027=""),AND(N4027="REALIZADO",M4027="PENDENTE"),AND(ISNUMBER(R4027),R4027=TODAY())),"ATENÇÃO",IF(N(K4027)=0,"PENDENTE","EM ANDAMENTO"))))))</f>
        <v/>
      </c>
      <c r="C4027" s="3">
        <f>IF(D4027="","",IF(V4027=0,"🟢 OK",IF(D4027&lt;corte,"⚪ HISTÓRICO (sem baixa)",IF(AND(ISNUMBER(R4027),R4027&lt;TODAY()),"🔴 PRAZO VENCIDO",IF(AND(OR(N4027="PENDENTE",N4027="PARCIAL"),D4027&lt;TODAY()-1),"🔴 EMBARQUE ATRASADO",IF(AND(N4027="REALIZADO",M4027="PENDENTE"),"🟡 EMBARCADO SEM FATURAR",IF(AND(P4027&lt;&gt;"",S4027="",OR(Q4027="",R4027="")),"🟡 PENDÊNCIA SEM RESPONSÁVEL/PRAZO",IF(AND(ISNUMBER(R4027),R4027=TODAY()),"🟡 VENCE HOJE",IF(AND(P4027&lt;&gt;"",S4027=""),"🟡 PENDÊNCIA ABERTA",IF(AND(N(J4027)&gt;0,N(K4027)&lt;J4027),"🟡 FALTA EXECUTAR",IF(OR(M4027="PENDENTE",M4027="PARCIAL"),"🟡 FATURAMENTO PENDENTE","🟡 EMBARQUE PENDENTE")))))))))))</f>
        <v/>
      </c>
      <c r="D4027" s="4" t="n"/>
      <c r="E4027" s="5" t="n"/>
      <c r="F4027" s="5" t="n"/>
      <c r="G4027" s="5" t="n"/>
      <c r="H4027" s="5" t="n"/>
      <c r="I4027" s="5" t="n"/>
      <c r="J4027" s="6" t="n"/>
      <c r="K4027" s="6" t="n"/>
      <c r="L4027" s="7">
        <f>IF(OR(D4027="",N(J4027)=0),"",MIN(1,N(K4027)/J4027))</f>
        <v/>
      </c>
      <c r="M4027" s="5" t="n"/>
      <c r="N4027" s="5" t="n"/>
      <c r="O4027" s="5" t="n"/>
      <c r="P4027" s="5" t="n"/>
      <c r="Q4027" s="5" t="n"/>
      <c r="R4027" s="4" t="n"/>
      <c r="S4027" s="4" t="n"/>
      <c r="T4027" s="5" t="n"/>
      <c r="U4027" s="8">
        <f>IF(AND(V4027=1,D4027&lt;&gt;""),IF(D4027&gt;=corte,TODAY()-D4027,""),"")</f>
        <v/>
      </c>
      <c r="V4027" s="8">
        <f>IF(D4027="",0,IF(OR(AND(P4027&lt;&gt;"",S4027=""),AND(N(J4027)&gt;0,N(K4027)&lt;J4027),OR(M4027="PENDENTE",M4027="PARCIAL"),OR(N4027="PENDENTE",N4027="PARCIAL")),1,0))</f>
        <v/>
      </c>
      <c r="W4027" s="8">
        <f>IF(AND(V4027=1,D4027&lt;&gt;""),IF(D4027&gt;=corte,(B4027="CRÍTICO")*1E9+(100000-D4027)*10000+10000-ROW(),""),"")</f>
        <v/>
      </c>
      <c r="X4027" s="8">
        <f>IF(AND(V4027=1,D4027=pas_data,E4027=pas_turno),10000-ROW(),"")</f>
        <v/>
      </c>
    </row>
    <row r="4028">
      <c r="A4028" s="3">
        <f>IF(D4028="","","TT-"&amp;TEXT(ROW()-1,"00000"))</f>
        <v/>
      </c>
      <c r="B4028" s="3">
        <f>IF(D4028="","",IF(V4028=0,"CONCLUÍDO",IF(D4028&lt;corte,"HISTÓRICO",IF(OR(AND(ISNUMBER(R4028),R4028&lt;TODAY()),AND(OR(N4028="PENDENTE",N4028="PARCIAL"),D4028&lt;TODAY()-1)),"CRÍTICO",IF(OR(AND(P4028&lt;&gt;"",S4028=""),AND(N4028="REALIZADO",M4028="PENDENTE"),AND(ISNUMBER(R4028),R4028=TODAY())),"ATENÇÃO",IF(N(K4028)=0,"PENDENTE","EM ANDAMENTO"))))))</f>
        <v/>
      </c>
      <c r="C4028" s="3">
        <f>IF(D4028="","",IF(V4028=0,"🟢 OK",IF(D4028&lt;corte,"⚪ HISTÓRICO (sem baixa)",IF(AND(ISNUMBER(R4028),R4028&lt;TODAY()),"🔴 PRAZO VENCIDO",IF(AND(OR(N4028="PENDENTE",N4028="PARCIAL"),D4028&lt;TODAY()-1),"🔴 EMBARQUE ATRASADO",IF(AND(N4028="REALIZADO",M4028="PENDENTE"),"🟡 EMBARCADO SEM FATURAR",IF(AND(P4028&lt;&gt;"",S4028="",OR(Q4028="",R4028="")),"🟡 PENDÊNCIA SEM RESPONSÁVEL/PRAZO",IF(AND(ISNUMBER(R4028),R4028=TODAY()),"🟡 VENCE HOJE",IF(AND(P4028&lt;&gt;"",S4028=""),"🟡 PENDÊNCIA ABERTA",IF(AND(N(J4028)&gt;0,N(K4028)&lt;J4028),"🟡 FALTA EXECUTAR",IF(OR(M4028="PENDENTE",M4028="PARCIAL"),"🟡 FATURAMENTO PENDENTE","🟡 EMBARQUE PENDENTE")))))))))))</f>
        <v/>
      </c>
      <c r="D4028" s="4" t="n"/>
      <c r="E4028" s="5" t="n"/>
      <c r="F4028" s="5" t="n"/>
      <c r="G4028" s="5" t="n"/>
      <c r="H4028" s="5" t="n"/>
      <c r="I4028" s="5" t="n"/>
      <c r="J4028" s="6" t="n"/>
      <c r="K4028" s="6" t="n"/>
      <c r="L4028" s="7">
        <f>IF(OR(D4028="",N(J4028)=0),"",MIN(1,N(K4028)/J4028))</f>
        <v/>
      </c>
      <c r="M4028" s="5" t="n"/>
      <c r="N4028" s="5" t="n"/>
      <c r="O4028" s="5" t="n"/>
      <c r="P4028" s="5" t="n"/>
      <c r="Q4028" s="5" t="n"/>
      <c r="R4028" s="4" t="n"/>
      <c r="S4028" s="4" t="n"/>
      <c r="T4028" s="5" t="n"/>
      <c r="U4028" s="8">
        <f>IF(AND(V4028=1,D4028&lt;&gt;""),IF(D4028&gt;=corte,TODAY()-D4028,""),"")</f>
        <v/>
      </c>
      <c r="V4028" s="8">
        <f>IF(D4028="",0,IF(OR(AND(P4028&lt;&gt;"",S4028=""),AND(N(J4028)&gt;0,N(K4028)&lt;J4028),OR(M4028="PENDENTE",M4028="PARCIAL"),OR(N4028="PENDENTE",N4028="PARCIAL")),1,0))</f>
        <v/>
      </c>
      <c r="W4028" s="8">
        <f>IF(AND(V4028=1,D4028&lt;&gt;""),IF(D4028&gt;=corte,(B4028="CRÍTICO")*1E9+(100000-D4028)*10000+10000-ROW(),""),"")</f>
        <v/>
      </c>
      <c r="X4028" s="8">
        <f>IF(AND(V4028=1,D4028=pas_data,E4028=pas_turno),10000-ROW(),"")</f>
        <v/>
      </c>
    </row>
    <row r="4029">
      <c r="A4029" s="3">
        <f>IF(D4029="","","TT-"&amp;TEXT(ROW()-1,"00000"))</f>
        <v/>
      </c>
      <c r="B4029" s="3">
        <f>IF(D4029="","",IF(V4029=0,"CONCLUÍDO",IF(D4029&lt;corte,"HISTÓRICO",IF(OR(AND(ISNUMBER(R4029),R4029&lt;TODAY()),AND(OR(N4029="PENDENTE",N4029="PARCIAL"),D4029&lt;TODAY()-1)),"CRÍTICO",IF(OR(AND(P4029&lt;&gt;"",S4029=""),AND(N4029="REALIZADO",M4029="PENDENTE"),AND(ISNUMBER(R4029),R4029=TODAY())),"ATENÇÃO",IF(N(K4029)=0,"PENDENTE","EM ANDAMENTO"))))))</f>
        <v/>
      </c>
      <c r="C4029" s="3">
        <f>IF(D4029="","",IF(V4029=0,"🟢 OK",IF(D4029&lt;corte,"⚪ HISTÓRICO (sem baixa)",IF(AND(ISNUMBER(R4029),R4029&lt;TODAY()),"🔴 PRAZO VENCIDO",IF(AND(OR(N4029="PENDENTE",N4029="PARCIAL"),D4029&lt;TODAY()-1),"🔴 EMBARQUE ATRASADO",IF(AND(N4029="REALIZADO",M4029="PENDENTE"),"🟡 EMBARCADO SEM FATURAR",IF(AND(P4029&lt;&gt;"",S4029="",OR(Q4029="",R4029="")),"🟡 PENDÊNCIA SEM RESPONSÁVEL/PRAZO",IF(AND(ISNUMBER(R4029),R4029=TODAY()),"🟡 VENCE HOJE",IF(AND(P4029&lt;&gt;"",S4029=""),"🟡 PENDÊNCIA ABERTA",IF(AND(N(J4029)&gt;0,N(K4029)&lt;J4029),"🟡 FALTA EXECUTAR",IF(OR(M4029="PENDENTE",M4029="PARCIAL"),"🟡 FATURAMENTO PENDENTE","🟡 EMBARQUE PENDENTE")))))))))))</f>
        <v/>
      </c>
      <c r="D4029" s="4" t="n"/>
      <c r="E4029" s="5" t="n"/>
      <c r="F4029" s="5" t="n"/>
      <c r="G4029" s="5" t="n"/>
      <c r="H4029" s="5" t="n"/>
      <c r="I4029" s="5" t="n"/>
      <c r="J4029" s="6" t="n"/>
      <c r="K4029" s="6" t="n"/>
      <c r="L4029" s="7">
        <f>IF(OR(D4029="",N(J4029)=0),"",MIN(1,N(K4029)/J4029))</f>
        <v/>
      </c>
      <c r="M4029" s="5" t="n"/>
      <c r="N4029" s="5" t="n"/>
      <c r="O4029" s="5" t="n"/>
      <c r="P4029" s="5" t="n"/>
      <c r="Q4029" s="5" t="n"/>
      <c r="R4029" s="4" t="n"/>
      <c r="S4029" s="4" t="n"/>
      <c r="T4029" s="5" t="n"/>
      <c r="U4029" s="8">
        <f>IF(AND(V4029=1,D4029&lt;&gt;""),IF(D4029&gt;=corte,TODAY()-D4029,""),"")</f>
        <v/>
      </c>
      <c r="V4029" s="8">
        <f>IF(D4029="",0,IF(OR(AND(P4029&lt;&gt;"",S4029=""),AND(N(J4029)&gt;0,N(K4029)&lt;J4029),OR(M4029="PENDENTE",M4029="PARCIAL"),OR(N4029="PENDENTE",N4029="PARCIAL")),1,0))</f>
        <v/>
      </c>
      <c r="W4029" s="8">
        <f>IF(AND(V4029=1,D4029&lt;&gt;""),IF(D4029&gt;=corte,(B4029="CRÍTICO")*1E9+(100000-D4029)*10000+10000-ROW(),""),"")</f>
        <v/>
      </c>
      <c r="X4029" s="8">
        <f>IF(AND(V4029=1,D4029=pas_data,E4029=pas_turno),10000-ROW(),"")</f>
        <v/>
      </c>
    </row>
    <row r="4030">
      <c r="A4030" s="3">
        <f>IF(D4030="","","TT-"&amp;TEXT(ROW()-1,"00000"))</f>
        <v/>
      </c>
      <c r="B4030" s="3">
        <f>IF(D4030="","",IF(V4030=0,"CONCLUÍDO",IF(D4030&lt;corte,"HISTÓRICO",IF(OR(AND(ISNUMBER(R4030),R4030&lt;TODAY()),AND(OR(N4030="PENDENTE",N4030="PARCIAL"),D4030&lt;TODAY()-1)),"CRÍTICO",IF(OR(AND(P4030&lt;&gt;"",S4030=""),AND(N4030="REALIZADO",M4030="PENDENTE"),AND(ISNUMBER(R4030),R4030=TODAY())),"ATENÇÃO",IF(N(K4030)=0,"PENDENTE","EM ANDAMENTO"))))))</f>
        <v/>
      </c>
      <c r="C4030" s="3">
        <f>IF(D4030="","",IF(V4030=0,"🟢 OK",IF(D4030&lt;corte,"⚪ HISTÓRICO (sem baixa)",IF(AND(ISNUMBER(R4030),R4030&lt;TODAY()),"🔴 PRAZO VENCIDO",IF(AND(OR(N4030="PENDENTE",N4030="PARCIAL"),D4030&lt;TODAY()-1),"🔴 EMBARQUE ATRASADO",IF(AND(N4030="REALIZADO",M4030="PENDENTE"),"🟡 EMBARCADO SEM FATURAR",IF(AND(P4030&lt;&gt;"",S4030="",OR(Q4030="",R4030="")),"🟡 PENDÊNCIA SEM RESPONSÁVEL/PRAZO",IF(AND(ISNUMBER(R4030),R4030=TODAY()),"🟡 VENCE HOJE",IF(AND(P4030&lt;&gt;"",S4030=""),"🟡 PENDÊNCIA ABERTA",IF(AND(N(J4030)&gt;0,N(K4030)&lt;J4030),"🟡 FALTA EXECUTAR",IF(OR(M4030="PENDENTE",M4030="PARCIAL"),"🟡 FATURAMENTO PENDENTE","🟡 EMBARQUE PENDENTE")))))))))))</f>
        <v/>
      </c>
      <c r="D4030" s="4" t="n"/>
      <c r="E4030" s="5" t="n"/>
      <c r="F4030" s="5" t="n"/>
      <c r="G4030" s="5" t="n"/>
      <c r="H4030" s="5" t="n"/>
      <c r="I4030" s="5" t="n"/>
      <c r="J4030" s="6" t="n"/>
      <c r="K4030" s="6" t="n"/>
      <c r="L4030" s="7">
        <f>IF(OR(D4030="",N(J4030)=0),"",MIN(1,N(K4030)/J4030))</f>
        <v/>
      </c>
      <c r="M4030" s="5" t="n"/>
      <c r="N4030" s="5" t="n"/>
      <c r="O4030" s="5" t="n"/>
      <c r="P4030" s="5" t="n"/>
      <c r="Q4030" s="5" t="n"/>
      <c r="R4030" s="4" t="n"/>
      <c r="S4030" s="4" t="n"/>
      <c r="T4030" s="5" t="n"/>
      <c r="U4030" s="8">
        <f>IF(AND(V4030=1,D4030&lt;&gt;""),IF(D4030&gt;=corte,TODAY()-D4030,""),"")</f>
        <v/>
      </c>
      <c r="V4030" s="8">
        <f>IF(D4030="",0,IF(OR(AND(P4030&lt;&gt;"",S4030=""),AND(N(J4030)&gt;0,N(K4030)&lt;J4030),OR(M4030="PENDENTE",M4030="PARCIAL"),OR(N4030="PENDENTE",N4030="PARCIAL")),1,0))</f>
        <v/>
      </c>
      <c r="W4030" s="8">
        <f>IF(AND(V4030=1,D4030&lt;&gt;""),IF(D4030&gt;=corte,(B4030="CRÍTICO")*1E9+(100000-D4030)*10000+10000-ROW(),""),"")</f>
        <v/>
      </c>
      <c r="X4030" s="8">
        <f>IF(AND(V4030=1,D4030=pas_data,E4030=pas_turno),10000-ROW(),"")</f>
        <v/>
      </c>
    </row>
    <row r="4031">
      <c r="A4031" s="3">
        <f>IF(D4031="","","TT-"&amp;TEXT(ROW()-1,"00000"))</f>
        <v/>
      </c>
      <c r="B4031" s="3">
        <f>IF(D4031="","",IF(V4031=0,"CONCLUÍDO",IF(D4031&lt;corte,"HISTÓRICO",IF(OR(AND(ISNUMBER(R4031),R4031&lt;TODAY()),AND(OR(N4031="PENDENTE",N4031="PARCIAL"),D4031&lt;TODAY()-1)),"CRÍTICO",IF(OR(AND(P4031&lt;&gt;"",S4031=""),AND(N4031="REALIZADO",M4031="PENDENTE"),AND(ISNUMBER(R4031),R4031=TODAY())),"ATENÇÃO",IF(N(K4031)=0,"PENDENTE","EM ANDAMENTO"))))))</f>
        <v/>
      </c>
      <c r="C4031" s="3">
        <f>IF(D4031="","",IF(V4031=0,"🟢 OK",IF(D4031&lt;corte,"⚪ HISTÓRICO (sem baixa)",IF(AND(ISNUMBER(R4031),R4031&lt;TODAY()),"🔴 PRAZO VENCIDO",IF(AND(OR(N4031="PENDENTE",N4031="PARCIAL"),D4031&lt;TODAY()-1),"🔴 EMBARQUE ATRASADO",IF(AND(N4031="REALIZADO",M4031="PENDENTE"),"🟡 EMBARCADO SEM FATURAR",IF(AND(P4031&lt;&gt;"",S4031="",OR(Q4031="",R4031="")),"🟡 PENDÊNCIA SEM RESPONSÁVEL/PRAZO",IF(AND(ISNUMBER(R4031),R4031=TODAY()),"🟡 VENCE HOJE",IF(AND(P4031&lt;&gt;"",S4031=""),"🟡 PENDÊNCIA ABERTA",IF(AND(N(J4031)&gt;0,N(K4031)&lt;J4031),"🟡 FALTA EXECUTAR",IF(OR(M4031="PENDENTE",M4031="PARCIAL"),"🟡 FATURAMENTO PENDENTE","🟡 EMBARQUE PENDENTE")))))))))))</f>
        <v/>
      </c>
      <c r="D4031" s="4" t="n"/>
      <c r="E4031" s="5" t="n"/>
      <c r="F4031" s="5" t="n"/>
      <c r="G4031" s="5" t="n"/>
      <c r="H4031" s="5" t="n"/>
      <c r="I4031" s="5" t="n"/>
      <c r="J4031" s="6" t="n"/>
      <c r="K4031" s="6" t="n"/>
      <c r="L4031" s="7">
        <f>IF(OR(D4031="",N(J4031)=0),"",MIN(1,N(K4031)/J4031))</f>
        <v/>
      </c>
      <c r="M4031" s="5" t="n"/>
      <c r="N4031" s="5" t="n"/>
      <c r="O4031" s="5" t="n"/>
      <c r="P4031" s="5" t="n"/>
      <c r="Q4031" s="5" t="n"/>
      <c r="R4031" s="4" t="n"/>
      <c r="S4031" s="4" t="n"/>
      <c r="T4031" s="5" t="n"/>
      <c r="U4031" s="8">
        <f>IF(AND(V4031=1,D4031&lt;&gt;""),IF(D4031&gt;=corte,TODAY()-D4031,""),"")</f>
        <v/>
      </c>
      <c r="V4031" s="8">
        <f>IF(D4031="",0,IF(OR(AND(P4031&lt;&gt;"",S4031=""),AND(N(J4031)&gt;0,N(K4031)&lt;J4031),OR(M4031="PENDENTE",M4031="PARCIAL"),OR(N4031="PENDENTE",N4031="PARCIAL")),1,0))</f>
        <v/>
      </c>
      <c r="W4031" s="8">
        <f>IF(AND(V4031=1,D4031&lt;&gt;""),IF(D4031&gt;=corte,(B4031="CRÍTICO")*1E9+(100000-D4031)*10000+10000-ROW(),""),"")</f>
        <v/>
      </c>
      <c r="X4031" s="8">
        <f>IF(AND(V4031=1,D4031=pas_data,E4031=pas_turno),10000-ROW(),"")</f>
        <v/>
      </c>
    </row>
    <row r="4032">
      <c r="A4032" s="3">
        <f>IF(D4032="","","TT-"&amp;TEXT(ROW()-1,"00000"))</f>
        <v/>
      </c>
      <c r="B4032" s="3">
        <f>IF(D4032="","",IF(V4032=0,"CONCLUÍDO",IF(D4032&lt;corte,"HISTÓRICO",IF(OR(AND(ISNUMBER(R4032),R4032&lt;TODAY()),AND(OR(N4032="PENDENTE",N4032="PARCIAL"),D4032&lt;TODAY()-1)),"CRÍTICO",IF(OR(AND(P4032&lt;&gt;"",S4032=""),AND(N4032="REALIZADO",M4032="PENDENTE"),AND(ISNUMBER(R4032),R4032=TODAY())),"ATENÇÃO",IF(N(K4032)=0,"PENDENTE","EM ANDAMENTO"))))))</f>
        <v/>
      </c>
      <c r="C4032" s="3">
        <f>IF(D4032="","",IF(V4032=0,"🟢 OK",IF(D4032&lt;corte,"⚪ HISTÓRICO (sem baixa)",IF(AND(ISNUMBER(R4032),R4032&lt;TODAY()),"🔴 PRAZO VENCIDO",IF(AND(OR(N4032="PENDENTE",N4032="PARCIAL"),D4032&lt;TODAY()-1),"🔴 EMBARQUE ATRASADO",IF(AND(N4032="REALIZADO",M4032="PENDENTE"),"🟡 EMBARCADO SEM FATURAR",IF(AND(P4032&lt;&gt;"",S4032="",OR(Q4032="",R4032="")),"🟡 PENDÊNCIA SEM RESPONSÁVEL/PRAZO",IF(AND(ISNUMBER(R4032),R4032=TODAY()),"🟡 VENCE HOJE",IF(AND(P4032&lt;&gt;"",S4032=""),"🟡 PENDÊNCIA ABERTA",IF(AND(N(J4032)&gt;0,N(K4032)&lt;J4032),"🟡 FALTA EXECUTAR",IF(OR(M4032="PENDENTE",M4032="PARCIAL"),"🟡 FATURAMENTO PENDENTE","🟡 EMBARQUE PENDENTE")))))))))))</f>
        <v/>
      </c>
      <c r="D4032" s="4" t="n"/>
      <c r="E4032" s="5" t="n"/>
      <c r="F4032" s="5" t="n"/>
      <c r="G4032" s="5" t="n"/>
      <c r="H4032" s="5" t="n"/>
      <c r="I4032" s="5" t="n"/>
      <c r="J4032" s="6" t="n"/>
      <c r="K4032" s="6" t="n"/>
      <c r="L4032" s="7">
        <f>IF(OR(D4032="",N(J4032)=0),"",MIN(1,N(K4032)/J4032))</f>
        <v/>
      </c>
      <c r="M4032" s="5" t="n"/>
      <c r="N4032" s="5" t="n"/>
      <c r="O4032" s="5" t="n"/>
      <c r="P4032" s="5" t="n"/>
      <c r="Q4032" s="5" t="n"/>
      <c r="R4032" s="4" t="n"/>
      <c r="S4032" s="4" t="n"/>
      <c r="T4032" s="5" t="n"/>
      <c r="U4032" s="8">
        <f>IF(AND(V4032=1,D4032&lt;&gt;""),IF(D4032&gt;=corte,TODAY()-D4032,""),"")</f>
        <v/>
      </c>
      <c r="V4032" s="8">
        <f>IF(D4032="",0,IF(OR(AND(P4032&lt;&gt;"",S4032=""),AND(N(J4032)&gt;0,N(K4032)&lt;J4032),OR(M4032="PENDENTE",M4032="PARCIAL"),OR(N4032="PENDENTE",N4032="PARCIAL")),1,0))</f>
        <v/>
      </c>
      <c r="W4032" s="8">
        <f>IF(AND(V4032=1,D4032&lt;&gt;""),IF(D4032&gt;=corte,(B4032="CRÍTICO")*1E9+(100000-D4032)*10000+10000-ROW(),""),"")</f>
        <v/>
      </c>
      <c r="X4032" s="8">
        <f>IF(AND(V4032=1,D4032=pas_data,E4032=pas_turno),10000-ROW(),"")</f>
        <v/>
      </c>
    </row>
    <row r="4033">
      <c r="A4033" s="3">
        <f>IF(D4033="","","TT-"&amp;TEXT(ROW()-1,"00000"))</f>
        <v/>
      </c>
      <c r="B4033" s="3">
        <f>IF(D4033="","",IF(V4033=0,"CONCLUÍDO",IF(D4033&lt;corte,"HISTÓRICO",IF(OR(AND(ISNUMBER(R4033),R4033&lt;TODAY()),AND(OR(N4033="PENDENTE",N4033="PARCIAL"),D4033&lt;TODAY()-1)),"CRÍTICO",IF(OR(AND(P4033&lt;&gt;"",S4033=""),AND(N4033="REALIZADO",M4033="PENDENTE"),AND(ISNUMBER(R4033),R4033=TODAY())),"ATENÇÃO",IF(N(K4033)=0,"PENDENTE","EM ANDAMENTO"))))))</f>
        <v/>
      </c>
      <c r="C4033" s="3">
        <f>IF(D4033="","",IF(V4033=0,"🟢 OK",IF(D4033&lt;corte,"⚪ HISTÓRICO (sem baixa)",IF(AND(ISNUMBER(R4033),R4033&lt;TODAY()),"🔴 PRAZO VENCIDO",IF(AND(OR(N4033="PENDENTE",N4033="PARCIAL"),D4033&lt;TODAY()-1),"🔴 EMBARQUE ATRASADO",IF(AND(N4033="REALIZADO",M4033="PENDENTE"),"🟡 EMBARCADO SEM FATURAR",IF(AND(P4033&lt;&gt;"",S4033="",OR(Q4033="",R4033="")),"🟡 PENDÊNCIA SEM RESPONSÁVEL/PRAZO",IF(AND(ISNUMBER(R4033),R4033=TODAY()),"🟡 VENCE HOJE",IF(AND(P4033&lt;&gt;"",S4033=""),"🟡 PENDÊNCIA ABERTA",IF(AND(N(J4033)&gt;0,N(K4033)&lt;J4033),"🟡 FALTA EXECUTAR",IF(OR(M4033="PENDENTE",M4033="PARCIAL"),"🟡 FATURAMENTO PENDENTE","🟡 EMBARQUE PENDENTE")))))))))))</f>
        <v/>
      </c>
      <c r="D4033" s="4" t="n"/>
      <c r="E4033" s="5" t="n"/>
      <c r="F4033" s="5" t="n"/>
      <c r="G4033" s="5" t="n"/>
      <c r="H4033" s="5" t="n"/>
      <c r="I4033" s="5" t="n"/>
      <c r="J4033" s="6" t="n"/>
      <c r="K4033" s="6" t="n"/>
      <c r="L4033" s="7">
        <f>IF(OR(D4033="",N(J4033)=0),"",MIN(1,N(K4033)/J4033))</f>
        <v/>
      </c>
      <c r="M4033" s="5" t="n"/>
      <c r="N4033" s="5" t="n"/>
      <c r="O4033" s="5" t="n"/>
      <c r="P4033" s="5" t="n"/>
      <c r="Q4033" s="5" t="n"/>
      <c r="R4033" s="4" t="n"/>
      <c r="S4033" s="4" t="n"/>
      <c r="T4033" s="5" t="n"/>
      <c r="U4033" s="8">
        <f>IF(AND(V4033=1,D4033&lt;&gt;""),IF(D4033&gt;=corte,TODAY()-D4033,""),"")</f>
        <v/>
      </c>
      <c r="V4033" s="8">
        <f>IF(D4033="",0,IF(OR(AND(P4033&lt;&gt;"",S4033=""),AND(N(J4033)&gt;0,N(K4033)&lt;J4033),OR(M4033="PENDENTE",M4033="PARCIAL"),OR(N4033="PENDENTE",N4033="PARCIAL")),1,0))</f>
        <v/>
      </c>
      <c r="W4033" s="8">
        <f>IF(AND(V4033=1,D4033&lt;&gt;""),IF(D4033&gt;=corte,(B4033="CRÍTICO")*1E9+(100000-D4033)*10000+10000-ROW(),""),"")</f>
        <v/>
      </c>
      <c r="X4033" s="8">
        <f>IF(AND(V4033=1,D4033=pas_data,E4033=pas_turno),10000-ROW(),"")</f>
        <v/>
      </c>
    </row>
    <row r="4034">
      <c r="A4034" s="3">
        <f>IF(D4034="","","TT-"&amp;TEXT(ROW()-1,"00000"))</f>
        <v/>
      </c>
      <c r="B4034" s="3">
        <f>IF(D4034="","",IF(V4034=0,"CONCLUÍDO",IF(D4034&lt;corte,"HISTÓRICO",IF(OR(AND(ISNUMBER(R4034),R4034&lt;TODAY()),AND(OR(N4034="PENDENTE",N4034="PARCIAL"),D4034&lt;TODAY()-1)),"CRÍTICO",IF(OR(AND(P4034&lt;&gt;"",S4034=""),AND(N4034="REALIZADO",M4034="PENDENTE"),AND(ISNUMBER(R4034),R4034=TODAY())),"ATENÇÃO",IF(N(K4034)=0,"PENDENTE","EM ANDAMENTO"))))))</f>
        <v/>
      </c>
      <c r="C4034" s="3">
        <f>IF(D4034="","",IF(V4034=0,"🟢 OK",IF(D4034&lt;corte,"⚪ HISTÓRICO (sem baixa)",IF(AND(ISNUMBER(R4034),R4034&lt;TODAY()),"🔴 PRAZO VENCIDO",IF(AND(OR(N4034="PENDENTE",N4034="PARCIAL"),D4034&lt;TODAY()-1),"🔴 EMBARQUE ATRASADO",IF(AND(N4034="REALIZADO",M4034="PENDENTE"),"🟡 EMBARCADO SEM FATURAR",IF(AND(P4034&lt;&gt;"",S4034="",OR(Q4034="",R4034="")),"🟡 PENDÊNCIA SEM RESPONSÁVEL/PRAZO",IF(AND(ISNUMBER(R4034),R4034=TODAY()),"🟡 VENCE HOJE",IF(AND(P4034&lt;&gt;"",S4034=""),"🟡 PENDÊNCIA ABERTA",IF(AND(N(J4034)&gt;0,N(K4034)&lt;J4034),"🟡 FALTA EXECUTAR",IF(OR(M4034="PENDENTE",M4034="PARCIAL"),"🟡 FATURAMENTO PENDENTE","🟡 EMBARQUE PENDENTE")))))))))))</f>
        <v/>
      </c>
      <c r="D4034" s="4" t="n"/>
      <c r="E4034" s="5" t="n"/>
      <c r="F4034" s="5" t="n"/>
      <c r="G4034" s="5" t="n"/>
      <c r="H4034" s="5" t="n"/>
      <c r="I4034" s="5" t="n"/>
      <c r="J4034" s="6" t="n"/>
      <c r="K4034" s="6" t="n"/>
      <c r="L4034" s="7">
        <f>IF(OR(D4034="",N(J4034)=0),"",MIN(1,N(K4034)/J4034))</f>
        <v/>
      </c>
      <c r="M4034" s="5" t="n"/>
      <c r="N4034" s="5" t="n"/>
      <c r="O4034" s="5" t="n"/>
      <c r="P4034" s="5" t="n"/>
      <c r="Q4034" s="5" t="n"/>
      <c r="R4034" s="4" t="n"/>
      <c r="S4034" s="4" t="n"/>
      <c r="T4034" s="5" t="n"/>
      <c r="U4034" s="8">
        <f>IF(AND(V4034=1,D4034&lt;&gt;""),IF(D4034&gt;=corte,TODAY()-D4034,""),"")</f>
        <v/>
      </c>
      <c r="V4034" s="8">
        <f>IF(D4034="",0,IF(OR(AND(P4034&lt;&gt;"",S4034=""),AND(N(J4034)&gt;0,N(K4034)&lt;J4034),OR(M4034="PENDENTE",M4034="PARCIAL"),OR(N4034="PENDENTE",N4034="PARCIAL")),1,0))</f>
        <v/>
      </c>
      <c r="W4034" s="8">
        <f>IF(AND(V4034=1,D4034&lt;&gt;""),IF(D4034&gt;=corte,(B4034="CRÍTICO")*1E9+(100000-D4034)*10000+10000-ROW(),""),"")</f>
        <v/>
      </c>
      <c r="X4034" s="8">
        <f>IF(AND(V4034=1,D4034=pas_data,E4034=pas_turno),10000-ROW(),"")</f>
        <v/>
      </c>
    </row>
    <row r="4035">
      <c r="A4035" s="3">
        <f>IF(D4035="","","TT-"&amp;TEXT(ROW()-1,"00000"))</f>
        <v/>
      </c>
      <c r="B4035" s="3">
        <f>IF(D4035="","",IF(V4035=0,"CONCLUÍDO",IF(D4035&lt;corte,"HISTÓRICO",IF(OR(AND(ISNUMBER(R4035),R4035&lt;TODAY()),AND(OR(N4035="PENDENTE",N4035="PARCIAL"),D4035&lt;TODAY()-1)),"CRÍTICO",IF(OR(AND(P4035&lt;&gt;"",S4035=""),AND(N4035="REALIZADO",M4035="PENDENTE"),AND(ISNUMBER(R4035),R4035=TODAY())),"ATENÇÃO",IF(N(K4035)=0,"PENDENTE","EM ANDAMENTO"))))))</f>
        <v/>
      </c>
      <c r="C4035" s="3">
        <f>IF(D4035="","",IF(V4035=0,"🟢 OK",IF(D4035&lt;corte,"⚪ HISTÓRICO (sem baixa)",IF(AND(ISNUMBER(R4035),R4035&lt;TODAY()),"🔴 PRAZO VENCIDO",IF(AND(OR(N4035="PENDENTE",N4035="PARCIAL"),D4035&lt;TODAY()-1),"🔴 EMBARQUE ATRASADO",IF(AND(N4035="REALIZADO",M4035="PENDENTE"),"🟡 EMBARCADO SEM FATURAR",IF(AND(P4035&lt;&gt;"",S4035="",OR(Q4035="",R4035="")),"🟡 PENDÊNCIA SEM RESPONSÁVEL/PRAZO",IF(AND(ISNUMBER(R4035),R4035=TODAY()),"🟡 VENCE HOJE",IF(AND(P4035&lt;&gt;"",S4035=""),"🟡 PENDÊNCIA ABERTA",IF(AND(N(J4035)&gt;0,N(K4035)&lt;J4035),"🟡 FALTA EXECUTAR",IF(OR(M4035="PENDENTE",M4035="PARCIAL"),"🟡 FATURAMENTO PENDENTE","🟡 EMBARQUE PENDENTE")))))))))))</f>
        <v/>
      </c>
      <c r="D4035" s="4" t="n"/>
      <c r="E4035" s="5" t="n"/>
      <c r="F4035" s="5" t="n"/>
      <c r="G4035" s="5" t="n"/>
      <c r="H4035" s="5" t="n"/>
      <c r="I4035" s="5" t="n"/>
      <c r="J4035" s="6" t="n"/>
      <c r="K4035" s="6" t="n"/>
      <c r="L4035" s="7">
        <f>IF(OR(D4035="",N(J4035)=0),"",MIN(1,N(K4035)/J4035))</f>
        <v/>
      </c>
      <c r="M4035" s="5" t="n"/>
      <c r="N4035" s="5" t="n"/>
      <c r="O4035" s="5" t="n"/>
      <c r="P4035" s="5" t="n"/>
      <c r="Q4035" s="5" t="n"/>
      <c r="R4035" s="4" t="n"/>
      <c r="S4035" s="4" t="n"/>
      <c r="T4035" s="5" t="n"/>
      <c r="U4035" s="8">
        <f>IF(AND(V4035=1,D4035&lt;&gt;""),IF(D4035&gt;=corte,TODAY()-D4035,""),"")</f>
        <v/>
      </c>
      <c r="V4035" s="8">
        <f>IF(D4035="",0,IF(OR(AND(P4035&lt;&gt;"",S4035=""),AND(N(J4035)&gt;0,N(K4035)&lt;J4035),OR(M4035="PENDENTE",M4035="PARCIAL"),OR(N4035="PENDENTE",N4035="PARCIAL")),1,0))</f>
        <v/>
      </c>
      <c r="W4035" s="8">
        <f>IF(AND(V4035=1,D4035&lt;&gt;""),IF(D4035&gt;=corte,(B4035="CRÍTICO")*1E9+(100000-D4035)*10000+10000-ROW(),""),"")</f>
        <v/>
      </c>
      <c r="X4035" s="8">
        <f>IF(AND(V4035=1,D4035=pas_data,E4035=pas_turno),10000-ROW(),"")</f>
        <v/>
      </c>
    </row>
    <row r="4036">
      <c r="A4036" s="3">
        <f>IF(D4036="","","TT-"&amp;TEXT(ROW()-1,"00000"))</f>
        <v/>
      </c>
      <c r="B4036" s="3">
        <f>IF(D4036="","",IF(V4036=0,"CONCLUÍDO",IF(D4036&lt;corte,"HISTÓRICO",IF(OR(AND(ISNUMBER(R4036),R4036&lt;TODAY()),AND(OR(N4036="PENDENTE",N4036="PARCIAL"),D4036&lt;TODAY()-1)),"CRÍTICO",IF(OR(AND(P4036&lt;&gt;"",S4036=""),AND(N4036="REALIZADO",M4036="PENDENTE"),AND(ISNUMBER(R4036),R4036=TODAY())),"ATENÇÃO",IF(N(K4036)=0,"PENDENTE","EM ANDAMENTO"))))))</f>
        <v/>
      </c>
      <c r="C4036" s="3">
        <f>IF(D4036="","",IF(V4036=0,"🟢 OK",IF(D4036&lt;corte,"⚪ HISTÓRICO (sem baixa)",IF(AND(ISNUMBER(R4036),R4036&lt;TODAY()),"🔴 PRAZO VENCIDO",IF(AND(OR(N4036="PENDENTE",N4036="PARCIAL"),D4036&lt;TODAY()-1),"🔴 EMBARQUE ATRASADO",IF(AND(N4036="REALIZADO",M4036="PENDENTE"),"🟡 EMBARCADO SEM FATURAR",IF(AND(P4036&lt;&gt;"",S4036="",OR(Q4036="",R4036="")),"🟡 PENDÊNCIA SEM RESPONSÁVEL/PRAZO",IF(AND(ISNUMBER(R4036),R4036=TODAY()),"🟡 VENCE HOJE",IF(AND(P4036&lt;&gt;"",S4036=""),"🟡 PENDÊNCIA ABERTA",IF(AND(N(J4036)&gt;0,N(K4036)&lt;J4036),"🟡 FALTA EXECUTAR",IF(OR(M4036="PENDENTE",M4036="PARCIAL"),"🟡 FATURAMENTO PENDENTE","🟡 EMBARQUE PENDENTE")))))))))))</f>
        <v/>
      </c>
      <c r="D4036" s="4" t="n"/>
      <c r="E4036" s="5" t="n"/>
      <c r="F4036" s="5" t="n"/>
      <c r="G4036" s="5" t="n"/>
      <c r="H4036" s="5" t="n"/>
      <c r="I4036" s="5" t="n"/>
      <c r="J4036" s="6" t="n"/>
      <c r="K4036" s="6" t="n"/>
      <c r="L4036" s="7">
        <f>IF(OR(D4036="",N(J4036)=0),"",MIN(1,N(K4036)/J4036))</f>
        <v/>
      </c>
      <c r="M4036" s="5" t="n"/>
      <c r="N4036" s="5" t="n"/>
      <c r="O4036" s="5" t="n"/>
      <c r="P4036" s="5" t="n"/>
      <c r="Q4036" s="5" t="n"/>
      <c r="R4036" s="4" t="n"/>
      <c r="S4036" s="4" t="n"/>
      <c r="T4036" s="5" t="n"/>
      <c r="U4036" s="8">
        <f>IF(AND(V4036=1,D4036&lt;&gt;""),IF(D4036&gt;=corte,TODAY()-D4036,""),"")</f>
        <v/>
      </c>
      <c r="V4036" s="8">
        <f>IF(D4036="",0,IF(OR(AND(P4036&lt;&gt;"",S4036=""),AND(N(J4036)&gt;0,N(K4036)&lt;J4036),OR(M4036="PENDENTE",M4036="PARCIAL"),OR(N4036="PENDENTE",N4036="PARCIAL")),1,0))</f>
        <v/>
      </c>
      <c r="W4036" s="8">
        <f>IF(AND(V4036=1,D4036&lt;&gt;""),IF(D4036&gt;=corte,(B4036="CRÍTICO")*1E9+(100000-D4036)*10000+10000-ROW(),""),"")</f>
        <v/>
      </c>
      <c r="X4036" s="8">
        <f>IF(AND(V4036=1,D4036=pas_data,E4036=pas_turno),10000-ROW(),"")</f>
        <v/>
      </c>
    </row>
    <row r="4037">
      <c r="A4037" s="3">
        <f>IF(D4037="","","TT-"&amp;TEXT(ROW()-1,"00000"))</f>
        <v/>
      </c>
      <c r="B4037" s="3">
        <f>IF(D4037="","",IF(V4037=0,"CONCLUÍDO",IF(D4037&lt;corte,"HISTÓRICO",IF(OR(AND(ISNUMBER(R4037),R4037&lt;TODAY()),AND(OR(N4037="PENDENTE",N4037="PARCIAL"),D4037&lt;TODAY()-1)),"CRÍTICO",IF(OR(AND(P4037&lt;&gt;"",S4037=""),AND(N4037="REALIZADO",M4037="PENDENTE"),AND(ISNUMBER(R4037),R4037=TODAY())),"ATENÇÃO",IF(N(K4037)=0,"PENDENTE","EM ANDAMENTO"))))))</f>
        <v/>
      </c>
      <c r="C4037" s="3">
        <f>IF(D4037="","",IF(V4037=0,"🟢 OK",IF(D4037&lt;corte,"⚪ HISTÓRICO (sem baixa)",IF(AND(ISNUMBER(R4037),R4037&lt;TODAY()),"🔴 PRAZO VENCIDO",IF(AND(OR(N4037="PENDENTE",N4037="PARCIAL"),D4037&lt;TODAY()-1),"🔴 EMBARQUE ATRASADO",IF(AND(N4037="REALIZADO",M4037="PENDENTE"),"🟡 EMBARCADO SEM FATURAR",IF(AND(P4037&lt;&gt;"",S4037="",OR(Q4037="",R4037="")),"🟡 PENDÊNCIA SEM RESPONSÁVEL/PRAZO",IF(AND(ISNUMBER(R4037),R4037=TODAY()),"🟡 VENCE HOJE",IF(AND(P4037&lt;&gt;"",S4037=""),"🟡 PENDÊNCIA ABERTA",IF(AND(N(J4037)&gt;0,N(K4037)&lt;J4037),"🟡 FALTA EXECUTAR",IF(OR(M4037="PENDENTE",M4037="PARCIAL"),"🟡 FATURAMENTO PENDENTE","🟡 EMBARQUE PENDENTE")))))))))))</f>
        <v/>
      </c>
      <c r="D4037" s="4" t="n"/>
      <c r="E4037" s="5" t="n"/>
      <c r="F4037" s="5" t="n"/>
      <c r="G4037" s="5" t="n"/>
      <c r="H4037" s="5" t="n"/>
      <c r="I4037" s="5" t="n"/>
      <c r="J4037" s="6" t="n"/>
      <c r="K4037" s="6" t="n"/>
      <c r="L4037" s="7">
        <f>IF(OR(D4037="",N(J4037)=0),"",MIN(1,N(K4037)/J4037))</f>
        <v/>
      </c>
      <c r="M4037" s="5" t="n"/>
      <c r="N4037" s="5" t="n"/>
      <c r="O4037" s="5" t="n"/>
      <c r="P4037" s="5" t="n"/>
      <c r="Q4037" s="5" t="n"/>
      <c r="R4037" s="4" t="n"/>
      <c r="S4037" s="4" t="n"/>
      <c r="T4037" s="5" t="n"/>
      <c r="U4037" s="8">
        <f>IF(AND(V4037=1,D4037&lt;&gt;""),IF(D4037&gt;=corte,TODAY()-D4037,""),"")</f>
        <v/>
      </c>
      <c r="V4037" s="8">
        <f>IF(D4037="",0,IF(OR(AND(P4037&lt;&gt;"",S4037=""),AND(N(J4037)&gt;0,N(K4037)&lt;J4037),OR(M4037="PENDENTE",M4037="PARCIAL"),OR(N4037="PENDENTE",N4037="PARCIAL")),1,0))</f>
        <v/>
      </c>
      <c r="W4037" s="8">
        <f>IF(AND(V4037=1,D4037&lt;&gt;""),IF(D4037&gt;=corte,(B4037="CRÍTICO")*1E9+(100000-D4037)*10000+10000-ROW(),""),"")</f>
        <v/>
      </c>
      <c r="X4037" s="8">
        <f>IF(AND(V4037=1,D4037=pas_data,E4037=pas_turno),10000-ROW(),"")</f>
        <v/>
      </c>
    </row>
    <row r="4038">
      <c r="A4038" s="3">
        <f>IF(D4038="","","TT-"&amp;TEXT(ROW()-1,"00000"))</f>
        <v/>
      </c>
      <c r="B4038" s="3">
        <f>IF(D4038="","",IF(V4038=0,"CONCLUÍDO",IF(D4038&lt;corte,"HISTÓRICO",IF(OR(AND(ISNUMBER(R4038),R4038&lt;TODAY()),AND(OR(N4038="PENDENTE",N4038="PARCIAL"),D4038&lt;TODAY()-1)),"CRÍTICO",IF(OR(AND(P4038&lt;&gt;"",S4038=""),AND(N4038="REALIZADO",M4038="PENDENTE"),AND(ISNUMBER(R4038),R4038=TODAY())),"ATENÇÃO",IF(N(K4038)=0,"PENDENTE","EM ANDAMENTO"))))))</f>
        <v/>
      </c>
      <c r="C4038" s="3">
        <f>IF(D4038="","",IF(V4038=0,"🟢 OK",IF(D4038&lt;corte,"⚪ HISTÓRICO (sem baixa)",IF(AND(ISNUMBER(R4038),R4038&lt;TODAY()),"🔴 PRAZO VENCIDO",IF(AND(OR(N4038="PENDENTE",N4038="PARCIAL"),D4038&lt;TODAY()-1),"🔴 EMBARQUE ATRASADO",IF(AND(N4038="REALIZADO",M4038="PENDENTE"),"🟡 EMBARCADO SEM FATURAR",IF(AND(P4038&lt;&gt;"",S4038="",OR(Q4038="",R4038="")),"🟡 PENDÊNCIA SEM RESPONSÁVEL/PRAZO",IF(AND(ISNUMBER(R4038),R4038=TODAY()),"🟡 VENCE HOJE",IF(AND(P4038&lt;&gt;"",S4038=""),"🟡 PENDÊNCIA ABERTA",IF(AND(N(J4038)&gt;0,N(K4038)&lt;J4038),"🟡 FALTA EXECUTAR",IF(OR(M4038="PENDENTE",M4038="PARCIAL"),"🟡 FATURAMENTO PENDENTE","🟡 EMBARQUE PENDENTE")))))))))))</f>
        <v/>
      </c>
      <c r="D4038" s="4" t="n"/>
      <c r="E4038" s="5" t="n"/>
      <c r="F4038" s="5" t="n"/>
      <c r="G4038" s="5" t="n"/>
      <c r="H4038" s="5" t="n"/>
      <c r="I4038" s="5" t="n"/>
      <c r="J4038" s="6" t="n"/>
      <c r="K4038" s="6" t="n"/>
      <c r="L4038" s="7">
        <f>IF(OR(D4038="",N(J4038)=0),"",MIN(1,N(K4038)/J4038))</f>
        <v/>
      </c>
      <c r="M4038" s="5" t="n"/>
      <c r="N4038" s="5" t="n"/>
      <c r="O4038" s="5" t="n"/>
      <c r="P4038" s="5" t="n"/>
      <c r="Q4038" s="5" t="n"/>
      <c r="R4038" s="4" t="n"/>
      <c r="S4038" s="4" t="n"/>
      <c r="T4038" s="5" t="n"/>
      <c r="U4038" s="8">
        <f>IF(AND(V4038=1,D4038&lt;&gt;""),IF(D4038&gt;=corte,TODAY()-D4038,""),"")</f>
        <v/>
      </c>
      <c r="V4038" s="8">
        <f>IF(D4038="",0,IF(OR(AND(P4038&lt;&gt;"",S4038=""),AND(N(J4038)&gt;0,N(K4038)&lt;J4038),OR(M4038="PENDENTE",M4038="PARCIAL"),OR(N4038="PENDENTE",N4038="PARCIAL")),1,0))</f>
        <v/>
      </c>
      <c r="W4038" s="8">
        <f>IF(AND(V4038=1,D4038&lt;&gt;""),IF(D4038&gt;=corte,(B4038="CRÍTICO")*1E9+(100000-D4038)*10000+10000-ROW(),""),"")</f>
        <v/>
      </c>
      <c r="X4038" s="8">
        <f>IF(AND(V4038=1,D4038=pas_data,E4038=pas_turno),10000-ROW(),"")</f>
        <v/>
      </c>
    </row>
    <row r="4039">
      <c r="A4039" s="3">
        <f>IF(D4039="","","TT-"&amp;TEXT(ROW()-1,"00000"))</f>
        <v/>
      </c>
      <c r="B4039" s="3">
        <f>IF(D4039="","",IF(V4039=0,"CONCLUÍDO",IF(D4039&lt;corte,"HISTÓRICO",IF(OR(AND(ISNUMBER(R4039),R4039&lt;TODAY()),AND(OR(N4039="PENDENTE",N4039="PARCIAL"),D4039&lt;TODAY()-1)),"CRÍTICO",IF(OR(AND(P4039&lt;&gt;"",S4039=""),AND(N4039="REALIZADO",M4039="PENDENTE"),AND(ISNUMBER(R4039),R4039=TODAY())),"ATENÇÃO",IF(N(K4039)=0,"PENDENTE","EM ANDAMENTO"))))))</f>
        <v/>
      </c>
      <c r="C4039" s="3">
        <f>IF(D4039="","",IF(V4039=0,"🟢 OK",IF(D4039&lt;corte,"⚪ HISTÓRICO (sem baixa)",IF(AND(ISNUMBER(R4039),R4039&lt;TODAY()),"🔴 PRAZO VENCIDO",IF(AND(OR(N4039="PENDENTE",N4039="PARCIAL"),D4039&lt;TODAY()-1),"🔴 EMBARQUE ATRASADO",IF(AND(N4039="REALIZADO",M4039="PENDENTE"),"🟡 EMBARCADO SEM FATURAR",IF(AND(P4039&lt;&gt;"",S4039="",OR(Q4039="",R4039="")),"🟡 PENDÊNCIA SEM RESPONSÁVEL/PRAZO",IF(AND(ISNUMBER(R4039),R4039=TODAY()),"🟡 VENCE HOJE",IF(AND(P4039&lt;&gt;"",S4039=""),"🟡 PENDÊNCIA ABERTA",IF(AND(N(J4039)&gt;0,N(K4039)&lt;J4039),"🟡 FALTA EXECUTAR",IF(OR(M4039="PENDENTE",M4039="PARCIAL"),"🟡 FATURAMENTO PENDENTE","🟡 EMBARQUE PENDENTE")))))))))))</f>
        <v/>
      </c>
      <c r="D4039" s="4" t="n"/>
      <c r="E4039" s="5" t="n"/>
      <c r="F4039" s="5" t="n"/>
      <c r="G4039" s="5" t="n"/>
      <c r="H4039" s="5" t="n"/>
      <c r="I4039" s="5" t="n"/>
      <c r="J4039" s="6" t="n"/>
      <c r="K4039" s="6" t="n"/>
      <c r="L4039" s="7">
        <f>IF(OR(D4039="",N(J4039)=0),"",MIN(1,N(K4039)/J4039))</f>
        <v/>
      </c>
      <c r="M4039" s="5" t="n"/>
      <c r="N4039" s="5" t="n"/>
      <c r="O4039" s="5" t="n"/>
      <c r="P4039" s="5" t="n"/>
      <c r="Q4039" s="5" t="n"/>
      <c r="R4039" s="4" t="n"/>
      <c r="S4039" s="4" t="n"/>
      <c r="T4039" s="5" t="n"/>
      <c r="U4039" s="8">
        <f>IF(AND(V4039=1,D4039&lt;&gt;""),IF(D4039&gt;=corte,TODAY()-D4039,""),"")</f>
        <v/>
      </c>
      <c r="V4039" s="8">
        <f>IF(D4039="",0,IF(OR(AND(P4039&lt;&gt;"",S4039=""),AND(N(J4039)&gt;0,N(K4039)&lt;J4039),OR(M4039="PENDENTE",M4039="PARCIAL"),OR(N4039="PENDENTE",N4039="PARCIAL")),1,0))</f>
        <v/>
      </c>
      <c r="W4039" s="8">
        <f>IF(AND(V4039=1,D4039&lt;&gt;""),IF(D4039&gt;=corte,(B4039="CRÍTICO")*1E9+(100000-D4039)*10000+10000-ROW(),""),"")</f>
        <v/>
      </c>
      <c r="X4039" s="8">
        <f>IF(AND(V4039=1,D4039=pas_data,E4039=pas_turno),10000-ROW(),"")</f>
        <v/>
      </c>
    </row>
    <row r="4040">
      <c r="A4040" s="3">
        <f>IF(D4040="","","TT-"&amp;TEXT(ROW()-1,"00000"))</f>
        <v/>
      </c>
      <c r="B4040" s="3">
        <f>IF(D4040="","",IF(V4040=0,"CONCLUÍDO",IF(D4040&lt;corte,"HISTÓRICO",IF(OR(AND(ISNUMBER(R4040),R4040&lt;TODAY()),AND(OR(N4040="PENDENTE",N4040="PARCIAL"),D4040&lt;TODAY()-1)),"CRÍTICO",IF(OR(AND(P4040&lt;&gt;"",S4040=""),AND(N4040="REALIZADO",M4040="PENDENTE"),AND(ISNUMBER(R4040),R4040=TODAY())),"ATENÇÃO",IF(N(K4040)=0,"PENDENTE","EM ANDAMENTO"))))))</f>
        <v/>
      </c>
      <c r="C4040" s="3">
        <f>IF(D4040="","",IF(V4040=0,"🟢 OK",IF(D4040&lt;corte,"⚪ HISTÓRICO (sem baixa)",IF(AND(ISNUMBER(R4040),R4040&lt;TODAY()),"🔴 PRAZO VENCIDO",IF(AND(OR(N4040="PENDENTE",N4040="PARCIAL"),D4040&lt;TODAY()-1),"🔴 EMBARQUE ATRASADO",IF(AND(N4040="REALIZADO",M4040="PENDENTE"),"🟡 EMBARCADO SEM FATURAR",IF(AND(P4040&lt;&gt;"",S4040="",OR(Q4040="",R4040="")),"🟡 PENDÊNCIA SEM RESPONSÁVEL/PRAZO",IF(AND(ISNUMBER(R4040),R4040=TODAY()),"🟡 VENCE HOJE",IF(AND(P4040&lt;&gt;"",S4040=""),"🟡 PENDÊNCIA ABERTA",IF(AND(N(J4040)&gt;0,N(K4040)&lt;J4040),"🟡 FALTA EXECUTAR",IF(OR(M4040="PENDENTE",M4040="PARCIAL"),"🟡 FATURAMENTO PENDENTE","🟡 EMBARQUE PENDENTE")))))))))))</f>
        <v/>
      </c>
      <c r="D4040" s="4" t="n"/>
      <c r="E4040" s="5" t="n"/>
      <c r="F4040" s="5" t="n"/>
      <c r="G4040" s="5" t="n"/>
      <c r="H4040" s="5" t="n"/>
      <c r="I4040" s="5" t="n"/>
      <c r="J4040" s="6" t="n"/>
      <c r="K4040" s="6" t="n"/>
      <c r="L4040" s="7">
        <f>IF(OR(D4040="",N(J4040)=0),"",MIN(1,N(K4040)/J4040))</f>
        <v/>
      </c>
      <c r="M4040" s="5" t="n"/>
      <c r="N4040" s="5" t="n"/>
      <c r="O4040" s="5" t="n"/>
      <c r="P4040" s="5" t="n"/>
      <c r="Q4040" s="5" t="n"/>
      <c r="R4040" s="4" t="n"/>
      <c r="S4040" s="4" t="n"/>
      <c r="T4040" s="5" t="n"/>
      <c r="U4040" s="8">
        <f>IF(AND(V4040=1,D4040&lt;&gt;""),IF(D4040&gt;=corte,TODAY()-D4040,""),"")</f>
        <v/>
      </c>
      <c r="V4040" s="8">
        <f>IF(D4040="",0,IF(OR(AND(P4040&lt;&gt;"",S4040=""),AND(N(J4040)&gt;0,N(K4040)&lt;J4040),OR(M4040="PENDENTE",M4040="PARCIAL"),OR(N4040="PENDENTE",N4040="PARCIAL")),1,0))</f>
        <v/>
      </c>
      <c r="W4040" s="8">
        <f>IF(AND(V4040=1,D4040&lt;&gt;""),IF(D4040&gt;=corte,(B4040="CRÍTICO")*1E9+(100000-D4040)*10000+10000-ROW(),""),"")</f>
        <v/>
      </c>
      <c r="X4040" s="8">
        <f>IF(AND(V4040=1,D4040=pas_data,E4040=pas_turno),10000-ROW(),"")</f>
        <v/>
      </c>
    </row>
    <row r="4041">
      <c r="A4041" s="3">
        <f>IF(D4041="","","TT-"&amp;TEXT(ROW()-1,"00000"))</f>
        <v/>
      </c>
      <c r="B4041" s="3">
        <f>IF(D4041="","",IF(V4041=0,"CONCLUÍDO",IF(D4041&lt;corte,"HISTÓRICO",IF(OR(AND(ISNUMBER(R4041),R4041&lt;TODAY()),AND(OR(N4041="PENDENTE",N4041="PARCIAL"),D4041&lt;TODAY()-1)),"CRÍTICO",IF(OR(AND(P4041&lt;&gt;"",S4041=""),AND(N4041="REALIZADO",M4041="PENDENTE"),AND(ISNUMBER(R4041),R4041=TODAY())),"ATENÇÃO",IF(N(K4041)=0,"PENDENTE","EM ANDAMENTO"))))))</f>
        <v/>
      </c>
      <c r="C4041" s="3">
        <f>IF(D4041="","",IF(V4041=0,"🟢 OK",IF(D4041&lt;corte,"⚪ HISTÓRICO (sem baixa)",IF(AND(ISNUMBER(R4041),R4041&lt;TODAY()),"🔴 PRAZO VENCIDO",IF(AND(OR(N4041="PENDENTE",N4041="PARCIAL"),D4041&lt;TODAY()-1),"🔴 EMBARQUE ATRASADO",IF(AND(N4041="REALIZADO",M4041="PENDENTE"),"🟡 EMBARCADO SEM FATURAR",IF(AND(P4041&lt;&gt;"",S4041="",OR(Q4041="",R4041="")),"🟡 PENDÊNCIA SEM RESPONSÁVEL/PRAZO",IF(AND(ISNUMBER(R4041),R4041=TODAY()),"🟡 VENCE HOJE",IF(AND(P4041&lt;&gt;"",S4041=""),"🟡 PENDÊNCIA ABERTA",IF(AND(N(J4041)&gt;0,N(K4041)&lt;J4041),"🟡 FALTA EXECUTAR",IF(OR(M4041="PENDENTE",M4041="PARCIAL"),"🟡 FATURAMENTO PENDENTE","🟡 EMBARQUE PENDENTE")))))))))))</f>
        <v/>
      </c>
      <c r="D4041" s="4" t="n"/>
      <c r="E4041" s="5" t="n"/>
      <c r="F4041" s="5" t="n"/>
      <c r="G4041" s="5" t="n"/>
      <c r="H4041" s="5" t="n"/>
      <c r="I4041" s="5" t="n"/>
      <c r="J4041" s="6" t="n"/>
      <c r="K4041" s="6" t="n"/>
      <c r="L4041" s="7">
        <f>IF(OR(D4041="",N(J4041)=0),"",MIN(1,N(K4041)/J4041))</f>
        <v/>
      </c>
      <c r="M4041" s="5" t="n"/>
      <c r="N4041" s="5" t="n"/>
      <c r="O4041" s="5" t="n"/>
      <c r="P4041" s="5" t="n"/>
      <c r="Q4041" s="5" t="n"/>
      <c r="R4041" s="4" t="n"/>
      <c r="S4041" s="4" t="n"/>
      <c r="T4041" s="5" t="n"/>
      <c r="U4041" s="8">
        <f>IF(AND(V4041=1,D4041&lt;&gt;""),IF(D4041&gt;=corte,TODAY()-D4041,""),"")</f>
        <v/>
      </c>
      <c r="V4041" s="8">
        <f>IF(D4041="",0,IF(OR(AND(P4041&lt;&gt;"",S4041=""),AND(N(J4041)&gt;0,N(K4041)&lt;J4041),OR(M4041="PENDENTE",M4041="PARCIAL"),OR(N4041="PENDENTE",N4041="PARCIAL")),1,0))</f>
        <v/>
      </c>
      <c r="W4041" s="8">
        <f>IF(AND(V4041=1,D4041&lt;&gt;""),IF(D4041&gt;=corte,(B4041="CRÍTICO")*1E9+(100000-D4041)*10000+10000-ROW(),""),"")</f>
        <v/>
      </c>
      <c r="X4041" s="8">
        <f>IF(AND(V4041=1,D4041=pas_data,E4041=pas_turno),10000-ROW(),"")</f>
        <v/>
      </c>
    </row>
    <row r="4042">
      <c r="A4042" s="3">
        <f>IF(D4042="","","TT-"&amp;TEXT(ROW()-1,"00000"))</f>
        <v/>
      </c>
      <c r="B4042" s="3">
        <f>IF(D4042="","",IF(V4042=0,"CONCLUÍDO",IF(D4042&lt;corte,"HISTÓRICO",IF(OR(AND(ISNUMBER(R4042),R4042&lt;TODAY()),AND(OR(N4042="PENDENTE",N4042="PARCIAL"),D4042&lt;TODAY()-1)),"CRÍTICO",IF(OR(AND(P4042&lt;&gt;"",S4042=""),AND(N4042="REALIZADO",M4042="PENDENTE"),AND(ISNUMBER(R4042),R4042=TODAY())),"ATENÇÃO",IF(N(K4042)=0,"PENDENTE","EM ANDAMENTO"))))))</f>
        <v/>
      </c>
      <c r="C4042" s="3">
        <f>IF(D4042="","",IF(V4042=0,"🟢 OK",IF(D4042&lt;corte,"⚪ HISTÓRICO (sem baixa)",IF(AND(ISNUMBER(R4042),R4042&lt;TODAY()),"🔴 PRAZO VENCIDO",IF(AND(OR(N4042="PENDENTE",N4042="PARCIAL"),D4042&lt;TODAY()-1),"🔴 EMBARQUE ATRASADO",IF(AND(N4042="REALIZADO",M4042="PENDENTE"),"🟡 EMBARCADO SEM FATURAR",IF(AND(P4042&lt;&gt;"",S4042="",OR(Q4042="",R4042="")),"🟡 PENDÊNCIA SEM RESPONSÁVEL/PRAZO",IF(AND(ISNUMBER(R4042),R4042=TODAY()),"🟡 VENCE HOJE",IF(AND(P4042&lt;&gt;"",S4042=""),"🟡 PENDÊNCIA ABERTA",IF(AND(N(J4042)&gt;0,N(K4042)&lt;J4042),"🟡 FALTA EXECUTAR",IF(OR(M4042="PENDENTE",M4042="PARCIAL"),"🟡 FATURAMENTO PENDENTE","🟡 EMBARQUE PENDENTE")))))))))))</f>
        <v/>
      </c>
      <c r="D4042" s="4" t="n"/>
      <c r="E4042" s="5" t="n"/>
      <c r="F4042" s="5" t="n"/>
      <c r="G4042" s="5" t="n"/>
      <c r="H4042" s="5" t="n"/>
      <c r="I4042" s="5" t="n"/>
      <c r="J4042" s="6" t="n"/>
      <c r="K4042" s="6" t="n"/>
      <c r="L4042" s="7">
        <f>IF(OR(D4042="",N(J4042)=0),"",MIN(1,N(K4042)/J4042))</f>
        <v/>
      </c>
      <c r="M4042" s="5" t="n"/>
      <c r="N4042" s="5" t="n"/>
      <c r="O4042" s="5" t="n"/>
      <c r="P4042" s="5" t="n"/>
      <c r="Q4042" s="5" t="n"/>
      <c r="R4042" s="4" t="n"/>
      <c r="S4042" s="4" t="n"/>
      <c r="T4042" s="5" t="n"/>
      <c r="U4042" s="8">
        <f>IF(AND(V4042=1,D4042&lt;&gt;""),IF(D4042&gt;=corte,TODAY()-D4042,""),"")</f>
        <v/>
      </c>
      <c r="V4042" s="8">
        <f>IF(D4042="",0,IF(OR(AND(P4042&lt;&gt;"",S4042=""),AND(N(J4042)&gt;0,N(K4042)&lt;J4042),OR(M4042="PENDENTE",M4042="PARCIAL"),OR(N4042="PENDENTE",N4042="PARCIAL")),1,0))</f>
        <v/>
      </c>
      <c r="W4042" s="8">
        <f>IF(AND(V4042=1,D4042&lt;&gt;""),IF(D4042&gt;=corte,(B4042="CRÍTICO")*1E9+(100000-D4042)*10000+10000-ROW(),""),"")</f>
        <v/>
      </c>
      <c r="X4042" s="8">
        <f>IF(AND(V4042=1,D4042=pas_data,E4042=pas_turno),10000-ROW(),"")</f>
        <v/>
      </c>
    </row>
    <row r="4043">
      <c r="A4043" s="3">
        <f>IF(D4043="","","TT-"&amp;TEXT(ROW()-1,"00000"))</f>
        <v/>
      </c>
      <c r="B4043" s="3">
        <f>IF(D4043="","",IF(V4043=0,"CONCLUÍDO",IF(D4043&lt;corte,"HISTÓRICO",IF(OR(AND(ISNUMBER(R4043),R4043&lt;TODAY()),AND(OR(N4043="PENDENTE",N4043="PARCIAL"),D4043&lt;TODAY()-1)),"CRÍTICO",IF(OR(AND(P4043&lt;&gt;"",S4043=""),AND(N4043="REALIZADO",M4043="PENDENTE"),AND(ISNUMBER(R4043),R4043=TODAY())),"ATENÇÃO",IF(N(K4043)=0,"PENDENTE","EM ANDAMENTO"))))))</f>
        <v/>
      </c>
      <c r="C4043" s="3">
        <f>IF(D4043="","",IF(V4043=0,"🟢 OK",IF(D4043&lt;corte,"⚪ HISTÓRICO (sem baixa)",IF(AND(ISNUMBER(R4043),R4043&lt;TODAY()),"🔴 PRAZO VENCIDO",IF(AND(OR(N4043="PENDENTE",N4043="PARCIAL"),D4043&lt;TODAY()-1),"🔴 EMBARQUE ATRASADO",IF(AND(N4043="REALIZADO",M4043="PENDENTE"),"🟡 EMBARCADO SEM FATURAR",IF(AND(P4043&lt;&gt;"",S4043="",OR(Q4043="",R4043="")),"🟡 PENDÊNCIA SEM RESPONSÁVEL/PRAZO",IF(AND(ISNUMBER(R4043),R4043=TODAY()),"🟡 VENCE HOJE",IF(AND(P4043&lt;&gt;"",S4043=""),"🟡 PENDÊNCIA ABERTA",IF(AND(N(J4043)&gt;0,N(K4043)&lt;J4043),"🟡 FALTA EXECUTAR",IF(OR(M4043="PENDENTE",M4043="PARCIAL"),"🟡 FATURAMENTO PENDENTE","🟡 EMBARQUE PENDENTE")))))))))))</f>
        <v/>
      </c>
      <c r="D4043" s="4" t="n"/>
      <c r="E4043" s="5" t="n"/>
      <c r="F4043" s="5" t="n"/>
      <c r="G4043" s="5" t="n"/>
      <c r="H4043" s="5" t="n"/>
      <c r="I4043" s="5" t="n"/>
      <c r="J4043" s="6" t="n"/>
      <c r="K4043" s="6" t="n"/>
      <c r="L4043" s="7">
        <f>IF(OR(D4043="",N(J4043)=0),"",MIN(1,N(K4043)/J4043))</f>
        <v/>
      </c>
      <c r="M4043" s="5" t="n"/>
      <c r="N4043" s="5" t="n"/>
      <c r="O4043" s="5" t="n"/>
      <c r="P4043" s="5" t="n"/>
      <c r="Q4043" s="5" t="n"/>
      <c r="R4043" s="4" t="n"/>
      <c r="S4043" s="4" t="n"/>
      <c r="T4043" s="5" t="n"/>
      <c r="U4043" s="8">
        <f>IF(AND(V4043=1,D4043&lt;&gt;""),IF(D4043&gt;=corte,TODAY()-D4043,""),"")</f>
        <v/>
      </c>
      <c r="V4043" s="8">
        <f>IF(D4043="",0,IF(OR(AND(P4043&lt;&gt;"",S4043=""),AND(N(J4043)&gt;0,N(K4043)&lt;J4043),OR(M4043="PENDENTE",M4043="PARCIAL"),OR(N4043="PENDENTE",N4043="PARCIAL")),1,0))</f>
        <v/>
      </c>
      <c r="W4043" s="8">
        <f>IF(AND(V4043=1,D4043&lt;&gt;""),IF(D4043&gt;=corte,(B4043="CRÍTICO")*1E9+(100000-D4043)*10000+10000-ROW(),""),"")</f>
        <v/>
      </c>
      <c r="X4043" s="8">
        <f>IF(AND(V4043=1,D4043=pas_data,E4043=pas_turno),10000-ROW(),"")</f>
        <v/>
      </c>
    </row>
    <row r="4044">
      <c r="A4044" s="3">
        <f>IF(D4044="","","TT-"&amp;TEXT(ROW()-1,"00000"))</f>
        <v/>
      </c>
      <c r="B4044" s="3">
        <f>IF(D4044="","",IF(V4044=0,"CONCLUÍDO",IF(D4044&lt;corte,"HISTÓRICO",IF(OR(AND(ISNUMBER(R4044),R4044&lt;TODAY()),AND(OR(N4044="PENDENTE",N4044="PARCIAL"),D4044&lt;TODAY()-1)),"CRÍTICO",IF(OR(AND(P4044&lt;&gt;"",S4044=""),AND(N4044="REALIZADO",M4044="PENDENTE"),AND(ISNUMBER(R4044),R4044=TODAY())),"ATENÇÃO",IF(N(K4044)=0,"PENDENTE","EM ANDAMENTO"))))))</f>
        <v/>
      </c>
      <c r="C4044" s="3">
        <f>IF(D4044="","",IF(V4044=0,"🟢 OK",IF(D4044&lt;corte,"⚪ HISTÓRICO (sem baixa)",IF(AND(ISNUMBER(R4044),R4044&lt;TODAY()),"🔴 PRAZO VENCIDO",IF(AND(OR(N4044="PENDENTE",N4044="PARCIAL"),D4044&lt;TODAY()-1),"🔴 EMBARQUE ATRASADO",IF(AND(N4044="REALIZADO",M4044="PENDENTE"),"🟡 EMBARCADO SEM FATURAR",IF(AND(P4044&lt;&gt;"",S4044="",OR(Q4044="",R4044="")),"🟡 PENDÊNCIA SEM RESPONSÁVEL/PRAZO",IF(AND(ISNUMBER(R4044),R4044=TODAY()),"🟡 VENCE HOJE",IF(AND(P4044&lt;&gt;"",S4044=""),"🟡 PENDÊNCIA ABERTA",IF(AND(N(J4044)&gt;0,N(K4044)&lt;J4044),"🟡 FALTA EXECUTAR",IF(OR(M4044="PENDENTE",M4044="PARCIAL"),"🟡 FATURAMENTO PENDENTE","🟡 EMBARQUE PENDENTE")))))))))))</f>
        <v/>
      </c>
      <c r="D4044" s="4" t="n"/>
      <c r="E4044" s="5" t="n"/>
      <c r="F4044" s="5" t="n"/>
      <c r="G4044" s="5" t="n"/>
      <c r="H4044" s="5" t="n"/>
      <c r="I4044" s="5" t="n"/>
      <c r="J4044" s="6" t="n"/>
      <c r="K4044" s="6" t="n"/>
      <c r="L4044" s="7">
        <f>IF(OR(D4044="",N(J4044)=0),"",MIN(1,N(K4044)/J4044))</f>
        <v/>
      </c>
      <c r="M4044" s="5" t="n"/>
      <c r="N4044" s="5" t="n"/>
      <c r="O4044" s="5" t="n"/>
      <c r="P4044" s="5" t="n"/>
      <c r="Q4044" s="5" t="n"/>
      <c r="R4044" s="4" t="n"/>
      <c r="S4044" s="4" t="n"/>
      <c r="T4044" s="5" t="n"/>
      <c r="U4044" s="8">
        <f>IF(AND(V4044=1,D4044&lt;&gt;""),IF(D4044&gt;=corte,TODAY()-D4044,""),"")</f>
        <v/>
      </c>
      <c r="V4044" s="8">
        <f>IF(D4044="",0,IF(OR(AND(P4044&lt;&gt;"",S4044=""),AND(N(J4044)&gt;0,N(K4044)&lt;J4044),OR(M4044="PENDENTE",M4044="PARCIAL"),OR(N4044="PENDENTE",N4044="PARCIAL")),1,0))</f>
        <v/>
      </c>
      <c r="W4044" s="8">
        <f>IF(AND(V4044=1,D4044&lt;&gt;""),IF(D4044&gt;=corte,(B4044="CRÍTICO")*1E9+(100000-D4044)*10000+10000-ROW(),""),"")</f>
        <v/>
      </c>
      <c r="X4044" s="8">
        <f>IF(AND(V4044=1,D4044=pas_data,E4044=pas_turno),10000-ROW(),"")</f>
        <v/>
      </c>
    </row>
    <row r="4045">
      <c r="A4045" s="3">
        <f>IF(D4045="","","TT-"&amp;TEXT(ROW()-1,"00000"))</f>
        <v/>
      </c>
      <c r="B4045" s="3">
        <f>IF(D4045="","",IF(V4045=0,"CONCLUÍDO",IF(D4045&lt;corte,"HISTÓRICO",IF(OR(AND(ISNUMBER(R4045),R4045&lt;TODAY()),AND(OR(N4045="PENDENTE",N4045="PARCIAL"),D4045&lt;TODAY()-1)),"CRÍTICO",IF(OR(AND(P4045&lt;&gt;"",S4045=""),AND(N4045="REALIZADO",M4045="PENDENTE"),AND(ISNUMBER(R4045),R4045=TODAY())),"ATENÇÃO",IF(N(K4045)=0,"PENDENTE","EM ANDAMENTO"))))))</f>
        <v/>
      </c>
      <c r="C4045" s="3">
        <f>IF(D4045="","",IF(V4045=0,"🟢 OK",IF(D4045&lt;corte,"⚪ HISTÓRICO (sem baixa)",IF(AND(ISNUMBER(R4045),R4045&lt;TODAY()),"🔴 PRAZO VENCIDO",IF(AND(OR(N4045="PENDENTE",N4045="PARCIAL"),D4045&lt;TODAY()-1),"🔴 EMBARQUE ATRASADO",IF(AND(N4045="REALIZADO",M4045="PENDENTE"),"🟡 EMBARCADO SEM FATURAR",IF(AND(P4045&lt;&gt;"",S4045="",OR(Q4045="",R4045="")),"🟡 PENDÊNCIA SEM RESPONSÁVEL/PRAZO",IF(AND(ISNUMBER(R4045),R4045=TODAY()),"🟡 VENCE HOJE",IF(AND(P4045&lt;&gt;"",S4045=""),"🟡 PENDÊNCIA ABERTA",IF(AND(N(J4045)&gt;0,N(K4045)&lt;J4045),"🟡 FALTA EXECUTAR",IF(OR(M4045="PENDENTE",M4045="PARCIAL"),"🟡 FATURAMENTO PENDENTE","🟡 EMBARQUE PENDENTE")))))))))))</f>
        <v/>
      </c>
      <c r="D4045" s="4" t="n"/>
      <c r="E4045" s="5" t="n"/>
      <c r="F4045" s="5" t="n"/>
      <c r="G4045" s="5" t="n"/>
      <c r="H4045" s="5" t="n"/>
      <c r="I4045" s="5" t="n"/>
      <c r="J4045" s="6" t="n"/>
      <c r="K4045" s="6" t="n"/>
      <c r="L4045" s="7">
        <f>IF(OR(D4045="",N(J4045)=0),"",MIN(1,N(K4045)/J4045))</f>
        <v/>
      </c>
      <c r="M4045" s="5" t="n"/>
      <c r="N4045" s="5" t="n"/>
      <c r="O4045" s="5" t="n"/>
      <c r="P4045" s="5" t="n"/>
      <c r="Q4045" s="5" t="n"/>
      <c r="R4045" s="4" t="n"/>
      <c r="S4045" s="4" t="n"/>
      <c r="T4045" s="5" t="n"/>
      <c r="U4045" s="8">
        <f>IF(AND(V4045=1,D4045&lt;&gt;""),IF(D4045&gt;=corte,TODAY()-D4045,""),"")</f>
        <v/>
      </c>
      <c r="V4045" s="8">
        <f>IF(D4045="",0,IF(OR(AND(P4045&lt;&gt;"",S4045=""),AND(N(J4045)&gt;0,N(K4045)&lt;J4045),OR(M4045="PENDENTE",M4045="PARCIAL"),OR(N4045="PENDENTE",N4045="PARCIAL")),1,0))</f>
        <v/>
      </c>
      <c r="W4045" s="8">
        <f>IF(AND(V4045=1,D4045&lt;&gt;""),IF(D4045&gt;=corte,(B4045="CRÍTICO")*1E9+(100000-D4045)*10000+10000-ROW(),""),"")</f>
        <v/>
      </c>
      <c r="X4045" s="8">
        <f>IF(AND(V4045=1,D4045=pas_data,E4045=pas_turno),10000-ROW(),"")</f>
        <v/>
      </c>
    </row>
    <row r="4046">
      <c r="A4046" s="3">
        <f>IF(D4046="","","TT-"&amp;TEXT(ROW()-1,"00000"))</f>
        <v/>
      </c>
      <c r="B4046" s="3">
        <f>IF(D4046="","",IF(V4046=0,"CONCLUÍDO",IF(D4046&lt;corte,"HISTÓRICO",IF(OR(AND(ISNUMBER(R4046),R4046&lt;TODAY()),AND(OR(N4046="PENDENTE",N4046="PARCIAL"),D4046&lt;TODAY()-1)),"CRÍTICO",IF(OR(AND(P4046&lt;&gt;"",S4046=""),AND(N4046="REALIZADO",M4046="PENDENTE"),AND(ISNUMBER(R4046),R4046=TODAY())),"ATENÇÃO",IF(N(K4046)=0,"PENDENTE","EM ANDAMENTO"))))))</f>
        <v/>
      </c>
      <c r="C4046" s="3">
        <f>IF(D4046="","",IF(V4046=0,"🟢 OK",IF(D4046&lt;corte,"⚪ HISTÓRICO (sem baixa)",IF(AND(ISNUMBER(R4046),R4046&lt;TODAY()),"🔴 PRAZO VENCIDO",IF(AND(OR(N4046="PENDENTE",N4046="PARCIAL"),D4046&lt;TODAY()-1),"🔴 EMBARQUE ATRASADO",IF(AND(N4046="REALIZADO",M4046="PENDENTE"),"🟡 EMBARCADO SEM FATURAR",IF(AND(P4046&lt;&gt;"",S4046="",OR(Q4046="",R4046="")),"🟡 PENDÊNCIA SEM RESPONSÁVEL/PRAZO",IF(AND(ISNUMBER(R4046),R4046=TODAY()),"🟡 VENCE HOJE",IF(AND(P4046&lt;&gt;"",S4046=""),"🟡 PENDÊNCIA ABERTA",IF(AND(N(J4046)&gt;0,N(K4046)&lt;J4046),"🟡 FALTA EXECUTAR",IF(OR(M4046="PENDENTE",M4046="PARCIAL"),"🟡 FATURAMENTO PENDENTE","🟡 EMBARQUE PENDENTE")))))))))))</f>
        <v/>
      </c>
      <c r="D4046" s="4" t="n"/>
      <c r="E4046" s="5" t="n"/>
      <c r="F4046" s="5" t="n"/>
      <c r="G4046" s="5" t="n"/>
      <c r="H4046" s="5" t="n"/>
      <c r="I4046" s="5" t="n"/>
      <c r="J4046" s="6" t="n"/>
      <c r="K4046" s="6" t="n"/>
      <c r="L4046" s="7">
        <f>IF(OR(D4046="",N(J4046)=0),"",MIN(1,N(K4046)/J4046))</f>
        <v/>
      </c>
      <c r="M4046" s="5" t="n"/>
      <c r="N4046" s="5" t="n"/>
      <c r="O4046" s="5" t="n"/>
      <c r="P4046" s="5" t="n"/>
      <c r="Q4046" s="5" t="n"/>
      <c r="R4046" s="4" t="n"/>
      <c r="S4046" s="4" t="n"/>
      <c r="T4046" s="5" t="n"/>
      <c r="U4046" s="8">
        <f>IF(AND(V4046=1,D4046&lt;&gt;""),IF(D4046&gt;=corte,TODAY()-D4046,""),"")</f>
        <v/>
      </c>
      <c r="V4046" s="8">
        <f>IF(D4046="",0,IF(OR(AND(P4046&lt;&gt;"",S4046=""),AND(N(J4046)&gt;0,N(K4046)&lt;J4046),OR(M4046="PENDENTE",M4046="PARCIAL"),OR(N4046="PENDENTE",N4046="PARCIAL")),1,0))</f>
        <v/>
      </c>
      <c r="W4046" s="8">
        <f>IF(AND(V4046=1,D4046&lt;&gt;""),IF(D4046&gt;=corte,(B4046="CRÍTICO")*1E9+(100000-D4046)*10000+10000-ROW(),""),"")</f>
        <v/>
      </c>
      <c r="X4046" s="8">
        <f>IF(AND(V4046=1,D4046=pas_data,E4046=pas_turno),10000-ROW(),"")</f>
        <v/>
      </c>
    </row>
    <row r="4047">
      <c r="A4047" s="3">
        <f>IF(D4047="","","TT-"&amp;TEXT(ROW()-1,"00000"))</f>
        <v/>
      </c>
      <c r="B4047" s="3">
        <f>IF(D4047="","",IF(V4047=0,"CONCLUÍDO",IF(D4047&lt;corte,"HISTÓRICO",IF(OR(AND(ISNUMBER(R4047),R4047&lt;TODAY()),AND(OR(N4047="PENDENTE",N4047="PARCIAL"),D4047&lt;TODAY()-1)),"CRÍTICO",IF(OR(AND(P4047&lt;&gt;"",S4047=""),AND(N4047="REALIZADO",M4047="PENDENTE"),AND(ISNUMBER(R4047),R4047=TODAY())),"ATENÇÃO",IF(N(K4047)=0,"PENDENTE","EM ANDAMENTO"))))))</f>
        <v/>
      </c>
      <c r="C4047" s="3">
        <f>IF(D4047="","",IF(V4047=0,"🟢 OK",IF(D4047&lt;corte,"⚪ HISTÓRICO (sem baixa)",IF(AND(ISNUMBER(R4047),R4047&lt;TODAY()),"🔴 PRAZO VENCIDO",IF(AND(OR(N4047="PENDENTE",N4047="PARCIAL"),D4047&lt;TODAY()-1),"🔴 EMBARQUE ATRASADO",IF(AND(N4047="REALIZADO",M4047="PENDENTE"),"🟡 EMBARCADO SEM FATURAR",IF(AND(P4047&lt;&gt;"",S4047="",OR(Q4047="",R4047="")),"🟡 PENDÊNCIA SEM RESPONSÁVEL/PRAZO",IF(AND(ISNUMBER(R4047),R4047=TODAY()),"🟡 VENCE HOJE",IF(AND(P4047&lt;&gt;"",S4047=""),"🟡 PENDÊNCIA ABERTA",IF(AND(N(J4047)&gt;0,N(K4047)&lt;J4047),"🟡 FALTA EXECUTAR",IF(OR(M4047="PENDENTE",M4047="PARCIAL"),"🟡 FATURAMENTO PENDENTE","🟡 EMBARQUE PENDENTE")))))))))))</f>
        <v/>
      </c>
      <c r="D4047" s="4" t="n"/>
      <c r="E4047" s="5" t="n"/>
      <c r="F4047" s="5" t="n"/>
      <c r="G4047" s="5" t="n"/>
      <c r="H4047" s="5" t="n"/>
      <c r="I4047" s="5" t="n"/>
      <c r="J4047" s="6" t="n"/>
      <c r="K4047" s="6" t="n"/>
      <c r="L4047" s="7">
        <f>IF(OR(D4047="",N(J4047)=0),"",MIN(1,N(K4047)/J4047))</f>
        <v/>
      </c>
      <c r="M4047" s="5" t="n"/>
      <c r="N4047" s="5" t="n"/>
      <c r="O4047" s="5" t="n"/>
      <c r="P4047" s="5" t="n"/>
      <c r="Q4047" s="5" t="n"/>
      <c r="R4047" s="4" t="n"/>
      <c r="S4047" s="4" t="n"/>
      <c r="T4047" s="5" t="n"/>
      <c r="U4047" s="8">
        <f>IF(AND(V4047=1,D4047&lt;&gt;""),IF(D4047&gt;=corte,TODAY()-D4047,""),"")</f>
        <v/>
      </c>
      <c r="V4047" s="8">
        <f>IF(D4047="",0,IF(OR(AND(P4047&lt;&gt;"",S4047=""),AND(N(J4047)&gt;0,N(K4047)&lt;J4047),OR(M4047="PENDENTE",M4047="PARCIAL"),OR(N4047="PENDENTE",N4047="PARCIAL")),1,0))</f>
        <v/>
      </c>
      <c r="W4047" s="8">
        <f>IF(AND(V4047=1,D4047&lt;&gt;""),IF(D4047&gt;=corte,(B4047="CRÍTICO")*1E9+(100000-D4047)*10000+10000-ROW(),""),"")</f>
        <v/>
      </c>
      <c r="X4047" s="8">
        <f>IF(AND(V4047=1,D4047=pas_data,E4047=pas_turno),10000-ROW(),"")</f>
        <v/>
      </c>
    </row>
    <row r="4048">
      <c r="A4048" s="3">
        <f>IF(D4048="","","TT-"&amp;TEXT(ROW()-1,"00000"))</f>
        <v/>
      </c>
      <c r="B4048" s="3">
        <f>IF(D4048="","",IF(V4048=0,"CONCLUÍDO",IF(D4048&lt;corte,"HISTÓRICO",IF(OR(AND(ISNUMBER(R4048),R4048&lt;TODAY()),AND(OR(N4048="PENDENTE",N4048="PARCIAL"),D4048&lt;TODAY()-1)),"CRÍTICO",IF(OR(AND(P4048&lt;&gt;"",S4048=""),AND(N4048="REALIZADO",M4048="PENDENTE"),AND(ISNUMBER(R4048),R4048=TODAY())),"ATENÇÃO",IF(N(K4048)=0,"PENDENTE","EM ANDAMENTO"))))))</f>
        <v/>
      </c>
      <c r="C4048" s="3">
        <f>IF(D4048="","",IF(V4048=0,"🟢 OK",IF(D4048&lt;corte,"⚪ HISTÓRICO (sem baixa)",IF(AND(ISNUMBER(R4048),R4048&lt;TODAY()),"🔴 PRAZO VENCIDO",IF(AND(OR(N4048="PENDENTE",N4048="PARCIAL"),D4048&lt;TODAY()-1),"🔴 EMBARQUE ATRASADO",IF(AND(N4048="REALIZADO",M4048="PENDENTE"),"🟡 EMBARCADO SEM FATURAR",IF(AND(P4048&lt;&gt;"",S4048="",OR(Q4048="",R4048="")),"🟡 PENDÊNCIA SEM RESPONSÁVEL/PRAZO",IF(AND(ISNUMBER(R4048),R4048=TODAY()),"🟡 VENCE HOJE",IF(AND(P4048&lt;&gt;"",S4048=""),"🟡 PENDÊNCIA ABERTA",IF(AND(N(J4048)&gt;0,N(K4048)&lt;J4048),"🟡 FALTA EXECUTAR",IF(OR(M4048="PENDENTE",M4048="PARCIAL"),"🟡 FATURAMENTO PENDENTE","🟡 EMBARQUE PENDENTE")))))))))))</f>
        <v/>
      </c>
      <c r="D4048" s="4" t="n"/>
      <c r="E4048" s="5" t="n"/>
      <c r="F4048" s="5" t="n"/>
      <c r="G4048" s="5" t="n"/>
      <c r="H4048" s="5" t="n"/>
      <c r="I4048" s="5" t="n"/>
      <c r="J4048" s="6" t="n"/>
      <c r="K4048" s="6" t="n"/>
      <c r="L4048" s="7">
        <f>IF(OR(D4048="",N(J4048)=0),"",MIN(1,N(K4048)/J4048))</f>
        <v/>
      </c>
      <c r="M4048" s="5" t="n"/>
      <c r="N4048" s="5" t="n"/>
      <c r="O4048" s="5" t="n"/>
      <c r="P4048" s="5" t="n"/>
      <c r="Q4048" s="5" t="n"/>
      <c r="R4048" s="4" t="n"/>
      <c r="S4048" s="4" t="n"/>
      <c r="T4048" s="5" t="n"/>
      <c r="U4048" s="8">
        <f>IF(AND(V4048=1,D4048&lt;&gt;""),IF(D4048&gt;=corte,TODAY()-D4048,""),"")</f>
        <v/>
      </c>
      <c r="V4048" s="8">
        <f>IF(D4048="",0,IF(OR(AND(P4048&lt;&gt;"",S4048=""),AND(N(J4048)&gt;0,N(K4048)&lt;J4048),OR(M4048="PENDENTE",M4048="PARCIAL"),OR(N4048="PENDENTE",N4048="PARCIAL")),1,0))</f>
        <v/>
      </c>
      <c r="W4048" s="8">
        <f>IF(AND(V4048=1,D4048&lt;&gt;""),IF(D4048&gt;=corte,(B4048="CRÍTICO")*1E9+(100000-D4048)*10000+10000-ROW(),""),"")</f>
        <v/>
      </c>
      <c r="X4048" s="8">
        <f>IF(AND(V4048=1,D4048=pas_data,E4048=pas_turno),10000-ROW(),"")</f>
        <v/>
      </c>
    </row>
    <row r="4049">
      <c r="A4049" s="3">
        <f>IF(D4049="","","TT-"&amp;TEXT(ROW()-1,"00000"))</f>
        <v/>
      </c>
      <c r="B4049" s="3">
        <f>IF(D4049="","",IF(V4049=0,"CONCLUÍDO",IF(D4049&lt;corte,"HISTÓRICO",IF(OR(AND(ISNUMBER(R4049),R4049&lt;TODAY()),AND(OR(N4049="PENDENTE",N4049="PARCIAL"),D4049&lt;TODAY()-1)),"CRÍTICO",IF(OR(AND(P4049&lt;&gt;"",S4049=""),AND(N4049="REALIZADO",M4049="PENDENTE"),AND(ISNUMBER(R4049),R4049=TODAY())),"ATENÇÃO",IF(N(K4049)=0,"PENDENTE","EM ANDAMENTO"))))))</f>
        <v/>
      </c>
      <c r="C4049" s="3">
        <f>IF(D4049="","",IF(V4049=0,"🟢 OK",IF(D4049&lt;corte,"⚪ HISTÓRICO (sem baixa)",IF(AND(ISNUMBER(R4049),R4049&lt;TODAY()),"🔴 PRAZO VENCIDO",IF(AND(OR(N4049="PENDENTE",N4049="PARCIAL"),D4049&lt;TODAY()-1),"🔴 EMBARQUE ATRASADO",IF(AND(N4049="REALIZADO",M4049="PENDENTE"),"🟡 EMBARCADO SEM FATURAR",IF(AND(P4049&lt;&gt;"",S4049="",OR(Q4049="",R4049="")),"🟡 PENDÊNCIA SEM RESPONSÁVEL/PRAZO",IF(AND(ISNUMBER(R4049),R4049=TODAY()),"🟡 VENCE HOJE",IF(AND(P4049&lt;&gt;"",S4049=""),"🟡 PENDÊNCIA ABERTA",IF(AND(N(J4049)&gt;0,N(K4049)&lt;J4049),"🟡 FALTA EXECUTAR",IF(OR(M4049="PENDENTE",M4049="PARCIAL"),"🟡 FATURAMENTO PENDENTE","🟡 EMBARQUE PENDENTE")))))))))))</f>
        <v/>
      </c>
      <c r="D4049" s="4" t="n"/>
      <c r="E4049" s="5" t="n"/>
      <c r="F4049" s="5" t="n"/>
      <c r="G4049" s="5" t="n"/>
      <c r="H4049" s="5" t="n"/>
      <c r="I4049" s="5" t="n"/>
      <c r="J4049" s="6" t="n"/>
      <c r="K4049" s="6" t="n"/>
      <c r="L4049" s="7">
        <f>IF(OR(D4049="",N(J4049)=0),"",MIN(1,N(K4049)/J4049))</f>
        <v/>
      </c>
      <c r="M4049" s="5" t="n"/>
      <c r="N4049" s="5" t="n"/>
      <c r="O4049" s="5" t="n"/>
      <c r="P4049" s="5" t="n"/>
      <c r="Q4049" s="5" t="n"/>
      <c r="R4049" s="4" t="n"/>
      <c r="S4049" s="4" t="n"/>
      <c r="T4049" s="5" t="n"/>
      <c r="U4049" s="8">
        <f>IF(AND(V4049=1,D4049&lt;&gt;""),IF(D4049&gt;=corte,TODAY()-D4049,""),"")</f>
        <v/>
      </c>
      <c r="V4049" s="8">
        <f>IF(D4049="",0,IF(OR(AND(P4049&lt;&gt;"",S4049=""),AND(N(J4049)&gt;0,N(K4049)&lt;J4049),OR(M4049="PENDENTE",M4049="PARCIAL"),OR(N4049="PENDENTE",N4049="PARCIAL")),1,0))</f>
        <v/>
      </c>
      <c r="W4049" s="8">
        <f>IF(AND(V4049=1,D4049&lt;&gt;""),IF(D4049&gt;=corte,(B4049="CRÍTICO")*1E9+(100000-D4049)*10000+10000-ROW(),""),"")</f>
        <v/>
      </c>
      <c r="X4049" s="8">
        <f>IF(AND(V4049=1,D4049=pas_data,E4049=pas_turno),10000-ROW(),"")</f>
        <v/>
      </c>
    </row>
    <row r="4050">
      <c r="A4050" s="3">
        <f>IF(D4050="","","TT-"&amp;TEXT(ROW()-1,"00000"))</f>
        <v/>
      </c>
      <c r="B4050" s="3">
        <f>IF(D4050="","",IF(V4050=0,"CONCLUÍDO",IF(D4050&lt;corte,"HISTÓRICO",IF(OR(AND(ISNUMBER(R4050),R4050&lt;TODAY()),AND(OR(N4050="PENDENTE",N4050="PARCIAL"),D4050&lt;TODAY()-1)),"CRÍTICO",IF(OR(AND(P4050&lt;&gt;"",S4050=""),AND(N4050="REALIZADO",M4050="PENDENTE"),AND(ISNUMBER(R4050),R4050=TODAY())),"ATENÇÃO",IF(N(K4050)=0,"PENDENTE","EM ANDAMENTO"))))))</f>
        <v/>
      </c>
      <c r="C4050" s="3">
        <f>IF(D4050="","",IF(V4050=0,"🟢 OK",IF(D4050&lt;corte,"⚪ HISTÓRICO (sem baixa)",IF(AND(ISNUMBER(R4050),R4050&lt;TODAY()),"🔴 PRAZO VENCIDO",IF(AND(OR(N4050="PENDENTE",N4050="PARCIAL"),D4050&lt;TODAY()-1),"🔴 EMBARQUE ATRASADO",IF(AND(N4050="REALIZADO",M4050="PENDENTE"),"🟡 EMBARCADO SEM FATURAR",IF(AND(P4050&lt;&gt;"",S4050="",OR(Q4050="",R4050="")),"🟡 PENDÊNCIA SEM RESPONSÁVEL/PRAZO",IF(AND(ISNUMBER(R4050),R4050=TODAY()),"🟡 VENCE HOJE",IF(AND(P4050&lt;&gt;"",S4050=""),"🟡 PENDÊNCIA ABERTA",IF(AND(N(J4050)&gt;0,N(K4050)&lt;J4050),"🟡 FALTA EXECUTAR",IF(OR(M4050="PENDENTE",M4050="PARCIAL"),"🟡 FATURAMENTO PENDENTE","🟡 EMBARQUE PENDENTE")))))))))))</f>
        <v/>
      </c>
      <c r="D4050" s="4" t="n"/>
      <c r="E4050" s="5" t="n"/>
      <c r="F4050" s="5" t="n"/>
      <c r="G4050" s="5" t="n"/>
      <c r="H4050" s="5" t="n"/>
      <c r="I4050" s="5" t="n"/>
      <c r="J4050" s="6" t="n"/>
      <c r="K4050" s="6" t="n"/>
      <c r="L4050" s="7">
        <f>IF(OR(D4050="",N(J4050)=0),"",MIN(1,N(K4050)/J4050))</f>
        <v/>
      </c>
      <c r="M4050" s="5" t="n"/>
      <c r="N4050" s="5" t="n"/>
      <c r="O4050" s="5" t="n"/>
      <c r="P4050" s="5" t="n"/>
      <c r="Q4050" s="5" t="n"/>
      <c r="R4050" s="4" t="n"/>
      <c r="S4050" s="4" t="n"/>
      <c r="T4050" s="5" t="n"/>
      <c r="U4050" s="8">
        <f>IF(AND(V4050=1,D4050&lt;&gt;""),IF(D4050&gt;=corte,TODAY()-D4050,""),"")</f>
        <v/>
      </c>
      <c r="V4050" s="8">
        <f>IF(D4050="",0,IF(OR(AND(P4050&lt;&gt;"",S4050=""),AND(N(J4050)&gt;0,N(K4050)&lt;J4050),OR(M4050="PENDENTE",M4050="PARCIAL"),OR(N4050="PENDENTE",N4050="PARCIAL")),1,0))</f>
        <v/>
      </c>
      <c r="W4050" s="8">
        <f>IF(AND(V4050=1,D4050&lt;&gt;""),IF(D4050&gt;=corte,(B4050="CRÍTICO")*1E9+(100000-D4050)*10000+10000-ROW(),""),"")</f>
        <v/>
      </c>
      <c r="X4050" s="8">
        <f>IF(AND(V4050=1,D4050=pas_data,E4050=pas_turno),10000-ROW(),"")</f>
        <v/>
      </c>
    </row>
    <row r="4051">
      <c r="A4051" s="3">
        <f>IF(D4051="","","TT-"&amp;TEXT(ROW()-1,"00000"))</f>
        <v/>
      </c>
      <c r="B4051" s="3">
        <f>IF(D4051="","",IF(V4051=0,"CONCLUÍDO",IF(D4051&lt;corte,"HISTÓRICO",IF(OR(AND(ISNUMBER(R4051),R4051&lt;TODAY()),AND(OR(N4051="PENDENTE",N4051="PARCIAL"),D4051&lt;TODAY()-1)),"CRÍTICO",IF(OR(AND(P4051&lt;&gt;"",S4051=""),AND(N4051="REALIZADO",M4051="PENDENTE"),AND(ISNUMBER(R4051),R4051=TODAY())),"ATENÇÃO",IF(N(K4051)=0,"PENDENTE","EM ANDAMENTO"))))))</f>
        <v/>
      </c>
      <c r="C4051" s="3">
        <f>IF(D4051="","",IF(V4051=0,"🟢 OK",IF(D4051&lt;corte,"⚪ HISTÓRICO (sem baixa)",IF(AND(ISNUMBER(R4051),R4051&lt;TODAY()),"🔴 PRAZO VENCIDO",IF(AND(OR(N4051="PENDENTE",N4051="PARCIAL"),D4051&lt;TODAY()-1),"🔴 EMBARQUE ATRASADO",IF(AND(N4051="REALIZADO",M4051="PENDENTE"),"🟡 EMBARCADO SEM FATURAR",IF(AND(P4051&lt;&gt;"",S4051="",OR(Q4051="",R4051="")),"🟡 PENDÊNCIA SEM RESPONSÁVEL/PRAZO",IF(AND(ISNUMBER(R4051),R4051=TODAY()),"🟡 VENCE HOJE",IF(AND(P4051&lt;&gt;"",S4051=""),"🟡 PENDÊNCIA ABERTA",IF(AND(N(J4051)&gt;0,N(K4051)&lt;J4051),"🟡 FALTA EXECUTAR",IF(OR(M4051="PENDENTE",M4051="PARCIAL"),"🟡 FATURAMENTO PENDENTE","🟡 EMBARQUE PENDENTE")))))))))))</f>
        <v/>
      </c>
      <c r="D4051" s="4" t="n"/>
      <c r="E4051" s="5" t="n"/>
      <c r="F4051" s="5" t="n"/>
      <c r="G4051" s="5" t="n"/>
      <c r="H4051" s="5" t="n"/>
      <c r="I4051" s="5" t="n"/>
      <c r="J4051" s="6" t="n"/>
      <c r="K4051" s="6" t="n"/>
      <c r="L4051" s="7">
        <f>IF(OR(D4051="",N(J4051)=0),"",MIN(1,N(K4051)/J4051))</f>
        <v/>
      </c>
      <c r="M4051" s="5" t="n"/>
      <c r="N4051" s="5" t="n"/>
      <c r="O4051" s="5" t="n"/>
      <c r="P4051" s="5" t="n"/>
      <c r="Q4051" s="5" t="n"/>
      <c r="R4051" s="4" t="n"/>
      <c r="S4051" s="4" t="n"/>
      <c r="T4051" s="5" t="n"/>
      <c r="U4051" s="8">
        <f>IF(AND(V4051=1,D4051&lt;&gt;""),IF(D4051&gt;=corte,TODAY()-D4051,""),"")</f>
        <v/>
      </c>
      <c r="V4051" s="8">
        <f>IF(D4051="",0,IF(OR(AND(P4051&lt;&gt;"",S4051=""),AND(N(J4051)&gt;0,N(K4051)&lt;J4051),OR(M4051="PENDENTE",M4051="PARCIAL"),OR(N4051="PENDENTE",N4051="PARCIAL")),1,0))</f>
        <v/>
      </c>
      <c r="W4051" s="8">
        <f>IF(AND(V4051=1,D4051&lt;&gt;""),IF(D4051&gt;=corte,(B4051="CRÍTICO")*1E9+(100000-D4051)*10000+10000-ROW(),""),"")</f>
        <v/>
      </c>
      <c r="X4051" s="8">
        <f>IF(AND(V4051=1,D4051=pas_data,E4051=pas_turno),10000-ROW(),"")</f>
        <v/>
      </c>
    </row>
    <row r="4052">
      <c r="A4052" s="3">
        <f>IF(D4052="","","TT-"&amp;TEXT(ROW()-1,"00000"))</f>
        <v/>
      </c>
      <c r="B4052" s="3">
        <f>IF(D4052="","",IF(V4052=0,"CONCLUÍDO",IF(D4052&lt;corte,"HISTÓRICO",IF(OR(AND(ISNUMBER(R4052),R4052&lt;TODAY()),AND(OR(N4052="PENDENTE",N4052="PARCIAL"),D4052&lt;TODAY()-1)),"CRÍTICO",IF(OR(AND(P4052&lt;&gt;"",S4052=""),AND(N4052="REALIZADO",M4052="PENDENTE"),AND(ISNUMBER(R4052),R4052=TODAY())),"ATENÇÃO",IF(N(K4052)=0,"PENDENTE","EM ANDAMENTO"))))))</f>
        <v/>
      </c>
      <c r="C4052" s="3">
        <f>IF(D4052="","",IF(V4052=0,"🟢 OK",IF(D4052&lt;corte,"⚪ HISTÓRICO (sem baixa)",IF(AND(ISNUMBER(R4052),R4052&lt;TODAY()),"🔴 PRAZO VENCIDO",IF(AND(OR(N4052="PENDENTE",N4052="PARCIAL"),D4052&lt;TODAY()-1),"🔴 EMBARQUE ATRASADO",IF(AND(N4052="REALIZADO",M4052="PENDENTE"),"🟡 EMBARCADO SEM FATURAR",IF(AND(P4052&lt;&gt;"",S4052="",OR(Q4052="",R4052="")),"🟡 PENDÊNCIA SEM RESPONSÁVEL/PRAZO",IF(AND(ISNUMBER(R4052),R4052=TODAY()),"🟡 VENCE HOJE",IF(AND(P4052&lt;&gt;"",S4052=""),"🟡 PENDÊNCIA ABERTA",IF(AND(N(J4052)&gt;0,N(K4052)&lt;J4052),"🟡 FALTA EXECUTAR",IF(OR(M4052="PENDENTE",M4052="PARCIAL"),"🟡 FATURAMENTO PENDENTE","🟡 EMBARQUE PENDENTE")))))))))))</f>
        <v/>
      </c>
      <c r="D4052" s="4" t="n"/>
      <c r="E4052" s="5" t="n"/>
      <c r="F4052" s="5" t="n"/>
      <c r="G4052" s="5" t="n"/>
      <c r="H4052" s="5" t="n"/>
      <c r="I4052" s="5" t="n"/>
      <c r="J4052" s="6" t="n"/>
      <c r="K4052" s="6" t="n"/>
      <c r="L4052" s="7">
        <f>IF(OR(D4052="",N(J4052)=0),"",MIN(1,N(K4052)/J4052))</f>
        <v/>
      </c>
      <c r="M4052" s="5" t="n"/>
      <c r="N4052" s="5" t="n"/>
      <c r="O4052" s="5" t="n"/>
      <c r="P4052" s="5" t="n"/>
      <c r="Q4052" s="5" t="n"/>
      <c r="R4052" s="4" t="n"/>
      <c r="S4052" s="4" t="n"/>
      <c r="T4052" s="5" t="n"/>
      <c r="U4052" s="8">
        <f>IF(AND(V4052=1,D4052&lt;&gt;""),IF(D4052&gt;=corte,TODAY()-D4052,""),"")</f>
        <v/>
      </c>
      <c r="V4052" s="8">
        <f>IF(D4052="",0,IF(OR(AND(P4052&lt;&gt;"",S4052=""),AND(N(J4052)&gt;0,N(K4052)&lt;J4052),OR(M4052="PENDENTE",M4052="PARCIAL"),OR(N4052="PENDENTE",N4052="PARCIAL")),1,0))</f>
        <v/>
      </c>
      <c r="W4052" s="8">
        <f>IF(AND(V4052=1,D4052&lt;&gt;""),IF(D4052&gt;=corte,(B4052="CRÍTICO")*1E9+(100000-D4052)*10000+10000-ROW(),""),"")</f>
        <v/>
      </c>
      <c r="X4052" s="8">
        <f>IF(AND(V4052=1,D4052=pas_data,E4052=pas_turno),10000-ROW(),"")</f>
        <v/>
      </c>
    </row>
    <row r="4053">
      <c r="A4053" s="3">
        <f>IF(D4053="","","TT-"&amp;TEXT(ROW()-1,"00000"))</f>
        <v/>
      </c>
      <c r="B4053" s="3">
        <f>IF(D4053="","",IF(V4053=0,"CONCLUÍDO",IF(D4053&lt;corte,"HISTÓRICO",IF(OR(AND(ISNUMBER(R4053),R4053&lt;TODAY()),AND(OR(N4053="PENDENTE",N4053="PARCIAL"),D4053&lt;TODAY()-1)),"CRÍTICO",IF(OR(AND(P4053&lt;&gt;"",S4053=""),AND(N4053="REALIZADO",M4053="PENDENTE"),AND(ISNUMBER(R4053),R4053=TODAY())),"ATENÇÃO",IF(N(K4053)=0,"PENDENTE","EM ANDAMENTO"))))))</f>
        <v/>
      </c>
      <c r="C4053" s="3">
        <f>IF(D4053="","",IF(V4053=0,"🟢 OK",IF(D4053&lt;corte,"⚪ HISTÓRICO (sem baixa)",IF(AND(ISNUMBER(R4053),R4053&lt;TODAY()),"🔴 PRAZO VENCIDO",IF(AND(OR(N4053="PENDENTE",N4053="PARCIAL"),D4053&lt;TODAY()-1),"🔴 EMBARQUE ATRASADO",IF(AND(N4053="REALIZADO",M4053="PENDENTE"),"🟡 EMBARCADO SEM FATURAR",IF(AND(P4053&lt;&gt;"",S4053="",OR(Q4053="",R4053="")),"🟡 PENDÊNCIA SEM RESPONSÁVEL/PRAZO",IF(AND(ISNUMBER(R4053),R4053=TODAY()),"🟡 VENCE HOJE",IF(AND(P4053&lt;&gt;"",S4053=""),"🟡 PENDÊNCIA ABERTA",IF(AND(N(J4053)&gt;0,N(K4053)&lt;J4053),"🟡 FALTA EXECUTAR",IF(OR(M4053="PENDENTE",M4053="PARCIAL"),"🟡 FATURAMENTO PENDENTE","🟡 EMBARQUE PENDENTE")))))))))))</f>
        <v/>
      </c>
      <c r="D4053" s="4" t="n"/>
      <c r="E4053" s="5" t="n"/>
      <c r="F4053" s="5" t="n"/>
      <c r="G4053" s="5" t="n"/>
      <c r="H4053" s="5" t="n"/>
      <c r="I4053" s="5" t="n"/>
      <c r="J4053" s="6" t="n"/>
      <c r="K4053" s="6" t="n"/>
      <c r="L4053" s="7">
        <f>IF(OR(D4053="",N(J4053)=0),"",MIN(1,N(K4053)/J4053))</f>
        <v/>
      </c>
      <c r="M4053" s="5" t="n"/>
      <c r="N4053" s="5" t="n"/>
      <c r="O4053" s="5" t="n"/>
      <c r="P4053" s="5" t="n"/>
      <c r="Q4053" s="5" t="n"/>
      <c r="R4053" s="4" t="n"/>
      <c r="S4053" s="4" t="n"/>
      <c r="T4053" s="5" t="n"/>
      <c r="U4053" s="8">
        <f>IF(AND(V4053=1,D4053&lt;&gt;""),IF(D4053&gt;=corte,TODAY()-D4053,""),"")</f>
        <v/>
      </c>
      <c r="V4053" s="8">
        <f>IF(D4053="",0,IF(OR(AND(P4053&lt;&gt;"",S4053=""),AND(N(J4053)&gt;0,N(K4053)&lt;J4053),OR(M4053="PENDENTE",M4053="PARCIAL"),OR(N4053="PENDENTE",N4053="PARCIAL")),1,0))</f>
        <v/>
      </c>
      <c r="W4053" s="8">
        <f>IF(AND(V4053=1,D4053&lt;&gt;""),IF(D4053&gt;=corte,(B4053="CRÍTICO")*1E9+(100000-D4053)*10000+10000-ROW(),""),"")</f>
        <v/>
      </c>
      <c r="X4053" s="8">
        <f>IF(AND(V4053=1,D4053=pas_data,E4053=pas_turno),10000-ROW(),"")</f>
        <v/>
      </c>
    </row>
    <row r="4054">
      <c r="A4054" s="3">
        <f>IF(D4054="","","TT-"&amp;TEXT(ROW()-1,"00000"))</f>
        <v/>
      </c>
      <c r="B4054" s="3">
        <f>IF(D4054="","",IF(V4054=0,"CONCLUÍDO",IF(D4054&lt;corte,"HISTÓRICO",IF(OR(AND(ISNUMBER(R4054),R4054&lt;TODAY()),AND(OR(N4054="PENDENTE",N4054="PARCIAL"),D4054&lt;TODAY()-1)),"CRÍTICO",IF(OR(AND(P4054&lt;&gt;"",S4054=""),AND(N4054="REALIZADO",M4054="PENDENTE"),AND(ISNUMBER(R4054),R4054=TODAY())),"ATENÇÃO",IF(N(K4054)=0,"PENDENTE","EM ANDAMENTO"))))))</f>
        <v/>
      </c>
      <c r="C4054" s="3">
        <f>IF(D4054="","",IF(V4054=0,"🟢 OK",IF(D4054&lt;corte,"⚪ HISTÓRICO (sem baixa)",IF(AND(ISNUMBER(R4054),R4054&lt;TODAY()),"🔴 PRAZO VENCIDO",IF(AND(OR(N4054="PENDENTE",N4054="PARCIAL"),D4054&lt;TODAY()-1),"🔴 EMBARQUE ATRASADO",IF(AND(N4054="REALIZADO",M4054="PENDENTE"),"🟡 EMBARCADO SEM FATURAR",IF(AND(P4054&lt;&gt;"",S4054="",OR(Q4054="",R4054="")),"🟡 PENDÊNCIA SEM RESPONSÁVEL/PRAZO",IF(AND(ISNUMBER(R4054),R4054=TODAY()),"🟡 VENCE HOJE",IF(AND(P4054&lt;&gt;"",S4054=""),"🟡 PENDÊNCIA ABERTA",IF(AND(N(J4054)&gt;0,N(K4054)&lt;J4054),"🟡 FALTA EXECUTAR",IF(OR(M4054="PENDENTE",M4054="PARCIAL"),"🟡 FATURAMENTO PENDENTE","🟡 EMBARQUE PENDENTE")))))))))))</f>
        <v/>
      </c>
      <c r="D4054" s="4" t="n"/>
      <c r="E4054" s="5" t="n"/>
      <c r="F4054" s="5" t="n"/>
      <c r="G4054" s="5" t="n"/>
      <c r="H4054" s="5" t="n"/>
      <c r="I4054" s="5" t="n"/>
      <c r="J4054" s="6" t="n"/>
      <c r="K4054" s="6" t="n"/>
      <c r="L4054" s="7">
        <f>IF(OR(D4054="",N(J4054)=0),"",MIN(1,N(K4054)/J4054))</f>
        <v/>
      </c>
      <c r="M4054" s="5" t="n"/>
      <c r="N4054" s="5" t="n"/>
      <c r="O4054" s="5" t="n"/>
      <c r="P4054" s="5" t="n"/>
      <c r="Q4054" s="5" t="n"/>
      <c r="R4054" s="4" t="n"/>
      <c r="S4054" s="4" t="n"/>
      <c r="T4054" s="5" t="n"/>
      <c r="U4054" s="8">
        <f>IF(AND(V4054=1,D4054&lt;&gt;""),IF(D4054&gt;=corte,TODAY()-D4054,""),"")</f>
        <v/>
      </c>
      <c r="V4054" s="8">
        <f>IF(D4054="",0,IF(OR(AND(P4054&lt;&gt;"",S4054=""),AND(N(J4054)&gt;0,N(K4054)&lt;J4054),OR(M4054="PENDENTE",M4054="PARCIAL"),OR(N4054="PENDENTE",N4054="PARCIAL")),1,0))</f>
        <v/>
      </c>
      <c r="W4054" s="8">
        <f>IF(AND(V4054=1,D4054&lt;&gt;""),IF(D4054&gt;=corte,(B4054="CRÍTICO")*1E9+(100000-D4054)*10000+10000-ROW(),""),"")</f>
        <v/>
      </c>
      <c r="X4054" s="8">
        <f>IF(AND(V4054=1,D4054=pas_data,E4054=pas_turno),10000-ROW(),"")</f>
        <v/>
      </c>
    </row>
    <row r="4055">
      <c r="A4055" s="3">
        <f>IF(D4055="","","TT-"&amp;TEXT(ROW()-1,"00000"))</f>
        <v/>
      </c>
      <c r="B4055" s="3">
        <f>IF(D4055="","",IF(V4055=0,"CONCLUÍDO",IF(D4055&lt;corte,"HISTÓRICO",IF(OR(AND(ISNUMBER(R4055),R4055&lt;TODAY()),AND(OR(N4055="PENDENTE",N4055="PARCIAL"),D4055&lt;TODAY()-1)),"CRÍTICO",IF(OR(AND(P4055&lt;&gt;"",S4055=""),AND(N4055="REALIZADO",M4055="PENDENTE"),AND(ISNUMBER(R4055),R4055=TODAY())),"ATENÇÃO",IF(N(K4055)=0,"PENDENTE","EM ANDAMENTO"))))))</f>
        <v/>
      </c>
      <c r="C4055" s="3">
        <f>IF(D4055="","",IF(V4055=0,"🟢 OK",IF(D4055&lt;corte,"⚪ HISTÓRICO (sem baixa)",IF(AND(ISNUMBER(R4055),R4055&lt;TODAY()),"🔴 PRAZO VENCIDO",IF(AND(OR(N4055="PENDENTE",N4055="PARCIAL"),D4055&lt;TODAY()-1),"🔴 EMBARQUE ATRASADO",IF(AND(N4055="REALIZADO",M4055="PENDENTE"),"🟡 EMBARCADO SEM FATURAR",IF(AND(P4055&lt;&gt;"",S4055="",OR(Q4055="",R4055="")),"🟡 PENDÊNCIA SEM RESPONSÁVEL/PRAZO",IF(AND(ISNUMBER(R4055),R4055=TODAY()),"🟡 VENCE HOJE",IF(AND(P4055&lt;&gt;"",S4055=""),"🟡 PENDÊNCIA ABERTA",IF(AND(N(J4055)&gt;0,N(K4055)&lt;J4055),"🟡 FALTA EXECUTAR",IF(OR(M4055="PENDENTE",M4055="PARCIAL"),"🟡 FATURAMENTO PENDENTE","🟡 EMBARQUE PENDENTE")))))))))))</f>
        <v/>
      </c>
      <c r="D4055" s="4" t="n"/>
      <c r="E4055" s="5" t="n"/>
      <c r="F4055" s="5" t="n"/>
      <c r="G4055" s="5" t="n"/>
      <c r="H4055" s="5" t="n"/>
      <c r="I4055" s="5" t="n"/>
      <c r="J4055" s="6" t="n"/>
      <c r="K4055" s="6" t="n"/>
      <c r="L4055" s="7">
        <f>IF(OR(D4055="",N(J4055)=0),"",MIN(1,N(K4055)/J4055))</f>
        <v/>
      </c>
      <c r="M4055" s="5" t="n"/>
      <c r="N4055" s="5" t="n"/>
      <c r="O4055" s="5" t="n"/>
      <c r="P4055" s="5" t="n"/>
      <c r="Q4055" s="5" t="n"/>
      <c r="R4055" s="4" t="n"/>
      <c r="S4055" s="4" t="n"/>
      <c r="T4055" s="5" t="n"/>
      <c r="U4055" s="8">
        <f>IF(AND(V4055=1,D4055&lt;&gt;""),IF(D4055&gt;=corte,TODAY()-D4055,""),"")</f>
        <v/>
      </c>
      <c r="V4055" s="8">
        <f>IF(D4055="",0,IF(OR(AND(P4055&lt;&gt;"",S4055=""),AND(N(J4055)&gt;0,N(K4055)&lt;J4055),OR(M4055="PENDENTE",M4055="PARCIAL"),OR(N4055="PENDENTE",N4055="PARCIAL")),1,0))</f>
        <v/>
      </c>
      <c r="W4055" s="8">
        <f>IF(AND(V4055=1,D4055&lt;&gt;""),IF(D4055&gt;=corte,(B4055="CRÍTICO")*1E9+(100000-D4055)*10000+10000-ROW(),""),"")</f>
        <v/>
      </c>
      <c r="X4055" s="8">
        <f>IF(AND(V4055=1,D4055=pas_data,E4055=pas_turno),10000-ROW(),"")</f>
        <v/>
      </c>
    </row>
    <row r="4056">
      <c r="A4056" s="3">
        <f>IF(D4056="","","TT-"&amp;TEXT(ROW()-1,"00000"))</f>
        <v/>
      </c>
      <c r="B4056" s="3">
        <f>IF(D4056="","",IF(V4056=0,"CONCLUÍDO",IF(D4056&lt;corte,"HISTÓRICO",IF(OR(AND(ISNUMBER(R4056),R4056&lt;TODAY()),AND(OR(N4056="PENDENTE",N4056="PARCIAL"),D4056&lt;TODAY()-1)),"CRÍTICO",IF(OR(AND(P4056&lt;&gt;"",S4056=""),AND(N4056="REALIZADO",M4056="PENDENTE"),AND(ISNUMBER(R4056),R4056=TODAY())),"ATENÇÃO",IF(N(K4056)=0,"PENDENTE","EM ANDAMENTO"))))))</f>
        <v/>
      </c>
      <c r="C4056" s="3">
        <f>IF(D4056="","",IF(V4056=0,"🟢 OK",IF(D4056&lt;corte,"⚪ HISTÓRICO (sem baixa)",IF(AND(ISNUMBER(R4056),R4056&lt;TODAY()),"🔴 PRAZO VENCIDO",IF(AND(OR(N4056="PENDENTE",N4056="PARCIAL"),D4056&lt;TODAY()-1),"🔴 EMBARQUE ATRASADO",IF(AND(N4056="REALIZADO",M4056="PENDENTE"),"🟡 EMBARCADO SEM FATURAR",IF(AND(P4056&lt;&gt;"",S4056="",OR(Q4056="",R4056="")),"🟡 PENDÊNCIA SEM RESPONSÁVEL/PRAZO",IF(AND(ISNUMBER(R4056),R4056=TODAY()),"🟡 VENCE HOJE",IF(AND(P4056&lt;&gt;"",S4056=""),"🟡 PENDÊNCIA ABERTA",IF(AND(N(J4056)&gt;0,N(K4056)&lt;J4056),"🟡 FALTA EXECUTAR",IF(OR(M4056="PENDENTE",M4056="PARCIAL"),"🟡 FATURAMENTO PENDENTE","🟡 EMBARQUE PENDENTE")))))))))))</f>
        <v/>
      </c>
      <c r="D4056" s="4" t="n"/>
      <c r="E4056" s="5" t="n"/>
      <c r="F4056" s="5" t="n"/>
      <c r="G4056" s="5" t="n"/>
      <c r="H4056" s="5" t="n"/>
      <c r="I4056" s="5" t="n"/>
      <c r="J4056" s="6" t="n"/>
      <c r="K4056" s="6" t="n"/>
      <c r="L4056" s="7">
        <f>IF(OR(D4056="",N(J4056)=0),"",MIN(1,N(K4056)/J4056))</f>
        <v/>
      </c>
      <c r="M4056" s="5" t="n"/>
      <c r="N4056" s="5" t="n"/>
      <c r="O4056" s="5" t="n"/>
      <c r="P4056" s="5" t="n"/>
      <c r="Q4056" s="5" t="n"/>
      <c r="R4056" s="4" t="n"/>
      <c r="S4056" s="4" t="n"/>
      <c r="T4056" s="5" t="n"/>
      <c r="U4056" s="8">
        <f>IF(AND(V4056=1,D4056&lt;&gt;""),IF(D4056&gt;=corte,TODAY()-D4056,""),"")</f>
        <v/>
      </c>
      <c r="V4056" s="8">
        <f>IF(D4056="",0,IF(OR(AND(P4056&lt;&gt;"",S4056=""),AND(N(J4056)&gt;0,N(K4056)&lt;J4056),OR(M4056="PENDENTE",M4056="PARCIAL"),OR(N4056="PENDENTE",N4056="PARCIAL")),1,0))</f>
        <v/>
      </c>
      <c r="W4056" s="8">
        <f>IF(AND(V4056=1,D4056&lt;&gt;""),IF(D4056&gt;=corte,(B4056="CRÍTICO")*1E9+(100000-D4056)*10000+10000-ROW(),""),"")</f>
        <v/>
      </c>
      <c r="X4056" s="8">
        <f>IF(AND(V4056=1,D4056=pas_data,E4056=pas_turno),10000-ROW(),"")</f>
        <v/>
      </c>
    </row>
    <row r="4057">
      <c r="A4057" s="3">
        <f>IF(D4057="","","TT-"&amp;TEXT(ROW()-1,"00000"))</f>
        <v/>
      </c>
      <c r="B4057" s="3">
        <f>IF(D4057="","",IF(V4057=0,"CONCLUÍDO",IF(D4057&lt;corte,"HISTÓRICO",IF(OR(AND(ISNUMBER(R4057),R4057&lt;TODAY()),AND(OR(N4057="PENDENTE",N4057="PARCIAL"),D4057&lt;TODAY()-1)),"CRÍTICO",IF(OR(AND(P4057&lt;&gt;"",S4057=""),AND(N4057="REALIZADO",M4057="PENDENTE"),AND(ISNUMBER(R4057),R4057=TODAY())),"ATENÇÃO",IF(N(K4057)=0,"PENDENTE","EM ANDAMENTO"))))))</f>
        <v/>
      </c>
      <c r="C4057" s="3">
        <f>IF(D4057="","",IF(V4057=0,"🟢 OK",IF(D4057&lt;corte,"⚪ HISTÓRICO (sem baixa)",IF(AND(ISNUMBER(R4057),R4057&lt;TODAY()),"🔴 PRAZO VENCIDO",IF(AND(OR(N4057="PENDENTE",N4057="PARCIAL"),D4057&lt;TODAY()-1),"🔴 EMBARQUE ATRASADO",IF(AND(N4057="REALIZADO",M4057="PENDENTE"),"🟡 EMBARCADO SEM FATURAR",IF(AND(P4057&lt;&gt;"",S4057="",OR(Q4057="",R4057="")),"🟡 PENDÊNCIA SEM RESPONSÁVEL/PRAZO",IF(AND(ISNUMBER(R4057),R4057=TODAY()),"🟡 VENCE HOJE",IF(AND(P4057&lt;&gt;"",S4057=""),"🟡 PENDÊNCIA ABERTA",IF(AND(N(J4057)&gt;0,N(K4057)&lt;J4057),"🟡 FALTA EXECUTAR",IF(OR(M4057="PENDENTE",M4057="PARCIAL"),"🟡 FATURAMENTO PENDENTE","🟡 EMBARQUE PENDENTE")))))))))))</f>
        <v/>
      </c>
      <c r="D4057" s="4" t="n"/>
      <c r="E4057" s="5" t="n"/>
      <c r="F4057" s="5" t="n"/>
      <c r="G4057" s="5" t="n"/>
      <c r="H4057" s="5" t="n"/>
      <c r="I4057" s="5" t="n"/>
      <c r="J4057" s="6" t="n"/>
      <c r="K4057" s="6" t="n"/>
      <c r="L4057" s="7">
        <f>IF(OR(D4057="",N(J4057)=0),"",MIN(1,N(K4057)/J4057))</f>
        <v/>
      </c>
      <c r="M4057" s="5" t="n"/>
      <c r="N4057" s="5" t="n"/>
      <c r="O4057" s="5" t="n"/>
      <c r="P4057" s="5" t="n"/>
      <c r="Q4057" s="5" t="n"/>
      <c r="R4057" s="4" t="n"/>
      <c r="S4057" s="4" t="n"/>
      <c r="T4057" s="5" t="n"/>
      <c r="U4057" s="8">
        <f>IF(AND(V4057=1,D4057&lt;&gt;""),IF(D4057&gt;=corte,TODAY()-D4057,""),"")</f>
        <v/>
      </c>
      <c r="V4057" s="8">
        <f>IF(D4057="",0,IF(OR(AND(P4057&lt;&gt;"",S4057=""),AND(N(J4057)&gt;0,N(K4057)&lt;J4057),OR(M4057="PENDENTE",M4057="PARCIAL"),OR(N4057="PENDENTE",N4057="PARCIAL")),1,0))</f>
        <v/>
      </c>
      <c r="W4057" s="8">
        <f>IF(AND(V4057=1,D4057&lt;&gt;""),IF(D4057&gt;=corte,(B4057="CRÍTICO")*1E9+(100000-D4057)*10000+10000-ROW(),""),"")</f>
        <v/>
      </c>
      <c r="X4057" s="8">
        <f>IF(AND(V4057=1,D4057=pas_data,E4057=pas_turno),10000-ROW(),"")</f>
        <v/>
      </c>
    </row>
    <row r="4058">
      <c r="A4058" s="3">
        <f>IF(D4058="","","TT-"&amp;TEXT(ROW()-1,"00000"))</f>
        <v/>
      </c>
      <c r="B4058" s="3">
        <f>IF(D4058="","",IF(V4058=0,"CONCLUÍDO",IF(D4058&lt;corte,"HISTÓRICO",IF(OR(AND(ISNUMBER(R4058),R4058&lt;TODAY()),AND(OR(N4058="PENDENTE",N4058="PARCIAL"),D4058&lt;TODAY()-1)),"CRÍTICO",IF(OR(AND(P4058&lt;&gt;"",S4058=""),AND(N4058="REALIZADO",M4058="PENDENTE"),AND(ISNUMBER(R4058),R4058=TODAY())),"ATENÇÃO",IF(N(K4058)=0,"PENDENTE","EM ANDAMENTO"))))))</f>
        <v/>
      </c>
      <c r="C4058" s="3">
        <f>IF(D4058="","",IF(V4058=0,"🟢 OK",IF(D4058&lt;corte,"⚪ HISTÓRICO (sem baixa)",IF(AND(ISNUMBER(R4058),R4058&lt;TODAY()),"🔴 PRAZO VENCIDO",IF(AND(OR(N4058="PENDENTE",N4058="PARCIAL"),D4058&lt;TODAY()-1),"🔴 EMBARQUE ATRASADO",IF(AND(N4058="REALIZADO",M4058="PENDENTE"),"🟡 EMBARCADO SEM FATURAR",IF(AND(P4058&lt;&gt;"",S4058="",OR(Q4058="",R4058="")),"🟡 PENDÊNCIA SEM RESPONSÁVEL/PRAZO",IF(AND(ISNUMBER(R4058),R4058=TODAY()),"🟡 VENCE HOJE",IF(AND(P4058&lt;&gt;"",S4058=""),"🟡 PENDÊNCIA ABERTA",IF(AND(N(J4058)&gt;0,N(K4058)&lt;J4058),"🟡 FALTA EXECUTAR",IF(OR(M4058="PENDENTE",M4058="PARCIAL"),"🟡 FATURAMENTO PENDENTE","🟡 EMBARQUE PENDENTE")))))))))))</f>
        <v/>
      </c>
      <c r="D4058" s="4" t="n"/>
      <c r="E4058" s="5" t="n"/>
      <c r="F4058" s="5" t="n"/>
      <c r="G4058" s="5" t="n"/>
      <c r="H4058" s="5" t="n"/>
      <c r="I4058" s="5" t="n"/>
      <c r="J4058" s="6" t="n"/>
      <c r="K4058" s="6" t="n"/>
      <c r="L4058" s="7">
        <f>IF(OR(D4058="",N(J4058)=0),"",MIN(1,N(K4058)/J4058))</f>
        <v/>
      </c>
      <c r="M4058" s="5" t="n"/>
      <c r="N4058" s="5" t="n"/>
      <c r="O4058" s="5" t="n"/>
      <c r="P4058" s="5" t="n"/>
      <c r="Q4058" s="5" t="n"/>
      <c r="R4058" s="4" t="n"/>
      <c r="S4058" s="4" t="n"/>
      <c r="T4058" s="5" t="n"/>
      <c r="U4058" s="8">
        <f>IF(AND(V4058=1,D4058&lt;&gt;""),IF(D4058&gt;=corte,TODAY()-D4058,""),"")</f>
        <v/>
      </c>
      <c r="V4058" s="8">
        <f>IF(D4058="",0,IF(OR(AND(P4058&lt;&gt;"",S4058=""),AND(N(J4058)&gt;0,N(K4058)&lt;J4058),OR(M4058="PENDENTE",M4058="PARCIAL"),OR(N4058="PENDENTE",N4058="PARCIAL")),1,0))</f>
        <v/>
      </c>
      <c r="W4058" s="8">
        <f>IF(AND(V4058=1,D4058&lt;&gt;""),IF(D4058&gt;=corte,(B4058="CRÍTICO")*1E9+(100000-D4058)*10000+10000-ROW(),""),"")</f>
        <v/>
      </c>
      <c r="X4058" s="8">
        <f>IF(AND(V4058=1,D4058=pas_data,E4058=pas_turno),10000-ROW(),"")</f>
        <v/>
      </c>
    </row>
    <row r="4059">
      <c r="A4059" s="3">
        <f>IF(D4059="","","TT-"&amp;TEXT(ROW()-1,"00000"))</f>
        <v/>
      </c>
      <c r="B4059" s="3">
        <f>IF(D4059="","",IF(V4059=0,"CONCLUÍDO",IF(D4059&lt;corte,"HISTÓRICO",IF(OR(AND(ISNUMBER(R4059),R4059&lt;TODAY()),AND(OR(N4059="PENDENTE",N4059="PARCIAL"),D4059&lt;TODAY()-1)),"CRÍTICO",IF(OR(AND(P4059&lt;&gt;"",S4059=""),AND(N4059="REALIZADO",M4059="PENDENTE"),AND(ISNUMBER(R4059),R4059=TODAY())),"ATENÇÃO",IF(N(K4059)=0,"PENDENTE","EM ANDAMENTO"))))))</f>
        <v/>
      </c>
      <c r="C4059" s="3">
        <f>IF(D4059="","",IF(V4059=0,"🟢 OK",IF(D4059&lt;corte,"⚪ HISTÓRICO (sem baixa)",IF(AND(ISNUMBER(R4059),R4059&lt;TODAY()),"🔴 PRAZO VENCIDO",IF(AND(OR(N4059="PENDENTE",N4059="PARCIAL"),D4059&lt;TODAY()-1),"🔴 EMBARQUE ATRASADO",IF(AND(N4059="REALIZADO",M4059="PENDENTE"),"🟡 EMBARCADO SEM FATURAR",IF(AND(P4059&lt;&gt;"",S4059="",OR(Q4059="",R4059="")),"🟡 PENDÊNCIA SEM RESPONSÁVEL/PRAZO",IF(AND(ISNUMBER(R4059),R4059=TODAY()),"🟡 VENCE HOJE",IF(AND(P4059&lt;&gt;"",S4059=""),"🟡 PENDÊNCIA ABERTA",IF(AND(N(J4059)&gt;0,N(K4059)&lt;J4059),"🟡 FALTA EXECUTAR",IF(OR(M4059="PENDENTE",M4059="PARCIAL"),"🟡 FATURAMENTO PENDENTE","🟡 EMBARQUE PENDENTE")))))))))))</f>
        <v/>
      </c>
      <c r="D4059" s="4" t="n"/>
      <c r="E4059" s="5" t="n"/>
      <c r="F4059" s="5" t="n"/>
      <c r="G4059" s="5" t="n"/>
      <c r="H4059" s="5" t="n"/>
      <c r="I4059" s="5" t="n"/>
      <c r="J4059" s="6" t="n"/>
      <c r="K4059" s="6" t="n"/>
      <c r="L4059" s="7">
        <f>IF(OR(D4059="",N(J4059)=0),"",MIN(1,N(K4059)/J4059))</f>
        <v/>
      </c>
      <c r="M4059" s="5" t="n"/>
      <c r="N4059" s="5" t="n"/>
      <c r="O4059" s="5" t="n"/>
      <c r="P4059" s="5" t="n"/>
      <c r="Q4059" s="5" t="n"/>
      <c r="R4059" s="4" t="n"/>
      <c r="S4059" s="4" t="n"/>
      <c r="T4059" s="5" t="n"/>
      <c r="U4059" s="8">
        <f>IF(AND(V4059=1,D4059&lt;&gt;""),IF(D4059&gt;=corte,TODAY()-D4059,""),"")</f>
        <v/>
      </c>
      <c r="V4059" s="8">
        <f>IF(D4059="",0,IF(OR(AND(P4059&lt;&gt;"",S4059=""),AND(N(J4059)&gt;0,N(K4059)&lt;J4059),OR(M4059="PENDENTE",M4059="PARCIAL"),OR(N4059="PENDENTE",N4059="PARCIAL")),1,0))</f>
        <v/>
      </c>
      <c r="W4059" s="8">
        <f>IF(AND(V4059=1,D4059&lt;&gt;""),IF(D4059&gt;=corte,(B4059="CRÍTICO")*1E9+(100000-D4059)*10000+10000-ROW(),""),"")</f>
        <v/>
      </c>
      <c r="X4059" s="8">
        <f>IF(AND(V4059=1,D4059=pas_data,E4059=pas_turno),10000-ROW(),"")</f>
        <v/>
      </c>
    </row>
    <row r="4060">
      <c r="A4060" s="3">
        <f>IF(D4060="","","TT-"&amp;TEXT(ROW()-1,"00000"))</f>
        <v/>
      </c>
      <c r="B4060" s="3">
        <f>IF(D4060="","",IF(V4060=0,"CONCLUÍDO",IF(D4060&lt;corte,"HISTÓRICO",IF(OR(AND(ISNUMBER(R4060),R4060&lt;TODAY()),AND(OR(N4060="PENDENTE",N4060="PARCIAL"),D4060&lt;TODAY()-1)),"CRÍTICO",IF(OR(AND(P4060&lt;&gt;"",S4060=""),AND(N4060="REALIZADO",M4060="PENDENTE"),AND(ISNUMBER(R4060),R4060=TODAY())),"ATENÇÃO",IF(N(K4060)=0,"PENDENTE","EM ANDAMENTO"))))))</f>
        <v/>
      </c>
      <c r="C4060" s="3">
        <f>IF(D4060="","",IF(V4060=0,"🟢 OK",IF(D4060&lt;corte,"⚪ HISTÓRICO (sem baixa)",IF(AND(ISNUMBER(R4060),R4060&lt;TODAY()),"🔴 PRAZO VENCIDO",IF(AND(OR(N4060="PENDENTE",N4060="PARCIAL"),D4060&lt;TODAY()-1),"🔴 EMBARQUE ATRASADO",IF(AND(N4060="REALIZADO",M4060="PENDENTE"),"🟡 EMBARCADO SEM FATURAR",IF(AND(P4060&lt;&gt;"",S4060="",OR(Q4060="",R4060="")),"🟡 PENDÊNCIA SEM RESPONSÁVEL/PRAZO",IF(AND(ISNUMBER(R4060),R4060=TODAY()),"🟡 VENCE HOJE",IF(AND(P4060&lt;&gt;"",S4060=""),"🟡 PENDÊNCIA ABERTA",IF(AND(N(J4060)&gt;0,N(K4060)&lt;J4060),"🟡 FALTA EXECUTAR",IF(OR(M4060="PENDENTE",M4060="PARCIAL"),"🟡 FATURAMENTO PENDENTE","🟡 EMBARQUE PENDENTE")))))))))))</f>
        <v/>
      </c>
      <c r="D4060" s="4" t="n"/>
      <c r="E4060" s="5" t="n"/>
      <c r="F4060" s="5" t="n"/>
      <c r="G4060" s="5" t="n"/>
      <c r="H4060" s="5" t="n"/>
      <c r="I4060" s="5" t="n"/>
      <c r="J4060" s="6" t="n"/>
      <c r="K4060" s="6" t="n"/>
      <c r="L4060" s="7">
        <f>IF(OR(D4060="",N(J4060)=0),"",MIN(1,N(K4060)/J4060))</f>
        <v/>
      </c>
      <c r="M4060" s="5" t="n"/>
      <c r="N4060" s="5" t="n"/>
      <c r="O4060" s="5" t="n"/>
      <c r="P4060" s="5" t="n"/>
      <c r="Q4060" s="5" t="n"/>
      <c r="R4060" s="4" t="n"/>
      <c r="S4060" s="4" t="n"/>
      <c r="T4060" s="5" t="n"/>
      <c r="U4060" s="8">
        <f>IF(AND(V4060=1,D4060&lt;&gt;""),IF(D4060&gt;=corte,TODAY()-D4060,""),"")</f>
        <v/>
      </c>
      <c r="V4060" s="8">
        <f>IF(D4060="",0,IF(OR(AND(P4060&lt;&gt;"",S4060=""),AND(N(J4060)&gt;0,N(K4060)&lt;J4060),OR(M4060="PENDENTE",M4060="PARCIAL"),OR(N4060="PENDENTE",N4060="PARCIAL")),1,0))</f>
        <v/>
      </c>
      <c r="W4060" s="8">
        <f>IF(AND(V4060=1,D4060&lt;&gt;""),IF(D4060&gt;=corte,(B4060="CRÍTICO")*1E9+(100000-D4060)*10000+10000-ROW(),""),"")</f>
        <v/>
      </c>
      <c r="X4060" s="8">
        <f>IF(AND(V4060=1,D4060=pas_data,E4060=pas_turno),10000-ROW(),"")</f>
        <v/>
      </c>
    </row>
    <row r="4061">
      <c r="A4061" s="3">
        <f>IF(D4061="","","TT-"&amp;TEXT(ROW()-1,"00000"))</f>
        <v/>
      </c>
      <c r="B4061" s="3">
        <f>IF(D4061="","",IF(V4061=0,"CONCLUÍDO",IF(D4061&lt;corte,"HISTÓRICO",IF(OR(AND(ISNUMBER(R4061),R4061&lt;TODAY()),AND(OR(N4061="PENDENTE",N4061="PARCIAL"),D4061&lt;TODAY()-1)),"CRÍTICO",IF(OR(AND(P4061&lt;&gt;"",S4061=""),AND(N4061="REALIZADO",M4061="PENDENTE"),AND(ISNUMBER(R4061),R4061=TODAY())),"ATENÇÃO",IF(N(K4061)=0,"PENDENTE","EM ANDAMENTO"))))))</f>
        <v/>
      </c>
      <c r="C4061" s="3">
        <f>IF(D4061="","",IF(V4061=0,"🟢 OK",IF(D4061&lt;corte,"⚪ HISTÓRICO (sem baixa)",IF(AND(ISNUMBER(R4061),R4061&lt;TODAY()),"🔴 PRAZO VENCIDO",IF(AND(OR(N4061="PENDENTE",N4061="PARCIAL"),D4061&lt;TODAY()-1),"🔴 EMBARQUE ATRASADO",IF(AND(N4061="REALIZADO",M4061="PENDENTE"),"🟡 EMBARCADO SEM FATURAR",IF(AND(P4061&lt;&gt;"",S4061="",OR(Q4061="",R4061="")),"🟡 PENDÊNCIA SEM RESPONSÁVEL/PRAZO",IF(AND(ISNUMBER(R4061),R4061=TODAY()),"🟡 VENCE HOJE",IF(AND(P4061&lt;&gt;"",S4061=""),"🟡 PENDÊNCIA ABERTA",IF(AND(N(J4061)&gt;0,N(K4061)&lt;J4061),"🟡 FALTA EXECUTAR",IF(OR(M4061="PENDENTE",M4061="PARCIAL"),"🟡 FATURAMENTO PENDENTE","🟡 EMBARQUE PENDENTE")))))))))))</f>
        <v/>
      </c>
      <c r="D4061" s="4" t="n"/>
      <c r="E4061" s="5" t="n"/>
      <c r="F4061" s="5" t="n"/>
      <c r="G4061" s="5" t="n"/>
      <c r="H4061" s="5" t="n"/>
      <c r="I4061" s="5" t="n"/>
      <c r="J4061" s="6" t="n"/>
      <c r="K4061" s="6" t="n"/>
      <c r="L4061" s="7">
        <f>IF(OR(D4061="",N(J4061)=0),"",MIN(1,N(K4061)/J4061))</f>
        <v/>
      </c>
      <c r="M4061" s="5" t="n"/>
      <c r="N4061" s="5" t="n"/>
      <c r="O4061" s="5" t="n"/>
      <c r="P4061" s="5" t="n"/>
      <c r="Q4061" s="5" t="n"/>
      <c r="R4061" s="4" t="n"/>
      <c r="S4061" s="4" t="n"/>
      <c r="T4061" s="5" t="n"/>
      <c r="U4061" s="8">
        <f>IF(AND(V4061=1,D4061&lt;&gt;""),IF(D4061&gt;=corte,TODAY()-D4061,""),"")</f>
        <v/>
      </c>
      <c r="V4061" s="8">
        <f>IF(D4061="",0,IF(OR(AND(P4061&lt;&gt;"",S4061=""),AND(N(J4061)&gt;0,N(K4061)&lt;J4061),OR(M4061="PENDENTE",M4061="PARCIAL"),OR(N4061="PENDENTE",N4061="PARCIAL")),1,0))</f>
        <v/>
      </c>
      <c r="W4061" s="8">
        <f>IF(AND(V4061=1,D4061&lt;&gt;""),IF(D4061&gt;=corte,(B4061="CRÍTICO")*1E9+(100000-D4061)*10000+10000-ROW(),""),"")</f>
        <v/>
      </c>
      <c r="X4061" s="8">
        <f>IF(AND(V4061=1,D4061=pas_data,E4061=pas_turno),10000-ROW(),"")</f>
        <v/>
      </c>
    </row>
    <row r="4062">
      <c r="A4062" s="3">
        <f>IF(D4062="","","TT-"&amp;TEXT(ROW()-1,"00000"))</f>
        <v/>
      </c>
      <c r="B4062" s="3">
        <f>IF(D4062="","",IF(V4062=0,"CONCLUÍDO",IF(D4062&lt;corte,"HISTÓRICO",IF(OR(AND(ISNUMBER(R4062),R4062&lt;TODAY()),AND(OR(N4062="PENDENTE",N4062="PARCIAL"),D4062&lt;TODAY()-1)),"CRÍTICO",IF(OR(AND(P4062&lt;&gt;"",S4062=""),AND(N4062="REALIZADO",M4062="PENDENTE"),AND(ISNUMBER(R4062),R4062=TODAY())),"ATENÇÃO",IF(N(K4062)=0,"PENDENTE","EM ANDAMENTO"))))))</f>
        <v/>
      </c>
      <c r="C4062" s="3">
        <f>IF(D4062="","",IF(V4062=0,"🟢 OK",IF(D4062&lt;corte,"⚪ HISTÓRICO (sem baixa)",IF(AND(ISNUMBER(R4062),R4062&lt;TODAY()),"🔴 PRAZO VENCIDO",IF(AND(OR(N4062="PENDENTE",N4062="PARCIAL"),D4062&lt;TODAY()-1),"🔴 EMBARQUE ATRASADO",IF(AND(N4062="REALIZADO",M4062="PENDENTE"),"🟡 EMBARCADO SEM FATURAR",IF(AND(P4062&lt;&gt;"",S4062="",OR(Q4062="",R4062="")),"🟡 PENDÊNCIA SEM RESPONSÁVEL/PRAZO",IF(AND(ISNUMBER(R4062),R4062=TODAY()),"🟡 VENCE HOJE",IF(AND(P4062&lt;&gt;"",S4062=""),"🟡 PENDÊNCIA ABERTA",IF(AND(N(J4062)&gt;0,N(K4062)&lt;J4062),"🟡 FALTA EXECUTAR",IF(OR(M4062="PENDENTE",M4062="PARCIAL"),"🟡 FATURAMENTO PENDENTE","🟡 EMBARQUE PENDENTE")))))))))))</f>
        <v/>
      </c>
      <c r="D4062" s="4" t="n"/>
      <c r="E4062" s="5" t="n"/>
      <c r="F4062" s="5" t="n"/>
      <c r="G4062" s="5" t="n"/>
      <c r="H4062" s="5" t="n"/>
      <c r="I4062" s="5" t="n"/>
      <c r="J4062" s="6" t="n"/>
      <c r="K4062" s="6" t="n"/>
      <c r="L4062" s="7">
        <f>IF(OR(D4062="",N(J4062)=0),"",MIN(1,N(K4062)/J4062))</f>
        <v/>
      </c>
      <c r="M4062" s="5" t="n"/>
      <c r="N4062" s="5" t="n"/>
      <c r="O4062" s="5" t="n"/>
      <c r="P4062" s="5" t="n"/>
      <c r="Q4062" s="5" t="n"/>
      <c r="R4062" s="4" t="n"/>
      <c r="S4062" s="4" t="n"/>
      <c r="T4062" s="5" t="n"/>
      <c r="U4062" s="8">
        <f>IF(AND(V4062=1,D4062&lt;&gt;""),IF(D4062&gt;=corte,TODAY()-D4062,""),"")</f>
        <v/>
      </c>
      <c r="V4062" s="8">
        <f>IF(D4062="",0,IF(OR(AND(P4062&lt;&gt;"",S4062=""),AND(N(J4062)&gt;0,N(K4062)&lt;J4062),OR(M4062="PENDENTE",M4062="PARCIAL"),OR(N4062="PENDENTE",N4062="PARCIAL")),1,0))</f>
        <v/>
      </c>
      <c r="W4062" s="8">
        <f>IF(AND(V4062=1,D4062&lt;&gt;""),IF(D4062&gt;=corte,(B4062="CRÍTICO")*1E9+(100000-D4062)*10000+10000-ROW(),""),"")</f>
        <v/>
      </c>
      <c r="X4062" s="8">
        <f>IF(AND(V4062=1,D4062=pas_data,E4062=pas_turno),10000-ROW(),"")</f>
        <v/>
      </c>
    </row>
    <row r="4063">
      <c r="A4063" s="3">
        <f>IF(D4063="","","TT-"&amp;TEXT(ROW()-1,"00000"))</f>
        <v/>
      </c>
      <c r="B4063" s="3">
        <f>IF(D4063="","",IF(V4063=0,"CONCLUÍDO",IF(D4063&lt;corte,"HISTÓRICO",IF(OR(AND(ISNUMBER(R4063),R4063&lt;TODAY()),AND(OR(N4063="PENDENTE",N4063="PARCIAL"),D4063&lt;TODAY()-1)),"CRÍTICO",IF(OR(AND(P4063&lt;&gt;"",S4063=""),AND(N4063="REALIZADO",M4063="PENDENTE"),AND(ISNUMBER(R4063),R4063=TODAY())),"ATENÇÃO",IF(N(K4063)=0,"PENDENTE","EM ANDAMENTO"))))))</f>
        <v/>
      </c>
      <c r="C4063" s="3">
        <f>IF(D4063="","",IF(V4063=0,"🟢 OK",IF(D4063&lt;corte,"⚪ HISTÓRICO (sem baixa)",IF(AND(ISNUMBER(R4063),R4063&lt;TODAY()),"🔴 PRAZO VENCIDO",IF(AND(OR(N4063="PENDENTE",N4063="PARCIAL"),D4063&lt;TODAY()-1),"🔴 EMBARQUE ATRASADO",IF(AND(N4063="REALIZADO",M4063="PENDENTE"),"🟡 EMBARCADO SEM FATURAR",IF(AND(P4063&lt;&gt;"",S4063="",OR(Q4063="",R4063="")),"🟡 PENDÊNCIA SEM RESPONSÁVEL/PRAZO",IF(AND(ISNUMBER(R4063),R4063=TODAY()),"🟡 VENCE HOJE",IF(AND(P4063&lt;&gt;"",S4063=""),"🟡 PENDÊNCIA ABERTA",IF(AND(N(J4063)&gt;0,N(K4063)&lt;J4063),"🟡 FALTA EXECUTAR",IF(OR(M4063="PENDENTE",M4063="PARCIAL"),"🟡 FATURAMENTO PENDENTE","🟡 EMBARQUE PENDENTE")))))))))))</f>
        <v/>
      </c>
      <c r="D4063" s="4" t="n"/>
      <c r="E4063" s="5" t="n"/>
      <c r="F4063" s="5" t="n"/>
      <c r="G4063" s="5" t="n"/>
      <c r="H4063" s="5" t="n"/>
      <c r="I4063" s="5" t="n"/>
      <c r="J4063" s="6" t="n"/>
      <c r="K4063" s="6" t="n"/>
      <c r="L4063" s="7">
        <f>IF(OR(D4063="",N(J4063)=0),"",MIN(1,N(K4063)/J4063))</f>
        <v/>
      </c>
      <c r="M4063" s="5" t="n"/>
      <c r="N4063" s="5" t="n"/>
      <c r="O4063" s="5" t="n"/>
      <c r="P4063" s="5" t="n"/>
      <c r="Q4063" s="5" t="n"/>
      <c r="R4063" s="4" t="n"/>
      <c r="S4063" s="4" t="n"/>
      <c r="T4063" s="5" t="n"/>
      <c r="U4063" s="8">
        <f>IF(AND(V4063=1,D4063&lt;&gt;""),IF(D4063&gt;=corte,TODAY()-D4063,""),"")</f>
        <v/>
      </c>
      <c r="V4063" s="8">
        <f>IF(D4063="",0,IF(OR(AND(P4063&lt;&gt;"",S4063=""),AND(N(J4063)&gt;0,N(K4063)&lt;J4063),OR(M4063="PENDENTE",M4063="PARCIAL"),OR(N4063="PENDENTE",N4063="PARCIAL")),1,0))</f>
        <v/>
      </c>
      <c r="W4063" s="8">
        <f>IF(AND(V4063=1,D4063&lt;&gt;""),IF(D4063&gt;=corte,(B4063="CRÍTICO")*1E9+(100000-D4063)*10000+10000-ROW(),""),"")</f>
        <v/>
      </c>
      <c r="X4063" s="8">
        <f>IF(AND(V4063=1,D4063=pas_data,E4063=pas_turno),10000-ROW(),"")</f>
        <v/>
      </c>
    </row>
    <row r="4064">
      <c r="A4064" s="3">
        <f>IF(D4064="","","TT-"&amp;TEXT(ROW()-1,"00000"))</f>
        <v/>
      </c>
      <c r="B4064" s="3">
        <f>IF(D4064="","",IF(V4064=0,"CONCLUÍDO",IF(D4064&lt;corte,"HISTÓRICO",IF(OR(AND(ISNUMBER(R4064),R4064&lt;TODAY()),AND(OR(N4064="PENDENTE",N4064="PARCIAL"),D4064&lt;TODAY()-1)),"CRÍTICO",IF(OR(AND(P4064&lt;&gt;"",S4064=""),AND(N4064="REALIZADO",M4064="PENDENTE"),AND(ISNUMBER(R4064),R4064=TODAY())),"ATENÇÃO",IF(N(K4064)=0,"PENDENTE","EM ANDAMENTO"))))))</f>
        <v/>
      </c>
      <c r="C4064" s="3">
        <f>IF(D4064="","",IF(V4064=0,"🟢 OK",IF(D4064&lt;corte,"⚪ HISTÓRICO (sem baixa)",IF(AND(ISNUMBER(R4064),R4064&lt;TODAY()),"🔴 PRAZO VENCIDO",IF(AND(OR(N4064="PENDENTE",N4064="PARCIAL"),D4064&lt;TODAY()-1),"🔴 EMBARQUE ATRASADO",IF(AND(N4064="REALIZADO",M4064="PENDENTE"),"🟡 EMBARCADO SEM FATURAR",IF(AND(P4064&lt;&gt;"",S4064="",OR(Q4064="",R4064="")),"🟡 PENDÊNCIA SEM RESPONSÁVEL/PRAZO",IF(AND(ISNUMBER(R4064),R4064=TODAY()),"🟡 VENCE HOJE",IF(AND(P4064&lt;&gt;"",S4064=""),"🟡 PENDÊNCIA ABERTA",IF(AND(N(J4064)&gt;0,N(K4064)&lt;J4064),"🟡 FALTA EXECUTAR",IF(OR(M4064="PENDENTE",M4064="PARCIAL"),"🟡 FATURAMENTO PENDENTE","🟡 EMBARQUE PENDENTE")))))))))))</f>
        <v/>
      </c>
      <c r="D4064" s="4" t="n"/>
      <c r="E4064" s="5" t="n"/>
      <c r="F4064" s="5" t="n"/>
      <c r="G4064" s="5" t="n"/>
      <c r="H4064" s="5" t="n"/>
      <c r="I4064" s="5" t="n"/>
      <c r="J4064" s="6" t="n"/>
      <c r="K4064" s="6" t="n"/>
      <c r="L4064" s="7">
        <f>IF(OR(D4064="",N(J4064)=0),"",MIN(1,N(K4064)/J4064))</f>
        <v/>
      </c>
      <c r="M4064" s="5" t="n"/>
      <c r="N4064" s="5" t="n"/>
      <c r="O4064" s="5" t="n"/>
      <c r="P4064" s="5" t="n"/>
      <c r="Q4064" s="5" t="n"/>
      <c r="R4064" s="4" t="n"/>
      <c r="S4064" s="4" t="n"/>
      <c r="T4064" s="5" t="n"/>
      <c r="U4064" s="8">
        <f>IF(AND(V4064=1,D4064&lt;&gt;""),IF(D4064&gt;=corte,TODAY()-D4064,""),"")</f>
        <v/>
      </c>
      <c r="V4064" s="8">
        <f>IF(D4064="",0,IF(OR(AND(P4064&lt;&gt;"",S4064=""),AND(N(J4064)&gt;0,N(K4064)&lt;J4064),OR(M4064="PENDENTE",M4064="PARCIAL"),OR(N4064="PENDENTE",N4064="PARCIAL")),1,0))</f>
        <v/>
      </c>
      <c r="W4064" s="8">
        <f>IF(AND(V4064=1,D4064&lt;&gt;""),IF(D4064&gt;=corte,(B4064="CRÍTICO")*1E9+(100000-D4064)*10000+10000-ROW(),""),"")</f>
        <v/>
      </c>
      <c r="X4064" s="8">
        <f>IF(AND(V4064=1,D4064=pas_data,E4064=pas_turno),10000-ROW(),"")</f>
        <v/>
      </c>
    </row>
    <row r="4065">
      <c r="A4065" s="3">
        <f>IF(D4065="","","TT-"&amp;TEXT(ROW()-1,"00000"))</f>
        <v/>
      </c>
      <c r="B4065" s="3">
        <f>IF(D4065="","",IF(V4065=0,"CONCLUÍDO",IF(D4065&lt;corte,"HISTÓRICO",IF(OR(AND(ISNUMBER(R4065),R4065&lt;TODAY()),AND(OR(N4065="PENDENTE",N4065="PARCIAL"),D4065&lt;TODAY()-1)),"CRÍTICO",IF(OR(AND(P4065&lt;&gt;"",S4065=""),AND(N4065="REALIZADO",M4065="PENDENTE"),AND(ISNUMBER(R4065),R4065=TODAY())),"ATENÇÃO",IF(N(K4065)=0,"PENDENTE","EM ANDAMENTO"))))))</f>
        <v/>
      </c>
      <c r="C4065" s="3">
        <f>IF(D4065="","",IF(V4065=0,"🟢 OK",IF(D4065&lt;corte,"⚪ HISTÓRICO (sem baixa)",IF(AND(ISNUMBER(R4065),R4065&lt;TODAY()),"🔴 PRAZO VENCIDO",IF(AND(OR(N4065="PENDENTE",N4065="PARCIAL"),D4065&lt;TODAY()-1),"🔴 EMBARQUE ATRASADO",IF(AND(N4065="REALIZADO",M4065="PENDENTE"),"🟡 EMBARCADO SEM FATURAR",IF(AND(P4065&lt;&gt;"",S4065="",OR(Q4065="",R4065="")),"🟡 PENDÊNCIA SEM RESPONSÁVEL/PRAZO",IF(AND(ISNUMBER(R4065),R4065=TODAY()),"🟡 VENCE HOJE",IF(AND(P4065&lt;&gt;"",S4065=""),"🟡 PENDÊNCIA ABERTA",IF(AND(N(J4065)&gt;0,N(K4065)&lt;J4065),"🟡 FALTA EXECUTAR",IF(OR(M4065="PENDENTE",M4065="PARCIAL"),"🟡 FATURAMENTO PENDENTE","🟡 EMBARQUE PENDENTE")))))))))))</f>
        <v/>
      </c>
      <c r="D4065" s="4" t="n"/>
      <c r="E4065" s="5" t="n"/>
      <c r="F4065" s="5" t="n"/>
      <c r="G4065" s="5" t="n"/>
      <c r="H4065" s="5" t="n"/>
      <c r="I4065" s="5" t="n"/>
      <c r="J4065" s="6" t="n"/>
      <c r="K4065" s="6" t="n"/>
      <c r="L4065" s="7">
        <f>IF(OR(D4065="",N(J4065)=0),"",MIN(1,N(K4065)/J4065))</f>
        <v/>
      </c>
      <c r="M4065" s="5" t="n"/>
      <c r="N4065" s="5" t="n"/>
      <c r="O4065" s="5" t="n"/>
      <c r="P4065" s="5" t="n"/>
      <c r="Q4065" s="5" t="n"/>
      <c r="R4065" s="4" t="n"/>
      <c r="S4065" s="4" t="n"/>
      <c r="T4065" s="5" t="n"/>
      <c r="U4065" s="8">
        <f>IF(AND(V4065=1,D4065&lt;&gt;""),IF(D4065&gt;=corte,TODAY()-D4065,""),"")</f>
        <v/>
      </c>
      <c r="V4065" s="8">
        <f>IF(D4065="",0,IF(OR(AND(P4065&lt;&gt;"",S4065=""),AND(N(J4065)&gt;0,N(K4065)&lt;J4065),OR(M4065="PENDENTE",M4065="PARCIAL"),OR(N4065="PENDENTE",N4065="PARCIAL")),1,0))</f>
        <v/>
      </c>
      <c r="W4065" s="8">
        <f>IF(AND(V4065=1,D4065&lt;&gt;""),IF(D4065&gt;=corte,(B4065="CRÍTICO")*1E9+(100000-D4065)*10000+10000-ROW(),""),"")</f>
        <v/>
      </c>
      <c r="X4065" s="8">
        <f>IF(AND(V4065=1,D4065=pas_data,E4065=pas_turno),10000-ROW(),"")</f>
        <v/>
      </c>
    </row>
    <row r="4066">
      <c r="A4066" s="3">
        <f>IF(D4066="","","TT-"&amp;TEXT(ROW()-1,"00000"))</f>
        <v/>
      </c>
      <c r="B4066" s="3">
        <f>IF(D4066="","",IF(V4066=0,"CONCLUÍDO",IF(D4066&lt;corte,"HISTÓRICO",IF(OR(AND(ISNUMBER(R4066),R4066&lt;TODAY()),AND(OR(N4066="PENDENTE",N4066="PARCIAL"),D4066&lt;TODAY()-1)),"CRÍTICO",IF(OR(AND(P4066&lt;&gt;"",S4066=""),AND(N4066="REALIZADO",M4066="PENDENTE"),AND(ISNUMBER(R4066),R4066=TODAY())),"ATENÇÃO",IF(N(K4066)=0,"PENDENTE","EM ANDAMENTO"))))))</f>
        <v/>
      </c>
      <c r="C4066" s="3">
        <f>IF(D4066="","",IF(V4066=0,"🟢 OK",IF(D4066&lt;corte,"⚪ HISTÓRICO (sem baixa)",IF(AND(ISNUMBER(R4066),R4066&lt;TODAY()),"🔴 PRAZO VENCIDO",IF(AND(OR(N4066="PENDENTE",N4066="PARCIAL"),D4066&lt;TODAY()-1),"🔴 EMBARQUE ATRASADO",IF(AND(N4066="REALIZADO",M4066="PENDENTE"),"🟡 EMBARCADO SEM FATURAR",IF(AND(P4066&lt;&gt;"",S4066="",OR(Q4066="",R4066="")),"🟡 PENDÊNCIA SEM RESPONSÁVEL/PRAZO",IF(AND(ISNUMBER(R4066),R4066=TODAY()),"🟡 VENCE HOJE",IF(AND(P4066&lt;&gt;"",S4066=""),"🟡 PENDÊNCIA ABERTA",IF(AND(N(J4066)&gt;0,N(K4066)&lt;J4066),"🟡 FALTA EXECUTAR",IF(OR(M4066="PENDENTE",M4066="PARCIAL"),"🟡 FATURAMENTO PENDENTE","🟡 EMBARQUE PENDENTE")))))))))))</f>
        <v/>
      </c>
      <c r="D4066" s="4" t="n"/>
      <c r="E4066" s="5" t="n"/>
      <c r="F4066" s="5" t="n"/>
      <c r="G4066" s="5" t="n"/>
      <c r="H4066" s="5" t="n"/>
      <c r="I4066" s="5" t="n"/>
      <c r="J4066" s="6" t="n"/>
      <c r="K4066" s="6" t="n"/>
      <c r="L4066" s="7">
        <f>IF(OR(D4066="",N(J4066)=0),"",MIN(1,N(K4066)/J4066))</f>
        <v/>
      </c>
      <c r="M4066" s="5" t="n"/>
      <c r="N4066" s="5" t="n"/>
      <c r="O4066" s="5" t="n"/>
      <c r="P4066" s="5" t="n"/>
      <c r="Q4066" s="5" t="n"/>
      <c r="R4066" s="4" t="n"/>
      <c r="S4066" s="4" t="n"/>
      <c r="T4066" s="5" t="n"/>
      <c r="U4066" s="8">
        <f>IF(AND(V4066=1,D4066&lt;&gt;""),IF(D4066&gt;=corte,TODAY()-D4066,""),"")</f>
        <v/>
      </c>
      <c r="V4066" s="8">
        <f>IF(D4066="",0,IF(OR(AND(P4066&lt;&gt;"",S4066=""),AND(N(J4066)&gt;0,N(K4066)&lt;J4066),OR(M4066="PENDENTE",M4066="PARCIAL"),OR(N4066="PENDENTE",N4066="PARCIAL")),1,0))</f>
        <v/>
      </c>
      <c r="W4066" s="8">
        <f>IF(AND(V4066=1,D4066&lt;&gt;""),IF(D4066&gt;=corte,(B4066="CRÍTICO")*1E9+(100000-D4066)*10000+10000-ROW(),""),"")</f>
        <v/>
      </c>
      <c r="X4066" s="8">
        <f>IF(AND(V4066=1,D4066=pas_data,E4066=pas_turno),10000-ROW(),"")</f>
        <v/>
      </c>
    </row>
    <row r="4067">
      <c r="A4067" s="3">
        <f>IF(D4067="","","TT-"&amp;TEXT(ROW()-1,"00000"))</f>
        <v/>
      </c>
      <c r="B4067" s="3">
        <f>IF(D4067="","",IF(V4067=0,"CONCLUÍDO",IF(D4067&lt;corte,"HISTÓRICO",IF(OR(AND(ISNUMBER(R4067),R4067&lt;TODAY()),AND(OR(N4067="PENDENTE",N4067="PARCIAL"),D4067&lt;TODAY()-1)),"CRÍTICO",IF(OR(AND(P4067&lt;&gt;"",S4067=""),AND(N4067="REALIZADO",M4067="PENDENTE"),AND(ISNUMBER(R4067),R4067=TODAY())),"ATENÇÃO",IF(N(K4067)=0,"PENDENTE","EM ANDAMENTO"))))))</f>
        <v/>
      </c>
      <c r="C4067" s="3">
        <f>IF(D4067="","",IF(V4067=0,"🟢 OK",IF(D4067&lt;corte,"⚪ HISTÓRICO (sem baixa)",IF(AND(ISNUMBER(R4067),R4067&lt;TODAY()),"🔴 PRAZO VENCIDO",IF(AND(OR(N4067="PENDENTE",N4067="PARCIAL"),D4067&lt;TODAY()-1),"🔴 EMBARQUE ATRASADO",IF(AND(N4067="REALIZADO",M4067="PENDENTE"),"🟡 EMBARCADO SEM FATURAR",IF(AND(P4067&lt;&gt;"",S4067="",OR(Q4067="",R4067="")),"🟡 PENDÊNCIA SEM RESPONSÁVEL/PRAZO",IF(AND(ISNUMBER(R4067),R4067=TODAY()),"🟡 VENCE HOJE",IF(AND(P4067&lt;&gt;"",S4067=""),"🟡 PENDÊNCIA ABERTA",IF(AND(N(J4067)&gt;0,N(K4067)&lt;J4067),"🟡 FALTA EXECUTAR",IF(OR(M4067="PENDENTE",M4067="PARCIAL"),"🟡 FATURAMENTO PENDENTE","🟡 EMBARQUE PENDENTE")))))))))))</f>
        <v/>
      </c>
      <c r="D4067" s="4" t="n"/>
      <c r="E4067" s="5" t="n"/>
      <c r="F4067" s="5" t="n"/>
      <c r="G4067" s="5" t="n"/>
      <c r="H4067" s="5" t="n"/>
      <c r="I4067" s="5" t="n"/>
      <c r="J4067" s="6" t="n"/>
      <c r="K4067" s="6" t="n"/>
      <c r="L4067" s="7">
        <f>IF(OR(D4067="",N(J4067)=0),"",MIN(1,N(K4067)/J4067))</f>
        <v/>
      </c>
      <c r="M4067" s="5" t="n"/>
      <c r="N4067" s="5" t="n"/>
      <c r="O4067" s="5" t="n"/>
      <c r="P4067" s="5" t="n"/>
      <c r="Q4067" s="5" t="n"/>
      <c r="R4067" s="4" t="n"/>
      <c r="S4067" s="4" t="n"/>
      <c r="T4067" s="5" t="n"/>
      <c r="U4067" s="8">
        <f>IF(AND(V4067=1,D4067&lt;&gt;""),IF(D4067&gt;=corte,TODAY()-D4067,""),"")</f>
        <v/>
      </c>
      <c r="V4067" s="8">
        <f>IF(D4067="",0,IF(OR(AND(P4067&lt;&gt;"",S4067=""),AND(N(J4067)&gt;0,N(K4067)&lt;J4067),OR(M4067="PENDENTE",M4067="PARCIAL"),OR(N4067="PENDENTE",N4067="PARCIAL")),1,0))</f>
        <v/>
      </c>
      <c r="W4067" s="8">
        <f>IF(AND(V4067=1,D4067&lt;&gt;""),IF(D4067&gt;=corte,(B4067="CRÍTICO")*1E9+(100000-D4067)*10000+10000-ROW(),""),"")</f>
        <v/>
      </c>
      <c r="X4067" s="8">
        <f>IF(AND(V4067=1,D4067=pas_data,E4067=pas_turno),10000-ROW(),"")</f>
        <v/>
      </c>
    </row>
    <row r="4068">
      <c r="A4068" s="3">
        <f>IF(D4068="","","TT-"&amp;TEXT(ROW()-1,"00000"))</f>
        <v/>
      </c>
      <c r="B4068" s="3">
        <f>IF(D4068="","",IF(V4068=0,"CONCLUÍDO",IF(D4068&lt;corte,"HISTÓRICO",IF(OR(AND(ISNUMBER(R4068),R4068&lt;TODAY()),AND(OR(N4068="PENDENTE",N4068="PARCIAL"),D4068&lt;TODAY()-1)),"CRÍTICO",IF(OR(AND(P4068&lt;&gt;"",S4068=""),AND(N4068="REALIZADO",M4068="PENDENTE"),AND(ISNUMBER(R4068),R4068=TODAY())),"ATENÇÃO",IF(N(K4068)=0,"PENDENTE","EM ANDAMENTO"))))))</f>
        <v/>
      </c>
      <c r="C4068" s="3">
        <f>IF(D4068="","",IF(V4068=0,"🟢 OK",IF(D4068&lt;corte,"⚪ HISTÓRICO (sem baixa)",IF(AND(ISNUMBER(R4068),R4068&lt;TODAY()),"🔴 PRAZO VENCIDO",IF(AND(OR(N4068="PENDENTE",N4068="PARCIAL"),D4068&lt;TODAY()-1),"🔴 EMBARQUE ATRASADO",IF(AND(N4068="REALIZADO",M4068="PENDENTE"),"🟡 EMBARCADO SEM FATURAR",IF(AND(P4068&lt;&gt;"",S4068="",OR(Q4068="",R4068="")),"🟡 PENDÊNCIA SEM RESPONSÁVEL/PRAZO",IF(AND(ISNUMBER(R4068),R4068=TODAY()),"🟡 VENCE HOJE",IF(AND(P4068&lt;&gt;"",S4068=""),"🟡 PENDÊNCIA ABERTA",IF(AND(N(J4068)&gt;0,N(K4068)&lt;J4068),"🟡 FALTA EXECUTAR",IF(OR(M4068="PENDENTE",M4068="PARCIAL"),"🟡 FATURAMENTO PENDENTE","🟡 EMBARQUE PENDENTE")))))))))))</f>
        <v/>
      </c>
      <c r="D4068" s="4" t="n"/>
      <c r="E4068" s="5" t="n"/>
      <c r="F4068" s="5" t="n"/>
      <c r="G4068" s="5" t="n"/>
      <c r="H4068" s="5" t="n"/>
      <c r="I4068" s="5" t="n"/>
      <c r="J4068" s="6" t="n"/>
      <c r="K4068" s="6" t="n"/>
      <c r="L4068" s="7">
        <f>IF(OR(D4068="",N(J4068)=0),"",MIN(1,N(K4068)/J4068))</f>
        <v/>
      </c>
      <c r="M4068" s="5" t="n"/>
      <c r="N4068" s="5" t="n"/>
      <c r="O4068" s="5" t="n"/>
      <c r="P4068" s="5" t="n"/>
      <c r="Q4068" s="5" t="n"/>
      <c r="R4068" s="4" t="n"/>
      <c r="S4068" s="4" t="n"/>
      <c r="T4068" s="5" t="n"/>
      <c r="U4068" s="8">
        <f>IF(AND(V4068=1,D4068&lt;&gt;""),IF(D4068&gt;=corte,TODAY()-D4068,""),"")</f>
        <v/>
      </c>
      <c r="V4068" s="8">
        <f>IF(D4068="",0,IF(OR(AND(P4068&lt;&gt;"",S4068=""),AND(N(J4068)&gt;0,N(K4068)&lt;J4068),OR(M4068="PENDENTE",M4068="PARCIAL"),OR(N4068="PENDENTE",N4068="PARCIAL")),1,0))</f>
        <v/>
      </c>
      <c r="W4068" s="8">
        <f>IF(AND(V4068=1,D4068&lt;&gt;""),IF(D4068&gt;=corte,(B4068="CRÍTICO")*1E9+(100000-D4068)*10000+10000-ROW(),""),"")</f>
        <v/>
      </c>
      <c r="X4068" s="8">
        <f>IF(AND(V4068=1,D4068=pas_data,E4068=pas_turno),10000-ROW(),"")</f>
        <v/>
      </c>
    </row>
    <row r="4069">
      <c r="A4069" s="3">
        <f>IF(D4069="","","TT-"&amp;TEXT(ROW()-1,"00000"))</f>
        <v/>
      </c>
      <c r="B4069" s="3">
        <f>IF(D4069="","",IF(V4069=0,"CONCLUÍDO",IF(D4069&lt;corte,"HISTÓRICO",IF(OR(AND(ISNUMBER(R4069),R4069&lt;TODAY()),AND(OR(N4069="PENDENTE",N4069="PARCIAL"),D4069&lt;TODAY()-1)),"CRÍTICO",IF(OR(AND(P4069&lt;&gt;"",S4069=""),AND(N4069="REALIZADO",M4069="PENDENTE"),AND(ISNUMBER(R4069),R4069=TODAY())),"ATENÇÃO",IF(N(K4069)=0,"PENDENTE","EM ANDAMENTO"))))))</f>
        <v/>
      </c>
      <c r="C4069" s="3">
        <f>IF(D4069="","",IF(V4069=0,"🟢 OK",IF(D4069&lt;corte,"⚪ HISTÓRICO (sem baixa)",IF(AND(ISNUMBER(R4069),R4069&lt;TODAY()),"🔴 PRAZO VENCIDO",IF(AND(OR(N4069="PENDENTE",N4069="PARCIAL"),D4069&lt;TODAY()-1),"🔴 EMBARQUE ATRASADO",IF(AND(N4069="REALIZADO",M4069="PENDENTE"),"🟡 EMBARCADO SEM FATURAR",IF(AND(P4069&lt;&gt;"",S4069="",OR(Q4069="",R4069="")),"🟡 PENDÊNCIA SEM RESPONSÁVEL/PRAZO",IF(AND(ISNUMBER(R4069),R4069=TODAY()),"🟡 VENCE HOJE",IF(AND(P4069&lt;&gt;"",S4069=""),"🟡 PENDÊNCIA ABERTA",IF(AND(N(J4069)&gt;0,N(K4069)&lt;J4069),"🟡 FALTA EXECUTAR",IF(OR(M4069="PENDENTE",M4069="PARCIAL"),"🟡 FATURAMENTO PENDENTE","🟡 EMBARQUE PENDENTE")))))))))))</f>
        <v/>
      </c>
      <c r="D4069" s="4" t="n"/>
      <c r="E4069" s="5" t="n"/>
      <c r="F4069" s="5" t="n"/>
      <c r="G4069" s="5" t="n"/>
      <c r="H4069" s="5" t="n"/>
      <c r="I4069" s="5" t="n"/>
      <c r="J4069" s="6" t="n"/>
      <c r="K4069" s="6" t="n"/>
      <c r="L4069" s="7">
        <f>IF(OR(D4069="",N(J4069)=0),"",MIN(1,N(K4069)/J4069))</f>
        <v/>
      </c>
      <c r="M4069" s="5" t="n"/>
      <c r="N4069" s="5" t="n"/>
      <c r="O4069" s="5" t="n"/>
      <c r="P4069" s="5" t="n"/>
      <c r="Q4069" s="5" t="n"/>
      <c r="R4069" s="4" t="n"/>
      <c r="S4069" s="4" t="n"/>
      <c r="T4069" s="5" t="n"/>
      <c r="U4069" s="8">
        <f>IF(AND(V4069=1,D4069&lt;&gt;""),IF(D4069&gt;=corte,TODAY()-D4069,""),"")</f>
        <v/>
      </c>
      <c r="V4069" s="8">
        <f>IF(D4069="",0,IF(OR(AND(P4069&lt;&gt;"",S4069=""),AND(N(J4069)&gt;0,N(K4069)&lt;J4069),OR(M4069="PENDENTE",M4069="PARCIAL"),OR(N4069="PENDENTE",N4069="PARCIAL")),1,0))</f>
        <v/>
      </c>
      <c r="W4069" s="8">
        <f>IF(AND(V4069=1,D4069&lt;&gt;""),IF(D4069&gt;=corte,(B4069="CRÍTICO")*1E9+(100000-D4069)*10000+10000-ROW(),""),"")</f>
        <v/>
      </c>
      <c r="X4069" s="8">
        <f>IF(AND(V4069=1,D4069=pas_data,E4069=pas_turno),10000-ROW(),"")</f>
        <v/>
      </c>
    </row>
    <row r="4070">
      <c r="A4070" s="3">
        <f>IF(D4070="","","TT-"&amp;TEXT(ROW()-1,"00000"))</f>
        <v/>
      </c>
      <c r="B4070" s="3">
        <f>IF(D4070="","",IF(V4070=0,"CONCLUÍDO",IF(D4070&lt;corte,"HISTÓRICO",IF(OR(AND(ISNUMBER(R4070),R4070&lt;TODAY()),AND(OR(N4070="PENDENTE",N4070="PARCIAL"),D4070&lt;TODAY()-1)),"CRÍTICO",IF(OR(AND(P4070&lt;&gt;"",S4070=""),AND(N4070="REALIZADO",M4070="PENDENTE"),AND(ISNUMBER(R4070),R4070=TODAY())),"ATENÇÃO",IF(N(K4070)=0,"PENDENTE","EM ANDAMENTO"))))))</f>
        <v/>
      </c>
      <c r="C4070" s="3">
        <f>IF(D4070="","",IF(V4070=0,"🟢 OK",IF(D4070&lt;corte,"⚪ HISTÓRICO (sem baixa)",IF(AND(ISNUMBER(R4070),R4070&lt;TODAY()),"🔴 PRAZO VENCIDO",IF(AND(OR(N4070="PENDENTE",N4070="PARCIAL"),D4070&lt;TODAY()-1),"🔴 EMBARQUE ATRASADO",IF(AND(N4070="REALIZADO",M4070="PENDENTE"),"🟡 EMBARCADO SEM FATURAR",IF(AND(P4070&lt;&gt;"",S4070="",OR(Q4070="",R4070="")),"🟡 PENDÊNCIA SEM RESPONSÁVEL/PRAZO",IF(AND(ISNUMBER(R4070),R4070=TODAY()),"🟡 VENCE HOJE",IF(AND(P4070&lt;&gt;"",S4070=""),"🟡 PENDÊNCIA ABERTA",IF(AND(N(J4070)&gt;0,N(K4070)&lt;J4070),"🟡 FALTA EXECUTAR",IF(OR(M4070="PENDENTE",M4070="PARCIAL"),"🟡 FATURAMENTO PENDENTE","🟡 EMBARQUE PENDENTE")))))))))))</f>
        <v/>
      </c>
      <c r="D4070" s="4" t="n"/>
      <c r="E4070" s="5" t="n"/>
      <c r="F4070" s="5" t="n"/>
      <c r="G4070" s="5" t="n"/>
      <c r="H4070" s="5" t="n"/>
      <c r="I4070" s="5" t="n"/>
      <c r="J4070" s="6" t="n"/>
      <c r="K4070" s="6" t="n"/>
      <c r="L4070" s="7">
        <f>IF(OR(D4070="",N(J4070)=0),"",MIN(1,N(K4070)/J4070))</f>
        <v/>
      </c>
      <c r="M4070" s="5" t="n"/>
      <c r="N4070" s="5" t="n"/>
      <c r="O4070" s="5" t="n"/>
      <c r="P4070" s="5" t="n"/>
      <c r="Q4070" s="5" t="n"/>
      <c r="R4070" s="4" t="n"/>
      <c r="S4070" s="4" t="n"/>
      <c r="T4070" s="5" t="n"/>
      <c r="U4070" s="8">
        <f>IF(AND(V4070=1,D4070&lt;&gt;""),IF(D4070&gt;=corte,TODAY()-D4070,""),"")</f>
        <v/>
      </c>
      <c r="V4070" s="8">
        <f>IF(D4070="",0,IF(OR(AND(P4070&lt;&gt;"",S4070=""),AND(N(J4070)&gt;0,N(K4070)&lt;J4070),OR(M4070="PENDENTE",M4070="PARCIAL"),OR(N4070="PENDENTE",N4070="PARCIAL")),1,0))</f>
        <v/>
      </c>
      <c r="W4070" s="8">
        <f>IF(AND(V4070=1,D4070&lt;&gt;""),IF(D4070&gt;=corte,(B4070="CRÍTICO")*1E9+(100000-D4070)*10000+10000-ROW(),""),"")</f>
        <v/>
      </c>
      <c r="X4070" s="8">
        <f>IF(AND(V4070=1,D4070=pas_data,E4070=pas_turno),10000-ROW(),"")</f>
        <v/>
      </c>
    </row>
    <row r="4071">
      <c r="A4071" s="3">
        <f>IF(D4071="","","TT-"&amp;TEXT(ROW()-1,"00000"))</f>
        <v/>
      </c>
      <c r="B4071" s="3">
        <f>IF(D4071="","",IF(V4071=0,"CONCLUÍDO",IF(D4071&lt;corte,"HISTÓRICO",IF(OR(AND(ISNUMBER(R4071),R4071&lt;TODAY()),AND(OR(N4071="PENDENTE",N4071="PARCIAL"),D4071&lt;TODAY()-1)),"CRÍTICO",IF(OR(AND(P4071&lt;&gt;"",S4071=""),AND(N4071="REALIZADO",M4071="PENDENTE"),AND(ISNUMBER(R4071),R4071=TODAY())),"ATENÇÃO",IF(N(K4071)=0,"PENDENTE","EM ANDAMENTO"))))))</f>
        <v/>
      </c>
      <c r="C4071" s="3">
        <f>IF(D4071="","",IF(V4071=0,"🟢 OK",IF(D4071&lt;corte,"⚪ HISTÓRICO (sem baixa)",IF(AND(ISNUMBER(R4071),R4071&lt;TODAY()),"🔴 PRAZO VENCIDO",IF(AND(OR(N4071="PENDENTE",N4071="PARCIAL"),D4071&lt;TODAY()-1),"🔴 EMBARQUE ATRASADO",IF(AND(N4071="REALIZADO",M4071="PENDENTE"),"🟡 EMBARCADO SEM FATURAR",IF(AND(P4071&lt;&gt;"",S4071="",OR(Q4071="",R4071="")),"🟡 PENDÊNCIA SEM RESPONSÁVEL/PRAZO",IF(AND(ISNUMBER(R4071),R4071=TODAY()),"🟡 VENCE HOJE",IF(AND(P4071&lt;&gt;"",S4071=""),"🟡 PENDÊNCIA ABERTA",IF(AND(N(J4071)&gt;0,N(K4071)&lt;J4071),"🟡 FALTA EXECUTAR",IF(OR(M4071="PENDENTE",M4071="PARCIAL"),"🟡 FATURAMENTO PENDENTE","🟡 EMBARQUE PENDENTE")))))))))))</f>
        <v/>
      </c>
      <c r="D4071" s="4" t="n"/>
      <c r="E4071" s="5" t="n"/>
      <c r="F4071" s="5" t="n"/>
      <c r="G4071" s="5" t="n"/>
      <c r="H4071" s="5" t="n"/>
      <c r="I4071" s="5" t="n"/>
      <c r="J4071" s="6" t="n"/>
      <c r="K4071" s="6" t="n"/>
      <c r="L4071" s="7">
        <f>IF(OR(D4071="",N(J4071)=0),"",MIN(1,N(K4071)/J4071))</f>
        <v/>
      </c>
      <c r="M4071" s="5" t="n"/>
      <c r="N4071" s="5" t="n"/>
      <c r="O4071" s="5" t="n"/>
      <c r="P4071" s="5" t="n"/>
      <c r="Q4071" s="5" t="n"/>
      <c r="R4071" s="4" t="n"/>
      <c r="S4071" s="4" t="n"/>
      <c r="T4071" s="5" t="n"/>
      <c r="U4071" s="8">
        <f>IF(AND(V4071=1,D4071&lt;&gt;""),IF(D4071&gt;=corte,TODAY()-D4071,""),"")</f>
        <v/>
      </c>
      <c r="V4071" s="8">
        <f>IF(D4071="",0,IF(OR(AND(P4071&lt;&gt;"",S4071=""),AND(N(J4071)&gt;0,N(K4071)&lt;J4071),OR(M4071="PENDENTE",M4071="PARCIAL"),OR(N4071="PENDENTE",N4071="PARCIAL")),1,0))</f>
        <v/>
      </c>
      <c r="W4071" s="8">
        <f>IF(AND(V4071=1,D4071&lt;&gt;""),IF(D4071&gt;=corte,(B4071="CRÍTICO")*1E9+(100000-D4071)*10000+10000-ROW(),""),"")</f>
        <v/>
      </c>
      <c r="X4071" s="8">
        <f>IF(AND(V4071=1,D4071=pas_data,E4071=pas_turno),10000-ROW(),"")</f>
        <v/>
      </c>
    </row>
    <row r="4072">
      <c r="A4072" s="3">
        <f>IF(D4072="","","TT-"&amp;TEXT(ROW()-1,"00000"))</f>
        <v/>
      </c>
      <c r="B4072" s="3">
        <f>IF(D4072="","",IF(V4072=0,"CONCLUÍDO",IF(D4072&lt;corte,"HISTÓRICO",IF(OR(AND(ISNUMBER(R4072),R4072&lt;TODAY()),AND(OR(N4072="PENDENTE",N4072="PARCIAL"),D4072&lt;TODAY()-1)),"CRÍTICO",IF(OR(AND(P4072&lt;&gt;"",S4072=""),AND(N4072="REALIZADO",M4072="PENDENTE"),AND(ISNUMBER(R4072),R4072=TODAY())),"ATENÇÃO",IF(N(K4072)=0,"PENDENTE","EM ANDAMENTO"))))))</f>
        <v/>
      </c>
      <c r="C4072" s="3">
        <f>IF(D4072="","",IF(V4072=0,"🟢 OK",IF(D4072&lt;corte,"⚪ HISTÓRICO (sem baixa)",IF(AND(ISNUMBER(R4072),R4072&lt;TODAY()),"🔴 PRAZO VENCIDO",IF(AND(OR(N4072="PENDENTE",N4072="PARCIAL"),D4072&lt;TODAY()-1),"🔴 EMBARQUE ATRASADO",IF(AND(N4072="REALIZADO",M4072="PENDENTE"),"🟡 EMBARCADO SEM FATURAR",IF(AND(P4072&lt;&gt;"",S4072="",OR(Q4072="",R4072="")),"🟡 PENDÊNCIA SEM RESPONSÁVEL/PRAZO",IF(AND(ISNUMBER(R4072),R4072=TODAY()),"🟡 VENCE HOJE",IF(AND(P4072&lt;&gt;"",S4072=""),"🟡 PENDÊNCIA ABERTA",IF(AND(N(J4072)&gt;0,N(K4072)&lt;J4072),"🟡 FALTA EXECUTAR",IF(OR(M4072="PENDENTE",M4072="PARCIAL"),"🟡 FATURAMENTO PENDENTE","🟡 EMBARQUE PENDENTE")))))))))))</f>
        <v/>
      </c>
      <c r="D4072" s="4" t="n"/>
      <c r="E4072" s="5" t="n"/>
      <c r="F4072" s="5" t="n"/>
      <c r="G4072" s="5" t="n"/>
      <c r="H4072" s="5" t="n"/>
      <c r="I4072" s="5" t="n"/>
      <c r="J4072" s="6" t="n"/>
      <c r="K4072" s="6" t="n"/>
      <c r="L4072" s="7">
        <f>IF(OR(D4072="",N(J4072)=0),"",MIN(1,N(K4072)/J4072))</f>
        <v/>
      </c>
      <c r="M4072" s="5" t="n"/>
      <c r="N4072" s="5" t="n"/>
      <c r="O4072" s="5" t="n"/>
      <c r="P4072" s="5" t="n"/>
      <c r="Q4072" s="5" t="n"/>
      <c r="R4072" s="4" t="n"/>
      <c r="S4072" s="4" t="n"/>
      <c r="T4072" s="5" t="n"/>
      <c r="U4072" s="8">
        <f>IF(AND(V4072=1,D4072&lt;&gt;""),IF(D4072&gt;=corte,TODAY()-D4072,""),"")</f>
        <v/>
      </c>
      <c r="V4072" s="8">
        <f>IF(D4072="",0,IF(OR(AND(P4072&lt;&gt;"",S4072=""),AND(N(J4072)&gt;0,N(K4072)&lt;J4072),OR(M4072="PENDENTE",M4072="PARCIAL"),OR(N4072="PENDENTE",N4072="PARCIAL")),1,0))</f>
        <v/>
      </c>
      <c r="W4072" s="8">
        <f>IF(AND(V4072=1,D4072&lt;&gt;""),IF(D4072&gt;=corte,(B4072="CRÍTICO")*1E9+(100000-D4072)*10000+10000-ROW(),""),"")</f>
        <v/>
      </c>
      <c r="X4072" s="8">
        <f>IF(AND(V4072=1,D4072=pas_data,E4072=pas_turno),10000-ROW(),"")</f>
        <v/>
      </c>
    </row>
    <row r="4073">
      <c r="A4073" s="3">
        <f>IF(D4073="","","TT-"&amp;TEXT(ROW()-1,"00000"))</f>
        <v/>
      </c>
      <c r="B4073" s="3">
        <f>IF(D4073="","",IF(V4073=0,"CONCLUÍDO",IF(D4073&lt;corte,"HISTÓRICO",IF(OR(AND(ISNUMBER(R4073),R4073&lt;TODAY()),AND(OR(N4073="PENDENTE",N4073="PARCIAL"),D4073&lt;TODAY()-1)),"CRÍTICO",IF(OR(AND(P4073&lt;&gt;"",S4073=""),AND(N4073="REALIZADO",M4073="PENDENTE"),AND(ISNUMBER(R4073),R4073=TODAY())),"ATENÇÃO",IF(N(K4073)=0,"PENDENTE","EM ANDAMENTO"))))))</f>
        <v/>
      </c>
      <c r="C4073" s="3">
        <f>IF(D4073="","",IF(V4073=0,"🟢 OK",IF(D4073&lt;corte,"⚪ HISTÓRICO (sem baixa)",IF(AND(ISNUMBER(R4073),R4073&lt;TODAY()),"🔴 PRAZO VENCIDO",IF(AND(OR(N4073="PENDENTE",N4073="PARCIAL"),D4073&lt;TODAY()-1),"🔴 EMBARQUE ATRASADO",IF(AND(N4073="REALIZADO",M4073="PENDENTE"),"🟡 EMBARCADO SEM FATURAR",IF(AND(P4073&lt;&gt;"",S4073="",OR(Q4073="",R4073="")),"🟡 PENDÊNCIA SEM RESPONSÁVEL/PRAZO",IF(AND(ISNUMBER(R4073),R4073=TODAY()),"🟡 VENCE HOJE",IF(AND(P4073&lt;&gt;"",S4073=""),"🟡 PENDÊNCIA ABERTA",IF(AND(N(J4073)&gt;0,N(K4073)&lt;J4073),"🟡 FALTA EXECUTAR",IF(OR(M4073="PENDENTE",M4073="PARCIAL"),"🟡 FATURAMENTO PENDENTE","🟡 EMBARQUE PENDENTE")))))))))))</f>
        <v/>
      </c>
      <c r="D4073" s="4" t="n"/>
      <c r="E4073" s="5" t="n"/>
      <c r="F4073" s="5" t="n"/>
      <c r="G4073" s="5" t="n"/>
      <c r="H4073" s="5" t="n"/>
      <c r="I4073" s="5" t="n"/>
      <c r="J4073" s="6" t="n"/>
      <c r="K4073" s="6" t="n"/>
      <c r="L4073" s="7">
        <f>IF(OR(D4073="",N(J4073)=0),"",MIN(1,N(K4073)/J4073))</f>
        <v/>
      </c>
      <c r="M4073" s="5" t="n"/>
      <c r="N4073" s="5" t="n"/>
      <c r="O4073" s="5" t="n"/>
      <c r="P4073" s="5" t="n"/>
      <c r="Q4073" s="5" t="n"/>
      <c r="R4073" s="4" t="n"/>
      <c r="S4073" s="4" t="n"/>
      <c r="T4073" s="5" t="n"/>
      <c r="U4073" s="8">
        <f>IF(AND(V4073=1,D4073&lt;&gt;""),IF(D4073&gt;=corte,TODAY()-D4073,""),"")</f>
        <v/>
      </c>
      <c r="V4073" s="8">
        <f>IF(D4073="",0,IF(OR(AND(P4073&lt;&gt;"",S4073=""),AND(N(J4073)&gt;0,N(K4073)&lt;J4073),OR(M4073="PENDENTE",M4073="PARCIAL"),OR(N4073="PENDENTE",N4073="PARCIAL")),1,0))</f>
        <v/>
      </c>
      <c r="W4073" s="8">
        <f>IF(AND(V4073=1,D4073&lt;&gt;""),IF(D4073&gt;=corte,(B4073="CRÍTICO")*1E9+(100000-D4073)*10000+10000-ROW(),""),"")</f>
        <v/>
      </c>
      <c r="X4073" s="8">
        <f>IF(AND(V4073=1,D4073=pas_data,E4073=pas_turno),10000-ROW(),"")</f>
        <v/>
      </c>
    </row>
    <row r="4074">
      <c r="A4074" s="3">
        <f>IF(D4074="","","TT-"&amp;TEXT(ROW()-1,"00000"))</f>
        <v/>
      </c>
      <c r="B4074" s="3">
        <f>IF(D4074="","",IF(V4074=0,"CONCLUÍDO",IF(D4074&lt;corte,"HISTÓRICO",IF(OR(AND(ISNUMBER(R4074),R4074&lt;TODAY()),AND(OR(N4074="PENDENTE",N4074="PARCIAL"),D4074&lt;TODAY()-1)),"CRÍTICO",IF(OR(AND(P4074&lt;&gt;"",S4074=""),AND(N4074="REALIZADO",M4074="PENDENTE"),AND(ISNUMBER(R4074),R4074=TODAY())),"ATENÇÃO",IF(N(K4074)=0,"PENDENTE","EM ANDAMENTO"))))))</f>
        <v/>
      </c>
      <c r="C4074" s="3">
        <f>IF(D4074="","",IF(V4074=0,"🟢 OK",IF(D4074&lt;corte,"⚪ HISTÓRICO (sem baixa)",IF(AND(ISNUMBER(R4074),R4074&lt;TODAY()),"🔴 PRAZO VENCIDO",IF(AND(OR(N4074="PENDENTE",N4074="PARCIAL"),D4074&lt;TODAY()-1),"🔴 EMBARQUE ATRASADO",IF(AND(N4074="REALIZADO",M4074="PENDENTE"),"🟡 EMBARCADO SEM FATURAR",IF(AND(P4074&lt;&gt;"",S4074="",OR(Q4074="",R4074="")),"🟡 PENDÊNCIA SEM RESPONSÁVEL/PRAZO",IF(AND(ISNUMBER(R4074),R4074=TODAY()),"🟡 VENCE HOJE",IF(AND(P4074&lt;&gt;"",S4074=""),"🟡 PENDÊNCIA ABERTA",IF(AND(N(J4074)&gt;0,N(K4074)&lt;J4074),"🟡 FALTA EXECUTAR",IF(OR(M4074="PENDENTE",M4074="PARCIAL"),"🟡 FATURAMENTO PENDENTE","🟡 EMBARQUE PENDENTE")))))))))))</f>
        <v/>
      </c>
      <c r="D4074" s="4" t="n"/>
      <c r="E4074" s="5" t="n"/>
      <c r="F4074" s="5" t="n"/>
      <c r="G4074" s="5" t="n"/>
      <c r="H4074" s="5" t="n"/>
      <c r="I4074" s="5" t="n"/>
      <c r="J4074" s="6" t="n"/>
      <c r="K4074" s="6" t="n"/>
      <c r="L4074" s="7">
        <f>IF(OR(D4074="",N(J4074)=0),"",MIN(1,N(K4074)/J4074))</f>
        <v/>
      </c>
      <c r="M4074" s="5" t="n"/>
      <c r="N4074" s="5" t="n"/>
      <c r="O4074" s="5" t="n"/>
      <c r="P4074" s="5" t="n"/>
      <c r="Q4074" s="5" t="n"/>
      <c r="R4074" s="4" t="n"/>
      <c r="S4074" s="4" t="n"/>
      <c r="T4074" s="5" t="n"/>
      <c r="U4074" s="8">
        <f>IF(AND(V4074=1,D4074&lt;&gt;""),IF(D4074&gt;=corte,TODAY()-D4074,""),"")</f>
        <v/>
      </c>
      <c r="V4074" s="8">
        <f>IF(D4074="",0,IF(OR(AND(P4074&lt;&gt;"",S4074=""),AND(N(J4074)&gt;0,N(K4074)&lt;J4074),OR(M4074="PENDENTE",M4074="PARCIAL"),OR(N4074="PENDENTE",N4074="PARCIAL")),1,0))</f>
        <v/>
      </c>
      <c r="W4074" s="8">
        <f>IF(AND(V4074=1,D4074&lt;&gt;""),IF(D4074&gt;=corte,(B4074="CRÍTICO")*1E9+(100000-D4074)*10000+10000-ROW(),""),"")</f>
        <v/>
      </c>
      <c r="X4074" s="8">
        <f>IF(AND(V4074=1,D4074=pas_data,E4074=pas_turno),10000-ROW(),"")</f>
        <v/>
      </c>
    </row>
    <row r="4075">
      <c r="A4075" s="3">
        <f>IF(D4075="","","TT-"&amp;TEXT(ROW()-1,"00000"))</f>
        <v/>
      </c>
      <c r="B4075" s="3">
        <f>IF(D4075="","",IF(V4075=0,"CONCLUÍDO",IF(D4075&lt;corte,"HISTÓRICO",IF(OR(AND(ISNUMBER(R4075),R4075&lt;TODAY()),AND(OR(N4075="PENDENTE",N4075="PARCIAL"),D4075&lt;TODAY()-1)),"CRÍTICO",IF(OR(AND(P4075&lt;&gt;"",S4075=""),AND(N4075="REALIZADO",M4075="PENDENTE"),AND(ISNUMBER(R4075),R4075=TODAY())),"ATENÇÃO",IF(N(K4075)=0,"PENDENTE","EM ANDAMENTO"))))))</f>
        <v/>
      </c>
      <c r="C4075" s="3">
        <f>IF(D4075="","",IF(V4075=0,"🟢 OK",IF(D4075&lt;corte,"⚪ HISTÓRICO (sem baixa)",IF(AND(ISNUMBER(R4075),R4075&lt;TODAY()),"🔴 PRAZO VENCIDO",IF(AND(OR(N4075="PENDENTE",N4075="PARCIAL"),D4075&lt;TODAY()-1),"🔴 EMBARQUE ATRASADO",IF(AND(N4075="REALIZADO",M4075="PENDENTE"),"🟡 EMBARCADO SEM FATURAR",IF(AND(P4075&lt;&gt;"",S4075="",OR(Q4075="",R4075="")),"🟡 PENDÊNCIA SEM RESPONSÁVEL/PRAZO",IF(AND(ISNUMBER(R4075),R4075=TODAY()),"🟡 VENCE HOJE",IF(AND(P4075&lt;&gt;"",S4075=""),"🟡 PENDÊNCIA ABERTA",IF(AND(N(J4075)&gt;0,N(K4075)&lt;J4075),"🟡 FALTA EXECUTAR",IF(OR(M4075="PENDENTE",M4075="PARCIAL"),"🟡 FATURAMENTO PENDENTE","🟡 EMBARQUE PENDENTE")))))))))))</f>
        <v/>
      </c>
      <c r="D4075" s="4" t="n"/>
      <c r="E4075" s="5" t="n"/>
      <c r="F4075" s="5" t="n"/>
      <c r="G4075" s="5" t="n"/>
      <c r="H4075" s="5" t="n"/>
      <c r="I4075" s="5" t="n"/>
      <c r="J4075" s="6" t="n"/>
      <c r="K4075" s="6" t="n"/>
      <c r="L4075" s="7">
        <f>IF(OR(D4075="",N(J4075)=0),"",MIN(1,N(K4075)/J4075))</f>
        <v/>
      </c>
      <c r="M4075" s="5" t="n"/>
      <c r="N4075" s="5" t="n"/>
      <c r="O4075" s="5" t="n"/>
      <c r="P4075" s="5" t="n"/>
      <c r="Q4075" s="5" t="n"/>
      <c r="R4075" s="4" t="n"/>
      <c r="S4075" s="4" t="n"/>
      <c r="T4075" s="5" t="n"/>
      <c r="U4075" s="8">
        <f>IF(AND(V4075=1,D4075&lt;&gt;""),IF(D4075&gt;=corte,TODAY()-D4075,""),"")</f>
        <v/>
      </c>
      <c r="V4075" s="8">
        <f>IF(D4075="",0,IF(OR(AND(P4075&lt;&gt;"",S4075=""),AND(N(J4075)&gt;0,N(K4075)&lt;J4075),OR(M4075="PENDENTE",M4075="PARCIAL"),OR(N4075="PENDENTE",N4075="PARCIAL")),1,0))</f>
        <v/>
      </c>
      <c r="W4075" s="8">
        <f>IF(AND(V4075=1,D4075&lt;&gt;""),IF(D4075&gt;=corte,(B4075="CRÍTICO")*1E9+(100000-D4075)*10000+10000-ROW(),""),"")</f>
        <v/>
      </c>
      <c r="X4075" s="8">
        <f>IF(AND(V4075=1,D4075=pas_data,E4075=pas_turno),10000-ROW(),"")</f>
        <v/>
      </c>
    </row>
    <row r="4076">
      <c r="A4076" s="3">
        <f>IF(D4076="","","TT-"&amp;TEXT(ROW()-1,"00000"))</f>
        <v/>
      </c>
      <c r="B4076" s="3">
        <f>IF(D4076="","",IF(V4076=0,"CONCLUÍDO",IF(D4076&lt;corte,"HISTÓRICO",IF(OR(AND(ISNUMBER(R4076),R4076&lt;TODAY()),AND(OR(N4076="PENDENTE",N4076="PARCIAL"),D4076&lt;TODAY()-1)),"CRÍTICO",IF(OR(AND(P4076&lt;&gt;"",S4076=""),AND(N4076="REALIZADO",M4076="PENDENTE"),AND(ISNUMBER(R4076),R4076=TODAY())),"ATENÇÃO",IF(N(K4076)=0,"PENDENTE","EM ANDAMENTO"))))))</f>
        <v/>
      </c>
      <c r="C4076" s="3">
        <f>IF(D4076="","",IF(V4076=0,"🟢 OK",IF(D4076&lt;corte,"⚪ HISTÓRICO (sem baixa)",IF(AND(ISNUMBER(R4076),R4076&lt;TODAY()),"🔴 PRAZO VENCIDO",IF(AND(OR(N4076="PENDENTE",N4076="PARCIAL"),D4076&lt;TODAY()-1),"🔴 EMBARQUE ATRASADO",IF(AND(N4076="REALIZADO",M4076="PENDENTE"),"🟡 EMBARCADO SEM FATURAR",IF(AND(P4076&lt;&gt;"",S4076="",OR(Q4076="",R4076="")),"🟡 PENDÊNCIA SEM RESPONSÁVEL/PRAZO",IF(AND(ISNUMBER(R4076),R4076=TODAY()),"🟡 VENCE HOJE",IF(AND(P4076&lt;&gt;"",S4076=""),"🟡 PENDÊNCIA ABERTA",IF(AND(N(J4076)&gt;0,N(K4076)&lt;J4076),"🟡 FALTA EXECUTAR",IF(OR(M4076="PENDENTE",M4076="PARCIAL"),"🟡 FATURAMENTO PENDENTE","🟡 EMBARQUE PENDENTE")))))))))))</f>
        <v/>
      </c>
      <c r="D4076" s="4" t="n"/>
      <c r="E4076" s="5" t="n"/>
      <c r="F4076" s="5" t="n"/>
      <c r="G4076" s="5" t="n"/>
      <c r="H4076" s="5" t="n"/>
      <c r="I4076" s="5" t="n"/>
      <c r="J4076" s="6" t="n"/>
      <c r="K4076" s="6" t="n"/>
      <c r="L4076" s="7">
        <f>IF(OR(D4076="",N(J4076)=0),"",MIN(1,N(K4076)/J4076))</f>
        <v/>
      </c>
      <c r="M4076" s="5" t="n"/>
      <c r="N4076" s="5" t="n"/>
      <c r="O4076" s="5" t="n"/>
      <c r="P4076" s="5" t="n"/>
      <c r="Q4076" s="5" t="n"/>
      <c r="R4076" s="4" t="n"/>
      <c r="S4076" s="4" t="n"/>
      <c r="T4076" s="5" t="n"/>
      <c r="U4076" s="8">
        <f>IF(AND(V4076=1,D4076&lt;&gt;""),IF(D4076&gt;=corte,TODAY()-D4076,""),"")</f>
        <v/>
      </c>
      <c r="V4076" s="8">
        <f>IF(D4076="",0,IF(OR(AND(P4076&lt;&gt;"",S4076=""),AND(N(J4076)&gt;0,N(K4076)&lt;J4076),OR(M4076="PENDENTE",M4076="PARCIAL"),OR(N4076="PENDENTE",N4076="PARCIAL")),1,0))</f>
        <v/>
      </c>
      <c r="W4076" s="8">
        <f>IF(AND(V4076=1,D4076&lt;&gt;""),IF(D4076&gt;=corte,(B4076="CRÍTICO")*1E9+(100000-D4076)*10000+10000-ROW(),""),"")</f>
        <v/>
      </c>
      <c r="X4076" s="8">
        <f>IF(AND(V4076=1,D4076=pas_data,E4076=pas_turno),10000-ROW(),"")</f>
        <v/>
      </c>
    </row>
    <row r="4077">
      <c r="A4077" s="3">
        <f>IF(D4077="","","TT-"&amp;TEXT(ROW()-1,"00000"))</f>
        <v/>
      </c>
      <c r="B4077" s="3">
        <f>IF(D4077="","",IF(V4077=0,"CONCLUÍDO",IF(D4077&lt;corte,"HISTÓRICO",IF(OR(AND(ISNUMBER(R4077),R4077&lt;TODAY()),AND(OR(N4077="PENDENTE",N4077="PARCIAL"),D4077&lt;TODAY()-1)),"CRÍTICO",IF(OR(AND(P4077&lt;&gt;"",S4077=""),AND(N4077="REALIZADO",M4077="PENDENTE"),AND(ISNUMBER(R4077),R4077=TODAY())),"ATENÇÃO",IF(N(K4077)=0,"PENDENTE","EM ANDAMENTO"))))))</f>
        <v/>
      </c>
      <c r="C4077" s="3">
        <f>IF(D4077="","",IF(V4077=0,"🟢 OK",IF(D4077&lt;corte,"⚪ HISTÓRICO (sem baixa)",IF(AND(ISNUMBER(R4077),R4077&lt;TODAY()),"🔴 PRAZO VENCIDO",IF(AND(OR(N4077="PENDENTE",N4077="PARCIAL"),D4077&lt;TODAY()-1),"🔴 EMBARQUE ATRASADO",IF(AND(N4077="REALIZADO",M4077="PENDENTE"),"🟡 EMBARCADO SEM FATURAR",IF(AND(P4077&lt;&gt;"",S4077="",OR(Q4077="",R4077="")),"🟡 PENDÊNCIA SEM RESPONSÁVEL/PRAZO",IF(AND(ISNUMBER(R4077),R4077=TODAY()),"🟡 VENCE HOJE",IF(AND(P4077&lt;&gt;"",S4077=""),"🟡 PENDÊNCIA ABERTA",IF(AND(N(J4077)&gt;0,N(K4077)&lt;J4077),"🟡 FALTA EXECUTAR",IF(OR(M4077="PENDENTE",M4077="PARCIAL"),"🟡 FATURAMENTO PENDENTE","🟡 EMBARQUE PENDENTE")))))))))))</f>
        <v/>
      </c>
      <c r="D4077" s="4" t="n"/>
      <c r="E4077" s="5" t="n"/>
      <c r="F4077" s="5" t="n"/>
      <c r="G4077" s="5" t="n"/>
      <c r="H4077" s="5" t="n"/>
      <c r="I4077" s="5" t="n"/>
      <c r="J4077" s="6" t="n"/>
      <c r="K4077" s="6" t="n"/>
      <c r="L4077" s="7">
        <f>IF(OR(D4077="",N(J4077)=0),"",MIN(1,N(K4077)/J4077))</f>
        <v/>
      </c>
      <c r="M4077" s="5" t="n"/>
      <c r="N4077" s="5" t="n"/>
      <c r="O4077" s="5" t="n"/>
      <c r="P4077" s="5" t="n"/>
      <c r="Q4077" s="5" t="n"/>
      <c r="R4077" s="4" t="n"/>
      <c r="S4077" s="4" t="n"/>
      <c r="T4077" s="5" t="n"/>
      <c r="U4077" s="8">
        <f>IF(AND(V4077=1,D4077&lt;&gt;""),IF(D4077&gt;=corte,TODAY()-D4077,""),"")</f>
        <v/>
      </c>
      <c r="V4077" s="8">
        <f>IF(D4077="",0,IF(OR(AND(P4077&lt;&gt;"",S4077=""),AND(N(J4077)&gt;0,N(K4077)&lt;J4077),OR(M4077="PENDENTE",M4077="PARCIAL"),OR(N4077="PENDENTE",N4077="PARCIAL")),1,0))</f>
        <v/>
      </c>
      <c r="W4077" s="8">
        <f>IF(AND(V4077=1,D4077&lt;&gt;""),IF(D4077&gt;=corte,(B4077="CRÍTICO")*1E9+(100000-D4077)*10000+10000-ROW(),""),"")</f>
        <v/>
      </c>
      <c r="X4077" s="8">
        <f>IF(AND(V4077=1,D4077=pas_data,E4077=pas_turno),10000-ROW(),"")</f>
        <v/>
      </c>
    </row>
    <row r="4078">
      <c r="A4078" s="3">
        <f>IF(D4078="","","TT-"&amp;TEXT(ROW()-1,"00000"))</f>
        <v/>
      </c>
      <c r="B4078" s="3">
        <f>IF(D4078="","",IF(V4078=0,"CONCLUÍDO",IF(D4078&lt;corte,"HISTÓRICO",IF(OR(AND(ISNUMBER(R4078),R4078&lt;TODAY()),AND(OR(N4078="PENDENTE",N4078="PARCIAL"),D4078&lt;TODAY()-1)),"CRÍTICO",IF(OR(AND(P4078&lt;&gt;"",S4078=""),AND(N4078="REALIZADO",M4078="PENDENTE"),AND(ISNUMBER(R4078),R4078=TODAY())),"ATENÇÃO",IF(N(K4078)=0,"PENDENTE","EM ANDAMENTO"))))))</f>
        <v/>
      </c>
      <c r="C4078" s="3">
        <f>IF(D4078="","",IF(V4078=0,"🟢 OK",IF(D4078&lt;corte,"⚪ HISTÓRICO (sem baixa)",IF(AND(ISNUMBER(R4078),R4078&lt;TODAY()),"🔴 PRAZO VENCIDO",IF(AND(OR(N4078="PENDENTE",N4078="PARCIAL"),D4078&lt;TODAY()-1),"🔴 EMBARQUE ATRASADO",IF(AND(N4078="REALIZADO",M4078="PENDENTE"),"🟡 EMBARCADO SEM FATURAR",IF(AND(P4078&lt;&gt;"",S4078="",OR(Q4078="",R4078="")),"🟡 PENDÊNCIA SEM RESPONSÁVEL/PRAZO",IF(AND(ISNUMBER(R4078),R4078=TODAY()),"🟡 VENCE HOJE",IF(AND(P4078&lt;&gt;"",S4078=""),"🟡 PENDÊNCIA ABERTA",IF(AND(N(J4078)&gt;0,N(K4078)&lt;J4078),"🟡 FALTA EXECUTAR",IF(OR(M4078="PENDENTE",M4078="PARCIAL"),"🟡 FATURAMENTO PENDENTE","🟡 EMBARQUE PENDENTE")))))))))))</f>
        <v/>
      </c>
      <c r="D4078" s="4" t="n"/>
      <c r="E4078" s="5" t="n"/>
      <c r="F4078" s="5" t="n"/>
      <c r="G4078" s="5" t="n"/>
      <c r="H4078" s="5" t="n"/>
      <c r="I4078" s="5" t="n"/>
      <c r="J4078" s="6" t="n"/>
      <c r="K4078" s="6" t="n"/>
      <c r="L4078" s="7">
        <f>IF(OR(D4078="",N(J4078)=0),"",MIN(1,N(K4078)/J4078))</f>
        <v/>
      </c>
      <c r="M4078" s="5" t="n"/>
      <c r="N4078" s="5" t="n"/>
      <c r="O4078" s="5" t="n"/>
      <c r="P4078" s="5" t="n"/>
      <c r="Q4078" s="5" t="n"/>
      <c r="R4078" s="4" t="n"/>
      <c r="S4078" s="4" t="n"/>
      <c r="T4078" s="5" t="n"/>
      <c r="U4078" s="8">
        <f>IF(AND(V4078=1,D4078&lt;&gt;""),IF(D4078&gt;=corte,TODAY()-D4078,""),"")</f>
        <v/>
      </c>
      <c r="V4078" s="8">
        <f>IF(D4078="",0,IF(OR(AND(P4078&lt;&gt;"",S4078=""),AND(N(J4078)&gt;0,N(K4078)&lt;J4078),OR(M4078="PENDENTE",M4078="PARCIAL"),OR(N4078="PENDENTE",N4078="PARCIAL")),1,0))</f>
        <v/>
      </c>
      <c r="W4078" s="8">
        <f>IF(AND(V4078=1,D4078&lt;&gt;""),IF(D4078&gt;=corte,(B4078="CRÍTICO")*1E9+(100000-D4078)*10000+10000-ROW(),""),"")</f>
        <v/>
      </c>
      <c r="X4078" s="8">
        <f>IF(AND(V4078=1,D4078=pas_data,E4078=pas_turno),10000-ROW(),"")</f>
        <v/>
      </c>
    </row>
    <row r="4079">
      <c r="A4079" s="3">
        <f>IF(D4079="","","TT-"&amp;TEXT(ROW()-1,"00000"))</f>
        <v/>
      </c>
      <c r="B4079" s="3">
        <f>IF(D4079="","",IF(V4079=0,"CONCLUÍDO",IF(D4079&lt;corte,"HISTÓRICO",IF(OR(AND(ISNUMBER(R4079),R4079&lt;TODAY()),AND(OR(N4079="PENDENTE",N4079="PARCIAL"),D4079&lt;TODAY()-1)),"CRÍTICO",IF(OR(AND(P4079&lt;&gt;"",S4079=""),AND(N4079="REALIZADO",M4079="PENDENTE"),AND(ISNUMBER(R4079),R4079=TODAY())),"ATENÇÃO",IF(N(K4079)=0,"PENDENTE","EM ANDAMENTO"))))))</f>
        <v/>
      </c>
      <c r="C4079" s="3">
        <f>IF(D4079="","",IF(V4079=0,"🟢 OK",IF(D4079&lt;corte,"⚪ HISTÓRICO (sem baixa)",IF(AND(ISNUMBER(R4079),R4079&lt;TODAY()),"🔴 PRAZO VENCIDO",IF(AND(OR(N4079="PENDENTE",N4079="PARCIAL"),D4079&lt;TODAY()-1),"🔴 EMBARQUE ATRASADO",IF(AND(N4079="REALIZADO",M4079="PENDENTE"),"🟡 EMBARCADO SEM FATURAR",IF(AND(P4079&lt;&gt;"",S4079="",OR(Q4079="",R4079="")),"🟡 PENDÊNCIA SEM RESPONSÁVEL/PRAZO",IF(AND(ISNUMBER(R4079),R4079=TODAY()),"🟡 VENCE HOJE",IF(AND(P4079&lt;&gt;"",S4079=""),"🟡 PENDÊNCIA ABERTA",IF(AND(N(J4079)&gt;0,N(K4079)&lt;J4079),"🟡 FALTA EXECUTAR",IF(OR(M4079="PENDENTE",M4079="PARCIAL"),"🟡 FATURAMENTO PENDENTE","🟡 EMBARQUE PENDENTE")))))))))))</f>
        <v/>
      </c>
      <c r="D4079" s="4" t="n"/>
      <c r="E4079" s="5" t="n"/>
      <c r="F4079" s="5" t="n"/>
      <c r="G4079" s="5" t="n"/>
      <c r="H4079" s="5" t="n"/>
      <c r="I4079" s="5" t="n"/>
      <c r="J4079" s="6" t="n"/>
      <c r="K4079" s="6" t="n"/>
      <c r="L4079" s="7">
        <f>IF(OR(D4079="",N(J4079)=0),"",MIN(1,N(K4079)/J4079))</f>
        <v/>
      </c>
      <c r="M4079" s="5" t="n"/>
      <c r="N4079" s="5" t="n"/>
      <c r="O4079" s="5" t="n"/>
      <c r="P4079" s="5" t="n"/>
      <c r="Q4079" s="5" t="n"/>
      <c r="R4079" s="4" t="n"/>
      <c r="S4079" s="4" t="n"/>
      <c r="T4079" s="5" t="n"/>
      <c r="U4079" s="8">
        <f>IF(AND(V4079=1,D4079&lt;&gt;""),IF(D4079&gt;=corte,TODAY()-D4079,""),"")</f>
        <v/>
      </c>
      <c r="V4079" s="8">
        <f>IF(D4079="",0,IF(OR(AND(P4079&lt;&gt;"",S4079=""),AND(N(J4079)&gt;0,N(K4079)&lt;J4079),OR(M4079="PENDENTE",M4079="PARCIAL"),OR(N4079="PENDENTE",N4079="PARCIAL")),1,0))</f>
        <v/>
      </c>
      <c r="W4079" s="8">
        <f>IF(AND(V4079=1,D4079&lt;&gt;""),IF(D4079&gt;=corte,(B4079="CRÍTICO")*1E9+(100000-D4079)*10000+10000-ROW(),""),"")</f>
        <v/>
      </c>
      <c r="X4079" s="8">
        <f>IF(AND(V4079=1,D4079=pas_data,E4079=pas_turno),10000-ROW(),"")</f>
        <v/>
      </c>
    </row>
    <row r="4080">
      <c r="A4080" s="3">
        <f>IF(D4080="","","TT-"&amp;TEXT(ROW()-1,"00000"))</f>
        <v/>
      </c>
      <c r="B4080" s="3">
        <f>IF(D4080="","",IF(V4080=0,"CONCLUÍDO",IF(D4080&lt;corte,"HISTÓRICO",IF(OR(AND(ISNUMBER(R4080),R4080&lt;TODAY()),AND(OR(N4080="PENDENTE",N4080="PARCIAL"),D4080&lt;TODAY()-1)),"CRÍTICO",IF(OR(AND(P4080&lt;&gt;"",S4080=""),AND(N4080="REALIZADO",M4080="PENDENTE"),AND(ISNUMBER(R4080),R4080=TODAY())),"ATENÇÃO",IF(N(K4080)=0,"PENDENTE","EM ANDAMENTO"))))))</f>
        <v/>
      </c>
      <c r="C4080" s="3">
        <f>IF(D4080="","",IF(V4080=0,"🟢 OK",IF(D4080&lt;corte,"⚪ HISTÓRICO (sem baixa)",IF(AND(ISNUMBER(R4080),R4080&lt;TODAY()),"🔴 PRAZO VENCIDO",IF(AND(OR(N4080="PENDENTE",N4080="PARCIAL"),D4080&lt;TODAY()-1),"🔴 EMBARQUE ATRASADO",IF(AND(N4080="REALIZADO",M4080="PENDENTE"),"🟡 EMBARCADO SEM FATURAR",IF(AND(P4080&lt;&gt;"",S4080="",OR(Q4080="",R4080="")),"🟡 PENDÊNCIA SEM RESPONSÁVEL/PRAZO",IF(AND(ISNUMBER(R4080),R4080=TODAY()),"🟡 VENCE HOJE",IF(AND(P4080&lt;&gt;"",S4080=""),"🟡 PENDÊNCIA ABERTA",IF(AND(N(J4080)&gt;0,N(K4080)&lt;J4080),"🟡 FALTA EXECUTAR",IF(OR(M4080="PENDENTE",M4080="PARCIAL"),"🟡 FATURAMENTO PENDENTE","🟡 EMBARQUE PENDENTE")))))))))))</f>
        <v/>
      </c>
      <c r="D4080" s="4" t="n"/>
      <c r="E4080" s="5" t="n"/>
      <c r="F4080" s="5" t="n"/>
      <c r="G4080" s="5" t="n"/>
      <c r="H4080" s="5" t="n"/>
      <c r="I4080" s="5" t="n"/>
      <c r="J4080" s="6" t="n"/>
      <c r="K4080" s="6" t="n"/>
      <c r="L4080" s="7">
        <f>IF(OR(D4080="",N(J4080)=0),"",MIN(1,N(K4080)/J4080))</f>
        <v/>
      </c>
      <c r="M4080" s="5" t="n"/>
      <c r="N4080" s="5" t="n"/>
      <c r="O4080" s="5" t="n"/>
      <c r="P4080" s="5" t="n"/>
      <c r="Q4080" s="5" t="n"/>
      <c r="R4080" s="4" t="n"/>
      <c r="S4080" s="4" t="n"/>
      <c r="T4080" s="5" t="n"/>
      <c r="U4080" s="8">
        <f>IF(AND(V4080=1,D4080&lt;&gt;""),IF(D4080&gt;=corte,TODAY()-D4080,""),"")</f>
        <v/>
      </c>
      <c r="V4080" s="8">
        <f>IF(D4080="",0,IF(OR(AND(P4080&lt;&gt;"",S4080=""),AND(N(J4080)&gt;0,N(K4080)&lt;J4080),OR(M4080="PENDENTE",M4080="PARCIAL"),OR(N4080="PENDENTE",N4080="PARCIAL")),1,0))</f>
        <v/>
      </c>
      <c r="W4080" s="8">
        <f>IF(AND(V4080=1,D4080&lt;&gt;""),IF(D4080&gt;=corte,(B4080="CRÍTICO")*1E9+(100000-D4080)*10000+10000-ROW(),""),"")</f>
        <v/>
      </c>
      <c r="X4080" s="8">
        <f>IF(AND(V4080=1,D4080=pas_data,E4080=pas_turno),10000-ROW(),"")</f>
        <v/>
      </c>
    </row>
    <row r="4081">
      <c r="A4081" s="3">
        <f>IF(D4081="","","TT-"&amp;TEXT(ROW()-1,"00000"))</f>
        <v/>
      </c>
      <c r="B4081" s="3">
        <f>IF(D4081="","",IF(V4081=0,"CONCLUÍDO",IF(D4081&lt;corte,"HISTÓRICO",IF(OR(AND(ISNUMBER(R4081),R4081&lt;TODAY()),AND(OR(N4081="PENDENTE",N4081="PARCIAL"),D4081&lt;TODAY()-1)),"CRÍTICO",IF(OR(AND(P4081&lt;&gt;"",S4081=""),AND(N4081="REALIZADO",M4081="PENDENTE"),AND(ISNUMBER(R4081),R4081=TODAY())),"ATENÇÃO",IF(N(K4081)=0,"PENDENTE","EM ANDAMENTO"))))))</f>
        <v/>
      </c>
      <c r="C4081" s="3">
        <f>IF(D4081="","",IF(V4081=0,"🟢 OK",IF(D4081&lt;corte,"⚪ HISTÓRICO (sem baixa)",IF(AND(ISNUMBER(R4081),R4081&lt;TODAY()),"🔴 PRAZO VENCIDO",IF(AND(OR(N4081="PENDENTE",N4081="PARCIAL"),D4081&lt;TODAY()-1),"🔴 EMBARQUE ATRASADO",IF(AND(N4081="REALIZADO",M4081="PENDENTE"),"🟡 EMBARCADO SEM FATURAR",IF(AND(P4081&lt;&gt;"",S4081="",OR(Q4081="",R4081="")),"🟡 PENDÊNCIA SEM RESPONSÁVEL/PRAZO",IF(AND(ISNUMBER(R4081),R4081=TODAY()),"🟡 VENCE HOJE",IF(AND(P4081&lt;&gt;"",S4081=""),"🟡 PENDÊNCIA ABERTA",IF(AND(N(J4081)&gt;0,N(K4081)&lt;J4081),"🟡 FALTA EXECUTAR",IF(OR(M4081="PENDENTE",M4081="PARCIAL"),"🟡 FATURAMENTO PENDENTE","🟡 EMBARQUE PENDENTE")))))))))))</f>
        <v/>
      </c>
      <c r="D4081" s="4" t="n"/>
      <c r="E4081" s="5" t="n"/>
      <c r="F4081" s="5" t="n"/>
      <c r="G4081" s="5" t="n"/>
      <c r="H4081" s="5" t="n"/>
      <c r="I4081" s="5" t="n"/>
      <c r="J4081" s="6" t="n"/>
      <c r="K4081" s="6" t="n"/>
      <c r="L4081" s="7">
        <f>IF(OR(D4081="",N(J4081)=0),"",MIN(1,N(K4081)/J4081))</f>
        <v/>
      </c>
      <c r="M4081" s="5" t="n"/>
      <c r="N4081" s="5" t="n"/>
      <c r="O4081" s="5" t="n"/>
      <c r="P4081" s="5" t="n"/>
      <c r="Q4081" s="5" t="n"/>
      <c r="R4081" s="4" t="n"/>
      <c r="S4081" s="4" t="n"/>
      <c r="T4081" s="5" t="n"/>
      <c r="U4081" s="8">
        <f>IF(AND(V4081=1,D4081&lt;&gt;""),IF(D4081&gt;=corte,TODAY()-D4081,""),"")</f>
        <v/>
      </c>
      <c r="V4081" s="8">
        <f>IF(D4081="",0,IF(OR(AND(P4081&lt;&gt;"",S4081=""),AND(N(J4081)&gt;0,N(K4081)&lt;J4081),OR(M4081="PENDENTE",M4081="PARCIAL"),OR(N4081="PENDENTE",N4081="PARCIAL")),1,0))</f>
        <v/>
      </c>
      <c r="W4081" s="8">
        <f>IF(AND(V4081=1,D4081&lt;&gt;""),IF(D4081&gt;=corte,(B4081="CRÍTICO")*1E9+(100000-D4081)*10000+10000-ROW(),""),"")</f>
        <v/>
      </c>
      <c r="X4081" s="8">
        <f>IF(AND(V4081=1,D4081=pas_data,E4081=pas_turno),10000-ROW(),"")</f>
        <v/>
      </c>
    </row>
    <row r="4082">
      <c r="A4082" s="3">
        <f>IF(D4082="","","TT-"&amp;TEXT(ROW()-1,"00000"))</f>
        <v/>
      </c>
      <c r="B4082" s="3">
        <f>IF(D4082="","",IF(V4082=0,"CONCLUÍDO",IF(D4082&lt;corte,"HISTÓRICO",IF(OR(AND(ISNUMBER(R4082),R4082&lt;TODAY()),AND(OR(N4082="PENDENTE",N4082="PARCIAL"),D4082&lt;TODAY()-1)),"CRÍTICO",IF(OR(AND(P4082&lt;&gt;"",S4082=""),AND(N4082="REALIZADO",M4082="PENDENTE"),AND(ISNUMBER(R4082),R4082=TODAY())),"ATENÇÃO",IF(N(K4082)=0,"PENDENTE","EM ANDAMENTO"))))))</f>
        <v/>
      </c>
      <c r="C4082" s="3">
        <f>IF(D4082="","",IF(V4082=0,"🟢 OK",IF(D4082&lt;corte,"⚪ HISTÓRICO (sem baixa)",IF(AND(ISNUMBER(R4082),R4082&lt;TODAY()),"🔴 PRAZO VENCIDO",IF(AND(OR(N4082="PENDENTE",N4082="PARCIAL"),D4082&lt;TODAY()-1),"🔴 EMBARQUE ATRASADO",IF(AND(N4082="REALIZADO",M4082="PENDENTE"),"🟡 EMBARCADO SEM FATURAR",IF(AND(P4082&lt;&gt;"",S4082="",OR(Q4082="",R4082="")),"🟡 PENDÊNCIA SEM RESPONSÁVEL/PRAZO",IF(AND(ISNUMBER(R4082),R4082=TODAY()),"🟡 VENCE HOJE",IF(AND(P4082&lt;&gt;"",S4082=""),"🟡 PENDÊNCIA ABERTA",IF(AND(N(J4082)&gt;0,N(K4082)&lt;J4082),"🟡 FALTA EXECUTAR",IF(OR(M4082="PENDENTE",M4082="PARCIAL"),"🟡 FATURAMENTO PENDENTE","🟡 EMBARQUE PENDENTE")))))))))))</f>
        <v/>
      </c>
      <c r="D4082" s="4" t="n"/>
      <c r="E4082" s="5" t="n"/>
      <c r="F4082" s="5" t="n"/>
      <c r="G4082" s="5" t="n"/>
      <c r="H4082" s="5" t="n"/>
      <c r="I4082" s="5" t="n"/>
      <c r="J4082" s="6" t="n"/>
      <c r="K4082" s="6" t="n"/>
      <c r="L4082" s="7">
        <f>IF(OR(D4082="",N(J4082)=0),"",MIN(1,N(K4082)/J4082))</f>
        <v/>
      </c>
      <c r="M4082" s="5" t="n"/>
      <c r="N4082" s="5" t="n"/>
      <c r="O4082" s="5" t="n"/>
      <c r="P4082" s="5" t="n"/>
      <c r="Q4082" s="5" t="n"/>
      <c r="R4082" s="4" t="n"/>
      <c r="S4082" s="4" t="n"/>
      <c r="T4082" s="5" t="n"/>
      <c r="U4082" s="8">
        <f>IF(AND(V4082=1,D4082&lt;&gt;""),IF(D4082&gt;=corte,TODAY()-D4082,""),"")</f>
        <v/>
      </c>
      <c r="V4082" s="8">
        <f>IF(D4082="",0,IF(OR(AND(P4082&lt;&gt;"",S4082=""),AND(N(J4082)&gt;0,N(K4082)&lt;J4082),OR(M4082="PENDENTE",M4082="PARCIAL"),OR(N4082="PENDENTE",N4082="PARCIAL")),1,0))</f>
        <v/>
      </c>
      <c r="W4082" s="8">
        <f>IF(AND(V4082=1,D4082&lt;&gt;""),IF(D4082&gt;=corte,(B4082="CRÍTICO")*1E9+(100000-D4082)*10000+10000-ROW(),""),"")</f>
        <v/>
      </c>
      <c r="X4082" s="8">
        <f>IF(AND(V4082=1,D4082=pas_data,E4082=pas_turno),10000-ROW(),"")</f>
        <v/>
      </c>
    </row>
    <row r="4083">
      <c r="A4083" s="3">
        <f>IF(D4083="","","TT-"&amp;TEXT(ROW()-1,"00000"))</f>
        <v/>
      </c>
      <c r="B4083" s="3">
        <f>IF(D4083="","",IF(V4083=0,"CONCLUÍDO",IF(D4083&lt;corte,"HISTÓRICO",IF(OR(AND(ISNUMBER(R4083),R4083&lt;TODAY()),AND(OR(N4083="PENDENTE",N4083="PARCIAL"),D4083&lt;TODAY()-1)),"CRÍTICO",IF(OR(AND(P4083&lt;&gt;"",S4083=""),AND(N4083="REALIZADO",M4083="PENDENTE"),AND(ISNUMBER(R4083),R4083=TODAY())),"ATENÇÃO",IF(N(K4083)=0,"PENDENTE","EM ANDAMENTO"))))))</f>
        <v/>
      </c>
      <c r="C4083" s="3">
        <f>IF(D4083="","",IF(V4083=0,"🟢 OK",IF(D4083&lt;corte,"⚪ HISTÓRICO (sem baixa)",IF(AND(ISNUMBER(R4083),R4083&lt;TODAY()),"🔴 PRAZO VENCIDO",IF(AND(OR(N4083="PENDENTE",N4083="PARCIAL"),D4083&lt;TODAY()-1),"🔴 EMBARQUE ATRASADO",IF(AND(N4083="REALIZADO",M4083="PENDENTE"),"🟡 EMBARCADO SEM FATURAR",IF(AND(P4083&lt;&gt;"",S4083="",OR(Q4083="",R4083="")),"🟡 PENDÊNCIA SEM RESPONSÁVEL/PRAZO",IF(AND(ISNUMBER(R4083),R4083=TODAY()),"🟡 VENCE HOJE",IF(AND(P4083&lt;&gt;"",S4083=""),"🟡 PENDÊNCIA ABERTA",IF(AND(N(J4083)&gt;0,N(K4083)&lt;J4083),"🟡 FALTA EXECUTAR",IF(OR(M4083="PENDENTE",M4083="PARCIAL"),"🟡 FATURAMENTO PENDENTE","🟡 EMBARQUE PENDENTE")))))))))))</f>
        <v/>
      </c>
      <c r="D4083" s="4" t="n"/>
      <c r="E4083" s="5" t="n"/>
      <c r="F4083" s="5" t="n"/>
      <c r="G4083" s="5" t="n"/>
      <c r="H4083" s="5" t="n"/>
      <c r="I4083" s="5" t="n"/>
      <c r="J4083" s="6" t="n"/>
      <c r="K4083" s="6" t="n"/>
      <c r="L4083" s="7">
        <f>IF(OR(D4083="",N(J4083)=0),"",MIN(1,N(K4083)/J4083))</f>
        <v/>
      </c>
      <c r="M4083" s="5" t="n"/>
      <c r="N4083" s="5" t="n"/>
      <c r="O4083" s="5" t="n"/>
      <c r="P4083" s="5" t="n"/>
      <c r="Q4083" s="5" t="n"/>
      <c r="R4083" s="4" t="n"/>
      <c r="S4083" s="4" t="n"/>
      <c r="T4083" s="5" t="n"/>
      <c r="U4083" s="8">
        <f>IF(AND(V4083=1,D4083&lt;&gt;""),IF(D4083&gt;=corte,TODAY()-D4083,""),"")</f>
        <v/>
      </c>
      <c r="V4083" s="8">
        <f>IF(D4083="",0,IF(OR(AND(P4083&lt;&gt;"",S4083=""),AND(N(J4083)&gt;0,N(K4083)&lt;J4083),OR(M4083="PENDENTE",M4083="PARCIAL"),OR(N4083="PENDENTE",N4083="PARCIAL")),1,0))</f>
        <v/>
      </c>
      <c r="W4083" s="8">
        <f>IF(AND(V4083=1,D4083&lt;&gt;""),IF(D4083&gt;=corte,(B4083="CRÍTICO")*1E9+(100000-D4083)*10000+10000-ROW(),""),"")</f>
        <v/>
      </c>
      <c r="X4083" s="8">
        <f>IF(AND(V4083=1,D4083=pas_data,E4083=pas_turno),10000-ROW(),"")</f>
        <v/>
      </c>
    </row>
    <row r="4084">
      <c r="A4084" s="3">
        <f>IF(D4084="","","TT-"&amp;TEXT(ROW()-1,"00000"))</f>
        <v/>
      </c>
      <c r="B4084" s="3">
        <f>IF(D4084="","",IF(V4084=0,"CONCLUÍDO",IF(D4084&lt;corte,"HISTÓRICO",IF(OR(AND(ISNUMBER(R4084),R4084&lt;TODAY()),AND(OR(N4084="PENDENTE",N4084="PARCIAL"),D4084&lt;TODAY()-1)),"CRÍTICO",IF(OR(AND(P4084&lt;&gt;"",S4084=""),AND(N4084="REALIZADO",M4084="PENDENTE"),AND(ISNUMBER(R4084),R4084=TODAY())),"ATENÇÃO",IF(N(K4084)=0,"PENDENTE","EM ANDAMENTO"))))))</f>
        <v/>
      </c>
      <c r="C4084" s="3">
        <f>IF(D4084="","",IF(V4084=0,"🟢 OK",IF(D4084&lt;corte,"⚪ HISTÓRICO (sem baixa)",IF(AND(ISNUMBER(R4084),R4084&lt;TODAY()),"🔴 PRAZO VENCIDO",IF(AND(OR(N4084="PENDENTE",N4084="PARCIAL"),D4084&lt;TODAY()-1),"🔴 EMBARQUE ATRASADO",IF(AND(N4084="REALIZADO",M4084="PENDENTE"),"🟡 EMBARCADO SEM FATURAR",IF(AND(P4084&lt;&gt;"",S4084="",OR(Q4084="",R4084="")),"🟡 PENDÊNCIA SEM RESPONSÁVEL/PRAZO",IF(AND(ISNUMBER(R4084),R4084=TODAY()),"🟡 VENCE HOJE",IF(AND(P4084&lt;&gt;"",S4084=""),"🟡 PENDÊNCIA ABERTA",IF(AND(N(J4084)&gt;0,N(K4084)&lt;J4084),"🟡 FALTA EXECUTAR",IF(OR(M4084="PENDENTE",M4084="PARCIAL"),"🟡 FATURAMENTO PENDENTE","🟡 EMBARQUE PENDENTE")))))))))))</f>
        <v/>
      </c>
      <c r="D4084" s="4" t="n"/>
      <c r="E4084" s="5" t="n"/>
      <c r="F4084" s="5" t="n"/>
      <c r="G4084" s="5" t="n"/>
      <c r="H4084" s="5" t="n"/>
      <c r="I4084" s="5" t="n"/>
      <c r="J4084" s="6" t="n"/>
      <c r="K4084" s="6" t="n"/>
      <c r="L4084" s="7">
        <f>IF(OR(D4084="",N(J4084)=0),"",MIN(1,N(K4084)/J4084))</f>
        <v/>
      </c>
      <c r="M4084" s="5" t="n"/>
      <c r="N4084" s="5" t="n"/>
      <c r="O4084" s="5" t="n"/>
      <c r="P4084" s="5" t="n"/>
      <c r="Q4084" s="5" t="n"/>
      <c r="R4084" s="4" t="n"/>
      <c r="S4084" s="4" t="n"/>
      <c r="T4084" s="5" t="n"/>
      <c r="U4084" s="8">
        <f>IF(AND(V4084=1,D4084&lt;&gt;""),IF(D4084&gt;=corte,TODAY()-D4084,""),"")</f>
        <v/>
      </c>
      <c r="V4084" s="8">
        <f>IF(D4084="",0,IF(OR(AND(P4084&lt;&gt;"",S4084=""),AND(N(J4084)&gt;0,N(K4084)&lt;J4084),OR(M4084="PENDENTE",M4084="PARCIAL"),OR(N4084="PENDENTE",N4084="PARCIAL")),1,0))</f>
        <v/>
      </c>
      <c r="W4084" s="8">
        <f>IF(AND(V4084=1,D4084&lt;&gt;""),IF(D4084&gt;=corte,(B4084="CRÍTICO")*1E9+(100000-D4084)*10000+10000-ROW(),""),"")</f>
        <v/>
      </c>
      <c r="X4084" s="8">
        <f>IF(AND(V4084=1,D4084=pas_data,E4084=pas_turno),10000-ROW(),"")</f>
        <v/>
      </c>
    </row>
    <row r="4085">
      <c r="A4085" s="3">
        <f>IF(D4085="","","TT-"&amp;TEXT(ROW()-1,"00000"))</f>
        <v/>
      </c>
      <c r="B4085" s="3">
        <f>IF(D4085="","",IF(V4085=0,"CONCLUÍDO",IF(D4085&lt;corte,"HISTÓRICO",IF(OR(AND(ISNUMBER(R4085),R4085&lt;TODAY()),AND(OR(N4085="PENDENTE",N4085="PARCIAL"),D4085&lt;TODAY()-1)),"CRÍTICO",IF(OR(AND(P4085&lt;&gt;"",S4085=""),AND(N4085="REALIZADO",M4085="PENDENTE"),AND(ISNUMBER(R4085),R4085=TODAY())),"ATENÇÃO",IF(N(K4085)=0,"PENDENTE","EM ANDAMENTO"))))))</f>
        <v/>
      </c>
      <c r="C4085" s="3">
        <f>IF(D4085="","",IF(V4085=0,"🟢 OK",IF(D4085&lt;corte,"⚪ HISTÓRICO (sem baixa)",IF(AND(ISNUMBER(R4085),R4085&lt;TODAY()),"🔴 PRAZO VENCIDO",IF(AND(OR(N4085="PENDENTE",N4085="PARCIAL"),D4085&lt;TODAY()-1),"🔴 EMBARQUE ATRASADO",IF(AND(N4085="REALIZADO",M4085="PENDENTE"),"🟡 EMBARCADO SEM FATURAR",IF(AND(P4085&lt;&gt;"",S4085="",OR(Q4085="",R4085="")),"🟡 PENDÊNCIA SEM RESPONSÁVEL/PRAZO",IF(AND(ISNUMBER(R4085),R4085=TODAY()),"🟡 VENCE HOJE",IF(AND(P4085&lt;&gt;"",S4085=""),"🟡 PENDÊNCIA ABERTA",IF(AND(N(J4085)&gt;0,N(K4085)&lt;J4085),"🟡 FALTA EXECUTAR",IF(OR(M4085="PENDENTE",M4085="PARCIAL"),"🟡 FATURAMENTO PENDENTE","🟡 EMBARQUE PENDENTE")))))))))))</f>
        <v/>
      </c>
      <c r="D4085" s="4" t="n"/>
      <c r="E4085" s="5" t="n"/>
      <c r="F4085" s="5" t="n"/>
      <c r="G4085" s="5" t="n"/>
      <c r="H4085" s="5" t="n"/>
      <c r="I4085" s="5" t="n"/>
      <c r="J4085" s="6" t="n"/>
      <c r="K4085" s="6" t="n"/>
      <c r="L4085" s="7">
        <f>IF(OR(D4085="",N(J4085)=0),"",MIN(1,N(K4085)/J4085))</f>
        <v/>
      </c>
      <c r="M4085" s="5" t="n"/>
      <c r="N4085" s="5" t="n"/>
      <c r="O4085" s="5" t="n"/>
      <c r="P4085" s="5" t="n"/>
      <c r="Q4085" s="5" t="n"/>
      <c r="R4085" s="4" t="n"/>
      <c r="S4085" s="4" t="n"/>
      <c r="T4085" s="5" t="n"/>
      <c r="U4085" s="8">
        <f>IF(AND(V4085=1,D4085&lt;&gt;""),IF(D4085&gt;=corte,TODAY()-D4085,""),"")</f>
        <v/>
      </c>
      <c r="V4085" s="8">
        <f>IF(D4085="",0,IF(OR(AND(P4085&lt;&gt;"",S4085=""),AND(N(J4085)&gt;0,N(K4085)&lt;J4085),OR(M4085="PENDENTE",M4085="PARCIAL"),OR(N4085="PENDENTE",N4085="PARCIAL")),1,0))</f>
        <v/>
      </c>
      <c r="W4085" s="8">
        <f>IF(AND(V4085=1,D4085&lt;&gt;""),IF(D4085&gt;=corte,(B4085="CRÍTICO")*1E9+(100000-D4085)*10000+10000-ROW(),""),"")</f>
        <v/>
      </c>
      <c r="X4085" s="8">
        <f>IF(AND(V4085=1,D4085=pas_data,E4085=pas_turno),10000-ROW(),"")</f>
        <v/>
      </c>
    </row>
    <row r="4086">
      <c r="A4086" s="3">
        <f>IF(D4086="","","TT-"&amp;TEXT(ROW()-1,"00000"))</f>
        <v/>
      </c>
      <c r="B4086" s="3">
        <f>IF(D4086="","",IF(V4086=0,"CONCLUÍDO",IF(D4086&lt;corte,"HISTÓRICO",IF(OR(AND(ISNUMBER(R4086),R4086&lt;TODAY()),AND(OR(N4086="PENDENTE",N4086="PARCIAL"),D4086&lt;TODAY()-1)),"CRÍTICO",IF(OR(AND(P4086&lt;&gt;"",S4086=""),AND(N4086="REALIZADO",M4086="PENDENTE"),AND(ISNUMBER(R4086),R4086=TODAY())),"ATENÇÃO",IF(N(K4086)=0,"PENDENTE","EM ANDAMENTO"))))))</f>
        <v/>
      </c>
      <c r="C4086" s="3">
        <f>IF(D4086="","",IF(V4086=0,"🟢 OK",IF(D4086&lt;corte,"⚪ HISTÓRICO (sem baixa)",IF(AND(ISNUMBER(R4086),R4086&lt;TODAY()),"🔴 PRAZO VENCIDO",IF(AND(OR(N4086="PENDENTE",N4086="PARCIAL"),D4086&lt;TODAY()-1),"🔴 EMBARQUE ATRASADO",IF(AND(N4086="REALIZADO",M4086="PENDENTE"),"🟡 EMBARCADO SEM FATURAR",IF(AND(P4086&lt;&gt;"",S4086="",OR(Q4086="",R4086="")),"🟡 PENDÊNCIA SEM RESPONSÁVEL/PRAZO",IF(AND(ISNUMBER(R4086),R4086=TODAY()),"🟡 VENCE HOJE",IF(AND(P4086&lt;&gt;"",S4086=""),"🟡 PENDÊNCIA ABERTA",IF(AND(N(J4086)&gt;0,N(K4086)&lt;J4086),"🟡 FALTA EXECUTAR",IF(OR(M4086="PENDENTE",M4086="PARCIAL"),"🟡 FATURAMENTO PENDENTE","🟡 EMBARQUE PENDENTE")))))))))))</f>
        <v/>
      </c>
      <c r="D4086" s="4" t="n"/>
      <c r="E4086" s="5" t="n"/>
      <c r="F4086" s="5" t="n"/>
      <c r="G4086" s="5" t="n"/>
      <c r="H4086" s="5" t="n"/>
      <c r="I4086" s="5" t="n"/>
      <c r="J4086" s="6" t="n"/>
      <c r="K4086" s="6" t="n"/>
      <c r="L4086" s="7">
        <f>IF(OR(D4086="",N(J4086)=0),"",MIN(1,N(K4086)/J4086))</f>
        <v/>
      </c>
      <c r="M4086" s="5" t="n"/>
      <c r="N4086" s="5" t="n"/>
      <c r="O4086" s="5" t="n"/>
      <c r="P4086" s="5" t="n"/>
      <c r="Q4086" s="5" t="n"/>
      <c r="R4086" s="4" t="n"/>
      <c r="S4086" s="4" t="n"/>
      <c r="T4086" s="5" t="n"/>
      <c r="U4086" s="8">
        <f>IF(AND(V4086=1,D4086&lt;&gt;""),IF(D4086&gt;=corte,TODAY()-D4086,""),"")</f>
        <v/>
      </c>
      <c r="V4086" s="8">
        <f>IF(D4086="",0,IF(OR(AND(P4086&lt;&gt;"",S4086=""),AND(N(J4086)&gt;0,N(K4086)&lt;J4086),OR(M4086="PENDENTE",M4086="PARCIAL"),OR(N4086="PENDENTE",N4086="PARCIAL")),1,0))</f>
        <v/>
      </c>
      <c r="W4086" s="8">
        <f>IF(AND(V4086=1,D4086&lt;&gt;""),IF(D4086&gt;=corte,(B4086="CRÍTICO")*1E9+(100000-D4086)*10000+10000-ROW(),""),"")</f>
        <v/>
      </c>
      <c r="X4086" s="8">
        <f>IF(AND(V4086=1,D4086=pas_data,E4086=pas_turno),10000-ROW(),"")</f>
        <v/>
      </c>
    </row>
    <row r="4087">
      <c r="A4087" s="3">
        <f>IF(D4087="","","TT-"&amp;TEXT(ROW()-1,"00000"))</f>
        <v/>
      </c>
      <c r="B4087" s="3">
        <f>IF(D4087="","",IF(V4087=0,"CONCLUÍDO",IF(D4087&lt;corte,"HISTÓRICO",IF(OR(AND(ISNUMBER(R4087),R4087&lt;TODAY()),AND(OR(N4087="PENDENTE",N4087="PARCIAL"),D4087&lt;TODAY()-1)),"CRÍTICO",IF(OR(AND(P4087&lt;&gt;"",S4087=""),AND(N4087="REALIZADO",M4087="PENDENTE"),AND(ISNUMBER(R4087),R4087=TODAY())),"ATENÇÃO",IF(N(K4087)=0,"PENDENTE","EM ANDAMENTO"))))))</f>
        <v/>
      </c>
      <c r="C4087" s="3">
        <f>IF(D4087="","",IF(V4087=0,"🟢 OK",IF(D4087&lt;corte,"⚪ HISTÓRICO (sem baixa)",IF(AND(ISNUMBER(R4087),R4087&lt;TODAY()),"🔴 PRAZO VENCIDO",IF(AND(OR(N4087="PENDENTE",N4087="PARCIAL"),D4087&lt;TODAY()-1),"🔴 EMBARQUE ATRASADO",IF(AND(N4087="REALIZADO",M4087="PENDENTE"),"🟡 EMBARCADO SEM FATURAR",IF(AND(P4087&lt;&gt;"",S4087="",OR(Q4087="",R4087="")),"🟡 PENDÊNCIA SEM RESPONSÁVEL/PRAZO",IF(AND(ISNUMBER(R4087),R4087=TODAY()),"🟡 VENCE HOJE",IF(AND(P4087&lt;&gt;"",S4087=""),"🟡 PENDÊNCIA ABERTA",IF(AND(N(J4087)&gt;0,N(K4087)&lt;J4087),"🟡 FALTA EXECUTAR",IF(OR(M4087="PENDENTE",M4087="PARCIAL"),"🟡 FATURAMENTO PENDENTE","🟡 EMBARQUE PENDENTE")))))))))))</f>
        <v/>
      </c>
      <c r="D4087" s="4" t="n"/>
      <c r="E4087" s="5" t="n"/>
      <c r="F4087" s="5" t="n"/>
      <c r="G4087" s="5" t="n"/>
      <c r="H4087" s="5" t="n"/>
      <c r="I4087" s="5" t="n"/>
      <c r="J4087" s="6" t="n"/>
      <c r="K4087" s="6" t="n"/>
      <c r="L4087" s="7">
        <f>IF(OR(D4087="",N(J4087)=0),"",MIN(1,N(K4087)/J4087))</f>
        <v/>
      </c>
      <c r="M4087" s="5" t="n"/>
      <c r="N4087" s="5" t="n"/>
      <c r="O4087" s="5" t="n"/>
      <c r="P4087" s="5" t="n"/>
      <c r="Q4087" s="5" t="n"/>
      <c r="R4087" s="4" t="n"/>
      <c r="S4087" s="4" t="n"/>
      <c r="T4087" s="5" t="n"/>
      <c r="U4087" s="8">
        <f>IF(AND(V4087=1,D4087&lt;&gt;""),IF(D4087&gt;=corte,TODAY()-D4087,""),"")</f>
        <v/>
      </c>
      <c r="V4087" s="8">
        <f>IF(D4087="",0,IF(OR(AND(P4087&lt;&gt;"",S4087=""),AND(N(J4087)&gt;0,N(K4087)&lt;J4087),OR(M4087="PENDENTE",M4087="PARCIAL"),OR(N4087="PENDENTE",N4087="PARCIAL")),1,0))</f>
        <v/>
      </c>
      <c r="W4087" s="8">
        <f>IF(AND(V4087=1,D4087&lt;&gt;""),IF(D4087&gt;=corte,(B4087="CRÍTICO")*1E9+(100000-D4087)*10000+10000-ROW(),""),"")</f>
        <v/>
      </c>
      <c r="X4087" s="8">
        <f>IF(AND(V4087=1,D4087=pas_data,E4087=pas_turno),10000-ROW(),"")</f>
        <v/>
      </c>
    </row>
    <row r="4088">
      <c r="A4088" s="3">
        <f>IF(D4088="","","TT-"&amp;TEXT(ROW()-1,"00000"))</f>
        <v/>
      </c>
      <c r="B4088" s="3">
        <f>IF(D4088="","",IF(V4088=0,"CONCLUÍDO",IF(D4088&lt;corte,"HISTÓRICO",IF(OR(AND(ISNUMBER(R4088),R4088&lt;TODAY()),AND(OR(N4088="PENDENTE",N4088="PARCIAL"),D4088&lt;TODAY()-1)),"CRÍTICO",IF(OR(AND(P4088&lt;&gt;"",S4088=""),AND(N4088="REALIZADO",M4088="PENDENTE"),AND(ISNUMBER(R4088),R4088=TODAY())),"ATENÇÃO",IF(N(K4088)=0,"PENDENTE","EM ANDAMENTO"))))))</f>
        <v/>
      </c>
      <c r="C4088" s="3">
        <f>IF(D4088="","",IF(V4088=0,"🟢 OK",IF(D4088&lt;corte,"⚪ HISTÓRICO (sem baixa)",IF(AND(ISNUMBER(R4088),R4088&lt;TODAY()),"🔴 PRAZO VENCIDO",IF(AND(OR(N4088="PENDENTE",N4088="PARCIAL"),D4088&lt;TODAY()-1),"🔴 EMBARQUE ATRASADO",IF(AND(N4088="REALIZADO",M4088="PENDENTE"),"🟡 EMBARCADO SEM FATURAR",IF(AND(P4088&lt;&gt;"",S4088="",OR(Q4088="",R4088="")),"🟡 PENDÊNCIA SEM RESPONSÁVEL/PRAZO",IF(AND(ISNUMBER(R4088),R4088=TODAY()),"🟡 VENCE HOJE",IF(AND(P4088&lt;&gt;"",S4088=""),"🟡 PENDÊNCIA ABERTA",IF(AND(N(J4088)&gt;0,N(K4088)&lt;J4088),"🟡 FALTA EXECUTAR",IF(OR(M4088="PENDENTE",M4088="PARCIAL"),"🟡 FATURAMENTO PENDENTE","🟡 EMBARQUE PENDENTE")))))))))))</f>
        <v/>
      </c>
      <c r="D4088" s="4" t="n"/>
      <c r="E4088" s="5" t="n"/>
      <c r="F4088" s="5" t="n"/>
      <c r="G4088" s="5" t="n"/>
      <c r="H4088" s="5" t="n"/>
      <c r="I4088" s="5" t="n"/>
      <c r="J4088" s="6" t="n"/>
      <c r="K4088" s="6" t="n"/>
      <c r="L4088" s="7">
        <f>IF(OR(D4088="",N(J4088)=0),"",MIN(1,N(K4088)/J4088))</f>
        <v/>
      </c>
      <c r="M4088" s="5" t="n"/>
      <c r="N4088" s="5" t="n"/>
      <c r="O4088" s="5" t="n"/>
      <c r="P4088" s="5" t="n"/>
      <c r="Q4088" s="5" t="n"/>
      <c r="R4088" s="4" t="n"/>
      <c r="S4088" s="4" t="n"/>
      <c r="T4088" s="5" t="n"/>
      <c r="U4088" s="8">
        <f>IF(AND(V4088=1,D4088&lt;&gt;""),IF(D4088&gt;=corte,TODAY()-D4088,""),"")</f>
        <v/>
      </c>
      <c r="V4088" s="8">
        <f>IF(D4088="",0,IF(OR(AND(P4088&lt;&gt;"",S4088=""),AND(N(J4088)&gt;0,N(K4088)&lt;J4088),OR(M4088="PENDENTE",M4088="PARCIAL"),OR(N4088="PENDENTE",N4088="PARCIAL")),1,0))</f>
        <v/>
      </c>
      <c r="W4088" s="8">
        <f>IF(AND(V4088=1,D4088&lt;&gt;""),IF(D4088&gt;=corte,(B4088="CRÍTICO")*1E9+(100000-D4088)*10000+10000-ROW(),""),"")</f>
        <v/>
      </c>
      <c r="X4088" s="8">
        <f>IF(AND(V4088=1,D4088=pas_data,E4088=pas_turno),10000-ROW(),"")</f>
        <v/>
      </c>
    </row>
    <row r="4089">
      <c r="A4089" s="3">
        <f>IF(D4089="","","TT-"&amp;TEXT(ROW()-1,"00000"))</f>
        <v/>
      </c>
      <c r="B4089" s="3">
        <f>IF(D4089="","",IF(V4089=0,"CONCLUÍDO",IF(D4089&lt;corte,"HISTÓRICO",IF(OR(AND(ISNUMBER(R4089),R4089&lt;TODAY()),AND(OR(N4089="PENDENTE",N4089="PARCIAL"),D4089&lt;TODAY()-1)),"CRÍTICO",IF(OR(AND(P4089&lt;&gt;"",S4089=""),AND(N4089="REALIZADO",M4089="PENDENTE"),AND(ISNUMBER(R4089),R4089=TODAY())),"ATENÇÃO",IF(N(K4089)=0,"PENDENTE","EM ANDAMENTO"))))))</f>
        <v/>
      </c>
      <c r="C4089" s="3">
        <f>IF(D4089="","",IF(V4089=0,"🟢 OK",IF(D4089&lt;corte,"⚪ HISTÓRICO (sem baixa)",IF(AND(ISNUMBER(R4089),R4089&lt;TODAY()),"🔴 PRAZO VENCIDO",IF(AND(OR(N4089="PENDENTE",N4089="PARCIAL"),D4089&lt;TODAY()-1),"🔴 EMBARQUE ATRASADO",IF(AND(N4089="REALIZADO",M4089="PENDENTE"),"🟡 EMBARCADO SEM FATURAR",IF(AND(P4089&lt;&gt;"",S4089="",OR(Q4089="",R4089="")),"🟡 PENDÊNCIA SEM RESPONSÁVEL/PRAZO",IF(AND(ISNUMBER(R4089),R4089=TODAY()),"🟡 VENCE HOJE",IF(AND(P4089&lt;&gt;"",S4089=""),"🟡 PENDÊNCIA ABERTA",IF(AND(N(J4089)&gt;0,N(K4089)&lt;J4089),"🟡 FALTA EXECUTAR",IF(OR(M4089="PENDENTE",M4089="PARCIAL"),"🟡 FATURAMENTO PENDENTE","🟡 EMBARQUE PENDENTE")))))))))))</f>
        <v/>
      </c>
      <c r="D4089" s="4" t="n"/>
      <c r="E4089" s="5" t="n"/>
      <c r="F4089" s="5" t="n"/>
      <c r="G4089" s="5" t="n"/>
      <c r="H4089" s="5" t="n"/>
      <c r="I4089" s="5" t="n"/>
      <c r="J4089" s="6" t="n"/>
      <c r="K4089" s="6" t="n"/>
      <c r="L4089" s="7">
        <f>IF(OR(D4089="",N(J4089)=0),"",MIN(1,N(K4089)/J4089))</f>
        <v/>
      </c>
      <c r="M4089" s="5" t="n"/>
      <c r="N4089" s="5" t="n"/>
      <c r="O4089" s="5" t="n"/>
      <c r="P4089" s="5" t="n"/>
      <c r="Q4089" s="5" t="n"/>
      <c r="R4089" s="4" t="n"/>
      <c r="S4089" s="4" t="n"/>
      <c r="T4089" s="5" t="n"/>
      <c r="U4089" s="8">
        <f>IF(AND(V4089=1,D4089&lt;&gt;""),IF(D4089&gt;=corte,TODAY()-D4089,""),"")</f>
        <v/>
      </c>
      <c r="V4089" s="8">
        <f>IF(D4089="",0,IF(OR(AND(P4089&lt;&gt;"",S4089=""),AND(N(J4089)&gt;0,N(K4089)&lt;J4089),OR(M4089="PENDENTE",M4089="PARCIAL"),OR(N4089="PENDENTE",N4089="PARCIAL")),1,0))</f>
        <v/>
      </c>
      <c r="W4089" s="8">
        <f>IF(AND(V4089=1,D4089&lt;&gt;""),IF(D4089&gt;=corte,(B4089="CRÍTICO")*1E9+(100000-D4089)*10000+10000-ROW(),""),"")</f>
        <v/>
      </c>
      <c r="X4089" s="8">
        <f>IF(AND(V4089=1,D4089=pas_data,E4089=pas_turno),10000-ROW(),"")</f>
        <v/>
      </c>
    </row>
    <row r="4090">
      <c r="A4090" s="3">
        <f>IF(D4090="","","TT-"&amp;TEXT(ROW()-1,"00000"))</f>
        <v/>
      </c>
      <c r="B4090" s="3">
        <f>IF(D4090="","",IF(V4090=0,"CONCLUÍDO",IF(D4090&lt;corte,"HISTÓRICO",IF(OR(AND(ISNUMBER(R4090),R4090&lt;TODAY()),AND(OR(N4090="PENDENTE",N4090="PARCIAL"),D4090&lt;TODAY()-1)),"CRÍTICO",IF(OR(AND(P4090&lt;&gt;"",S4090=""),AND(N4090="REALIZADO",M4090="PENDENTE"),AND(ISNUMBER(R4090),R4090=TODAY())),"ATENÇÃO",IF(N(K4090)=0,"PENDENTE","EM ANDAMENTO"))))))</f>
        <v/>
      </c>
      <c r="C4090" s="3">
        <f>IF(D4090="","",IF(V4090=0,"🟢 OK",IF(D4090&lt;corte,"⚪ HISTÓRICO (sem baixa)",IF(AND(ISNUMBER(R4090),R4090&lt;TODAY()),"🔴 PRAZO VENCIDO",IF(AND(OR(N4090="PENDENTE",N4090="PARCIAL"),D4090&lt;TODAY()-1),"🔴 EMBARQUE ATRASADO",IF(AND(N4090="REALIZADO",M4090="PENDENTE"),"🟡 EMBARCADO SEM FATURAR",IF(AND(P4090&lt;&gt;"",S4090="",OR(Q4090="",R4090="")),"🟡 PENDÊNCIA SEM RESPONSÁVEL/PRAZO",IF(AND(ISNUMBER(R4090),R4090=TODAY()),"🟡 VENCE HOJE",IF(AND(P4090&lt;&gt;"",S4090=""),"🟡 PENDÊNCIA ABERTA",IF(AND(N(J4090)&gt;0,N(K4090)&lt;J4090),"🟡 FALTA EXECUTAR",IF(OR(M4090="PENDENTE",M4090="PARCIAL"),"🟡 FATURAMENTO PENDENTE","🟡 EMBARQUE PENDENTE")))))))))))</f>
        <v/>
      </c>
      <c r="D4090" s="4" t="n"/>
      <c r="E4090" s="5" t="n"/>
      <c r="F4090" s="5" t="n"/>
      <c r="G4090" s="5" t="n"/>
      <c r="H4090" s="5" t="n"/>
      <c r="I4090" s="5" t="n"/>
      <c r="J4090" s="6" t="n"/>
      <c r="K4090" s="6" t="n"/>
      <c r="L4090" s="7">
        <f>IF(OR(D4090="",N(J4090)=0),"",MIN(1,N(K4090)/J4090))</f>
        <v/>
      </c>
      <c r="M4090" s="5" t="n"/>
      <c r="N4090" s="5" t="n"/>
      <c r="O4090" s="5" t="n"/>
      <c r="P4090" s="5" t="n"/>
      <c r="Q4090" s="5" t="n"/>
      <c r="R4090" s="4" t="n"/>
      <c r="S4090" s="4" t="n"/>
      <c r="T4090" s="5" t="n"/>
      <c r="U4090" s="8">
        <f>IF(AND(V4090=1,D4090&lt;&gt;""),IF(D4090&gt;=corte,TODAY()-D4090,""),"")</f>
        <v/>
      </c>
      <c r="V4090" s="8">
        <f>IF(D4090="",0,IF(OR(AND(P4090&lt;&gt;"",S4090=""),AND(N(J4090)&gt;0,N(K4090)&lt;J4090),OR(M4090="PENDENTE",M4090="PARCIAL"),OR(N4090="PENDENTE",N4090="PARCIAL")),1,0))</f>
        <v/>
      </c>
      <c r="W4090" s="8">
        <f>IF(AND(V4090=1,D4090&lt;&gt;""),IF(D4090&gt;=corte,(B4090="CRÍTICO")*1E9+(100000-D4090)*10000+10000-ROW(),""),"")</f>
        <v/>
      </c>
      <c r="X4090" s="8">
        <f>IF(AND(V4090=1,D4090=pas_data,E4090=pas_turno),10000-ROW(),"")</f>
        <v/>
      </c>
    </row>
    <row r="4091">
      <c r="A4091" s="3">
        <f>IF(D4091="","","TT-"&amp;TEXT(ROW()-1,"00000"))</f>
        <v/>
      </c>
      <c r="B4091" s="3">
        <f>IF(D4091="","",IF(V4091=0,"CONCLUÍDO",IF(D4091&lt;corte,"HISTÓRICO",IF(OR(AND(ISNUMBER(R4091),R4091&lt;TODAY()),AND(OR(N4091="PENDENTE",N4091="PARCIAL"),D4091&lt;TODAY()-1)),"CRÍTICO",IF(OR(AND(P4091&lt;&gt;"",S4091=""),AND(N4091="REALIZADO",M4091="PENDENTE"),AND(ISNUMBER(R4091),R4091=TODAY())),"ATENÇÃO",IF(N(K4091)=0,"PENDENTE","EM ANDAMENTO"))))))</f>
        <v/>
      </c>
      <c r="C4091" s="3">
        <f>IF(D4091="","",IF(V4091=0,"🟢 OK",IF(D4091&lt;corte,"⚪ HISTÓRICO (sem baixa)",IF(AND(ISNUMBER(R4091),R4091&lt;TODAY()),"🔴 PRAZO VENCIDO",IF(AND(OR(N4091="PENDENTE",N4091="PARCIAL"),D4091&lt;TODAY()-1),"🔴 EMBARQUE ATRASADO",IF(AND(N4091="REALIZADO",M4091="PENDENTE"),"🟡 EMBARCADO SEM FATURAR",IF(AND(P4091&lt;&gt;"",S4091="",OR(Q4091="",R4091="")),"🟡 PENDÊNCIA SEM RESPONSÁVEL/PRAZO",IF(AND(ISNUMBER(R4091),R4091=TODAY()),"🟡 VENCE HOJE",IF(AND(P4091&lt;&gt;"",S4091=""),"🟡 PENDÊNCIA ABERTA",IF(AND(N(J4091)&gt;0,N(K4091)&lt;J4091),"🟡 FALTA EXECUTAR",IF(OR(M4091="PENDENTE",M4091="PARCIAL"),"🟡 FATURAMENTO PENDENTE","🟡 EMBARQUE PENDENTE")))))))))))</f>
        <v/>
      </c>
      <c r="D4091" s="4" t="n"/>
      <c r="E4091" s="5" t="n"/>
      <c r="F4091" s="5" t="n"/>
      <c r="G4091" s="5" t="n"/>
      <c r="H4091" s="5" t="n"/>
      <c r="I4091" s="5" t="n"/>
      <c r="J4091" s="6" t="n"/>
      <c r="K4091" s="6" t="n"/>
      <c r="L4091" s="7">
        <f>IF(OR(D4091="",N(J4091)=0),"",MIN(1,N(K4091)/J4091))</f>
        <v/>
      </c>
      <c r="M4091" s="5" t="n"/>
      <c r="N4091" s="5" t="n"/>
      <c r="O4091" s="5" t="n"/>
      <c r="P4091" s="5" t="n"/>
      <c r="Q4091" s="5" t="n"/>
      <c r="R4091" s="4" t="n"/>
      <c r="S4091" s="4" t="n"/>
      <c r="T4091" s="5" t="n"/>
      <c r="U4091" s="8">
        <f>IF(AND(V4091=1,D4091&lt;&gt;""),IF(D4091&gt;=corte,TODAY()-D4091,""),"")</f>
        <v/>
      </c>
      <c r="V4091" s="8">
        <f>IF(D4091="",0,IF(OR(AND(P4091&lt;&gt;"",S4091=""),AND(N(J4091)&gt;0,N(K4091)&lt;J4091),OR(M4091="PENDENTE",M4091="PARCIAL"),OR(N4091="PENDENTE",N4091="PARCIAL")),1,0))</f>
        <v/>
      </c>
      <c r="W4091" s="8">
        <f>IF(AND(V4091=1,D4091&lt;&gt;""),IF(D4091&gt;=corte,(B4091="CRÍTICO")*1E9+(100000-D4091)*10000+10000-ROW(),""),"")</f>
        <v/>
      </c>
      <c r="X4091" s="8">
        <f>IF(AND(V4091=1,D4091=pas_data,E4091=pas_turno),10000-ROW(),"")</f>
        <v/>
      </c>
    </row>
    <row r="4092">
      <c r="A4092" s="3">
        <f>IF(D4092="","","TT-"&amp;TEXT(ROW()-1,"00000"))</f>
        <v/>
      </c>
      <c r="B4092" s="3">
        <f>IF(D4092="","",IF(V4092=0,"CONCLUÍDO",IF(D4092&lt;corte,"HISTÓRICO",IF(OR(AND(ISNUMBER(R4092),R4092&lt;TODAY()),AND(OR(N4092="PENDENTE",N4092="PARCIAL"),D4092&lt;TODAY()-1)),"CRÍTICO",IF(OR(AND(P4092&lt;&gt;"",S4092=""),AND(N4092="REALIZADO",M4092="PENDENTE"),AND(ISNUMBER(R4092),R4092=TODAY())),"ATENÇÃO",IF(N(K4092)=0,"PENDENTE","EM ANDAMENTO"))))))</f>
        <v/>
      </c>
      <c r="C4092" s="3">
        <f>IF(D4092="","",IF(V4092=0,"🟢 OK",IF(D4092&lt;corte,"⚪ HISTÓRICO (sem baixa)",IF(AND(ISNUMBER(R4092),R4092&lt;TODAY()),"🔴 PRAZO VENCIDO",IF(AND(OR(N4092="PENDENTE",N4092="PARCIAL"),D4092&lt;TODAY()-1),"🔴 EMBARQUE ATRASADO",IF(AND(N4092="REALIZADO",M4092="PENDENTE"),"🟡 EMBARCADO SEM FATURAR",IF(AND(P4092&lt;&gt;"",S4092="",OR(Q4092="",R4092="")),"🟡 PENDÊNCIA SEM RESPONSÁVEL/PRAZO",IF(AND(ISNUMBER(R4092),R4092=TODAY()),"🟡 VENCE HOJE",IF(AND(P4092&lt;&gt;"",S4092=""),"🟡 PENDÊNCIA ABERTA",IF(AND(N(J4092)&gt;0,N(K4092)&lt;J4092),"🟡 FALTA EXECUTAR",IF(OR(M4092="PENDENTE",M4092="PARCIAL"),"🟡 FATURAMENTO PENDENTE","🟡 EMBARQUE PENDENTE")))))))))))</f>
        <v/>
      </c>
      <c r="D4092" s="4" t="n"/>
      <c r="E4092" s="5" t="n"/>
      <c r="F4092" s="5" t="n"/>
      <c r="G4092" s="5" t="n"/>
      <c r="H4092" s="5" t="n"/>
      <c r="I4092" s="5" t="n"/>
      <c r="J4092" s="6" t="n"/>
      <c r="K4092" s="6" t="n"/>
      <c r="L4092" s="7">
        <f>IF(OR(D4092="",N(J4092)=0),"",MIN(1,N(K4092)/J4092))</f>
        <v/>
      </c>
      <c r="M4092" s="5" t="n"/>
      <c r="N4092" s="5" t="n"/>
      <c r="O4092" s="5" t="n"/>
      <c r="P4092" s="5" t="n"/>
      <c r="Q4092" s="5" t="n"/>
      <c r="R4092" s="4" t="n"/>
      <c r="S4092" s="4" t="n"/>
      <c r="T4092" s="5" t="n"/>
      <c r="U4092" s="8">
        <f>IF(AND(V4092=1,D4092&lt;&gt;""),IF(D4092&gt;=corte,TODAY()-D4092,""),"")</f>
        <v/>
      </c>
      <c r="V4092" s="8">
        <f>IF(D4092="",0,IF(OR(AND(P4092&lt;&gt;"",S4092=""),AND(N(J4092)&gt;0,N(K4092)&lt;J4092),OR(M4092="PENDENTE",M4092="PARCIAL"),OR(N4092="PENDENTE",N4092="PARCIAL")),1,0))</f>
        <v/>
      </c>
      <c r="W4092" s="8">
        <f>IF(AND(V4092=1,D4092&lt;&gt;""),IF(D4092&gt;=corte,(B4092="CRÍTICO")*1E9+(100000-D4092)*10000+10000-ROW(),""),"")</f>
        <v/>
      </c>
      <c r="X4092" s="8">
        <f>IF(AND(V4092=1,D4092=pas_data,E4092=pas_turno),10000-ROW(),"")</f>
        <v/>
      </c>
    </row>
    <row r="4093">
      <c r="A4093" s="3">
        <f>IF(D4093="","","TT-"&amp;TEXT(ROW()-1,"00000"))</f>
        <v/>
      </c>
      <c r="B4093" s="3">
        <f>IF(D4093="","",IF(V4093=0,"CONCLUÍDO",IF(D4093&lt;corte,"HISTÓRICO",IF(OR(AND(ISNUMBER(R4093),R4093&lt;TODAY()),AND(OR(N4093="PENDENTE",N4093="PARCIAL"),D4093&lt;TODAY()-1)),"CRÍTICO",IF(OR(AND(P4093&lt;&gt;"",S4093=""),AND(N4093="REALIZADO",M4093="PENDENTE"),AND(ISNUMBER(R4093),R4093=TODAY())),"ATENÇÃO",IF(N(K4093)=0,"PENDENTE","EM ANDAMENTO"))))))</f>
        <v/>
      </c>
      <c r="C4093" s="3">
        <f>IF(D4093="","",IF(V4093=0,"🟢 OK",IF(D4093&lt;corte,"⚪ HISTÓRICO (sem baixa)",IF(AND(ISNUMBER(R4093),R4093&lt;TODAY()),"🔴 PRAZO VENCIDO",IF(AND(OR(N4093="PENDENTE",N4093="PARCIAL"),D4093&lt;TODAY()-1),"🔴 EMBARQUE ATRASADO",IF(AND(N4093="REALIZADO",M4093="PENDENTE"),"🟡 EMBARCADO SEM FATURAR",IF(AND(P4093&lt;&gt;"",S4093="",OR(Q4093="",R4093="")),"🟡 PENDÊNCIA SEM RESPONSÁVEL/PRAZO",IF(AND(ISNUMBER(R4093),R4093=TODAY()),"🟡 VENCE HOJE",IF(AND(P4093&lt;&gt;"",S4093=""),"🟡 PENDÊNCIA ABERTA",IF(AND(N(J4093)&gt;0,N(K4093)&lt;J4093),"🟡 FALTA EXECUTAR",IF(OR(M4093="PENDENTE",M4093="PARCIAL"),"🟡 FATURAMENTO PENDENTE","🟡 EMBARQUE PENDENTE")))))))))))</f>
        <v/>
      </c>
      <c r="D4093" s="4" t="n"/>
      <c r="E4093" s="5" t="n"/>
      <c r="F4093" s="5" t="n"/>
      <c r="G4093" s="5" t="n"/>
      <c r="H4093" s="5" t="n"/>
      <c r="I4093" s="5" t="n"/>
      <c r="J4093" s="6" t="n"/>
      <c r="K4093" s="6" t="n"/>
      <c r="L4093" s="7">
        <f>IF(OR(D4093="",N(J4093)=0),"",MIN(1,N(K4093)/J4093))</f>
        <v/>
      </c>
      <c r="M4093" s="5" t="n"/>
      <c r="N4093" s="5" t="n"/>
      <c r="O4093" s="5" t="n"/>
      <c r="P4093" s="5" t="n"/>
      <c r="Q4093" s="5" t="n"/>
      <c r="R4093" s="4" t="n"/>
      <c r="S4093" s="4" t="n"/>
      <c r="T4093" s="5" t="n"/>
      <c r="U4093" s="8">
        <f>IF(AND(V4093=1,D4093&lt;&gt;""),IF(D4093&gt;=corte,TODAY()-D4093,""),"")</f>
        <v/>
      </c>
      <c r="V4093" s="8">
        <f>IF(D4093="",0,IF(OR(AND(P4093&lt;&gt;"",S4093=""),AND(N(J4093)&gt;0,N(K4093)&lt;J4093),OR(M4093="PENDENTE",M4093="PARCIAL"),OR(N4093="PENDENTE",N4093="PARCIAL")),1,0))</f>
        <v/>
      </c>
      <c r="W4093" s="8">
        <f>IF(AND(V4093=1,D4093&lt;&gt;""),IF(D4093&gt;=corte,(B4093="CRÍTICO")*1E9+(100000-D4093)*10000+10000-ROW(),""),"")</f>
        <v/>
      </c>
      <c r="X4093" s="8">
        <f>IF(AND(V4093=1,D4093=pas_data,E4093=pas_turno),10000-ROW(),"")</f>
        <v/>
      </c>
    </row>
    <row r="4094">
      <c r="A4094" s="3">
        <f>IF(D4094="","","TT-"&amp;TEXT(ROW()-1,"00000"))</f>
        <v/>
      </c>
      <c r="B4094" s="3">
        <f>IF(D4094="","",IF(V4094=0,"CONCLUÍDO",IF(D4094&lt;corte,"HISTÓRICO",IF(OR(AND(ISNUMBER(R4094),R4094&lt;TODAY()),AND(OR(N4094="PENDENTE",N4094="PARCIAL"),D4094&lt;TODAY()-1)),"CRÍTICO",IF(OR(AND(P4094&lt;&gt;"",S4094=""),AND(N4094="REALIZADO",M4094="PENDENTE"),AND(ISNUMBER(R4094),R4094=TODAY())),"ATENÇÃO",IF(N(K4094)=0,"PENDENTE","EM ANDAMENTO"))))))</f>
        <v/>
      </c>
      <c r="C4094" s="3">
        <f>IF(D4094="","",IF(V4094=0,"🟢 OK",IF(D4094&lt;corte,"⚪ HISTÓRICO (sem baixa)",IF(AND(ISNUMBER(R4094),R4094&lt;TODAY()),"🔴 PRAZO VENCIDO",IF(AND(OR(N4094="PENDENTE",N4094="PARCIAL"),D4094&lt;TODAY()-1),"🔴 EMBARQUE ATRASADO",IF(AND(N4094="REALIZADO",M4094="PENDENTE"),"🟡 EMBARCADO SEM FATURAR",IF(AND(P4094&lt;&gt;"",S4094="",OR(Q4094="",R4094="")),"🟡 PENDÊNCIA SEM RESPONSÁVEL/PRAZO",IF(AND(ISNUMBER(R4094),R4094=TODAY()),"🟡 VENCE HOJE",IF(AND(P4094&lt;&gt;"",S4094=""),"🟡 PENDÊNCIA ABERTA",IF(AND(N(J4094)&gt;0,N(K4094)&lt;J4094),"🟡 FALTA EXECUTAR",IF(OR(M4094="PENDENTE",M4094="PARCIAL"),"🟡 FATURAMENTO PENDENTE","🟡 EMBARQUE PENDENTE")))))))))))</f>
        <v/>
      </c>
      <c r="D4094" s="4" t="n"/>
      <c r="E4094" s="5" t="n"/>
      <c r="F4094" s="5" t="n"/>
      <c r="G4094" s="5" t="n"/>
      <c r="H4094" s="5" t="n"/>
      <c r="I4094" s="5" t="n"/>
      <c r="J4094" s="6" t="n"/>
      <c r="K4094" s="6" t="n"/>
      <c r="L4094" s="7">
        <f>IF(OR(D4094="",N(J4094)=0),"",MIN(1,N(K4094)/J4094))</f>
        <v/>
      </c>
      <c r="M4094" s="5" t="n"/>
      <c r="N4094" s="5" t="n"/>
      <c r="O4094" s="5" t="n"/>
      <c r="P4094" s="5" t="n"/>
      <c r="Q4094" s="5" t="n"/>
      <c r="R4094" s="4" t="n"/>
      <c r="S4094" s="4" t="n"/>
      <c r="T4094" s="5" t="n"/>
      <c r="U4094" s="8">
        <f>IF(AND(V4094=1,D4094&lt;&gt;""),IF(D4094&gt;=corte,TODAY()-D4094,""),"")</f>
        <v/>
      </c>
      <c r="V4094" s="8">
        <f>IF(D4094="",0,IF(OR(AND(P4094&lt;&gt;"",S4094=""),AND(N(J4094)&gt;0,N(K4094)&lt;J4094),OR(M4094="PENDENTE",M4094="PARCIAL"),OR(N4094="PENDENTE",N4094="PARCIAL")),1,0))</f>
        <v/>
      </c>
      <c r="W4094" s="8">
        <f>IF(AND(V4094=1,D4094&lt;&gt;""),IF(D4094&gt;=corte,(B4094="CRÍTICO")*1E9+(100000-D4094)*10000+10000-ROW(),""),"")</f>
        <v/>
      </c>
      <c r="X4094" s="8">
        <f>IF(AND(V4094=1,D4094=pas_data,E4094=pas_turno),10000-ROW(),"")</f>
        <v/>
      </c>
    </row>
    <row r="4095">
      <c r="A4095" s="3">
        <f>IF(D4095="","","TT-"&amp;TEXT(ROW()-1,"00000"))</f>
        <v/>
      </c>
      <c r="B4095" s="3">
        <f>IF(D4095="","",IF(V4095=0,"CONCLUÍDO",IF(D4095&lt;corte,"HISTÓRICO",IF(OR(AND(ISNUMBER(R4095),R4095&lt;TODAY()),AND(OR(N4095="PENDENTE",N4095="PARCIAL"),D4095&lt;TODAY()-1)),"CRÍTICO",IF(OR(AND(P4095&lt;&gt;"",S4095=""),AND(N4095="REALIZADO",M4095="PENDENTE"),AND(ISNUMBER(R4095),R4095=TODAY())),"ATENÇÃO",IF(N(K4095)=0,"PENDENTE","EM ANDAMENTO"))))))</f>
        <v/>
      </c>
      <c r="C4095" s="3">
        <f>IF(D4095="","",IF(V4095=0,"🟢 OK",IF(D4095&lt;corte,"⚪ HISTÓRICO (sem baixa)",IF(AND(ISNUMBER(R4095),R4095&lt;TODAY()),"🔴 PRAZO VENCIDO",IF(AND(OR(N4095="PENDENTE",N4095="PARCIAL"),D4095&lt;TODAY()-1),"🔴 EMBARQUE ATRASADO",IF(AND(N4095="REALIZADO",M4095="PENDENTE"),"🟡 EMBARCADO SEM FATURAR",IF(AND(P4095&lt;&gt;"",S4095="",OR(Q4095="",R4095="")),"🟡 PENDÊNCIA SEM RESPONSÁVEL/PRAZO",IF(AND(ISNUMBER(R4095),R4095=TODAY()),"🟡 VENCE HOJE",IF(AND(P4095&lt;&gt;"",S4095=""),"🟡 PENDÊNCIA ABERTA",IF(AND(N(J4095)&gt;0,N(K4095)&lt;J4095),"🟡 FALTA EXECUTAR",IF(OR(M4095="PENDENTE",M4095="PARCIAL"),"🟡 FATURAMENTO PENDENTE","🟡 EMBARQUE PENDENTE")))))))))))</f>
        <v/>
      </c>
      <c r="D4095" s="4" t="n"/>
      <c r="E4095" s="5" t="n"/>
      <c r="F4095" s="5" t="n"/>
      <c r="G4095" s="5" t="n"/>
      <c r="H4095" s="5" t="n"/>
      <c r="I4095" s="5" t="n"/>
      <c r="J4095" s="6" t="n"/>
      <c r="K4095" s="6" t="n"/>
      <c r="L4095" s="7">
        <f>IF(OR(D4095="",N(J4095)=0),"",MIN(1,N(K4095)/J4095))</f>
        <v/>
      </c>
      <c r="M4095" s="5" t="n"/>
      <c r="N4095" s="5" t="n"/>
      <c r="O4095" s="5" t="n"/>
      <c r="P4095" s="5" t="n"/>
      <c r="Q4095" s="5" t="n"/>
      <c r="R4095" s="4" t="n"/>
      <c r="S4095" s="4" t="n"/>
      <c r="T4095" s="5" t="n"/>
      <c r="U4095" s="8">
        <f>IF(AND(V4095=1,D4095&lt;&gt;""),IF(D4095&gt;=corte,TODAY()-D4095,""),"")</f>
        <v/>
      </c>
      <c r="V4095" s="8">
        <f>IF(D4095="",0,IF(OR(AND(P4095&lt;&gt;"",S4095=""),AND(N(J4095)&gt;0,N(K4095)&lt;J4095),OR(M4095="PENDENTE",M4095="PARCIAL"),OR(N4095="PENDENTE",N4095="PARCIAL")),1,0))</f>
        <v/>
      </c>
      <c r="W4095" s="8">
        <f>IF(AND(V4095=1,D4095&lt;&gt;""),IF(D4095&gt;=corte,(B4095="CRÍTICO")*1E9+(100000-D4095)*10000+10000-ROW(),""),"")</f>
        <v/>
      </c>
      <c r="X4095" s="8">
        <f>IF(AND(V4095=1,D4095=pas_data,E4095=pas_turno),10000-ROW(),"")</f>
        <v/>
      </c>
    </row>
    <row r="4096">
      <c r="A4096" s="3">
        <f>IF(D4096="","","TT-"&amp;TEXT(ROW()-1,"00000"))</f>
        <v/>
      </c>
      <c r="B4096" s="3">
        <f>IF(D4096="","",IF(V4096=0,"CONCLUÍDO",IF(D4096&lt;corte,"HISTÓRICO",IF(OR(AND(ISNUMBER(R4096),R4096&lt;TODAY()),AND(OR(N4096="PENDENTE",N4096="PARCIAL"),D4096&lt;TODAY()-1)),"CRÍTICO",IF(OR(AND(P4096&lt;&gt;"",S4096=""),AND(N4096="REALIZADO",M4096="PENDENTE"),AND(ISNUMBER(R4096),R4096=TODAY())),"ATENÇÃO",IF(N(K4096)=0,"PENDENTE","EM ANDAMENTO"))))))</f>
        <v/>
      </c>
      <c r="C4096" s="3">
        <f>IF(D4096="","",IF(V4096=0,"🟢 OK",IF(D4096&lt;corte,"⚪ HISTÓRICO (sem baixa)",IF(AND(ISNUMBER(R4096),R4096&lt;TODAY()),"🔴 PRAZO VENCIDO",IF(AND(OR(N4096="PENDENTE",N4096="PARCIAL"),D4096&lt;TODAY()-1),"🔴 EMBARQUE ATRASADO",IF(AND(N4096="REALIZADO",M4096="PENDENTE"),"🟡 EMBARCADO SEM FATURAR",IF(AND(P4096&lt;&gt;"",S4096="",OR(Q4096="",R4096="")),"🟡 PENDÊNCIA SEM RESPONSÁVEL/PRAZO",IF(AND(ISNUMBER(R4096),R4096=TODAY()),"🟡 VENCE HOJE",IF(AND(P4096&lt;&gt;"",S4096=""),"🟡 PENDÊNCIA ABERTA",IF(AND(N(J4096)&gt;0,N(K4096)&lt;J4096),"🟡 FALTA EXECUTAR",IF(OR(M4096="PENDENTE",M4096="PARCIAL"),"🟡 FATURAMENTO PENDENTE","🟡 EMBARQUE PENDENTE")))))))))))</f>
        <v/>
      </c>
      <c r="D4096" s="4" t="n"/>
      <c r="E4096" s="5" t="n"/>
      <c r="F4096" s="5" t="n"/>
      <c r="G4096" s="5" t="n"/>
      <c r="H4096" s="5" t="n"/>
      <c r="I4096" s="5" t="n"/>
      <c r="J4096" s="6" t="n"/>
      <c r="K4096" s="6" t="n"/>
      <c r="L4096" s="7">
        <f>IF(OR(D4096="",N(J4096)=0),"",MIN(1,N(K4096)/J4096))</f>
        <v/>
      </c>
      <c r="M4096" s="5" t="n"/>
      <c r="N4096" s="5" t="n"/>
      <c r="O4096" s="5" t="n"/>
      <c r="P4096" s="5" t="n"/>
      <c r="Q4096" s="5" t="n"/>
      <c r="R4096" s="4" t="n"/>
      <c r="S4096" s="4" t="n"/>
      <c r="T4096" s="5" t="n"/>
      <c r="U4096" s="8">
        <f>IF(AND(V4096=1,D4096&lt;&gt;""),IF(D4096&gt;=corte,TODAY()-D4096,""),"")</f>
        <v/>
      </c>
      <c r="V4096" s="8">
        <f>IF(D4096="",0,IF(OR(AND(P4096&lt;&gt;"",S4096=""),AND(N(J4096)&gt;0,N(K4096)&lt;J4096),OR(M4096="PENDENTE",M4096="PARCIAL"),OR(N4096="PENDENTE",N4096="PARCIAL")),1,0))</f>
        <v/>
      </c>
      <c r="W4096" s="8">
        <f>IF(AND(V4096=1,D4096&lt;&gt;""),IF(D4096&gt;=corte,(B4096="CRÍTICO")*1E9+(100000-D4096)*10000+10000-ROW(),""),"")</f>
        <v/>
      </c>
      <c r="X4096" s="8">
        <f>IF(AND(V4096=1,D4096=pas_data,E4096=pas_turno),10000-ROW(),"")</f>
        <v/>
      </c>
    </row>
    <row r="4097">
      <c r="A4097" s="3">
        <f>IF(D4097="","","TT-"&amp;TEXT(ROW()-1,"00000"))</f>
        <v/>
      </c>
      <c r="B4097" s="3">
        <f>IF(D4097="","",IF(V4097=0,"CONCLUÍDO",IF(D4097&lt;corte,"HISTÓRICO",IF(OR(AND(ISNUMBER(R4097),R4097&lt;TODAY()),AND(OR(N4097="PENDENTE",N4097="PARCIAL"),D4097&lt;TODAY()-1)),"CRÍTICO",IF(OR(AND(P4097&lt;&gt;"",S4097=""),AND(N4097="REALIZADO",M4097="PENDENTE"),AND(ISNUMBER(R4097),R4097=TODAY())),"ATENÇÃO",IF(N(K4097)=0,"PENDENTE","EM ANDAMENTO"))))))</f>
        <v/>
      </c>
      <c r="C4097" s="3">
        <f>IF(D4097="","",IF(V4097=0,"🟢 OK",IF(D4097&lt;corte,"⚪ HISTÓRICO (sem baixa)",IF(AND(ISNUMBER(R4097),R4097&lt;TODAY()),"🔴 PRAZO VENCIDO",IF(AND(OR(N4097="PENDENTE",N4097="PARCIAL"),D4097&lt;TODAY()-1),"🔴 EMBARQUE ATRASADO",IF(AND(N4097="REALIZADO",M4097="PENDENTE"),"🟡 EMBARCADO SEM FATURAR",IF(AND(P4097&lt;&gt;"",S4097="",OR(Q4097="",R4097="")),"🟡 PENDÊNCIA SEM RESPONSÁVEL/PRAZO",IF(AND(ISNUMBER(R4097),R4097=TODAY()),"🟡 VENCE HOJE",IF(AND(P4097&lt;&gt;"",S4097=""),"🟡 PENDÊNCIA ABERTA",IF(AND(N(J4097)&gt;0,N(K4097)&lt;J4097),"🟡 FALTA EXECUTAR",IF(OR(M4097="PENDENTE",M4097="PARCIAL"),"🟡 FATURAMENTO PENDENTE","🟡 EMBARQUE PENDENTE")))))))))))</f>
        <v/>
      </c>
      <c r="D4097" s="4" t="n"/>
      <c r="E4097" s="5" t="n"/>
      <c r="F4097" s="5" t="n"/>
      <c r="G4097" s="5" t="n"/>
      <c r="H4097" s="5" t="n"/>
      <c r="I4097" s="5" t="n"/>
      <c r="J4097" s="6" t="n"/>
      <c r="K4097" s="6" t="n"/>
      <c r="L4097" s="7">
        <f>IF(OR(D4097="",N(J4097)=0),"",MIN(1,N(K4097)/J4097))</f>
        <v/>
      </c>
      <c r="M4097" s="5" t="n"/>
      <c r="N4097" s="5" t="n"/>
      <c r="O4097" s="5" t="n"/>
      <c r="P4097" s="5" t="n"/>
      <c r="Q4097" s="5" t="n"/>
      <c r="R4097" s="4" t="n"/>
      <c r="S4097" s="4" t="n"/>
      <c r="T4097" s="5" t="n"/>
      <c r="U4097" s="8">
        <f>IF(AND(V4097=1,D4097&lt;&gt;""),IF(D4097&gt;=corte,TODAY()-D4097,""),"")</f>
        <v/>
      </c>
      <c r="V4097" s="8">
        <f>IF(D4097="",0,IF(OR(AND(P4097&lt;&gt;"",S4097=""),AND(N(J4097)&gt;0,N(K4097)&lt;J4097),OR(M4097="PENDENTE",M4097="PARCIAL"),OR(N4097="PENDENTE",N4097="PARCIAL")),1,0))</f>
        <v/>
      </c>
      <c r="W4097" s="8">
        <f>IF(AND(V4097=1,D4097&lt;&gt;""),IF(D4097&gt;=corte,(B4097="CRÍTICO")*1E9+(100000-D4097)*10000+10000-ROW(),""),"")</f>
        <v/>
      </c>
      <c r="X4097" s="8">
        <f>IF(AND(V4097=1,D4097=pas_data,E4097=pas_turno),10000-ROW(),"")</f>
        <v/>
      </c>
    </row>
    <row r="4098">
      <c r="A4098" s="3">
        <f>IF(D4098="","","TT-"&amp;TEXT(ROW()-1,"00000"))</f>
        <v/>
      </c>
      <c r="B4098" s="3">
        <f>IF(D4098="","",IF(V4098=0,"CONCLUÍDO",IF(D4098&lt;corte,"HISTÓRICO",IF(OR(AND(ISNUMBER(R4098),R4098&lt;TODAY()),AND(OR(N4098="PENDENTE",N4098="PARCIAL"),D4098&lt;TODAY()-1)),"CRÍTICO",IF(OR(AND(P4098&lt;&gt;"",S4098=""),AND(N4098="REALIZADO",M4098="PENDENTE"),AND(ISNUMBER(R4098),R4098=TODAY())),"ATENÇÃO",IF(N(K4098)=0,"PENDENTE","EM ANDAMENTO"))))))</f>
        <v/>
      </c>
      <c r="C4098" s="3">
        <f>IF(D4098="","",IF(V4098=0,"🟢 OK",IF(D4098&lt;corte,"⚪ HISTÓRICO (sem baixa)",IF(AND(ISNUMBER(R4098),R4098&lt;TODAY()),"🔴 PRAZO VENCIDO",IF(AND(OR(N4098="PENDENTE",N4098="PARCIAL"),D4098&lt;TODAY()-1),"🔴 EMBARQUE ATRASADO",IF(AND(N4098="REALIZADO",M4098="PENDENTE"),"🟡 EMBARCADO SEM FATURAR",IF(AND(P4098&lt;&gt;"",S4098="",OR(Q4098="",R4098="")),"🟡 PENDÊNCIA SEM RESPONSÁVEL/PRAZO",IF(AND(ISNUMBER(R4098),R4098=TODAY()),"🟡 VENCE HOJE",IF(AND(P4098&lt;&gt;"",S4098=""),"🟡 PENDÊNCIA ABERTA",IF(AND(N(J4098)&gt;0,N(K4098)&lt;J4098),"🟡 FALTA EXECUTAR",IF(OR(M4098="PENDENTE",M4098="PARCIAL"),"🟡 FATURAMENTO PENDENTE","🟡 EMBARQUE PENDENTE")))))))))))</f>
        <v/>
      </c>
      <c r="D4098" s="4" t="n"/>
      <c r="E4098" s="5" t="n"/>
      <c r="F4098" s="5" t="n"/>
      <c r="G4098" s="5" t="n"/>
      <c r="H4098" s="5" t="n"/>
      <c r="I4098" s="5" t="n"/>
      <c r="J4098" s="6" t="n"/>
      <c r="K4098" s="6" t="n"/>
      <c r="L4098" s="7">
        <f>IF(OR(D4098="",N(J4098)=0),"",MIN(1,N(K4098)/J4098))</f>
        <v/>
      </c>
      <c r="M4098" s="5" t="n"/>
      <c r="N4098" s="5" t="n"/>
      <c r="O4098" s="5" t="n"/>
      <c r="P4098" s="5" t="n"/>
      <c r="Q4098" s="5" t="n"/>
      <c r="R4098" s="4" t="n"/>
      <c r="S4098" s="4" t="n"/>
      <c r="T4098" s="5" t="n"/>
      <c r="U4098" s="8">
        <f>IF(AND(V4098=1,D4098&lt;&gt;""),IF(D4098&gt;=corte,TODAY()-D4098,""),"")</f>
        <v/>
      </c>
      <c r="V4098" s="8">
        <f>IF(D4098="",0,IF(OR(AND(P4098&lt;&gt;"",S4098=""),AND(N(J4098)&gt;0,N(K4098)&lt;J4098),OR(M4098="PENDENTE",M4098="PARCIAL"),OR(N4098="PENDENTE",N4098="PARCIAL")),1,0))</f>
        <v/>
      </c>
      <c r="W4098" s="8">
        <f>IF(AND(V4098=1,D4098&lt;&gt;""),IF(D4098&gt;=corte,(B4098="CRÍTICO")*1E9+(100000-D4098)*10000+10000-ROW(),""),"")</f>
        <v/>
      </c>
      <c r="X4098" s="8">
        <f>IF(AND(V4098=1,D4098=pas_data,E4098=pas_turno),10000-ROW(),"")</f>
        <v/>
      </c>
    </row>
    <row r="4099">
      <c r="A4099" s="3">
        <f>IF(D4099="","","TT-"&amp;TEXT(ROW()-1,"00000"))</f>
        <v/>
      </c>
      <c r="B4099" s="3">
        <f>IF(D4099="","",IF(V4099=0,"CONCLUÍDO",IF(D4099&lt;corte,"HISTÓRICO",IF(OR(AND(ISNUMBER(R4099),R4099&lt;TODAY()),AND(OR(N4099="PENDENTE",N4099="PARCIAL"),D4099&lt;TODAY()-1)),"CRÍTICO",IF(OR(AND(P4099&lt;&gt;"",S4099=""),AND(N4099="REALIZADO",M4099="PENDENTE"),AND(ISNUMBER(R4099),R4099=TODAY())),"ATENÇÃO",IF(N(K4099)=0,"PENDENTE","EM ANDAMENTO"))))))</f>
        <v/>
      </c>
      <c r="C4099" s="3">
        <f>IF(D4099="","",IF(V4099=0,"🟢 OK",IF(D4099&lt;corte,"⚪ HISTÓRICO (sem baixa)",IF(AND(ISNUMBER(R4099),R4099&lt;TODAY()),"🔴 PRAZO VENCIDO",IF(AND(OR(N4099="PENDENTE",N4099="PARCIAL"),D4099&lt;TODAY()-1),"🔴 EMBARQUE ATRASADO",IF(AND(N4099="REALIZADO",M4099="PENDENTE"),"🟡 EMBARCADO SEM FATURAR",IF(AND(P4099&lt;&gt;"",S4099="",OR(Q4099="",R4099="")),"🟡 PENDÊNCIA SEM RESPONSÁVEL/PRAZO",IF(AND(ISNUMBER(R4099),R4099=TODAY()),"🟡 VENCE HOJE",IF(AND(P4099&lt;&gt;"",S4099=""),"🟡 PENDÊNCIA ABERTA",IF(AND(N(J4099)&gt;0,N(K4099)&lt;J4099),"🟡 FALTA EXECUTAR",IF(OR(M4099="PENDENTE",M4099="PARCIAL"),"🟡 FATURAMENTO PENDENTE","🟡 EMBARQUE PENDENTE")))))))))))</f>
        <v/>
      </c>
      <c r="D4099" s="4" t="n"/>
      <c r="E4099" s="5" t="n"/>
      <c r="F4099" s="5" t="n"/>
      <c r="G4099" s="5" t="n"/>
      <c r="H4099" s="5" t="n"/>
      <c r="I4099" s="5" t="n"/>
      <c r="J4099" s="6" t="n"/>
      <c r="K4099" s="6" t="n"/>
      <c r="L4099" s="7">
        <f>IF(OR(D4099="",N(J4099)=0),"",MIN(1,N(K4099)/J4099))</f>
        <v/>
      </c>
      <c r="M4099" s="5" t="n"/>
      <c r="N4099" s="5" t="n"/>
      <c r="O4099" s="5" t="n"/>
      <c r="P4099" s="5" t="n"/>
      <c r="Q4099" s="5" t="n"/>
      <c r="R4099" s="4" t="n"/>
      <c r="S4099" s="4" t="n"/>
      <c r="T4099" s="5" t="n"/>
      <c r="U4099" s="8">
        <f>IF(AND(V4099=1,D4099&lt;&gt;""),IF(D4099&gt;=corte,TODAY()-D4099,""),"")</f>
        <v/>
      </c>
      <c r="V4099" s="8">
        <f>IF(D4099="",0,IF(OR(AND(P4099&lt;&gt;"",S4099=""),AND(N(J4099)&gt;0,N(K4099)&lt;J4099),OR(M4099="PENDENTE",M4099="PARCIAL"),OR(N4099="PENDENTE",N4099="PARCIAL")),1,0))</f>
        <v/>
      </c>
      <c r="W4099" s="8">
        <f>IF(AND(V4099=1,D4099&lt;&gt;""),IF(D4099&gt;=corte,(B4099="CRÍTICO")*1E9+(100000-D4099)*10000+10000-ROW(),""),"")</f>
        <v/>
      </c>
      <c r="X4099" s="8">
        <f>IF(AND(V4099=1,D4099=pas_data,E4099=pas_turno),10000-ROW(),"")</f>
        <v/>
      </c>
    </row>
    <row r="4100">
      <c r="A4100" s="3">
        <f>IF(D4100="","","TT-"&amp;TEXT(ROW()-1,"00000"))</f>
        <v/>
      </c>
      <c r="B4100" s="3">
        <f>IF(D4100="","",IF(V4100=0,"CONCLUÍDO",IF(D4100&lt;corte,"HISTÓRICO",IF(OR(AND(ISNUMBER(R4100),R4100&lt;TODAY()),AND(OR(N4100="PENDENTE",N4100="PARCIAL"),D4100&lt;TODAY()-1)),"CRÍTICO",IF(OR(AND(P4100&lt;&gt;"",S4100=""),AND(N4100="REALIZADO",M4100="PENDENTE"),AND(ISNUMBER(R4100),R4100=TODAY())),"ATENÇÃO",IF(N(K4100)=0,"PENDENTE","EM ANDAMENTO"))))))</f>
        <v/>
      </c>
      <c r="C4100" s="3">
        <f>IF(D4100="","",IF(V4100=0,"🟢 OK",IF(D4100&lt;corte,"⚪ HISTÓRICO (sem baixa)",IF(AND(ISNUMBER(R4100),R4100&lt;TODAY()),"🔴 PRAZO VENCIDO",IF(AND(OR(N4100="PENDENTE",N4100="PARCIAL"),D4100&lt;TODAY()-1),"🔴 EMBARQUE ATRASADO",IF(AND(N4100="REALIZADO",M4100="PENDENTE"),"🟡 EMBARCADO SEM FATURAR",IF(AND(P4100&lt;&gt;"",S4100="",OR(Q4100="",R4100="")),"🟡 PENDÊNCIA SEM RESPONSÁVEL/PRAZO",IF(AND(ISNUMBER(R4100),R4100=TODAY()),"🟡 VENCE HOJE",IF(AND(P4100&lt;&gt;"",S4100=""),"🟡 PENDÊNCIA ABERTA",IF(AND(N(J4100)&gt;0,N(K4100)&lt;J4100),"🟡 FALTA EXECUTAR",IF(OR(M4100="PENDENTE",M4100="PARCIAL"),"🟡 FATURAMENTO PENDENTE","🟡 EMBARQUE PENDENTE")))))))))))</f>
        <v/>
      </c>
      <c r="D4100" s="4" t="n"/>
      <c r="E4100" s="5" t="n"/>
      <c r="F4100" s="5" t="n"/>
      <c r="G4100" s="5" t="n"/>
      <c r="H4100" s="5" t="n"/>
      <c r="I4100" s="5" t="n"/>
      <c r="J4100" s="6" t="n"/>
      <c r="K4100" s="6" t="n"/>
      <c r="L4100" s="7">
        <f>IF(OR(D4100="",N(J4100)=0),"",MIN(1,N(K4100)/J4100))</f>
        <v/>
      </c>
      <c r="M4100" s="5" t="n"/>
      <c r="N4100" s="5" t="n"/>
      <c r="O4100" s="5" t="n"/>
      <c r="P4100" s="5" t="n"/>
      <c r="Q4100" s="5" t="n"/>
      <c r="R4100" s="4" t="n"/>
      <c r="S4100" s="4" t="n"/>
      <c r="T4100" s="5" t="n"/>
      <c r="U4100" s="8">
        <f>IF(AND(V4100=1,D4100&lt;&gt;""),IF(D4100&gt;=corte,TODAY()-D4100,""),"")</f>
        <v/>
      </c>
      <c r="V4100" s="8">
        <f>IF(D4100="",0,IF(OR(AND(P4100&lt;&gt;"",S4100=""),AND(N(J4100)&gt;0,N(K4100)&lt;J4100),OR(M4100="PENDENTE",M4100="PARCIAL"),OR(N4100="PENDENTE",N4100="PARCIAL")),1,0))</f>
        <v/>
      </c>
      <c r="W4100" s="8">
        <f>IF(AND(V4100=1,D4100&lt;&gt;""),IF(D4100&gt;=corte,(B4100="CRÍTICO")*1E9+(100000-D4100)*10000+10000-ROW(),""),"")</f>
        <v/>
      </c>
      <c r="X4100" s="8">
        <f>IF(AND(V4100=1,D4100=pas_data,E4100=pas_turno),10000-ROW(),"")</f>
        <v/>
      </c>
    </row>
    <row r="4101">
      <c r="A4101" s="3">
        <f>IF(D4101="","","TT-"&amp;TEXT(ROW()-1,"00000"))</f>
        <v/>
      </c>
      <c r="B4101" s="3">
        <f>IF(D4101="","",IF(V4101=0,"CONCLUÍDO",IF(D4101&lt;corte,"HISTÓRICO",IF(OR(AND(ISNUMBER(R4101),R4101&lt;TODAY()),AND(OR(N4101="PENDENTE",N4101="PARCIAL"),D4101&lt;TODAY()-1)),"CRÍTICO",IF(OR(AND(P4101&lt;&gt;"",S4101=""),AND(N4101="REALIZADO",M4101="PENDENTE"),AND(ISNUMBER(R4101),R4101=TODAY())),"ATENÇÃO",IF(N(K4101)=0,"PENDENTE","EM ANDAMENTO"))))))</f>
        <v/>
      </c>
      <c r="C4101" s="3">
        <f>IF(D4101="","",IF(V4101=0,"🟢 OK",IF(D4101&lt;corte,"⚪ HISTÓRICO (sem baixa)",IF(AND(ISNUMBER(R4101),R4101&lt;TODAY()),"🔴 PRAZO VENCIDO",IF(AND(OR(N4101="PENDENTE",N4101="PARCIAL"),D4101&lt;TODAY()-1),"🔴 EMBARQUE ATRASADO",IF(AND(N4101="REALIZADO",M4101="PENDENTE"),"🟡 EMBARCADO SEM FATURAR",IF(AND(P4101&lt;&gt;"",S4101="",OR(Q4101="",R4101="")),"🟡 PENDÊNCIA SEM RESPONSÁVEL/PRAZO",IF(AND(ISNUMBER(R4101),R4101=TODAY()),"🟡 VENCE HOJE",IF(AND(P4101&lt;&gt;"",S4101=""),"🟡 PENDÊNCIA ABERTA",IF(AND(N(J4101)&gt;0,N(K4101)&lt;J4101),"🟡 FALTA EXECUTAR",IF(OR(M4101="PENDENTE",M4101="PARCIAL"),"🟡 FATURAMENTO PENDENTE","🟡 EMBARQUE PENDENTE")))))))))))</f>
        <v/>
      </c>
      <c r="D4101" s="4" t="n"/>
      <c r="E4101" s="5" t="n"/>
      <c r="F4101" s="5" t="n"/>
      <c r="G4101" s="5" t="n"/>
      <c r="H4101" s="5" t="n"/>
      <c r="I4101" s="5" t="n"/>
      <c r="J4101" s="6" t="n"/>
      <c r="K4101" s="6" t="n"/>
      <c r="L4101" s="7">
        <f>IF(OR(D4101="",N(J4101)=0),"",MIN(1,N(K4101)/J4101))</f>
        <v/>
      </c>
      <c r="M4101" s="5" t="n"/>
      <c r="N4101" s="5" t="n"/>
      <c r="O4101" s="5" t="n"/>
      <c r="P4101" s="5" t="n"/>
      <c r="Q4101" s="5" t="n"/>
      <c r="R4101" s="4" t="n"/>
      <c r="S4101" s="4" t="n"/>
      <c r="T4101" s="5" t="n"/>
      <c r="U4101" s="8">
        <f>IF(AND(V4101=1,D4101&lt;&gt;""),IF(D4101&gt;=corte,TODAY()-D4101,""),"")</f>
        <v/>
      </c>
      <c r="V4101" s="8">
        <f>IF(D4101="",0,IF(OR(AND(P4101&lt;&gt;"",S4101=""),AND(N(J4101)&gt;0,N(K4101)&lt;J4101),OR(M4101="PENDENTE",M4101="PARCIAL"),OR(N4101="PENDENTE",N4101="PARCIAL")),1,0))</f>
        <v/>
      </c>
      <c r="W4101" s="8">
        <f>IF(AND(V4101=1,D4101&lt;&gt;""),IF(D4101&gt;=corte,(B4101="CRÍTICO")*1E9+(100000-D4101)*10000+10000-ROW(),""),"")</f>
        <v/>
      </c>
      <c r="X4101" s="8">
        <f>IF(AND(V4101=1,D4101=pas_data,E4101=pas_turno),10000-ROW(),"")</f>
        <v/>
      </c>
    </row>
    <row r="4102">
      <c r="A4102" s="3">
        <f>IF(D4102="","","TT-"&amp;TEXT(ROW()-1,"00000"))</f>
        <v/>
      </c>
      <c r="B4102" s="3">
        <f>IF(D4102="","",IF(V4102=0,"CONCLUÍDO",IF(D4102&lt;corte,"HISTÓRICO",IF(OR(AND(ISNUMBER(R4102),R4102&lt;TODAY()),AND(OR(N4102="PENDENTE",N4102="PARCIAL"),D4102&lt;TODAY()-1)),"CRÍTICO",IF(OR(AND(P4102&lt;&gt;"",S4102=""),AND(N4102="REALIZADO",M4102="PENDENTE"),AND(ISNUMBER(R4102),R4102=TODAY())),"ATENÇÃO",IF(N(K4102)=0,"PENDENTE","EM ANDAMENTO"))))))</f>
        <v/>
      </c>
      <c r="C4102" s="3">
        <f>IF(D4102="","",IF(V4102=0,"🟢 OK",IF(D4102&lt;corte,"⚪ HISTÓRICO (sem baixa)",IF(AND(ISNUMBER(R4102),R4102&lt;TODAY()),"🔴 PRAZO VENCIDO",IF(AND(OR(N4102="PENDENTE",N4102="PARCIAL"),D4102&lt;TODAY()-1),"🔴 EMBARQUE ATRASADO",IF(AND(N4102="REALIZADO",M4102="PENDENTE"),"🟡 EMBARCADO SEM FATURAR",IF(AND(P4102&lt;&gt;"",S4102="",OR(Q4102="",R4102="")),"🟡 PENDÊNCIA SEM RESPONSÁVEL/PRAZO",IF(AND(ISNUMBER(R4102),R4102=TODAY()),"🟡 VENCE HOJE",IF(AND(P4102&lt;&gt;"",S4102=""),"🟡 PENDÊNCIA ABERTA",IF(AND(N(J4102)&gt;0,N(K4102)&lt;J4102),"🟡 FALTA EXECUTAR",IF(OR(M4102="PENDENTE",M4102="PARCIAL"),"🟡 FATURAMENTO PENDENTE","🟡 EMBARQUE PENDENTE")))))))))))</f>
        <v/>
      </c>
      <c r="D4102" s="4" t="n"/>
      <c r="E4102" s="5" t="n"/>
      <c r="F4102" s="5" t="n"/>
      <c r="G4102" s="5" t="n"/>
      <c r="H4102" s="5" t="n"/>
      <c r="I4102" s="5" t="n"/>
      <c r="J4102" s="6" t="n"/>
      <c r="K4102" s="6" t="n"/>
      <c r="L4102" s="7">
        <f>IF(OR(D4102="",N(J4102)=0),"",MIN(1,N(K4102)/J4102))</f>
        <v/>
      </c>
      <c r="M4102" s="5" t="n"/>
      <c r="N4102" s="5" t="n"/>
      <c r="O4102" s="5" t="n"/>
      <c r="P4102" s="5" t="n"/>
      <c r="Q4102" s="5" t="n"/>
      <c r="R4102" s="4" t="n"/>
      <c r="S4102" s="4" t="n"/>
      <c r="T4102" s="5" t="n"/>
      <c r="U4102" s="8">
        <f>IF(AND(V4102=1,D4102&lt;&gt;""),IF(D4102&gt;=corte,TODAY()-D4102,""),"")</f>
        <v/>
      </c>
      <c r="V4102" s="8">
        <f>IF(D4102="",0,IF(OR(AND(P4102&lt;&gt;"",S4102=""),AND(N(J4102)&gt;0,N(K4102)&lt;J4102),OR(M4102="PENDENTE",M4102="PARCIAL"),OR(N4102="PENDENTE",N4102="PARCIAL")),1,0))</f>
        <v/>
      </c>
      <c r="W4102" s="8">
        <f>IF(AND(V4102=1,D4102&lt;&gt;""),IF(D4102&gt;=corte,(B4102="CRÍTICO")*1E9+(100000-D4102)*10000+10000-ROW(),""),"")</f>
        <v/>
      </c>
      <c r="X4102" s="8">
        <f>IF(AND(V4102=1,D4102=pas_data,E4102=pas_turno),10000-ROW(),"")</f>
        <v/>
      </c>
    </row>
    <row r="4103">
      <c r="A4103" s="3">
        <f>IF(D4103="","","TT-"&amp;TEXT(ROW()-1,"00000"))</f>
        <v/>
      </c>
      <c r="B4103" s="3">
        <f>IF(D4103="","",IF(V4103=0,"CONCLUÍDO",IF(D4103&lt;corte,"HISTÓRICO",IF(OR(AND(ISNUMBER(R4103),R4103&lt;TODAY()),AND(OR(N4103="PENDENTE",N4103="PARCIAL"),D4103&lt;TODAY()-1)),"CRÍTICO",IF(OR(AND(P4103&lt;&gt;"",S4103=""),AND(N4103="REALIZADO",M4103="PENDENTE"),AND(ISNUMBER(R4103),R4103=TODAY())),"ATENÇÃO",IF(N(K4103)=0,"PENDENTE","EM ANDAMENTO"))))))</f>
        <v/>
      </c>
      <c r="C4103" s="3">
        <f>IF(D4103="","",IF(V4103=0,"🟢 OK",IF(D4103&lt;corte,"⚪ HISTÓRICO (sem baixa)",IF(AND(ISNUMBER(R4103),R4103&lt;TODAY()),"🔴 PRAZO VENCIDO",IF(AND(OR(N4103="PENDENTE",N4103="PARCIAL"),D4103&lt;TODAY()-1),"🔴 EMBARQUE ATRASADO",IF(AND(N4103="REALIZADO",M4103="PENDENTE"),"🟡 EMBARCADO SEM FATURAR",IF(AND(P4103&lt;&gt;"",S4103="",OR(Q4103="",R4103="")),"🟡 PENDÊNCIA SEM RESPONSÁVEL/PRAZO",IF(AND(ISNUMBER(R4103),R4103=TODAY()),"🟡 VENCE HOJE",IF(AND(P4103&lt;&gt;"",S4103=""),"🟡 PENDÊNCIA ABERTA",IF(AND(N(J4103)&gt;0,N(K4103)&lt;J4103),"🟡 FALTA EXECUTAR",IF(OR(M4103="PENDENTE",M4103="PARCIAL"),"🟡 FATURAMENTO PENDENTE","🟡 EMBARQUE PENDENTE")))))))))))</f>
        <v/>
      </c>
      <c r="D4103" s="4" t="n"/>
      <c r="E4103" s="5" t="n"/>
      <c r="F4103" s="5" t="n"/>
      <c r="G4103" s="5" t="n"/>
      <c r="H4103" s="5" t="n"/>
      <c r="I4103" s="5" t="n"/>
      <c r="J4103" s="6" t="n"/>
      <c r="K4103" s="6" t="n"/>
      <c r="L4103" s="7">
        <f>IF(OR(D4103="",N(J4103)=0),"",MIN(1,N(K4103)/J4103))</f>
        <v/>
      </c>
      <c r="M4103" s="5" t="n"/>
      <c r="N4103" s="5" t="n"/>
      <c r="O4103" s="5" t="n"/>
      <c r="P4103" s="5" t="n"/>
      <c r="Q4103" s="5" t="n"/>
      <c r="R4103" s="4" t="n"/>
      <c r="S4103" s="4" t="n"/>
      <c r="T4103" s="5" t="n"/>
      <c r="U4103" s="8">
        <f>IF(AND(V4103=1,D4103&lt;&gt;""),IF(D4103&gt;=corte,TODAY()-D4103,""),"")</f>
        <v/>
      </c>
      <c r="V4103" s="8">
        <f>IF(D4103="",0,IF(OR(AND(P4103&lt;&gt;"",S4103=""),AND(N(J4103)&gt;0,N(K4103)&lt;J4103),OR(M4103="PENDENTE",M4103="PARCIAL"),OR(N4103="PENDENTE",N4103="PARCIAL")),1,0))</f>
        <v/>
      </c>
      <c r="W4103" s="8">
        <f>IF(AND(V4103=1,D4103&lt;&gt;""),IF(D4103&gt;=corte,(B4103="CRÍTICO")*1E9+(100000-D4103)*10000+10000-ROW(),""),"")</f>
        <v/>
      </c>
      <c r="X4103" s="8">
        <f>IF(AND(V4103=1,D4103=pas_data,E4103=pas_turno),10000-ROW(),"")</f>
        <v/>
      </c>
    </row>
    <row r="4104">
      <c r="A4104" s="3">
        <f>IF(D4104="","","TT-"&amp;TEXT(ROW()-1,"00000"))</f>
        <v/>
      </c>
      <c r="B4104" s="3">
        <f>IF(D4104="","",IF(V4104=0,"CONCLUÍDO",IF(D4104&lt;corte,"HISTÓRICO",IF(OR(AND(ISNUMBER(R4104),R4104&lt;TODAY()),AND(OR(N4104="PENDENTE",N4104="PARCIAL"),D4104&lt;TODAY()-1)),"CRÍTICO",IF(OR(AND(P4104&lt;&gt;"",S4104=""),AND(N4104="REALIZADO",M4104="PENDENTE"),AND(ISNUMBER(R4104),R4104=TODAY())),"ATENÇÃO",IF(N(K4104)=0,"PENDENTE","EM ANDAMENTO"))))))</f>
        <v/>
      </c>
      <c r="C4104" s="3">
        <f>IF(D4104="","",IF(V4104=0,"🟢 OK",IF(D4104&lt;corte,"⚪ HISTÓRICO (sem baixa)",IF(AND(ISNUMBER(R4104),R4104&lt;TODAY()),"🔴 PRAZO VENCIDO",IF(AND(OR(N4104="PENDENTE",N4104="PARCIAL"),D4104&lt;TODAY()-1),"🔴 EMBARQUE ATRASADO",IF(AND(N4104="REALIZADO",M4104="PENDENTE"),"🟡 EMBARCADO SEM FATURAR",IF(AND(P4104&lt;&gt;"",S4104="",OR(Q4104="",R4104="")),"🟡 PENDÊNCIA SEM RESPONSÁVEL/PRAZO",IF(AND(ISNUMBER(R4104),R4104=TODAY()),"🟡 VENCE HOJE",IF(AND(P4104&lt;&gt;"",S4104=""),"🟡 PENDÊNCIA ABERTA",IF(AND(N(J4104)&gt;0,N(K4104)&lt;J4104),"🟡 FALTA EXECUTAR",IF(OR(M4104="PENDENTE",M4104="PARCIAL"),"🟡 FATURAMENTO PENDENTE","🟡 EMBARQUE PENDENTE")))))))))))</f>
        <v/>
      </c>
      <c r="D4104" s="4" t="n"/>
      <c r="E4104" s="5" t="n"/>
      <c r="F4104" s="5" t="n"/>
      <c r="G4104" s="5" t="n"/>
      <c r="H4104" s="5" t="n"/>
      <c r="I4104" s="5" t="n"/>
      <c r="J4104" s="6" t="n"/>
      <c r="K4104" s="6" t="n"/>
      <c r="L4104" s="7">
        <f>IF(OR(D4104="",N(J4104)=0),"",MIN(1,N(K4104)/J4104))</f>
        <v/>
      </c>
      <c r="M4104" s="5" t="n"/>
      <c r="N4104" s="5" t="n"/>
      <c r="O4104" s="5" t="n"/>
      <c r="P4104" s="5" t="n"/>
      <c r="Q4104" s="5" t="n"/>
      <c r="R4104" s="4" t="n"/>
      <c r="S4104" s="4" t="n"/>
      <c r="T4104" s="5" t="n"/>
      <c r="U4104" s="8">
        <f>IF(AND(V4104=1,D4104&lt;&gt;""),IF(D4104&gt;=corte,TODAY()-D4104,""),"")</f>
        <v/>
      </c>
      <c r="V4104" s="8">
        <f>IF(D4104="",0,IF(OR(AND(P4104&lt;&gt;"",S4104=""),AND(N(J4104)&gt;0,N(K4104)&lt;J4104),OR(M4104="PENDENTE",M4104="PARCIAL"),OR(N4104="PENDENTE",N4104="PARCIAL")),1,0))</f>
        <v/>
      </c>
      <c r="W4104" s="8">
        <f>IF(AND(V4104=1,D4104&lt;&gt;""),IF(D4104&gt;=corte,(B4104="CRÍTICO")*1E9+(100000-D4104)*10000+10000-ROW(),""),"")</f>
        <v/>
      </c>
      <c r="X4104" s="8">
        <f>IF(AND(V4104=1,D4104=pas_data,E4104=pas_turno),10000-ROW(),"")</f>
        <v/>
      </c>
    </row>
    <row r="4105">
      <c r="A4105" s="3">
        <f>IF(D4105="","","TT-"&amp;TEXT(ROW()-1,"00000"))</f>
        <v/>
      </c>
      <c r="B4105" s="3">
        <f>IF(D4105="","",IF(V4105=0,"CONCLUÍDO",IF(D4105&lt;corte,"HISTÓRICO",IF(OR(AND(ISNUMBER(R4105),R4105&lt;TODAY()),AND(OR(N4105="PENDENTE",N4105="PARCIAL"),D4105&lt;TODAY()-1)),"CRÍTICO",IF(OR(AND(P4105&lt;&gt;"",S4105=""),AND(N4105="REALIZADO",M4105="PENDENTE"),AND(ISNUMBER(R4105),R4105=TODAY())),"ATENÇÃO",IF(N(K4105)=0,"PENDENTE","EM ANDAMENTO"))))))</f>
        <v/>
      </c>
      <c r="C4105" s="3">
        <f>IF(D4105="","",IF(V4105=0,"🟢 OK",IF(D4105&lt;corte,"⚪ HISTÓRICO (sem baixa)",IF(AND(ISNUMBER(R4105),R4105&lt;TODAY()),"🔴 PRAZO VENCIDO",IF(AND(OR(N4105="PENDENTE",N4105="PARCIAL"),D4105&lt;TODAY()-1),"🔴 EMBARQUE ATRASADO",IF(AND(N4105="REALIZADO",M4105="PENDENTE"),"🟡 EMBARCADO SEM FATURAR",IF(AND(P4105&lt;&gt;"",S4105="",OR(Q4105="",R4105="")),"🟡 PENDÊNCIA SEM RESPONSÁVEL/PRAZO",IF(AND(ISNUMBER(R4105),R4105=TODAY()),"🟡 VENCE HOJE",IF(AND(P4105&lt;&gt;"",S4105=""),"🟡 PENDÊNCIA ABERTA",IF(AND(N(J4105)&gt;0,N(K4105)&lt;J4105),"🟡 FALTA EXECUTAR",IF(OR(M4105="PENDENTE",M4105="PARCIAL"),"🟡 FATURAMENTO PENDENTE","🟡 EMBARQUE PENDENTE")))))))))))</f>
        <v/>
      </c>
      <c r="D4105" s="4" t="n"/>
      <c r="E4105" s="5" t="n"/>
      <c r="F4105" s="5" t="n"/>
      <c r="G4105" s="5" t="n"/>
      <c r="H4105" s="5" t="n"/>
      <c r="I4105" s="5" t="n"/>
      <c r="J4105" s="6" t="n"/>
      <c r="K4105" s="6" t="n"/>
      <c r="L4105" s="7">
        <f>IF(OR(D4105="",N(J4105)=0),"",MIN(1,N(K4105)/J4105))</f>
        <v/>
      </c>
      <c r="M4105" s="5" t="n"/>
      <c r="N4105" s="5" t="n"/>
      <c r="O4105" s="5" t="n"/>
      <c r="P4105" s="5" t="n"/>
      <c r="Q4105" s="5" t="n"/>
      <c r="R4105" s="4" t="n"/>
      <c r="S4105" s="4" t="n"/>
      <c r="T4105" s="5" t="n"/>
      <c r="U4105" s="8">
        <f>IF(AND(V4105=1,D4105&lt;&gt;""),IF(D4105&gt;=corte,TODAY()-D4105,""),"")</f>
        <v/>
      </c>
      <c r="V4105" s="8">
        <f>IF(D4105="",0,IF(OR(AND(P4105&lt;&gt;"",S4105=""),AND(N(J4105)&gt;0,N(K4105)&lt;J4105),OR(M4105="PENDENTE",M4105="PARCIAL"),OR(N4105="PENDENTE",N4105="PARCIAL")),1,0))</f>
        <v/>
      </c>
      <c r="W4105" s="8">
        <f>IF(AND(V4105=1,D4105&lt;&gt;""),IF(D4105&gt;=corte,(B4105="CRÍTICO")*1E9+(100000-D4105)*10000+10000-ROW(),""),"")</f>
        <v/>
      </c>
      <c r="X4105" s="8">
        <f>IF(AND(V4105=1,D4105=pas_data,E4105=pas_turno),10000-ROW(),"")</f>
        <v/>
      </c>
    </row>
    <row r="4106">
      <c r="A4106" s="3">
        <f>IF(D4106="","","TT-"&amp;TEXT(ROW()-1,"00000"))</f>
        <v/>
      </c>
      <c r="B4106" s="3">
        <f>IF(D4106="","",IF(V4106=0,"CONCLUÍDO",IF(D4106&lt;corte,"HISTÓRICO",IF(OR(AND(ISNUMBER(R4106),R4106&lt;TODAY()),AND(OR(N4106="PENDENTE",N4106="PARCIAL"),D4106&lt;TODAY()-1)),"CRÍTICO",IF(OR(AND(P4106&lt;&gt;"",S4106=""),AND(N4106="REALIZADO",M4106="PENDENTE"),AND(ISNUMBER(R4106),R4106=TODAY())),"ATENÇÃO",IF(N(K4106)=0,"PENDENTE","EM ANDAMENTO"))))))</f>
        <v/>
      </c>
      <c r="C4106" s="3">
        <f>IF(D4106="","",IF(V4106=0,"🟢 OK",IF(D4106&lt;corte,"⚪ HISTÓRICO (sem baixa)",IF(AND(ISNUMBER(R4106),R4106&lt;TODAY()),"🔴 PRAZO VENCIDO",IF(AND(OR(N4106="PENDENTE",N4106="PARCIAL"),D4106&lt;TODAY()-1),"🔴 EMBARQUE ATRASADO",IF(AND(N4106="REALIZADO",M4106="PENDENTE"),"🟡 EMBARCADO SEM FATURAR",IF(AND(P4106&lt;&gt;"",S4106="",OR(Q4106="",R4106="")),"🟡 PENDÊNCIA SEM RESPONSÁVEL/PRAZO",IF(AND(ISNUMBER(R4106),R4106=TODAY()),"🟡 VENCE HOJE",IF(AND(P4106&lt;&gt;"",S4106=""),"🟡 PENDÊNCIA ABERTA",IF(AND(N(J4106)&gt;0,N(K4106)&lt;J4106),"🟡 FALTA EXECUTAR",IF(OR(M4106="PENDENTE",M4106="PARCIAL"),"🟡 FATURAMENTO PENDENTE","🟡 EMBARQUE PENDENTE")))))))))))</f>
        <v/>
      </c>
      <c r="D4106" s="4" t="n"/>
      <c r="E4106" s="5" t="n"/>
      <c r="F4106" s="5" t="n"/>
      <c r="G4106" s="5" t="n"/>
      <c r="H4106" s="5" t="n"/>
      <c r="I4106" s="5" t="n"/>
      <c r="J4106" s="6" t="n"/>
      <c r="K4106" s="6" t="n"/>
      <c r="L4106" s="7">
        <f>IF(OR(D4106="",N(J4106)=0),"",MIN(1,N(K4106)/J4106))</f>
        <v/>
      </c>
      <c r="M4106" s="5" t="n"/>
      <c r="N4106" s="5" t="n"/>
      <c r="O4106" s="5" t="n"/>
      <c r="P4106" s="5" t="n"/>
      <c r="Q4106" s="5" t="n"/>
      <c r="R4106" s="4" t="n"/>
      <c r="S4106" s="4" t="n"/>
      <c r="T4106" s="5" t="n"/>
      <c r="U4106" s="8">
        <f>IF(AND(V4106=1,D4106&lt;&gt;""),IF(D4106&gt;=corte,TODAY()-D4106,""),"")</f>
        <v/>
      </c>
      <c r="V4106" s="8">
        <f>IF(D4106="",0,IF(OR(AND(P4106&lt;&gt;"",S4106=""),AND(N(J4106)&gt;0,N(K4106)&lt;J4106),OR(M4106="PENDENTE",M4106="PARCIAL"),OR(N4106="PENDENTE",N4106="PARCIAL")),1,0))</f>
        <v/>
      </c>
      <c r="W4106" s="8">
        <f>IF(AND(V4106=1,D4106&lt;&gt;""),IF(D4106&gt;=corte,(B4106="CRÍTICO")*1E9+(100000-D4106)*10000+10000-ROW(),""),"")</f>
        <v/>
      </c>
      <c r="X4106" s="8">
        <f>IF(AND(V4106=1,D4106=pas_data,E4106=pas_turno),10000-ROW(),"")</f>
        <v/>
      </c>
    </row>
    <row r="4107">
      <c r="A4107" s="3">
        <f>IF(D4107="","","TT-"&amp;TEXT(ROW()-1,"00000"))</f>
        <v/>
      </c>
      <c r="B4107" s="3">
        <f>IF(D4107="","",IF(V4107=0,"CONCLUÍDO",IF(D4107&lt;corte,"HISTÓRICO",IF(OR(AND(ISNUMBER(R4107),R4107&lt;TODAY()),AND(OR(N4107="PENDENTE",N4107="PARCIAL"),D4107&lt;TODAY()-1)),"CRÍTICO",IF(OR(AND(P4107&lt;&gt;"",S4107=""),AND(N4107="REALIZADO",M4107="PENDENTE"),AND(ISNUMBER(R4107),R4107=TODAY())),"ATENÇÃO",IF(N(K4107)=0,"PENDENTE","EM ANDAMENTO"))))))</f>
        <v/>
      </c>
      <c r="C4107" s="3">
        <f>IF(D4107="","",IF(V4107=0,"🟢 OK",IF(D4107&lt;corte,"⚪ HISTÓRICO (sem baixa)",IF(AND(ISNUMBER(R4107),R4107&lt;TODAY()),"🔴 PRAZO VENCIDO",IF(AND(OR(N4107="PENDENTE",N4107="PARCIAL"),D4107&lt;TODAY()-1),"🔴 EMBARQUE ATRASADO",IF(AND(N4107="REALIZADO",M4107="PENDENTE"),"🟡 EMBARCADO SEM FATURAR",IF(AND(P4107&lt;&gt;"",S4107="",OR(Q4107="",R4107="")),"🟡 PENDÊNCIA SEM RESPONSÁVEL/PRAZO",IF(AND(ISNUMBER(R4107),R4107=TODAY()),"🟡 VENCE HOJE",IF(AND(P4107&lt;&gt;"",S4107=""),"🟡 PENDÊNCIA ABERTA",IF(AND(N(J4107)&gt;0,N(K4107)&lt;J4107),"🟡 FALTA EXECUTAR",IF(OR(M4107="PENDENTE",M4107="PARCIAL"),"🟡 FATURAMENTO PENDENTE","🟡 EMBARQUE PENDENTE")))))))))))</f>
        <v/>
      </c>
      <c r="D4107" s="4" t="n"/>
      <c r="E4107" s="5" t="n"/>
      <c r="F4107" s="5" t="n"/>
      <c r="G4107" s="5" t="n"/>
      <c r="H4107" s="5" t="n"/>
      <c r="I4107" s="5" t="n"/>
      <c r="J4107" s="6" t="n"/>
      <c r="K4107" s="6" t="n"/>
      <c r="L4107" s="7">
        <f>IF(OR(D4107="",N(J4107)=0),"",MIN(1,N(K4107)/J4107))</f>
        <v/>
      </c>
      <c r="M4107" s="5" t="n"/>
      <c r="N4107" s="5" t="n"/>
      <c r="O4107" s="5" t="n"/>
      <c r="P4107" s="5" t="n"/>
      <c r="Q4107" s="5" t="n"/>
      <c r="R4107" s="4" t="n"/>
      <c r="S4107" s="4" t="n"/>
      <c r="T4107" s="5" t="n"/>
      <c r="U4107" s="8">
        <f>IF(AND(V4107=1,D4107&lt;&gt;""),IF(D4107&gt;=corte,TODAY()-D4107,""),"")</f>
        <v/>
      </c>
      <c r="V4107" s="8">
        <f>IF(D4107="",0,IF(OR(AND(P4107&lt;&gt;"",S4107=""),AND(N(J4107)&gt;0,N(K4107)&lt;J4107),OR(M4107="PENDENTE",M4107="PARCIAL"),OR(N4107="PENDENTE",N4107="PARCIAL")),1,0))</f>
        <v/>
      </c>
      <c r="W4107" s="8">
        <f>IF(AND(V4107=1,D4107&lt;&gt;""),IF(D4107&gt;=corte,(B4107="CRÍTICO")*1E9+(100000-D4107)*10000+10000-ROW(),""),"")</f>
        <v/>
      </c>
      <c r="X4107" s="8">
        <f>IF(AND(V4107=1,D4107=pas_data,E4107=pas_turno),10000-ROW(),"")</f>
        <v/>
      </c>
    </row>
    <row r="4108">
      <c r="A4108" s="3">
        <f>IF(D4108="","","TT-"&amp;TEXT(ROW()-1,"00000"))</f>
        <v/>
      </c>
      <c r="B4108" s="3">
        <f>IF(D4108="","",IF(V4108=0,"CONCLUÍDO",IF(D4108&lt;corte,"HISTÓRICO",IF(OR(AND(ISNUMBER(R4108),R4108&lt;TODAY()),AND(OR(N4108="PENDENTE",N4108="PARCIAL"),D4108&lt;TODAY()-1)),"CRÍTICO",IF(OR(AND(P4108&lt;&gt;"",S4108=""),AND(N4108="REALIZADO",M4108="PENDENTE"),AND(ISNUMBER(R4108),R4108=TODAY())),"ATENÇÃO",IF(N(K4108)=0,"PENDENTE","EM ANDAMENTO"))))))</f>
        <v/>
      </c>
      <c r="C4108" s="3">
        <f>IF(D4108="","",IF(V4108=0,"🟢 OK",IF(D4108&lt;corte,"⚪ HISTÓRICO (sem baixa)",IF(AND(ISNUMBER(R4108),R4108&lt;TODAY()),"🔴 PRAZO VENCIDO",IF(AND(OR(N4108="PENDENTE",N4108="PARCIAL"),D4108&lt;TODAY()-1),"🔴 EMBARQUE ATRASADO",IF(AND(N4108="REALIZADO",M4108="PENDENTE"),"🟡 EMBARCADO SEM FATURAR",IF(AND(P4108&lt;&gt;"",S4108="",OR(Q4108="",R4108="")),"🟡 PENDÊNCIA SEM RESPONSÁVEL/PRAZO",IF(AND(ISNUMBER(R4108),R4108=TODAY()),"🟡 VENCE HOJE",IF(AND(P4108&lt;&gt;"",S4108=""),"🟡 PENDÊNCIA ABERTA",IF(AND(N(J4108)&gt;0,N(K4108)&lt;J4108),"🟡 FALTA EXECUTAR",IF(OR(M4108="PENDENTE",M4108="PARCIAL"),"🟡 FATURAMENTO PENDENTE","🟡 EMBARQUE PENDENTE")))))))))))</f>
        <v/>
      </c>
      <c r="D4108" s="4" t="n"/>
      <c r="E4108" s="5" t="n"/>
      <c r="F4108" s="5" t="n"/>
      <c r="G4108" s="5" t="n"/>
      <c r="H4108" s="5" t="n"/>
      <c r="I4108" s="5" t="n"/>
      <c r="J4108" s="6" t="n"/>
      <c r="K4108" s="6" t="n"/>
      <c r="L4108" s="7">
        <f>IF(OR(D4108="",N(J4108)=0),"",MIN(1,N(K4108)/J4108))</f>
        <v/>
      </c>
      <c r="M4108" s="5" t="n"/>
      <c r="N4108" s="5" t="n"/>
      <c r="O4108" s="5" t="n"/>
      <c r="P4108" s="5" t="n"/>
      <c r="Q4108" s="5" t="n"/>
      <c r="R4108" s="4" t="n"/>
      <c r="S4108" s="4" t="n"/>
      <c r="T4108" s="5" t="n"/>
      <c r="U4108" s="8">
        <f>IF(AND(V4108=1,D4108&lt;&gt;""),IF(D4108&gt;=corte,TODAY()-D4108,""),"")</f>
        <v/>
      </c>
      <c r="V4108" s="8">
        <f>IF(D4108="",0,IF(OR(AND(P4108&lt;&gt;"",S4108=""),AND(N(J4108)&gt;0,N(K4108)&lt;J4108),OR(M4108="PENDENTE",M4108="PARCIAL"),OR(N4108="PENDENTE",N4108="PARCIAL")),1,0))</f>
        <v/>
      </c>
      <c r="W4108" s="8">
        <f>IF(AND(V4108=1,D4108&lt;&gt;""),IF(D4108&gt;=corte,(B4108="CRÍTICO")*1E9+(100000-D4108)*10000+10000-ROW(),""),"")</f>
        <v/>
      </c>
      <c r="X4108" s="8">
        <f>IF(AND(V4108=1,D4108=pas_data,E4108=pas_turno),10000-ROW(),"")</f>
        <v/>
      </c>
    </row>
    <row r="4109">
      <c r="A4109" s="3">
        <f>IF(D4109="","","TT-"&amp;TEXT(ROW()-1,"00000"))</f>
        <v/>
      </c>
      <c r="B4109" s="3">
        <f>IF(D4109="","",IF(V4109=0,"CONCLUÍDO",IF(D4109&lt;corte,"HISTÓRICO",IF(OR(AND(ISNUMBER(R4109),R4109&lt;TODAY()),AND(OR(N4109="PENDENTE",N4109="PARCIAL"),D4109&lt;TODAY()-1)),"CRÍTICO",IF(OR(AND(P4109&lt;&gt;"",S4109=""),AND(N4109="REALIZADO",M4109="PENDENTE"),AND(ISNUMBER(R4109),R4109=TODAY())),"ATENÇÃO",IF(N(K4109)=0,"PENDENTE","EM ANDAMENTO"))))))</f>
        <v/>
      </c>
      <c r="C4109" s="3">
        <f>IF(D4109="","",IF(V4109=0,"🟢 OK",IF(D4109&lt;corte,"⚪ HISTÓRICO (sem baixa)",IF(AND(ISNUMBER(R4109),R4109&lt;TODAY()),"🔴 PRAZO VENCIDO",IF(AND(OR(N4109="PENDENTE",N4109="PARCIAL"),D4109&lt;TODAY()-1),"🔴 EMBARQUE ATRASADO",IF(AND(N4109="REALIZADO",M4109="PENDENTE"),"🟡 EMBARCADO SEM FATURAR",IF(AND(P4109&lt;&gt;"",S4109="",OR(Q4109="",R4109="")),"🟡 PENDÊNCIA SEM RESPONSÁVEL/PRAZO",IF(AND(ISNUMBER(R4109),R4109=TODAY()),"🟡 VENCE HOJE",IF(AND(P4109&lt;&gt;"",S4109=""),"🟡 PENDÊNCIA ABERTA",IF(AND(N(J4109)&gt;0,N(K4109)&lt;J4109),"🟡 FALTA EXECUTAR",IF(OR(M4109="PENDENTE",M4109="PARCIAL"),"🟡 FATURAMENTO PENDENTE","🟡 EMBARQUE PENDENTE")))))))))))</f>
        <v/>
      </c>
      <c r="D4109" s="4" t="n"/>
      <c r="E4109" s="5" t="n"/>
      <c r="F4109" s="5" t="n"/>
      <c r="G4109" s="5" t="n"/>
      <c r="H4109" s="5" t="n"/>
      <c r="I4109" s="5" t="n"/>
      <c r="J4109" s="6" t="n"/>
      <c r="K4109" s="6" t="n"/>
      <c r="L4109" s="7">
        <f>IF(OR(D4109="",N(J4109)=0),"",MIN(1,N(K4109)/J4109))</f>
        <v/>
      </c>
      <c r="M4109" s="5" t="n"/>
      <c r="N4109" s="5" t="n"/>
      <c r="O4109" s="5" t="n"/>
      <c r="P4109" s="5" t="n"/>
      <c r="Q4109" s="5" t="n"/>
      <c r="R4109" s="4" t="n"/>
      <c r="S4109" s="4" t="n"/>
      <c r="T4109" s="5" t="n"/>
      <c r="U4109" s="8">
        <f>IF(AND(V4109=1,D4109&lt;&gt;""),IF(D4109&gt;=corte,TODAY()-D4109,""),"")</f>
        <v/>
      </c>
      <c r="V4109" s="8">
        <f>IF(D4109="",0,IF(OR(AND(P4109&lt;&gt;"",S4109=""),AND(N(J4109)&gt;0,N(K4109)&lt;J4109),OR(M4109="PENDENTE",M4109="PARCIAL"),OR(N4109="PENDENTE",N4109="PARCIAL")),1,0))</f>
        <v/>
      </c>
      <c r="W4109" s="8">
        <f>IF(AND(V4109=1,D4109&lt;&gt;""),IF(D4109&gt;=corte,(B4109="CRÍTICO")*1E9+(100000-D4109)*10000+10000-ROW(),""),"")</f>
        <v/>
      </c>
      <c r="X4109" s="8">
        <f>IF(AND(V4109=1,D4109=pas_data,E4109=pas_turno),10000-ROW(),"")</f>
        <v/>
      </c>
    </row>
    <row r="4110">
      <c r="A4110" s="3">
        <f>IF(D4110="","","TT-"&amp;TEXT(ROW()-1,"00000"))</f>
        <v/>
      </c>
      <c r="B4110" s="3">
        <f>IF(D4110="","",IF(V4110=0,"CONCLUÍDO",IF(D4110&lt;corte,"HISTÓRICO",IF(OR(AND(ISNUMBER(R4110),R4110&lt;TODAY()),AND(OR(N4110="PENDENTE",N4110="PARCIAL"),D4110&lt;TODAY()-1)),"CRÍTICO",IF(OR(AND(P4110&lt;&gt;"",S4110=""),AND(N4110="REALIZADO",M4110="PENDENTE"),AND(ISNUMBER(R4110),R4110=TODAY())),"ATENÇÃO",IF(N(K4110)=0,"PENDENTE","EM ANDAMENTO"))))))</f>
        <v/>
      </c>
      <c r="C4110" s="3">
        <f>IF(D4110="","",IF(V4110=0,"🟢 OK",IF(D4110&lt;corte,"⚪ HISTÓRICO (sem baixa)",IF(AND(ISNUMBER(R4110),R4110&lt;TODAY()),"🔴 PRAZO VENCIDO",IF(AND(OR(N4110="PENDENTE",N4110="PARCIAL"),D4110&lt;TODAY()-1),"🔴 EMBARQUE ATRASADO",IF(AND(N4110="REALIZADO",M4110="PENDENTE"),"🟡 EMBARCADO SEM FATURAR",IF(AND(P4110&lt;&gt;"",S4110="",OR(Q4110="",R4110="")),"🟡 PENDÊNCIA SEM RESPONSÁVEL/PRAZO",IF(AND(ISNUMBER(R4110),R4110=TODAY()),"🟡 VENCE HOJE",IF(AND(P4110&lt;&gt;"",S4110=""),"🟡 PENDÊNCIA ABERTA",IF(AND(N(J4110)&gt;0,N(K4110)&lt;J4110),"🟡 FALTA EXECUTAR",IF(OR(M4110="PENDENTE",M4110="PARCIAL"),"🟡 FATURAMENTO PENDENTE","🟡 EMBARQUE PENDENTE")))))))))))</f>
        <v/>
      </c>
      <c r="D4110" s="4" t="n"/>
      <c r="E4110" s="5" t="n"/>
      <c r="F4110" s="5" t="n"/>
      <c r="G4110" s="5" t="n"/>
      <c r="H4110" s="5" t="n"/>
      <c r="I4110" s="5" t="n"/>
      <c r="J4110" s="6" t="n"/>
      <c r="K4110" s="6" t="n"/>
      <c r="L4110" s="7">
        <f>IF(OR(D4110="",N(J4110)=0),"",MIN(1,N(K4110)/J4110))</f>
        <v/>
      </c>
      <c r="M4110" s="5" t="n"/>
      <c r="N4110" s="5" t="n"/>
      <c r="O4110" s="5" t="n"/>
      <c r="P4110" s="5" t="n"/>
      <c r="Q4110" s="5" t="n"/>
      <c r="R4110" s="4" t="n"/>
      <c r="S4110" s="4" t="n"/>
      <c r="T4110" s="5" t="n"/>
      <c r="U4110" s="8">
        <f>IF(AND(V4110=1,D4110&lt;&gt;""),IF(D4110&gt;=corte,TODAY()-D4110,""),"")</f>
        <v/>
      </c>
      <c r="V4110" s="8">
        <f>IF(D4110="",0,IF(OR(AND(P4110&lt;&gt;"",S4110=""),AND(N(J4110)&gt;0,N(K4110)&lt;J4110),OR(M4110="PENDENTE",M4110="PARCIAL"),OR(N4110="PENDENTE",N4110="PARCIAL")),1,0))</f>
        <v/>
      </c>
      <c r="W4110" s="8">
        <f>IF(AND(V4110=1,D4110&lt;&gt;""),IF(D4110&gt;=corte,(B4110="CRÍTICO")*1E9+(100000-D4110)*10000+10000-ROW(),""),"")</f>
        <v/>
      </c>
      <c r="X4110" s="8">
        <f>IF(AND(V4110=1,D4110=pas_data,E4110=pas_turno),10000-ROW(),"")</f>
        <v/>
      </c>
    </row>
    <row r="4111">
      <c r="A4111" s="3">
        <f>IF(D4111="","","TT-"&amp;TEXT(ROW()-1,"00000"))</f>
        <v/>
      </c>
      <c r="B4111" s="3">
        <f>IF(D4111="","",IF(V4111=0,"CONCLUÍDO",IF(D4111&lt;corte,"HISTÓRICO",IF(OR(AND(ISNUMBER(R4111),R4111&lt;TODAY()),AND(OR(N4111="PENDENTE",N4111="PARCIAL"),D4111&lt;TODAY()-1)),"CRÍTICO",IF(OR(AND(P4111&lt;&gt;"",S4111=""),AND(N4111="REALIZADO",M4111="PENDENTE"),AND(ISNUMBER(R4111),R4111=TODAY())),"ATENÇÃO",IF(N(K4111)=0,"PENDENTE","EM ANDAMENTO"))))))</f>
        <v/>
      </c>
      <c r="C4111" s="3">
        <f>IF(D4111="","",IF(V4111=0,"🟢 OK",IF(D4111&lt;corte,"⚪ HISTÓRICO (sem baixa)",IF(AND(ISNUMBER(R4111),R4111&lt;TODAY()),"🔴 PRAZO VENCIDO",IF(AND(OR(N4111="PENDENTE",N4111="PARCIAL"),D4111&lt;TODAY()-1),"🔴 EMBARQUE ATRASADO",IF(AND(N4111="REALIZADO",M4111="PENDENTE"),"🟡 EMBARCADO SEM FATURAR",IF(AND(P4111&lt;&gt;"",S4111="",OR(Q4111="",R4111="")),"🟡 PENDÊNCIA SEM RESPONSÁVEL/PRAZO",IF(AND(ISNUMBER(R4111),R4111=TODAY()),"🟡 VENCE HOJE",IF(AND(P4111&lt;&gt;"",S4111=""),"🟡 PENDÊNCIA ABERTA",IF(AND(N(J4111)&gt;0,N(K4111)&lt;J4111),"🟡 FALTA EXECUTAR",IF(OR(M4111="PENDENTE",M4111="PARCIAL"),"🟡 FATURAMENTO PENDENTE","🟡 EMBARQUE PENDENTE")))))))))))</f>
        <v/>
      </c>
      <c r="D4111" s="4" t="n"/>
      <c r="E4111" s="5" t="n"/>
      <c r="F4111" s="5" t="n"/>
      <c r="G4111" s="5" t="n"/>
      <c r="H4111" s="5" t="n"/>
      <c r="I4111" s="5" t="n"/>
      <c r="J4111" s="6" t="n"/>
      <c r="K4111" s="6" t="n"/>
      <c r="L4111" s="7">
        <f>IF(OR(D4111="",N(J4111)=0),"",MIN(1,N(K4111)/J4111))</f>
        <v/>
      </c>
      <c r="M4111" s="5" t="n"/>
      <c r="N4111" s="5" t="n"/>
      <c r="O4111" s="5" t="n"/>
      <c r="P4111" s="5" t="n"/>
      <c r="Q4111" s="5" t="n"/>
      <c r="R4111" s="4" t="n"/>
      <c r="S4111" s="4" t="n"/>
      <c r="T4111" s="5" t="n"/>
      <c r="U4111" s="8">
        <f>IF(AND(V4111=1,D4111&lt;&gt;""),IF(D4111&gt;=corte,TODAY()-D4111,""),"")</f>
        <v/>
      </c>
      <c r="V4111" s="8">
        <f>IF(D4111="",0,IF(OR(AND(P4111&lt;&gt;"",S4111=""),AND(N(J4111)&gt;0,N(K4111)&lt;J4111),OR(M4111="PENDENTE",M4111="PARCIAL"),OR(N4111="PENDENTE",N4111="PARCIAL")),1,0))</f>
        <v/>
      </c>
      <c r="W4111" s="8">
        <f>IF(AND(V4111=1,D4111&lt;&gt;""),IF(D4111&gt;=corte,(B4111="CRÍTICO")*1E9+(100000-D4111)*10000+10000-ROW(),""),"")</f>
        <v/>
      </c>
      <c r="X4111" s="8">
        <f>IF(AND(V4111=1,D4111=pas_data,E4111=pas_turno),10000-ROW(),"")</f>
        <v/>
      </c>
    </row>
    <row r="4112">
      <c r="A4112" s="3">
        <f>IF(D4112="","","TT-"&amp;TEXT(ROW()-1,"00000"))</f>
        <v/>
      </c>
      <c r="B4112" s="3">
        <f>IF(D4112="","",IF(V4112=0,"CONCLUÍDO",IF(D4112&lt;corte,"HISTÓRICO",IF(OR(AND(ISNUMBER(R4112),R4112&lt;TODAY()),AND(OR(N4112="PENDENTE",N4112="PARCIAL"),D4112&lt;TODAY()-1)),"CRÍTICO",IF(OR(AND(P4112&lt;&gt;"",S4112=""),AND(N4112="REALIZADO",M4112="PENDENTE"),AND(ISNUMBER(R4112),R4112=TODAY())),"ATENÇÃO",IF(N(K4112)=0,"PENDENTE","EM ANDAMENTO"))))))</f>
        <v/>
      </c>
      <c r="C4112" s="3">
        <f>IF(D4112="","",IF(V4112=0,"🟢 OK",IF(D4112&lt;corte,"⚪ HISTÓRICO (sem baixa)",IF(AND(ISNUMBER(R4112),R4112&lt;TODAY()),"🔴 PRAZO VENCIDO",IF(AND(OR(N4112="PENDENTE",N4112="PARCIAL"),D4112&lt;TODAY()-1),"🔴 EMBARQUE ATRASADO",IF(AND(N4112="REALIZADO",M4112="PENDENTE"),"🟡 EMBARCADO SEM FATURAR",IF(AND(P4112&lt;&gt;"",S4112="",OR(Q4112="",R4112="")),"🟡 PENDÊNCIA SEM RESPONSÁVEL/PRAZO",IF(AND(ISNUMBER(R4112),R4112=TODAY()),"🟡 VENCE HOJE",IF(AND(P4112&lt;&gt;"",S4112=""),"🟡 PENDÊNCIA ABERTA",IF(AND(N(J4112)&gt;0,N(K4112)&lt;J4112),"🟡 FALTA EXECUTAR",IF(OR(M4112="PENDENTE",M4112="PARCIAL"),"🟡 FATURAMENTO PENDENTE","🟡 EMBARQUE PENDENTE")))))))))))</f>
        <v/>
      </c>
      <c r="D4112" s="4" t="n"/>
      <c r="E4112" s="5" t="n"/>
      <c r="F4112" s="5" t="n"/>
      <c r="G4112" s="5" t="n"/>
      <c r="H4112" s="5" t="n"/>
      <c r="I4112" s="5" t="n"/>
      <c r="J4112" s="6" t="n"/>
      <c r="K4112" s="6" t="n"/>
      <c r="L4112" s="7">
        <f>IF(OR(D4112="",N(J4112)=0),"",MIN(1,N(K4112)/J4112))</f>
        <v/>
      </c>
      <c r="M4112" s="5" t="n"/>
      <c r="N4112" s="5" t="n"/>
      <c r="O4112" s="5" t="n"/>
      <c r="P4112" s="5" t="n"/>
      <c r="Q4112" s="5" t="n"/>
      <c r="R4112" s="4" t="n"/>
      <c r="S4112" s="4" t="n"/>
      <c r="T4112" s="5" t="n"/>
      <c r="U4112" s="8">
        <f>IF(AND(V4112=1,D4112&lt;&gt;""),IF(D4112&gt;=corte,TODAY()-D4112,""),"")</f>
        <v/>
      </c>
      <c r="V4112" s="8">
        <f>IF(D4112="",0,IF(OR(AND(P4112&lt;&gt;"",S4112=""),AND(N(J4112)&gt;0,N(K4112)&lt;J4112),OR(M4112="PENDENTE",M4112="PARCIAL"),OR(N4112="PENDENTE",N4112="PARCIAL")),1,0))</f>
        <v/>
      </c>
      <c r="W4112" s="8">
        <f>IF(AND(V4112=1,D4112&lt;&gt;""),IF(D4112&gt;=corte,(B4112="CRÍTICO")*1E9+(100000-D4112)*10000+10000-ROW(),""),"")</f>
        <v/>
      </c>
      <c r="X4112" s="8">
        <f>IF(AND(V4112=1,D4112=pas_data,E4112=pas_turno),10000-ROW(),"")</f>
        <v/>
      </c>
    </row>
    <row r="4113">
      <c r="A4113" s="3">
        <f>IF(D4113="","","TT-"&amp;TEXT(ROW()-1,"00000"))</f>
        <v/>
      </c>
      <c r="B4113" s="3">
        <f>IF(D4113="","",IF(V4113=0,"CONCLUÍDO",IF(D4113&lt;corte,"HISTÓRICO",IF(OR(AND(ISNUMBER(R4113),R4113&lt;TODAY()),AND(OR(N4113="PENDENTE",N4113="PARCIAL"),D4113&lt;TODAY()-1)),"CRÍTICO",IF(OR(AND(P4113&lt;&gt;"",S4113=""),AND(N4113="REALIZADO",M4113="PENDENTE"),AND(ISNUMBER(R4113),R4113=TODAY())),"ATENÇÃO",IF(N(K4113)=0,"PENDENTE","EM ANDAMENTO"))))))</f>
        <v/>
      </c>
      <c r="C4113" s="3">
        <f>IF(D4113="","",IF(V4113=0,"🟢 OK",IF(D4113&lt;corte,"⚪ HISTÓRICO (sem baixa)",IF(AND(ISNUMBER(R4113),R4113&lt;TODAY()),"🔴 PRAZO VENCIDO",IF(AND(OR(N4113="PENDENTE",N4113="PARCIAL"),D4113&lt;TODAY()-1),"🔴 EMBARQUE ATRASADO",IF(AND(N4113="REALIZADO",M4113="PENDENTE"),"🟡 EMBARCADO SEM FATURAR",IF(AND(P4113&lt;&gt;"",S4113="",OR(Q4113="",R4113="")),"🟡 PENDÊNCIA SEM RESPONSÁVEL/PRAZO",IF(AND(ISNUMBER(R4113),R4113=TODAY()),"🟡 VENCE HOJE",IF(AND(P4113&lt;&gt;"",S4113=""),"🟡 PENDÊNCIA ABERTA",IF(AND(N(J4113)&gt;0,N(K4113)&lt;J4113),"🟡 FALTA EXECUTAR",IF(OR(M4113="PENDENTE",M4113="PARCIAL"),"🟡 FATURAMENTO PENDENTE","🟡 EMBARQUE PENDENTE")))))))))))</f>
        <v/>
      </c>
      <c r="D4113" s="4" t="n"/>
      <c r="E4113" s="5" t="n"/>
      <c r="F4113" s="5" t="n"/>
      <c r="G4113" s="5" t="n"/>
      <c r="H4113" s="5" t="n"/>
      <c r="I4113" s="5" t="n"/>
      <c r="J4113" s="6" t="n"/>
      <c r="K4113" s="6" t="n"/>
      <c r="L4113" s="7">
        <f>IF(OR(D4113="",N(J4113)=0),"",MIN(1,N(K4113)/J4113))</f>
        <v/>
      </c>
      <c r="M4113" s="5" t="n"/>
      <c r="N4113" s="5" t="n"/>
      <c r="O4113" s="5" t="n"/>
      <c r="P4113" s="5" t="n"/>
      <c r="Q4113" s="5" t="n"/>
      <c r="R4113" s="4" t="n"/>
      <c r="S4113" s="4" t="n"/>
      <c r="T4113" s="5" t="n"/>
      <c r="U4113" s="8">
        <f>IF(AND(V4113=1,D4113&lt;&gt;""),IF(D4113&gt;=corte,TODAY()-D4113,""),"")</f>
        <v/>
      </c>
      <c r="V4113" s="8">
        <f>IF(D4113="",0,IF(OR(AND(P4113&lt;&gt;"",S4113=""),AND(N(J4113)&gt;0,N(K4113)&lt;J4113),OR(M4113="PENDENTE",M4113="PARCIAL"),OR(N4113="PENDENTE",N4113="PARCIAL")),1,0))</f>
        <v/>
      </c>
      <c r="W4113" s="8">
        <f>IF(AND(V4113=1,D4113&lt;&gt;""),IF(D4113&gt;=corte,(B4113="CRÍTICO")*1E9+(100000-D4113)*10000+10000-ROW(),""),"")</f>
        <v/>
      </c>
      <c r="X4113" s="8">
        <f>IF(AND(V4113=1,D4113=pas_data,E4113=pas_turno),10000-ROW(),"")</f>
        <v/>
      </c>
    </row>
    <row r="4114">
      <c r="A4114" s="3">
        <f>IF(D4114="","","TT-"&amp;TEXT(ROW()-1,"00000"))</f>
        <v/>
      </c>
      <c r="B4114" s="3">
        <f>IF(D4114="","",IF(V4114=0,"CONCLUÍDO",IF(D4114&lt;corte,"HISTÓRICO",IF(OR(AND(ISNUMBER(R4114),R4114&lt;TODAY()),AND(OR(N4114="PENDENTE",N4114="PARCIAL"),D4114&lt;TODAY()-1)),"CRÍTICO",IF(OR(AND(P4114&lt;&gt;"",S4114=""),AND(N4114="REALIZADO",M4114="PENDENTE"),AND(ISNUMBER(R4114),R4114=TODAY())),"ATENÇÃO",IF(N(K4114)=0,"PENDENTE","EM ANDAMENTO"))))))</f>
        <v/>
      </c>
      <c r="C4114" s="3">
        <f>IF(D4114="","",IF(V4114=0,"🟢 OK",IF(D4114&lt;corte,"⚪ HISTÓRICO (sem baixa)",IF(AND(ISNUMBER(R4114),R4114&lt;TODAY()),"🔴 PRAZO VENCIDO",IF(AND(OR(N4114="PENDENTE",N4114="PARCIAL"),D4114&lt;TODAY()-1),"🔴 EMBARQUE ATRASADO",IF(AND(N4114="REALIZADO",M4114="PENDENTE"),"🟡 EMBARCADO SEM FATURAR",IF(AND(P4114&lt;&gt;"",S4114="",OR(Q4114="",R4114="")),"🟡 PENDÊNCIA SEM RESPONSÁVEL/PRAZO",IF(AND(ISNUMBER(R4114),R4114=TODAY()),"🟡 VENCE HOJE",IF(AND(P4114&lt;&gt;"",S4114=""),"🟡 PENDÊNCIA ABERTA",IF(AND(N(J4114)&gt;0,N(K4114)&lt;J4114),"🟡 FALTA EXECUTAR",IF(OR(M4114="PENDENTE",M4114="PARCIAL"),"🟡 FATURAMENTO PENDENTE","🟡 EMBARQUE PENDENTE")))))))))))</f>
        <v/>
      </c>
      <c r="D4114" s="4" t="n"/>
      <c r="E4114" s="5" t="n"/>
      <c r="F4114" s="5" t="n"/>
      <c r="G4114" s="5" t="n"/>
      <c r="H4114" s="5" t="n"/>
      <c r="I4114" s="5" t="n"/>
      <c r="J4114" s="6" t="n"/>
      <c r="K4114" s="6" t="n"/>
      <c r="L4114" s="7">
        <f>IF(OR(D4114="",N(J4114)=0),"",MIN(1,N(K4114)/J4114))</f>
        <v/>
      </c>
      <c r="M4114" s="5" t="n"/>
      <c r="N4114" s="5" t="n"/>
      <c r="O4114" s="5" t="n"/>
      <c r="P4114" s="5" t="n"/>
      <c r="Q4114" s="5" t="n"/>
      <c r="R4114" s="4" t="n"/>
      <c r="S4114" s="4" t="n"/>
      <c r="T4114" s="5" t="n"/>
      <c r="U4114" s="8">
        <f>IF(AND(V4114=1,D4114&lt;&gt;""),IF(D4114&gt;=corte,TODAY()-D4114,""),"")</f>
        <v/>
      </c>
      <c r="V4114" s="8">
        <f>IF(D4114="",0,IF(OR(AND(P4114&lt;&gt;"",S4114=""),AND(N(J4114)&gt;0,N(K4114)&lt;J4114),OR(M4114="PENDENTE",M4114="PARCIAL"),OR(N4114="PENDENTE",N4114="PARCIAL")),1,0))</f>
        <v/>
      </c>
      <c r="W4114" s="8">
        <f>IF(AND(V4114=1,D4114&lt;&gt;""),IF(D4114&gt;=corte,(B4114="CRÍTICO")*1E9+(100000-D4114)*10000+10000-ROW(),""),"")</f>
        <v/>
      </c>
      <c r="X4114" s="8">
        <f>IF(AND(V4114=1,D4114=pas_data,E4114=pas_turno),10000-ROW(),"")</f>
        <v/>
      </c>
    </row>
    <row r="4115">
      <c r="A4115" s="3">
        <f>IF(D4115="","","TT-"&amp;TEXT(ROW()-1,"00000"))</f>
        <v/>
      </c>
      <c r="B4115" s="3">
        <f>IF(D4115="","",IF(V4115=0,"CONCLUÍDO",IF(D4115&lt;corte,"HISTÓRICO",IF(OR(AND(ISNUMBER(R4115),R4115&lt;TODAY()),AND(OR(N4115="PENDENTE",N4115="PARCIAL"),D4115&lt;TODAY()-1)),"CRÍTICO",IF(OR(AND(P4115&lt;&gt;"",S4115=""),AND(N4115="REALIZADO",M4115="PENDENTE"),AND(ISNUMBER(R4115),R4115=TODAY())),"ATENÇÃO",IF(N(K4115)=0,"PENDENTE","EM ANDAMENTO"))))))</f>
        <v/>
      </c>
      <c r="C4115" s="3">
        <f>IF(D4115="","",IF(V4115=0,"🟢 OK",IF(D4115&lt;corte,"⚪ HISTÓRICO (sem baixa)",IF(AND(ISNUMBER(R4115),R4115&lt;TODAY()),"🔴 PRAZO VENCIDO",IF(AND(OR(N4115="PENDENTE",N4115="PARCIAL"),D4115&lt;TODAY()-1),"🔴 EMBARQUE ATRASADO",IF(AND(N4115="REALIZADO",M4115="PENDENTE"),"🟡 EMBARCADO SEM FATURAR",IF(AND(P4115&lt;&gt;"",S4115="",OR(Q4115="",R4115="")),"🟡 PENDÊNCIA SEM RESPONSÁVEL/PRAZO",IF(AND(ISNUMBER(R4115),R4115=TODAY()),"🟡 VENCE HOJE",IF(AND(P4115&lt;&gt;"",S4115=""),"🟡 PENDÊNCIA ABERTA",IF(AND(N(J4115)&gt;0,N(K4115)&lt;J4115),"🟡 FALTA EXECUTAR",IF(OR(M4115="PENDENTE",M4115="PARCIAL"),"🟡 FATURAMENTO PENDENTE","🟡 EMBARQUE PENDENTE")))))))))))</f>
        <v/>
      </c>
      <c r="D4115" s="4" t="n"/>
      <c r="E4115" s="5" t="n"/>
      <c r="F4115" s="5" t="n"/>
      <c r="G4115" s="5" t="n"/>
      <c r="H4115" s="5" t="n"/>
      <c r="I4115" s="5" t="n"/>
      <c r="J4115" s="6" t="n"/>
      <c r="K4115" s="6" t="n"/>
      <c r="L4115" s="7">
        <f>IF(OR(D4115="",N(J4115)=0),"",MIN(1,N(K4115)/J4115))</f>
        <v/>
      </c>
      <c r="M4115" s="5" t="n"/>
      <c r="N4115" s="5" t="n"/>
      <c r="O4115" s="5" t="n"/>
      <c r="P4115" s="5" t="n"/>
      <c r="Q4115" s="5" t="n"/>
      <c r="R4115" s="4" t="n"/>
      <c r="S4115" s="4" t="n"/>
      <c r="T4115" s="5" t="n"/>
      <c r="U4115" s="8">
        <f>IF(AND(V4115=1,D4115&lt;&gt;""),IF(D4115&gt;=corte,TODAY()-D4115,""),"")</f>
        <v/>
      </c>
      <c r="V4115" s="8">
        <f>IF(D4115="",0,IF(OR(AND(P4115&lt;&gt;"",S4115=""),AND(N(J4115)&gt;0,N(K4115)&lt;J4115),OR(M4115="PENDENTE",M4115="PARCIAL"),OR(N4115="PENDENTE",N4115="PARCIAL")),1,0))</f>
        <v/>
      </c>
      <c r="W4115" s="8">
        <f>IF(AND(V4115=1,D4115&lt;&gt;""),IF(D4115&gt;=corte,(B4115="CRÍTICO")*1E9+(100000-D4115)*10000+10000-ROW(),""),"")</f>
        <v/>
      </c>
      <c r="X4115" s="8">
        <f>IF(AND(V4115=1,D4115=pas_data,E4115=pas_turno),10000-ROW(),"")</f>
        <v/>
      </c>
    </row>
    <row r="4116">
      <c r="A4116" s="3">
        <f>IF(D4116="","","TT-"&amp;TEXT(ROW()-1,"00000"))</f>
        <v/>
      </c>
      <c r="B4116" s="3">
        <f>IF(D4116="","",IF(V4116=0,"CONCLUÍDO",IF(D4116&lt;corte,"HISTÓRICO",IF(OR(AND(ISNUMBER(R4116),R4116&lt;TODAY()),AND(OR(N4116="PENDENTE",N4116="PARCIAL"),D4116&lt;TODAY()-1)),"CRÍTICO",IF(OR(AND(P4116&lt;&gt;"",S4116=""),AND(N4116="REALIZADO",M4116="PENDENTE"),AND(ISNUMBER(R4116),R4116=TODAY())),"ATENÇÃO",IF(N(K4116)=0,"PENDENTE","EM ANDAMENTO"))))))</f>
        <v/>
      </c>
      <c r="C4116" s="3">
        <f>IF(D4116="","",IF(V4116=0,"🟢 OK",IF(D4116&lt;corte,"⚪ HISTÓRICO (sem baixa)",IF(AND(ISNUMBER(R4116),R4116&lt;TODAY()),"🔴 PRAZO VENCIDO",IF(AND(OR(N4116="PENDENTE",N4116="PARCIAL"),D4116&lt;TODAY()-1),"🔴 EMBARQUE ATRASADO",IF(AND(N4116="REALIZADO",M4116="PENDENTE"),"🟡 EMBARCADO SEM FATURAR",IF(AND(P4116&lt;&gt;"",S4116="",OR(Q4116="",R4116="")),"🟡 PENDÊNCIA SEM RESPONSÁVEL/PRAZO",IF(AND(ISNUMBER(R4116),R4116=TODAY()),"🟡 VENCE HOJE",IF(AND(P4116&lt;&gt;"",S4116=""),"🟡 PENDÊNCIA ABERTA",IF(AND(N(J4116)&gt;0,N(K4116)&lt;J4116),"🟡 FALTA EXECUTAR",IF(OR(M4116="PENDENTE",M4116="PARCIAL"),"🟡 FATURAMENTO PENDENTE","🟡 EMBARQUE PENDENTE")))))))))))</f>
        <v/>
      </c>
      <c r="D4116" s="4" t="n"/>
      <c r="E4116" s="5" t="n"/>
      <c r="F4116" s="5" t="n"/>
      <c r="G4116" s="5" t="n"/>
      <c r="H4116" s="5" t="n"/>
      <c r="I4116" s="5" t="n"/>
      <c r="J4116" s="6" t="n"/>
      <c r="K4116" s="6" t="n"/>
      <c r="L4116" s="7">
        <f>IF(OR(D4116="",N(J4116)=0),"",MIN(1,N(K4116)/J4116))</f>
        <v/>
      </c>
      <c r="M4116" s="5" t="n"/>
      <c r="N4116" s="5" t="n"/>
      <c r="O4116" s="5" t="n"/>
      <c r="P4116" s="5" t="n"/>
      <c r="Q4116" s="5" t="n"/>
      <c r="R4116" s="4" t="n"/>
      <c r="S4116" s="4" t="n"/>
      <c r="T4116" s="5" t="n"/>
      <c r="U4116" s="8">
        <f>IF(AND(V4116=1,D4116&lt;&gt;""),IF(D4116&gt;=corte,TODAY()-D4116,""),"")</f>
        <v/>
      </c>
      <c r="V4116" s="8">
        <f>IF(D4116="",0,IF(OR(AND(P4116&lt;&gt;"",S4116=""),AND(N(J4116)&gt;0,N(K4116)&lt;J4116),OR(M4116="PENDENTE",M4116="PARCIAL"),OR(N4116="PENDENTE",N4116="PARCIAL")),1,0))</f>
        <v/>
      </c>
      <c r="W4116" s="8">
        <f>IF(AND(V4116=1,D4116&lt;&gt;""),IF(D4116&gt;=corte,(B4116="CRÍTICO")*1E9+(100000-D4116)*10000+10000-ROW(),""),"")</f>
        <v/>
      </c>
      <c r="X4116" s="8">
        <f>IF(AND(V4116=1,D4116=pas_data,E4116=pas_turno),10000-ROW(),"")</f>
        <v/>
      </c>
    </row>
    <row r="4117">
      <c r="A4117" s="3">
        <f>IF(D4117="","","TT-"&amp;TEXT(ROW()-1,"00000"))</f>
        <v/>
      </c>
      <c r="B4117" s="3">
        <f>IF(D4117="","",IF(V4117=0,"CONCLUÍDO",IF(D4117&lt;corte,"HISTÓRICO",IF(OR(AND(ISNUMBER(R4117),R4117&lt;TODAY()),AND(OR(N4117="PENDENTE",N4117="PARCIAL"),D4117&lt;TODAY()-1)),"CRÍTICO",IF(OR(AND(P4117&lt;&gt;"",S4117=""),AND(N4117="REALIZADO",M4117="PENDENTE"),AND(ISNUMBER(R4117),R4117=TODAY())),"ATENÇÃO",IF(N(K4117)=0,"PENDENTE","EM ANDAMENTO"))))))</f>
        <v/>
      </c>
      <c r="C4117" s="3">
        <f>IF(D4117="","",IF(V4117=0,"🟢 OK",IF(D4117&lt;corte,"⚪ HISTÓRICO (sem baixa)",IF(AND(ISNUMBER(R4117),R4117&lt;TODAY()),"🔴 PRAZO VENCIDO",IF(AND(OR(N4117="PENDENTE",N4117="PARCIAL"),D4117&lt;TODAY()-1),"🔴 EMBARQUE ATRASADO",IF(AND(N4117="REALIZADO",M4117="PENDENTE"),"🟡 EMBARCADO SEM FATURAR",IF(AND(P4117&lt;&gt;"",S4117="",OR(Q4117="",R4117="")),"🟡 PENDÊNCIA SEM RESPONSÁVEL/PRAZO",IF(AND(ISNUMBER(R4117),R4117=TODAY()),"🟡 VENCE HOJE",IF(AND(P4117&lt;&gt;"",S4117=""),"🟡 PENDÊNCIA ABERTA",IF(AND(N(J4117)&gt;0,N(K4117)&lt;J4117),"🟡 FALTA EXECUTAR",IF(OR(M4117="PENDENTE",M4117="PARCIAL"),"🟡 FATURAMENTO PENDENTE","🟡 EMBARQUE PENDENTE")))))))))))</f>
        <v/>
      </c>
      <c r="D4117" s="4" t="n"/>
      <c r="E4117" s="5" t="n"/>
      <c r="F4117" s="5" t="n"/>
      <c r="G4117" s="5" t="n"/>
      <c r="H4117" s="5" t="n"/>
      <c r="I4117" s="5" t="n"/>
      <c r="J4117" s="6" t="n"/>
      <c r="K4117" s="6" t="n"/>
      <c r="L4117" s="7">
        <f>IF(OR(D4117="",N(J4117)=0),"",MIN(1,N(K4117)/J4117))</f>
        <v/>
      </c>
      <c r="M4117" s="5" t="n"/>
      <c r="N4117" s="5" t="n"/>
      <c r="O4117" s="5" t="n"/>
      <c r="P4117" s="5" t="n"/>
      <c r="Q4117" s="5" t="n"/>
      <c r="R4117" s="4" t="n"/>
      <c r="S4117" s="4" t="n"/>
      <c r="T4117" s="5" t="n"/>
      <c r="U4117" s="8">
        <f>IF(AND(V4117=1,D4117&lt;&gt;""),IF(D4117&gt;=corte,TODAY()-D4117,""),"")</f>
        <v/>
      </c>
      <c r="V4117" s="8">
        <f>IF(D4117="",0,IF(OR(AND(P4117&lt;&gt;"",S4117=""),AND(N(J4117)&gt;0,N(K4117)&lt;J4117),OR(M4117="PENDENTE",M4117="PARCIAL"),OR(N4117="PENDENTE",N4117="PARCIAL")),1,0))</f>
        <v/>
      </c>
      <c r="W4117" s="8">
        <f>IF(AND(V4117=1,D4117&lt;&gt;""),IF(D4117&gt;=corte,(B4117="CRÍTICO")*1E9+(100000-D4117)*10000+10000-ROW(),""),"")</f>
        <v/>
      </c>
      <c r="X4117" s="8">
        <f>IF(AND(V4117=1,D4117=pas_data,E4117=pas_turno),10000-ROW(),"")</f>
        <v/>
      </c>
    </row>
    <row r="4118">
      <c r="A4118" s="3">
        <f>IF(D4118="","","TT-"&amp;TEXT(ROW()-1,"00000"))</f>
        <v/>
      </c>
      <c r="B4118" s="3">
        <f>IF(D4118="","",IF(V4118=0,"CONCLUÍDO",IF(D4118&lt;corte,"HISTÓRICO",IF(OR(AND(ISNUMBER(R4118),R4118&lt;TODAY()),AND(OR(N4118="PENDENTE",N4118="PARCIAL"),D4118&lt;TODAY()-1)),"CRÍTICO",IF(OR(AND(P4118&lt;&gt;"",S4118=""),AND(N4118="REALIZADO",M4118="PENDENTE"),AND(ISNUMBER(R4118),R4118=TODAY())),"ATENÇÃO",IF(N(K4118)=0,"PENDENTE","EM ANDAMENTO"))))))</f>
        <v/>
      </c>
      <c r="C4118" s="3">
        <f>IF(D4118="","",IF(V4118=0,"🟢 OK",IF(D4118&lt;corte,"⚪ HISTÓRICO (sem baixa)",IF(AND(ISNUMBER(R4118),R4118&lt;TODAY()),"🔴 PRAZO VENCIDO",IF(AND(OR(N4118="PENDENTE",N4118="PARCIAL"),D4118&lt;TODAY()-1),"🔴 EMBARQUE ATRASADO",IF(AND(N4118="REALIZADO",M4118="PENDENTE"),"🟡 EMBARCADO SEM FATURAR",IF(AND(P4118&lt;&gt;"",S4118="",OR(Q4118="",R4118="")),"🟡 PENDÊNCIA SEM RESPONSÁVEL/PRAZO",IF(AND(ISNUMBER(R4118),R4118=TODAY()),"🟡 VENCE HOJE",IF(AND(P4118&lt;&gt;"",S4118=""),"🟡 PENDÊNCIA ABERTA",IF(AND(N(J4118)&gt;0,N(K4118)&lt;J4118),"🟡 FALTA EXECUTAR",IF(OR(M4118="PENDENTE",M4118="PARCIAL"),"🟡 FATURAMENTO PENDENTE","🟡 EMBARQUE PENDENTE")))))))))))</f>
        <v/>
      </c>
      <c r="D4118" s="4" t="n"/>
      <c r="E4118" s="5" t="n"/>
      <c r="F4118" s="5" t="n"/>
      <c r="G4118" s="5" t="n"/>
      <c r="H4118" s="5" t="n"/>
      <c r="I4118" s="5" t="n"/>
      <c r="J4118" s="6" t="n"/>
      <c r="K4118" s="6" t="n"/>
      <c r="L4118" s="7">
        <f>IF(OR(D4118="",N(J4118)=0),"",MIN(1,N(K4118)/J4118))</f>
        <v/>
      </c>
      <c r="M4118" s="5" t="n"/>
      <c r="N4118" s="5" t="n"/>
      <c r="O4118" s="5" t="n"/>
      <c r="P4118" s="5" t="n"/>
      <c r="Q4118" s="5" t="n"/>
      <c r="R4118" s="4" t="n"/>
      <c r="S4118" s="4" t="n"/>
      <c r="T4118" s="5" t="n"/>
      <c r="U4118" s="8">
        <f>IF(AND(V4118=1,D4118&lt;&gt;""),IF(D4118&gt;=corte,TODAY()-D4118,""),"")</f>
        <v/>
      </c>
      <c r="V4118" s="8">
        <f>IF(D4118="",0,IF(OR(AND(P4118&lt;&gt;"",S4118=""),AND(N(J4118)&gt;0,N(K4118)&lt;J4118),OR(M4118="PENDENTE",M4118="PARCIAL"),OR(N4118="PENDENTE",N4118="PARCIAL")),1,0))</f>
        <v/>
      </c>
      <c r="W4118" s="8">
        <f>IF(AND(V4118=1,D4118&lt;&gt;""),IF(D4118&gt;=corte,(B4118="CRÍTICO")*1E9+(100000-D4118)*10000+10000-ROW(),""),"")</f>
        <v/>
      </c>
      <c r="X4118" s="8">
        <f>IF(AND(V4118=1,D4118=pas_data,E4118=pas_turno),10000-ROW(),"")</f>
        <v/>
      </c>
    </row>
    <row r="4119">
      <c r="A4119" s="3">
        <f>IF(D4119="","","TT-"&amp;TEXT(ROW()-1,"00000"))</f>
        <v/>
      </c>
      <c r="B4119" s="3">
        <f>IF(D4119="","",IF(V4119=0,"CONCLUÍDO",IF(D4119&lt;corte,"HISTÓRICO",IF(OR(AND(ISNUMBER(R4119),R4119&lt;TODAY()),AND(OR(N4119="PENDENTE",N4119="PARCIAL"),D4119&lt;TODAY()-1)),"CRÍTICO",IF(OR(AND(P4119&lt;&gt;"",S4119=""),AND(N4119="REALIZADO",M4119="PENDENTE"),AND(ISNUMBER(R4119),R4119=TODAY())),"ATENÇÃO",IF(N(K4119)=0,"PENDENTE","EM ANDAMENTO"))))))</f>
        <v/>
      </c>
      <c r="C4119" s="3">
        <f>IF(D4119="","",IF(V4119=0,"🟢 OK",IF(D4119&lt;corte,"⚪ HISTÓRICO (sem baixa)",IF(AND(ISNUMBER(R4119),R4119&lt;TODAY()),"🔴 PRAZO VENCIDO",IF(AND(OR(N4119="PENDENTE",N4119="PARCIAL"),D4119&lt;TODAY()-1),"🔴 EMBARQUE ATRASADO",IF(AND(N4119="REALIZADO",M4119="PENDENTE"),"🟡 EMBARCADO SEM FATURAR",IF(AND(P4119&lt;&gt;"",S4119="",OR(Q4119="",R4119="")),"🟡 PENDÊNCIA SEM RESPONSÁVEL/PRAZO",IF(AND(ISNUMBER(R4119),R4119=TODAY()),"🟡 VENCE HOJE",IF(AND(P4119&lt;&gt;"",S4119=""),"🟡 PENDÊNCIA ABERTA",IF(AND(N(J4119)&gt;0,N(K4119)&lt;J4119),"🟡 FALTA EXECUTAR",IF(OR(M4119="PENDENTE",M4119="PARCIAL"),"🟡 FATURAMENTO PENDENTE","🟡 EMBARQUE PENDENTE")))))))))))</f>
        <v/>
      </c>
      <c r="D4119" s="4" t="n"/>
      <c r="E4119" s="5" t="n"/>
      <c r="F4119" s="5" t="n"/>
      <c r="G4119" s="5" t="n"/>
      <c r="H4119" s="5" t="n"/>
      <c r="I4119" s="5" t="n"/>
      <c r="J4119" s="6" t="n"/>
      <c r="K4119" s="6" t="n"/>
      <c r="L4119" s="7">
        <f>IF(OR(D4119="",N(J4119)=0),"",MIN(1,N(K4119)/J4119))</f>
        <v/>
      </c>
      <c r="M4119" s="5" t="n"/>
      <c r="N4119" s="5" t="n"/>
      <c r="O4119" s="5" t="n"/>
      <c r="P4119" s="5" t="n"/>
      <c r="Q4119" s="5" t="n"/>
      <c r="R4119" s="4" t="n"/>
      <c r="S4119" s="4" t="n"/>
      <c r="T4119" s="5" t="n"/>
      <c r="U4119" s="8">
        <f>IF(AND(V4119=1,D4119&lt;&gt;""),IF(D4119&gt;=corte,TODAY()-D4119,""),"")</f>
        <v/>
      </c>
      <c r="V4119" s="8">
        <f>IF(D4119="",0,IF(OR(AND(P4119&lt;&gt;"",S4119=""),AND(N(J4119)&gt;0,N(K4119)&lt;J4119),OR(M4119="PENDENTE",M4119="PARCIAL"),OR(N4119="PENDENTE",N4119="PARCIAL")),1,0))</f>
        <v/>
      </c>
      <c r="W4119" s="8">
        <f>IF(AND(V4119=1,D4119&lt;&gt;""),IF(D4119&gt;=corte,(B4119="CRÍTICO")*1E9+(100000-D4119)*10000+10000-ROW(),""),"")</f>
        <v/>
      </c>
      <c r="X4119" s="8">
        <f>IF(AND(V4119=1,D4119=pas_data,E4119=pas_turno),10000-ROW(),"")</f>
        <v/>
      </c>
    </row>
    <row r="4120">
      <c r="A4120" s="3">
        <f>IF(D4120="","","TT-"&amp;TEXT(ROW()-1,"00000"))</f>
        <v/>
      </c>
      <c r="B4120" s="3">
        <f>IF(D4120="","",IF(V4120=0,"CONCLUÍDO",IF(D4120&lt;corte,"HISTÓRICO",IF(OR(AND(ISNUMBER(R4120),R4120&lt;TODAY()),AND(OR(N4120="PENDENTE",N4120="PARCIAL"),D4120&lt;TODAY()-1)),"CRÍTICO",IF(OR(AND(P4120&lt;&gt;"",S4120=""),AND(N4120="REALIZADO",M4120="PENDENTE"),AND(ISNUMBER(R4120),R4120=TODAY())),"ATENÇÃO",IF(N(K4120)=0,"PENDENTE","EM ANDAMENTO"))))))</f>
        <v/>
      </c>
      <c r="C4120" s="3">
        <f>IF(D4120="","",IF(V4120=0,"🟢 OK",IF(D4120&lt;corte,"⚪ HISTÓRICO (sem baixa)",IF(AND(ISNUMBER(R4120),R4120&lt;TODAY()),"🔴 PRAZO VENCIDO",IF(AND(OR(N4120="PENDENTE",N4120="PARCIAL"),D4120&lt;TODAY()-1),"🔴 EMBARQUE ATRASADO",IF(AND(N4120="REALIZADO",M4120="PENDENTE"),"🟡 EMBARCADO SEM FATURAR",IF(AND(P4120&lt;&gt;"",S4120="",OR(Q4120="",R4120="")),"🟡 PENDÊNCIA SEM RESPONSÁVEL/PRAZO",IF(AND(ISNUMBER(R4120),R4120=TODAY()),"🟡 VENCE HOJE",IF(AND(P4120&lt;&gt;"",S4120=""),"🟡 PENDÊNCIA ABERTA",IF(AND(N(J4120)&gt;0,N(K4120)&lt;J4120),"🟡 FALTA EXECUTAR",IF(OR(M4120="PENDENTE",M4120="PARCIAL"),"🟡 FATURAMENTO PENDENTE","🟡 EMBARQUE PENDENTE")))))))))))</f>
        <v/>
      </c>
      <c r="D4120" s="4" t="n"/>
      <c r="E4120" s="5" t="n"/>
      <c r="F4120" s="5" t="n"/>
      <c r="G4120" s="5" t="n"/>
      <c r="H4120" s="5" t="n"/>
      <c r="I4120" s="5" t="n"/>
      <c r="J4120" s="6" t="n"/>
      <c r="K4120" s="6" t="n"/>
      <c r="L4120" s="7">
        <f>IF(OR(D4120="",N(J4120)=0),"",MIN(1,N(K4120)/J4120))</f>
        <v/>
      </c>
      <c r="M4120" s="5" t="n"/>
      <c r="N4120" s="5" t="n"/>
      <c r="O4120" s="5" t="n"/>
      <c r="P4120" s="5" t="n"/>
      <c r="Q4120" s="5" t="n"/>
      <c r="R4120" s="4" t="n"/>
      <c r="S4120" s="4" t="n"/>
      <c r="T4120" s="5" t="n"/>
      <c r="U4120" s="8">
        <f>IF(AND(V4120=1,D4120&lt;&gt;""),IF(D4120&gt;=corte,TODAY()-D4120,""),"")</f>
        <v/>
      </c>
      <c r="V4120" s="8">
        <f>IF(D4120="",0,IF(OR(AND(P4120&lt;&gt;"",S4120=""),AND(N(J4120)&gt;0,N(K4120)&lt;J4120),OR(M4120="PENDENTE",M4120="PARCIAL"),OR(N4120="PENDENTE",N4120="PARCIAL")),1,0))</f>
        <v/>
      </c>
      <c r="W4120" s="8">
        <f>IF(AND(V4120=1,D4120&lt;&gt;""),IF(D4120&gt;=corte,(B4120="CRÍTICO")*1E9+(100000-D4120)*10000+10000-ROW(),""),"")</f>
        <v/>
      </c>
      <c r="X4120" s="8">
        <f>IF(AND(V4120=1,D4120=pas_data,E4120=pas_turno),10000-ROW(),"")</f>
        <v/>
      </c>
    </row>
    <row r="4121">
      <c r="A4121" s="3">
        <f>IF(D4121="","","TT-"&amp;TEXT(ROW()-1,"00000"))</f>
        <v/>
      </c>
      <c r="B4121" s="3">
        <f>IF(D4121="","",IF(V4121=0,"CONCLUÍDO",IF(D4121&lt;corte,"HISTÓRICO",IF(OR(AND(ISNUMBER(R4121),R4121&lt;TODAY()),AND(OR(N4121="PENDENTE",N4121="PARCIAL"),D4121&lt;TODAY()-1)),"CRÍTICO",IF(OR(AND(P4121&lt;&gt;"",S4121=""),AND(N4121="REALIZADO",M4121="PENDENTE"),AND(ISNUMBER(R4121),R4121=TODAY())),"ATENÇÃO",IF(N(K4121)=0,"PENDENTE","EM ANDAMENTO"))))))</f>
        <v/>
      </c>
      <c r="C4121" s="3">
        <f>IF(D4121="","",IF(V4121=0,"🟢 OK",IF(D4121&lt;corte,"⚪ HISTÓRICO (sem baixa)",IF(AND(ISNUMBER(R4121),R4121&lt;TODAY()),"🔴 PRAZO VENCIDO",IF(AND(OR(N4121="PENDENTE",N4121="PARCIAL"),D4121&lt;TODAY()-1),"🔴 EMBARQUE ATRASADO",IF(AND(N4121="REALIZADO",M4121="PENDENTE"),"🟡 EMBARCADO SEM FATURAR",IF(AND(P4121&lt;&gt;"",S4121="",OR(Q4121="",R4121="")),"🟡 PENDÊNCIA SEM RESPONSÁVEL/PRAZO",IF(AND(ISNUMBER(R4121),R4121=TODAY()),"🟡 VENCE HOJE",IF(AND(P4121&lt;&gt;"",S4121=""),"🟡 PENDÊNCIA ABERTA",IF(AND(N(J4121)&gt;0,N(K4121)&lt;J4121),"🟡 FALTA EXECUTAR",IF(OR(M4121="PENDENTE",M4121="PARCIAL"),"🟡 FATURAMENTO PENDENTE","🟡 EMBARQUE PENDENTE")))))))))))</f>
        <v/>
      </c>
      <c r="D4121" s="4" t="n"/>
      <c r="E4121" s="5" t="n"/>
      <c r="F4121" s="5" t="n"/>
      <c r="G4121" s="5" t="n"/>
      <c r="H4121" s="5" t="n"/>
      <c r="I4121" s="5" t="n"/>
      <c r="J4121" s="6" t="n"/>
      <c r="K4121" s="6" t="n"/>
      <c r="L4121" s="7">
        <f>IF(OR(D4121="",N(J4121)=0),"",MIN(1,N(K4121)/J4121))</f>
        <v/>
      </c>
      <c r="M4121" s="5" t="n"/>
      <c r="N4121" s="5" t="n"/>
      <c r="O4121" s="5" t="n"/>
      <c r="P4121" s="5" t="n"/>
      <c r="Q4121" s="5" t="n"/>
      <c r="R4121" s="4" t="n"/>
      <c r="S4121" s="4" t="n"/>
      <c r="T4121" s="5" t="n"/>
      <c r="U4121" s="8">
        <f>IF(AND(V4121=1,D4121&lt;&gt;""),IF(D4121&gt;=corte,TODAY()-D4121,""),"")</f>
        <v/>
      </c>
      <c r="V4121" s="8">
        <f>IF(D4121="",0,IF(OR(AND(P4121&lt;&gt;"",S4121=""),AND(N(J4121)&gt;0,N(K4121)&lt;J4121),OR(M4121="PENDENTE",M4121="PARCIAL"),OR(N4121="PENDENTE",N4121="PARCIAL")),1,0))</f>
        <v/>
      </c>
      <c r="W4121" s="8">
        <f>IF(AND(V4121=1,D4121&lt;&gt;""),IF(D4121&gt;=corte,(B4121="CRÍTICO")*1E9+(100000-D4121)*10000+10000-ROW(),""),"")</f>
        <v/>
      </c>
      <c r="X4121" s="8">
        <f>IF(AND(V4121=1,D4121=pas_data,E4121=pas_turno),10000-ROW(),"")</f>
        <v/>
      </c>
    </row>
    <row r="4122">
      <c r="A4122" s="3">
        <f>IF(D4122="","","TT-"&amp;TEXT(ROW()-1,"00000"))</f>
        <v/>
      </c>
      <c r="B4122" s="3">
        <f>IF(D4122="","",IF(V4122=0,"CONCLUÍDO",IF(D4122&lt;corte,"HISTÓRICO",IF(OR(AND(ISNUMBER(R4122),R4122&lt;TODAY()),AND(OR(N4122="PENDENTE",N4122="PARCIAL"),D4122&lt;TODAY()-1)),"CRÍTICO",IF(OR(AND(P4122&lt;&gt;"",S4122=""),AND(N4122="REALIZADO",M4122="PENDENTE"),AND(ISNUMBER(R4122),R4122=TODAY())),"ATENÇÃO",IF(N(K4122)=0,"PENDENTE","EM ANDAMENTO"))))))</f>
        <v/>
      </c>
      <c r="C4122" s="3">
        <f>IF(D4122="","",IF(V4122=0,"🟢 OK",IF(D4122&lt;corte,"⚪ HISTÓRICO (sem baixa)",IF(AND(ISNUMBER(R4122),R4122&lt;TODAY()),"🔴 PRAZO VENCIDO",IF(AND(OR(N4122="PENDENTE",N4122="PARCIAL"),D4122&lt;TODAY()-1),"🔴 EMBARQUE ATRASADO",IF(AND(N4122="REALIZADO",M4122="PENDENTE"),"🟡 EMBARCADO SEM FATURAR",IF(AND(P4122&lt;&gt;"",S4122="",OR(Q4122="",R4122="")),"🟡 PENDÊNCIA SEM RESPONSÁVEL/PRAZO",IF(AND(ISNUMBER(R4122),R4122=TODAY()),"🟡 VENCE HOJE",IF(AND(P4122&lt;&gt;"",S4122=""),"🟡 PENDÊNCIA ABERTA",IF(AND(N(J4122)&gt;0,N(K4122)&lt;J4122),"🟡 FALTA EXECUTAR",IF(OR(M4122="PENDENTE",M4122="PARCIAL"),"🟡 FATURAMENTO PENDENTE","🟡 EMBARQUE PENDENTE")))))))))))</f>
        <v/>
      </c>
      <c r="D4122" s="4" t="n"/>
      <c r="E4122" s="5" t="n"/>
      <c r="F4122" s="5" t="n"/>
      <c r="G4122" s="5" t="n"/>
      <c r="H4122" s="5" t="n"/>
      <c r="I4122" s="5" t="n"/>
      <c r="J4122" s="6" t="n"/>
      <c r="K4122" s="6" t="n"/>
      <c r="L4122" s="7">
        <f>IF(OR(D4122="",N(J4122)=0),"",MIN(1,N(K4122)/J4122))</f>
        <v/>
      </c>
      <c r="M4122" s="5" t="n"/>
      <c r="N4122" s="5" t="n"/>
      <c r="O4122" s="5" t="n"/>
      <c r="P4122" s="5" t="n"/>
      <c r="Q4122" s="5" t="n"/>
      <c r="R4122" s="4" t="n"/>
      <c r="S4122" s="4" t="n"/>
      <c r="T4122" s="5" t="n"/>
      <c r="U4122" s="8">
        <f>IF(AND(V4122=1,D4122&lt;&gt;""),IF(D4122&gt;=corte,TODAY()-D4122,""),"")</f>
        <v/>
      </c>
      <c r="V4122" s="8">
        <f>IF(D4122="",0,IF(OR(AND(P4122&lt;&gt;"",S4122=""),AND(N(J4122)&gt;0,N(K4122)&lt;J4122),OR(M4122="PENDENTE",M4122="PARCIAL"),OR(N4122="PENDENTE",N4122="PARCIAL")),1,0))</f>
        <v/>
      </c>
      <c r="W4122" s="8">
        <f>IF(AND(V4122=1,D4122&lt;&gt;""),IF(D4122&gt;=corte,(B4122="CRÍTICO")*1E9+(100000-D4122)*10000+10000-ROW(),""),"")</f>
        <v/>
      </c>
      <c r="X4122" s="8">
        <f>IF(AND(V4122=1,D4122=pas_data,E4122=pas_turno),10000-ROW(),"")</f>
        <v/>
      </c>
    </row>
    <row r="4123">
      <c r="A4123" s="3">
        <f>IF(D4123="","","TT-"&amp;TEXT(ROW()-1,"00000"))</f>
        <v/>
      </c>
      <c r="B4123" s="3">
        <f>IF(D4123="","",IF(V4123=0,"CONCLUÍDO",IF(D4123&lt;corte,"HISTÓRICO",IF(OR(AND(ISNUMBER(R4123),R4123&lt;TODAY()),AND(OR(N4123="PENDENTE",N4123="PARCIAL"),D4123&lt;TODAY()-1)),"CRÍTICO",IF(OR(AND(P4123&lt;&gt;"",S4123=""),AND(N4123="REALIZADO",M4123="PENDENTE"),AND(ISNUMBER(R4123),R4123=TODAY())),"ATENÇÃO",IF(N(K4123)=0,"PENDENTE","EM ANDAMENTO"))))))</f>
        <v/>
      </c>
      <c r="C4123" s="3">
        <f>IF(D4123="","",IF(V4123=0,"🟢 OK",IF(D4123&lt;corte,"⚪ HISTÓRICO (sem baixa)",IF(AND(ISNUMBER(R4123),R4123&lt;TODAY()),"🔴 PRAZO VENCIDO",IF(AND(OR(N4123="PENDENTE",N4123="PARCIAL"),D4123&lt;TODAY()-1),"🔴 EMBARQUE ATRASADO",IF(AND(N4123="REALIZADO",M4123="PENDENTE"),"🟡 EMBARCADO SEM FATURAR",IF(AND(P4123&lt;&gt;"",S4123="",OR(Q4123="",R4123="")),"🟡 PENDÊNCIA SEM RESPONSÁVEL/PRAZO",IF(AND(ISNUMBER(R4123),R4123=TODAY()),"🟡 VENCE HOJE",IF(AND(P4123&lt;&gt;"",S4123=""),"🟡 PENDÊNCIA ABERTA",IF(AND(N(J4123)&gt;0,N(K4123)&lt;J4123),"🟡 FALTA EXECUTAR",IF(OR(M4123="PENDENTE",M4123="PARCIAL"),"🟡 FATURAMENTO PENDENTE","🟡 EMBARQUE PENDENTE")))))))))))</f>
        <v/>
      </c>
      <c r="D4123" s="4" t="n"/>
      <c r="E4123" s="5" t="n"/>
      <c r="F4123" s="5" t="n"/>
      <c r="G4123" s="5" t="n"/>
      <c r="H4123" s="5" t="n"/>
      <c r="I4123" s="5" t="n"/>
      <c r="J4123" s="6" t="n"/>
      <c r="K4123" s="6" t="n"/>
      <c r="L4123" s="7">
        <f>IF(OR(D4123="",N(J4123)=0),"",MIN(1,N(K4123)/J4123))</f>
        <v/>
      </c>
      <c r="M4123" s="5" t="n"/>
      <c r="N4123" s="5" t="n"/>
      <c r="O4123" s="5" t="n"/>
      <c r="P4123" s="5" t="n"/>
      <c r="Q4123" s="5" t="n"/>
      <c r="R4123" s="4" t="n"/>
      <c r="S4123" s="4" t="n"/>
      <c r="T4123" s="5" t="n"/>
      <c r="U4123" s="8">
        <f>IF(AND(V4123=1,D4123&lt;&gt;""),IF(D4123&gt;=corte,TODAY()-D4123,""),"")</f>
        <v/>
      </c>
      <c r="V4123" s="8">
        <f>IF(D4123="",0,IF(OR(AND(P4123&lt;&gt;"",S4123=""),AND(N(J4123)&gt;0,N(K4123)&lt;J4123),OR(M4123="PENDENTE",M4123="PARCIAL"),OR(N4123="PENDENTE",N4123="PARCIAL")),1,0))</f>
        <v/>
      </c>
      <c r="W4123" s="8">
        <f>IF(AND(V4123=1,D4123&lt;&gt;""),IF(D4123&gt;=corte,(B4123="CRÍTICO")*1E9+(100000-D4123)*10000+10000-ROW(),""),"")</f>
        <v/>
      </c>
      <c r="X4123" s="8">
        <f>IF(AND(V4123=1,D4123=pas_data,E4123=pas_turno),10000-ROW(),"")</f>
        <v/>
      </c>
    </row>
    <row r="4124">
      <c r="A4124" s="3">
        <f>IF(D4124="","","TT-"&amp;TEXT(ROW()-1,"00000"))</f>
        <v/>
      </c>
      <c r="B4124" s="3">
        <f>IF(D4124="","",IF(V4124=0,"CONCLUÍDO",IF(D4124&lt;corte,"HISTÓRICO",IF(OR(AND(ISNUMBER(R4124),R4124&lt;TODAY()),AND(OR(N4124="PENDENTE",N4124="PARCIAL"),D4124&lt;TODAY()-1)),"CRÍTICO",IF(OR(AND(P4124&lt;&gt;"",S4124=""),AND(N4124="REALIZADO",M4124="PENDENTE"),AND(ISNUMBER(R4124),R4124=TODAY())),"ATENÇÃO",IF(N(K4124)=0,"PENDENTE","EM ANDAMENTO"))))))</f>
        <v/>
      </c>
      <c r="C4124" s="3">
        <f>IF(D4124="","",IF(V4124=0,"🟢 OK",IF(D4124&lt;corte,"⚪ HISTÓRICO (sem baixa)",IF(AND(ISNUMBER(R4124),R4124&lt;TODAY()),"🔴 PRAZO VENCIDO",IF(AND(OR(N4124="PENDENTE",N4124="PARCIAL"),D4124&lt;TODAY()-1),"🔴 EMBARQUE ATRASADO",IF(AND(N4124="REALIZADO",M4124="PENDENTE"),"🟡 EMBARCADO SEM FATURAR",IF(AND(P4124&lt;&gt;"",S4124="",OR(Q4124="",R4124="")),"🟡 PENDÊNCIA SEM RESPONSÁVEL/PRAZO",IF(AND(ISNUMBER(R4124),R4124=TODAY()),"🟡 VENCE HOJE",IF(AND(P4124&lt;&gt;"",S4124=""),"🟡 PENDÊNCIA ABERTA",IF(AND(N(J4124)&gt;0,N(K4124)&lt;J4124),"🟡 FALTA EXECUTAR",IF(OR(M4124="PENDENTE",M4124="PARCIAL"),"🟡 FATURAMENTO PENDENTE","🟡 EMBARQUE PENDENTE")))))))))))</f>
        <v/>
      </c>
      <c r="D4124" s="4" t="n"/>
      <c r="E4124" s="5" t="n"/>
      <c r="F4124" s="5" t="n"/>
      <c r="G4124" s="5" t="n"/>
      <c r="H4124" s="5" t="n"/>
      <c r="I4124" s="5" t="n"/>
      <c r="J4124" s="6" t="n"/>
      <c r="K4124" s="6" t="n"/>
      <c r="L4124" s="7">
        <f>IF(OR(D4124="",N(J4124)=0),"",MIN(1,N(K4124)/J4124))</f>
        <v/>
      </c>
      <c r="M4124" s="5" t="n"/>
      <c r="N4124" s="5" t="n"/>
      <c r="O4124" s="5" t="n"/>
      <c r="P4124" s="5" t="n"/>
      <c r="Q4124" s="5" t="n"/>
      <c r="R4124" s="4" t="n"/>
      <c r="S4124" s="4" t="n"/>
      <c r="T4124" s="5" t="n"/>
      <c r="U4124" s="8">
        <f>IF(AND(V4124=1,D4124&lt;&gt;""),IF(D4124&gt;=corte,TODAY()-D4124,""),"")</f>
        <v/>
      </c>
      <c r="V4124" s="8">
        <f>IF(D4124="",0,IF(OR(AND(P4124&lt;&gt;"",S4124=""),AND(N(J4124)&gt;0,N(K4124)&lt;J4124),OR(M4124="PENDENTE",M4124="PARCIAL"),OR(N4124="PENDENTE",N4124="PARCIAL")),1,0))</f>
        <v/>
      </c>
      <c r="W4124" s="8">
        <f>IF(AND(V4124=1,D4124&lt;&gt;""),IF(D4124&gt;=corte,(B4124="CRÍTICO")*1E9+(100000-D4124)*10000+10000-ROW(),""),"")</f>
        <v/>
      </c>
      <c r="X4124" s="8">
        <f>IF(AND(V4124=1,D4124=pas_data,E4124=pas_turno),10000-ROW(),"")</f>
        <v/>
      </c>
    </row>
    <row r="4125">
      <c r="A4125" s="3">
        <f>IF(D4125="","","TT-"&amp;TEXT(ROW()-1,"00000"))</f>
        <v/>
      </c>
      <c r="B4125" s="3">
        <f>IF(D4125="","",IF(V4125=0,"CONCLUÍDO",IF(D4125&lt;corte,"HISTÓRICO",IF(OR(AND(ISNUMBER(R4125),R4125&lt;TODAY()),AND(OR(N4125="PENDENTE",N4125="PARCIAL"),D4125&lt;TODAY()-1)),"CRÍTICO",IF(OR(AND(P4125&lt;&gt;"",S4125=""),AND(N4125="REALIZADO",M4125="PENDENTE"),AND(ISNUMBER(R4125),R4125=TODAY())),"ATENÇÃO",IF(N(K4125)=0,"PENDENTE","EM ANDAMENTO"))))))</f>
        <v/>
      </c>
      <c r="C4125" s="3">
        <f>IF(D4125="","",IF(V4125=0,"🟢 OK",IF(D4125&lt;corte,"⚪ HISTÓRICO (sem baixa)",IF(AND(ISNUMBER(R4125),R4125&lt;TODAY()),"🔴 PRAZO VENCIDO",IF(AND(OR(N4125="PENDENTE",N4125="PARCIAL"),D4125&lt;TODAY()-1),"🔴 EMBARQUE ATRASADO",IF(AND(N4125="REALIZADO",M4125="PENDENTE"),"🟡 EMBARCADO SEM FATURAR",IF(AND(P4125&lt;&gt;"",S4125="",OR(Q4125="",R4125="")),"🟡 PENDÊNCIA SEM RESPONSÁVEL/PRAZO",IF(AND(ISNUMBER(R4125),R4125=TODAY()),"🟡 VENCE HOJE",IF(AND(P4125&lt;&gt;"",S4125=""),"🟡 PENDÊNCIA ABERTA",IF(AND(N(J4125)&gt;0,N(K4125)&lt;J4125),"🟡 FALTA EXECUTAR",IF(OR(M4125="PENDENTE",M4125="PARCIAL"),"🟡 FATURAMENTO PENDENTE","🟡 EMBARQUE PENDENTE")))))))))))</f>
        <v/>
      </c>
      <c r="D4125" s="4" t="n"/>
      <c r="E4125" s="5" t="n"/>
      <c r="F4125" s="5" t="n"/>
      <c r="G4125" s="5" t="n"/>
      <c r="H4125" s="5" t="n"/>
      <c r="I4125" s="5" t="n"/>
      <c r="J4125" s="6" t="n"/>
      <c r="K4125" s="6" t="n"/>
      <c r="L4125" s="7">
        <f>IF(OR(D4125="",N(J4125)=0),"",MIN(1,N(K4125)/J4125))</f>
        <v/>
      </c>
      <c r="M4125" s="5" t="n"/>
      <c r="N4125" s="5" t="n"/>
      <c r="O4125" s="5" t="n"/>
      <c r="P4125" s="5" t="n"/>
      <c r="Q4125" s="5" t="n"/>
      <c r="R4125" s="4" t="n"/>
      <c r="S4125" s="4" t="n"/>
      <c r="T4125" s="5" t="n"/>
      <c r="U4125" s="8">
        <f>IF(AND(V4125=1,D4125&lt;&gt;""),IF(D4125&gt;=corte,TODAY()-D4125,""),"")</f>
        <v/>
      </c>
      <c r="V4125" s="8">
        <f>IF(D4125="",0,IF(OR(AND(P4125&lt;&gt;"",S4125=""),AND(N(J4125)&gt;0,N(K4125)&lt;J4125),OR(M4125="PENDENTE",M4125="PARCIAL"),OR(N4125="PENDENTE",N4125="PARCIAL")),1,0))</f>
        <v/>
      </c>
      <c r="W4125" s="8">
        <f>IF(AND(V4125=1,D4125&lt;&gt;""),IF(D4125&gt;=corte,(B4125="CRÍTICO")*1E9+(100000-D4125)*10000+10000-ROW(),""),"")</f>
        <v/>
      </c>
      <c r="X4125" s="8">
        <f>IF(AND(V4125=1,D4125=pas_data,E4125=pas_turno),10000-ROW(),"")</f>
        <v/>
      </c>
    </row>
    <row r="4126">
      <c r="A4126" s="3">
        <f>IF(D4126="","","TT-"&amp;TEXT(ROW()-1,"00000"))</f>
        <v/>
      </c>
      <c r="B4126" s="3">
        <f>IF(D4126="","",IF(V4126=0,"CONCLUÍDO",IF(D4126&lt;corte,"HISTÓRICO",IF(OR(AND(ISNUMBER(R4126),R4126&lt;TODAY()),AND(OR(N4126="PENDENTE",N4126="PARCIAL"),D4126&lt;TODAY()-1)),"CRÍTICO",IF(OR(AND(P4126&lt;&gt;"",S4126=""),AND(N4126="REALIZADO",M4126="PENDENTE"),AND(ISNUMBER(R4126),R4126=TODAY())),"ATENÇÃO",IF(N(K4126)=0,"PENDENTE","EM ANDAMENTO"))))))</f>
        <v/>
      </c>
      <c r="C4126" s="3">
        <f>IF(D4126="","",IF(V4126=0,"🟢 OK",IF(D4126&lt;corte,"⚪ HISTÓRICO (sem baixa)",IF(AND(ISNUMBER(R4126),R4126&lt;TODAY()),"🔴 PRAZO VENCIDO",IF(AND(OR(N4126="PENDENTE",N4126="PARCIAL"),D4126&lt;TODAY()-1),"🔴 EMBARQUE ATRASADO",IF(AND(N4126="REALIZADO",M4126="PENDENTE"),"🟡 EMBARCADO SEM FATURAR",IF(AND(P4126&lt;&gt;"",S4126="",OR(Q4126="",R4126="")),"🟡 PENDÊNCIA SEM RESPONSÁVEL/PRAZO",IF(AND(ISNUMBER(R4126),R4126=TODAY()),"🟡 VENCE HOJE",IF(AND(P4126&lt;&gt;"",S4126=""),"🟡 PENDÊNCIA ABERTA",IF(AND(N(J4126)&gt;0,N(K4126)&lt;J4126),"🟡 FALTA EXECUTAR",IF(OR(M4126="PENDENTE",M4126="PARCIAL"),"🟡 FATURAMENTO PENDENTE","🟡 EMBARQUE PENDENTE")))))))))))</f>
        <v/>
      </c>
      <c r="D4126" s="4" t="n"/>
      <c r="E4126" s="5" t="n"/>
      <c r="F4126" s="5" t="n"/>
      <c r="G4126" s="5" t="n"/>
      <c r="H4126" s="5" t="n"/>
      <c r="I4126" s="5" t="n"/>
      <c r="J4126" s="6" t="n"/>
      <c r="K4126" s="6" t="n"/>
      <c r="L4126" s="7">
        <f>IF(OR(D4126="",N(J4126)=0),"",MIN(1,N(K4126)/J4126))</f>
        <v/>
      </c>
      <c r="M4126" s="5" t="n"/>
      <c r="N4126" s="5" t="n"/>
      <c r="O4126" s="5" t="n"/>
      <c r="P4126" s="5" t="n"/>
      <c r="Q4126" s="5" t="n"/>
      <c r="R4126" s="4" t="n"/>
      <c r="S4126" s="4" t="n"/>
      <c r="T4126" s="5" t="n"/>
      <c r="U4126" s="8">
        <f>IF(AND(V4126=1,D4126&lt;&gt;""),IF(D4126&gt;=corte,TODAY()-D4126,""),"")</f>
        <v/>
      </c>
      <c r="V4126" s="8">
        <f>IF(D4126="",0,IF(OR(AND(P4126&lt;&gt;"",S4126=""),AND(N(J4126)&gt;0,N(K4126)&lt;J4126),OR(M4126="PENDENTE",M4126="PARCIAL"),OR(N4126="PENDENTE",N4126="PARCIAL")),1,0))</f>
        <v/>
      </c>
      <c r="W4126" s="8">
        <f>IF(AND(V4126=1,D4126&lt;&gt;""),IF(D4126&gt;=corte,(B4126="CRÍTICO")*1E9+(100000-D4126)*10000+10000-ROW(),""),"")</f>
        <v/>
      </c>
      <c r="X4126" s="8">
        <f>IF(AND(V4126=1,D4126=pas_data,E4126=pas_turno),10000-ROW(),"")</f>
        <v/>
      </c>
    </row>
    <row r="4127">
      <c r="A4127" s="3">
        <f>IF(D4127="","","TT-"&amp;TEXT(ROW()-1,"00000"))</f>
        <v/>
      </c>
      <c r="B4127" s="3">
        <f>IF(D4127="","",IF(V4127=0,"CONCLUÍDO",IF(D4127&lt;corte,"HISTÓRICO",IF(OR(AND(ISNUMBER(R4127),R4127&lt;TODAY()),AND(OR(N4127="PENDENTE",N4127="PARCIAL"),D4127&lt;TODAY()-1)),"CRÍTICO",IF(OR(AND(P4127&lt;&gt;"",S4127=""),AND(N4127="REALIZADO",M4127="PENDENTE"),AND(ISNUMBER(R4127),R4127=TODAY())),"ATENÇÃO",IF(N(K4127)=0,"PENDENTE","EM ANDAMENTO"))))))</f>
        <v/>
      </c>
      <c r="C4127" s="3">
        <f>IF(D4127="","",IF(V4127=0,"🟢 OK",IF(D4127&lt;corte,"⚪ HISTÓRICO (sem baixa)",IF(AND(ISNUMBER(R4127),R4127&lt;TODAY()),"🔴 PRAZO VENCIDO",IF(AND(OR(N4127="PENDENTE",N4127="PARCIAL"),D4127&lt;TODAY()-1),"🔴 EMBARQUE ATRASADO",IF(AND(N4127="REALIZADO",M4127="PENDENTE"),"🟡 EMBARCADO SEM FATURAR",IF(AND(P4127&lt;&gt;"",S4127="",OR(Q4127="",R4127="")),"🟡 PENDÊNCIA SEM RESPONSÁVEL/PRAZO",IF(AND(ISNUMBER(R4127),R4127=TODAY()),"🟡 VENCE HOJE",IF(AND(P4127&lt;&gt;"",S4127=""),"🟡 PENDÊNCIA ABERTA",IF(AND(N(J4127)&gt;0,N(K4127)&lt;J4127),"🟡 FALTA EXECUTAR",IF(OR(M4127="PENDENTE",M4127="PARCIAL"),"🟡 FATURAMENTO PENDENTE","🟡 EMBARQUE PENDENTE")))))))))))</f>
        <v/>
      </c>
      <c r="D4127" s="4" t="n"/>
      <c r="E4127" s="5" t="n"/>
      <c r="F4127" s="5" t="n"/>
      <c r="G4127" s="5" t="n"/>
      <c r="H4127" s="5" t="n"/>
      <c r="I4127" s="5" t="n"/>
      <c r="J4127" s="6" t="n"/>
      <c r="K4127" s="6" t="n"/>
      <c r="L4127" s="7">
        <f>IF(OR(D4127="",N(J4127)=0),"",MIN(1,N(K4127)/J4127))</f>
        <v/>
      </c>
      <c r="M4127" s="5" t="n"/>
      <c r="N4127" s="5" t="n"/>
      <c r="O4127" s="5" t="n"/>
      <c r="P4127" s="5" t="n"/>
      <c r="Q4127" s="5" t="n"/>
      <c r="R4127" s="4" t="n"/>
      <c r="S4127" s="4" t="n"/>
      <c r="T4127" s="5" t="n"/>
      <c r="U4127" s="8">
        <f>IF(AND(V4127=1,D4127&lt;&gt;""),IF(D4127&gt;=corte,TODAY()-D4127,""),"")</f>
        <v/>
      </c>
      <c r="V4127" s="8">
        <f>IF(D4127="",0,IF(OR(AND(P4127&lt;&gt;"",S4127=""),AND(N(J4127)&gt;0,N(K4127)&lt;J4127),OR(M4127="PENDENTE",M4127="PARCIAL"),OR(N4127="PENDENTE",N4127="PARCIAL")),1,0))</f>
        <v/>
      </c>
      <c r="W4127" s="8">
        <f>IF(AND(V4127=1,D4127&lt;&gt;""),IF(D4127&gt;=corte,(B4127="CRÍTICO")*1E9+(100000-D4127)*10000+10000-ROW(),""),"")</f>
        <v/>
      </c>
      <c r="X4127" s="8">
        <f>IF(AND(V4127=1,D4127=pas_data,E4127=pas_turno),10000-ROW(),"")</f>
        <v/>
      </c>
    </row>
    <row r="4128">
      <c r="A4128" s="3">
        <f>IF(D4128="","","TT-"&amp;TEXT(ROW()-1,"00000"))</f>
        <v/>
      </c>
      <c r="B4128" s="3">
        <f>IF(D4128="","",IF(V4128=0,"CONCLUÍDO",IF(D4128&lt;corte,"HISTÓRICO",IF(OR(AND(ISNUMBER(R4128),R4128&lt;TODAY()),AND(OR(N4128="PENDENTE",N4128="PARCIAL"),D4128&lt;TODAY()-1)),"CRÍTICO",IF(OR(AND(P4128&lt;&gt;"",S4128=""),AND(N4128="REALIZADO",M4128="PENDENTE"),AND(ISNUMBER(R4128),R4128=TODAY())),"ATENÇÃO",IF(N(K4128)=0,"PENDENTE","EM ANDAMENTO"))))))</f>
        <v/>
      </c>
      <c r="C4128" s="3">
        <f>IF(D4128="","",IF(V4128=0,"🟢 OK",IF(D4128&lt;corte,"⚪ HISTÓRICO (sem baixa)",IF(AND(ISNUMBER(R4128),R4128&lt;TODAY()),"🔴 PRAZO VENCIDO",IF(AND(OR(N4128="PENDENTE",N4128="PARCIAL"),D4128&lt;TODAY()-1),"🔴 EMBARQUE ATRASADO",IF(AND(N4128="REALIZADO",M4128="PENDENTE"),"🟡 EMBARCADO SEM FATURAR",IF(AND(P4128&lt;&gt;"",S4128="",OR(Q4128="",R4128="")),"🟡 PENDÊNCIA SEM RESPONSÁVEL/PRAZO",IF(AND(ISNUMBER(R4128),R4128=TODAY()),"🟡 VENCE HOJE",IF(AND(P4128&lt;&gt;"",S4128=""),"🟡 PENDÊNCIA ABERTA",IF(AND(N(J4128)&gt;0,N(K4128)&lt;J4128),"🟡 FALTA EXECUTAR",IF(OR(M4128="PENDENTE",M4128="PARCIAL"),"🟡 FATURAMENTO PENDENTE","🟡 EMBARQUE PENDENTE")))))))))))</f>
        <v/>
      </c>
      <c r="D4128" s="4" t="n"/>
      <c r="E4128" s="5" t="n"/>
      <c r="F4128" s="5" t="n"/>
      <c r="G4128" s="5" t="n"/>
      <c r="H4128" s="5" t="n"/>
      <c r="I4128" s="5" t="n"/>
      <c r="J4128" s="6" t="n"/>
      <c r="K4128" s="6" t="n"/>
      <c r="L4128" s="7">
        <f>IF(OR(D4128="",N(J4128)=0),"",MIN(1,N(K4128)/J4128))</f>
        <v/>
      </c>
      <c r="M4128" s="5" t="n"/>
      <c r="N4128" s="5" t="n"/>
      <c r="O4128" s="5" t="n"/>
      <c r="P4128" s="5" t="n"/>
      <c r="Q4128" s="5" t="n"/>
      <c r="R4128" s="4" t="n"/>
      <c r="S4128" s="4" t="n"/>
      <c r="T4128" s="5" t="n"/>
      <c r="U4128" s="8">
        <f>IF(AND(V4128=1,D4128&lt;&gt;""),IF(D4128&gt;=corte,TODAY()-D4128,""),"")</f>
        <v/>
      </c>
      <c r="V4128" s="8">
        <f>IF(D4128="",0,IF(OR(AND(P4128&lt;&gt;"",S4128=""),AND(N(J4128)&gt;0,N(K4128)&lt;J4128),OR(M4128="PENDENTE",M4128="PARCIAL"),OR(N4128="PENDENTE",N4128="PARCIAL")),1,0))</f>
        <v/>
      </c>
      <c r="W4128" s="8">
        <f>IF(AND(V4128=1,D4128&lt;&gt;""),IF(D4128&gt;=corte,(B4128="CRÍTICO")*1E9+(100000-D4128)*10000+10000-ROW(),""),"")</f>
        <v/>
      </c>
      <c r="X4128" s="8">
        <f>IF(AND(V4128=1,D4128=pas_data,E4128=pas_turno),10000-ROW(),"")</f>
        <v/>
      </c>
    </row>
    <row r="4129">
      <c r="A4129" s="3">
        <f>IF(D4129="","","TT-"&amp;TEXT(ROW()-1,"00000"))</f>
        <v/>
      </c>
      <c r="B4129" s="3">
        <f>IF(D4129="","",IF(V4129=0,"CONCLUÍDO",IF(D4129&lt;corte,"HISTÓRICO",IF(OR(AND(ISNUMBER(R4129),R4129&lt;TODAY()),AND(OR(N4129="PENDENTE",N4129="PARCIAL"),D4129&lt;TODAY()-1)),"CRÍTICO",IF(OR(AND(P4129&lt;&gt;"",S4129=""),AND(N4129="REALIZADO",M4129="PENDENTE"),AND(ISNUMBER(R4129),R4129=TODAY())),"ATENÇÃO",IF(N(K4129)=0,"PENDENTE","EM ANDAMENTO"))))))</f>
        <v/>
      </c>
      <c r="C4129" s="3">
        <f>IF(D4129="","",IF(V4129=0,"🟢 OK",IF(D4129&lt;corte,"⚪ HISTÓRICO (sem baixa)",IF(AND(ISNUMBER(R4129),R4129&lt;TODAY()),"🔴 PRAZO VENCIDO",IF(AND(OR(N4129="PENDENTE",N4129="PARCIAL"),D4129&lt;TODAY()-1),"🔴 EMBARQUE ATRASADO",IF(AND(N4129="REALIZADO",M4129="PENDENTE"),"🟡 EMBARCADO SEM FATURAR",IF(AND(P4129&lt;&gt;"",S4129="",OR(Q4129="",R4129="")),"🟡 PENDÊNCIA SEM RESPONSÁVEL/PRAZO",IF(AND(ISNUMBER(R4129),R4129=TODAY()),"🟡 VENCE HOJE",IF(AND(P4129&lt;&gt;"",S4129=""),"🟡 PENDÊNCIA ABERTA",IF(AND(N(J4129)&gt;0,N(K4129)&lt;J4129),"🟡 FALTA EXECUTAR",IF(OR(M4129="PENDENTE",M4129="PARCIAL"),"🟡 FATURAMENTO PENDENTE","🟡 EMBARQUE PENDENTE")))))))))))</f>
        <v/>
      </c>
      <c r="D4129" s="4" t="n"/>
      <c r="E4129" s="5" t="n"/>
      <c r="F4129" s="5" t="n"/>
      <c r="G4129" s="5" t="n"/>
      <c r="H4129" s="5" t="n"/>
      <c r="I4129" s="5" t="n"/>
      <c r="J4129" s="6" t="n"/>
      <c r="K4129" s="6" t="n"/>
      <c r="L4129" s="7">
        <f>IF(OR(D4129="",N(J4129)=0),"",MIN(1,N(K4129)/J4129))</f>
        <v/>
      </c>
      <c r="M4129" s="5" t="n"/>
      <c r="N4129" s="5" t="n"/>
      <c r="O4129" s="5" t="n"/>
      <c r="P4129" s="5" t="n"/>
      <c r="Q4129" s="5" t="n"/>
      <c r="R4129" s="4" t="n"/>
      <c r="S4129" s="4" t="n"/>
      <c r="T4129" s="5" t="n"/>
      <c r="U4129" s="8">
        <f>IF(AND(V4129=1,D4129&lt;&gt;""),IF(D4129&gt;=corte,TODAY()-D4129,""),"")</f>
        <v/>
      </c>
      <c r="V4129" s="8">
        <f>IF(D4129="",0,IF(OR(AND(P4129&lt;&gt;"",S4129=""),AND(N(J4129)&gt;0,N(K4129)&lt;J4129),OR(M4129="PENDENTE",M4129="PARCIAL"),OR(N4129="PENDENTE",N4129="PARCIAL")),1,0))</f>
        <v/>
      </c>
      <c r="W4129" s="8">
        <f>IF(AND(V4129=1,D4129&lt;&gt;""),IF(D4129&gt;=corte,(B4129="CRÍTICO")*1E9+(100000-D4129)*10000+10000-ROW(),""),"")</f>
        <v/>
      </c>
      <c r="X4129" s="8">
        <f>IF(AND(V4129=1,D4129=pas_data,E4129=pas_turno),10000-ROW(),"")</f>
        <v/>
      </c>
    </row>
    <row r="4130">
      <c r="A4130" s="3">
        <f>IF(D4130="","","TT-"&amp;TEXT(ROW()-1,"00000"))</f>
        <v/>
      </c>
      <c r="B4130" s="3">
        <f>IF(D4130="","",IF(V4130=0,"CONCLUÍDO",IF(D4130&lt;corte,"HISTÓRICO",IF(OR(AND(ISNUMBER(R4130),R4130&lt;TODAY()),AND(OR(N4130="PENDENTE",N4130="PARCIAL"),D4130&lt;TODAY()-1)),"CRÍTICO",IF(OR(AND(P4130&lt;&gt;"",S4130=""),AND(N4130="REALIZADO",M4130="PENDENTE"),AND(ISNUMBER(R4130),R4130=TODAY())),"ATENÇÃO",IF(N(K4130)=0,"PENDENTE","EM ANDAMENTO"))))))</f>
        <v/>
      </c>
      <c r="C4130" s="3">
        <f>IF(D4130="","",IF(V4130=0,"🟢 OK",IF(D4130&lt;corte,"⚪ HISTÓRICO (sem baixa)",IF(AND(ISNUMBER(R4130),R4130&lt;TODAY()),"🔴 PRAZO VENCIDO",IF(AND(OR(N4130="PENDENTE",N4130="PARCIAL"),D4130&lt;TODAY()-1),"🔴 EMBARQUE ATRASADO",IF(AND(N4130="REALIZADO",M4130="PENDENTE"),"🟡 EMBARCADO SEM FATURAR",IF(AND(P4130&lt;&gt;"",S4130="",OR(Q4130="",R4130="")),"🟡 PENDÊNCIA SEM RESPONSÁVEL/PRAZO",IF(AND(ISNUMBER(R4130),R4130=TODAY()),"🟡 VENCE HOJE",IF(AND(P4130&lt;&gt;"",S4130=""),"🟡 PENDÊNCIA ABERTA",IF(AND(N(J4130)&gt;0,N(K4130)&lt;J4130),"🟡 FALTA EXECUTAR",IF(OR(M4130="PENDENTE",M4130="PARCIAL"),"🟡 FATURAMENTO PENDENTE","🟡 EMBARQUE PENDENTE")))))))))))</f>
        <v/>
      </c>
      <c r="D4130" s="4" t="n"/>
      <c r="E4130" s="5" t="n"/>
      <c r="F4130" s="5" t="n"/>
      <c r="G4130" s="5" t="n"/>
      <c r="H4130" s="5" t="n"/>
      <c r="I4130" s="5" t="n"/>
      <c r="J4130" s="6" t="n"/>
      <c r="K4130" s="6" t="n"/>
      <c r="L4130" s="7">
        <f>IF(OR(D4130="",N(J4130)=0),"",MIN(1,N(K4130)/J4130))</f>
        <v/>
      </c>
      <c r="M4130" s="5" t="n"/>
      <c r="N4130" s="5" t="n"/>
      <c r="O4130" s="5" t="n"/>
      <c r="P4130" s="5" t="n"/>
      <c r="Q4130" s="5" t="n"/>
      <c r="R4130" s="4" t="n"/>
      <c r="S4130" s="4" t="n"/>
      <c r="T4130" s="5" t="n"/>
      <c r="U4130" s="8">
        <f>IF(AND(V4130=1,D4130&lt;&gt;""),IF(D4130&gt;=corte,TODAY()-D4130,""),"")</f>
        <v/>
      </c>
      <c r="V4130" s="8">
        <f>IF(D4130="",0,IF(OR(AND(P4130&lt;&gt;"",S4130=""),AND(N(J4130)&gt;0,N(K4130)&lt;J4130),OR(M4130="PENDENTE",M4130="PARCIAL"),OR(N4130="PENDENTE",N4130="PARCIAL")),1,0))</f>
        <v/>
      </c>
      <c r="W4130" s="8">
        <f>IF(AND(V4130=1,D4130&lt;&gt;""),IF(D4130&gt;=corte,(B4130="CRÍTICO")*1E9+(100000-D4130)*10000+10000-ROW(),""),"")</f>
        <v/>
      </c>
      <c r="X4130" s="8">
        <f>IF(AND(V4130=1,D4130=pas_data,E4130=pas_turno),10000-ROW(),"")</f>
        <v/>
      </c>
    </row>
    <row r="4131">
      <c r="A4131" s="3">
        <f>IF(D4131="","","TT-"&amp;TEXT(ROW()-1,"00000"))</f>
        <v/>
      </c>
      <c r="B4131" s="3">
        <f>IF(D4131="","",IF(V4131=0,"CONCLUÍDO",IF(D4131&lt;corte,"HISTÓRICO",IF(OR(AND(ISNUMBER(R4131),R4131&lt;TODAY()),AND(OR(N4131="PENDENTE",N4131="PARCIAL"),D4131&lt;TODAY()-1)),"CRÍTICO",IF(OR(AND(P4131&lt;&gt;"",S4131=""),AND(N4131="REALIZADO",M4131="PENDENTE"),AND(ISNUMBER(R4131),R4131=TODAY())),"ATENÇÃO",IF(N(K4131)=0,"PENDENTE","EM ANDAMENTO"))))))</f>
        <v/>
      </c>
      <c r="C4131" s="3">
        <f>IF(D4131="","",IF(V4131=0,"🟢 OK",IF(D4131&lt;corte,"⚪ HISTÓRICO (sem baixa)",IF(AND(ISNUMBER(R4131),R4131&lt;TODAY()),"🔴 PRAZO VENCIDO",IF(AND(OR(N4131="PENDENTE",N4131="PARCIAL"),D4131&lt;TODAY()-1),"🔴 EMBARQUE ATRASADO",IF(AND(N4131="REALIZADO",M4131="PENDENTE"),"🟡 EMBARCADO SEM FATURAR",IF(AND(P4131&lt;&gt;"",S4131="",OR(Q4131="",R4131="")),"🟡 PENDÊNCIA SEM RESPONSÁVEL/PRAZO",IF(AND(ISNUMBER(R4131),R4131=TODAY()),"🟡 VENCE HOJE",IF(AND(P4131&lt;&gt;"",S4131=""),"🟡 PENDÊNCIA ABERTA",IF(AND(N(J4131)&gt;0,N(K4131)&lt;J4131),"🟡 FALTA EXECUTAR",IF(OR(M4131="PENDENTE",M4131="PARCIAL"),"🟡 FATURAMENTO PENDENTE","🟡 EMBARQUE PENDENTE")))))))))))</f>
        <v/>
      </c>
      <c r="D4131" s="4" t="n"/>
      <c r="E4131" s="5" t="n"/>
      <c r="F4131" s="5" t="n"/>
      <c r="G4131" s="5" t="n"/>
      <c r="H4131" s="5" t="n"/>
      <c r="I4131" s="5" t="n"/>
      <c r="J4131" s="6" t="n"/>
      <c r="K4131" s="6" t="n"/>
      <c r="L4131" s="7">
        <f>IF(OR(D4131="",N(J4131)=0),"",MIN(1,N(K4131)/J4131))</f>
        <v/>
      </c>
      <c r="M4131" s="5" t="n"/>
      <c r="N4131" s="5" t="n"/>
      <c r="O4131" s="5" t="n"/>
      <c r="P4131" s="5" t="n"/>
      <c r="Q4131" s="5" t="n"/>
      <c r="R4131" s="4" t="n"/>
      <c r="S4131" s="4" t="n"/>
      <c r="T4131" s="5" t="n"/>
      <c r="U4131" s="8">
        <f>IF(AND(V4131=1,D4131&lt;&gt;""),IF(D4131&gt;=corte,TODAY()-D4131,""),"")</f>
        <v/>
      </c>
      <c r="V4131" s="8">
        <f>IF(D4131="",0,IF(OR(AND(P4131&lt;&gt;"",S4131=""),AND(N(J4131)&gt;0,N(K4131)&lt;J4131),OR(M4131="PENDENTE",M4131="PARCIAL"),OR(N4131="PENDENTE",N4131="PARCIAL")),1,0))</f>
        <v/>
      </c>
      <c r="W4131" s="8">
        <f>IF(AND(V4131=1,D4131&lt;&gt;""),IF(D4131&gt;=corte,(B4131="CRÍTICO")*1E9+(100000-D4131)*10000+10000-ROW(),""),"")</f>
        <v/>
      </c>
      <c r="X4131" s="8">
        <f>IF(AND(V4131=1,D4131=pas_data,E4131=pas_turno),10000-ROW(),"")</f>
        <v/>
      </c>
    </row>
    <row r="4132">
      <c r="A4132" s="3">
        <f>IF(D4132="","","TT-"&amp;TEXT(ROW()-1,"00000"))</f>
        <v/>
      </c>
      <c r="B4132" s="3">
        <f>IF(D4132="","",IF(V4132=0,"CONCLUÍDO",IF(D4132&lt;corte,"HISTÓRICO",IF(OR(AND(ISNUMBER(R4132),R4132&lt;TODAY()),AND(OR(N4132="PENDENTE",N4132="PARCIAL"),D4132&lt;TODAY()-1)),"CRÍTICO",IF(OR(AND(P4132&lt;&gt;"",S4132=""),AND(N4132="REALIZADO",M4132="PENDENTE"),AND(ISNUMBER(R4132),R4132=TODAY())),"ATENÇÃO",IF(N(K4132)=0,"PENDENTE","EM ANDAMENTO"))))))</f>
        <v/>
      </c>
      <c r="C4132" s="3">
        <f>IF(D4132="","",IF(V4132=0,"🟢 OK",IF(D4132&lt;corte,"⚪ HISTÓRICO (sem baixa)",IF(AND(ISNUMBER(R4132),R4132&lt;TODAY()),"🔴 PRAZO VENCIDO",IF(AND(OR(N4132="PENDENTE",N4132="PARCIAL"),D4132&lt;TODAY()-1),"🔴 EMBARQUE ATRASADO",IF(AND(N4132="REALIZADO",M4132="PENDENTE"),"🟡 EMBARCADO SEM FATURAR",IF(AND(P4132&lt;&gt;"",S4132="",OR(Q4132="",R4132="")),"🟡 PENDÊNCIA SEM RESPONSÁVEL/PRAZO",IF(AND(ISNUMBER(R4132),R4132=TODAY()),"🟡 VENCE HOJE",IF(AND(P4132&lt;&gt;"",S4132=""),"🟡 PENDÊNCIA ABERTA",IF(AND(N(J4132)&gt;0,N(K4132)&lt;J4132),"🟡 FALTA EXECUTAR",IF(OR(M4132="PENDENTE",M4132="PARCIAL"),"🟡 FATURAMENTO PENDENTE","🟡 EMBARQUE PENDENTE")))))))))))</f>
        <v/>
      </c>
      <c r="D4132" s="4" t="n"/>
      <c r="E4132" s="5" t="n"/>
      <c r="F4132" s="5" t="n"/>
      <c r="G4132" s="5" t="n"/>
      <c r="H4132" s="5" t="n"/>
      <c r="I4132" s="5" t="n"/>
      <c r="J4132" s="6" t="n"/>
      <c r="K4132" s="6" t="n"/>
      <c r="L4132" s="7">
        <f>IF(OR(D4132="",N(J4132)=0),"",MIN(1,N(K4132)/J4132))</f>
        <v/>
      </c>
      <c r="M4132" s="5" t="n"/>
      <c r="N4132" s="5" t="n"/>
      <c r="O4132" s="5" t="n"/>
      <c r="P4132" s="5" t="n"/>
      <c r="Q4132" s="5" t="n"/>
      <c r="R4132" s="4" t="n"/>
      <c r="S4132" s="4" t="n"/>
      <c r="T4132" s="5" t="n"/>
      <c r="U4132" s="8">
        <f>IF(AND(V4132=1,D4132&lt;&gt;""),IF(D4132&gt;=corte,TODAY()-D4132,""),"")</f>
        <v/>
      </c>
      <c r="V4132" s="8">
        <f>IF(D4132="",0,IF(OR(AND(P4132&lt;&gt;"",S4132=""),AND(N(J4132)&gt;0,N(K4132)&lt;J4132),OR(M4132="PENDENTE",M4132="PARCIAL"),OR(N4132="PENDENTE",N4132="PARCIAL")),1,0))</f>
        <v/>
      </c>
      <c r="W4132" s="8">
        <f>IF(AND(V4132=1,D4132&lt;&gt;""),IF(D4132&gt;=corte,(B4132="CRÍTICO")*1E9+(100000-D4132)*10000+10000-ROW(),""),"")</f>
        <v/>
      </c>
      <c r="X4132" s="8">
        <f>IF(AND(V4132=1,D4132=pas_data,E4132=pas_turno),10000-ROW(),"")</f>
        <v/>
      </c>
    </row>
    <row r="4133">
      <c r="A4133" s="3">
        <f>IF(D4133="","","TT-"&amp;TEXT(ROW()-1,"00000"))</f>
        <v/>
      </c>
      <c r="B4133" s="3">
        <f>IF(D4133="","",IF(V4133=0,"CONCLUÍDO",IF(D4133&lt;corte,"HISTÓRICO",IF(OR(AND(ISNUMBER(R4133),R4133&lt;TODAY()),AND(OR(N4133="PENDENTE",N4133="PARCIAL"),D4133&lt;TODAY()-1)),"CRÍTICO",IF(OR(AND(P4133&lt;&gt;"",S4133=""),AND(N4133="REALIZADO",M4133="PENDENTE"),AND(ISNUMBER(R4133),R4133=TODAY())),"ATENÇÃO",IF(N(K4133)=0,"PENDENTE","EM ANDAMENTO"))))))</f>
        <v/>
      </c>
      <c r="C4133" s="3">
        <f>IF(D4133="","",IF(V4133=0,"🟢 OK",IF(D4133&lt;corte,"⚪ HISTÓRICO (sem baixa)",IF(AND(ISNUMBER(R4133),R4133&lt;TODAY()),"🔴 PRAZO VENCIDO",IF(AND(OR(N4133="PENDENTE",N4133="PARCIAL"),D4133&lt;TODAY()-1),"🔴 EMBARQUE ATRASADO",IF(AND(N4133="REALIZADO",M4133="PENDENTE"),"🟡 EMBARCADO SEM FATURAR",IF(AND(P4133&lt;&gt;"",S4133="",OR(Q4133="",R4133="")),"🟡 PENDÊNCIA SEM RESPONSÁVEL/PRAZO",IF(AND(ISNUMBER(R4133),R4133=TODAY()),"🟡 VENCE HOJE",IF(AND(P4133&lt;&gt;"",S4133=""),"🟡 PENDÊNCIA ABERTA",IF(AND(N(J4133)&gt;0,N(K4133)&lt;J4133),"🟡 FALTA EXECUTAR",IF(OR(M4133="PENDENTE",M4133="PARCIAL"),"🟡 FATURAMENTO PENDENTE","🟡 EMBARQUE PENDENTE")))))))))))</f>
        <v/>
      </c>
      <c r="D4133" s="4" t="n"/>
      <c r="E4133" s="5" t="n"/>
      <c r="F4133" s="5" t="n"/>
      <c r="G4133" s="5" t="n"/>
      <c r="H4133" s="5" t="n"/>
      <c r="I4133" s="5" t="n"/>
      <c r="J4133" s="6" t="n"/>
      <c r="K4133" s="6" t="n"/>
      <c r="L4133" s="7">
        <f>IF(OR(D4133="",N(J4133)=0),"",MIN(1,N(K4133)/J4133))</f>
        <v/>
      </c>
      <c r="M4133" s="5" t="n"/>
      <c r="N4133" s="5" t="n"/>
      <c r="O4133" s="5" t="n"/>
      <c r="P4133" s="5" t="n"/>
      <c r="Q4133" s="5" t="n"/>
      <c r="R4133" s="4" t="n"/>
      <c r="S4133" s="4" t="n"/>
      <c r="T4133" s="5" t="n"/>
      <c r="U4133" s="8">
        <f>IF(AND(V4133=1,D4133&lt;&gt;""),IF(D4133&gt;=corte,TODAY()-D4133,""),"")</f>
        <v/>
      </c>
      <c r="V4133" s="8">
        <f>IF(D4133="",0,IF(OR(AND(P4133&lt;&gt;"",S4133=""),AND(N(J4133)&gt;0,N(K4133)&lt;J4133),OR(M4133="PENDENTE",M4133="PARCIAL"),OR(N4133="PENDENTE",N4133="PARCIAL")),1,0))</f>
        <v/>
      </c>
      <c r="W4133" s="8">
        <f>IF(AND(V4133=1,D4133&lt;&gt;""),IF(D4133&gt;=corte,(B4133="CRÍTICO")*1E9+(100000-D4133)*10000+10000-ROW(),""),"")</f>
        <v/>
      </c>
      <c r="X4133" s="8">
        <f>IF(AND(V4133=1,D4133=pas_data,E4133=pas_turno),10000-ROW(),"")</f>
        <v/>
      </c>
    </row>
    <row r="4134">
      <c r="A4134" s="3">
        <f>IF(D4134="","","TT-"&amp;TEXT(ROW()-1,"00000"))</f>
        <v/>
      </c>
      <c r="B4134" s="3">
        <f>IF(D4134="","",IF(V4134=0,"CONCLUÍDO",IF(D4134&lt;corte,"HISTÓRICO",IF(OR(AND(ISNUMBER(R4134),R4134&lt;TODAY()),AND(OR(N4134="PENDENTE",N4134="PARCIAL"),D4134&lt;TODAY()-1)),"CRÍTICO",IF(OR(AND(P4134&lt;&gt;"",S4134=""),AND(N4134="REALIZADO",M4134="PENDENTE"),AND(ISNUMBER(R4134),R4134=TODAY())),"ATENÇÃO",IF(N(K4134)=0,"PENDENTE","EM ANDAMENTO"))))))</f>
        <v/>
      </c>
      <c r="C4134" s="3">
        <f>IF(D4134="","",IF(V4134=0,"🟢 OK",IF(D4134&lt;corte,"⚪ HISTÓRICO (sem baixa)",IF(AND(ISNUMBER(R4134),R4134&lt;TODAY()),"🔴 PRAZO VENCIDO",IF(AND(OR(N4134="PENDENTE",N4134="PARCIAL"),D4134&lt;TODAY()-1),"🔴 EMBARQUE ATRASADO",IF(AND(N4134="REALIZADO",M4134="PENDENTE"),"🟡 EMBARCADO SEM FATURAR",IF(AND(P4134&lt;&gt;"",S4134="",OR(Q4134="",R4134="")),"🟡 PENDÊNCIA SEM RESPONSÁVEL/PRAZO",IF(AND(ISNUMBER(R4134),R4134=TODAY()),"🟡 VENCE HOJE",IF(AND(P4134&lt;&gt;"",S4134=""),"🟡 PENDÊNCIA ABERTA",IF(AND(N(J4134)&gt;0,N(K4134)&lt;J4134),"🟡 FALTA EXECUTAR",IF(OR(M4134="PENDENTE",M4134="PARCIAL"),"🟡 FATURAMENTO PENDENTE","🟡 EMBARQUE PENDENTE")))))))))))</f>
        <v/>
      </c>
      <c r="D4134" s="4" t="n"/>
      <c r="E4134" s="5" t="n"/>
      <c r="F4134" s="5" t="n"/>
      <c r="G4134" s="5" t="n"/>
      <c r="H4134" s="5" t="n"/>
      <c r="I4134" s="5" t="n"/>
      <c r="J4134" s="6" t="n"/>
      <c r="K4134" s="6" t="n"/>
      <c r="L4134" s="7">
        <f>IF(OR(D4134="",N(J4134)=0),"",MIN(1,N(K4134)/J4134))</f>
        <v/>
      </c>
      <c r="M4134" s="5" t="n"/>
      <c r="N4134" s="5" t="n"/>
      <c r="O4134" s="5" t="n"/>
      <c r="P4134" s="5" t="n"/>
      <c r="Q4134" s="5" t="n"/>
      <c r="R4134" s="4" t="n"/>
      <c r="S4134" s="4" t="n"/>
      <c r="T4134" s="5" t="n"/>
      <c r="U4134" s="8">
        <f>IF(AND(V4134=1,D4134&lt;&gt;""),IF(D4134&gt;=corte,TODAY()-D4134,""),"")</f>
        <v/>
      </c>
      <c r="V4134" s="8">
        <f>IF(D4134="",0,IF(OR(AND(P4134&lt;&gt;"",S4134=""),AND(N(J4134)&gt;0,N(K4134)&lt;J4134),OR(M4134="PENDENTE",M4134="PARCIAL"),OR(N4134="PENDENTE",N4134="PARCIAL")),1,0))</f>
        <v/>
      </c>
      <c r="W4134" s="8">
        <f>IF(AND(V4134=1,D4134&lt;&gt;""),IF(D4134&gt;=corte,(B4134="CRÍTICO")*1E9+(100000-D4134)*10000+10000-ROW(),""),"")</f>
        <v/>
      </c>
      <c r="X4134" s="8">
        <f>IF(AND(V4134=1,D4134=pas_data,E4134=pas_turno),10000-ROW(),"")</f>
        <v/>
      </c>
    </row>
    <row r="4135">
      <c r="A4135" s="3">
        <f>IF(D4135="","","TT-"&amp;TEXT(ROW()-1,"00000"))</f>
        <v/>
      </c>
      <c r="B4135" s="3">
        <f>IF(D4135="","",IF(V4135=0,"CONCLUÍDO",IF(D4135&lt;corte,"HISTÓRICO",IF(OR(AND(ISNUMBER(R4135),R4135&lt;TODAY()),AND(OR(N4135="PENDENTE",N4135="PARCIAL"),D4135&lt;TODAY()-1)),"CRÍTICO",IF(OR(AND(P4135&lt;&gt;"",S4135=""),AND(N4135="REALIZADO",M4135="PENDENTE"),AND(ISNUMBER(R4135),R4135=TODAY())),"ATENÇÃO",IF(N(K4135)=0,"PENDENTE","EM ANDAMENTO"))))))</f>
        <v/>
      </c>
      <c r="C4135" s="3">
        <f>IF(D4135="","",IF(V4135=0,"🟢 OK",IF(D4135&lt;corte,"⚪ HISTÓRICO (sem baixa)",IF(AND(ISNUMBER(R4135),R4135&lt;TODAY()),"🔴 PRAZO VENCIDO",IF(AND(OR(N4135="PENDENTE",N4135="PARCIAL"),D4135&lt;TODAY()-1),"🔴 EMBARQUE ATRASADO",IF(AND(N4135="REALIZADO",M4135="PENDENTE"),"🟡 EMBARCADO SEM FATURAR",IF(AND(P4135&lt;&gt;"",S4135="",OR(Q4135="",R4135="")),"🟡 PENDÊNCIA SEM RESPONSÁVEL/PRAZO",IF(AND(ISNUMBER(R4135),R4135=TODAY()),"🟡 VENCE HOJE",IF(AND(P4135&lt;&gt;"",S4135=""),"🟡 PENDÊNCIA ABERTA",IF(AND(N(J4135)&gt;0,N(K4135)&lt;J4135),"🟡 FALTA EXECUTAR",IF(OR(M4135="PENDENTE",M4135="PARCIAL"),"🟡 FATURAMENTO PENDENTE","🟡 EMBARQUE PENDENTE")))))))))))</f>
        <v/>
      </c>
      <c r="D4135" s="4" t="n"/>
      <c r="E4135" s="5" t="n"/>
      <c r="F4135" s="5" t="n"/>
      <c r="G4135" s="5" t="n"/>
      <c r="H4135" s="5" t="n"/>
      <c r="I4135" s="5" t="n"/>
      <c r="J4135" s="6" t="n"/>
      <c r="K4135" s="6" t="n"/>
      <c r="L4135" s="7">
        <f>IF(OR(D4135="",N(J4135)=0),"",MIN(1,N(K4135)/J4135))</f>
        <v/>
      </c>
      <c r="M4135" s="5" t="n"/>
      <c r="N4135" s="5" t="n"/>
      <c r="O4135" s="5" t="n"/>
      <c r="P4135" s="5" t="n"/>
      <c r="Q4135" s="5" t="n"/>
      <c r="R4135" s="4" t="n"/>
      <c r="S4135" s="4" t="n"/>
      <c r="T4135" s="5" t="n"/>
      <c r="U4135" s="8">
        <f>IF(AND(V4135=1,D4135&lt;&gt;""),IF(D4135&gt;=corte,TODAY()-D4135,""),"")</f>
        <v/>
      </c>
      <c r="V4135" s="8">
        <f>IF(D4135="",0,IF(OR(AND(P4135&lt;&gt;"",S4135=""),AND(N(J4135)&gt;0,N(K4135)&lt;J4135),OR(M4135="PENDENTE",M4135="PARCIAL"),OR(N4135="PENDENTE",N4135="PARCIAL")),1,0))</f>
        <v/>
      </c>
      <c r="W4135" s="8">
        <f>IF(AND(V4135=1,D4135&lt;&gt;""),IF(D4135&gt;=corte,(B4135="CRÍTICO")*1E9+(100000-D4135)*10000+10000-ROW(),""),"")</f>
        <v/>
      </c>
      <c r="X4135" s="8">
        <f>IF(AND(V4135=1,D4135=pas_data,E4135=pas_turno),10000-ROW(),"")</f>
        <v/>
      </c>
    </row>
    <row r="4136">
      <c r="A4136" s="3">
        <f>IF(D4136="","","TT-"&amp;TEXT(ROW()-1,"00000"))</f>
        <v/>
      </c>
      <c r="B4136" s="3">
        <f>IF(D4136="","",IF(V4136=0,"CONCLUÍDO",IF(D4136&lt;corte,"HISTÓRICO",IF(OR(AND(ISNUMBER(R4136),R4136&lt;TODAY()),AND(OR(N4136="PENDENTE",N4136="PARCIAL"),D4136&lt;TODAY()-1)),"CRÍTICO",IF(OR(AND(P4136&lt;&gt;"",S4136=""),AND(N4136="REALIZADO",M4136="PENDENTE"),AND(ISNUMBER(R4136),R4136=TODAY())),"ATENÇÃO",IF(N(K4136)=0,"PENDENTE","EM ANDAMENTO"))))))</f>
        <v/>
      </c>
      <c r="C4136" s="3">
        <f>IF(D4136="","",IF(V4136=0,"🟢 OK",IF(D4136&lt;corte,"⚪ HISTÓRICO (sem baixa)",IF(AND(ISNUMBER(R4136),R4136&lt;TODAY()),"🔴 PRAZO VENCIDO",IF(AND(OR(N4136="PENDENTE",N4136="PARCIAL"),D4136&lt;TODAY()-1),"🔴 EMBARQUE ATRASADO",IF(AND(N4136="REALIZADO",M4136="PENDENTE"),"🟡 EMBARCADO SEM FATURAR",IF(AND(P4136&lt;&gt;"",S4136="",OR(Q4136="",R4136="")),"🟡 PENDÊNCIA SEM RESPONSÁVEL/PRAZO",IF(AND(ISNUMBER(R4136),R4136=TODAY()),"🟡 VENCE HOJE",IF(AND(P4136&lt;&gt;"",S4136=""),"🟡 PENDÊNCIA ABERTA",IF(AND(N(J4136)&gt;0,N(K4136)&lt;J4136),"🟡 FALTA EXECUTAR",IF(OR(M4136="PENDENTE",M4136="PARCIAL"),"🟡 FATURAMENTO PENDENTE","🟡 EMBARQUE PENDENTE")))))))))))</f>
        <v/>
      </c>
      <c r="D4136" s="4" t="n"/>
      <c r="E4136" s="5" t="n"/>
      <c r="F4136" s="5" t="n"/>
      <c r="G4136" s="5" t="n"/>
      <c r="H4136" s="5" t="n"/>
      <c r="I4136" s="5" t="n"/>
      <c r="J4136" s="6" t="n"/>
      <c r="K4136" s="6" t="n"/>
      <c r="L4136" s="7">
        <f>IF(OR(D4136="",N(J4136)=0),"",MIN(1,N(K4136)/J4136))</f>
        <v/>
      </c>
      <c r="M4136" s="5" t="n"/>
      <c r="N4136" s="5" t="n"/>
      <c r="O4136" s="5" t="n"/>
      <c r="P4136" s="5" t="n"/>
      <c r="Q4136" s="5" t="n"/>
      <c r="R4136" s="4" t="n"/>
      <c r="S4136" s="4" t="n"/>
      <c r="T4136" s="5" t="n"/>
      <c r="U4136" s="8">
        <f>IF(AND(V4136=1,D4136&lt;&gt;""),IF(D4136&gt;=corte,TODAY()-D4136,""),"")</f>
        <v/>
      </c>
      <c r="V4136" s="8">
        <f>IF(D4136="",0,IF(OR(AND(P4136&lt;&gt;"",S4136=""),AND(N(J4136)&gt;0,N(K4136)&lt;J4136),OR(M4136="PENDENTE",M4136="PARCIAL"),OR(N4136="PENDENTE",N4136="PARCIAL")),1,0))</f>
        <v/>
      </c>
      <c r="W4136" s="8">
        <f>IF(AND(V4136=1,D4136&lt;&gt;""),IF(D4136&gt;=corte,(B4136="CRÍTICO")*1E9+(100000-D4136)*10000+10000-ROW(),""),"")</f>
        <v/>
      </c>
      <c r="X4136" s="8">
        <f>IF(AND(V4136=1,D4136=pas_data,E4136=pas_turno),10000-ROW(),"")</f>
        <v/>
      </c>
    </row>
    <row r="4137">
      <c r="A4137" s="3">
        <f>IF(D4137="","","TT-"&amp;TEXT(ROW()-1,"00000"))</f>
        <v/>
      </c>
      <c r="B4137" s="3">
        <f>IF(D4137="","",IF(V4137=0,"CONCLUÍDO",IF(D4137&lt;corte,"HISTÓRICO",IF(OR(AND(ISNUMBER(R4137),R4137&lt;TODAY()),AND(OR(N4137="PENDENTE",N4137="PARCIAL"),D4137&lt;TODAY()-1)),"CRÍTICO",IF(OR(AND(P4137&lt;&gt;"",S4137=""),AND(N4137="REALIZADO",M4137="PENDENTE"),AND(ISNUMBER(R4137),R4137=TODAY())),"ATENÇÃO",IF(N(K4137)=0,"PENDENTE","EM ANDAMENTO"))))))</f>
        <v/>
      </c>
      <c r="C4137" s="3">
        <f>IF(D4137="","",IF(V4137=0,"🟢 OK",IF(D4137&lt;corte,"⚪ HISTÓRICO (sem baixa)",IF(AND(ISNUMBER(R4137),R4137&lt;TODAY()),"🔴 PRAZO VENCIDO",IF(AND(OR(N4137="PENDENTE",N4137="PARCIAL"),D4137&lt;TODAY()-1),"🔴 EMBARQUE ATRASADO",IF(AND(N4137="REALIZADO",M4137="PENDENTE"),"🟡 EMBARCADO SEM FATURAR",IF(AND(P4137&lt;&gt;"",S4137="",OR(Q4137="",R4137="")),"🟡 PENDÊNCIA SEM RESPONSÁVEL/PRAZO",IF(AND(ISNUMBER(R4137),R4137=TODAY()),"🟡 VENCE HOJE",IF(AND(P4137&lt;&gt;"",S4137=""),"🟡 PENDÊNCIA ABERTA",IF(AND(N(J4137)&gt;0,N(K4137)&lt;J4137),"🟡 FALTA EXECUTAR",IF(OR(M4137="PENDENTE",M4137="PARCIAL"),"🟡 FATURAMENTO PENDENTE","🟡 EMBARQUE PENDENTE")))))))))))</f>
        <v/>
      </c>
      <c r="D4137" s="4" t="n"/>
      <c r="E4137" s="5" t="n"/>
      <c r="F4137" s="5" t="n"/>
      <c r="G4137" s="5" t="n"/>
      <c r="H4137" s="5" t="n"/>
      <c r="I4137" s="5" t="n"/>
      <c r="J4137" s="6" t="n"/>
      <c r="K4137" s="6" t="n"/>
      <c r="L4137" s="7">
        <f>IF(OR(D4137="",N(J4137)=0),"",MIN(1,N(K4137)/J4137))</f>
        <v/>
      </c>
      <c r="M4137" s="5" t="n"/>
      <c r="N4137" s="5" t="n"/>
      <c r="O4137" s="5" t="n"/>
      <c r="P4137" s="5" t="n"/>
      <c r="Q4137" s="5" t="n"/>
      <c r="R4137" s="4" t="n"/>
      <c r="S4137" s="4" t="n"/>
      <c r="T4137" s="5" t="n"/>
      <c r="U4137" s="8">
        <f>IF(AND(V4137=1,D4137&lt;&gt;""),IF(D4137&gt;=corte,TODAY()-D4137,""),"")</f>
        <v/>
      </c>
      <c r="V4137" s="8">
        <f>IF(D4137="",0,IF(OR(AND(P4137&lt;&gt;"",S4137=""),AND(N(J4137)&gt;0,N(K4137)&lt;J4137),OR(M4137="PENDENTE",M4137="PARCIAL"),OR(N4137="PENDENTE",N4137="PARCIAL")),1,0))</f>
        <v/>
      </c>
      <c r="W4137" s="8">
        <f>IF(AND(V4137=1,D4137&lt;&gt;""),IF(D4137&gt;=corte,(B4137="CRÍTICO")*1E9+(100000-D4137)*10000+10000-ROW(),""),"")</f>
        <v/>
      </c>
      <c r="X4137" s="8">
        <f>IF(AND(V4137=1,D4137=pas_data,E4137=pas_turno),10000-ROW(),"")</f>
        <v/>
      </c>
    </row>
    <row r="4138">
      <c r="A4138" s="3">
        <f>IF(D4138="","","TT-"&amp;TEXT(ROW()-1,"00000"))</f>
        <v/>
      </c>
      <c r="B4138" s="3">
        <f>IF(D4138="","",IF(V4138=0,"CONCLUÍDO",IF(D4138&lt;corte,"HISTÓRICO",IF(OR(AND(ISNUMBER(R4138),R4138&lt;TODAY()),AND(OR(N4138="PENDENTE",N4138="PARCIAL"),D4138&lt;TODAY()-1)),"CRÍTICO",IF(OR(AND(P4138&lt;&gt;"",S4138=""),AND(N4138="REALIZADO",M4138="PENDENTE"),AND(ISNUMBER(R4138),R4138=TODAY())),"ATENÇÃO",IF(N(K4138)=0,"PENDENTE","EM ANDAMENTO"))))))</f>
        <v/>
      </c>
      <c r="C4138" s="3">
        <f>IF(D4138="","",IF(V4138=0,"🟢 OK",IF(D4138&lt;corte,"⚪ HISTÓRICO (sem baixa)",IF(AND(ISNUMBER(R4138),R4138&lt;TODAY()),"🔴 PRAZO VENCIDO",IF(AND(OR(N4138="PENDENTE",N4138="PARCIAL"),D4138&lt;TODAY()-1),"🔴 EMBARQUE ATRASADO",IF(AND(N4138="REALIZADO",M4138="PENDENTE"),"🟡 EMBARCADO SEM FATURAR",IF(AND(P4138&lt;&gt;"",S4138="",OR(Q4138="",R4138="")),"🟡 PENDÊNCIA SEM RESPONSÁVEL/PRAZO",IF(AND(ISNUMBER(R4138),R4138=TODAY()),"🟡 VENCE HOJE",IF(AND(P4138&lt;&gt;"",S4138=""),"🟡 PENDÊNCIA ABERTA",IF(AND(N(J4138)&gt;0,N(K4138)&lt;J4138),"🟡 FALTA EXECUTAR",IF(OR(M4138="PENDENTE",M4138="PARCIAL"),"🟡 FATURAMENTO PENDENTE","🟡 EMBARQUE PENDENTE")))))))))))</f>
        <v/>
      </c>
      <c r="D4138" s="4" t="n"/>
      <c r="E4138" s="5" t="n"/>
      <c r="F4138" s="5" t="n"/>
      <c r="G4138" s="5" t="n"/>
      <c r="H4138" s="5" t="n"/>
      <c r="I4138" s="5" t="n"/>
      <c r="J4138" s="6" t="n"/>
      <c r="K4138" s="6" t="n"/>
      <c r="L4138" s="7">
        <f>IF(OR(D4138="",N(J4138)=0),"",MIN(1,N(K4138)/J4138))</f>
        <v/>
      </c>
      <c r="M4138" s="5" t="n"/>
      <c r="N4138" s="5" t="n"/>
      <c r="O4138" s="5" t="n"/>
      <c r="P4138" s="5" t="n"/>
      <c r="Q4138" s="5" t="n"/>
      <c r="R4138" s="4" t="n"/>
      <c r="S4138" s="4" t="n"/>
      <c r="T4138" s="5" t="n"/>
      <c r="U4138" s="8">
        <f>IF(AND(V4138=1,D4138&lt;&gt;""),IF(D4138&gt;=corte,TODAY()-D4138,""),"")</f>
        <v/>
      </c>
      <c r="V4138" s="8">
        <f>IF(D4138="",0,IF(OR(AND(P4138&lt;&gt;"",S4138=""),AND(N(J4138)&gt;0,N(K4138)&lt;J4138),OR(M4138="PENDENTE",M4138="PARCIAL"),OR(N4138="PENDENTE",N4138="PARCIAL")),1,0))</f>
        <v/>
      </c>
      <c r="W4138" s="8">
        <f>IF(AND(V4138=1,D4138&lt;&gt;""),IF(D4138&gt;=corte,(B4138="CRÍTICO")*1E9+(100000-D4138)*10000+10000-ROW(),""),"")</f>
        <v/>
      </c>
      <c r="X4138" s="8">
        <f>IF(AND(V4138=1,D4138=pas_data,E4138=pas_turno),10000-ROW(),"")</f>
        <v/>
      </c>
    </row>
    <row r="4139">
      <c r="A4139" s="3">
        <f>IF(D4139="","","TT-"&amp;TEXT(ROW()-1,"00000"))</f>
        <v/>
      </c>
      <c r="B4139" s="3">
        <f>IF(D4139="","",IF(V4139=0,"CONCLUÍDO",IF(D4139&lt;corte,"HISTÓRICO",IF(OR(AND(ISNUMBER(R4139),R4139&lt;TODAY()),AND(OR(N4139="PENDENTE",N4139="PARCIAL"),D4139&lt;TODAY()-1)),"CRÍTICO",IF(OR(AND(P4139&lt;&gt;"",S4139=""),AND(N4139="REALIZADO",M4139="PENDENTE"),AND(ISNUMBER(R4139),R4139=TODAY())),"ATENÇÃO",IF(N(K4139)=0,"PENDENTE","EM ANDAMENTO"))))))</f>
        <v/>
      </c>
      <c r="C4139" s="3">
        <f>IF(D4139="","",IF(V4139=0,"🟢 OK",IF(D4139&lt;corte,"⚪ HISTÓRICO (sem baixa)",IF(AND(ISNUMBER(R4139),R4139&lt;TODAY()),"🔴 PRAZO VENCIDO",IF(AND(OR(N4139="PENDENTE",N4139="PARCIAL"),D4139&lt;TODAY()-1),"🔴 EMBARQUE ATRASADO",IF(AND(N4139="REALIZADO",M4139="PENDENTE"),"🟡 EMBARCADO SEM FATURAR",IF(AND(P4139&lt;&gt;"",S4139="",OR(Q4139="",R4139="")),"🟡 PENDÊNCIA SEM RESPONSÁVEL/PRAZO",IF(AND(ISNUMBER(R4139),R4139=TODAY()),"🟡 VENCE HOJE",IF(AND(P4139&lt;&gt;"",S4139=""),"🟡 PENDÊNCIA ABERTA",IF(AND(N(J4139)&gt;0,N(K4139)&lt;J4139),"🟡 FALTA EXECUTAR",IF(OR(M4139="PENDENTE",M4139="PARCIAL"),"🟡 FATURAMENTO PENDENTE","🟡 EMBARQUE PENDENTE")))))))))))</f>
        <v/>
      </c>
      <c r="D4139" s="4" t="n"/>
      <c r="E4139" s="5" t="n"/>
      <c r="F4139" s="5" t="n"/>
      <c r="G4139" s="5" t="n"/>
      <c r="H4139" s="5" t="n"/>
      <c r="I4139" s="5" t="n"/>
      <c r="J4139" s="6" t="n"/>
      <c r="K4139" s="6" t="n"/>
      <c r="L4139" s="7">
        <f>IF(OR(D4139="",N(J4139)=0),"",MIN(1,N(K4139)/J4139))</f>
        <v/>
      </c>
      <c r="M4139" s="5" t="n"/>
      <c r="N4139" s="5" t="n"/>
      <c r="O4139" s="5" t="n"/>
      <c r="P4139" s="5" t="n"/>
      <c r="Q4139" s="5" t="n"/>
      <c r="R4139" s="4" t="n"/>
      <c r="S4139" s="4" t="n"/>
      <c r="T4139" s="5" t="n"/>
      <c r="U4139" s="8">
        <f>IF(AND(V4139=1,D4139&lt;&gt;""),IF(D4139&gt;=corte,TODAY()-D4139,""),"")</f>
        <v/>
      </c>
      <c r="V4139" s="8">
        <f>IF(D4139="",0,IF(OR(AND(P4139&lt;&gt;"",S4139=""),AND(N(J4139)&gt;0,N(K4139)&lt;J4139),OR(M4139="PENDENTE",M4139="PARCIAL"),OR(N4139="PENDENTE",N4139="PARCIAL")),1,0))</f>
        <v/>
      </c>
      <c r="W4139" s="8">
        <f>IF(AND(V4139=1,D4139&lt;&gt;""),IF(D4139&gt;=corte,(B4139="CRÍTICO")*1E9+(100000-D4139)*10000+10000-ROW(),""),"")</f>
        <v/>
      </c>
      <c r="X4139" s="8">
        <f>IF(AND(V4139=1,D4139=pas_data,E4139=pas_turno),10000-ROW(),"")</f>
        <v/>
      </c>
    </row>
    <row r="4140">
      <c r="A4140" s="3">
        <f>IF(D4140="","","TT-"&amp;TEXT(ROW()-1,"00000"))</f>
        <v/>
      </c>
      <c r="B4140" s="3">
        <f>IF(D4140="","",IF(V4140=0,"CONCLUÍDO",IF(D4140&lt;corte,"HISTÓRICO",IF(OR(AND(ISNUMBER(R4140),R4140&lt;TODAY()),AND(OR(N4140="PENDENTE",N4140="PARCIAL"),D4140&lt;TODAY()-1)),"CRÍTICO",IF(OR(AND(P4140&lt;&gt;"",S4140=""),AND(N4140="REALIZADO",M4140="PENDENTE"),AND(ISNUMBER(R4140),R4140=TODAY())),"ATENÇÃO",IF(N(K4140)=0,"PENDENTE","EM ANDAMENTO"))))))</f>
        <v/>
      </c>
      <c r="C4140" s="3">
        <f>IF(D4140="","",IF(V4140=0,"🟢 OK",IF(D4140&lt;corte,"⚪ HISTÓRICO (sem baixa)",IF(AND(ISNUMBER(R4140),R4140&lt;TODAY()),"🔴 PRAZO VENCIDO",IF(AND(OR(N4140="PENDENTE",N4140="PARCIAL"),D4140&lt;TODAY()-1),"🔴 EMBARQUE ATRASADO",IF(AND(N4140="REALIZADO",M4140="PENDENTE"),"🟡 EMBARCADO SEM FATURAR",IF(AND(P4140&lt;&gt;"",S4140="",OR(Q4140="",R4140="")),"🟡 PENDÊNCIA SEM RESPONSÁVEL/PRAZO",IF(AND(ISNUMBER(R4140),R4140=TODAY()),"🟡 VENCE HOJE",IF(AND(P4140&lt;&gt;"",S4140=""),"🟡 PENDÊNCIA ABERTA",IF(AND(N(J4140)&gt;0,N(K4140)&lt;J4140),"🟡 FALTA EXECUTAR",IF(OR(M4140="PENDENTE",M4140="PARCIAL"),"🟡 FATURAMENTO PENDENTE","🟡 EMBARQUE PENDENTE")))))))))))</f>
        <v/>
      </c>
      <c r="D4140" s="4" t="n"/>
      <c r="E4140" s="5" t="n"/>
      <c r="F4140" s="5" t="n"/>
      <c r="G4140" s="5" t="n"/>
      <c r="H4140" s="5" t="n"/>
      <c r="I4140" s="5" t="n"/>
      <c r="J4140" s="6" t="n"/>
      <c r="K4140" s="6" t="n"/>
      <c r="L4140" s="7">
        <f>IF(OR(D4140="",N(J4140)=0),"",MIN(1,N(K4140)/J4140))</f>
        <v/>
      </c>
      <c r="M4140" s="5" t="n"/>
      <c r="N4140" s="5" t="n"/>
      <c r="O4140" s="5" t="n"/>
      <c r="P4140" s="5" t="n"/>
      <c r="Q4140" s="5" t="n"/>
      <c r="R4140" s="4" t="n"/>
      <c r="S4140" s="4" t="n"/>
      <c r="T4140" s="5" t="n"/>
      <c r="U4140" s="8">
        <f>IF(AND(V4140=1,D4140&lt;&gt;""),IF(D4140&gt;=corte,TODAY()-D4140,""),"")</f>
        <v/>
      </c>
      <c r="V4140" s="8">
        <f>IF(D4140="",0,IF(OR(AND(P4140&lt;&gt;"",S4140=""),AND(N(J4140)&gt;0,N(K4140)&lt;J4140),OR(M4140="PENDENTE",M4140="PARCIAL"),OR(N4140="PENDENTE",N4140="PARCIAL")),1,0))</f>
        <v/>
      </c>
      <c r="W4140" s="8">
        <f>IF(AND(V4140=1,D4140&lt;&gt;""),IF(D4140&gt;=corte,(B4140="CRÍTICO")*1E9+(100000-D4140)*10000+10000-ROW(),""),"")</f>
        <v/>
      </c>
      <c r="X4140" s="8">
        <f>IF(AND(V4140=1,D4140=pas_data,E4140=pas_turno),10000-ROW(),"")</f>
        <v/>
      </c>
    </row>
    <row r="4141">
      <c r="A4141" s="3">
        <f>IF(D4141="","","TT-"&amp;TEXT(ROW()-1,"00000"))</f>
        <v/>
      </c>
      <c r="B4141" s="3">
        <f>IF(D4141="","",IF(V4141=0,"CONCLUÍDO",IF(D4141&lt;corte,"HISTÓRICO",IF(OR(AND(ISNUMBER(R4141),R4141&lt;TODAY()),AND(OR(N4141="PENDENTE",N4141="PARCIAL"),D4141&lt;TODAY()-1)),"CRÍTICO",IF(OR(AND(P4141&lt;&gt;"",S4141=""),AND(N4141="REALIZADO",M4141="PENDENTE"),AND(ISNUMBER(R4141),R4141=TODAY())),"ATENÇÃO",IF(N(K4141)=0,"PENDENTE","EM ANDAMENTO"))))))</f>
        <v/>
      </c>
      <c r="C4141" s="3">
        <f>IF(D4141="","",IF(V4141=0,"🟢 OK",IF(D4141&lt;corte,"⚪ HISTÓRICO (sem baixa)",IF(AND(ISNUMBER(R4141),R4141&lt;TODAY()),"🔴 PRAZO VENCIDO",IF(AND(OR(N4141="PENDENTE",N4141="PARCIAL"),D4141&lt;TODAY()-1),"🔴 EMBARQUE ATRASADO",IF(AND(N4141="REALIZADO",M4141="PENDENTE"),"🟡 EMBARCADO SEM FATURAR",IF(AND(P4141&lt;&gt;"",S4141="",OR(Q4141="",R4141="")),"🟡 PENDÊNCIA SEM RESPONSÁVEL/PRAZO",IF(AND(ISNUMBER(R4141),R4141=TODAY()),"🟡 VENCE HOJE",IF(AND(P4141&lt;&gt;"",S4141=""),"🟡 PENDÊNCIA ABERTA",IF(AND(N(J4141)&gt;0,N(K4141)&lt;J4141),"🟡 FALTA EXECUTAR",IF(OR(M4141="PENDENTE",M4141="PARCIAL"),"🟡 FATURAMENTO PENDENTE","🟡 EMBARQUE PENDENTE")))))))))))</f>
        <v/>
      </c>
      <c r="D4141" s="4" t="n"/>
      <c r="E4141" s="5" t="n"/>
      <c r="F4141" s="5" t="n"/>
      <c r="G4141" s="5" t="n"/>
      <c r="H4141" s="5" t="n"/>
      <c r="I4141" s="5" t="n"/>
      <c r="J4141" s="6" t="n"/>
      <c r="K4141" s="6" t="n"/>
      <c r="L4141" s="7">
        <f>IF(OR(D4141="",N(J4141)=0),"",MIN(1,N(K4141)/J4141))</f>
        <v/>
      </c>
      <c r="M4141" s="5" t="n"/>
      <c r="N4141" s="5" t="n"/>
      <c r="O4141" s="5" t="n"/>
      <c r="P4141" s="5" t="n"/>
      <c r="Q4141" s="5" t="n"/>
      <c r="R4141" s="4" t="n"/>
      <c r="S4141" s="4" t="n"/>
      <c r="T4141" s="5" t="n"/>
      <c r="U4141" s="8">
        <f>IF(AND(V4141=1,D4141&lt;&gt;""),IF(D4141&gt;=corte,TODAY()-D4141,""),"")</f>
        <v/>
      </c>
      <c r="V4141" s="8">
        <f>IF(D4141="",0,IF(OR(AND(P4141&lt;&gt;"",S4141=""),AND(N(J4141)&gt;0,N(K4141)&lt;J4141),OR(M4141="PENDENTE",M4141="PARCIAL"),OR(N4141="PENDENTE",N4141="PARCIAL")),1,0))</f>
        <v/>
      </c>
      <c r="W4141" s="8">
        <f>IF(AND(V4141=1,D4141&lt;&gt;""),IF(D4141&gt;=corte,(B4141="CRÍTICO")*1E9+(100000-D4141)*10000+10000-ROW(),""),"")</f>
        <v/>
      </c>
      <c r="X4141" s="8">
        <f>IF(AND(V4141=1,D4141=pas_data,E4141=pas_turno),10000-ROW(),"")</f>
        <v/>
      </c>
    </row>
    <row r="4142">
      <c r="A4142" s="3">
        <f>IF(D4142="","","TT-"&amp;TEXT(ROW()-1,"00000"))</f>
        <v/>
      </c>
      <c r="B4142" s="3">
        <f>IF(D4142="","",IF(V4142=0,"CONCLUÍDO",IF(D4142&lt;corte,"HISTÓRICO",IF(OR(AND(ISNUMBER(R4142),R4142&lt;TODAY()),AND(OR(N4142="PENDENTE",N4142="PARCIAL"),D4142&lt;TODAY()-1)),"CRÍTICO",IF(OR(AND(P4142&lt;&gt;"",S4142=""),AND(N4142="REALIZADO",M4142="PENDENTE"),AND(ISNUMBER(R4142),R4142=TODAY())),"ATENÇÃO",IF(N(K4142)=0,"PENDENTE","EM ANDAMENTO"))))))</f>
        <v/>
      </c>
      <c r="C4142" s="3">
        <f>IF(D4142="","",IF(V4142=0,"🟢 OK",IF(D4142&lt;corte,"⚪ HISTÓRICO (sem baixa)",IF(AND(ISNUMBER(R4142),R4142&lt;TODAY()),"🔴 PRAZO VENCIDO",IF(AND(OR(N4142="PENDENTE",N4142="PARCIAL"),D4142&lt;TODAY()-1),"🔴 EMBARQUE ATRASADO",IF(AND(N4142="REALIZADO",M4142="PENDENTE"),"🟡 EMBARCADO SEM FATURAR",IF(AND(P4142&lt;&gt;"",S4142="",OR(Q4142="",R4142="")),"🟡 PENDÊNCIA SEM RESPONSÁVEL/PRAZO",IF(AND(ISNUMBER(R4142),R4142=TODAY()),"🟡 VENCE HOJE",IF(AND(P4142&lt;&gt;"",S4142=""),"🟡 PENDÊNCIA ABERTA",IF(AND(N(J4142)&gt;0,N(K4142)&lt;J4142),"🟡 FALTA EXECUTAR",IF(OR(M4142="PENDENTE",M4142="PARCIAL"),"🟡 FATURAMENTO PENDENTE","🟡 EMBARQUE PENDENTE")))))))))))</f>
        <v/>
      </c>
      <c r="D4142" s="4" t="n"/>
      <c r="E4142" s="5" t="n"/>
      <c r="F4142" s="5" t="n"/>
      <c r="G4142" s="5" t="n"/>
      <c r="H4142" s="5" t="n"/>
      <c r="I4142" s="5" t="n"/>
      <c r="J4142" s="6" t="n"/>
      <c r="K4142" s="6" t="n"/>
      <c r="L4142" s="7">
        <f>IF(OR(D4142="",N(J4142)=0),"",MIN(1,N(K4142)/J4142))</f>
        <v/>
      </c>
      <c r="M4142" s="5" t="n"/>
      <c r="N4142" s="5" t="n"/>
      <c r="O4142" s="5" t="n"/>
      <c r="P4142" s="5" t="n"/>
      <c r="Q4142" s="5" t="n"/>
      <c r="R4142" s="4" t="n"/>
      <c r="S4142" s="4" t="n"/>
      <c r="T4142" s="5" t="n"/>
      <c r="U4142" s="8">
        <f>IF(AND(V4142=1,D4142&lt;&gt;""),IF(D4142&gt;=corte,TODAY()-D4142,""),"")</f>
        <v/>
      </c>
      <c r="V4142" s="8">
        <f>IF(D4142="",0,IF(OR(AND(P4142&lt;&gt;"",S4142=""),AND(N(J4142)&gt;0,N(K4142)&lt;J4142),OR(M4142="PENDENTE",M4142="PARCIAL"),OR(N4142="PENDENTE",N4142="PARCIAL")),1,0))</f>
        <v/>
      </c>
      <c r="W4142" s="8">
        <f>IF(AND(V4142=1,D4142&lt;&gt;""),IF(D4142&gt;=corte,(B4142="CRÍTICO")*1E9+(100000-D4142)*10000+10000-ROW(),""),"")</f>
        <v/>
      </c>
      <c r="X4142" s="8">
        <f>IF(AND(V4142=1,D4142=pas_data,E4142=pas_turno),10000-ROW(),"")</f>
        <v/>
      </c>
    </row>
    <row r="4143">
      <c r="A4143" s="3">
        <f>IF(D4143="","","TT-"&amp;TEXT(ROW()-1,"00000"))</f>
        <v/>
      </c>
      <c r="B4143" s="3">
        <f>IF(D4143="","",IF(V4143=0,"CONCLUÍDO",IF(D4143&lt;corte,"HISTÓRICO",IF(OR(AND(ISNUMBER(R4143),R4143&lt;TODAY()),AND(OR(N4143="PENDENTE",N4143="PARCIAL"),D4143&lt;TODAY()-1)),"CRÍTICO",IF(OR(AND(P4143&lt;&gt;"",S4143=""),AND(N4143="REALIZADO",M4143="PENDENTE"),AND(ISNUMBER(R4143),R4143=TODAY())),"ATENÇÃO",IF(N(K4143)=0,"PENDENTE","EM ANDAMENTO"))))))</f>
        <v/>
      </c>
      <c r="C4143" s="3">
        <f>IF(D4143="","",IF(V4143=0,"🟢 OK",IF(D4143&lt;corte,"⚪ HISTÓRICO (sem baixa)",IF(AND(ISNUMBER(R4143),R4143&lt;TODAY()),"🔴 PRAZO VENCIDO",IF(AND(OR(N4143="PENDENTE",N4143="PARCIAL"),D4143&lt;TODAY()-1),"🔴 EMBARQUE ATRASADO",IF(AND(N4143="REALIZADO",M4143="PENDENTE"),"🟡 EMBARCADO SEM FATURAR",IF(AND(P4143&lt;&gt;"",S4143="",OR(Q4143="",R4143="")),"🟡 PENDÊNCIA SEM RESPONSÁVEL/PRAZO",IF(AND(ISNUMBER(R4143),R4143=TODAY()),"🟡 VENCE HOJE",IF(AND(P4143&lt;&gt;"",S4143=""),"🟡 PENDÊNCIA ABERTA",IF(AND(N(J4143)&gt;0,N(K4143)&lt;J4143),"🟡 FALTA EXECUTAR",IF(OR(M4143="PENDENTE",M4143="PARCIAL"),"🟡 FATURAMENTO PENDENTE","🟡 EMBARQUE PENDENTE")))))))))))</f>
        <v/>
      </c>
      <c r="D4143" s="4" t="n"/>
      <c r="E4143" s="5" t="n"/>
      <c r="F4143" s="5" t="n"/>
      <c r="G4143" s="5" t="n"/>
      <c r="H4143" s="5" t="n"/>
      <c r="I4143" s="5" t="n"/>
      <c r="J4143" s="6" t="n"/>
      <c r="K4143" s="6" t="n"/>
      <c r="L4143" s="7">
        <f>IF(OR(D4143="",N(J4143)=0),"",MIN(1,N(K4143)/J4143))</f>
        <v/>
      </c>
      <c r="M4143" s="5" t="n"/>
      <c r="N4143" s="5" t="n"/>
      <c r="O4143" s="5" t="n"/>
      <c r="P4143" s="5" t="n"/>
      <c r="Q4143" s="5" t="n"/>
      <c r="R4143" s="4" t="n"/>
      <c r="S4143" s="4" t="n"/>
      <c r="T4143" s="5" t="n"/>
      <c r="U4143" s="8">
        <f>IF(AND(V4143=1,D4143&lt;&gt;""),IF(D4143&gt;=corte,TODAY()-D4143,""),"")</f>
        <v/>
      </c>
      <c r="V4143" s="8">
        <f>IF(D4143="",0,IF(OR(AND(P4143&lt;&gt;"",S4143=""),AND(N(J4143)&gt;0,N(K4143)&lt;J4143),OR(M4143="PENDENTE",M4143="PARCIAL"),OR(N4143="PENDENTE",N4143="PARCIAL")),1,0))</f>
        <v/>
      </c>
      <c r="W4143" s="8">
        <f>IF(AND(V4143=1,D4143&lt;&gt;""),IF(D4143&gt;=corte,(B4143="CRÍTICO")*1E9+(100000-D4143)*10000+10000-ROW(),""),"")</f>
        <v/>
      </c>
      <c r="X4143" s="8">
        <f>IF(AND(V4143=1,D4143=pas_data,E4143=pas_turno),10000-ROW(),"")</f>
        <v/>
      </c>
    </row>
    <row r="4144">
      <c r="A4144" s="3">
        <f>IF(D4144="","","TT-"&amp;TEXT(ROW()-1,"00000"))</f>
        <v/>
      </c>
      <c r="B4144" s="3">
        <f>IF(D4144="","",IF(V4144=0,"CONCLUÍDO",IF(D4144&lt;corte,"HISTÓRICO",IF(OR(AND(ISNUMBER(R4144),R4144&lt;TODAY()),AND(OR(N4144="PENDENTE",N4144="PARCIAL"),D4144&lt;TODAY()-1)),"CRÍTICO",IF(OR(AND(P4144&lt;&gt;"",S4144=""),AND(N4144="REALIZADO",M4144="PENDENTE"),AND(ISNUMBER(R4144),R4144=TODAY())),"ATENÇÃO",IF(N(K4144)=0,"PENDENTE","EM ANDAMENTO"))))))</f>
        <v/>
      </c>
      <c r="C4144" s="3">
        <f>IF(D4144="","",IF(V4144=0,"🟢 OK",IF(D4144&lt;corte,"⚪ HISTÓRICO (sem baixa)",IF(AND(ISNUMBER(R4144),R4144&lt;TODAY()),"🔴 PRAZO VENCIDO",IF(AND(OR(N4144="PENDENTE",N4144="PARCIAL"),D4144&lt;TODAY()-1),"🔴 EMBARQUE ATRASADO",IF(AND(N4144="REALIZADO",M4144="PENDENTE"),"🟡 EMBARCADO SEM FATURAR",IF(AND(P4144&lt;&gt;"",S4144="",OR(Q4144="",R4144="")),"🟡 PENDÊNCIA SEM RESPONSÁVEL/PRAZO",IF(AND(ISNUMBER(R4144),R4144=TODAY()),"🟡 VENCE HOJE",IF(AND(P4144&lt;&gt;"",S4144=""),"🟡 PENDÊNCIA ABERTA",IF(AND(N(J4144)&gt;0,N(K4144)&lt;J4144),"🟡 FALTA EXECUTAR",IF(OR(M4144="PENDENTE",M4144="PARCIAL"),"🟡 FATURAMENTO PENDENTE","🟡 EMBARQUE PENDENTE")))))))))))</f>
        <v/>
      </c>
      <c r="D4144" s="4" t="n"/>
      <c r="E4144" s="5" t="n"/>
      <c r="F4144" s="5" t="n"/>
      <c r="G4144" s="5" t="n"/>
      <c r="H4144" s="5" t="n"/>
      <c r="I4144" s="5" t="n"/>
      <c r="J4144" s="6" t="n"/>
      <c r="K4144" s="6" t="n"/>
      <c r="L4144" s="7">
        <f>IF(OR(D4144="",N(J4144)=0),"",MIN(1,N(K4144)/J4144))</f>
        <v/>
      </c>
      <c r="M4144" s="5" t="n"/>
      <c r="N4144" s="5" t="n"/>
      <c r="O4144" s="5" t="n"/>
      <c r="P4144" s="5" t="n"/>
      <c r="Q4144" s="5" t="n"/>
      <c r="R4144" s="4" t="n"/>
      <c r="S4144" s="4" t="n"/>
      <c r="T4144" s="5" t="n"/>
      <c r="U4144" s="8">
        <f>IF(AND(V4144=1,D4144&lt;&gt;""),IF(D4144&gt;=corte,TODAY()-D4144,""),"")</f>
        <v/>
      </c>
      <c r="V4144" s="8">
        <f>IF(D4144="",0,IF(OR(AND(P4144&lt;&gt;"",S4144=""),AND(N(J4144)&gt;0,N(K4144)&lt;J4144),OR(M4144="PENDENTE",M4144="PARCIAL"),OR(N4144="PENDENTE",N4144="PARCIAL")),1,0))</f>
        <v/>
      </c>
      <c r="W4144" s="8">
        <f>IF(AND(V4144=1,D4144&lt;&gt;""),IF(D4144&gt;=corte,(B4144="CRÍTICO")*1E9+(100000-D4144)*10000+10000-ROW(),""),"")</f>
        <v/>
      </c>
      <c r="X4144" s="8">
        <f>IF(AND(V4144=1,D4144=pas_data,E4144=pas_turno),10000-ROW(),"")</f>
        <v/>
      </c>
    </row>
    <row r="4145">
      <c r="A4145" s="3">
        <f>IF(D4145="","","TT-"&amp;TEXT(ROW()-1,"00000"))</f>
        <v/>
      </c>
      <c r="B4145" s="3">
        <f>IF(D4145="","",IF(V4145=0,"CONCLUÍDO",IF(D4145&lt;corte,"HISTÓRICO",IF(OR(AND(ISNUMBER(R4145),R4145&lt;TODAY()),AND(OR(N4145="PENDENTE",N4145="PARCIAL"),D4145&lt;TODAY()-1)),"CRÍTICO",IF(OR(AND(P4145&lt;&gt;"",S4145=""),AND(N4145="REALIZADO",M4145="PENDENTE"),AND(ISNUMBER(R4145),R4145=TODAY())),"ATENÇÃO",IF(N(K4145)=0,"PENDENTE","EM ANDAMENTO"))))))</f>
        <v/>
      </c>
      <c r="C4145" s="3">
        <f>IF(D4145="","",IF(V4145=0,"🟢 OK",IF(D4145&lt;corte,"⚪ HISTÓRICO (sem baixa)",IF(AND(ISNUMBER(R4145),R4145&lt;TODAY()),"🔴 PRAZO VENCIDO",IF(AND(OR(N4145="PENDENTE",N4145="PARCIAL"),D4145&lt;TODAY()-1),"🔴 EMBARQUE ATRASADO",IF(AND(N4145="REALIZADO",M4145="PENDENTE"),"🟡 EMBARCADO SEM FATURAR",IF(AND(P4145&lt;&gt;"",S4145="",OR(Q4145="",R4145="")),"🟡 PENDÊNCIA SEM RESPONSÁVEL/PRAZO",IF(AND(ISNUMBER(R4145),R4145=TODAY()),"🟡 VENCE HOJE",IF(AND(P4145&lt;&gt;"",S4145=""),"🟡 PENDÊNCIA ABERTA",IF(AND(N(J4145)&gt;0,N(K4145)&lt;J4145),"🟡 FALTA EXECUTAR",IF(OR(M4145="PENDENTE",M4145="PARCIAL"),"🟡 FATURAMENTO PENDENTE","🟡 EMBARQUE PENDENTE")))))))))))</f>
        <v/>
      </c>
      <c r="D4145" s="4" t="n"/>
      <c r="E4145" s="5" t="n"/>
      <c r="F4145" s="5" t="n"/>
      <c r="G4145" s="5" t="n"/>
      <c r="H4145" s="5" t="n"/>
      <c r="I4145" s="5" t="n"/>
      <c r="J4145" s="6" t="n"/>
      <c r="K4145" s="6" t="n"/>
      <c r="L4145" s="7">
        <f>IF(OR(D4145="",N(J4145)=0),"",MIN(1,N(K4145)/J4145))</f>
        <v/>
      </c>
      <c r="M4145" s="5" t="n"/>
      <c r="N4145" s="5" t="n"/>
      <c r="O4145" s="5" t="n"/>
      <c r="P4145" s="5" t="n"/>
      <c r="Q4145" s="5" t="n"/>
      <c r="R4145" s="4" t="n"/>
      <c r="S4145" s="4" t="n"/>
      <c r="T4145" s="5" t="n"/>
      <c r="U4145" s="8">
        <f>IF(AND(V4145=1,D4145&lt;&gt;""),IF(D4145&gt;=corte,TODAY()-D4145,""),"")</f>
        <v/>
      </c>
      <c r="V4145" s="8">
        <f>IF(D4145="",0,IF(OR(AND(P4145&lt;&gt;"",S4145=""),AND(N(J4145)&gt;0,N(K4145)&lt;J4145),OR(M4145="PENDENTE",M4145="PARCIAL"),OR(N4145="PENDENTE",N4145="PARCIAL")),1,0))</f>
        <v/>
      </c>
      <c r="W4145" s="8">
        <f>IF(AND(V4145=1,D4145&lt;&gt;""),IF(D4145&gt;=corte,(B4145="CRÍTICO")*1E9+(100000-D4145)*10000+10000-ROW(),""),"")</f>
        <v/>
      </c>
      <c r="X4145" s="8">
        <f>IF(AND(V4145=1,D4145=pas_data,E4145=pas_turno),10000-ROW(),"")</f>
        <v/>
      </c>
    </row>
    <row r="4146">
      <c r="A4146" s="3">
        <f>IF(D4146="","","TT-"&amp;TEXT(ROW()-1,"00000"))</f>
        <v/>
      </c>
      <c r="B4146" s="3">
        <f>IF(D4146="","",IF(V4146=0,"CONCLUÍDO",IF(D4146&lt;corte,"HISTÓRICO",IF(OR(AND(ISNUMBER(R4146),R4146&lt;TODAY()),AND(OR(N4146="PENDENTE",N4146="PARCIAL"),D4146&lt;TODAY()-1)),"CRÍTICO",IF(OR(AND(P4146&lt;&gt;"",S4146=""),AND(N4146="REALIZADO",M4146="PENDENTE"),AND(ISNUMBER(R4146),R4146=TODAY())),"ATENÇÃO",IF(N(K4146)=0,"PENDENTE","EM ANDAMENTO"))))))</f>
        <v/>
      </c>
      <c r="C4146" s="3">
        <f>IF(D4146="","",IF(V4146=0,"🟢 OK",IF(D4146&lt;corte,"⚪ HISTÓRICO (sem baixa)",IF(AND(ISNUMBER(R4146),R4146&lt;TODAY()),"🔴 PRAZO VENCIDO",IF(AND(OR(N4146="PENDENTE",N4146="PARCIAL"),D4146&lt;TODAY()-1),"🔴 EMBARQUE ATRASADO",IF(AND(N4146="REALIZADO",M4146="PENDENTE"),"🟡 EMBARCADO SEM FATURAR",IF(AND(P4146&lt;&gt;"",S4146="",OR(Q4146="",R4146="")),"🟡 PENDÊNCIA SEM RESPONSÁVEL/PRAZO",IF(AND(ISNUMBER(R4146),R4146=TODAY()),"🟡 VENCE HOJE",IF(AND(P4146&lt;&gt;"",S4146=""),"🟡 PENDÊNCIA ABERTA",IF(AND(N(J4146)&gt;0,N(K4146)&lt;J4146),"🟡 FALTA EXECUTAR",IF(OR(M4146="PENDENTE",M4146="PARCIAL"),"🟡 FATURAMENTO PENDENTE","🟡 EMBARQUE PENDENTE")))))))))))</f>
        <v/>
      </c>
      <c r="D4146" s="4" t="n"/>
      <c r="E4146" s="5" t="n"/>
      <c r="F4146" s="5" t="n"/>
      <c r="G4146" s="5" t="n"/>
      <c r="H4146" s="5" t="n"/>
      <c r="I4146" s="5" t="n"/>
      <c r="J4146" s="6" t="n"/>
      <c r="K4146" s="6" t="n"/>
      <c r="L4146" s="7">
        <f>IF(OR(D4146="",N(J4146)=0),"",MIN(1,N(K4146)/J4146))</f>
        <v/>
      </c>
      <c r="M4146" s="5" t="n"/>
      <c r="N4146" s="5" t="n"/>
      <c r="O4146" s="5" t="n"/>
      <c r="P4146" s="5" t="n"/>
      <c r="Q4146" s="5" t="n"/>
      <c r="R4146" s="4" t="n"/>
      <c r="S4146" s="4" t="n"/>
      <c r="T4146" s="5" t="n"/>
      <c r="U4146" s="8">
        <f>IF(AND(V4146=1,D4146&lt;&gt;""),IF(D4146&gt;=corte,TODAY()-D4146,""),"")</f>
        <v/>
      </c>
      <c r="V4146" s="8">
        <f>IF(D4146="",0,IF(OR(AND(P4146&lt;&gt;"",S4146=""),AND(N(J4146)&gt;0,N(K4146)&lt;J4146),OR(M4146="PENDENTE",M4146="PARCIAL"),OR(N4146="PENDENTE",N4146="PARCIAL")),1,0))</f>
        <v/>
      </c>
      <c r="W4146" s="8">
        <f>IF(AND(V4146=1,D4146&lt;&gt;""),IF(D4146&gt;=corte,(B4146="CRÍTICO")*1E9+(100000-D4146)*10000+10000-ROW(),""),"")</f>
        <v/>
      </c>
      <c r="X4146" s="8">
        <f>IF(AND(V4146=1,D4146=pas_data,E4146=pas_turno),10000-ROW(),"")</f>
        <v/>
      </c>
    </row>
    <row r="4147">
      <c r="A4147" s="3">
        <f>IF(D4147="","","TT-"&amp;TEXT(ROW()-1,"00000"))</f>
        <v/>
      </c>
      <c r="B4147" s="3">
        <f>IF(D4147="","",IF(V4147=0,"CONCLUÍDO",IF(D4147&lt;corte,"HISTÓRICO",IF(OR(AND(ISNUMBER(R4147),R4147&lt;TODAY()),AND(OR(N4147="PENDENTE",N4147="PARCIAL"),D4147&lt;TODAY()-1)),"CRÍTICO",IF(OR(AND(P4147&lt;&gt;"",S4147=""),AND(N4147="REALIZADO",M4147="PENDENTE"),AND(ISNUMBER(R4147),R4147=TODAY())),"ATENÇÃO",IF(N(K4147)=0,"PENDENTE","EM ANDAMENTO"))))))</f>
        <v/>
      </c>
      <c r="C4147" s="3">
        <f>IF(D4147="","",IF(V4147=0,"🟢 OK",IF(D4147&lt;corte,"⚪ HISTÓRICO (sem baixa)",IF(AND(ISNUMBER(R4147),R4147&lt;TODAY()),"🔴 PRAZO VENCIDO",IF(AND(OR(N4147="PENDENTE",N4147="PARCIAL"),D4147&lt;TODAY()-1),"🔴 EMBARQUE ATRASADO",IF(AND(N4147="REALIZADO",M4147="PENDENTE"),"🟡 EMBARCADO SEM FATURAR",IF(AND(P4147&lt;&gt;"",S4147="",OR(Q4147="",R4147="")),"🟡 PENDÊNCIA SEM RESPONSÁVEL/PRAZO",IF(AND(ISNUMBER(R4147),R4147=TODAY()),"🟡 VENCE HOJE",IF(AND(P4147&lt;&gt;"",S4147=""),"🟡 PENDÊNCIA ABERTA",IF(AND(N(J4147)&gt;0,N(K4147)&lt;J4147),"🟡 FALTA EXECUTAR",IF(OR(M4147="PENDENTE",M4147="PARCIAL"),"🟡 FATURAMENTO PENDENTE","🟡 EMBARQUE PENDENTE")))))))))))</f>
        <v/>
      </c>
      <c r="D4147" s="4" t="n"/>
      <c r="E4147" s="5" t="n"/>
      <c r="F4147" s="5" t="n"/>
      <c r="G4147" s="5" t="n"/>
      <c r="H4147" s="5" t="n"/>
      <c r="I4147" s="5" t="n"/>
      <c r="J4147" s="6" t="n"/>
      <c r="K4147" s="6" t="n"/>
      <c r="L4147" s="7">
        <f>IF(OR(D4147="",N(J4147)=0),"",MIN(1,N(K4147)/J4147))</f>
        <v/>
      </c>
      <c r="M4147" s="5" t="n"/>
      <c r="N4147" s="5" t="n"/>
      <c r="O4147" s="5" t="n"/>
      <c r="P4147" s="5" t="n"/>
      <c r="Q4147" s="5" t="n"/>
      <c r="R4147" s="4" t="n"/>
      <c r="S4147" s="4" t="n"/>
      <c r="T4147" s="5" t="n"/>
      <c r="U4147" s="8">
        <f>IF(AND(V4147=1,D4147&lt;&gt;""),IF(D4147&gt;=corte,TODAY()-D4147,""),"")</f>
        <v/>
      </c>
      <c r="V4147" s="8">
        <f>IF(D4147="",0,IF(OR(AND(P4147&lt;&gt;"",S4147=""),AND(N(J4147)&gt;0,N(K4147)&lt;J4147),OR(M4147="PENDENTE",M4147="PARCIAL"),OR(N4147="PENDENTE",N4147="PARCIAL")),1,0))</f>
        <v/>
      </c>
      <c r="W4147" s="8">
        <f>IF(AND(V4147=1,D4147&lt;&gt;""),IF(D4147&gt;=corte,(B4147="CRÍTICO")*1E9+(100000-D4147)*10000+10000-ROW(),""),"")</f>
        <v/>
      </c>
      <c r="X4147" s="8">
        <f>IF(AND(V4147=1,D4147=pas_data,E4147=pas_turno),10000-ROW(),"")</f>
        <v/>
      </c>
    </row>
    <row r="4148">
      <c r="A4148" s="3">
        <f>IF(D4148="","","TT-"&amp;TEXT(ROW()-1,"00000"))</f>
        <v/>
      </c>
      <c r="B4148" s="3">
        <f>IF(D4148="","",IF(V4148=0,"CONCLUÍDO",IF(D4148&lt;corte,"HISTÓRICO",IF(OR(AND(ISNUMBER(R4148),R4148&lt;TODAY()),AND(OR(N4148="PENDENTE",N4148="PARCIAL"),D4148&lt;TODAY()-1)),"CRÍTICO",IF(OR(AND(P4148&lt;&gt;"",S4148=""),AND(N4148="REALIZADO",M4148="PENDENTE"),AND(ISNUMBER(R4148),R4148=TODAY())),"ATENÇÃO",IF(N(K4148)=0,"PENDENTE","EM ANDAMENTO"))))))</f>
        <v/>
      </c>
      <c r="C4148" s="3">
        <f>IF(D4148="","",IF(V4148=0,"🟢 OK",IF(D4148&lt;corte,"⚪ HISTÓRICO (sem baixa)",IF(AND(ISNUMBER(R4148),R4148&lt;TODAY()),"🔴 PRAZO VENCIDO",IF(AND(OR(N4148="PENDENTE",N4148="PARCIAL"),D4148&lt;TODAY()-1),"🔴 EMBARQUE ATRASADO",IF(AND(N4148="REALIZADO",M4148="PENDENTE"),"🟡 EMBARCADO SEM FATURAR",IF(AND(P4148&lt;&gt;"",S4148="",OR(Q4148="",R4148="")),"🟡 PENDÊNCIA SEM RESPONSÁVEL/PRAZO",IF(AND(ISNUMBER(R4148),R4148=TODAY()),"🟡 VENCE HOJE",IF(AND(P4148&lt;&gt;"",S4148=""),"🟡 PENDÊNCIA ABERTA",IF(AND(N(J4148)&gt;0,N(K4148)&lt;J4148),"🟡 FALTA EXECUTAR",IF(OR(M4148="PENDENTE",M4148="PARCIAL"),"🟡 FATURAMENTO PENDENTE","🟡 EMBARQUE PENDENTE")))))))))))</f>
        <v/>
      </c>
      <c r="D4148" s="4" t="n"/>
      <c r="E4148" s="5" t="n"/>
      <c r="F4148" s="5" t="n"/>
      <c r="G4148" s="5" t="n"/>
      <c r="H4148" s="5" t="n"/>
      <c r="I4148" s="5" t="n"/>
      <c r="J4148" s="6" t="n"/>
      <c r="K4148" s="6" t="n"/>
      <c r="L4148" s="7">
        <f>IF(OR(D4148="",N(J4148)=0),"",MIN(1,N(K4148)/J4148))</f>
        <v/>
      </c>
      <c r="M4148" s="5" t="n"/>
      <c r="N4148" s="5" t="n"/>
      <c r="O4148" s="5" t="n"/>
      <c r="P4148" s="5" t="n"/>
      <c r="Q4148" s="5" t="n"/>
      <c r="R4148" s="4" t="n"/>
      <c r="S4148" s="4" t="n"/>
      <c r="T4148" s="5" t="n"/>
      <c r="U4148" s="8">
        <f>IF(AND(V4148=1,D4148&lt;&gt;""),IF(D4148&gt;=corte,TODAY()-D4148,""),"")</f>
        <v/>
      </c>
      <c r="V4148" s="8">
        <f>IF(D4148="",0,IF(OR(AND(P4148&lt;&gt;"",S4148=""),AND(N(J4148)&gt;0,N(K4148)&lt;J4148),OR(M4148="PENDENTE",M4148="PARCIAL"),OR(N4148="PENDENTE",N4148="PARCIAL")),1,0))</f>
        <v/>
      </c>
      <c r="W4148" s="8">
        <f>IF(AND(V4148=1,D4148&lt;&gt;""),IF(D4148&gt;=corte,(B4148="CRÍTICO")*1E9+(100000-D4148)*10000+10000-ROW(),""),"")</f>
        <v/>
      </c>
      <c r="X4148" s="8">
        <f>IF(AND(V4148=1,D4148=pas_data,E4148=pas_turno),10000-ROW(),"")</f>
        <v/>
      </c>
    </row>
    <row r="4149">
      <c r="A4149" s="3">
        <f>IF(D4149="","","TT-"&amp;TEXT(ROW()-1,"00000"))</f>
        <v/>
      </c>
      <c r="B4149" s="3">
        <f>IF(D4149="","",IF(V4149=0,"CONCLUÍDO",IF(D4149&lt;corte,"HISTÓRICO",IF(OR(AND(ISNUMBER(R4149),R4149&lt;TODAY()),AND(OR(N4149="PENDENTE",N4149="PARCIAL"),D4149&lt;TODAY()-1)),"CRÍTICO",IF(OR(AND(P4149&lt;&gt;"",S4149=""),AND(N4149="REALIZADO",M4149="PENDENTE"),AND(ISNUMBER(R4149),R4149=TODAY())),"ATENÇÃO",IF(N(K4149)=0,"PENDENTE","EM ANDAMENTO"))))))</f>
        <v/>
      </c>
      <c r="C4149" s="3">
        <f>IF(D4149="","",IF(V4149=0,"🟢 OK",IF(D4149&lt;corte,"⚪ HISTÓRICO (sem baixa)",IF(AND(ISNUMBER(R4149),R4149&lt;TODAY()),"🔴 PRAZO VENCIDO",IF(AND(OR(N4149="PENDENTE",N4149="PARCIAL"),D4149&lt;TODAY()-1),"🔴 EMBARQUE ATRASADO",IF(AND(N4149="REALIZADO",M4149="PENDENTE"),"🟡 EMBARCADO SEM FATURAR",IF(AND(P4149&lt;&gt;"",S4149="",OR(Q4149="",R4149="")),"🟡 PENDÊNCIA SEM RESPONSÁVEL/PRAZO",IF(AND(ISNUMBER(R4149),R4149=TODAY()),"🟡 VENCE HOJE",IF(AND(P4149&lt;&gt;"",S4149=""),"🟡 PENDÊNCIA ABERTA",IF(AND(N(J4149)&gt;0,N(K4149)&lt;J4149),"🟡 FALTA EXECUTAR",IF(OR(M4149="PENDENTE",M4149="PARCIAL"),"🟡 FATURAMENTO PENDENTE","🟡 EMBARQUE PENDENTE")))))))))))</f>
        <v/>
      </c>
      <c r="D4149" s="4" t="n"/>
      <c r="E4149" s="5" t="n"/>
      <c r="F4149" s="5" t="n"/>
      <c r="G4149" s="5" t="n"/>
      <c r="H4149" s="5" t="n"/>
      <c r="I4149" s="5" t="n"/>
      <c r="J4149" s="6" t="n"/>
      <c r="K4149" s="6" t="n"/>
      <c r="L4149" s="7">
        <f>IF(OR(D4149="",N(J4149)=0),"",MIN(1,N(K4149)/J4149))</f>
        <v/>
      </c>
      <c r="M4149" s="5" t="n"/>
      <c r="N4149" s="5" t="n"/>
      <c r="O4149" s="5" t="n"/>
      <c r="P4149" s="5" t="n"/>
      <c r="Q4149" s="5" t="n"/>
      <c r="R4149" s="4" t="n"/>
      <c r="S4149" s="4" t="n"/>
      <c r="T4149" s="5" t="n"/>
      <c r="U4149" s="8">
        <f>IF(AND(V4149=1,D4149&lt;&gt;""),IF(D4149&gt;=corte,TODAY()-D4149,""),"")</f>
        <v/>
      </c>
      <c r="V4149" s="8">
        <f>IF(D4149="",0,IF(OR(AND(P4149&lt;&gt;"",S4149=""),AND(N(J4149)&gt;0,N(K4149)&lt;J4149),OR(M4149="PENDENTE",M4149="PARCIAL"),OR(N4149="PENDENTE",N4149="PARCIAL")),1,0))</f>
        <v/>
      </c>
      <c r="W4149" s="8">
        <f>IF(AND(V4149=1,D4149&lt;&gt;""),IF(D4149&gt;=corte,(B4149="CRÍTICO")*1E9+(100000-D4149)*10000+10000-ROW(),""),"")</f>
        <v/>
      </c>
      <c r="X4149" s="8">
        <f>IF(AND(V4149=1,D4149=pas_data,E4149=pas_turno),10000-ROW(),"")</f>
        <v/>
      </c>
    </row>
    <row r="4150">
      <c r="A4150" s="3">
        <f>IF(D4150="","","TT-"&amp;TEXT(ROW()-1,"00000"))</f>
        <v/>
      </c>
      <c r="B4150" s="3">
        <f>IF(D4150="","",IF(V4150=0,"CONCLUÍDO",IF(D4150&lt;corte,"HISTÓRICO",IF(OR(AND(ISNUMBER(R4150),R4150&lt;TODAY()),AND(OR(N4150="PENDENTE",N4150="PARCIAL"),D4150&lt;TODAY()-1)),"CRÍTICO",IF(OR(AND(P4150&lt;&gt;"",S4150=""),AND(N4150="REALIZADO",M4150="PENDENTE"),AND(ISNUMBER(R4150),R4150=TODAY())),"ATENÇÃO",IF(N(K4150)=0,"PENDENTE","EM ANDAMENTO"))))))</f>
        <v/>
      </c>
      <c r="C4150" s="3">
        <f>IF(D4150="","",IF(V4150=0,"🟢 OK",IF(D4150&lt;corte,"⚪ HISTÓRICO (sem baixa)",IF(AND(ISNUMBER(R4150),R4150&lt;TODAY()),"🔴 PRAZO VENCIDO",IF(AND(OR(N4150="PENDENTE",N4150="PARCIAL"),D4150&lt;TODAY()-1),"🔴 EMBARQUE ATRASADO",IF(AND(N4150="REALIZADO",M4150="PENDENTE"),"🟡 EMBARCADO SEM FATURAR",IF(AND(P4150&lt;&gt;"",S4150="",OR(Q4150="",R4150="")),"🟡 PENDÊNCIA SEM RESPONSÁVEL/PRAZO",IF(AND(ISNUMBER(R4150),R4150=TODAY()),"🟡 VENCE HOJE",IF(AND(P4150&lt;&gt;"",S4150=""),"🟡 PENDÊNCIA ABERTA",IF(AND(N(J4150)&gt;0,N(K4150)&lt;J4150),"🟡 FALTA EXECUTAR",IF(OR(M4150="PENDENTE",M4150="PARCIAL"),"🟡 FATURAMENTO PENDENTE","🟡 EMBARQUE PENDENTE")))))))))))</f>
        <v/>
      </c>
      <c r="D4150" s="4" t="n"/>
      <c r="E4150" s="5" t="n"/>
      <c r="F4150" s="5" t="n"/>
      <c r="G4150" s="5" t="n"/>
      <c r="H4150" s="5" t="n"/>
      <c r="I4150" s="5" t="n"/>
      <c r="J4150" s="6" t="n"/>
      <c r="K4150" s="6" t="n"/>
      <c r="L4150" s="7">
        <f>IF(OR(D4150="",N(J4150)=0),"",MIN(1,N(K4150)/J4150))</f>
        <v/>
      </c>
      <c r="M4150" s="5" t="n"/>
      <c r="N4150" s="5" t="n"/>
      <c r="O4150" s="5" t="n"/>
      <c r="P4150" s="5" t="n"/>
      <c r="Q4150" s="5" t="n"/>
      <c r="R4150" s="4" t="n"/>
      <c r="S4150" s="4" t="n"/>
      <c r="T4150" s="5" t="n"/>
      <c r="U4150" s="8">
        <f>IF(AND(V4150=1,D4150&lt;&gt;""),IF(D4150&gt;=corte,TODAY()-D4150,""),"")</f>
        <v/>
      </c>
      <c r="V4150" s="8">
        <f>IF(D4150="",0,IF(OR(AND(P4150&lt;&gt;"",S4150=""),AND(N(J4150)&gt;0,N(K4150)&lt;J4150),OR(M4150="PENDENTE",M4150="PARCIAL"),OR(N4150="PENDENTE",N4150="PARCIAL")),1,0))</f>
        <v/>
      </c>
      <c r="W4150" s="8">
        <f>IF(AND(V4150=1,D4150&lt;&gt;""),IF(D4150&gt;=corte,(B4150="CRÍTICO")*1E9+(100000-D4150)*10000+10000-ROW(),""),"")</f>
        <v/>
      </c>
      <c r="X4150" s="8">
        <f>IF(AND(V4150=1,D4150=pas_data,E4150=pas_turno),10000-ROW(),"")</f>
        <v/>
      </c>
    </row>
    <row r="4151">
      <c r="A4151" s="3">
        <f>IF(D4151="","","TT-"&amp;TEXT(ROW()-1,"00000"))</f>
        <v/>
      </c>
      <c r="B4151" s="3">
        <f>IF(D4151="","",IF(V4151=0,"CONCLUÍDO",IF(D4151&lt;corte,"HISTÓRICO",IF(OR(AND(ISNUMBER(R4151),R4151&lt;TODAY()),AND(OR(N4151="PENDENTE",N4151="PARCIAL"),D4151&lt;TODAY()-1)),"CRÍTICO",IF(OR(AND(P4151&lt;&gt;"",S4151=""),AND(N4151="REALIZADO",M4151="PENDENTE"),AND(ISNUMBER(R4151),R4151=TODAY())),"ATENÇÃO",IF(N(K4151)=0,"PENDENTE","EM ANDAMENTO"))))))</f>
        <v/>
      </c>
      <c r="C4151" s="3">
        <f>IF(D4151="","",IF(V4151=0,"🟢 OK",IF(D4151&lt;corte,"⚪ HISTÓRICO (sem baixa)",IF(AND(ISNUMBER(R4151),R4151&lt;TODAY()),"🔴 PRAZO VENCIDO",IF(AND(OR(N4151="PENDENTE",N4151="PARCIAL"),D4151&lt;TODAY()-1),"🔴 EMBARQUE ATRASADO",IF(AND(N4151="REALIZADO",M4151="PENDENTE"),"🟡 EMBARCADO SEM FATURAR",IF(AND(P4151&lt;&gt;"",S4151="",OR(Q4151="",R4151="")),"🟡 PENDÊNCIA SEM RESPONSÁVEL/PRAZO",IF(AND(ISNUMBER(R4151),R4151=TODAY()),"🟡 VENCE HOJE",IF(AND(P4151&lt;&gt;"",S4151=""),"🟡 PENDÊNCIA ABERTA",IF(AND(N(J4151)&gt;0,N(K4151)&lt;J4151),"🟡 FALTA EXECUTAR",IF(OR(M4151="PENDENTE",M4151="PARCIAL"),"🟡 FATURAMENTO PENDENTE","🟡 EMBARQUE PENDENTE")))))))))))</f>
        <v/>
      </c>
      <c r="D4151" s="4" t="n"/>
      <c r="E4151" s="5" t="n"/>
      <c r="F4151" s="5" t="n"/>
      <c r="G4151" s="5" t="n"/>
      <c r="H4151" s="5" t="n"/>
      <c r="I4151" s="5" t="n"/>
      <c r="J4151" s="6" t="n"/>
      <c r="K4151" s="6" t="n"/>
      <c r="L4151" s="7">
        <f>IF(OR(D4151="",N(J4151)=0),"",MIN(1,N(K4151)/J4151))</f>
        <v/>
      </c>
      <c r="M4151" s="5" t="n"/>
      <c r="N4151" s="5" t="n"/>
      <c r="O4151" s="5" t="n"/>
      <c r="P4151" s="5" t="n"/>
      <c r="Q4151" s="5" t="n"/>
      <c r="R4151" s="4" t="n"/>
      <c r="S4151" s="4" t="n"/>
      <c r="T4151" s="5" t="n"/>
      <c r="U4151" s="8">
        <f>IF(AND(V4151=1,D4151&lt;&gt;""),IF(D4151&gt;=corte,TODAY()-D4151,""),"")</f>
        <v/>
      </c>
      <c r="V4151" s="8">
        <f>IF(D4151="",0,IF(OR(AND(P4151&lt;&gt;"",S4151=""),AND(N(J4151)&gt;0,N(K4151)&lt;J4151),OR(M4151="PENDENTE",M4151="PARCIAL"),OR(N4151="PENDENTE",N4151="PARCIAL")),1,0))</f>
        <v/>
      </c>
      <c r="W4151" s="8">
        <f>IF(AND(V4151=1,D4151&lt;&gt;""),IF(D4151&gt;=corte,(B4151="CRÍTICO")*1E9+(100000-D4151)*10000+10000-ROW(),""),"")</f>
        <v/>
      </c>
      <c r="X4151" s="8">
        <f>IF(AND(V4151=1,D4151=pas_data,E4151=pas_turno),10000-ROW(),"")</f>
        <v/>
      </c>
    </row>
    <row r="4152">
      <c r="A4152" s="3">
        <f>IF(D4152="","","TT-"&amp;TEXT(ROW()-1,"00000"))</f>
        <v/>
      </c>
      <c r="B4152" s="3">
        <f>IF(D4152="","",IF(V4152=0,"CONCLUÍDO",IF(D4152&lt;corte,"HISTÓRICO",IF(OR(AND(ISNUMBER(R4152),R4152&lt;TODAY()),AND(OR(N4152="PENDENTE",N4152="PARCIAL"),D4152&lt;TODAY()-1)),"CRÍTICO",IF(OR(AND(P4152&lt;&gt;"",S4152=""),AND(N4152="REALIZADO",M4152="PENDENTE"),AND(ISNUMBER(R4152),R4152=TODAY())),"ATENÇÃO",IF(N(K4152)=0,"PENDENTE","EM ANDAMENTO"))))))</f>
        <v/>
      </c>
      <c r="C4152" s="3">
        <f>IF(D4152="","",IF(V4152=0,"🟢 OK",IF(D4152&lt;corte,"⚪ HISTÓRICO (sem baixa)",IF(AND(ISNUMBER(R4152),R4152&lt;TODAY()),"🔴 PRAZO VENCIDO",IF(AND(OR(N4152="PENDENTE",N4152="PARCIAL"),D4152&lt;TODAY()-1),"🔴 EMBARQUE ATRASADO",IF(AND(N4152="REALIZADO",M4152="PENDENTE"),"🟡 EMBARCADO SEM FATURAR",IF(AND(P4152&lt;&gt;"",S4152="",OR(Q4152="",R4152="")),"🟡 PENDÊNCIA SEM RESPONSÁVEL/PRAZO",IF(AND(ISNUMBER(R4152),R4152=TODAY()),"🟡 VENCE HOJE",IF(AND(P4152&lt;&gt;"",S4152=""),"🟡 PENDÊNCIA ABERTA",IF(AND(N(J4152)&gt;0,N(K4152)&lt;J4152),"🟡 FALTA EXECUTAR",IF(OR(M4152="PENDENTE",M4152="PARCIAL"),"🟡 FATURAMENTO PENDENTE","🟡 EMBARQUE PENDENTE")))))))))))</f>
        <v/>
      </c>
      <c r="D4152" s="4" t="n"/>
      <c r="E4152" s="5" t="n"/>
      <c r="F4152" s="5" t="n"/>
      <c r="G4152" s="5" t="n"/>
      <c r="H4152" s="5" t="n"/>
      <c r="I4152" s="5" t="n"/>
      <c r="J4152" s="6" t="n"/>
      <c r="K4152" s="6" t="n"/>
      <c r="L4152" s="7">
        <f>IF(OR(D4152="",N(J4152)=0),"",MIN(1,N(K4152)/J4152))</f>
        <v/>
      </c>
      <c r="M4152" s="5" t="n"/>
      <c r="N4152" s="5" t="n"/>
      <c r="O4152" s="5" t="n"/>
      <c r="P4152" s="5" t="n"/>
      <c r="Q4152" s="5" t="n"/>
      <c r="R4152" s="4" t="n"/>
      <c r="S4152" s="4" t="n"/>
      <c r="T4152" s="5" t="n"/>
      <c r="U4152" s="8">
        <f>IF(AND(V4152=1,D4152&lt;&gt;""),IF(D4152&gt;=corte,TODAY()-D4152,""),"")</f>
        <v/>
      </c>
      <c r="V4152" s="8">
        <f>IF(D4152="",0,IF(OR(AND(P4152&lt;&gt;"",S4152=""),AND(N(J4152)&gt;0,N(K4152)&lt;J4152),OR(M4152="PENDENTE",M4152="PARCIAL"),OR(N4152="PENDENTE",N4152="PARCIAL")),1,0))</f>
        <v/>
      </c>
      <c r="W4152" s="8">
        <f>IF(AND(V4152=1,D4152&lt;&gt;""),IF(D4152&gt;=corte,(B4152="CRÍTICO")*1E9+(100000-D4152)*10000+10000-ROW(),""),"")</f>
        <v/>
      </c>
      <c r="X4152" s="8">
        <f>IF(AND(V4152=1,D4152=pas_data,E4152=pas_turno),10000-ROW(),"")</f>
        <v/>
      </c>
    </row>
    <row r="4153">
      <c r="A4153" s="3">
        <f>IF(D4153="","","TT-"&amp;TEXT(ROW()-1,"00000"))</f>
        <v/>
      </c>
      <c r="B4153" s="3">
        <f>IF(D4153="","",IF(V4153=0,"CONCLUÍDO",IF(D4153&lt;corte,"HISTÓRICO",IF(OR(AND(ISNUMBER(R4153),R4153&lt;TODAY()),AND(OR(N4153="PENDENTE",N4153="PARCIAL"),D4153&lt;TODAY()-1)),"CRÍTICO",IF(OR(AND(P4153&lt;&gt;"",S4153=""),AND(N4153="REALIZADO",M4153="PENDENTE"),AND(ISNUMBER(R4153),R4153=TODAY())),"ATENÇÃO",IF(N(K4153)=0,"PENDENTE","EM ANDAMENTO"))))))</f>
        <v/>
      </c>
      <c r="C4153" s="3">
        <f>IF(D4153="","",IF(V4153=0,"🟢 OK",IF(D4153&lt;corte,"⚪ HISTÓRICO (sem baixa)",IF(AND(ISNUMBER(R4153),R4153&lt;TODAY()),"🔴 PRAZO VENCIDO",IF(AND(OR(N4153="PENDENTE",N4153="PARCIAL"),D4153&lt;TODAY()-1),"🔴 EMBARQUE ATRASADO",IF(AND(N4153="REALIZADO",M4153="PENDENTE"),"🟡 EMBARCADO SEM FATURAR",IF(AND(P4153&lt;&gt;"",S4153="",OR(Q4153="",R4153="")),"🟡 PENDÊNCIA SEM RESPONSÁVEL/PRAZO",IF(AND(ISNUMBER(R4153),R4153=TODAY()),"🟡 VENCE HOJE",IF(AND(P4153&lt;&gt;"",S4153=""),"🟡 PENDÊNCIA ABERTA",IF(AND(N(J4153)&gt;0,N(K4153)&lt;J4153),"🟡 FALTA EXECUTAR",IF(OR(M4153="PENDENTE",M4153="PARCIAL"),"🟡 FATURAMENTO PENDENTE","🟡 EMBARQUE PENDENTE")))))))))))</f>
        <v/>
      </c>
      <c r="D4153" s="4" t="n"/>
      <c r="E4153" s="5" t="n"/>
      <c r="F4153" s="5" t="n"/>
      <c r="G4153" s="5" t="n"/>
      <c r="H4153" s="5" t="n"/>
      <c r="I4153" s="5" t="n"/>
      <c r="J4153" s="6" t="n"/>
      <c r="K4153" s="6" t="n"/>
      <c r="L4153" s="7">
        <f>IF(OR(D4153="",N(J4153)=0),"",MIN(1,N(K4153)/J4153))</f>
        <v/>
      </c>
      <c r="M4153" s="5" t="n"/>
      <c r="N4153" s="5" t="n"/>
      <c r="O4153" s="5" t="n"/>
      <c r="P4153" s="5" t="n"/>
      <c r="Q4153" s="5" t="n"/>
      <c r="R4153" s="4" t="n"/>
      <c r="S4153" s="4" t="n"/>
      <c r="T4153" s="5" t="n"/>
      <c r="U4153" s="8">
        <f>IF(AND(V4153=1,D4153&lt;&gt;""),IF(D4153&gt;=corte,TODAY()-D4153,""),"")</f>
        <v/>
      </c>
      <c r="V4153" s="8">
        <f>IF(D4153="",0,IF(OR(AND(P4153&lt;&gt;"",S4153=""),AND(N(J4153)&gt;0,N(K4153)&lt;J4153),OR(M4153="PENDENTE",M4153="PARCIAL"),OR(N4153="PENDENTE",N4153="PARCIAL")),1,0))</f>
        <v/>
      </c>
      <c r="W4153" s="8">
        <f>IF(AND(V4153=1,D4153&lt;&gt;""),IF(D4153&gt;=corte,(B4153="CRÍTICO")*1E9+(100000-D4153)*10000+10000-ROW(),""),"")</f>
        <v/>
      </c>
      <c r="X4153" s="8">
        <f>IF(AND(V4153=1,D4153=pas_data,E4153=pas_turno),10000-ROW(),"")</f>
        <v/>
      </c>
    </row>
    <row r="4154">
      <c r="A4154" s="3">
        <f>IF(D4154="","","TT-"&amp;TEXT(ROW()-1,"00000"))</f>
        <v/>
      </c>
      <c r="B4154" s="3">
        <f>IF(D4154="","",IF(V4154=0,"CONCLUÍDO",IF(D4154&lt;corte,"HISTÓRICO",IF(OR(AND(ISNUMBER(R4154),R4154&lt;TODAY()),AND(OR(N4154="PENDENTE",N4154="PARCIAL"),D4154&lt;TODAY()-1)),"CRÍTICO",IF(OR(AND(P4154&lt;&gt;"",S4154=""),AND(N4154="REALIZADO",M4154="PENDENTE"),AND(ISNUMBER(R4154),R4154=TODAY())),"ATENÇÃO",IF(N(K4154)=0,"PENDENTE","EM ANDAMENTO"))))))</f>
        <v/>
      </c>
      <c r="C4154" s="3">
        <f>IF(D4154="","",IF(V4154=0,"🟢 OK",IF(D4154&lt;corte,"⚪ HISTÓRICO (sem baixa)",IF(AND(ISNUMBER(R4154),R4154&lt;TODAY()),"🔴 PRAZO VENCIDO",IF(AND(OR(N4154="PENDENTE",N4154="PARCIAL"),D4154&lt;TODAY()-1),"🔴 EMBARQUE ATRASADO",IF(AND(N4154="REALIZADO",M4154="PENDENTE"),"🟡 EMBARCADO SEM FATURAR",IF(AND(P4154&lt;&gt;"",S4154="",OR(Q4154="",R4154="")),"🟡 PENDÊNCIA SEM RESPONSÁVEL/PRAZO",IF(AND(ISNUMBER(R4154),R4154=TODAY()),"🟡 VENCE HOJE",IF(AND(P4154&lt;&gt;"",S4154=""),"🟡 PENDÊNCIA ABERTA",IF(AND(N(J4154)&gt;0,N(K4154)&lt;J4154),"🟡 FALTA EXECUTAR",IF(OR(M4154="PENDENTE",M4154="PARCIAL"),"🟡 FATURAMENTO PENDENTE","🟡 EMBARQUE PENDENTE")))))))))))</f>
        <v/>
      </c>
      <c r="D4154" s="4" t="n"/>
      <c r="E4154" s="5" t="n"/>
      <c r="F4154" s="5" t="n"/>
      <c r="G4154" s="5" t="n"/>
      <c r="H4154" s="5" t="n"/>
      <c r="I4154" s="5" t="n"/>
      <c r="J4154" s="6" t="n"/>
      <c r="K4154" s="6" t="n"/>
      <c r="L4154" s="7">
        <f>IF(OR(D4154="",N(J4154)=0),"",MIN(1,N(K4154)/J4154))</f>
        <v/>
      </c>
      <c r="M4154" s="5" t="n"/>
      <c r="N4154" s="5" t="n"/>
      <c r="O4154" s="5" t="n"/>
      <c r="P4154" s="5" t="n"/>
      <c r="Q4154" s="5" t="n"/>
      <c r="R4154" s="4" t="n"/>
      <c r="S4154" s="4" t="n"/>
      <c r="T4154" s="5" t="n"/>
      <c r="U4154" s="8">
        <f>IF(AND(V4154=1,D4154&lt;&gt;""),IF(D4154&gt;=corte,TODAY()-D4154,""),"")</f>
        <v/>
      </c>
      <c r="V4154" s="8">
        <f>IF(D4154="",0,IF(OR(AND(P4154&lt;&gt;"",S4154=""),AND(N(J4154)&gt;0,N(K4154)&lt;J4154),OR(M4154="PENDENTE",M4154="PARCIAL"),OR(N4154="PENDENTE",N4154="PARCIAL")),1,0))</f>
        <v/>
      </c>
      <c r="W4154" s="8">
        <f>IF(AND(V4154=1,D4154&lt;&gt;""),IF(D4154&gt;=corte,(B4154="CRÍTICO")*1E9+(100000-D4154)*10000+10000-ROW(),""),"")</f>
        <v/>
      </c>
      <c r="X4154" s="8">
        <f>IF(AND(V4154=1,D4154=pas_data,E4154=pas_turno),10000-ROW(),"")</f>
        <v/>
      </c>
    </row>
    <row r="4155">
      <c r="A4155" s="3">
        <f>IF(D4155="","","TT-"&amp;TEXT(ROW()-1,"00000"))</f>
        <v/>
      </c>
      <c r="B4155" s="3">
        <f>IF(D4155="","",IF(V4155=0,"CONCLUÍDO",IF(D4155&lt;corte,"HISTÓRICO",IF(OR(AND(ISNUMBER(R4155),R4155&lt;TODAY()),AND(OR(N4155="PENDENTE",N4155="PARCIAL"),D4155&lt;TODAY()-1)),"CRÍTICO",IF(OR(AND(P4155&lt;&gt;"",S4155=""),AND(N4155="REALIZADO",M4155="PENDENTE"),AND(ISNUMBER(R4155),R4155=TODAY())),"ATENÇÃO",IF(N(K4155)=0,"PENDENTE","EM ANDAMENTO"))))))</f>
        <v/>
      </c>
      <c r="C4155" s="3">
        <f>IF(D4155="","",IF(V4155=0,"🟢 OK",IF(D4155&lt;corte,"⚪ HISTÓRICO (sem baixa)",IF(AND(ISNUMBER(R4155),R4155&lt;TODAY()),"🔴 PRAZO VENCIDO",IF(AND(OR(N4155="PENDENTE",N4155="PARCIAL"),D4155&lt;TODAY()-1),"🔴 EMBARQUE ATRASADO",IF(AND(N4155="REALIZADO",M4155="PENDENTE"),"🟡 EMBARCADO SEM FATURAR",IF(AND(P4155&lt;&gt;"",S4155="",OR(Q4155="",R4155="")),"🟡 PENDÊNCIA SEM RESPONSÁVEL/PRAZO",IF(AND(ISNUMBER(R4155),R4155=TODAY()),"🟡 VENCE HOJE",IF(AND(P4155&lt;&gt;"",S4155=""),"🟡 PENDÊNCIA ABERTA",IF(AND(N(J4155)&gt;0,N(K4155)&lt;J4155),"🟡 FALTA EXECUTAR",IF(OR(M4155="PENDENTE",M4155="PARCIAL"),"🟡 FATURAMENTO PENDENTE","🟡 EMBARQUE PENDENTE")))))))))))</f>
        <v/>
      </c>
      <c r="D4155" s="4" t="n"/>
      <c r="E4155" s="5" t="n"/>
      <c r="F4155" s="5" t="n"/>
      <c r="G4155" s="5" t="n"/>
      <c r="H4155" s="5" t="n"/>
      <c r="I4155" s="5" t="n"/>
      <c r="J4155" s="6" t="n"/>
      <c r="K4155" s="6" t="n"/>
      <c r="L4155" s="7">
        <f>IF(OR(D4155="",N(J4155)=0),"",MIN(1,N(K4155)/J4155))</f>
        <v/>
      </c>
      <c r="M4155" s="5" t="n"/>
      <c r="N4155" s="5" t="n"/>
      <c r="O4155" s="5" t="n"/>
      <c r="P4155" s="5" t="n"/>
      <c r="Q4155" s="5" t="n"/>
      <c r="R4155" s="4" t="n"/>
      <c r="S4155" s="4" t="n"/>
      <c r="T4155" s="5" t="n"/>
      <c r="U4155" s="8">
        <f>IF(AND(V4155=1,D4155&lt;&gt;""),IF(D4155&gt;=corte,TODAY()-D4155,""),"")</f>
        <v/>
      </c>
      <c r="V4155" s="8">
        <f>IF(D4155="",0,IF(OR(AND(P4155&lt;&gt;"",S4155=""),AND(N(J4155)&gt;0,N(K4155)&lt;J4155),OR(M4155="PENDENTE",M4155="PARCIAL"),OR(N4155="PENDENTE",N4155="PARCIAL")),1,0))</f>
        <v/>
      </c>
      <c r="W4155" s="8">
        <f>IF(AND(V4155=1,D4155&lt;&gt;""),IF(D4155&gt;=corte,(B4155="CRÍTICO")*1E9+(100000-D4155)*10000+10000-ROW(),""),"")</f>
        <v/>
      </c>
      <c r="X4155" s="8">
        <f>IF(AND(V4155=1,D4155=pas_data,E4155=pas_turno),10000-ROW(),"")</f>
        <v/>
      </c>
    </row>
    <row r="4156">
      <c r="A4156" s="3">
        <f>IF(D4156="","","TT-"&amp;TEXT(ROW()-1,"00000"))</f>
        <v/>
      </c>
      <c r="B4156" s="3">
        <f>IF(D4156="","",IF(V4156=0,"CONCLUÍDO",IF(D4156&lt;corte,"HISTÓRICO",IF(OR(AND(ISNUMBER(R4156),R4156&lt;TODAY()),AND(OR(N4156="PENDENTE",N4156="PARCIAL"),D4156&lt;TODAY()-1)),"CRÍTICO",IF(OR(AND(P4156&lt;&gt;"",S4156=""),AND(N4156="REALIZADO",M4156="PENDENTE"),AND(ISNUMBER(R4156),R4156=TODAY())),"ATENÇÃO",IF(N(K4156)=0,"PENDENTE","EM ANDAMENTO"))))))</f>
        <v/>
      </c>
      <c r="C4156" s="3">
        <f>IF(D4156="","",IF(V4156=0,"🟢 OK",IF(D4156&lt;corte,"⚪ HISTÓRICO (sem baixa)",IF(AND(ISNUMBER(R4156),R4156&lt;TODAY()),"🔴 PRAZO VENCIDO",IF(AND(OR(N4156="PENDENTE",N4156="PARCIAL"),D4156&lt;TODAY()-1),"🔴 EMBARQUE ATRASADO",IF(AND(N4156="REALIZADO",M4156="PENDENTE"),"🟡 EMBARCADO SEM FATURAR",IF(AND(P4156&lt;&gt;"",S4156="",OR(Q4156="",R4156="")),"🟡 PENDÊNCIA SEM RESPONSÁVEL/PRAZO",IF(AND(ISNUMBER(R4156),R4156=TODAY()),"🟡 VENCE HOJE",IF(AND(P4156&lt;&gt;"",S4156=""),"🟡 PENDÊNCIA ABERTA",IF(AND(N(J4156)&gt;0,N(K4156)&lt;J4156),"🟡 FALTA EXECUTAR",IF(OR(M4156="PENDENTE",M4156="PARCIAL"),"🟡 FATURAMENTO PENDENTE","🟡 EMBARQUE PENDENTE")))))))))))</f>
        <v/>
      </c>
      <c r="D4156" s="4" t="n"/>
      <c r="E4156" s="5" t="n"/>
      <c r="F4156" s="5" t="n"/>
      <c r="G4156" s="5" t="n"/>
      <c r="H4156" s="5" t="n"/>
      <c r="I4156" s="5" t="n"/>
      <c r="J4156" s="6" t="n"/>
      <c r="K4156" s="6" t="n"/>
      <c r="L4156" s="7">
        <f>IF(OR(D4156="",N(J4156)=0),"",MIN(1,N(K4156)/J4156))</f>
        <v/>
      </c>
      <c r="M4156" s="5" t="n"/>
      <c r="N4156" s="5" t="n"/>
      <c r="O4156" s="5" t="n"/>
      <c r="P4156" s="5" t="n"/>
      <c r="Q4156" s="5" t="n"/>
      <c r="R4156" s="4" t="n"/>
      <c r="S4156" s="4" t="n"/>
      <c r="T4156" s="5" t="n"/>
      <c r="U4156" s="8">
        <f>IF(AND(V4156=1,D4156&lt;&gt;""),IF(D4156&gt;=corte,TODAY()-D4156,""),"")</f>
        <v/>
      </c>
      <c r="V4156" s="8">
        <f>IF(D4156="",0,IF(OR(AND(P4156&lt;&gt;"",S4156=""),AND(N(J4156)&gt;0,N(K4156)&lt;J4156),OR(M4156="PENDENTE",M4156="PARCIAL"),OR(N4156="PENDENTE",N4156="PARCIAL")),1,0))</f>
        <v/>
      </c>
      <c r="W4156" s="8">
        <f>IF(AND(V4156=1,D4156&lt;&gt;""),IF(D4156&gt;=corte,(B4156="CRÍTICO")*1E9+(100000-D4156)*10000+10000-ROW(),""),"")</f>
        <v/>
      </c>
      <c r="X4156" s="8">
        <f>IF(AND(V4156=1,D4156=pas_data,E4156=pas_turno),10000-ROW(),"")</f>
        <v/>
      </c>
    </row>
    <row r="4157">
      <c r="A4157" s="3">
        <f>IF(D4157="","","TT-"&amp;TEXT(ROW()-1,"00000"))</f>
        <v/>
      </c>
      <c r="B4157" s="3">
        <f>IF(D4157="","",IF(V4157=0,"CONCLUÍDO",IF(D4157&lt;corte,"HISTÓRICO",IF(OR(AND(ISNUMBER(R4157),R4157&lt;TODAY()),AND(OR(N4157="PENDENTE",N4157="PARCIAL"),D4157&lt;TODAY()-1)),"CRÍTICO",IF(OR(AND(P4157&lt;&gt;"",S4157=""),AND(N4157="REALIZADO",M4157="PENDENTE"),AND(ISNUMBER(R4157),R4157=TODAY())),"ATENÇÃO",IF(N(K4157)=0,"PENDENTE","EM ANDAMENTO"))))))</f>
        <v/>
      </c>
      <c r="C4157" s="3">
        <f>IF(D4157="","",IF(V4157=0,"🟢 OK",IF(D4157&lt;corte,"⚪ HISTÓRICO (sem baixa)",IF(AND(ISNUMBER(R4157),R4157&lt;TODAY()),"🔴 PRAZO VENCIDO",IF(AND(OR(N4157="PENDENTE",N4157="PARCIAL"),D4157&lt;TODAY()-1),"🔴 EMBARQUE ATRASADO",IF(AND(N4157="REALIZADO",M4157="PENDENTE"),"🟡 EMBARCADO SEM FATURAR",IF(AND(P4157&lt;&gt;"",S4157="",OR(Q4157="",R4157="")),"🟡 PENDÊNCIA SEM RESPONSÁVEL/PRAZO",IF(AND(ISNUMBER(R4157),R4157=TODAY()),"🟡 VENCE HOJE",IF(AND(P4157&lt;&gt;"",S4157=""),"🟡 PENDÊNCIA ABERTA",IF(AND(N(J4157)&gt;0,N(K4157)&lt;J4157),"🟡 FALTA EXECUTAR",IF(OR(M4157="PENDENTE",M4157="PARCIAL"),"🟡 FATURAMENTO PENDENTE","🟡 EMBARQUE PENDENTE")))))))))))</f>
        <v/>
      </c>
      <c r="D4157" s="4" t="n"/>
      <c r="E4157" s="5" t="n"/>
      <c r="F4157" s="5" t="n"/>
      <c r="G4157" s="5" t="n"/>
      <c r="H4157" s="5" t="n"/>
      <c r="I4157" s="5" t="n"/>
      <c r="J4157" s="6" t="n"/>
      <c r="K4157" s="6" t="n"/>
      <c r="L4157" s="7">
        <f>IF(OR(D4157="",N(J4157)=0),"",MIN(1,N(K4157)/J4157))</f>
        <v/>
      </c>
      <c r="M4157" s="5" t="n"/>
      <c r="N4157" s="5" t="n"/>
      <c r="O4157" s="5" t="n"/>
      <c r="P4157" s="5" t="n"/>
      <c r="Q4157" s="5" t="n"/>
      <c r="R4157" s="4" t="n"/>
      <c r="S4157" s="4" t="n"/>
      <c r="T4157" s="5" t="n"/>
      <c r="U4157" s="8">
        <f>IF(AND(V4157=1,D4157&lt;&gt;""),IF(D4157&gt;=corte,TODAY()-D4157,""),"")</f>
        <v/>
      </c>
      <c r="V4157" s="8">
        <f>IF(D4157="",0,IF(OR(AND(P4157&lt;&gt;"",S4157=""),AND(N(J4157)&gt;0,N(K4157)&lt;J4157),OR(M4157="PENDENTE",M4157="PARCIAL"),OR(N4157="PENDENTE",N4157="PARCIAL")),1,0))</f>
        <v/>
      </c>
      <c r="W4157" s="8">
        <f>IF(AND(V4157=1,D4157&lt;&gt;""),IF(D4157&gt;=corte,(B4157="CRÍTICO")*1E9+(100000-D4157)*10000+10000-ROW(),""),"")</f>
        <v/>
      </c>
      <c r="X4157" s="8">
        <f>IF(AND(V4157=1,D4157=pas_data,E4157=pas_turno),10000-ROW(),"")</f>
        <v/>
      </c>
    </row>
    <row r="4158">
      <c r="A4158" s="3">
        <f>IF(D4158="","","TT-"&amp;TEXT(ROW()-1,"00000"))</f>
        <v/>
      </c>
      <c r="B4158" s="3">
        <f>IF(D4158="","",IF(V4158=0,"CONCLUÍDO",IF(D4158&lt;corte,"HISTÓRICO",IF(OR(AND(ISNUMBER(R4158),R4158&lt;TODAY()),AND(OR(N4158="PENDENTE",N4158="PARCIAL"),D4158&lt;TODAY()-1)),"CRÍTICO",IF(OR(AND(P4158&lt;&gt;"",S4158=""),AND(N4158="REALIZADO",M4158="PENDENTE"),AND(ISNUMBER(R4158),R4158=TODAY())),"ATENÇÃO",IF(N(K4158)=0,"PENDENTE","EM ANDAMENTO"))))))</f>
        <v/>
      </c>
      <c r="C4158" s="3">
        <f>IF(D4158="","",IF(V4158=0,"🟢 OK",IF(D4158&lt;corte,"⚪ HISTÓRICO (sem baixa)",IF(AND(ISNUMBER(R4158),R4158&lt;TODAY()),"🔴 PRAZO VENCIDO",IF(AND(OR(N4158="PENDENTE",N4158="PARCIAL"),D4158&lt;TODAY()-1),"🔴 EMBARQUE ATRASADO",IF(AND(N4158="REALIZADO",M4158="PENDENTE"),"🟡 EMBARCADO SEM FATURAR",IF(AND(P4158&lt;&gt;"",S4158="",OR(Q4158="",R4158="")),"🟡 PENDÊNCIA SEM RESPONSÁVEL/PRAZO",IF(AND(ISNUMBER(R4158),R4158=TODAY()),"🟡 VENCE HOJE",IF(AND(P4158&lt;&gt;"",S4158=""),"🟡 PENDÊNCIA ABERTA",IF(AND(N(J4158)&gt;0,N(K4158)&lt;J4158),"🟡 FALTA EXECUTAR",IF(OR(M4158="PENDENTE",M4158="PARCIAL"),"🟡 FATURAMENTO PENDENTE","🟡 EMBARQUE PENDENTE")))))))))))</f>
        <v/>
      </c>
      <c r="D4158" s="4" t="n"/>
      <c r="E4158" s="5" t="n"/>
      <c r="F4158" s="5" t="n"/>
      <c r="G4158" s="5" t="n"/>
      <c r="H4158" s="5" t="n"/>
      <c r="I4158" s="5" t="n"/>
      <c r="J4158" s="6" t="n"/>
      <c r="K4158" s="6" t="n"/>
      <c r="L4158" s="7">
        <f>IF(OR(D4158="",N(J4158)=0),"",MIN(1,N(K4158)/J4158))</f>
        <v/>
      </c>
      <c r="M4158" s="5" t="n"/>
      <c r="N4158" s="5" t="n"/>
      <c r="O4158" s="5" t="n"/>
      <c r="P4158" s="5" t="n"/>
      <c r="Q4158" s="5" t="n"/>
      <c r="R4158" s="4" t="n"/>
      <c r="S4158" s="4" t="n"/>
      <c r="T4158" s="5" t="n"/>
      <c r="U4158" s="8">
        <f>IF(AND(V4158=1,D4158&lt;&gt;""),IF(D4158&gt;=corte,TODAY()-D4158,""),"")</f>
        <v/>
      </c>
      <c r="V4158" s="8">
        <f>IF(D4158="",0,IF(OR(AND(P4158&lt;&gt;"",S4158=""),AND(N(J4158)&gt;0,N(K4158)&lt;J4158),OR(M4158="PENDENTE",M4158="PARCIAL"),OR(N4158="PENDENTE",N4158="PARCIAL")),1,0))</f>
        <v/>
      </c>
      <c r="W4158" s="8">
        <f>IF(AND(V4158=1,D4158&lt;&gt;""),IF(D4158&gt;=corte,(B4158="CRÍTICO")*1E9+(100000-D4158)*10000+10000-ROW(),""),"")</f>
        <v/>
      </c>
      <c r="X4158" s="8">
        <f>IF(AND(V4158=1,D4158=pas_data,E4158=pas_turno),10000-ROW(),"")</f>
        <v/>
      </c>
    </row>
    <row r="4159">
      <c r="A4159" s="3">
        <f>IF(D4159="","","TT-"&amp;TEXT(ROW()-1,"00000"))</f>
        <v/>
      </c>
      <c r="B4159" s="3">
        <f>IF(D4159="","",IF(V4159=0,"CONCLUÍDO",IF(D4159&lt;corte,"HISTÓRICO",IF(OR(AND(ISNUMBER(R4159),R4159&lt;TODAY()),AND(OR(N4159="PENDENTE",N4159="PARCIAL"),D4159&lt;TODAY()-1)),"CRÍTICO",IF(OR(AND(P4159&lt;&gt;"",S4159=""),AND(N4159="REALIZADO",M4159="PENDENTE"),AND(ISNUMBER(R4159),R4159=TODAY())),"ATENÇÃO",IF(N(K4159)=0,"PENDENTE","EM ANDAMENTO"))))))</f>
        <v/>
      </c>
      <c r="C4159" s="3">
        <f>IF(D4159="","",IF(V4159=0,"🟢 OK",IF(D4159&lt;corte,"⚪ HISTÓRICO (sem baixa)",IF(AND(ISNUMBER(R4159),R4159&lt;TODAY()),"🔴 PRAZO VENCIDO",IF(AND(OR(N4159="PENDENTE",N4159="PARCIAL"),D4159&lt;TODAY()-1),"🔴 EMBARQUE ATRASADO",IF(AND(N4159="REALIZADO",M4159="PENDENTE"),"🟡 EMBARCADO SEM FATURAR",IF(AND(P4159&lt;&gt;"",S4159="",OR(Q4159="",R4159="")),"🟡 PENDÊNCIA SEM RESPONSÁVEL/PRAZO",IF(AND(ISNUMBER(R4159),R4159=TODAY()),"🟡 VENCE HOJE",IF(AND(P4159&lt;&gt;"",S4159=""),"🟡 PENDÊNCIA ABERTA",IF(AND(N(J4159)&gt;0,N(K4159)&lt;J4159),"🟡 FALTA EXECUTAR",IF(OR(M4159="PENDENTE",M4159="PARCIAL"),"🟡 FATURAMENTO PENDENTE","🟡 EMBARQUE PENDENTE")))))))))))</f>
        <v/>
      </c>
      <c r="D4159" s="4" t="n"/>
      <c r="E4159" s="5" t="n"/>
      <c r="F4159" s="5" t="n"/>
      <c r="G4159" s="5" t="n"/>
      <c r="H4159" s="5" t="n"/>
      <c r="I4159" s="5" t="n"/>
      <c r="J4159" s="6" t="n"/>
      <c r="K4159" s="6" t="n"/>
      <c r="L4159" s="7">
        <f>IF(OR(D4159="",N(J4159)=0),"",MIN(1,N(K4159)/J4159))</f>
        <v/>
      </c>
      <c r="M4159" s="5" t="n"/>
      <c r="N4159" s="5" t="n"/>
      <c r="O4159" s="5" t="n"/>
      <c r="P4159" s="5" t="n"/>
      <c r="Q4159" s="5" t="n"/>
      <c r="R4159" s="4" t="n"/>
      <c r="S4159" s="4" t="n"/>
      <c r="T4159" s="5" t="n"/>
      <c r="U4159" s="8">
        <f>IF(AND(V4159=1,D4159&lt;&gt;""),IF(D4159&gt;=corte,TODAY()-D4159,""),"")</f>
        <v/>
      </c>
      <c r="V4159" s="8">
        <f>IF(D4159="",0,IF(OR(AND(P4159&lt;&gt;"",S4159=""),AND(N(J4159)&gt;0,N(K4159)&lt;J4159),OR(M4159="PENDENTE",M4159="PARCIAL"),OR(N4159="PENDENTE",N4159="PARCIAL")),1,0))</f>
        <v/>
      </c>
      <c r="W4159" s="8">
        <f>IF(AND(V4159=1,D4159&lt;&gt;""),IF(D4159&gt;=corte,(B4159="CRÍTICO")*1E9+(100000-D4159)*10000+10000-ROW(),""),"")</f>
        <v/>
      </c>
      <c r="X4159" s="8">
        <f>IF(AND(V4159=1,D4159=pas_data,E4159=pas_turno),10000-ROW(),"")</f>
        <v/>
      </c>
    </row>
    <row r="4160">
      <c r="A4160" s="3">
        <f>IF(D4160="","","TT-"&amp;TEXT(ROW()-1,"00000"))</f>
        <v/>
      </c>
      <c r="B4160" s="3">
        <f>IF(D4160="","",IF(V4160=0,"CONCLUÍDO",IF(D4160&lt;corte,"HISTÓRICO",IF(OR(AND(ISNUMBER(R4160),R4160&lt;TODAY()),AND(OR(N4160="PENDENTE",N4160="PARCIAL"),D4160&lt;TODAY()-1)),"CRÍTICO",IF(OR(AND(P4160&lt;&gt;"",S4160=""),AND(N4160="REALIZADO",M4160="PENDENTE"),AND(ISNUMBER(R4160),R4160=TODAY())),"ATENÇÃO",IF(N(K4160)=0,"PENDENTE","EM ANDAMENTO"))))))</f>
        <v/>
      </c>
      <c r="C4160" s="3">
        <f>IF(D4160="","",IF(V4160=0,"🟢 OK",IF(D4160&lt;corte,"⚪ HISTÓRICO (sem baixa)",IF(AND(ISNUMBER(R4160),R4160&lt;TODAY()),"🔴 PRAZO VENCIDO",IF(AND(OR(N4160="PENDENTE",N4160="PARCIAL"),D4160&lt;TODAY()-1),"🔴 EMBARQUE ATRASADO",IF(AND(N4160="REALIZADO",M4160="PENDENTE"),"🟡 EMBARCADO SEM FATURAR",IF(AND(P4160&lt;&gt;"",S4160="",OR(Q4160="",R4160="")),"🟡 PENDÊNCIA SEM RESPONSÁVEL/PRAZO",IF(AND(ISNUMBER(R4160),R4160=TODAY()),"🟡 VENCE HOJE",IF(AND(P4160&lt;&gt;"",S4160=""),"🟡 PENDÊNCIA ABERTA",IF(AND(N(J4160)&gt;0,N(K4160)&lt;J4160),"🟡 FALTA EXECUTAR",IF(OR(M4160="PENDENTE",M4160="PARCIAL"),"🟡 FATURAMENTO PENDENTE","🟡 EMBARQUE PENDENTE")))))))))))</f>
        <v/>
      </c>
      <c r="D4160" s="4" t="n"/>
      <c r="E4160" s="5" t="n"/>
      <c r="F4160" s="5" t="n"/>
      <c r="G4160" s="5" t="n"/>
      <c r="H4160" s="5" t="n"/>
      <c r="I4160" s="5" t="n"/>
      <c r="J4160" s="6" t="n"/>
      <c r="K4160" s="6" t="n"/>
      <c r="L4160" s="7">
        <f>IF(OR(D4160="",N(J4160)=0),"",MIN(1,N(K4160)/J4160))</f>
        <v/>
      </c>
      <c r="M4160" s="5" t="n"/>
      <c r="N4160" s="5" t="n"/>
      <c r="O4160" s="5" t="n"/>
      <c r="P4160" s="5" t="n"/>
      <c r="Q4160" s="5" t="n"/>
      <c r="R4160" s="4" t="n"/>
      <c r="S4160" s="4" t="n"/>
      <c r="T4160" s="5" t="n"/>
      <c r="U4160" s="8">
        <f>IF(AND(V4160=1,D4160&lt;&gt;""),IF(D4160&gt;=corte,TODAY()-D4160,""),"")</f>
        <v/>
      </c>
      <c r="V4160" s="8">
        <f>IF(D4160="",0,IF(OR(AND(P4160&lt;&gt;"",S4160=""),AND(N(J4160)&gt;0,N(K4160)&lt;J4160),OR(M4160="PENDENTE",M4160="PARCIAL"),OR(N4160="PENDENTE",N4160="PARCIAL")),1,0))</f>
        <v/>
      </c>
      <c r="W4160" s="8">
        <f>IF(AND(V4160=1,D4160&lt;&gt;""),IF(D4160&gt;=corte,(B4160="CRÍTICO")*1E9+(100000-D4160)*10000+10000-ROW(),""),"")</f>
        <v/>
      </c>
      <c r="X4160" s="8">
        <f>IF(AND(V4160=1,D4160=pas_data,E4160=pas_turno),10000-ROW(),"")</f>
        <v/>
      </c>
    </row>
    <row r="4161">
      <c r="A4161" s="3">
        <f>IF(D4161="","","TT-"&amp;TEXT(ROW()-1,"00000"))</f>
        <v/>
      </c>
      <c r="B4161" s="3">
        <f>IF(D4161="","",IF(V4161=0,"CONCLUÍDO",IF(D4161&lt;corte,"HISTÓRICO",IF(OR(AND(ISNUMBER(R4161),R4161&lt;TODAY()),AND(OR(N4161="PENDENTE",N4161="PARCIAL"),D4161&lt;TODAY()-1)),"CRÍTICO",IF(OR(AND(P4161&lt;&gt;"",S4161=""),AND(N4161="REALIZADO",M4161="PENDENTE"),AND(ISNUMBER(R4161),R4161=TODAY())),"ATENÇÃO",IF(N(K4161)=0,"PENDENTE","EM ANDAMENTO"))))))</f>
        <v/>
      </c>
      <c r="C4161" s="3">
        <f>IF(D4161="","",IF(V4161=0,"🟢 OK",IF(D4161&lt;corte,"⚪ HISTÓRICO (sem baixa)",IF(AND(ISNUMBER(R4161),R4161&lt;TODAY()),"🔴 PRAZO VENCIDO",IF(AND(OR(N4161="PENDENTE",N4161="PARCIAL"),D4161&lt;TODAY()-1),"🔴 EMBARQUE ATRASADO",IF(AND(N4161="REALIZADO",M4161="PENDENTE"),"🟡 EMBARCADO SEM FATURAR",IF(AND(P4161&lt;&gt;"",S4161="",OR(Q4161="",R4161="")),"🟡 PENDÊNCIA SEM RESPONSÁVEL/PRAZO",IF(AND(ISNUMBER(R4161),R4161=TODAY()),"🟡 VENCE HOJE",IF(AND(P4161&lt;&gt;"",S4161=""),"🟡 PENDÊNCIA ABERTA",IF(AND(N(J4161)&gt;0,N(K4161)&lt;J4161),"🟡 FALTA EXECUTAR",IF(OR(M4161="PENDENTE",M4161="PARCIAL"),"🟡 FATURAMENTO PENDENTE","🟡 EMBARQUE PENDENTE")))))))))))</f>
        <v/>
      </c>
      <c r="D4161" s="4" t="n"/>
      <c r="E4161" s="5" t="n"/>
      <c r="F4161" s="5" t="n"/>
      <c r="G4161" s="5" t="n"/>
      <c r="H4161" s="5" t="n"/>
      <c r="I4161" s="5" t="n"/>
      <c r="J4161" s="6" t="n"/>
      <c r="K4161" s="6" t="n"/>
      <c r="L4161" s="7">
        <f>IF(OR(D4161="",N(J4161)=0),"",MIN(1,N(K4161)/J4161))</f>
        <v/>
      </c>
      <c r="M4161" s="5" t="n"/>
      <c r="N4161" s="5" t="n"/>
      <c r="O4161" s="5" t="n"/>
      <c r="P4161" s="5" t="n"/>
      <c r="Q4161" s="5" t="n"/>
      <c r="R4161" s="4" t="n"/>
      <c r="S4161" s="4" t="n"/>
      <c r="T4161" s="5" t="n"/>
      <c r="U4161" s="8">
        <f>IF(AND(V4161=1,D4161&lt;&gt;""),IF(D4161&gt;=corte,TODAY()-D4161,""),"")</f>
        <v/>
      </c>
      <c r="V4161" s="8">
        <f>IF(D4161="",0,IF(OR(AND(P4161&lt;&gt;"",S4161=""),AND(N(J4161)&gt;0,N(K4161)&lt;J4161),OR(M4161="PENDENTE",M4161="PARCIAL"),OR(N4161="PENDENTE",N4161="PARCIAL")),1,0))</f>
        <v/>
      </c>
      <c r="W4161" s="8">
        <f>IF(AND(V4161=1,D4161&lt;&gt;""),IF(D4161&gt;=corte,(B4161="CRÍTICO")*1E9+(100000-D4161)*10000+10000-ROW(),""),"")</f>
        <v/>
      </c>
      <c r="X4161" s="8">
        <f>IF(AND(V4161=1,D4161=pas_data,E4161=pas_turno),10000-ROW(),"")</f>
        <v/>
      </c>
    </row>
    <row r="4162">
      <c r="A4162" s="3">
        <f>IF(D4162="","","TT-"&amp;TEXT(ROW()-1,"00000"))</f>
        <v/>
      </c>
      <c r="B4162" s="3">
        <f>IF(D4162="","",IF(V4162=0,"CONCLUÍDO",IF(D4162&lt;corte,"HISTÓRICO",IF(OR(AND(ISNUMBER(R4162),R4162&lt;TODAY()),AND(OR(N4162="PENDENTE",N4162="PARCIAL"),D4162&lt;TODAY()-1)),"CRÍTICO",IF(OR(AND(P4162&lt;&gt;"",S4162=""),AND(N4162="REALIZADO",M4162="PENDENTE"),AND(ISNUMBER(R4162),R4162=TODAY())),"ATENÇÃO",IF(N(K4162)=0,"PENDENTE","EM ANDAMENTO"))))))</f>
        <v/>
      </c>
      <c r="C4162" s="3">
        <f>IF(D4162="","",IF(V4162=0,"🟢 OK",IF(D4162&lt;corte,"⚪ HISTÓRICO (sem baixa)",IF(AND(ISNUMBER(R4162),R4162&lt;TODAY()),"🔴 PRAZO VENCIDO",IF(AND(OR(N4162="PENDENTE",N4162="PARCIAL"),D4162&lt;TODAY()-1),"🔴 EMBARQUE ATRASADO",IF(AND(N4162="REALIZADO",M4162="PENDENTE"),"🟡 EMBARCADO SEM FATURAR",IF(AND(P4162&lt;&gt;"",S4162="",OR(Q4162="",R4162="")),"🟡 PENDÊNCIA SEM RESPONSÁVEL/PRAZO",IF(AND(ISNUMBER(R4162),R4162=TODAY()),"🟡 VENCE HOJE",IF(AND(P4162&lt;&gt;"",S4162=""),"🟡 PENDÊNCIA ABERTA",IF(AND(N(J4162)&gt;0,N(K4162)&lt;J4162),"🟡 FALTA EXECUTAR",IF(OR(M4162="PENDENTE",M4162="PARCIAL"),"🟡 FATURAMENTO PENDENTE","🟡 EMBARQUE PENDENTE")))))))))))</f>
        <v/>
      </c>
      <c r="D4162" s="4" t="n"/>
      <c r="E4162" s="5" t="n"/>
      <c r="F4162" s="5" t="n"/>
      <c r="G4162" s="5" t="n"/>
      <c r="H4162" s="5" t="n"/>
      <c r="I4162" s="5" t="n"/>
      <c r="J4162" s="6" t="n"/>
      <c r="K4162" s="6" t="n"/>
      <c r="L4162" s="7">
        <f>IF(OR(D4162="",N(J4162)=0),"",MIN(1,N(K4162)/J4162))</f>
        <v/>
      </c>
      <c r="M4162" s="5" t="n"/>
      <c r="N4162" s="5" t="n"/>
      <c r="O4162" s="5" t="n"/>
      <c r="P4162" s="5" t="n"/>
      <c r="Q4162" s="5" t="n"/>
      <c r="R4162" s="4" t="n"/>
      <c r="S4162" s="4" t="n"/>
      <c r="T4162" s="5" t="n"/>
      <c r="U4162" s="8">
        <f>IF(AND(V4162=1,D4162&lt;&gt;""),IF(D4162&gt;=corte,TODAY()-D4162,""),"")</f>
        <v/>
      </c>
      <c r="V4162" s="8">
        <f>IF(D4162="",0,IF(OR(AND(P4162&lt;&gt;"",S4162=""),AND(N(J4162)&gt;0,N(K4162)&lt;J4162),OR(M4162="PENDENTE",M4162="PARCIAL"),OR(N4162="PENDENTE",N4162="PARCIAL")),1,0))</f>
        <v/>
      </c>
      <c r="W4162" s="8">
        <f>IF(AND(V4162=1,D4162&lt;&gt;""),IF(D4162&gt;=corte,(B4162="CRÍTICO")*1E9+(100000-D4162)*10000+10000-ROW(),""),"")</f>
        <v/>
      </c>
      <c r="X4162" s="8">
        <f>IF(AND(V4162=1,D4162=pas_data,E4162=pas_turno),10000-ROW(),"")</f>
        <v/>
      </c>
    </row>
    <row r="4163">
      <c r="A4163" s="3">
        <f>IF(D4163="","","TT-"&amp;TEXT(ROW()-1,"00000"))</f>
        <v/>
      </c>
      <c r="B4163" s="3">
        <f>IF(D4163="","",IF(V4163=0,"CONCLUÍDO",IF(D4163&lt;corte,"HISTÓRICO",IF(OR(AND(ISNUMBER(R4163),R4163&lt;TODAY()),AND(OR(N4163="PENDENTE",N4163="PARCIAL"),D4163&lt;TODAY()-1)),"CRÍTICO",IF(OR(AND(P4163&lt;&gt;"",S4163=""),AND(N4163="REALIZADO",M4163="PENDENTE"),AND(ISNUMBER(R4163),R4163=TODAY())),"ATENÇÃO",IF(N(K4163)=0,"PENDENTE","EM ANDAMENTO"))))))</f>
        <v/>
      </c>
      <c r="C4163" s="3">
        <f>IF(D4163="","",IF(V4163=0,"🟢 OK",IF(D4163&lt;corte,"⚪ HISTÓRICO (sem baixa)",IF(AND(ISNUMBER(R4163),R4163&lt;TODAY()),"🔴 PRAZO VENCIDO",IF(AND(OR(N4163="PENDENTE",N4163="PARCIAL"),D4163&lt;TODAY()-1),"🔴 EMBARQUE ATRASADO",IF(AND(N4163="REALIZADO",M4163="PENDENTE"),"🟡 EMBARCADO SEM FATURAR",IF(AND(P4163&lt;&gt;"",S4163="",OR(Q4163="",R4163="")),"🟡 PENDÊNCIA SEM RESPONSÁVEL/PRAZO",IF(AND(ISNUMBER(R4163),R4163=TODAY()),"🟡 VENCE HOJE",IF(AND(P4163&lt;&gt;"",S4163=""),"🟡 PENDÊNCIA ABERTA",IF(AND(N(J4163)&gt;0,N(K4163)&lt;J4163),"🟡 FALTA EXECUTAR",IF(OR(M4163="PENDENTE",M4163="PARCIAL"),"🟡 FATURAMENTO PENDENTE","🟡 EMBARQUE PENDENTE")))))))))))</f>
        <v/>
      </c>
      <c r="D4163" s="4" t="n"/>
      <c r="E4163" s="5" t="n"/>
      <c r="F4163" s="5" t="n"/>
      <c r="G4163" s="5" t="n"/>
      <c r="H4163" s="5" t="n"/>
      <c r="I4163" s="5" t="n"/>
      <c r="J4163" s="6" t="n"/>
      <c r="K4163" s="6" t="n"/>
      <c r="L4163" s="7">
        <f>IF(OR(D4163="",N(J4163)=0),"",MIN(1,N(K4163)/J4163))</f>
        <v/>
      </c>
      <c r="M4163" s="5" t="n"/>
      <c r="N4163" s="5" t="n"/>
      <c r="O4163" s="5" t="n"/>
      <c r="P4163" s="5" t="n"/>
      <c r="Q4163" s="5" t="n"/>
      <c r="R4163" s="4" t="n"/>
      <c r="S4163" s="4" t="n"/>
      <c r="T4163" s="5" t="n"/>
      <c r="U4163" s="8">
        <f>IF(AND(V4163=1,D4163&lt;&gt;""),IF(D4163&gt;=corte,TODAY()-D4163,""),"")</f>
        <v/>
      </c>
      <c r="V4163" s="8">
        <f>IF(D4163="",0,IF(OR(AND(P4163&lt;&gt;"",S4163=""),AND(N(J4163)&gt;0,N(K4163)&lt;J4163),OR(M4163="PENDENTE",M4163="PARCIAL"),OR(N4163="PENDENTE",N4163="PARCIAL")),1,0))</f>
        <v/>
      </c>
      <c r="W4163" s="8">
        <f>IF(AND(V4163=1,D4163&lt;&gt;""),IF(D4163&gt;=corte,(B4163="CRÍTICO")*1E9+(100000-D4163)*10000+10000-ROW(),""),"")</f>
        <v/>
      </c>
      <c r="X4163" s="8">
        <f>IF(AND(V4163=1,D4163=pas_data,E4163=pas_turno),10000-ROW(),"")</f>
        <v/>
      </c>
    </row>
    <row r="4164">
      <c r="A4164" s="3">
        <f>IF(D4164="","","TT-"&amp;TEXT(ROW()-1,"00000"))</f>
        <v/>
      </c>
      <c r="B4164" s="3">
        <f>IF(D4164="","",IF(V4164=0,"CONCLUÍDO",IF(D4164&lt;corte,"HISTÓRICO",IF(OR(AND(ISNUMBER(R4164),R4164&lt;TODAY()),AND(OR(N4164="PENDENTE",N4164="PARCIAL"),D4164&lt;TODAY()-1)),"CRÍTICO",IF(OR(AND(P4164&lt;&gt;"",S4164=""),AND(N4164="REALIZADO",M4164="PENDENTE"),AND(ISNUMBER(R4164),R4164=TODAY())),"ATENÇÃO",IF(N(K4164)=0,"PENDENTE","EM ANDAMENTO"))))))</f>
        <v/>
      </c>
      <c r="C4164" s="3">
        <f>IF(D4164="","",IF(V4164=0,"🟢 OK",IF(D4164&lt;corte,"⚪ HISTÓRICO (sem baixa)",IF(AND(ISNUMBER(R4164),R4164&lt;TODAY()),"🔴 PRAZO VENCIDO",IF(AND(OR(N4164="PENDENTE",N4164="PARCIAL"),D4164&lt;TODAY()-1),"🔴 EMBARQUE ATRASADO",IF(AND(N4164="REALIZADO",M4164="PENDENTE"),"🟡 EMBARCADO SEM FATURAR",IF(AND(P4164&lt;&gt;"",S4164="",OR(Q4164="",R4164="")),"🟡 PENDÊNCIA SEM RESPONSÁVEL/PRAZO",IF(AND(ISNUMBER(R4164),R4164=TODAY()),"🟡 VENCE HOJE",IF(AND(P4164&lt;&gt;"",S4164=""),"🟡 PENDÊNCIA ABERTA",IF(AND(N(J4164)&gt;0,N(K4164)&lt;J4164),"🟡 FALTA EXECUTAR",IF(OR(M4164="PENDENTE",M4164="PARCIAL"),"🟡 FATURAMENTO PENDENTE","🟡 EMBARQUE PENDENTE")))))))))))</f>
        <v/>
      </c>
      <c r="D4164" s="4" t="n"/>
      <c r="E4164" s="5" t="n"/>
      <c r="F4164" s="5" t="n"/>
      <c r="G4164" s="5" t="n"/>
      <c r="H4164" s="5" t="n"/>
      <c r="I4164" s="5" t="n"/>
      <c r="J4164" s="6" t="n"/>
      <c r="K4164" s="6" t="n"/>
      <c r="L4164" s="7">
        <f>IF(OR(D4164="",N(J4164)=0),"",MIN(1,N(K4164)/J4164))</f>
        <v/>
      </c>
      <c r="M4164" s="5" t="n"/>
      <c r="N4164" s="5" t="n"/>
      <c r="O4164" s="5" t="n"/>
      <c r="P4164" s="5" t="n"/>
      <c r="Q4164" s="5" t="n"/>
      <c r="R4164" s="4" t="n"/>
      <c r="S4164" s="4" t="n"/>
      <c r="T4164" s="5" t="n"/>
      <c r="U4164" s="8">
        <f>IF(AND(V4164=1,D4164&lt;&gt;""),IF(D4164&gt;=corte,TODAY()-D4164,""),"")</f>
        <v/>
      </c>
      <c r="V4164" s="8">
        <f>IF(D4164="",0,IF(OR(AND(P4164&lt;&gt;"",S4164=""),AND(N(J4164)&gt;0,N(K4164)&lt;J4164),OR(M4164="PENDENTE",M4164="PARCIAL"),OR(N4164="PENDENTE",N4164="PARCIAL")),1,0))</f>
        <v/>
      </c>
      <c r="W4164" s="8">
        <f>IF(AND(V4164=1,D4164&lt;&gt;""),IF(D4164&gt;=corte,(B4164="CRÍTICO")*1E9+(100000-D4164)*10000+10000-ROW(),""),"")</f>
        <v/>
      </c>
      <c r="X4164" s="8">
        <f>IF(AND(V4164=1,D4164=pas_data,E4164=pas_turno),10000-ROW(),"")</f>
        <v/>
      </c>
    </row>
    <row r="4165">
      <c r="A4165" s="3">
        <f>IF(D4165="","","TT-"&amp;TEXT(ROW()-1,"00000"))</f>
        <v/>
      </c>
      <c r="B4165" s="3">
        <f>IF(D4165="","",IF(V4165=0,"CONCLUÍDO",IF(D4165&lt;corte,"HISTÓRICO",IF(OR(AND(ISNUMBER(R4165),R4165&lt;TODAY()),AND(OR(N4165="PENDENTE",N4165="PARCIAL"),D4165&lt;TODAY()-1)),"CRÍTICO",IF(OR(AND(P4165&lt;&gt;"",S4165=""),AND(N4165="REALIZADO",M4165="PENDENTE"),AND(ISNUMBER(R4165),R4165=TODAY())),"ATENÇÃO",IF(N(K4165)=0,"PENDENTE","EM ANDAMENTO"))))))</f>
        <v/>
      </c>
      <c r="C4165" s="3">
        <f>IF(D4165="","",IF(V4165=0,"🟢 OK",IF(D4165&lt;corte,"⚪ HISTÓRICO (sem baixa)",IF(AND(ISNUMBER(R4165),R4165&lt;TODAY()),"🔴 PRAZO VENCIDO",IF(AND(OR(N4165="PENDENTE",N4165="PARCIAL"),D4165&lt;TODAY()-1),"🔴 EMBARQUE ATRASADO",IF(AND(N4165="REALIZADO",M4165="PENDENTE"),"🟡 EMBARCADO SEM FATURAR",IF(AND(P4165&lt;&gt;"",S4165="",OR(Q4165="",R4165="")),"🟡 PENDÊNCIA SEM RESPONSÁVEL/PRAZO",IF(AND(ISNUMBER(R4165),R4165=TODAY()),"🟡 VENCE HOJE",IF(AND(P4165&lt;&gt;"",S4165=""),"🟡 PENDÊNCIA ABERTA",IF(AND(N(J4165)&gt;0,N(K4165)&lt;J4165),"🟡 FALTA EXECUTAR",IF(OR(M4165="PENDENTE",M4165="PARCIAL"),"🟡 FATURAMENTO PENDENTE","🟡 EMBARQUE PENDENTE")))))))))))</f>
        <v/>
      </c>
      <c r="D4165" s="4" t="n"/>
      <c r="E4165" s="5" t="n"/>
      <c r="F4165" s="5" t="n"/>
      <c r="G4165" s="5" t="n"/>
      <c r="H4165" s="5" t="n"/>
      <c r="I4165" s="5" t="n"/>
      <c r="J4165" s="6" t="n"/>
      <c r="K4165" s="6" t="n"/>
      <c r="L4165" s="7">
        <f>IF(OR(D4165="",N(J4165)=0),"",MIN(1,N(K4165)/J4165))</f>
        <v/>
      </c>
      <c r="M4165" s="5" t="n"/>
      <c r="N4165" s="5" t="n"/>
      <c r="O4165" s="5" t="n"/>
      <c r="P4165" s="5" t="n"/>
      <c r="Q4165" s="5" t="n"/>
      <c r="R4165" s="4" t="n"/>
      <c r="S4165" s="4" t="n"/>
      <c r="T4165" s="5" t="n"/>
      <c r="U4165" s="8">
        <f>IF(AND(V4165=1,D4165&lt;&gt;""),IF(D4165&gt;=corte,TODAY()-D4165,""),"")</f>
        <v/>
      </c>
      <c r="V4165" s="8">
        <f>IF(D4165="",0,IF(OR(AND(P4165&lt;&gt;"",S4165=""),AND(N(J4165)&gt;0,N(K4165)&lt;J4165),OR(M4165="PENDENTE",M4165="PARCIAL"),OR(N4165="PENDENTE",N4165="PARCIAL")),1,0))</f>
        <v/>
      </c>
      <c r="W4165" s="8">
        <f>IF(AND(V4165=1,D4165&lt;&gt;""),IF(D4165&gt;=corte,(B4165="CRÍTICO")*1E9+(100000-D4165)*10000+10000-ROW(),""),"")</f>
        <v/>
      </c>
      <c r="X4165" s="8">
        <f>IF(AND(V4165=1,D4165=pas_data,E4165=pas_turno),10000-ROW(),"")</f>
        <v/>
      </c>
    </row>
    <row r="4166">
      <c r="A4166" s="3">
        <f>IF(D4166="","","TT-"&amp;TEXT(ROW()-1,"00000"))</f>
        <v/>
      </c>
      <c r="B4166" s="3">
        <f>IF(D4166="","",IF(V4166=0,"CONCLUÍDO",IF(D4166&lt;corte,"HISTÓRICO",IF(OR(AND(ISNUMBER(R4166),R4166&lt;TODAY()),AND(OR(N4166="PENDENTE",N4166="PARCIAL"),D4166&lt;TODAY()-1)),"CRÍTICO",IF(OR(AND(P4166&lt;&gt;"",S4166=""),AND(N4166="REALIZADO",M4166="PENDENTE"),AND(ISNUMBER(R4166),R4166=TODAY())),"ATENÇÃO",IF(N(K4166)=0,"PENDENTE","EM ANDAMENTO"))))))</f>
        <v/>
      </c>
      <c r="C4166" s="3">
        <f>IF(D4166="","",IF(V4166=0,"🟢 OK",IF(D4166&lt;corte,"⚪ HISTÓRICO (sem baixa)",IF(AND(ISNUMBER(R4166),R4166&lt;TODAY()),"🔴 PRAZO VENCIDO",IF(AND(OR(N4166="PENDENTE",N4166="PARCIAL"),D4166&lt;TODAY()-1),"🔴 EMBARQUE ATRASADO",IF(AND(N4166="REALIZADO",M4166="PENDENTE"),"🟡 EMBARCADO SEM FATURAR",IF(AND(P4166&lt;&gt;"",S4166="",OR(Q4166="",R4166="")),"🟡 PENDÊNCIA SEM RESPONSÁVEL/PRAZO",IF(AND(ISNUMBER(R4166),R4166=TODAY()),"🟡 VENCE HOJE",IF(AND(P4166&lt;&gt;"",S4166=""),"🟡 PENDÊNCIA ABERTA",IF(AND(N(J4166)&gt;0,N(K4166)&lt;J4166),"🟡 FALTA EXECUTAR",IF(OR(M4166="PENDENTE",M4166="PARCIAL"),"🟡 FATURAMENTO PENDENTE","🟡 EMBARQUE PENDENTE")))))))))))</f>
        <v/>
      </c>
      <c r="D4166" s="4" t="n"/>
      <c r="E4166" s="5" t="n"/>
      <c r="F4166" s="5" t="n"/>
      <c r="G4166" s="5" t="n"/>
      <c r="H4166" s="5" t="n"/>
      <c r="I4166" s="5" t="n"/>
      <c r="J4166" s="6" t="n"/>
      <c r="K4166" s="6" t="n"/>
      <c r="L4166" s="7">
        <f>IF(OR(D4166="",N(J4166)=0),"",MIN(1,N(K4166)/J4166))</f>
        <v/>
      </c>
      <c r="M4166" s="5" t="n"/>
      <c r="N4166" s="5" t="n"/>
      <c r="O4166" s="5" t="n"/>
      <c r="P4166" s="5" t="n"/>
      <c r="Q4166" s="5" t="n"/>
      <c r="R4166" s="4" t="n"/>
      <c r="S4166" s="4" t="n"/>
      <c r="T4166" s="5" t="n"/>
      <c r="U4166" s="8">
        <f>IF(AND(V4166=1,D4166&lt;&gt;""),IF(D4166&gt;=corte,TODAY()-D4166,""),"")</f>
        <v/>
      </c>
      <c r="V4166" s="8">
        <f>IF(D4166="",0,IF(OR(AND(P4166&lt;&gt;"",S4166=""),AND(N(J4166)&gt;0,N(K4166)&lt;J4166),OR(M4166="PENDENTE",M4166="PARCIAL"),OR(N4166="PENDENTE",N4166="PARCIAL")),1,0))</f>
        <v/>
      </c>
      <c r="W4166" s="8">
        <f>IF(AND(V4166=1,D4166&lt;&gt;""),IF(D4166&gt;=corte,(B4166="CRÍTICO")*1E9+(100000-D4166)*10000+10000-ROW(),""),"")</f>
        <v/>
      </c>
      <c r="X4166" s="8">
        <f>IF(AND(V4166=1,D4166=pas_data,E4166=pas_turno),10000-ROW(),"")</f>
        <v/>
      </c>
    </row>
    <row r="4167">
      <c r="A4167" s="3">
        <f>IF(D4167="","","TT-"&amp;TEXT(ROW()-1,"00000"))</f>
        <v/>
      </c>
      <c r="B4167" s="3">
        <f>IF(D4167="","",IF(V4167=0,"CONCLUÍDO",IF(D4167&lt;corte,"HISTÓRICO",IF(OR(AND(ISNUMBER(R4167),R4167&lt;TODAY()),AND(OR(N4167="PENDENTE",N4167="PARCIAL"),D4167&lt;TODAY()-1)),"CRÍTICO",IF(OR(AND(P4167&lt;&gt;"",S4167=""),AND(N4167="REALIZADO",M4167="PENDENTE"),AND(ISNUMBER(R4167),R4167=TODAY())),"ATENÇÃO",IF(N(K4167)=0,"PENDENTE","EM ANDAMENTO"))))))</f>
        <v/>
      </c>
      <c r="C4167" s="3">
        <f>IF(D4167="","",IF(V4167=0,"🟢 OK",IF(D4167&lt;corte,"⚪ HISTÓRICO (sem baixa)",IF(AND(ISNUMBER(R4167),R4167&lt;TODAY()),"🔴 PRAZO VENCIDO",IF(AND(OR(N4167="PENDENTE",N4167="PARCIAL"),D4167&lt;TODAY()-1),"🔴 EMBARQUE ATRASADO",IF(AND(N4167="REALIZADO",M4167="PENDENTE"),"🟡 EMBARCADO SEM FATURAR",IF(AND(P4167&lt;&gt;"",S4167="",OR(Q4167="",R4167="")),"🟡 PENDÊNCIA SEM RESPONSÁVEL/PRAZO",IF(AND(ISNUMBER(R4167),R4167=TODAY()),"🟡 VENCE HOJE",IF(AND(P4167&lt;&gt;"",S4167=""),"🟡 PENDÊNCIA ABERTA",IF(AND(N(J4167)&gt;0,N(K4167)&lt;J4167),"🟡 FALTA EXECUTAR",IF(OR(M4167="PENDENTE",M4167="PARCIAL"),"🟡 FATURAMENTO PENDENTE","🟡 EMBARQUE PENDENTE")))))))))))</f>
        <v/>
      </c>
      <c r="D4167" s="4" t="n"/>
      <c r="E4167" s="5" t="n"/>
      <c r="F4167" s="5" t="n"/>
      <c r="G4167" s="5" t="n"/>
      <c r="H4167" s="5" t="n"/>
      <c r="I4167" s="5" t="n"/>
      <c r="J4167" s="6" t="n"/>
      <c r="K4167" s="6" t="n"/>
      <c r="L4167" s="7">
        <f>IF(OR(D4167="",N(J4167)=0),"",MIN(1,N(K4167)/J4167))</f>
        <v/>
      </c>
      <c r="M4167" s="5" t="n"/>
      <c r="N4167" s="5" t="n"/>
      <c r="O4167" s="5" t="n"/>
      <c r="P4167" s="5" t="n"/>
      <c r="Q4167" s="5" t="n"/>
      <c r="R4167" s="4" t="n"/>
      <c r="S4167" s="4" t="n"/>
      <c r="T4167" s="5" t="n"/>
      <c r="U4167" s="8">
        <f>IF(AND(V4167=1,D4167&lt;&gt;""),IF(D4167&gt;=corte,TODAY()-D4167,""),"")</f>
        <v/>
      </c>
      <c r="V4167" s="8">
        <f>IF(D4167="",0,IF(OR(AND(P4167&lt;&gt;"",S4167=""),AND(N(J4167)&gt;0,N(K4167)&lt;J4167),OR(M4167="PENDENTE",M4167="PARCIAL"),OR(N4167="PENDENTE",N4167="PARCIAL")),1,0))</f>
        <v/>
      </c>
      <c r="W4167" s="8">
        <f>IF(AND(V4167=1,D4167&lt;&gt;""),IF(D4167&gt;=corte,(B4167="CRÍTICO")*1E9+(100000-D4167)*10000+10000-ROW(),""),"")</f>
        <v/>
      </c>
      <c r="X4167" s="8">
        <f>IF(AND(V4167=1,D4167=pas_data,E4167=pas_turno),10000-ROW(),"")</f>
        <v/>
      </c>
    </row>
    <row r="4168">
      <c r="A4168" s="3">
        <f>IF(D4168="","","TT-"&amp;TEXT(ROW()-1,"00000"))</f>
        <v/>
      </c>
      <c r="B4168" s="3">
        <f>IF(D4168="","",IF(V4168=0,"CONCLUÍDO",IF(D4168&lt;corte,"HISTÓRICO",IF(OR(AND(ISNUMBER(R4168),R4168&lt;TODAY()),AND(OR(N4168="PENDENTE",N4168="PARCIAL"),D4168&lt;TODAY()-1)),"CRÍTICO",IF(OR(AND(P4168&lt;&gt;"",S4168=""),AND(N4168="REALIZADO",M4168="PENDENTE"),AND(ISNUMBER(R4168),R4168=TODAY())),"ATENÇÃO",IF(N(K4168)=0,"PENDENTE","EM ANDAMENTO"))))))</f>
        <v/>
      </c>
      <c r="C4168" s="3">
        <f>IF(D4168="","",IF(V4168=0,"🟢 OK",IF(D4168&lt;corte,"⚪ HISTÓRICO (sem baixa)",IF(AND(ISNUMBER(R4168),R4168&lt;TODAY()),"🔴 PRAZO VENCIDO",IF(AND(OR(N4168="PENDENTE",N4168="PARCIAL"),D4168&lt;TODAY()-1),"🔴 EMBARQUE ATRASADO",IF(AND(N4168="REALIZADO",M4168="PENDENTE"),"🟡 EMBARCADO SEM FATURAR",IF(AND(P4168&lt;&gt;"",S4168="",OR(Q4168="",R4168="")),"🟡 PENDÊNCIA SEM RESPONSÁVEL/PRAZO",IF(AND(ISNUMBER(R4168),R4168=TODAY()),"🟡 VENCE HOJE",IF(AND(P4168&lt;&gt;"",S4168=""),"🟡 PENDÊNCIA ABERTA",IF(AND(N(J4168)&gt;0,N(K4168)&lt;J4168),"🟡 FALTA EXECUTAR",IF(OR(M4168="PENDENTE",M4168="PARCIAL"),"🟡 FATURAMENTO PENDENTE","🟡 EMBARQUE PENDENTE")))))))))))</f>
        <v/>
      </c>
      <c r="D4168" s="4" t="n"/>
      <c r="E4168" s="5" t="n"/>
      <c r="F4168" s="5" t="n"/>
      <c r="G4168" s="5" t="n"/>
      <c r="H4168" s="5" t="n"/>
      <c r="I4168" s="5" t="n"/>
      <c r="J4168" s="6" t="n"/>
      <c r="K4168" s="6" t="n"/>
      <c r="L4168" s="7">
        <f>IF(OR(D4168="",N(J4168)=0),"",MIN(1,N(K4168)/J4168))</f>
        <v/>
      </c>
      <c r="M4168" s="5" t="n"/>
      <c r="N4168" s="5" t="n"/>
      <c r="O4168" s="5" t="n"/>
      <c r="P4168" s="5" t="n"/>
      <c r="Q4168" s="5" t="n"/>
      <c r="R4168" s="4" t="n"/>
      <c r="S4168" s="4" t="n"/>
      <c r="T4168" s="5" t="n"/>
      <c r="U4168" s="8">
        <f>IF(AND(V4168=1,D4168&lt;&gt;""),IF(D4168&gt;=corte,TODAY()-D4168,""),"")</f>
        <v/>
      </c>
      <c r="V4168" s="8">
        <f>IF(D4168="",0,IF(OR(AND(P4168&lt;&gt;"",S4168=""),AND(N(J4168)&gt;0,N(K4168)&lt;J4168),OR(M4168="PENDENTE",M4168="PARCIAL"),OR(N4168="PENDENTE",N4168="PARCIAL")),1,0))</f>
        <v/>
      </c>
      <c r="W4168" s="8">
        <f>IF(AND(V4168=1,D4168&lt;&gt;""),IF(D4168&gt;=corte,(B4168="CRÍTICO")*1E9+(100000-D4168)*10000+10000-ROW(),""),"")</f>
        <v/>
      </c>
      <c r="X4168" s="8">
        <f>IF(AND(V4168=1,D4168=pas_data,E4168=pas_turno),10000-ROW(),"")</f>
        <v/>
      </c>
    </row>
    <row r="4169">
      <c r="A4169" s="3">
        <f>IF(D4169="","","TT-"&amp;TEXT(ROW()-1,"00000"))</f>
        <v/>
      </c>
      <c r="B4169" s="3">
        <f>IF(D4169="","",IF(V4169=0,"CONCLUÍDO",IF(D4169&lt;corte,"HISTÓRICO",IF(OR(AND(ISNUMBER(R4169),R4169&lt;TODAY()),AND(OR(N4169="PENDENTE",N4169="PARCIAL"),D4169&lt;TODAY()-1)),"CRÍTICO",IF(OR(AND(P4169&lt;&gt;"",S4169=""),AND(N4169="REALIZADO",M4169="PENDENTE"),AND(ISNUMBER(R4169),R4169=TODAY())),"ATENÇÃO",IF(N(K4169)=0,"PENDENTE","EM ANDAMENTO"))))))</f>
        <v/>
      </c>
      <c r="C4169" s="3">
        <f>IF(D4169="","",IF(V4169=0,"🟢 OK",IF(D4169&lt;corte,"⚪ HISTÓRICO (sem baixa)",IF(AND(ISNUMBER(R4169),R4169&lt;TODAY()),"🔴 PRAZO VENCIDO",IF(AND(OR(N4169="PENDENTE",N4169="PARCIAL"),D4169&lt;TODAY()-1),"🔴 EMBARQUE ATRASADO",IF(AND(N4169="REALIZADO",M4169="PENDENTE"),"🟡 EMBARCADO SEM FATURAR",IF(AND(P4169&lt;&gt;"",S4169="",OR(Q4169="",R4169="")),"🟡 PENDÊNCIA SEM RESPONSÁVEL/PRAZO",IF(AND(ISNUMBER(R4169),R4169=TODAY()),"🟡 VENCE HOJE",IF(AND(P4169&lt;&gt;"",S4169=""),"🟡 PENDÊNCIA ABERTA",IF(AND(N(J4169)&gt;0,N(K4169)&lt;J4169),"🟡 FALTA EXECUTAR",IF(OR(M4169="PENDENTE",M4169="PARCIAL"),"🟡 FATURAMENTO PENDENTE","🟡 EMBARQUE PENDENTE")))))))))))</f>
        <v/>
      </c>
      <c r="D4169" s="4" t="n"/>
      <c r="E4169" s="5" t="n"/>
      <c r="F4169" s="5" t="n"/>
      <c r="G4169" s="5" t="n"/>
      <c r="H4169" s="5" t="n"/>
      <c r="I4169" s="5" t="n"/>
      <c r="J4169" s="6" t="n"/>
      <c r="K4169" s="6" t="n"/>
      <c r="L4169" s="7">
        <f>IF(OR(D4169="",N(J4169)=0),"",MIN(1,N(K4169)/J4169))</f>
        <v/>
      </c>
      <c r="M4169" s="5" t="n"/>
      <c r="N4169" s="5" t="n"/>
      <c r="O4169" s="5" t="n"/>
      <c r="P4169" s="5" t="n"/>
      <c r="Q4169" s="5" t="n"/>
      <c r="R4169" s="4" t="n"/>
      <c r="S4169" s="4" t="n"/>
      <c r="T4169" s="5" t="n"/>
      <c r="U4169" s="8">
        <f>IF(AND(V4169=1,D4169&lt;&gt;""),IF(D4169&gt;=corte,TODAY()-D4169,""),"")</f>
        <v/>
      </c>
      <c r="V4169" s="8">
        <f>IF(D4169="",0,IF(OR(AND(P4169&lt;&gt;"",S4169=""),AND(N(J4169)&gt;0,N(K4169)&lt;J4169),OR(M4169="PENDENTE",M4169="PARCIAL"),OR(N4169="PENDENTE",N4169="PARCIAL")),1,0))</f>
        <v/>
      </c>
      <c r="W4169" s="8">
        <f>IF(AND(V4169=1,D4169&lt;&gt;""),IF(D4169&gt;=corte,(B4169="CRÍTICO")*1E9+(100000-D4169)*10000+10000-ROW(),""),"")</f>
        <v/>
      </c>
      <c r="X4169" s="8">
        <f>IF(AND(V4169=1,D4169=pas_data,E4169=pas_turno),10000-ROW(),"")</f>
        <v/>
      </c>
    </row>
    <row r="4170">
      <c r="A4170" s="3">
        <f>IF(D4170="","","TT-"&amp;TEXT(ROW()-1,"00000"))</f>
        <v/>
      </c>
      <c r="B4170" s="3">
        <f>IF(D4170="","",IF(V4170=0,"CONCLUÍDO",IF(D4170&lt;corte,"HISTÓRICO",IF(OR(AND(ISNUMBER(R4170),R4170&lt;TODAY()),AND(OR(N4170="PENDENTE",N4170="PARCIAL"),D4170&lt;TODAY()-1)),"CRÍTICO",IF(OR(AND(P4170&lt;&gt;"",S4170=""),AND(N4170="REALIZADO",M4170="PENDENTE"),AND(ISNUMBER(R4170),R4170=TODAY())),"ATENÇÃO",IF(N(K4170)=0,"PENDENTE","EM ANDAMENTO"))))))</f>
        <v/>
      </c>
      <c r="C4170" s="3">
        <f>IF(D4170="","",IF(V4170=0,"🟢 OK",IF(D4170&lt;corte,"⚪ HISTÓRICO (sem baixa)",IF(AND(ISNUMBER(R4170),R4170&lt;TODAY()),"🔴 PRAZO VENCIDO",IF(AND(OR(N4170="PENDENTE",N4170="PARCIAL"),D4170&lt;TODAY()-1),"🔴 EMBARQUE ATRASADO",IF(AND(N4170="REALIZADO",M4170="PENDENTE"),"🟡 EMBARCADO SEM FATURAR",IF(AND(P4170&lt;&gt;"",S4170="",OR(Q4170="",R4170="")),"🟡 PENDÊNCIA SEM RESPONSÁVEL/PRAZO",IF(AND(ISNUMBER(R4170),R4170=TODAY()),"🟡 VENCE HOJE",IF(AND(P4170&lt;&gt;"",S4170=""),"🟡 PENDÊNCIA ABERTA",IF(AND(N(J4170)&gt;0,N(K4170)&lt;J4170),"🟡 FALTA EXECUTAR",IF(OR(M4170="PENDENTE",M4170="PARCIAL"),"🟡 FATURAMENTO PENDENTE","🟡 EMBARQUE PENDENTE")))))))))))</f>
        <v/>
      </c>
      <c r="D4170" s="4" t="n"/>
      <c r="E4170" s="5" t="n"/>
      <c r="F4170" s="5" t="n"/>
      <c r="G4170" s="5" t="n"/>
      <c r="H4170" s="5" t="n"/>
      <c r="I4170" s="5" t="n"/>
      <c r="J4170" s="6" t="n"/>
      <c r="K4170" s="6" t="n"/>
      <c r="L4170" s="7">
        <f>IF(OR(D4170="",N(J4170)=0),"",MIN(1,N(K4170)/J4170))</f>
        <v/>
      </c>
      <c r="M4170" s="5" t="n"/>
      <c r="N4170" s="5" t="n"/>
      <c r="O4170" s="5" t="n"/>
      <c r="P4170" s="5" t="n"/>
      <c r="Q4170" s="5" t="n"/>
      <c r="R4170" s="4" t="n"/>
      <c r="S4170" s="4" t="n"/>
      <c r="T4170" s="5" t="n"/>
      <c r="U4170" s="8">
        <f>IF(AND(V4170=1,D4170&lt;&gt;""),IF(D4170&gt;=corte,TODAY()-D4170,""),"")</f>
        <v/>
      </c>
      <c r="V4170" s="8">
        <f>IF(D4170="",0,IF(OR(AND(P4170&lt;&gt;"",S4170=""),AND(N(J4170)&gt;0,N(K4170)&lt;J4170),OR(M4170="PENDENTE",M4170="PARCIAL"),OR(N4170="PENDENTE",N4170="PARCIAL")),1,0))</f>
        <v/>
      </c>
      <c r="W4170" s="8">
        <f>IF(AND(V4170=1,D4170&lt;&gt;""),IF(D4170&gt;=corte,(B4170="CRÍTICO")*1E9+(100000-D4170)*10000+10000-ROW(),""),"")</f>
        <v/>
      </c>
      <c r="X4170" s="8">
        <f>IF(AND(V4170=1,D4170=pas_data,E4170=pas_turno),10000-ROW(),"")</f>
        <v/>
      </c>
    </row>
    <row r="4171">
      <c r="A4171" s="3">
        <f>IF(D4171="","","TT-"&amp;TEXT(ROW()-1,"00000"))</f>
        <v/>
      </c>
      <c r="B4171" s="3">
        <f>IF(D4171="","",IF(V4171=0,"CONCLUÍDO",IF(D4171&lt;corte,"HISTÓRICO",IF(OR(AND(ISNUMBER(R4171),R4171&lt;TODAY()),AND(OR(N4171="PENDENTE",N4171="PARCIAL"),D4171&lt;TODAY()-1)),"CRÍTICO",IF(OR(AND(P4171&lt;&gt;"",S4171=""),AND(N4171="REALIZADO",M4171="PENDENTE"),AND(ISNUMBER(R4171),R4171=TODAY())),"ATENÇÃO",IF(N(K4171)=0,"PENDENTE","EM ANDAMENTO"))))))</f>
        <v/>
      </c>
      <c r="C4171" s="3">
        <f>IF(D4171="","",IF(V4171=0,"🟢 OK",IF(D4171&lt;corte,"⚪ HISTÓRICO (sem baixa)",IF(AND(ISNUMBER(R4171),R4171&lt;TODAY()),"🔴 PRAZO VENCIDO",IF(AND(OR(N4171="PENDENTE",N4171="PARCIAL"),D4171&lt;TODAY()-1),"🔴 EMBARQUE ATRASADO",IF(AND(N4171="REALIZADO",M4171="PENDENTE"),"🟡 EMBARCADO SEM FATURAR",IF(AND(P4171&lt;&gt;"",S4171="",OR(Q4171="",R4171="")),"🟡 PENDÊNCIA SEM RESPONSÁVEL/PRAZO",IF(AND(ISNUMBER(R4171),R4171=TODAY()),"🟡 VENCE HOJE",IF(AND(P4171&lt;&gt;"",S4171=""),"🟡 PENDÊNCIA ABERTA",IF(AND(N(J4171)&gt;0,N(K4171)&lt;J4171),"🟡 FALTA EXECUTAR",IF(OR(M4171="PENDENTE",M4171="PARCIAL"),"🟡 FATURAMENTO PENDENTE","🟡 EMBARQUE PENDENTE")))))))))))</f>
        <v/>
      </c>
      <c r="D4171" s="4" t="n"/>
      <c r="E4171" s="5" t="n"/>
      <c r="F4171" s="5" t="n"/>
      <c r="G4171" s="5" t="n"/>
      <c r="H4171" s="5" t="n"/>
      <c r="I4171" s="5" t="n"/>
      <c r="J4171" s="6" t="n"/>
      <c r="K4171" s="6" t="n"/>
      <c r="L4171" s="7">
        <f>IF(OR(D4171="",N(J4171)=0),"",MIN(1,N(K4171)/J4171))</f>
        <v/>
      </c>
      <c r="M4171" s="5" t="n"/>
      <c r="N4171" s="5" t="n"/>
      <c r="O4171" s="5" t="n"/>
      <c r="P4171" s="5" t="n"/>
      <c r="Q4171" s="5" t="n"/>
      <c r="R4171" s="4" t="n"/>
      <c r="S4171" s="4" t="n"/>
      <c r="T4171" s="5" t="n"/>
      <c r="U4171" s="8">
        <f>IF(AND(V4171=1,D4171&lt;&gt;""),IF(D4171&gt;=corte,TODAY()-D4171,""),"")</f>
        <v/>
      </c>
      <c r="V4171" s="8">
        <f>IF(D4171="",0,IF(OR(AND(P4171&lt;&gt;"",S4171=""),AND(N(J4171)&gt;0,N(K4171)&lt;J4171),OR(M4171="PENDENTE",M4171="PARCIAL"),OR(N4171="PENDENTE",N4171="PARCIAL")),1,0))</f>
        <v/>
      </c>
      <c r="W4171" s="8">
        <f>IF(AND(V4171=1,D4171&lt;&gt;""),IF(D4171&gt;=corte,(B4171="CRÍTICO")*1E9+(100000-D4171)*10000+10000-ROW(),""),"")</f>
        <v/>
      </c>
      <c r="X4171" s="8">
        <f>IF(AND(V4171=1,D4171=pas_data,E4171=pas_turno),10000-ROW(),"")</f>
        <v/>
      </c>
    </row>
    <row r="4172">
      <c r="A4172" s="3">
        <f>IF(D4172="","","TT-"&amp;TEXT(ROW()-1,"00000"))</f>
        <v/>
      </c>
      <c r="B4172" s="3">
        <f>IF(D4172="","",IF(V4172=0,"CONCLUÍDO",IF(D4172&lt;corte,"HISTÓRICO",IF(OR(AND(ISNUMBER(R4172),R4172&lt;TODAY()),AND(OR(N4172="PENDENTE",N4172="PARCIAL"),D4172&lt;TODAY()-1)),"CRÍTICO",IF(OR(AND(P4172&lt;&gt;"",S4172=""),AND(N4172="REALIZADO",M4172="PENDENTE"),AND(ISNUMBER(R4172),R4172=TODAY())),"ATENÇÃO",IF(N(K4172)=0,"PENDENTE","EM ANDAMENTO"))))))</f>
        <v/>
      </c>
      <c r="C4172" s="3">
        <f>IF(D4172="","",IF(V4172=0,"🟢 OK",IF(D4172&lt;corte,"⚪ HISTÓRICO (sem baixa)",IF(AND(ISNUMBER(R4172),R4172&lt;TODAY()),"🔴 PRAZO VENCIDO",IF(AND(OR(N4172="PENDENTE",N4172="PARCIAL"),D4172&lt;TODAY()-1),"🔴 EMBARQUE ATRASADO",IF(AND(N4172="REALIZADO",M4172="PENDENTE"),"🟡 EMBARCADO SEM FATURAR",IF(AND(P4172&lt;&gt;"",S4172="",OR(Q4172="",R4172="")),"🟡 PENDÊNCIA SEM RESPONSÁVEL/PRAZO",IF(AND(ISNUMBER(R4172),R4172=TODAY()),"🟡 VENCE HOJE",IF(AND(P4172&lt;&gt;"",S4172=""),"🟡 PENDÊNCIA ABERTA",IF(AND(N(J4172)&gt;0,N(K4172)&lt;J4172),"🟡 FALTA EXECUTAR",IF(OR(M4172="PENDENTE",M4172="PARCIAL"),"🟡 FATURAMENTO PENDENTE","🟡 EMBARQUE PENDENTE")))))))))))</f>
        <v/>
      </c>
      <c r="D4172" s="4" t="n"/>
      <c r="E4172" s="5" t="n"/>
      <c r="F4172" s="5" t="n"/>
      <c r="G4172" s="5" t="n"/>
      <c r="H4172" s="5" t="n"/>
      <c r="I4172" s="5" t="n"/>
      <c r="J4172" s="6" t="n"/>
      <c r="K4172" s="6" t="n"/>
      <c r="L4172" s="7">
        <f>IF(OR(D4172="",N(J4172)=0),"",MIN(1,N(K4172)/J4172))</f>
        <v/>
      </c>
      <c r="M4172" s="5" t="n"/>
      <c r="N4172" s="5" t="n"/>
      <c r="O4172" s="5" t="n"/>
      <c r="P4172" s="5" t="n"/>
      <c r="Q4172" s="5" t="n"/>
      <c r="R4172" s="4" t="n"/>
      <c r="S4172" s="4" t="n"/>
      <c r="T4172" s="5" t="n"/>
      <c r="U4172" s="8">
        <f>IF(AND(V4172=1,D4172&lt;&gt;""),IF(D4172&gt;=corte,TODAY()-D4172,""),"")</f>
        <v/>
      </c>
      <c r="V4172" s="8">
        <f>IF(D4172="",0,IF(OR(AND(P4172&lt;&gt;"",S4172=""),AND(N(J4172)&gt;0,N(K4172)&lt;J4172),OR(M4172="PENDENTE",M4172="PARCIAL"),OR(N4172="PENDENTE",N4172="PARCIAL")),1,0))</f>
        <v/>
      </c>
      <c r="W4172" s="8">
        <f>IF(AND(V4172=1,D4172&lt;&gt;""),IF(D4172&gt;=corte,(B4172="CRÍTICO")*1E9+(100000-D4172)*10000+10000-ROW(),""),"")</f>
        <v/>
      </c>
      <c r="X4172" s="8">
        <f>IF(AND(V4172=1,D4172=pas_data,E4172=pas_turno),10000-ROW(),"")</f>
        <v/>
      </c>
    </row>
    <row r="4173">
      <c r="A4173" s="3">
        <f>IF(D4173="","","TT-"&amp;TEXT(ROW()-1,"00000"))</f>
        <v/>
      </c>
      <c r="B4173" s="3">
        <f>IF(D4173="","",IF(V4173=0,"CONCLUÍDO",IF(D4173&lt;corte,"HISTÓRICO",IF(OR(AND(ISNUMBER(R4173),R4173&lt;TODAY()),AND(OR(N4173="PENDENTE",N4173="PARCIAL"),D4173&lt;TODAY()-1)),"CRÍTICO",IF(OR(AND(P4173&lt;&gt;"",S4173=""),AND(N4173="REALIZADO",M4173="PENDENTE"),AND(ISNUMBER(R4173),R4173=TODAY())),"ATENÇÃO",IF(N(K4173)=0,"PENDENTE","EM ANDAMENTO"))))))</f>
        <v/>
      </c>
      <c r="C4173" s="3">
        <f>IF(D4173="","",IF(V4173=0,"🟢 OK",IF(D4173&lt;corte,"⚪ HISTÓRICO (sem baixa)",IF(AND(ISNUMBER(R4173),R4173&lt;TODAY()),"🔴 PRAZO VENCIDO",IF(AND(OR(N4173="PENDENTE",N4173="PARCIAL"),D4173&lt;TODAY()-1),"🔴 EMBARQUE ATRASADO",IF(AND(N4173="REALIZADO",M4173="PENDENTE"),"🟡 EMBARCADO SEM FATURAR",IF(AND(P4173&lt;&gt;"",S4173="",OR(Q4173="",R4173="")),"🟡 PENDÊNCIA SEM RESPONSÁVEL/PRAZO",IF(AND(ISNUMBER(R4173),R4173=TODAY()),"🟡 VENCE HOJE",IF(AND(P4173&lt;&gt;"",S4173=""),"🟡 PENDÊNCIA ABERTA",IF(AND(N(J4173)&gt;0,N(K4173)&lt;J4173),"🟡 FALTA EXECUTAR",IF(OR(M4173="PENDENTE",M4173="PARCIAL"),"🟡 FATURAMENTO PENDENTE","🟡 EMBARQUE PENDENTE")))))))))))</f>
        <v/>
      </c>
      <c r="D4173" s="4" t="n"/>
      <c r="E4173" s="5" t="n"/>
      <c r="F4173" s="5" t="n"/>
      <c r="G4173" s="5" t="n"/>
      <c r="H4173" s="5" t="n"/>
      <c r="I4173" s="5" t="n"/>
      <c r="J4173" s="6" t="n"/>
      <c r="K4173" s="6" t="n"/>
      <c r="L4173" s="7">
        <f>IF(OR(D4173="",N(J4173)=0),"",MIN(1,N(K4173)/J4173))</f>
        <v/>
      </c>
      <c r="M4173" s="5" t="n"/>
      <c r="N4173" s="5" t="n"/>
      <c r="O4173" s="5" t="n"/>
      <c r="P4173" s="5" t="n"/>
      <c r="Q4173" s="5" t="n"/>
      <c r="R4173" s="4" t="n"/>
      <c r="S4173" s="4" t="n"/>
      <c r="T4173" s="5" t="n"/>
      <c r="U4173" s="8">
        <f>IF(AND(V4173=1,D4173&lt;&gt;""),IF(D4173&gt;=corte,TODAY()-D4173,""),"")</f>
        <v/>
      </c>
      <c r="V4173" s="8">
        <f>IF(D4173="",0,IF(OR(AND(P4173&lt;&gt;"",S4173=""),AND(N(J4173)&gt;0,N(K4173)&lt;J4173),OR(M4173="PENDENTE",M4173="PARCIAL"),OR(N4173="PENDENTE",N4173="PARCIAL")),1,0))</f>
        <v/>
      </c>
      <c r="W4173" s="8">
        <f>IF(AND(V4173=1,D4173&lt;&gt;""),IF(D4173&gt;=corte,(B4173="CRÍTICO")*1E9+(100000-D4173)*10000+10000-ROW(),""),"")</f>
        <v/>
      </c>
      <c r="X4173" s="8">
        <f>IF(AND(V4173=1,D4173=pas_data,E4173=pas_turno),10000-ROW(),"")</f>
        <v/>
      </c>
    </row>
    <row r="4174">
      <c r="A4174" s="3">
        <f>IF(D4174="","","TT-"&amp;TEXT(ROW()-1,"00000"))</f>
        <v/>
      </c>
      <c r="B4174" s="3">
        <f>IF(D4174="","",IF(V4174=0,"CONCLUÍDO",IF(D4174&lt;corte,"HISTÓRICO",IF(OR(AND(ISNUMBER(R4174),R4174&lt;TODAY()),AND(OR(N4174="PENDENTE",N4174="PARCIAL"),D4174&lt;TODAY()-1)),"CRÍTICO",IF(OR(AND(P4174&lt;&gt;"",S4174=""),AND(N4174="REALIZADO",M4174="PENDENTE"),AND(ISNUMBER(R4174),R4174=TODAY())),"ATENÇÃO",IF(N(K4174)=0,"PENDENTE","EM ANDAMENTO"))))))</f>
        <v/>
      </c>
      <c r="C4174" s="3">
        <f>IF(D4174="","",IF(V4174=0,"🟢 OK",IF(D4174&lt;corte,"⚪ HISTÓRICO (sem baixa)",IF(AND(ISNUMBER(R4174),R4174&lt;TODAY()),"🔴 PRAZO VENCIDO",IF(AND(OR(N4174="PENDENTE",N4174="PARCIAL"),D4174&lt;TODAY()-1),"🔴 EMBARQUE ATRASADO",IF(AND(N4174="REALIZADO",M4174="PENDENTE"),"🟡 EMBARCADO SEM FATURAR",IF(AND(P4174&lt;&gt;"",S4174="",OR(Q4174="",R4174="")),"🟡 PENDÊNCIA SEM RESPONSÁVEL/PRAZO",IF(AND(ISNUMBER(R4174),R4174=TODAY()),"🟡 VENCE HOJE",IF(AND(P4174&lt;&gt;"",S4174=""),"🟡 PENDÊNCIA ABERTA",IF(AND(N(J4174)&gt;0,N(K4174)&lt;J4174),"🟡 FALTA EXECUTAR",IF(OR(M4174="PENDENTE",M4174="PARCIAL"),"🟡 FATURAMENTO PENDENTE","🟡 EMBARQUE PENDENTE")))))))))))</f>
        <v/>
      </c>
      <c r="D4174" s="4" t="n"/>
      <c r="E4174" s="5" t="n"/>
      <c r="F4174" s="5" t="n"/>
      <c r="G4174" s="5" t="n"/>
      <c r="H4174" s="5" t="n"/>
      <c r="I4174" s="5" t="n"/>
      <c r="J4174" s="6" t="n"/>
      <c r="K4174" s="6" t="n"/>
      <c r="L4174" s="7">
        <f>IF(OR(D4174="",N(J4174)=0),"",MIN(1,N(K4174)/J4174))</f>
        <v/>
      </c>
      <c r="M4174" s="5" t="n"/>
      <c r="N4174" s="5" t="n"/>
      <c r="O4174" s="5" t="n"/>
      <c r="P4174" s="5" t="n"/>
      <c r="Q4174" s="5" t="n"/>
      <c r="R4174" s="4" t="n"/>
      <c r="S4174" s="4" t="n"/>
      <c r="T4174" s="5" t="n"/>
      <c r="U4174" s="8">
        <f>IF(AND(V4174=1,D4174&lt;&gt;""),IF(D4174&gt;=corte,TODAY()-D4174,""),"")</f>
        <v/>
      </c>
      <c r="V4174" s="8">
        <f>IF(D4174="",0,IF(OR(AND(P4174&lt;&gt;"",S4174=""),AND(N(J4174)&gt;0,N(K4174)&lt;J4174),OR(M4174="PENDENTE",M4174="PARCIAL"),OR(N4174="PENDENTE",N4174="PARCIAL")),1,0))</f>
        <v/>
      </c>
      <c r="W4174" s="8">
        <f>IF(AND(V4174=1,D4174&lt;&gt;""),IF(D4174&gt;=corte,(B4174="CRÍTICO")*1E9+(100000-D4174)*10000+10000-ROW(),""),"")</f>
        <v/>
      </c>
      <c r="X4174" s="8">
        <f>IF(AND(V4174=1,D4174=pas_data,E4174=pas_turno),10000-ROW(),"")</f>
        <v/>
      </c>
    </row>
    <row r="4175">
      <c r="A4175" s="3">
        <f>IF(D4175="","","TT-"&amp;TEXT(ROW()-1,"00000"))</f>
        <v/>
      </c>
      <c r="B4175" s="3">
        <f>IF(D4175="","",IF(V4175=0,"CONCLUÍDO",IF(D4175&lt;corte,"HISTÓRICO",IF(OR(AND(ISNUMBER(R4175),R4175&lt;TODAY()),AND(OR(N4175="PENDENTE",N4175="PARCIAL"),D4175&lt;TODAY()-1)),"CRÍTICO",IF(OR(AND(P4175&lt;&gt;"",S4175=""),AND(N4175="REALIZADO",M4175="PENDENTE"),AND(ISNUMBER(R4175),R4175=TODAY())),"ATENÇÃO",IF(N(K4175)=0,"PENDENTE","EM ANDAMENTO"))))))</f>
        <v/>
      </c>
      <c r="C4175" s="3">
        <f>IF(D4175="","",IF(V4175=0,"🟢 OK",IF(D4175&lt;corte,"⚪ HISTÓRICO (sem baixa)",IF(AND(ISNUMBER(R4175),R4175&lt;TODAY()),"🔴 PRAZO VENCIDO",IF(AND(OR(N4175="PENDENTE",N4175="PARCIAL"),D4175&lt;TODAY()-1),"🔴 EMBARQUE ATRASADO",IF(AND(N4175="REALIZADO",M4175="PENDENTE"),"🟡 EMBARCADO SEM FATURAR",IF(AND(P4175&lt;&gt;"",S4175="",OR(Q4175="",R4175="")),"🟡 PENDÊNCIA SEM RESPONSÁVEL/PRAZO",IF(AND(ISNUMBER(R4175),R4175=TODAY()),"🟡 VENCE HOJE",IF(AND(P4175&lt;&gt;"",S4175=""),"🟡 PENDÊNCIA ABERTA",IF(AND(N(J4175)&gt;0,N(K4175)&lt;J4175),"🟡 FALTA EXECUTAR",IF(OR(M4175="PENDENTE",M4175="PARCIAL"),"🟡 FATURAMENTO PENDENTE","🟡 EMBARQUE PENDENTE")))))))))))</f>
        <v/>
      </c>
      <c r="D4175" s="4" t="n"/>
      <c r="E4175" s="5" t="n"/>
      <c r="F4175" s="5" t="n"/>
      <c r="G4175" s="5" t="n"/>
      <c r="H4175" s="5" t="n"/>
      <c r="I4175" s="5" t="n"/>
      <c r="J4175" s="6" t="n"/>
      <c r="K4175" s="6" t="n"/>
      <c r="L4175" s="7">
        <f>IF(OR(D4175="",N(J4175)=0),"",MIN(1,N(K4175)/J4175))</f>
        <v/>
      </c>
      <c r="M4175" s="5" t="n"/>
      <c r="N4175" s="5" t="n"/>
      <c r="O4175" s="5" t="n"/>
      <c r="P4175" s="5" t="n"/>
      <c r="Q4175" s="5" t="n"/>
      <c r="R4175" s="4" t="n"/>
      <c r="S4175" s="4" t="n"/>
      <c r="T4175" s="5" t="n"/>
      <c r="U4175" s="8">
        <f>IF(AND(V4175=1,D4175&lt;&gt;""),IF(D4175&gt;=corte,TODAY()-D4175,""),"")</f>
        <v/>
      </c>
      <c r="V4175" s="8">
        <f>IF(D4175="",0,IF(OR(AND(P4175&lt;&gt;"",S4175=""),AND(N(J4175)&gt;0,N(K4175)&lt;J4175),OR(M4175="PENDENTE",M4175="PARCIAL"),OR(N4175="PENDENTE",N4175="PARCIAL")),1,0))</f>
        <v/>
      </c>
      <c r="W4175" s="8">
        <f>IF(AND(V4175=1,D4175&lt;&gt;""),IF(D4175&gt;=corte,(B4175="CRÍTICO")*1E9+(100000-D4175)*10000+10000-ROW(),""),"")</f>
        <v/>
      </c>
      <c r="X4175" s="8">
        <f>IF(AND(V4175=1,D4175=pas_data,E4175=pas_turno),10000-ROW(),"")</f>
        <v/>
      </c>
    </row>
    <row r="4176">
      <c r="A4176" s="3">
        <f>IF(D4176="","","TT-"&amp;TEXT(ROW()-1,"00000"))</f>
        <v/>
      </c>
      <c r="B4176" s="3">
        <f>IF(D4176="","",IF(V4176=0,"CONCLUÍDO",IF(D4176&lt;corte,"HISTÓRICO",IF(OR(AND(ISNUMBER(R4176),R4176&lt;TODAY()),AND(OR(N4176="PENDENTE",N4176="PARCIAL"),D4176&lt;TODAY()-1)),"CRÍTICO",IF(OR(AND(P4176&lt;&gt;"",S4176=""),AND(N4176="REALIZADO",M4176="PENDENTE"),AND(ISNUMBER(R4176),R4176=TODAY())),"ATENÇÃO",IF(N(K4176)=0,"PENDENTE","EM ANDAMENTO"))))))</f>
        <v/>
      </c>
      <c r="C4176" s="3">
        <f>IF(D4176="","",IF(V4176=0,"🟢 OK",IF(D4176&lt;corte,"⚪ HISTÓRICO (sem baixa)",IF(AND(ISNUMBER(R4176),R4176&lt;TODAY()),"🔴 PRAZO VENCIDO",IF(AND(OR(N4176="PENDENTE",N4176="PARCIAL"),D4176&lt;TODAY()-1),"🔴 EMBARQUE ATRASADO",IF(AND(N4176="REALIZADO",M4176="PENDENTE"),"🟡 EMBARCADO SEM FATURAR",IF(AND(P4176&lt;&gt;"",S4176="",OR(Q4176="",R4176="")),"🟡 PENDÊNCIA SEM RESPONSÁVEL/PRAZO",IF(AND(ISNUMBER(R4176),R4176=TODAY()),"🟡 VENCE HOJE",IF(AND(P4176&lt;&gt;"",S4176=""),"🟡 PENDÊNCIA ABERTA",IF(AND(N(J4176)&gt;0,N(K4176)&lt;J4176),"🟡 FALTA EXECUTAR",IF(OR(M4176="PENDENTE",M4176="PARCIAL"),"🟡 FATURAMENTO PENDENTE","🟡 EMBARQUE PENDENTE")))))))))))</f>
        <v/>
      </c>
      <c r="D4176" s="4" t="n"/>
      <c r="E4176" s="5" t="n"/>
      <c r="F4176" s="5" t="n"/>
      <c r="G4176" s="5" t="n"/>
      <c r="H4176" s="5" t="n"/>
      <c r="I4176" s="5" t="n"/>
      <c r="J4176" s="6" t="n"/>
      <c r="K4176" s="6" t="n"/>
      <c r="L4176" s="7">
        <f>IF(OR(D4176="",N(J4176)=0),"",MIN(1,N(K4176)/J4176))</f>
        <v/>
      </c>
      <c r="M4176" s="5" t="n"/>
      <c r="N4176" s="5" t="n"/>
      <c r="O4176" s="5" t="n"/>
      <c r="P4176" s="5" t="n"/>
      <c r="Q4176" s="5" t="n"/>
      <c r="R4176" s="4" t="n"/>
      <c r="S4176" s="4" t="n"/>
      <c r="T4176" s="5" t="n"/>
      <c r="U4176" s="8">
        <f>IF(AND(V4176=1,D4176&lt;&gt;""),IF(D4176&gt;=corte,TODAY()-D4176,""),"")</f>
        <v/>
      </c>
      <c r="V4176" s="8">
        <f>IF(D4176="",0,IF(OR(AND(P4176&lt;&gt;"",S4176=""),AND(N(J4176)&gt;0,N(K4176)&lt;J4176),OR(M4176="PENDENTE",M4176="PARCIAL"),OR(N4176="PENDENTE",N4176="PARCIAL")),1,0))</f>
        <v/>
      </c>
      <c r="W4176" s="8">
        <f>IF(AND(V4176=1,D4176&lt;&gt;""),IF(D4176&gt;=corte,(B4176="CRÍTICO")*1E9+(100000-D4176)*10000+10000-ROW(),""),"")</f>
        <v/>
      </c>
      <c r="X4176" s="8">
        <f>IF(AND(V4176=1,D4176=pas_data,E4176=pas_turno),10000-ROW(),"")</f>
        <v/>
      </c>
    </row>
    <row r="4177">
      <c r="A4177" s="3">
        <f>IF(D4177="","","TT-"&amp;TEXT(ROW()-1,"00000"))</f>
        <v/>
      </c>
      <c r="B4177" s="3">
        <f>IF(D4177="","",IF(V4177=0,"CONCLUÍDO",IF(D4177&lt;corte,"HISTÓRICO",IF(OR(AND(ISNUMBER(R4177),R4177&lt;TODAY()),AND(OR(N4177="PENDENTE",N4177="PARCIAL"),D4177&lt;TODAY()-1)),"CRÍTICO",IF(OR(AND(P4177&lt;&gt;"",S4177=""),AND(N4177="REALIZADO",M4177="PENDENTE"),AND(ISNUMBER(R4177),R4177=TODAY())),"ATENÇÃO",IF(N(K4177)=0,"PENDENTE","EM ANDAMENTO"))))))</f>
        <v/>
      </c>
      <c r="C4177" s="3">
        <f>IF(D4177="","",IF(V4177=0,"🟢 OK",IF(D4177&lt;corte,"⚪ HISTÓRICO (sem baixa)",IF(AND(ISNUMBER(R4177),R4177&lt;TODAY()),"🔴 PRAZO VENCIDO",IF(AND(OR(N4177="PENDENTE",N4177="PARCIAL"),D4177&lt;TODAY()-1),"🔴 EMBARQUE ATRASADO",IF(AND(N4177="REALIZADO",M4177="PENDENTE"),"🟡 EMBARCADO SEM FATURAR",IF(AND(P4177&lt;&gt;"",S4177="",OR(Q4177="",R4177="")),"🟡 PENDÊNCIA SEM RESPONSÁVEL/PRAZO",IF(AND(ISNUMBER(R4177),R4177=TODAY()),"🟡 VENCE HOJE",IF(AND(P4177&lt;&gt;"",S4177=""),"🟡 PENDÊNCIA ABERTA",IF(AND(N(J4177)&gt;0,N(K4177)&lt;J4177),"🟡 FALTA EXECUTAR",IF(OR(M4177="PENDENTE",M4177="PARCIAL"),"🟡 FATURAMENTO PENDENTE","🟡 EMBARQUE PENDENTE")))))))))))</f>
        <v/>
      </c>
      <c r="D4177" s="4" t="n"/>
      <c r="E4177" s="5" t="n"/>
      <c r="F4177" s="5" t="n"/>
      <c r="G4177" s="5" t="n"/>
      <c r="H4177" s="5" t="n"/>
      <c r="I4177" s="5" t="n"/>
      <c r="J4177" s="6" t="n"/>
      <c r="K4177" s="6" t="n"/>
      <c r="L4177" s="7">
        <f>IF(OR(D4177="",N(J4177)=0),"",MIN(1,N(K4177)/J4177))</f>
        <v/>
      </c>
      <c r="M4177" s="5" t="n"/>
      <c r="N4177" s="5" t="n"/>
      <c r="O4177" s="5" t="n"/>
      <c r="P4177" s="5" t="n"/>
      <c r="Q4177" s="5" t="n"/>
      <c r="R4177" s="4" t="n"/>
      <c r="S4177" s="4" t="n"/>
      <c r="T4177" s="5" t="n"/>
      <c r="U4177" s="8">
        <f>IF(AND(V4177=1,D4177&lt;&gt;""),IF(D4177&gt;=corte,TODAY()-D4177,""),"")</f>
        <v/>
      </c>
      <c r="V4177" s="8">
        <f>IF(D4177="",0,IF(OR(AND(P4177&lt;&gt;"",S4177=""),AND(N(J4177)&gt;0,N(K4177)&lt;J4177),OR(M4177="PENDENTE",M4177="PARCIAL"),OR(N4177="PENDENTE",N4177="PARCIAL")),1,0))</f>
        <v/>
      </c>
      <c r="W4177" s="8">
        <f>IF(AND(V4177=1,D4177&lt;&gt;""),IF(D4177&gt;=corte,(B4177="CRÍTICO")*1E9+(100000-D4177)*10000+10000-ROW(),""),"")</f>
        <v/>
      </c>
      <c r="X4177" s="8">
        <f>IF(AND(V4177=1,D4177=pas_data,E4177=pas_turno),10000-ROW(),"")</f>
        <v/>
      </c>
    </row>
    <row r="4178">
      <c r="A4178" s="3">
        <f>IF(D4178="","","TT-"&amp;TEXT(ROW()-1,"00000"))</f>
        <v/>
      </c>
      <c r="B4178" s="3">
        <f>IF(D4178="","",IF(V4178=0,"CONCLUÍDO",IF(D4178&lt;corte,"HISTÓRICO",IF(OR(AND(ISNUMBER(R4178),R4178&lt;TODAY()),AND(OR(N4178="PENDENTE",N4178="PARCIAL"),D4178&lt;TODAY()-1)),"CRÍTICO",IF(OR(AND(P4178&lt;&gt;"",S4178=""),AND(N4178="REALIZADO",M4178="PENDENTE"),AND(ISNUMBER(R4178),R4178=TODAY())),"ATENÇÃO",IF(N(K4178)=0,"PENDENTE","EM ANDAMENTO"))))))</f>
        <v/>
      </c>
      <c r="C4178" s="3">
        <f>IF(D4178="","",IF(V4178=0,"🟢 OK",IF(D4178&lt;corte,"⚪ HISTÓRICO (sem baixa)",IF(AND(ISNUMBER(R4178),R4178&lt;TODAY()),"🔴 PRAZO VENCIDO",IF(AND(OR(N4178="PENDENTE",N4178="PARCIAL"),D4178&lt;TODAY()-1),"🔴 EMBARQUE ATRASADO",IF(AND(N4178="REALIZADO",M4178="PENDENTE"),"🟡 EMBARCADO SEM FATURAR",IF(AND(P4178&lt;&gt;"",S4178="",OR(Q4178="",R4178="")),"🟡 PENDÊNCIA SEM RESPONSÁVEL/PRAZO",IF(AND(ISNUMBER(R4178),R4178=TODAY()),"🟡 VENCE HOJE",IF(AND(P4178&lt;&gt;"",S4178=""),"🟡 PENDÊNCIA ABERTA",IF(AND(N(J4178)&gt;0,N(K4178)&lt;J4178),"🟡 FALTA EXECUTAR",IF(OR(M4178="PENDENTE",M4178="PARCIAL"),"🟡 FATURAMENTO PENDENTE","🟡 EMBARQUE PENDENTE")))))))))))</f>
        <v/>
      </c>
      <c r="D4178" s="4" t="n"/>
      <c r="E4178" s="5" t="n"/>
      <c r="F4178" s="5" t="n"/>
      <c r="G4178" s="5" t="n"/>
      <c r="H4178" s="5" t="n"/>
      <c r="I4178" s="5" t="n"/>
      <c r="J4178" s="6" t="n"/>
      <c r="K4178" s="6" t="n"/>
      <c r="L4178" s="7">
        <f>IF(OR(D4178="",N(J4178)=0),"",MIN(1,N(K4178)/J4178))</f>
        <v/>
      </c>
      <c r="M4178" s="5" t="n"/>
      <c r="N4178" s="5" t="n"/>
      <c r="O4178" s="5" t="n"/>
      <c r="P4178" s="5" t="n"/>
      <c r="Q4178" s="5" t="n"/>
      <c r="R4178" s="4" t="n"/>
      <c r="S4178" s="4" t="n"/>
      <c r="T4178" s="5" t="n"/>
      <c r="U4178" s="8">
        <f>IF(AND(V4178=1,D4178&lt;&gt;""),IF(D4178&gt;=corte,TODAY()-D4178,""),"")</f>
        <v/>
      </c>
      <c r="V4178" s="8">
        <f>IF(D4178="",0,IF(OR(AND(P4178&lt;&gt;"",S4178=""),AND(N(J4178)&gt;0,N(K4178)&lt;J4178),OR(M4178="PENDENTE",M4178="PARCIAL"),OR(N4178="PENDENTE",N4178="PARCIAL")),1,0))</f>
        <v/>
      </c>
      <c r="W4178" s="8">
        <f>IF(AND(V4178=1,D4178&lt;&gt;""),IF(D4178&gt;=corte,(B4178="CRÍTICO")*1E9+(100000-D4178)*10000+10000-ROW(),""),"")</f>
        <v/>
      </c>
      <c r="X4178" s="8">
        <f>IF(AND(V4178=1,D4178=pas_data,E4178=pas_turno),10000-ROW(),"")</f>
        <v/>
      </c>
    </row>
    <row r="4179">
      <c r="A4179" s="3">
        <f>IF(D4179="","","TT-"&amp;TEXT(ROW()-1,"00000"))</f>
        <v/>
      </c>
      <c r="B4179" s="3">
        <f>IF(D4179="","",IF(V4179=0,"CONCLUÍDO",IF(D4179&lt;corte,"HISTÓRICO",IF(OR(AND(ISNUMBER(R4179),R4179&lt;TODAY()),AND(OR(N4179="PENDENTE",N4179="PARCIAL"),D4179&lt;TODAY()-1)),"CRÍTICO",IF(OR(AND(P4179&lt;&gt;"",S4179=""),AND(N4179="REALIZADO",M4179="PENDENTE"),AND(ISNUMBER(R4179),R4179=TODAY())),"ATENÇÃO",IF(N(K4179)=0,"PENDENTE","EM ANDAMENTO"))))))</f>
        <v/>
      </c>
      <c r="C4179" s="3">
        <f>IF(D4179="","",IF(V4179=0,"🟢 OK",IF(D4179&lt;corte,"⚪ HISTÓRICO (sem baixa)",IF(AND(ISNUMBER(R4179),R4179&lt;TODAY()),"🔴 PRAZO VENCIDO",IF(AND(OR(N4179="PENDENTE",N4179="PARCIAL"),D4179&lt;TODAY()-1),"🔴 EMBARQUE ATRASADO",IF(AND(N4179="REALIZADO",M4179="PENDENTE"),"🟡 EMBARCADO SEM FATURAR",IF(AND(P4179&lt;&gt;"",S4179="",OR(Q4179="",R4179="")),"🟡 PENDÊNCIA SEM RESPONSÁVEL/PRAZO",IF(AND(ISNUMBER(R4179),R4179=TODAY()),"🟡 VENCE HOJE",IF(AND(P4179&lt;&gt;"",S4179=""),"🟡 PENDÊNCIA ABERTA",IF(AND(N(J4179)&gt;0,N(K4179)&lt;J4179),"🟡 FALTA EXECUTAR",IF(OR(M4179="PENDENTE",M4179="PARCIAL"),"🟡 FATURAMENTO PENDENTE","🟡 EMBARQUE PENDENTE")))))))))))</f>
        <v/>
      </c>
      <c r="D4179" s="4" t="n"/>
      <c r="E4179" s="5" t="n"/>
      <c r="F4179" s="5" t="n"/>
      <c r="G4179" s="5" t="n"/>
      <c r="H4179" s="5" t="n"/>
      <c r="I4179" s="5" t="n"/>
      <c r="J4179" s="6" t="n"/>
      <c r="K4179" s="6" t="n"/>
      <c r="L4179" s="7">
        <f>IF(OR(D4179="",N(J4179)=0),"",MIN(1,N(K4179)/J4179))</f>
        <v/>
      </c>
      <c r="M4179" s="5" t="n"/>
      <c r="N4179" s="5" t="n"/>
      <c r="O4179" s="5" t="n"/>
      <c r="P4179" s="5" t="n"/>
      <c r="Q4179" s="5" t="n"/>
      <c r="R4179" s="4" t="n"/>
      <c r="S4179" s="4" t="n"/>
      <c r="T4179" s="5" t="n"/>
      <c r="U4179" s="8">
        <f>IF(AND(V4179=1,D4179&lt;&gt;""),IF(D4179&gt;=corte,TODAY()-D4179,""),"")</f>
        <v/>
      </c>
      <c r="V4179" s="8">
        <f>IF(D4179="",0,IF(OR(AND(P4179&lt;&gt;"",S4179=""),AND(N(J4179)&gt;0,N(K4179)&lt;J4179),OR(M4179="PENDENTE",M4179="PARCIAL"),OR(N4179="PENDENTE",N4179="PARCIAL")),1,0))</f>
        <v/>
      </c>
      <c r="W4179" s="8">
        <f>IF(AND(V4179=1,D4179&lt;&gt;""),IF(D4179&gt;=corte,(B4179="CRÍTICO")*1E9+(100000-D4179)*10000+10000-ROW(),""),"")</f>
        <v/>
      </c>
      <c r="X4179" s="8">
        <f>IF(AND(V4179=1,D4179=pas_data,E4179=pas_turno),10000-ROW(),"")</f>
        <v/>
      </c>
    </row>
    <row r="4180">
      <c r="A4180" s="3">
        <f>IF(D4180="","","TT-"&amp;TEXT(ROW()-1,"00000"))</f>
        <v/>
      </c>
      <c r="B4180" s="3">
        <f>IF(D4180="","",IF(V4180=0,"CONCLUÍDO",IF(D4180&lt;corte,"HISTÓRICO",IF(OR(AND(ISNUMBER(R4180),R4180&lt;TODAY()),AND(OR(N4180="PENDENTE",N4180="PARCIAL"),D4180&lt;TODAY()-1)),"CRÍTICO",IF(OR(AND(P4180&lt;&gt;"",S4180=""),AND(N4180="REALIZADO",M4180="PENDENTE"),AND(ISNUMBER(R4180),R4180=TODAY())),"ATENÇÃO",IF(N(K4180)=0,"PENDENTE","EM ANDAMENTO"))))))</f>
        <v/>
      </c>
      <c r="C4180" s="3">
        <f>IF(D4180="","",IF(V4180=0,"🟢 OK",IF(D4180&lt;corte,"⚪ HISTÓRICO (sem baixa)",IF(AND(ISNUMBER(R4180),R4180&lt;TODAY()),"🔴 PRAZO VENCIDO",IF(AND(OR(N4180="PENDENTE",N4180="PARCIAL"),D4180&lt;TODAY()-1),"🔴 EMBARQUE ATRASADO",IF(AND(N4180="REALIZADO",M4180="PENDENTE"),"🟡 EMBARCADO SEM FATURAR",IF(AND(P4180&lt;&gt;"",S4180="",OR(Q4180="",R4180="")),"🟡 PENDÊNCIA SEM RESPONSÁVEL/PRAZO",IF(AND(ISNUMBER(R4180),R4180=TODAY()),"🟡 VENCE HOJE",IF(AND(P4180&lt;&gt;"",S4180=""),"🟡 PENDÊNCIA ABERTA",IF(AND(N(J4180)&gt;0,N(K4180)&lt;J4180),"🟡 FALTA EXECUTAR",IF(OR(M4180="PENDENTE",M4180="PARCIAL"),"🟡 FATURAMENTO PENDENTE","🟡 EMBARQUE PENDENTE")))))))))))</f>
        <v/>
      </c>
      <c r="D4180" s="4" t="n"/>
      <c r="E4180" s="5" t="n"/>
      <c r="F4180" s="5" t="n"/>
      <c r="G4180" s="5" t="n"/>
      <c r="H4180" s="5" t="n"/>
      <c r="I4180" s="5" t="n"/>
      <c r="J4180" s="6" t="n"/>
      <c r="K4180" s="6" t="n"/>
      <c r="L4180" s="7">
        <f>IF(OR(D4180="",N(J4180)=0),"",MIN(1,N(K4180)/J4180))</f>
        <v/>
      </c>
      <c r="M4180" s="5" t="n"/>
      <c r="N4180" s="5" t="n"/>
      <c r="O4180" s="5" t="n"/>
      <c r="P4180" s="5" t="n"/>
      <c r="Q4180" s="5" t="n"/>
      <c r="R4180" s="4" t="n"/>
      <c r="S4180" s="4" t="n"/>
      <c r="T4180" s="5" t="n"/>
      <c r="U4180" s="8">
        <f>IF(AND(V4180=1,D4180&lt;&gt;""),IF(D4180&gt;=corte,TODAY()-D4180,""),"")</f>
        <v/>
      </c>
      <c r="V4180" s="8">
        <f>IF(D4180="",0,IF(OR(AND(P4180&lt;&gt;"",S4180=""),AND(N(J4180)&gt;0,N(K4180)&lt;J4180),OR(M4180="PENDENTE",M4180="PARCIAL"),OR(N4180="PENDENTE",N4180="PARCIAL")),1,0))</f>
        <v/>
      </c>
      <c r="W4180" s="8">
        <f>IF(AND(V4180=1,D4180&lt;&gt;""),IF(D4180&gt;=corte,(B4180="CRÍTICO")*1E9+(100000-D4180)*10000+10000-ROW(),""),"")</f>
        <v/>
      </c>
      <c r="X4180" s="8">
        <f>IF(AND(V4180=1,D4180=pas_data,E4180=pas_turno),10000-ROW(),"")</f>
        <v/>
      </c>
    </row>
    <row r="4181">
      <c r="A4181" s="3">
        <f>IF(D4181="","","TT-"&amp;TEXT(ROW()-1,"00000"))</f>
        <v/>
      </c>
      <c r="B4181" s="3">
        <f>IF(D4181="","",IF(V4181=0,"CONCLUÍDO",IF(D4181&lt;corte,"HISTÓRICO",IF(OR(AND(ISNUMBER(R4181),R4181&lt;TODAY()),AND(OR(N4181="PENDENTE",N4181="PARCIAL"),D4181&lt;TODAY()-1)),"CRÍTICO",IF(OR(AND(P4181&lt;&gt;"",S4181=""),AND(N4181="REALIZADO",M4181="PENDENTE"),AND(ISNUMBER(R4181),R4181=TODAY())),"ATENÇÃO",IF(N(K4181)=0,"PENDENTE","EM ANDAMENTO"))))))</f>
        <v/>
      </c>
      <c r="C4181" s="3">
        <f>IF(D4181="","",IF(V4181=0,"🟢 OK",IF(D4181&lt;corte,"⚪ HISTÓRICO (sem baixa)",IF(AND(ISNUMBER(R4181),R4181&lt;TODAY()),"🔴 PRAZO VENCIDO",IF(AND(OR(N4181="PENDENTE",N4181="PARCIAL"),D4181&lt;TODAY()-1),"🔴 EMBARQUE ATRASADO",IF(AND(N4181="REALIZADO",M4181="PENDENTE"),"🟡 EMBARCADO SEM FATURAR",IF(AND(P4181&lt;&gt;"",S4181="",OR(Q4181="",R4181="")),"🟡 PENDÊNCIA SEM RESPONSÁVEL/PRAZO",IF(AND(ISNUMBER(R4181),R4181=TODAY()),"🟡 VENCE HOJE",IF(AND(P4181&lt;&gt;"",S4181=""),"🟡 PENDÊNCIA ABERTA",IF(AND(N(J4181)&gt;0,N(K4181)&lt;J4181),"🟡 FALTA EXECUTAR",IF(OR(M4181="PENDENTE",M4181="PARCIAL"),"🟡 FATURAMENTO PENDENTE","🟡 EMBARQUE PENDENTE")))))))))))</f>
        <v/>
      </c>
      <c r="D4181" s="4" t="n"/>
      <c r="E4181" s="5" t="n"/>
      <c r="F4181" s="5" t="n"/>
      <c r="G4181" s="5" t="n"/>
      <c r="H4181" s="5" t="n"/>
      <c r="I4181" s="5" t="n"/>
      <c r="J4181" s="6" t="n"/>
      <c r="K4181" s="6" t="n"/>
      <c r="L4181" s="7">
        <f>IF(OR(D4181="",N(J4181)=0),"",MIN(1,N(K4181)/J4181))</f>
        <v/>
      </c>
      <c r="M4181" s="5" t="n"/>
      <c r="N4181" s="5" t="n"/>
      <c r="O4181" s="5" t="n"/>
      <c r="P4181" s="5" t="n"/>
      <c r="Q4181" s="5" t="n"/>
      <c r="R4181" s="4" t="n"/>
      <c r="S4181" s="4" t="n"/>
      <c r="T4181" s="5" t="n"/>
      <c r="U4181" s="8">
        <f>IF(AND(V4181=1,D4181&lt;&gt;""),IF(D4181&gt;=corte,TODAY()-D4181,""),"")</f>
        <v/>
      </c>
      <c r="V4181" s="8">
        <f>IF(D4181="",0,IF(OR(AND(P4181&lt;&gt;"",S4181=""),AND(N(J4181)&gt;0,N(K4181)&lt;J4181),OR(M4181="PENDENTE",M4181="PARCIAL"),OR(N4181="PENDENTE",N4181="PARCIAL")),1,0))</f>
        <v/>
      </c>
      <c r="W4181" s="8">
        <f>IF(AND(V4181=1,D4181&lt;&gt;""),IF(D4181&gt;=corte,(B4181="CRÍTICO")*1E9+(100000-D4181)*10000+10000-ROW(),""),"")</f>
        <v/>
      </c>
      <c r="X4181" s="8">
        <f>IF(AND(V4181=1,D4181=pas_data,E4181=pas_turno),10000-ROW(),"")</f>
        <v/>
      </c>
    </row>
    <row r="4182">
      <c r="A4182" s="3">
        <f>IF(D4182="","","TT-"&amp;TEXT(ROW()-1,"00000"))</f>
        <v/>
      </c>
      <c r="B4182" s="3">
        <f>IF(D4182="","",IF(V4182=0,"CONCLUÍDO",IF(D4182&lt;corte,"HISTÓRICO",IF(OR(AND(ISNUMBER(R4182),R4182&lt;TODAY()),AND(OR(N4182="PENDENTE",N4182="PARCIAL"),D4182&lt;TODAY()-1)),"CRÍTICO",IF(OR(AND(P4182&lt;&gt;"",S4182=""),AND(N4182="REALIZADO",M4182="PENDENTE"),AND(ISNUMBER(R4182),R4182=TODAY())),"ATENÇÃO",IF(N(K4182)=0,"PENDENTE","EM ANDAMENTO"))))))</f>
        <v/>
      </c>
      <c r="C4182" s="3">
        <f>IF(D4182="","",IF(V4182=0,"🟢 OK",IF(D4182&lt;corte,"⚪ HISTÓRICO (sem baixa)",IF(AND(ISNUMBER(R4182),R4182&lt;TODAY()),"🔴 PRAZO VENCIDO",IF(AND(OR(N4182="PENDENTE",N4182="PARCIAL"),D4182&lt;TODAY()-1),"🔴 EMBARQUE ATRASADO",IF(AND(N4182="REALIZADO",M4182="PENDENTE"),"🟡 EMBARCADO SEM FATURAR",IF(AND(P4182&lt;&gt;"",S4182="",OR(Q4182="",R4182="")),"🟡 PENDÊNCIA SEM RESPONSÁVEL/PRAZO",IF(AND(ISNUMBER(R4182),R4182=TODAY()),"🟡 VENCE HOJE",IF(AND(P4182&lt;&gt;"",S4182=""),"🟡 PENDÊNCIA ABERTA",IF(AND(N(J4182)&gt;0,N(K4182)&lt;J4182),"🟡 FALTA EXECUTAR",IF(OR(M4182="PENDENTE",M4182="PARCIAL"),"🟡 FATURAMENTO PENDENTE","🟡 EMBARQUE PENDENTE")))))))))))</f>
        <v/>
      </c>
      <c r="D4182" s="4" t="n"/>
      <c r="E4182" s="5" t="n"/>
      <c r="F4182" s="5" t="n"/>
      <c r="G4182" s="5" t="n"/>
      <c r="H4182" s="5" t="n"/>
      <c r="I4182" s="5" t="n"/>
      <c r="J4182" s="6" t="n"/>
      <c r="K4182" s="6" t="n"/>
      <c r="L4182" s="7">
        <f>IF(OR(D4182="",N(J4182)=0),"",MIN(1,N(K4182)/J4182))</f>
        <v/>
      </c>
      <c r="M4182" s="5" t="n"/>
      <c r="N4182" s="5" t="n"/>
      <c r="O4182" s="5" t="n"/>
      <c r="P4182" s="5" t="n"/>
      <c r="Q4182" s="5" t="n"/>
      <c r="R4182" s="4" t="n"/>
      <c r="S4182" s="4" t="n"/>
      <c r="T4182" s="5" t="n"/>
      <c r="U4182" s="8">
        <f>IF(AND(V4182=1,D4182&lt;&gt;""),IF(D4182&gt;=corte,TODAY()-D4182,""),"")</f>
        <v/>
      </c>
      <c r="V4182" s="8">
        <f>IF(D4182="",0,IF(OR(AND(P4182&lt;&gt;"",S4182=""),AND(N(J4182)&gt;0,N(K4182)&lt;J4182),OR(M4182="PENDENTE",M4182="PARCIAL"),OR(N4182="PENDENTE",N4182="PARCIAL")),1,0))</f>
        <v/>
      </c>
      <c r="W4182" s="8">
        <f>IF(AND(V4182=1,D4182&lt;&gt;""),IF(D4182&gt;=corte,(B4182="CRÍTICO")*1E9+(100000-D4182)*10000+10000-ROW(),""),"")</f>
        <v/>
      </c>
      <c r="X4182" s="8">
        <f>IF(AND(V4182=1,D4182=pas_data,E4182=pas_turno),10000-ROW(),"")</f>
        <v/>
      </c>
    </row>
    <row r="4183">
      <c r="A4183" s="3">
        <f>IF(D4183="","","TT-"&amp;TEXT(ROW()-1,"00000"))</f>
        <v/>
      </c>
      <c r="B4183" s="3">
        <f>IF(D4183="","",IF(V4183=0,"CONCLUÍDO",IF(D4183&lt;corte,"HISTÓRICO",IF(OR(AND(ISNUMBER(R4183),R4183&lt;TODAY()),AND(OR(N4183="PENDENTE",N4183="PARCIAL"),D4183&lt;TODAY()-1)),"CRÍTICO",IF(OR(AND(P4183&lt;&gt;"",S4183=""),AND(N4183="REALIZADO",M4183="PENDENTE"),AND(ISNUMBER(R4183),R4183=TODAY())),"ATENÇÃO",IF(N(K4183)=0,"PENDENTE","EM ANDAMENTO"))))))</f>
        <v/>
      </c>
      <c r="C4183" s="3">
        <f>IF(D4183="","",IF(V4183=0,"🟢 OK",IF(D4183&lt;corte,"⚪ HISTÓRICO (sem baixa)",IF(AND(ISNUMBER(R4183),R4183&lt;TODAY()),"🔴 PRAZO VENCIDO",IF(AND(OR(N4183="PENDENTE",N4183="PARCIAL"),D4183&lt;TODAY()-1),"🔴 EMBARQUE ATRASADO",IF(AND(N4183="REALIZADO",M4183="PENDENTE"),"🟡 EMBARCADO SEM FATURAR",IF(AND(P4183&lt;&gt;"",S4183="",OR(Q4183="",R4183="")),"🟡 PENDÊNCIA SEM RESPONSÁVEL/PRAZO",IF(AND(ISNUMBER(R4183),R4183=TODAY()),"🟡 VENCE HOJE",IF(AND(P4183&lt;&gt;"",S4183=""),"🟡 PENDÊNCIA ABERTA",IF(AND(N(J4183)&gt;0,N(K4183)&lt;J4183),"🟡 FALTA EXECUTAR",IF(OR(M4183="PENDENTE",M4183="PARCIAL"),"🟡 FATURAMENTO PENDENTE","🟡 EMBARQUE PENDENTE")))))))))))</f>
        <v/>
      </c>
      <c r="D4183" s="4" t="n"/>
      <c r="E4183" s="5" t="n"/>
      <c r="F4183" s="5" t="n"/>
      <c r="G4183" s="5" t="n"/>
      <c r="H4183" s="5" t="n"/>
      <c r="I4183" s="5" t="n"/>
      <c r="J4183" s="6" t="n"/>
      <c r="K4183" s="6" t="n"/>
      <c r="L4183" s="7">
        <f>IF(OR(D4183="",N(J4183)=0),"",MIN(1,N(K4183)/J4183))</f>
        <v/>
      </c>
      <c r="M4183" s="5" t="n"/>
      <c r="N4183" s="5" t="n"/>
      <c r="O4183" s="5" t="n"/>
      <c r="P4183" s="5" t="n"/>
      <c r="Q4183" s="5" t="n"/>
      <c r="R4183" s="4" t="n"/>
      <c r="S4183" s="4" t="n"/>
      <c r="T4183" s="5" t="n"/>
      <c r="U4183" s="8">
        <f>IF(AND(V4183=1,D4183&lt;&gt;""),IF(D4183&gt;=corte,TODAY()-D4183,""),"")</f>
        <v/>
      </c>
      <c r="V4183" s="8">
        <f>IF(D4183="",0,IF(OR(AND(P4183&lt;&gt;"",S4183=""),AND(N(J4183)&gt;0,N(K4183)&lt;J4183),OR(M4183="PENDENTE",M4183="PARCIAL"),OR(N4183="PENDENTE",N4183="PARCIAL")),1,0))</f>
        <v/>
      </c>
      <c r="W4183" s="8">
        <f>IF(AND(V4183=1,D4183&lt;&gt;""),IF(D4183&gt;=corte,(B4183="CRÍTICO")*1E9+(100000-D4183)*10000+10000-ROW(),""),"")</f>
        <v/>
      </c>
      <c r="X4183" s="8">
        <f>IF(AND(V4183=1,D4183=pas_data,E4183=pas_turno),10000-ROW(),"")</f>
        <v/>
      </c>
    </row>
    <row r="4184">
      <c r="A4184" s="3">
        <f>IF(D4184="","","TT-"&amp;TEXT(ROW()-1,"00000"))</f>
        <v/>
      </c>
      <c r="B4184" s="3">
        <f>IF(D4184="","",IF(V4184=0,"CONCLUÍDO",IF(D4184&lt;corte,"HISTÓRICO",IF(OR(AND(ISNUMBER(R4184),R4184&lt;TODAY()),AND(OR(N4184="PENDENTE",N4184="PARCIAL"),D4184&lt;TODAY()-1)),"CRÍTICO",IF(OR(AND(P4184&lt;&gt;"",S4184=""),AND(N4184="REALIZADO",M4184="PENDENTE"),AND(ISNUMBER(R4184),R4184=TODAY())),"ATENÇÃO",IF(N(K4184)=0,"PENDENTE","EM ANDAMENTO"))))))</f>
        <v/>
      </c>
      <c r="C4184" s="3">
        <f>IF(D4184="","",IF(V4184=0,"🟢 OK",IF(D4184&lt;corte,"⚪ HISTÓRICO (sem baixa)",IF(AND(ISNUMBER(R4184),R4184&lt;TODAY()),"🔴 PRAZO VENCIDO",IF(AND(OR(N4184="PENDENTE",N4184="PARCIAL"),D4184&lt;TODAY()-1),"🔴 EMBARQUE ATRASADO",IF(AND(N4184="REALIZADO",M4184="PENDENTE"),"🟡 EMBARCADO SEM FATURAR",IF(AND(P4184&lt;&gt;"",S4184="",OR(Q4184="",R4184="")),"🟡 PENDÊNCIA SEM RESPONSÁVEL/PRAZO",IF(AND(ISNUMBER(R4184),R4184=TODAY()),"🟡 VENCE HOJE",IF(AND(P4184&lt;&gt;"",S4184=""),"🟡 PENDÊNCIA ABERTA",IF(AND(N(J4184)&gt;0,N(K4184)&lt;J4184),"🟡 FALTA EXECUTAR",IF(OR(M4184="PENDENTE",M4184="PARCIAL"),"🟡 FATURAMENTO PENDENTE","🟡 EMBARQUE PENDENTE")))))))))))</f>
        <v/>
      </c>
      <c r="D4184" s="4" t="n"/>
      <c r="E4184" s="5" t="n"/>
      <c r="F4184" s="5" t="n"/>
      <c r="G4184" s="5" t="n"/>
      <c r="H4184" s="5" t="n"/>
      <c r="I4184" s="5" t="n"/>
      <c r="J4184" s="6" t="n"/>
      <c r="K4184" s="6" t="n"/>
      <c r="L4184" s="7">
        <f>IF(OR(D4184="",N(J4184)=0),"",MIN(1,N(K4184)/J4184))</f>
        <v/>
      </c>
      <c r="M4184" s="5" t="n"/>
      <c r="N4184" s="5" t="n"/>
      <c r="O4184" s="5" t="n"/>
      <c r="P4184" s="5" t="n"/>
      <c r="Q4184" s="5" t="n"/>
      <c r="R4184" s="4" t="n"/>
      <c r="S4184" s="4" t="n"/>
      <c r="T4184" s="5" t="n"/>
      <c r="U4184" s="8">
        <f>IF(AND(V4184=1,D4184&lt;&gt;""),IF(D4184&gt;=corte,TODAY()-D4184,""),"")</f>
        <v/>
      </c>
      <c r="V4184" s="8">
        <f>IF(D4184="",0,IF(OR(AND(P4184&lt;&gt;"",S4184=""),AND(N(J4184)&gt;0,N(K4184)&lt;J4184),OR(M4184="PENDENTE",M4184="PARCIAL"),OR(N4184="PENDENTE",N4184="PARCIAL")),1,0))</f>
        <v/>
      </c>
      <c r="W4184" s="8">
        <f>IF(AND(V4184=1,D4184&lt;&gt;""),IF(D4184&gt;=corte,(B4184="CRÍTICO")*1E9+(100000-D4184)*10000+10000-ROW(),""),"")</f>
        <v/>
      </c>
      <c r="X4184" s="8">
        <f>IF(AND(V4184=1,D4184=pas_data,E4184=pas_turno),10000-ROW(),"")</f>
        <v/>
      </c>
    </row>
    <row r="4185">
      <c r="A4185" s="3">
        <f>IF(D4185="","","TT-"&amp;TEXT(ROW()-1,"00000"))</f>
        <v/>
      </c>
      <c r="B4185" s="3">
        <f>IF(D4185="","",IF(V4185=0,"CONCLUÍDO",IF(D4185&lt;corte,"HISTÓRICO",IF(OR(AND(ISNUMBER(R4185),R4185&lt;TODAY()),AND(OR(N4185="PENDENTE",N4185="PARCIAL"),D4185&lt;TODAY()-1)),"CRÍTICO",IF(OR(AND(P4185&lt;&gt;"",S4185=""),AND(N4185="REALIZADO",M4185="PENDENTE"),AND(ISNUMBER(R4185),R4185=TODAY())),"ATENÇÃO",IF(N(K4185)=0,"PENDENTE","EM ANDAMENTO"))))))</f>
        <v/>
      </c>
      <c r="C4185" s="3">
        <f>IF(D4185="","",IF(V4185=0,"🟢 OK",IF(D4185&lt;corte,"⚪ HISTÓRICO (sem baixa)",IF(AND(ISNUMBER(R4185),R4185&lt;TODAY()),"🔴 PRAZO VENCIDO",IF(AND(OR(N4185="PENDENTE",N4185="PARCIAL"),D4185&lt;TODAY()-1),"🔴 EMBARQUE ATRASADO",IF(AND(N4185="REALIZADO",M4185="PENDENTE"),"🟡 EMBARCADO SEM FATURAR",IF(AND(P4185&lt;&gt;"",S4185="",OR(Q4185="",R4185="")),"🟡 PENDÊNCIA SEM RESPONSÁVEL/PRAZO",IF(AND(ISNUMBER(R4185),R4185=TODAY()),"🟡 VENCE HOJE",IF(AND(P4185&lt;&gt;"",S4185=""),"🟡 PENDÊNCIA ABERTA",IF(AND(N(J4185)&gt;0,N(K4185)&lt;J4185),"🟡 FALTA EXECUTAR",IF(OR(M4185="PENDENTE",M4185="PARCIAL"),"🟡 FATURAMENTO PENDENTE","🟡 EMBARQUE PENDENTE")))))))))))</f>
        <v/>
      </c>
      <c r="D4185" s="4" t="n"/>
      <c r="E4185" s="5" t="n"/>
      <c r="F4185" s="5" t="n"/>
      <c r="G4185" s="5" t="n"/>
      <c r="H4185" s="5" t="n"/>
      <c r="I4185" s="5" t="n"/>
      <c r="J4185" s="6" t="n"/>
      <c r="K4185" s="6" t="n"/>
      <c r="L4185" s="7">
        <f>IF(OR(D4185="",N(J4185)=0),"",MIN(1,N(K4185)/J4185))</f>
        <v/>
      </c>
      <c r="M4185" s="5" t="n"/>
      <c r="N4185" s="5" t="n"/>
      <c r="O4185" s="5" t="n"/>
      <c r="P4185" s="5" t="n"/>
      <c r="Q4185" s="5" t="n"/>
      <c r="R4185" s="4" t="n"/>
      <c r="S4185" s="4" t="n"/>
      <c r="T4185" s="5" t="n"/>
      <c r="U4185" s="8">
        <f>IF(AND(V4185=1,D4185&lt;&gt;""),IF(D4185&gt;=corte,TODAY()-D4185,""),"")</f>
        <v/>
      </c>
      <c r="V4185" s="8">
        <f>IF(D4185="",0,IF(OR(AND(P4185&lt;&gt;"",S4185=""),AND(N(J4185)&gt;0,N(K4185)&lt;J4185),OR(M4185="PENDENTE",M4185="PARCIAL"),OR(N4185="PENDENTE",N4185="PARCIAL")),1,0))</f>
        <v/>
      </c>
      <c r="W4185" s="8">
        <f>IF(AND(V4185=1,D4185&lt;&gt;""),IF(D4185&gt;=corte,(B4185="CRÍTICO")*1E9+(100000-D4185)*10000+10000-ROW(),""),"")</f>
        <v/>
      </c>
      <c r="X4185" s="8">
        <f>IF(AND(V4185=1,D4185=pas_data,E4185=pas_turno),10000-ROW(),"")</f>
        <v/>
      </c>
    </row>
    <row r="4186">
      <c r="A4186" s="3">
        <f>IF(D4186="","","TT-"&amp;TEXT(ROW()-1,"00000"))</f>
        <v/>
      </c>
      <c r="B4186" s="3">
        <f>IF(D4186="","",IF(V4186=0,"CONCLUÍDO",IF(D4186&lt;corte,"HISTÓRICO",IF(OR(AND(ISNUMBER(R4186),R4186&lt;TODAY()),AND(OR(N4186="PENDENTE",N4186="PARCIAL"),D4186&lt;TODAY()-1)),"CRÍTICO",IF(OR(AND(P4186&lt;&gt;"",S4186=""),AND(N4186="REALIZADO",M4186="PENDENTE"),AND(ISNUMBER(R4186),R4186=TODAY())),"ATENÇÃO",IF(N(K4186)=0,"PENDENTE","EM ANDAMENTO"))))))</f>
        <v/>
      </c>
      <c r="C4186" s="3">
        <f>IF(D4186="","",IF(V4186=0,"🟢 OK",IF(D4186&lt;corte,"⚪ HISTÓRICO (sem baixa)",IF(AND(ISNUMBER(R4186),R4186&lt;TODAY()),"🔴 PRAZO VENCIDO",IF(AND(OR(N4186="PENDENTE",N4186="PARCIAL"),D4186&lt;TODAY()-1),"🔴 EMBARQUE ATRASADO",IF(AND(N4186="REALIZADO",M4186="PENDENTE"),"🟡 EMBARCADO SEM FATURAR",IF(AND(P4186&lt;&gt;"",S4186="",OR(Q4186="",R4186="")),"🟡 PENDÊNCIA SEM RESPONSÁVEL/PRAZO",IF(AND(ISNUMBER(R4186),R4186=TODAY()),"🟡 VENCE HOJE",IF(AND(P4186&lt;&gt;"",S4186=""),"🟡 PENDÊNCIA ABERTA",IF(AND(N(J4186)&gt;0,N(K4186)&lt;J4186),"🟡 FALTA EXECUTAR",IF(OR(M4186="PENDENTE",M4186="PARCIAL"),"🟡 FATURAMENTO PENDENTE","🟡 EMBARQUE PENDENTE")))))))))))</f>
        <v/>
      </c>
      <c r="D4186" s="4" t="n"/>
      <c r="E4186" s="5" t="n"/>
      <c r="F4186" s="5" t="n"/>
      <c r="G4186" s="5" t="n"/>
      <c r="H4186" s="5" t="n"/>
      <c r="I4186" s="5" t="n"/>
      <c r="J4186" s="6" t="n"/>
      <c r="K4186" s="6" t="n"/>
      <c r="L4186" s="7">
        <f>IF(OR(D4186="",N(J4186)=0),"",MIN(1,N(K4186)/J4186))</f>
        <v/>
      </c>
      <c r="M4186" s="5" t="n"/>
      <c r="N4186" s="5" t="n"/>
      <c r="O4186" s="5" t="n"/>
      <c r="P4186" s="5" t="n"/>
      <c r="Q4186" s="5" t="n"/>
      <c r="R4186" s="4" t="n"/>
      <c r="S4186" s="4" t="n"/>
      <c r="T4186" s="5" t="n"/>
      <c r="U4186" s="8">
        <f>IF(AND(V4186=1,D4186&lt;&gt;""),IF(D4186&gt;=corte,TODAY()-D4186,""),"")</f>
        <v/>
      </c>
      <c r="V4186" s="8">
        <f>IF(D4186="",0,IF(OR(AND(P4186&lt;&gt;"",S4186=""),AND(N(J4186)&gt;0,N(K4186)&lt;J4186),OR(M4186="PENDENTE",M4186="PARCIAL"),OR(N4186="PENDENTE",N4186="PARCIAL")),1,0))</f>
        <v/>
      </c>
      <c r="W4186" s="8">
        <f>IF(AND(V4186=1,D4186&lt;&gt;""),IF(D4186&gt;=corte,(B4186="CRÍTICO")*1E9+(100000-D4186)*10000+10000-ROW(),""),"")</f>
        <v/>
      </c>
      <c r="X4186" s="8">
        <f>IF(AND(V4186=1,D4186=pas_data,E4186=pas_turno),10000-ROW(),"")</f>
        <v/>
      </c>
    </row>
    <row r="4187">
      <c r="A4187" s="3">
        <f>IF(D4187="","","TT-"&amp;TEXT(ROW()-1,"00000"))</f>
        <v/>
      </c>
      <c r="B4187" s="3">
        <f>IF(D4187="","",IF(V4187=0,"CONCLUÍDO",IF(D4187&lt;corte,"HISTÓRICO",IF(OR(AND(ISNUMBER(R4187),R4187&lt;TODAY()),AND(OR(N4187="PENDENTE",N4187="PARCIAL"),D4187&lt;TODAY()-1)),"CRÍTICO",IF(OR(AND(P4187&lt;&gt;"",S4187=""),AND(N4187="REALIZADO",M4187="PENDENTE"),AND(ISNUMBER(R4187),R4187=TODAY())),"ATENÇÃO",IF(N(K4187)=0,"PENDENTE","EM ANDAMENTO"))))))</f>
        <v/>
      </c>
      <c r="C4187" s="3">
        <f>IF(D4187="","",IF(V4187=0,"🟢 OK",IF(D4187&lt;corte,"⚪ HISTÓRICO (sem baixa)",IF(AND(ISNUMBER(R4187),R4187&lt;TODAY()),"🔴 PRAZO VENCIDO",IF(AND(OR(N4187="PENDENTE",N4187="PARCIAL"),D4187&lt;TODAY()-1),"🔴 EMBARQUE ATRASADO",IF(AND(N4187="REALIZADO",M4187="PENDENTE"),"🟡 EMBARCADO SEM FATURAR",IF(AND(P4187&lt;&gt;"",S4187="",OR(Q4187="",R4187="")),"🟡 PENDÊNCIA SEM RESPONSÁVEL/PRAZO",IF(AND(ISNUMBER(R4187),R4187=TODAY()),"🟡 VENCE HOJE",IF(AND(P4187&lt;&gt;"",S4187=""),"🟡 PENDÊNCIA ABERTA",IF(AND(N(J4187)&gt;0,N(K4187)&lt;J4187),"🟡 FALTA EXECUTAR",IF(OR(M4187="PENDENTE",M4187="PARCIAL"),"🟡 FATURAMENTO PENDENTE","🟡 EMBARQUE PENDENTE")))))))))))</f>
        <v/>
      </c>
      <c r="D4187" s="4" t="n"/>
      <c r="E4187" s="5" t="n"/>
      <c r="F4187" s="5" t="n"/>
      <c r="G4187" s="5" t="n"/>
      <c r="H4187" s="5" t="n"/>
      <c r="I4187" s="5" t="n"/>
      <c r="J4187" s="6" t="n"/>
      <c r="K4187" s="6" t="n"/>
      <c r="L4187" s="7">
        <f>IF(OR(D4187="",N(J4187)=0),"",MIN(1,N(K4187)/J4187))</f>
        <v/>
      </c>
      <c r="M4187" s="5" t="n"/>
      <c r="N4187" s="5" t="n"/>
      <c r="O4187" s="5" t="n"/>
      <c r="P4187" s="5" t="n"/>
      <c r="Q4187" s="5" t="n"/>
      <c r="R4187" s="4" t="n"/>
      <c r="S4187" s="4" t="n"/>
      <c r="T4187" s="5" t="n"/>
      <c r="U4187" s="8">
        <f>IF(AND(V4187=1,D4187&lt;&gt;""),IF(D4187&gt;=corte,TODAY()-D4187,""),"")</f>
        <v/>
      </c>
      <c r="V4187" s="8">
        <f>IF(D4187="",0,IF(OR(AND(P4187&lt;&gt;"",S4187=""),AND(N(J4187)&gt;0,N(K4187)&lt;J4187),OR(M4187="PENDENTE",M4187="PARCIAL"),OR(N4187="PENDENTE",N4187="PARCIAL")),1,0))</f>
        <v/>
      </c>
      <c r="W4187" s="8">
        <f>IF(AND(V4187=1,D4187&lt;&gt;""),IF(D4187&gt;=corte,(B4187="CRÍTICO")*1E9+(100000-D4187)*10000+10000-ROW(),""),"")</f>
        <v/>
      </c>
      <c r="X4187" s="8">
        <f>IF(AND(V4187=1,D4187=pas_data,E4187=pas_turno),10000-ROW(),"")</f>
        <v/>
      </c>
    </row>
    <row r="4188">
      <c r="A4188" s="3">
        <f>IF(D4188="","","TT-"&amp;TEXT(ROW()-1,"00000"))</f>
        <v/>
      </c>
      <c r="B4188" s="3">
        <f>IF(D4188="","",IF(V4188=0,"CONCLUÍDO",IF(D4188&lt;corte,"HISTÓRICO",IF(OR(AND(ISNUMBER(R4188),R4188&lt;TODAY()),AND(OR(N4188="PENDENTE",N4188="PARCIAL"),D4188&lt;TODAY()-1)),"CRÍTICO",IF(OR(AND(P4188&lt;&gt;"",S4188=""),AND(N4188="REALIZADO",M4188="PENDENTE"),AND(ISNUMBER(R4188),R4188=TODAY())),"ATENÇÃO",IF(N(K4188)=0,"PENDENTE","EM ANDAMENTO"))))))</f>
        <v/>
      </c>
      <c r="C4188" s="3">
        <f>IF(D4188="","",IF(V4188=0,"🟢 OK",IF(D4188&lt;corte,"⚪ HISTÓRICO (sem baixa)",IF(AND(ISNUMBER(R4188),R4188&lt;TODAY()),"🔴 PRAZO VENCIDO",IF(AND(OR(N4188="PENDENTE",N4188="PARCIAL"),D4188&lt;TODAY()-1),"🔴 EMBARQUE ATRASADO",IF(AND(N4188="REALIZADO",M4188="PENDENTE"),"🟡 EMBARCADO SEM FATURAR",IF(AND(P4188&lt;&gt;"",S4188="",OR(Q4188="",R4188="")),"🟡 PENDÊNCIA SEM RESPONSÁVEL/PRAZO",IF(AND(ISNUMBER(R4188),R4188=TODAY()),"🟡 VENCE HOJE",IF(AND(P4188&lt;&gt;"",S4188=""),"🟡 PENDÊNCIA ABERTA",IF(AND(N(J4188)&gt;0,N(K4188)&lt;J4188),"🟡 FALTA EXECUTAR",IF(OR(M4188="PENDENTE",M4188="PARCIAL"),"🟡 FATURAMENTO PENDENTE","🟡 EMBARQUE PENDENTE")))))))))))</f>
        <v/>
      </c>
      <c r="D4188" s="4" t="n"/>
      <c r="E4188" s="5" t="n"/>
      <c r="F4188" s="5" t="n"/>
      <c r="G4188" s="5" t="n"/>
      <c r="H4188" s="5" t="n"/>
      <c r="I4188" s="5" t="n"/>
      <c r="J4188" s="6" t="n"/>
      <c r="K4188" s="6" t="n"/>
      <c r="L4188" s="7">
        <f>IF(OR(D4188="",N(J4188)=0),"",MIN(1,N(K4188)/J4188))</f>
        <v/>
      </c>
      <c r="M4188" s="5" t="n"/>
      <c r="N4188" s="5" t="n"/>
      <c r="O4188" s="5" t="n"/>
      <c r="P4188" s="5" t="n"/>
      <c r="Q4188" s="5" t="n"/>
      <c r="R4188" s="4" t="n"/>
      <c r="S4188" s="4" t="n"/>
      <c r="T4188" s="5" t="n"/>
      <c r="U4188" s="8">
        <f>IF(AND(V4188=1,D4188&lt;&gt;""),IF(D4188&gt;=corte,TODAY()-D4188,""),"")</f>
        <v/>
      </c>
      <c r="V4188" s="8">
        <f>IF(D4188="",0,IF(OR(AND(P4188&lt;&gt;"",S4188=""),AND(N(J4188)&gt;0,N(K4188)&lt;J4188),OR(M4188="PENDENTE",M4188="PARCIAL"),OR(N4188="PENDENTE",N4188="PARCIAL")),1,0))</f>
        <v/>
      </c>
      <c r="W4188" s="8">
        <f>IF(AND(V4188=1,D4188&lt;&gt;""),IF(D4188&gt;=corte,(B4188="CRÍTICO")*1E9+(100000-D4188)*10000+10000-ROW(),""),"")</f>
        <v/>
      </c>
      <c r="X4188" s="8">
        <f>IF(AND(V4188=1,D4188=pas_data,E4188=pas_turno),10000-ROW(),"")</f>
        <v/>
      </c>
    </row>
    <row r="4189">
      <c r="A4189" s="3">
        <f>IF(D4189="","","TT-"&amp;TEXT(ROW()-1,"00000"))</f>
        <v/>
      </c>
      <c r="B4189" s="3">
        <f>IF(D4189="","",IF(V4189=0,"CONCLUÍDO",IF(D4189&lt;corte,"HISTÓRICO",IF(OR(AND(ISNUMBER(R4189),R4189&lt;TODAY()),AND(OR(N4189="PENDENTE",N4189="PARCIAL"),D4189&lt;TODAY()-1)),"CRÍTICO",IF(OR(AND(P4189&lt;&gt;"",S4189=""),AND(N4189="REALIZADO",M4189="PENDENTE"),AND(ISNUMBER(R4189),R4189=TODAY())),"ATENÇÃO",IF(N(K4189)=0,"PENDENTE","EM ANDAMENTO"))))))</f>
        <v/>
      </c>
      <c r="C4189" s="3">
        <f>IF(D4189="","",IF(V4189=0,"🟢 OK",IF(D4189&lt;corte,"⚪ HISTÓRICO (sem baixa)",IF(AND(ISNUMBER(R4189),R4189&lt;TODAY()),"🔴 PRAZO VENCIDO",IF(AND(OR(N4189="PENDENTE",N4189="PARCIAL"),D4189&lt;TODAY()-1),"🔴 EMBARQUE ATRASADO",IF(AND(N4189="REALIZADO",M4189="PENDENTE"),"🟡 EMBARCADO SEM FATURAR",IF(AND(P4189&lt;&gt;"",S4189="",OR(Q4189="",R4189="")),"🟡 PENDÊNCIA SEM RESPONSÁVEL/PRAZO",IF(AND(ISNUMBER(R4189),R4189=TODAY()),"🟡 VENCE HOJE",IF(AND(P4189&lt;&gt;"",S4189=""),"🟡 PENDÊNCIA ABERTA",IF(AND(N(J4189)&gt;0,N(K4189)&lt;J4189),"🟡 FALTA EXECUTAR",IF(OR(M4189="PENDENTE",M4189="PARCIAL"),"🟡 FATURAMENTO PENDENTE","🟡 EMBARQUE PENDENTE")))))))))))</f>
        <v/>
      </c>
      <c r="D4189" s="4" t="n"/>
      <c r="E4189" s="5" t="n"/>
      <c r="F4189" s="5" t="n"/>
      <c r="G4189" s="5" t="n"/>
      <c r="H4189" s="5" t="n"/>
      <c r="I4189" s="5" t="n"/>
      <c r="J4189" s="6" t="n"/>
      <c r="K4189" s="6" t="n"/>
      <c r="L4189" s="7">
        <f>IF(OR(D4189="",N(J4189)=0),"",MIN(1,N(K4189)/J4189))</f>
        <v/>
      </c>
      <c r="M4189" s="5" t="n"/>
      <c r="N4189" s="5" t="n"/>
      <c r="O4189" s="5" t="n"/>
      <c r="P4189" s="5" t="n"/>
      <c r="Q4189" s="5" t="n"/>
      <c r="R4189" s="4" t="n"/>
      <c r="S4189" s="4" t="n"/>
      <c r="T4189" s="5" t="n"/>
      <c r="U4189" s="8">
        <f>IF(AND(V4189=1,D4189&lt;&gt;""),IF(D4189&gt;=corte,TODAY()-D4189,""),"")</f>
        <v/>
      </c>
      <c r="V4189" s="8">
        <f>IF(D4189="",0,IF(OR(AND(P4189&lt;&gt;"",S4189=""),AND(N(J4189)&gt;0,N(K4189)&lt;J4189),OR(M4189="PENDENTE",M4189="PARCIAL"),OR(N4189="PENDENTE",N4189="PARCIAL")),1,0))</f>
        <v/>
      </c>
      <c r="W4189" s="8">
        <f>IF(AND(V4189=1,D4189&lt;&gt;""),IF(D4189&gt;=corte,(B4189="CRÍTICO")*1E9+(100000-D4189)*10000+10000-ROW(),""),"")</f>
        <v/>
      </c>
      <c r="X4189" s="8">
        <f>IF(AND(V4189=1,D4189=pas_data,E4189=pas_turno),10000-ROW(),"")</f>
        <v/>
      </c>
    </row>
    <row r="4190">
      <c r="A4190" s="3">
        <f>IF(D4190="","","TT-"&amp;TEXT(ROW()-1,"00000"))</f>
        <v/>
      </c>
      <c r="B4190" s="3">
        <f>IF(D4190="","",IF(V4190=0,"CONCLUÍDO",IF(D4190&lt;corte,"HISTÓRICO",IF(OR(AND(ISNUMBER(R4190),R4190&lt;TODAY()),AND(OR(N4190="PENDENTE",N4190="PARCIAL"),D4190&lt;TODAY()-1)),"CRÍTICO",IF(OR(AND(P4190&lt;&gt;"",S4190=""),AND(N4190="REALIZADO",M4190="PENDENTE"),AND(ISNUMBER(R4190),R4190=TODAY())),"ATENÇÃO",IF(N(K4190)=0,"PENDENTE","EM ANDAMENTO"))))))</f>
        <v/>
      </c>
      <c r="C4190" s="3">
        <f>IF(D4190="","",IF(V4190=0,"🟢 OK",IF(D4190&lt;corte,"⚪ HISTÓRICO (sem baixa)",IF(AND(ISNUMBER(R4190),R4190&lt;TODAY()),"🔴 PRAZO VENCIDO",IF(AND(OR(N4190="PENDENTE",N4190="PARCIAL"),D4190&lt;TODAY()-1),"🔴 EMBARQUE ATRASADO",IF(AND(N4190="REALIZADO",M4190="PENDENTE"),"🟡 EMBARCADO SEM FATURAR",IF(AND(P4190&lt;&gt;"",S4190="",OR(Q4190="",R4190="")),"🟡 PENDÊNCIA SEM RESPONSÁVEL/PRAZO",IF(AND(ISNUMBER(R4190),R4190=TODAY()),"🟡 VENCE HOJE",IF(AND(P4190&lt;&gt;"",S4190=""),"🟡 PENDÊNCIA ABERTA",IF(AND(N(J4190)&gt;0,N(K4190)&lt;J4190),"🟡 FALTA EXECUTAR",IF(OR(M4190="PENDENTE",M4190="PARCIAL"),"🟡 FATURAMENTO PENDENTE","🟡 EMBARQUE PENDENTE")))))))))))</f>
        <v/>
      </c>
      <c r="D4190" s="4" t="n"/>
      <c r="E4190" s="5" t="n"/>
      <c r="F4190" s="5" t="n"/>
      <c r="G4190" s="5" t="n"/>
      <c r="H4190" s="5" t="n"/>
      <c r="I4190" s="5" t="n"/>
      <c r="J4190" s="6" t="n"/>
      <c r="K4190" s="6" t="n"/>
      <c r="L4190" s="7">
        <f>IF(OR(D4190="",N(J4190)=0),"",MIN(1,N(K4190)/J4190))</f>
        <v/>
      </c>
      <c r="M4190" s="5" t="n"/>
      <c r="N4190" s="5" t="n"/>
      <c r="O4190" s="5" t="n"/>
      <c r="P4190" s="5" t="n"/>
      <c r="Q4190" s="5" t="n"/>
      <c r="R4190" s="4" t="n"/>
      <c r="S4190" s="4" t="n"/>
      <c r="T4190" s="5" t="n"/>
      <c r="U4190" s="8">
        <f>IF(AND(V4190=1,D4190&lt;&gt;""),IF(D4190&gt;=corte,TODAY()-D4190,""),"")</f>
        <v/>
      </c>
      <c r="V4190" s="8">
        <f>IF(D4190="",0,IF(OR(AND(P4190&lt;&gt;"",S4190=""),AND(N(J4190)&gt;0,N(K4190)&lt;J4190),OR(M4190="PENDENTE",M4190="PARCIAL"),OR(N4190="PENDENTE",N4190="PARCIAL")),1,0))</f>
        <v/>
      </c>
      <c r="W4190" s="8">
        <f>IF(AND(V4190=1,D4190&lt;&gt;""),IF(D4190&gt;=corte,(B4190="CRÍTICO")*1E9+(100000-D4190)*10000+10000-ROW(),""),"")</f>
        <v/>
      </c>
      <c r="X4190" s="8">
        <f>IF(AND(V4190=1,D4190=pas_data,E4190=pas_turno),10000-ROW(),"")</f>
        <v/>
      </c>
    </row>
    <row r="4191">
      <c r="A4191" s="3">
        <f>IF(D4191="","","TT-"&amp;TEXT(ROW()-1,"00000"))</f>
        <v/>
      </c>
      <c r="B4191" s="3">
        <f>IF(D4191="","",IF(V4191=0,"CONCLUÍDO",IF(D4191&lt;corte,"HISTÓRICO",IF(OR(AND(ISNUMBER(R4191),R4191&lt;TODAY()),AND(OR(N4191="PENDENTE",N4191="PARCIAL"),D4191&lt;TODAY()-1)),"CRÍTICO",IF(OR(AND(P4191&lt;&gt;"",S4191=""),AND(N4191="REALIZADO",M4191="PENDENTE"),AND(ISNUMBER(R4191),R4191=TODAY())),"ATENÇÃO",IF(N(K4191)=0,"PENDENTE","EM ANDAMENTO"))))))</f>
        <v/>
      </c>
      <c r="C4191" s="3">
        <f>IF(D4191="","",IF(V4191=0,"🟢 OK",IF(D4191&lt;corte,"⚪ HISTÓRICO (sem baixa)",IF(AND(ISNUMBER(R4191),R4191&lt;TODAY()),"🔴 PRAZO VENCIDO",IF(AND(OR(N4191="PENDENTE",N4191="PARCIAL"),D4191&lt;TODAY()-1),"🔴 EMBARQUE ATRASADO",IF(AND(N4191="REALIZADO",M4191="PENDENTE"),"🟡 EMBARCADO SEM FATURAR",IF(AND(P4191&lt;&gt;"",S4191="",OR(Q4191="",R4191="")),"🟡 PENDÊNCIA SEM RESPONSÁVEL/PRAZO",IF(AND(ISNUMBER(R4191),R4191=TODAY()),"🟡 VENCE HOJE",IF(AND(P4191&lt;&gt;"",S4191=""),"🟡 PENDÊNCIA ABERTA",IF(AND(N(J4191)&gt;0,N(K4191)&lt;J4191),"🟡 FALTA EXECUTAR",IF(OR(M4191="PENDENTE",M4191="PARCIAL"),"🟡 FATURAMENTO PENDENTE","🟡 EMBARQUE PENDENTE")))))))))))</f>
        <v/>
      </c>
      <c r="D4191" s="4" t="n"/>
      <c r="E4191" s="5" t="n"/>
      <c r="F4191" s="5" t="n"/>
      <c r="G4191" s="5" t="n"/>
      <c r="H4191" s="5" t="n"/>
      <c r="I4191" s="5" t="n"/>
      <c r="J4191" s="6" t="n"/>
      <c r="K4191" s="6" t="n"/>
      <c r="L4191" s="7">
        <f>IF(OR(D4191="",N(J4191)=0),"",MIN(1,N(K4191)/J4191))</f>
        <v/>
      </c>
      <c r="M4191" s="5" t="n"/>
      <c r="N4191" s="5" t="n"/>
      <c r="O4191" s="5" t="n"/>
      <c r="P4191" s="5" t="n"/>
      <c r="Q4191" s="5" t="n"/>
      <c r="R4191" s="4" t="n"/>
      <c r="S4191" s="4" t="n"/>
      <c r="T4191" s="5" t="n"/>
      <c r="U4191" s="8">
        <f>IF(AND(V4191=1,D4191&lt;&gt;""),IF(D4191&gt;=corte,TODAY()-D4191,""),"")</f>
        <v/>
      </c>
      <c r="V4191" s="8">
        <f>IF(D4191="",0,IF(OR(AND(P4191&lt;&gt;"",S4191=""),AND(N(J4191)&gt;0,N(K4191)&lt;J4191),OR(M4191="PENDENTE",M4191="PARCIAL"),OR(N4191="PENDENTE",N4191="PARCIAL")),1,0))</f>
        <v/>
      </c>
      <c r="W4191" s="8">
        <f>IF(AND(V4191=1,D4191&lt;&gt;""),IF(D4191&gt;=corte,(B4191="CRÍTICO")*1E9+(100000-D4191)*10000+10000-ROW(),""),"")</f>
        <v/>
      </c>
      <c r="X4191" s="8">
        <f>IF(AND(V4191=1,D4191=pas_data,E4191=pas_turno),10000-ROW(),"")</f>
        <v/>
      </c>
    </row>
    <row r="4192">
      <c r="A4192" s="3">
        <f>IF(D4192="","","TT-"&amp;TEXT(ROW()-1,"00000"))</f>
        <v/>
      </c>
      <c r="B4192" s="3">
        <f>IF(D4192="","",IF(V4192=0,"CONCLUÍDO",IF(D4192&lt;corte,"HISTÓRICO",IF(OR(AND(ISNUMBER(R4192),R4192&lt;TODAY()),AND(OR(N4192="PENDENTE",N4192="PARCIAL"),D4192&lt;TODAY()-1)),"CRÍTICO",IF(OR(AND(P4192&lt;&gt;"",S4192=""),AND(N4192="REALIZADO",M4192="PENDENTE"),AND(ISNUMBER(R4192),R4192=TODAY())),"ATENÇÃO",IF(N(K4192)=0,"PENDENTE","EM ANDAMENTO"))))))</f>
        <v/>
      </c>
      <c r="C4192" s="3">
        <f>IF(D4192="","",IF(V4192=0,"🟢 OK",IF(D4192&lt;corte,"⚪ HISTÓRICO (sem baixa)",IF(AND(ISNUMBER(R4192),R4192&lt;TODAY()),"🔴 PRAZO VENCIDO",IF(AND(OR(N4192="PENDENTE",N4192="PARCIAL"),D4192&lt;TODAY()-1),"🔴 EMBARQUE ATRASADO",IF(AND(N4192="REALIZADO",M4192="PENDENTE"),"🟡 EMBARCADO SEM FATURAR",IF(AND(P4192&lt;&gt;"",S4192="",OR(Q4192="",R4192="")),"🟡 PENDÊNCIA SEM RESPONSÁVEL/PRAZO",IF(AND(ISNUMBER(R4192),R4192=TODAY()),"🟡 VENCE HOJE",IF(AND(P4192&lt;&gt;"",S4192=""),"🟡 PENDÊNCIA ABERTA",IF(AND(N(J4192)&gt;0,N(K4192)&lt;J4192),"🟡 FALTA EXECUTAR",IF(OR(M4192="PENDENTE",M4192="PARCIAL"),"🟡 FATURAMENTO PENDENTE","🟡 EMBARQUE PENDENTE")))))))))))</f>
        <v/>
      </c>
      <c r="D4192" s="4" t="n"/>
      <c r="E4192" s="5" t="n"/>
      <c r="F4192" s="5" t="n"/>
      <c r="G4192" s="5" t="n"/>
      <c r="H4192" s="5" t="n"/>
      <c r="I4192" s="5" t="n"/>
      <c r="J4192" s="6" t="n"/>
      <c r="K4192" s="6" t="n"/>
      <c r="L4192" s="7">
        <f>IF(OR(D4192="",N(J4192)=0),"",MIN(1,N(K4192)/J4192))</f>
        <v/>
      </c>
      <c r="M4192" s="5" t="n"/>
      <c r="N4192" s="5" t="n"/>
      <c r="O4192" s="5" t="n"/>
      <c r="P4192" s="5" t="n"/>
      <c r="Q4192" s="5" t="n"/>
      <c r="R4192" s="4" t="n"/>
      <c r="S4192" s="4" t="n"/>
      <c r="T4192" s="5" t="n"/>
      <c r="U4192" s="8">
        <f>IF(AND(V4192=1,D4192&lt;&gt;""),IF(D4192&gt;=corte,TODAY()-D4192,""),"")</f>
        <v/>
      </c>
      <c r="V4192" s="8">
        <f>IF(D4192="",0,IF(OR(AND(P4192&lt;&gt;"",S4192=""),AND(N(J4192)&gt;0,N(K4192)&lt;J4192),OR(M4192="PENDENTE",M4192="PARCIAL"),OR(N4192="PENDENTE",N4192="PARCIAL")),1,0))</f>
        <v/>
      </c>
      <c r="W4192" s="8">
        <f>IF(AND(V4192=1,D4192&lt;&gt;""),IF(D4192&gt;=corte,(B4192="CRÍTICO")*1E9+(100000-D4192)*10000+10000-ROW(),""),"")</f>
        <v/>
      </c>
      <c r="X4192" s="8">
        <f>IF(AND(V4192=1,D4192=pas_data,E4192=pas_turno),10000-ROW(),"")</f>
        <v/>
      </c>
    </row>
    <row r="4193">
      <c r="A4193" s="3">
        <f>IF(D4193="","","TT-"&amp;TEXT(ROW()-1,"00000"))</f>
        <v/>
      </c>
      <c r="B4193" s="3">
        <f>IF(D4193="","",IF(V4193=0,"CONCLUÍDO",IF(D4193&lt;corte,"HISTÓRICO",IF(OR(AND(ISNUMBER(R4193),R4193&lt;TODAY()),AND(OR(N4193="PENDENTE",N4193="PARCIAL"),D4193&lt;TODAY()-1)),"CRÍTICO",IF(OR(AND(P4193&lt;&gt;"",S4193=""),AND(N4193="REALIZADO",M4193="PENDENTE"),AND(ISNUMBER(R4193),R4193=TODAY())),"ATENÇÃO",IF(N(K4193)=0,"PENDENTE","EM ANDAMENTO"))))))</f>
        <v/>
      </c>
      <c r="C4193" s="3">
        <f>IF(D4193="","",IF(V4193=0,"🟢 OK",IF(D4193&lt;corte,"⚪ HISTÓRICO (sem baixa)",IF(AND(ISNUMBER(R4193),R4193&lt;TODAY()),"🔴 PRAZO VENCIDO",IF(AND(OR(N4193="PENDENTE",N4193="PARCIAL"),D4193&lt;TODAY()-1),"🔴 EMBARQUE ATRASADO",IF(AND(N4193="REALIZADO",M4193="PENDENTE"),"🟡 EMBARCADO SEM FATURAR",IF(AND(P4193&lt;&gt;"",S4193="",OR(Q4193="",R4193="")),"🟡 PENDÊNCIA SEM RESPONSÁVEL/PRAZO",IF(AND(ISNUMBER(R4193),R4193=TODAY()),"🟡 VENCE HOJE",IF(AND(P4193&lt;&gt;"",S4193=""),"🟡 PENDÊNCIA ABERTA",IF(AND(N(J4193)&gt;0,N(K4193)&lt;J4193),"🟡 FALTA EXECUTAR",IF(OR(M4193="PENDENTE",M4193="PARCIAL"),"🟡 FATURAMENTO PENDENTE","🟡 EMBARQUE PENDENTE")))))))))))</f>
        <v/>
      </c>
      <c r="D4193" s="4" t="n"/>
      <c r="E4193" s="5" t="n"/>
      <c r="F4193" s="5" t="n"/>
      <c r="G4193" s="5" t="n"/>
      <c r="H4193" s="5" t="n"/>
      <c r="I4193" s="5" t="n"/>
      <c r="J4193" s="6" t="n"/>
      <c r="K4193" s="6" t="n"/>
      <c r="L4193" s="7">
        <f>IF(OR(D4193="",N(J4193)=0),"",MIN(1,N(K4193)/J4193))</f>
        <v/>
      </c>
      <c r="M4193" s="5" t="n"/>
      <c r="N4193" s="5" t="n"/>
      <c r="O4193" s="5" t="n"/>
      <c r="P4193" s="5" t="n"/>
      <c r="Q4193" s="5" t="n"/>
      <c r="R4193" s="4" t="n"/>
      <c r="S4193" s="4" t="n"/>
      <c r="T4193" s="5" t="n"/>
      <c r="U4193" s="8">
        <f>IF(AND(V4193=1,D4193&lt;&gt;""),IF(D4193&gt;=corte,TODAY()-D4193,""),"")</f>
        <v/>
      </c>
      <c r="V4193" s="8">
        <f>IF(D4193="",0,IF(OR(AND(P4193&lt;&gt;"",S4193=""),AND(N(J4193)&gt;0,N(K4193)&lt;J4193),OR(M4193="PENDENTE",M4193="PARCIAL"),OR(N4193="PENDENTE",N4193="PARCIAL")),1,0))</f>
        <v/>
      </c>
      <c r="W4193" s="8">
        <f>IF(AND(V4193=1,D4193&lt;&gt;""),IF(D4193&gt;=corte,(B4193="CRÍTICO")*1E9+(100000-D4193)*10000+10000-ROW(),""),"")</f>
        <v/>
      </c>
      <c r="X4193" s="8">
        <f>IF(AND(V4193=1,D4193=pas_data,E4193=pas_turno),10000-ROW(),"")</f>
        <v/>
      </c>
    </row>
    <row r="4194">
      <c r="A4194" s="3">
        <f>IF(D4194="","","TT-"&amp;TEXT(ROW()-1,"00000"))</f>
        <v/>
      </c>
      <c r="B4194" s="3">
        <f>IF(D4194="","",IF(V4194=0,"CONCLUÍDO",IF(D4194&lt;corte,"HISTÓRICO",IF(OR(AND(ISNUMBER(R4194),R4194&lt;TODAY()),AND(OR(N4194="PENDENTE",N4194="PARCIAL"),D4194&lt;TODAY()-1)),"CRÍTICO",IF(OR(AND(P4194&lt;&gt;"",S4194=""),AND(N4194="REALIZADO",M4194="PENDENTE"),AND(ISNUMBER(R4194),R4194=TODAY())),"ATENÇÃO",IF(N(K4194)=0,"PENDENTE","EM ANDAMENTO"))))))</f>
        <v/>
      </c>
      <c r="C4194" s="3">
        <f>IF(D4194="","",IF(V4194=0,"🟢 OK",IF(D4194&lt;corte,"⚪ HISTÓRICO (sem baixa)",IF(AND(ISNUMBER(R4194),R4194&lt;TODAY()),"🔴 PRAZO VENCIDO",IF(AND(OR(N4194="PENDENTE",N4194="PARCIAL"),D4194&lt;TODAY()-1),"🔴 EMBARQUE ATRASADO",IF(AND(N4194="REALIZADO",M4194="PENDENTE"),"🟡 EMBARCADO SEM FATURAR",IF(AND(P4194&lt;&gt;"",S4194="",OR(Q4194="",R4194="")),"🟡 PENDÊNCIA SEM RESPONSÁVEL/PRAZO",IF(AND(ISNUMBER(R4194),R4194=TODAY()),"🟡 VENCE HOJE",IF(AND(P4194&lt;&gt;"",S4194=""),"🟡 PENDÊNCIA ABERTA",IF(AND(N(J4194)&gt;0,N(K4194)&lt;J4194),"🟡 FALTA EXECUTAR",IF(OR(M4194="PENDENTE",M4194="PARCIAL"),"🟡 FATURAMENTO PENDENTE","🟡 EMBARQUE PENDENTE")))))))))))</f>
        <v/>
      </c>
      <c r="D4194" s="4" t="n"/>
      <c r="E4194" s="5" t="n"/>
      <c r="F4194" s="5" t="n"/>
      <c r="G4194" s="5" t="n"/>
      <c r="H4194" s="5" t="n"/>
      <c r="I4194" s="5" t="n"/>
      <c r="J4194" s="6" t="n"/>
      <c r="K4194" s="6" t="n"/>
      <c r="L4194" s="7">
        <f>IF(OR(D4194="",N(J4194)=0),"",MIN(1,N(K4194)/J4194))</f>
        <v/>
      </c>
      <c r="M4194" s="5" t="n"/>
      <c r="N4194" s="5" t="n"/>
      <c r="O4194" s="5" t="n"/>
      <c r="P4194" s="5" t="n"/>
      <c r="Q4194" s="5" t="n"/>
      <c r="R4194" s="4" t="n"/>
      <c r="S4194" s="4" t="n"/>
      <c r="T4194" s="5" t="n"/>
      <c r="U4194" s="8">
        <f>IF(AND(V4194=1,D4194&lt;&gt;""),IF(D4194&gt;=corte,TODAY()-D4194,""),"")</f>
        <v/>
      </c>
      <c r="V4194" s="8">
        <f>IF(D4194="",0,IF(OR(AND(P4194&lt;&gt;"",S4194=""),AND(N(J4194)&gt;0,N(K4194)&lt;J4194),OR(M4194="PENDENTE",M4194="PARCIAL"),OR(N4194="PENDENTE",N4194="PARCIAL")),1,0))</f>
        <v/>
      </c>
      <c r="W4194" s="8">
        <f>IF(AND(V4194=1,D4194&lt;&gt;""),IF(D4194&gt;=corte,(B4194="CRÍTICO")*1E9+(100000-D4194)*10000+10000-ROW(),""),"")</f>
        <v/>
      </c>
      <c r="X4194" s="8">
        <f>IF(AND(V4194=1,D4194=pas_data,E4194=pas_turno),10000-ROW(),"")</f>
        <v/>
      </c>
    </row>
    <row r="4195">
      <c r="A4195" s="3">
        <f>IF(D4195="","","TT-"&amp;TEXT(ROW()-1,"00000"))</f>
        <v/>
      </c>
      <c r="B4195" s="3">
        <f>IF(D4195="","",IF(V4195=0,"CONCLUÍDO",IF(D4195&lt;corte,"HISTÓRICO",IF(OR(AND(ISNUMBER(R4195),R4195&lt;TODAY()),AND(OR(N4195="PENDENTE",N4195="PARCIAL"),D4195&lt;TODAY()-1)),"CRÍTICO",IF(OR(AND(P4195&lt;&gt;"",S4195=""),AND(N4195="REALIZADO",M4195="PENDENTE"),AND(ISNUMBER(R4195),R4195=TODAY())),"ATENÇÃO",IF(N(K4195)=0,"PENDENTE","EM ANDAMENTO"))))))</f>
        <v/>
      </c>
      <c r="C4195" s="3">
        <f>IF(D4195="","",IF(V4195=0,"🟢 OK",IF(D4195&lt;corte,"⚪ HISTÓRICO (sem baixa)",IF(AND(ISNUMBER(R4195),R4195&lt;TODAY()),"🔴 PRAZO VENCIDO",IF(AND(OR(N4195="PENDENTE",N4195="PARCIAL"),D4195&lt;TODAY()-1),"🔴 EMBARQUE ATRASADO",IF(AND(N4195="REALIZADO",M4195="PENDENTE"),"🟡 EMBARCADO SEM FATURAR",IF(AND(P4195&lt;&gt;"",S4195="",OR(Q4195="",R4195="")),"🟡 PENDÊNCIA SEM RESPONSÁVEL/PRAZO",IF(AND(ISNUMBER(R4195),R4195=TODAY()),"🟡 VENCE HOJE",IF(AND(P4195&lt;&gt;"",S4195=""),"🟡 PENDÊNCIA ABERTA",IF(AND(N(J4195)&gt;0,N(K4195)&lt;J4195),"🟡 FALTA EXECUTAR",IF(OR(M4195="PENDENTE",M4195="PARCIAL"),"🟡 FATURAMENTO PENDENTE","🟡 EMBARQUE PENDENTE")))))))))))</f>
        <v/>
      </c>
      <c r="D4195" s="4" t="n"/>
      <c r="E4195" s="5" t="n"/>
      <c r="F4195" s="5" t="n"/>
      <c r="G4195" s="5" t="n"/>
      <c r="H4195" s="5" t="n"/>
      <c r="I4195" s="5" t="n"/>
      <c r="J4195" s="6" t="n"/>
      <c r="K4195" s="6" t="n"/>
      <c r="L4195" s="7">
        <f>IF(OR(D4195="",N(J4195)=0),"",MIN(1,N(K4195)/J4195))</f>
        <v/>
      </c>
      <c r="M4195" s="5" t="n"/>
      <c r="N4195" s="5" t="n"/>
      <c r="O4195" s="5" t="n"/>
      <c r="P4195" s="5" t="n"/>
      <c r="Q4195" s="5" t="n"/>
      <c r="R4195" s="4" t="n"/>
      <c r="S4195" s="4" t="n"/>
      <c r="T4195" s="5" t="n"/>
      <c r="U4195" s="8">
        <f>IF(AND(V4195=1,D4195&lt;&gt;""),IF(D4195&gt;=corte,TODAY()-D4195,""),"")</f>
        <v/>
      </c>
      <c r="V4195" s="8">
        <f>IF(D4195="",0,IF(OR(AND(P4195&lt;&gt;"",S4195=""),AND(N(J4195)&gt;0,N(K4195)&lt;J4195),OR(M4195="PENDENTE",M4195="PARCIAL"),OR(N4195="PENDENTE",N4195="PARCIAL")),1,0))</f>
        <v/>
      </c>
      <c r="W4195" s="8">
        <f>IF(AND(V4195=1,D4195&lt;&gt;""),IF(D4195&gt;=corte,(B4195="CRÍTICO")*1E9+(100000-D4195)*10000+10000-ROW(),""),"")</f>
        <v/>
      </c>
      <c r="X4195" s="8">
        <f>IF(AND(V4195=1,D4195=pas_data,E4195=pas_turno),10000-ROW(),"")</f>
        <v/>
      </c>
    </row>
    <row r="4196">
      <c r="A4196" s="3">
        <f>IF(D4196="","","TT-"&amp;TEXT(ROW()-1,"00000"))</f>
        <v/>
      </c>
      <c r="B4196" s="3">
        <f>IF(D4196="","",IF(V4196=0,"CONCLUÍDO",IF(D4196&lt;corte,"HISTÓRICO",IF(OR(AND(ISNUMBER(R4196),R4196&lt;TODAY()),AND(OR(N4196="PENDENTE",N4196="PARCIAL"),D4196&lt;TODAY()-1)),"CRÍTICO",IF(OR(AND(P4196&lt;&gt;"",S4196=""),AND(N4196="REALIZADO",M4196="PENDENTE"),AND(ISNUMBER(R4196),R4196=TODAY())),"ATENÇÃO",IF(N(K4196)=0,"PENDENTE","EM ANDAMENTO"))))))</f>
        <v/>
      </c>
      <c r="C4196" s="3">
        <f>IF(D4196="","",IF(V4196=0,"🟢 OK",IF(D4196&lt;corte,"⚪ HISTÓRICO (sem baixa)",IF(AND(ISNUMBER(R4196),R4196&lt;TODAY()),"🔴 PRAZO VENCIDO",IF(AND(OR(N4196="PENDENTE",N4196="PARCIAL"),D4196&lt;TODAY()-1),"🔴 EMBARQUE ATRASADO",IF(AND(N4196="REALIZADO",M4196="PENDENTE"),"🟡 EMBARCADO SEM FATURAR",IF(AND(P4196&lt;&gt;"",S4196="",OR(Q4196="",R4196="")),"🟡 PENDÊNCIA SEM RESPONSÁVEL/PRAZO",IF(AND(ISNUMBER(R4196),R4196=TODAY()),"🟡 VENCE HOJE",IF(AND(P4196&lt;&gt;"",S4196=""),"🟡 PENDÊNCIA ABERTA",IF(AND(N(J4196)&gt;0,N(K4196)&lt;J4196),"🟡 FALTA EXECUTAR",IF(OR(M4196="PENDENTE",M4196="PARCIAL"),"🟡 FATURAMENTO PENDENTE","🟡 EMBARQUE PENDENTE")))))))))))</f>
        <v/>
      </c>
      <c r="D4196" s="4" t="n"/>
      <c r="E4196" s="5" t="n"/>
      <c r="F4196" s="5" t="n"/>
      <c r="G4196" s="5" t="n"/>
      <c r="H4196" s="5" t="n"/>
      <c r="I4196" s="5" t="n"/>
      <c r="J4196" s="6" t="n"/>
      <c r="K4196" s="6" t="n"/>
      <c r="L4196" s="7">
        <f>IF(OR(D4196="",N(J4196)=0),"",MIN(1,N(K4196)/J4196))</f>
        <v/>
      </c>
      <c r="M4196" s="5" t="n"/>
      <c r="N4196" s="5" t="n"/>
      <c r="O4196" s="5" t="n"/>
      <c r="P4196" s="5" t="n"/>
      <c r="Q4196" s="5" t="n"/>
      <c r="R4196" s="4" t="n"/>
      <c r="S4196" s="4" t="n"/>
      <c r="T4196" s="5" t="n"/>
      <c r="U4196" s="8">
        <f>IF(AND(V4196=1,D4196&lt;&gt;""),IF(D4196&gt;=corte,TODAY()-D4196,""),"")</f>
        <v/>
      </c>
      <c r="V4196" s="8">
        <f>IF(D4196="",0,IF(OR(AND(P4196&lt;&gt;"",S4196=""),AND(N(J4196)&gt;0,N(K4196)&lt;J4196),OR(M4196="PENDENTE",M4196="PARCIAL"),OR(N4196="PENDENTE",N4196="PARCIAL")),1,0))</f>
        <v/>
      </c>
      <c r="W4196" s="8">
        <f>IF(AND(V4196=1,D4196&lt;&gt;""),IF(D4196&gt;=corte,(B4196="CRÍTICO")*1E9+(100000-D4196)*10000+10000-ROW(),""),"")</f>
        <v/>
      </c>
      <c r="X4196" s="8">
        <f>IF(AND(V4196=1,D4196=pas_data,E4196=pas_turno),10000-ROW(),"")</f>
        <v/>
      </c>
    </row>
    <row r="4197">
      <c r="A4197" s="3">
        <f>IF(D4197="","","TT-"&amp;TEXT(ROW()-1,"00000"))</f>
        <v/>
      </c>
      <c r="B4197" s="3">
        <f>IF(D4197="","",IF(V4197=0,"CONCLUÍDO",IF(D4197&lt;corte,"HISTÓRICO",IF(OR(AND(ISNUMBER(R4197),R4197&lt;TODAY()),AND(OR(N4197="PENDENTE",N4197="PARCIAL"),D4197&lt;TODAY()-1)),"CRÍTICO",IF(OR(AND(P4197&lt;&gt;"",S4197=""),AND(N4197="REALIZADO",M4197="PENDENTE"),AND(ISNUMBER(R4197),R4197=TODAY())),"ATENÇÃO",IF(N(K4197)=0,"PENDENTE","EM ANDAMENTO"))))))</f>
        <v/>
      </c>
      <c r="C4197" s="3">
        <f>IF(D4197="","",IF(V4197=0,"🟢 OK",IF(D4197&lt;corte,"⚪ HISTÓRICO (sem baixa)",IF(AND(ISNUMBER(R4197),R4197&lt;TODAY()),"🔴 PRAZO VENCIDO",IF(AND(OR(N4197="PENDENTE",N4197="PARCIAL"),D4197&lt;TODAY()-1),"🔴 EMBARQUE ATRASADO",IF(AND(N4197="REALIZADO",M4197="PENDENTE"),"🟡 EMBARCADO SEM FATURAR",IF(AND(P4197&lt;&gt;"",S4197="",OR(Q4197="",R4197="")),"🟡 PENDÊNCIA SEM RESPONSÁVEL/PRAZO",IF(AND(ISNUMBER(R4197),R4197=TODAY()),"🟡 VENCE HOJE",IF(AND(P4197&lt;&gt;"",S4197=""),"🟡 PENDÊNCIA ABERTA",IF(AND(N(J4197)&gt;0,N(K4197)&lt;J4197),"🟡 FALTA EXECUTAR",IF(OR(M4197="PENDENTE",M4197="PARCIAL"),"🟡 FATURAMENTO PENDENTE","🟡 EMBARQUE PENDENTE")))))))))))</f>
        <v/>
      </c>
      <c r="D4197" s="4" t="n"/>
      <c r="E4197" s="5" t="n"/>
      <c r="F4197" s="5" t="n"/>
      <c r="G4197" s="5" t="n"/>
      <c r="H4197" s="5" t="n"/>
      <c r="I4197" s="5" t="n"/>
      <c r="J4197" s="6" t="n"/>
      <c r="K4197" s="6" t="n"/>
      <c r="L4197" s="7">
        <f>IF(OR(D4197="",N(J4197)=0),"",MIN(1,N(K4197)/J4197))</f>
        <v/>
      </c>
      <c r="M4197" s="5" t="n"/>
      <c r="N4197" s="5" t="n"/>
      <c r="O4197" s="5" t="n"/>
      <c r="P4197" s="5" t="n"/>
      <c r="Q4197" s="5" t="n"/>
      <c r="R4197" s="4" t="n"/>
      <c r="S4197" s="4" t="n"/>
      <c r="T4197" s="5" t="n"/>
      <c r="U4197" s="8">
        <f>IF(AND(V4197=1,D4197&lt;&gt;""),IF(D4197&gt;=corte,TODAY()-D4197,""),"")</f>
        <v/>
      </c>
      <c r="V4197" s="8">
        <f>IF(D4197="",0,IF(OR(AND(P4197&lt;&gt;"",S4197=""),AND(N(J4197)&gt;0,N(K4197)&lt;J4197),OR(M4197="PENDENTE",M4197="PARCIAL"),OR(N4197="PENDENTE",N4197="PARCIAL")),1,0))</f>
        <v/>
      </c>
      <c r="W4197" s="8">
        <f>IF(AND(V4197=1,D4197&lt;&gt;""),IF(D4197&gt;=corte,(B4197="CRÍTICO")*1E9+(100000-D4197)*10000+10000-ROW(),""),"")</f>
        <v/>
      </c>
      <c r="X4197" s="8">
        <f>IF(AND(V4197=1,D4197=pas_data,E4197=pas_turno),10000-ROW(),"")</f>
        <v/>
      </c>
    </row>
    <row r="4198">
      <c r="A4198" s="3">
        <f>IF(D4198="","","TT-"&amp;TEXT(ROW()-1,"00000"))</f>
        <v/>
      </c>
      <c r="B4198" s="3">
        <f>IF(D4198="","",IF(V4198=0,"CONCLUÍDO",IF(D4198&lt;corte,"HISTÓRICO",IF(OR(AND(ISNUMBER(R4198),R4198&lt;TODAY()),AND(OR(N4198="PENDENTE",N4198="PARCIAL"),D4198&lt;TODAY()-1)),"CRÍTICO",IF(OR(AND(P4198&lt;&gt;"",S4198=""),AND(N4198="REALIZADO",M4198="PENDENTE"),AND(ISNUMBER(R4198),R4198=TODAY())),"ATENÇÃO",IF(N(K4198)=0,"PENDENTE","EM ANDAMENTO"))))))</f>
        <v/>
      </c>
      <c r="C4198" s="3">
        <f>IF(D4198="","",IF(V4198=0,"🟢 OK",IF(D4198&lt;corte,"⚪ HISTÓRICO (sem baixa)",IF(AND(ISNUMBER(R4198),R4198&lt;TODAY()),"🔴 PRAZO VENCIDO",IF(AND(OR(N4198="PENDENTE",N4198="PARCIAL"),D4198&lt;TODAY()-1),"🔴 EMBARQUE ATRASADO",IF(AND(N4198="REALIZADO",M4198="PENDENTE"),"🟡 EMBARCADO SEM FATURAR",IF(AND(P4198&lt;&gt;"",S4198="",OR(Q4198="",R4198="")),"🟡 PENDÊNCIA SEM RESPONSÁVEL/PRAZO",IF(AND(ISNUMBER(R4198),R4198=TODAY()),"🟡 VENCE HOJE",IF(AND(P4198&lt;&gt;"",S4198=""),"🟡 PENDÊNCIA ABERTA",IF(AND(N(J4198)&gt;0,N(K4198)&lt;J4198),"🟡 FALTA EXECUTAR",IF(OR(M4198="PENDENTE",M4198="PARCIAL"),"🟡 FATURAMENTO PENDENTE","🟡 EMBARQUE PENDENTE")))))))))))</f>
        <v/>
      </c>
      <c r="D4198" s="4" t="n"/>
      <c r="E4198" s="5" t="n"/>
      <c r="F4198" s="5" t="n"/>
      <c r="G4198" s="5" t="n"/>
      <c r="H4198" s="5" t="n"/>
      <c r="I4198" s="5" t="n"/>
      <c r="J4198" s="6" t="n"/>
      <c r="K4198" s="6" t="n"/>
      <c r="L4198" s="7">
        <f>IF(OR(D4198="",N(J4198)=0),"",MIN(1,N(K4198)/J4198))</f>
        <v/>
      </c>
      <c r="M4198" s="5" t="n"/>
      <c r="N4198" s="5" t="n"/>
      <c r="O4198" s="5" t="n"/>
      <c r="P4198" s="5" t="n"/>
      <c r="Q4198" s="5" t="n"/>
      <c r="R4198" s="4" t="n"/>
      <c r="S4198" s="4" t="n"/>
      <c r="T4198" s="5" t="n"/>
      <c r="U4198" s="8">
        <f>IF(AND(V4198=1,D4198&lt;&gt;""),IF(D4198&gt;=corte,TODAY()-D4198,""),"")</f>
        <v/>
      </c>
      <c r="V4198" s="8">
        <f>IF(D4198="",0,IF(OR(AND(P4198&lt;&gt;"",S4198=""),AND(N(J4198)&gt;0,N(K4198)&lt;J4198),OR(M4198="PENDENTE",M4198="PARCIAL"),OR(N4198="PENDENTE",N4198="PARCIAL")),1,0))</f>
        <v/>
      </c>
      <c r="W4198" s="8">
        <f>IF(AND(V4198=1,D4198&lt;&gt;""),IF(D4198&gt;=corte,(B4198="CRÍTICO")*1E9+(100000-D4198)*10000+10000-ROW(),""),"")</f>
        <v/>
      </c>
      <c r="X4198" s="8">
        <f>IF(AND(V4198=1,D4198=pas_data,E4198=pas_turno),10000-ROW(),"")</f>
        <v/>
      </c>
    </row>
    <row r="4199">
      <c r="A4199" s="3">
        <f>IF(D4199="","","TT-"&amp;TEXT(ROW()-1,"00000"))</f>
        <v/>
      </c>
      <c r="B4199" s="3">
        <f>IF(D4199="","",IF(V4199=0,"CONCLUÍDO",IF(D4199&lt;corte,"HISTÓRICO",IF(OR(AND(ISNUMBER(R4199),R4199&lt;TODAY()),AND(OR(N4199="PENDENTE",N4199="PARCIAL"),D4199&lt;TODAY()-1)),"CRÍTICO",IF(OR(AND(P4199&lt;&gt;"",S4199=""),AND(N4199="REALIZADO",M4199="PENDENTE"),AND(ISNUMBER(R4199),R4199=TODAY())),"ATENÇÃO",IF(N(K4199)=0,"PENDENTE","EM ANDAMENTO"))))))</f>
        <v/>
      </c>
      <c r="C4199" s="3">
        <f>IF(D4199="","",IF(V4199=0,"🟢 OK",IF(D4199&lt;corte,"⚪ HISTÓRICO (sem baixa)",IF(AND(ISNUMBER(R4199),R4199&lt;TODAY()),"🔴 PRAZO VENCIDO",IF(AND(OR(N4199="PENDENTE",N4199="PARCIAL"),D4199&lt;TODAY()-1),"🔴 EMBARQUE ATRASADO",IF(AND(N4199="REALIZADO",M4199="PENDENTE"),"🟡 EMBARCADO SEM FATURAR",IF(AND(P4199&lt;&gt;"",S4199="",OR(Q4199="",R4199="")),"🟡 PENDÊNCIA SEM RESPONSÁVEL/PRAZO",IF(AND(ISNUMBER(R4199),R4199=TODAY()),"🟡 VENCE HOJE",IF(AND(P4199&lt;&gt;"",S4199=""),"🟡 PENDÊNCIA ABERTA",IF(AND(N(J4199)&gt;0,N(K4199)&lt;J4199),"🟡 FALTA EXECUTAR",IF(OR(M4199="PENDENTE",M4199="PARCIAL"),"🟡 FATURAMENTO PENDENTE","🟡 EMBARQUE PENDENTE")))))))))))</f>
        <v/>
      </c>
      <c r="D4199" s="4" t="n"/>
      <c r="E4199" s="5" t="n"/>
      <c r="F4199" s="5" t="n"/>
      <c r="G4199" s="5" t="n"/>
      <c r="H4199" s="5" t="n"/>
      <c r="I4199" s="5" t="n"/>
      <c r="J4199" s="6" t="n"/>
      <c r="K4199" s="6" t="n"/>
      <c r="L4199" s="7">
        <f>IF(OR(D4199="",N(J4199)=0),"",MIN(1,N(K4199)/J4199))</f>
        <v/>
      </c>
      <c r="M4199" s="5" t="n"/>
      <c r="N4199" s="5" t="n"/>
      <c r="O4199" s="5" t="n"/>
      <c r="P4199" s="5" t="n"/>
      <c r="Q4199" s="5" t="n"/>
      <c r="R4199" s="4" t="n"/>
      <c r="S4199" s="4" t="n"/>
      <c r="T4199" s="5" t="n"/>
      <c r="U4199" s="8">
        <f>IF(AND(V4199=1,D4199&lt;&gt;""),IF(D4199&gt;=corte,TODAY()-D4199,""),"")</f>
        <v/>
      </c>
      <c r="V4199" s="8">
        <f>IF(D4199="",0,IF(OR(AND(P4199&lt;&gt;"",S4199=""),AND(N(J4199)&gt;0,N(K4199)&lt;J4199),OR(M4199="PENDENTE",M4199="PARCIAL"),OR(N4199="PENDENTE",N4199="PARCIAL")),1,0))</f>
        <v/>
      </c>
      <c r="W4199" s="8">
        <f>IF(AND(V4199=1,D4199&lt;&gt;""),IF(D4199&gt;=corte,(B4199="CRÍTICO")*1E9+(100000-D4199)*10000+10000-ROW(),""),"")</f>
        <v/>
      </c>
      <c r="X4199" s="8">
        <f>IF(AND(V4199=1,D4199=pas_data,E4199=pas_turno),10000-ROW(),"")</f>
        <v/>
      </c>
    </row>
    <row r="4200">
      <c r="A4200" s="3">
        <f>IF(D4200="","","TT-"&amp;TEXT(ROW()-1,"00000"))</f>
        <v/>
      </c>
      <c r="B4200" s="3">
        <f>IF(D4200="","",IF(V4200=0,"CONCLUÍDO",IF(D4200&lt;corte,"HISTÓRICO",IF(OR(AND(ISNUMBER(R4200),R4200&lt;TODAY()),AND(OR(N4200="PENDENTE",N4200="PARCIAL"),D4200&lt;TODAY()-1)),"CRÍTICO",IF(OR(AND(P4200&lt;&gt;"",S4200=""),AND(N4200="REALIZADO",M4200="PENDENTE"),AND(ISNUMBER(R4200),R4200=TODAY())),"ATENÇÃO",IF(N(K4200)=0,"PENDENTE","EM ANDAMENTO"))))))</f>
        <v/>
      </c>
      <c r="C4200" s="3">
        <f>IF(D4200="","",IF(V4200=0,"🟢 OK",IF(D4200&lt;corte,"⚪ HISTÓRICO (sem baixa)",IF(AND(ISNUMBER(R4200),R4200&lt;TODAY()),"🔴 PRAZO VENCIDO",IF(AND(OR(N4200="PENDENTE",N4200="PARCIAL"),D4200&lt;TODAY()-1),"🔴 EMBARQUE ATRASADO",IF(AND(N4200="REALIZADO",M4200="PENDENTE"),"🟡 EMBARCADO SEM FATURAR",IF(AND(P4200&lt;&gt;"",S4200="",OR(Q4200="",R4200="")),"🟡 PENDÊNCIA SEM RESPONSÁVEL/PRAZO",IF(AND(ISNUMBER(R4200),R4200=TODAY()),"🟡 VENCE HOJE",IF(AND(P4200&lt;&gt;"",S4200=""),"🟡 PENDÊNCIA ABERTA",IF(AND(N(J4200)&gt;0,N(K4200)&lt;J4200),"🟡 FALTA EXECUTAR",IF(OR(M4200="PENDENTE",M4200="PARCIAL"),"🟡 FATURAMENTO PENDENTE","🟡 EMBARQUE PENDENTE")))))))))))</f>
        <v/>
      </c>
      <c r="D4200" s="4" t="n"/>
      <c r="E4200" s="5" t="n"/>
      <c r="F4200" s="5" t="n"/>
      <c r="G4200" s="5" t="n"/>
      <c r="H4200" s="5" t="n"/>
      <c r="I4200" s="5" t="n"/>
      <c r="J4200" s="6" t="n"/>
      <c r="K4200" s="6" t="n"/>
      <c r="L4200" s="7">
        <f>IF(OR(D4200="",N(J4200)=0),"",MIN(1,N(K4200)/J4200))</f>
        <v/>
      </c>
      <c r="M4200" s="5" t="n"/>
      <c r="N4200" s="5" t="n"/>
      <c r="O4200" s="5" t="n"/>
      <c r="P4200" s="5" t="n"/>
      <c r="Q4200" s="5" t="n"/>
      <c r="R4200" s="4" t="n"/>
      <c r="S4200" s="4" t="n"/>
      <c r="T4200" s="5" t="n"/>
      <c r="U4200" s="8">
        <f>IF(AND(V4200=1,D4200&lt;&gt;""),IF(D4200&gt;=corte,TODAY()-D4200,""),"")</f>
        <v/>
      </c>
      <c r="V4200" s="8">
        <f>IF(D4200="",0,IF(OR(AND(P4200&lt;&gt;"",S4200=""),AND(N(J4200)&gt;0,N(K4200)&lt;J4200),OR(M4200="PENDENTE",M4200="PARCIAL"),OR(N4200="PENDENTE",N4200="PARCIAL")),1,0))</f>
        <v/>
      </c>
      <c r="W4200" s="8">
        <f>IF(AND(V4200=1,D4200&lt;&gt;""),IF(D4200&gt;=corte,(B4200="CRÍTICO")*1E9+(100000-D4200)*10000+10000-ROW(),""),"")</f>
        <v/>
      </c>
      <c r="X4200" s="8">
        <f>IF(AND(V4200=1,D4200=pas_data,E4200=pas_turno),10000-ROW(),"")</f>
        <v/>
      </c>
    </row>
    <row r="4201">
      <c r="A4201" s="3">
        <f>IF(D4201="","","TT-"&amp;TEXT(ROW()-1,"00000"))</f>
        <v/>
      </c>
      <c r="B4201" s="3">
        <f>IF(D4201="","",IF(V4201=0,"CONCLUÍDO",IF(D4201&lt;corte,"HISTÓRICO",IF(OR(AND(ISNUMBER(R4201),R4201&lt;TODAY()),AND(OR(N4201="PENDENTE",N4201="PARCIAL"),D4201&lt;TODAY()-1)),"CRÍTICO",IF(OR(AND(P4201&lt;&gt;"",S4201=""),AND(N4201="REALIZADO",M4201="PENDENTE"),AND(ISNUMBER(R4201),R4201=TODAY())),"ATENÇÃO",IF(N(K4201)=0,"PENDENTE","EM ANDAMENTO"))))))</f>
        <v/>
      </c>
      <c r="C4201" s="3">
        <f>IF(D4201="","",IF(V4201=0,"🟢 OK",IF(D4201&lt;corte,"⚪ HISTÓRICO (sem baixa)",IF(AND(ISNUMBER(R4201),R4201&lt;TODAY()),"🔴 PRAZO VENCIDO",IF(AND(OR(N4201="PENDENTE",N4201="PARCIAL"),D4201&lt;TODAY()-1),"🔴 EMBARQUE ATRASADO",IF(AND(N4201="REALIZADO",M4201="PENDENTE"),"🟡 EMBARCADO SEM FATURAR",IF(AND(P4201&lt;&gt;"",S4201="",OR(Q4201="",R4201="")),"🟡 PENDÊNCIA SEM RESPONSÁVEL/PRAZO",IF(AND(ISNUMBER(R4201),R4201=TODAY()),"🟡 VENCE HOJE",IF(AND(P4201&lt;&gt;"",S4201=""),"🟡 PENDÊNCIA ABERTA",IF(AND(N(J4201)&gt;0,N(K4201)&lt;J4201),"🟡 FALTA EXECUTAR",IF(OR(M4201="PENDENTE",M4201="PARCIAL"),"🟡 FATURAMENTO PENDENTE","🟡 EMBARQUE PENDENTE")))))))))))</f>
        <v/>
      </c>
      <c r="D4201" s="4" t="n"/>
      <c r="E4201" s="5" t="n"/>
      <c r="F4201" s="5" t="n"/>
      <c r="G4201" s="5" t="n"/>
      <c r="H4201" s="5" t="n"/>
      <c r="I4201" s="5" t="n"/>
      <c r="J4201" s="6" t="n"/>
      <c r="K4201" s="6" t="n"/>
      <c r="L4201" s="7">
        <f>IF(OR(D4201="",N(J4201)=0),"",MIN(1,N(K4201)/J4201))</f>
        <v/>
      </c>
      <c r="M4201" s="5" t="n"/>
      <c r="N4201" s="5" t="n"/>
      <c r="O4201" s="5" t="n"/>
      <c r="P4201" s="5" t="n"/>
      <c r="Q4201" s="5" t="n"/>
      <c r="R4201" s="4" t="n"/>
      <c r="S4201" s="4" t="n"/>
      <c r="T4201" s="5" t="n"/>
      <c r="U4201" s="8">
        <f>IF(AND(V4201=1,D4201&lt;&gt;""),IF(D4201&gt;=corte,TODAY()-D4201,""),"")</f>
        <v/>
      </c>
      <c r="V4201" s="8">
        <f>IF(D4201="",0,IF(OR(AND(P4201&lt;&gt;"",S4201=""),AND(N(J4201)&gt;0,N(K4201)&lt;J4201),OR(M4201="PENDENTE",M4201="PARCIAL"),OR(N4201="PENDENTE",N4201="PARCIAL")),1,0))</f>
        <v/>
      </c>
      <c r="W4201" s="8">
        <f>IF(AND(V4201=1,D4201&lt;&gt;""),IF(D4201&gt;=corte,(B4201="CRÍTICO")*1E9+(100000-D4201)*10000+10000-ROW(),""),"")</f>
        <v/>
      </c>
      <c r="X4201" s="8">
        <f>IF(AND(V4201=1,D4201=pas_data,E4201=pas_turno),10000-ROW(),"")</f>
        <v/>
      </c>
    </row>
    <row r="4202">
      <c r="A4202" s="3">
        <f>IF(D4202="","","TT-"&amp;TEXT(ROW()-1,"00000"))</f>
        <v/>
      </c>
      <c r="B4202" s="3">
        <f>IF(D4202="","",IF(V4202=0,"CONCLUÍDO",IF(D4202&lt;corte,"HISTÓRICO",IF(OR(AND(ISNUMBER(R4202),R4202&lt;TODAY()),AND(OR(N4202="PENDENTE",N4202="PARCIAL"),D4202&lt;TODAY()-1)),"CRÍTICO",IF(OR(AND(P4202&lt;&gt;"",S4202=""),AND(N4202="REALIZADO",M4202="PENDENTE"),AND(ISNUMBER(R4202),R4202=TODAY())),"ATENÇÃO",IF(N(K4202)=0,"PENDENTE","EM ANDAMENTO"))))))</f>
        <v/>
      </c>
      <c r="C4202" s="3">
        <f>IF(D4202="","",IF(V4202=0,"🟢 OK",IF(D4202&lt;corte,"⚪ HISTÓRICO (sem baixa)",IF(AND(ISNUMBER(R4202),R4202&lt;TODAY()),"🔴 PRAZO VENCIDO",IF(AND(OR(N4202="PENDENTE",N4202="PARCIAL"),D4202&lt;TODAY()-1),"🔴 EMBARQUE ATRASADO",IF(AND(N4202="REALIZADO",M4202="PENDENTE"),"🟡 EMBARCADO SEM FATURAR",IF(AND(P4202&lt;&gt;"",S4202="",OR(Q4202="",R4202="")),"🟡 PENDÊNCIA SEM RESPONSÁVEL/PRAZO",IF(AND(ISNUMBER(R4202),R4202=TODAY()),"🟡 VENCE HOJE",IF(AND(P4202&lt;&gt;"",S4202=""),"🟡 PENDÊNCIA ABERTA",IF(AND(N(J4202)&gt;0,N(K4202)&lt;J4202),"🟡 FALTA EXECUTAR",IF(OR(M4202="PENDENTE",M4202="PARCIAL"),"🟡 FATURAMENTO PENDENTE","🟡 EMBARQUE PENDENTE")))))))))))</f>
        <v/>
      </c>
      <c r="D4202" s="4" t="n"/>
      <c r="E4202" s="5" t="n"/>
      <c r="F4202" s="5" t="n"/>
      <c r="G4202" s="5" t="n"/>
      <c r="H4202" s="5" t="n"/>
      <c r="I4202" s="5" t="n"/>
      <c r="J4202" s="6" t="n"/>
      <c r="K4202" s="6" t="n"/>
      <c r="L4202" s="7">
        <f>IF(OR(D4202="",N(J4202)=0),"",MIN(1,N(K4202)/J4202))</f>
        <v/>
      </c>
      <c r="M4202" s="5" t="n"/>
      <c r="N4202" s="5" t="n"/>
      <c r="O4202" s="5" t="n"/>
      <c r="P4202" s="5" t="n"/>
      <c r="Q4202" s="5" t="n"/>
      <c r="R4202" s="4" t="n"/>
      <c r="S4202" s="4" t="n"/>
      <c r="T4202" s="5" t="n"/>
      <c r="U4202" s="8">
        <f>IF(AND(V4202=1,D4202&lt;&gt;""),IF(D4202&gt;=corte,TODAY()-D4202,""),"")</f>
        <v/>
      </c>
      <c r="V4202" s="8">
        <f>IF(D4202="",0,IF(OR(AND(P4202&lt;&gt;"",S4202=""),AND(N(J4202)&gt;0,N(K4202)&lt;J4202),OR(M4202="PENDENTE",M4202="PARCIAL"),OR(N4202="PENDENTE",N4202="PARCIAL")),1,0))</f>
        <v/>
      </c>
      <c r="W4202" s="8">
        <f>IF(AND(V4202=1,D4202&lt;&gt;""),IF(D4202&gt;=corte,(B4202="CRÍTICO")*1E9+(100000-D4202)*10000+10000-ROW(),""),"")</f>
        <v/>
      </c>
      <c r="X4202" s="8">
        <f>IF(AND(V4202=1,D4202=pas_data,E4202=pas_turno),10000-ROW(),"")</f>
        <v/>
      </c>
    </row>
    <row r="4203">
      <c r="A4203" s="3">
        <f>IF(D4203="","","TT-"&amp;TEXT(ROW()-1,"00000"))</f>
        <v/>
      </c>
      <c r="B4203" s="3">
        <f>IF(D4203="","",IF(V4203=0,"CONCLUÍDO",IF(D4203&lt;corte,"HISTÓRICO",IF(OR(AND(ISNUMBER(R4203),R4203&lt;TODAY()),AND(OR(N4203="PENDENTE",N4203="PARCIAL"),D4203&lt;TODAY()-1)),"CRÍTICO",IF(OR(AND(P4203&lt;&gt;"",S4203=""),AND(N4203="REALIZADO",M4203="PENDENTE"),AND(ISNUMBER(R4203),R4203=TODAY())),"ATENÇÃO",IF(N(K4203)=0,"PENDENTE","EM ANDAMENTO"))))))</f>
        <v/>
      </c>
      <c r="C4203" s="3">
        <f>IF(D4203="","",IF(V4203=0,"🟢 OK",IF(D4203&lt;corte,"⚪ HISTÓRICO (sem baixa)",IF(AND(ISNUMBER(R4203),R4203&lt;TODAY()),"🔴 PRAZO VENCIDO",IF(AND(OR(N4203="PENDENTE",N4203="PARCIAL"),D4203&lt;TODAY()-1),"🔴 EMBARQUE ATRASADO",IF(AND(N4203="REALIZADO",M4203="PENDENTE"),"🟡 EMBARCADO SEM FATURAR",IF(AND(P4203&lt;&gt;"",S4203="",OR(Q4203="",R4203="")),"🟡 PENDÊNCIA SEM RESPONSÁVEL/PRAZO",IF(AND(ISNUMBER(R4203),R4203=TODAY()),"🟡 VENCE HOJE",IF(AND(P4203&lt;&gt;"",S4203=""),"🟡 PENDÊNCIA ABERTA",IF(AND(N(J4203)&gt;0,N(K4203)&lt;J4203),"🟡 FALTA EXECUTAR",IF(OR(M4203="PENDENTE",M4203="PARCIAL"),"🟡 FATURAMENTO PENDENTE","🟡 EMBARQUE PENDENTE")))))))))))</f>
        <v/>
      </c>
      <c r="D4203" s="4" t="n"/>
      <c r="E4203" s="5" t="n"/>
      <c r="F4203" s="5" t="n"/>
      <c r="G4203" s="5" t="n"/>
      <c r="H4203" s="5" t="n"/>
      <c r="I4203" s="5" t="n"/>
      <c r="J4203" s="6" t="n"/>
      <c r="K4203" s="6" t="n"/>
      <c r="L4203" s="7">
        <f>IF(OR(D4203="",N(J4203)=0),"",MIN(1,N(K4203)/J4203))</f>
        <v/>
      </c>
      <c r="M4203" s="5" t="n"/>
      <c r="N4203" s="5" t="n"/>
      <c r="O4203" s="5" t="n"/>
      <c r="P4203" s="5" t="n"/>
      <c r="Q4203" s="5" t="n"/>
      <c r="R4203" s="4" t="n"/>
      <c r="S4203" s="4" t="n"/>
      <c r="T4203" s="5" t="n"/>
      <c r="U4203" s="8">
        <f>IF(AND(V4203=1,D4203&lt;&gt;""),IF(D4203&gt;=corte,TODAY()-D4203,""),"")</f>
        <v/>
      </c>
      <c r="V4203" s="8">
        <f>IF(D4203="",0,IF(OR(AND(P4203&lt;&gt;"",S4203=""),AND(N(J4203)&gt;0,N(K4203)&lt;J4203),OR(M4203="PENDENTE",M4203="PARCIAL"),OR(N4203="PENDENTE",N4203="PARCIAL")),1,0))</f>
        <v/>
      </c>
      <c r="W4203" s="8">
        <f>IF(AND(V4203=1,D4203&lt;&gt;""),IF(D4203&gt;=corte,(B4203="CRÍTICO")*1E9+(100000-D4203)*10000+10000-ROW(),""),"")</f>
        <v/>
      </c>
      <c r="X4203" s="8">
        <f>IF(AND(V4203=1,D4203=pas_data,E4203=pas_turno),10000-ROW(),"")</f>
        <v/>
      </c>
    </row>
    <row r="4204">
      <c r="A4204" s="3">
        <f>IF(D4204="","","TT-"&amp;TEXT(ROW()-1,"00000"))</f>
        <v/>
      </c>
      <c r="B4204" s="3">
        <f>IF(D4204="","",IF(V4204=0,"CONCLUÍDO",IF(D4204&lt;corte,"HISTÓRICO",IF(OR(AND(ISNUMBER(R4204),R4204&lt;TODAY()),AND(OR(N4204="PENDENTE",N4204="PARCIAL"),D4204&lt;TODAY()-1)),"CRÍTICO",IF(OR(AND(P4204&lt;&gt;"",S4204=""),AND(N4204="REALIZADO",M4204="PENDENTE"),AND(ISNUMBER(R4204),R4204=TODAY())),"ATENÇÃO",IF(N(K4204)=0,"PENDENTE","EM ANDAMENTO"))))))</f>
        <v/>
      </c>
      <c r="C4204" s="3">
        <f>IF(D4204="","",IF(V4204=0,"🟢 OK",IF(D4204&lt;corte,"⚪ HISTÓRICO (sem baixa)",IF(AND(ISNUMBER(R4204),R4204&lt;TODAY()),"🔴 PRAZO VENCIDO",IF(AND(OR(N4204="PENDENTE",N4204="PARCIAL"),D4204&lt;TODAY()-1),"🔴 EMBARQUE ATRASADO",IF(AND(N4204="REALIZADO",M4204="PENDENTE"),"🟡 EMBARCADO SEM FATURAR",IF(AND(P4204&lt;&gt;"",S4204="",OR(Q4204="",R4204="")),"🟡 PENDÊNCIA SEM RESPONSÁVEL/PRAZO",IF(AND(ISNUMBER(R4204),R4204=TODAY()),"🟡 VENCE HOJE",IF(AND(P4204&lt;&gt;"",S4204=""),"🟡 PENDÊNCIA ABERTA",IF(AND(N(J4204)&gt;0,N(K4204)&lt;J4204),"🟡 FALTA EXECUTAR",IF(OR(M4204="PENDENTE",M4204="PARCIAL"),"🟡 FATURAMENTO PENDENTE","🟡 EMBARQUE PENDENTE")))))))))))</f>
        <v/>
      </c>
      <c r="D4204" s="4" t="n"/>
      <c r="E4204" s="5" t="n"/>
      <c r="F4204" s="5" t="n"/>
      <c r="G4204" s="5" t="n"/>
      <c r="H4204" s="5" t="n"/>
      <c r="I4204" s="5" t="n"/>
      <c r="J4204" s="6" t="n"/>
      <c r="K4204" s="6" t="n"/>
      <c r="L4204" s="7">
        <f>IF(OR(D4204="",N(J4204)=0),"",MIN(1,N(K4204)/J4204))</f>
        <v/>
      </c>
      <c r="M4204" s="5" t="n"/>
      <c r="N4204" s="5" t="n"/>
      <c r="O4204" s="5" t="n"/>
      <c r="P4204" s="5" t="n"/>
      <c r="Q4204" s="5" t="n"/>
      <c r="R4204" s="4" t="n"/>
      <c r="S4204" s="4" t="n"/>
      <c r="T4204" s="5" t="n"/>
      <c r="U4204" s="8">
        <f>IF(AND(V4204=1,D4204&lt;&gt;""),IF(D4204&gt;=corte,TODAY()-D4204,""),"")</f>
        <v/>
      </c>
      <c r="V4204" s="8">
        <f>IF(D4204="",0,IF(OR(AND(P4204&lt;&gt;"",S4204=""),AND(N(J4204)&gt;0,N(K4204)&lt;J4204),OR(M4204="PENDENTE",M4204="PARCIAL"),OR(N4204="PENDENTE",N4204="PARCIAL")),1,0))</f>
        <v/>
      </c>
      <c r="W4204" s="8">
        <f>IF(AND(V4204=1,D4204&lt;&gt;""),IF(D4204&gt;=corte,(B4204="CRÍTICO")*1E9+(100000-D4204)*10000+10000-ROW(),""),"")</f>
        <v/>
      </c>
      <c r="X4204" s="8">
        <f>IF(AND(V4204=1,D4204=pas_data,E4204=pas_turno),10000-ROW(),"")</f>
        <v/>
      </c>
    </row>
    <row r="4205">
      <c r="A4205" s="3">
        <f>IF(D4205="","","TT-"&amp;TEXT(ROW()-1,"00000"))</f>
        <v/>
      </c>
      <c r="B4205" s="3">
        <f>IF(D4205="","",IF(V4205=0,"CONCLUÍDO",IF(D4205&lt;corte,"HISTÓRICO",IF(OR(AND(ISNUMBER(R4205),R4205&lt;TODAY()),AND(OR(N4205="PENDENTE",N4205="PARCIAL"),D4205&lt;TODAY()-1)),"CRÍTICO",IF(OR(AND(P4205&lt;&gt;"",S4205=""),AND(N4205="REALIZADO",M4205="PENDENTE"),AND(ISNUMBER(R4205),R4205=TODAY())),"ATENÇÃO",IF(N(K4205)=0,"PENDENTE","EM ANDAMENTO"))))))</f>
        <v/>
      </c>
      <c r="C4205" s="3">
        <f>IF(D4205="","",IF(V4205=0,"🟢 OK",IF(D4205&lt;corte,"⚪ HISTÓRICO (sem baixa)",IF(AND(ISNUMBER(R4205),R4205&lt;TODAY()),"🔴 PRAZO VENCIDO",IF(AND(OR(N4205="PENDENTE",N4205="PARCIAL"),D4205&lt;TODAY()-1),"🔴 EMBARQUE ATRASADO",IF(AND(N4205="REALIZADO",M4205="PENDENTE"),"🟡 EMBARCADO SEM FATURAR",IF(AND(P4205&lt;&gt;"",S4205="",OR(Q4205="",R4205="")),"🟡 PENDÊNCIA SEM RESPONSÁVEL/PRAZO",IF(AND(ISNUMBER(R4205),R4205=TODAY()),"🟡 VENCE HOJE",IF(AND(P4205&lt;&gt;"",S4205=""),"🟡 PENDÊNCIA ABERTA",IF(AND(N(J4205)&gt;0,N(K4205)&lt;J4205),"🟡 FALTA EXECUTAR",IF(OR(M4205="PENDENTE",M4205="PARCIAL"),"🟡 FATURAMENTO PENDENTE","🟡 EMBARQUE PENDENTE")))))))))))</f>
        <v/>
      </c>
      <c r="D4205" s="4" t="n"/>
      <c r="E4205" s="5" t="n"/>
      <c r="F4205" s="5" t="n"/>
      <c r="G4205" s="5" t="n"/>
      <c r="H4205" s="5" t="n"/>
      <c r="I4205" s="5" t="n"/>
      <c r="J4205" s="6" t="n"/>
      <c r="K4205" s="6" t="n"/>
      <c r="L4205" s="7">
        <f>IF(OR(D4205="",N(J4205)=0),"",MIN(1,N(K4205)/J4205))</f>
        <v/>
      </c>
      <c r="M4205" s="5" t="n"/>
      <c r="N4205" s="5" t="n"/>
      <c r="O4205" s="5" t="n"/>
      <c r="P4205" s="5" t="n"/>
      <c r="Q4205" s="5" t="n"/>
      <c r="R4205" s="4" t="n"/>
      <c r="S4205" s="4" t="n"/>
      <c r="T4205" s="5" t="n"/>
      <c r="U4205" s="8">
        <f>IF(AND(V4205=1,D4205&lt;&gt;""),IF(D4205&gt;=corte,TODAY()-D4205,""),"")</f>
        <v/>
      </c>
      <c r="V4205" s="8">
        <f>IF(D4205="",0,IF(OR(AND(P4205&lt;&gt;"",S4205=""),AND(N(J4205)&gt;0,N(K4205)&lt;J4205),OR(M4205="PENDENTE",M4205="PARCIAL"),OR(N4205="PENDENTE",N4205="PARCIAL")),1,0))</f>
        <v/>
      </c>
      <c r="W4205" s="8">
        <f>IF(AND(V4205=1,D4205&lt;&gt;""),IF(D4205&gt;=corte,(B4205="CRÍTICO")*1E9+(100000-D4205)*10000+10000-ROW(),""),"")</f>
        <v/>
      </c>
      <c r="X4205" s="8">
        <f>IF(AND(V4205=1,D4205=pas_data,E4205=pas_turno),10000-ROW(),"")</f>
        <v/>
      </c>
    </row>
    <row r="4206">
      <c r="A4206" s="3">
        <f>IF(D4206="","","TT-"&amp;TEXT(ROW()-1,"00000"))</f>
        <v/>
      </c>
      <c r="B4206" s="3">
        <f>IF(D4206="","",IF(V4206=0,"CONCLUÍDO",IF(D4206&lt;corte,"HISTÓRICO",IF(OR(AND(ISNUMBER(R4206),R4206&lt;TODAY()),AND(OR(N4206="PENDENTE",N4206="PARCIAL"),D4206&lt;TODAY()-1)),"CRÍTICO",IF(OR(AND(P4206&lt;&gt;"",S4206=""),AND(N4206="REALIZADO",M4206="PENDENTE"),AND(ISNUMBER(R4206),R4206=TODAY())),"ATENÇÃO",IF(N(K4206)=0,"PENDENTE","EM ANDAMENTO"))))))</f>
        <v/>
      </c>
      <c r="C4206" s="3">
        <f>IF(D4206="","",IF(V4206=0,"🟢 OK",IF(D4206&lt;corte,"⚪ HISTÓRICO (sem baixa)",IF(AND(ISNUMBER(R4206),R4206&lt;TODAY()),"🔴 PRAZO VENCIDO",IF(AND(OR(N4206="PENDENTE",N4206="PARCIAL"),D4206&lt;TODAY()-1),"🔴 EMBARQUE ATRASADO",IF(AND(N4206="REALIZADO",M4206="PENDENTE"),"🟡 EMBARCADO SEM FATURAR",IF(AND(P4206&lt;&gt;"",S4206="",OR(Q4206="",R4206="")),"🟡 PENDÊNCIA SEM RESPONSÁVEL/PRAZO",IF(AND(ISNUMBER(R4206),R4206=TODAY()),"🟡 VENCE HOJE",IF(AND(P4206&lt;&gt;"",S4206=""),"🟡 PENDÊNCIA ABERTA",IF(AND(N(J4206)&gt;0,N(K4206)&lt;J4206),"🟡 FALTA EXECUTAR",IF(OR(M4206="PENDENTE",M4206="PARCIAL"),"🟡 FATURAMENTO PENDENTE","🟡 EMBARQUE PENDENTE")))))))))))</f>
        <v/>
      </c>
      <c r="D4206" s="4" t="n"/>
      <c r="E4206" s="5" t="n"/>
      <c r="F4206" s="5" t="n"/>
      <c r="G4206" s="5" t="n"/>
      <c r="H4206" s="5" t="n"/>
      <c r="I4206" s="5" t="n"/>
      <c r="J4206" s="6" t="n"/>
      <c r="K4206" s="6" t="n"/>
      <c r="L4206" s="7">
        <f>IF(OR(D4206="",N(J4206)=0),"",MIN(1,N(K4206)/J4206))</f>
        <v/>
      </c>
      <c r="M4206" s="5" t="n"/>
      <c r="N4206" s="5" t="n"/>
      <c r="O4206" s="5" t="n"/>
      <c r="P4206" s="5" t="n"/>
      <c r="Q4206" s="5" t="n"/>
      <c r="R4206" s="4" t="n"/>
      <c r="S4206" s="4" t="n"/>
      <c r="T4206" s="5" t="n"/>
      <c r="U4206" s="8">
        <f>IF(AND(V4206=1,D4206&lt;&gt;""),IF(D4206&gt;=corte,TODAY()-D4206,""),"")</f>
        <v/>
      </c>
      <c r="V4206" s="8">
        <f>IF(D4206="",0,IF(OR(AND(P4206&lt;&gt;"",S4206=""),AND(N(J4206)&gt;0,N(K4206)&lt;J4206),OR(M4206="PENDENTE",M4206="PARCIAL"),OR(N4206="PENDENTE",N4206="PARCIAL")),1,0))</f>
        <v/>
      </c>
      <c r="W4206" s="8">
        <f>IF(AND(V4206=1,D4206&lt;&gt;""),IF(D4206&gt;=corte,(B4206="CRÍTICO")*1E9+(100000-D4206)*10000+10000-ROW(),""),"")</f>
        <v/>
      </c>
      <c r="X4206" s="8">
        <f>IF(AND(V4206=1,D4206=pas_data,E4206=pas_turno),10000-ROW(),"")</f>
        <v/>
      </c>
    </row>
    <row r="4207">
      <c r="A4207" s="3">
        <f>IF(D4207="","","TT-"&amp;TEXT(ROW()-1,"00000"))</f>
        <v/>
      </c>
      <c r="B4207" s="3">
        <f>IF(D4207="","",IF(V4207=0,"CONCLUÍDO",IF(D4207&lt;corte,"HISTÓRICO",IF(OR(AND(ISNUMBER(R4207),R4207&lt;TODAY()),AND(OR(N4207="PENDENTE",N4207="PARCIAL"),D4207&lt;TODAY()-1)),"CRÍTICO",IF(OR(AND(P4207&lt;&gt;"",S4207=""),AND(N4207="REALIZADO",M4207="PENDENTE"),AND(ISNUMBER(R4207),R4207=TODAY())),"ATENÇÃO",IF(N(K4207)=0,"PENDENTE","EM ANDAMENTO"))))))</f>
        <v/>
      </c>
      <c r="C4207" s="3">
        <f>IF(D4207="","",IF(V4207=0,"🟢 OK",IF(D4207&lt;corte,"⚪ HISTÓRICO (sem baixa)",IF(AND(ISNUMBER(R4207),R4207&lt;TODAY()),"🔴 PRAZO VENCIDO",IF(AND(OR(N4207="PENDENTE",N4207="PARCIAL"),D4207&lt;TODAY()-1),"🔴 EMBARQUE ATRASADO",IF(AND(N4207="REALIZADO",M4207="PENDENTE"),"🟡 EMBARCADO SEM FATURAR",IF(AND(P4207&lt;&gt;"",S4207="",OR(Q4207="",R4207="")),"🟡 PENDÊNCIA SEM RESPONSÁVEL/PRAZO",IF(AND(ISNUMBER(R4207),R4207=TODAY()),"🟡 VENCE HOJE",IF(AND(P4207&lt;&gt;"",S4207=""),"🟡 PENDÊNCIA ABERTA",IF(AND(N(J4207)&gt;0,N(K4207)&lt;J4207),"🟡 FALTA EXECUTAR",IF(OR(M4207="PENDENTE",M4207="PARCIAL"),"🟡 FATURAMENTO PENDENTE","🟡 EMBARQUE PENDENTE")))))))))))</f>
        <v/>
      </c>
      <c r="D4207" s="4" t="n"/>
      <c r="E4207" s="5" t="n"/>
      <c r="F4207" s="5" t="n"/>
      <c r="G4207" s="5" t="n"/>
      <c r="H4207" s="5" t="n"/>
      <c r="I4207" s="5" t="n"/>
      <c r="J4207" s="6" t="n"/>
      <c r="K4207" s="6" t="n"/>
      <c r="L4207" s="7">
        <f>IF(OR(D4207="",N(J4207)=0),"",MIN(1,N(K4207)/J4207))</f>
        <v/>
      </c>
      <c r="M4207" s="5" t="n"/>
      <c r="N4207" s="5" t="n"/>
      <c r="O4207" s="5" t="n"/>
      <c r="P4207" s="5" t="n"/>
      <c r="Q4207" s="5" t="n"/>
      <c r="R4207" s="4" t="n"/>
      <c r="S4207" s="4" t="n"/>
      <c r="T4207" s="5" t="n"/>
      <c r="U4207" s="8">
        <f>IF(AND(V4207=1,D4207&lt;&gt;""),IF(D4207&gt;=corte,TODAY()-D4207,""),"")</f>
        <v/>
      </c>
      <c r="V4207" s="8">
        <f>IF(D4207="",0,IF(OR(AND(P4207&lt;&gt;"",S4207=""),AND(N(J4207)&gt;0,N(K4207)&lt;J4207),OR(M4207="PENDENTE",M4207="PARCIAL"),OR(N4207="PENDENTE",N4207="PARCIAL")),1,0))</f>
        <v/>
      </c>
      <c r="W4207" s="8">
        <f>IF(AND(V4207=1,D4207&lt;&gt;""),IF(D4207&gt;=corte,(B4207="CRÍTICO")*1E9+(100000-D4207)*10000+10000-ROW(),""),"")</f>
        <v/>
      </c>
      <c r="X4207" s="8">
        <f>IF(AND(V4207=1,D4207=pas_data,E4207=pas_turno),10000-ROW(),"")</f>
        <v/>
      </c>
    </row>
    <row r="4208">
      <c r="A4208" s="3">
        <f>IF(D4208="","","TT-"&amp;TEXT(ROW()-1,"00000"))</f>
        <v/>
      </c>
      <c r="B4208" s="3">
        <f>IF(D4208="","",IF(V4208=0,"CONCLUÍDO",IF(D4208&lt;corte,"HISTÓRICO",IF(OR(AND(ISNUMBER(R4208),R4208&lt;TODAY()),AND(OR(N4208="PENDENTE",N4208="PARCIAL"),D4208&lt;TODAY()-1)),"CRÍTICO",IF(OR(AND(P4208&lt;&gt;"",S4208=""),AND(N4208="REALIZADO",M4208="PENDENTE"),AND(ISNUMBER(R4208),R4208=TODAY())),"ATENÇÃO",IF(N(K4208)=0,"PENDENTE","EM ANDAMENTO"))))))</f>
        <v/>
      </c>
      <c r="C4208" s="3">
        <f>IF(D4208="","",IF(V4208=0,"🟢 OK",IF(D4208&lt;corte,"⚪ HISTÓRICO (sem baixa)",IF(AND(ISNUMBER(R4208),R4208&lt;TODAY()),"🔴 PRAZO VENCIDO",IF(AND(OR(N4208="PENDENTE",N4208="PARCIAL"),D4208&lt;TODAY()-1),"🔴 EMBARQUE ATRASADO",IF(AND(N4208="REALIZADO",M4208="PENDENTE"),"🟡 EMBARCADO SEM FATURAR",IF(AND(P4208&lt;&gt;"",S4208="",OR(Q4208="",R4208="")),"🟡 PENDÊNCIA SEM RESPONSÁVEL/PRAZO",IF(AND(ISNUMBER(R4208),R4208=TODAY()),"🟡 VENCE HOJE",IF(AND(P4208&lt;&gt;"",S4208=""),"🟡 PENDÊNCIA ABERTA",IF(AND(N(J4208)&gt;0,N(K4208)&lt;J4208),"🟡 FALTA EXECUTAR",IF(OR(M4208="PENDENTE",M4208="PARCIAL"),"🟡 FATURAMENTO PENDENTE","🟡 EMBARQUE PENDENTE")))))))))))</f>
        <v/>
      </c>
      <c r="D4208" s="4" t="n"/>
      <c r="E4208" s="5" t="n"/>
      <c r="F4208" s="5" t="n"/>
      <c r="G4208" s="5" t="n"/>
      <c r="H4208" s="5" t="n"/>
      <c r="I4208" s="5" t="n"/>
      <c r="J4208" s="6" t="n"/>
      <c r="K4208" s="6" t="n"/>
      <c r="L4208" s="7">
        <f>IF(OR(D4208="",N(J4208)=0),"",MIN(1,N(K4208)/J4208))</f>
        <v/>
      </c>
      <c r="M4208" s="5" t="n"/>
      <c r="N4208" s="5" t="n"/>
      <c r="O4208" s="5" t="n"/>
      <c r="P4208" s="5" t="n"/>
      <c r="Q4208" s="5" t="n"/>
      <c r="R4208" s="4" t="n"/>
      <c r="S4208" s="4" t="n"/>
      <c r="T4208" s="5" t="n"/>
      <c r="U4208" s="8">
        <f>IF(AND(V4208=1,D4208&lt;&gt;""),IF(D4208&gt;=corte,TODAY()-D4208,""),"")</f>
        <v/>
      </c>
      <c r="V4208" s="8">
        <f>IF(D4208="",0,IF(OR(AND(P4208&lt;&gt;"",S4208=""),AND(N(J4208)&gt;0,N(K4208)&lt;J4208),OR(M4208="PENDENTE",M4208="PARCIAL"),OR(N4208="PENDENTE",N4208="PARCIAL")),1,0))</f>
        <v/>
      </c>
      <c r="W4208" s="8">
        <f>IF(AND(V4208=1,D4208&lt;&gt;""),IF(D4208&gt;=corte,(B4208="CRÍTICO")*1E9+(100000-D4208)*10000+10000-ROW(),""),"")</f>
        <v/>
      </c>
      <c r="X4208" s="8">
        <f>IF(AND(V4208=1,D4208=pas_data,E4208=pas_turno),10000-ROW(),"")</f>
        <v/>
      </c>
    </row>
    <row r="4209">
      <c r="A4209" s="3">
        <f>IF(D4209="","","TT-"&amp;TEXT(ROW()-1,"00000"))</f>
        <v/>
      </c>
      <c r="B4209" s="3">
        <f>IF(D4209="","",IF(V4209=0,"CONCLUÍDO",IF(D4209&lt;corte,"HISTÓRICO",IF(OR(AND(ISNUMBER(R4209),R4209&lt;TODAY()),AND(OR(N4209="PENDENTE",N4209="PARCIAL"),D4209&lt;TODAY()-1)),"CRÍTICO",IF(OR(AND(P4209&lt;&gt;"",S4209=""),AND(N4209="REALIZADO",M4209="PENDENTE"),AND(ISNUMBER(R4209),R4209=TODAY())),"ATENÇÃO",IF(N(K4209)=0,"PENDENTE","EM ANDAMENTO"))))))</f>
        <v/>
      </c>
      <c r="C4209" s="3">
        <f>IF(D4209="","",IF(V4209=0,"🟢 OK",IF(D4209&lt;corte,"⚪ HISTÓRICO (sem baixa)",IF(AND(ISNUMBER(R4209),R4209&lt;TODAY()),"🔴 PRAZO VENCIDO",IF(AND(OR(N4209="PENDENTE",N4209="PARCIAL"),D4209&lt;TODAY()-1),"🔴 EMBARQUE ATRASADO",IF(AND(N4209="REALIZADO",M4209="PENDENTE"),"🟡 EMBARCADO SEM FATURAR",IF(AND(P4209&lt;&gt;"",S4209="",OR(Q4209="",R4209="")),"🟡 PENDÊNCIA SEM RESPONSÁVEL/PRAZO",IF(AND(ISNUMBER(R4209),R4209=TODAY()),"🟡 VENCE HOJE",IF(AND(P4209&lt;&gt;"",S4209=""),"🟡 PENDÊNCIA ABERTA",IF(AND(N(J4209)&gt;0,N(K4209)&lt;J4209),"🟡 FALTA EXECUTAR",IF(OR(M4209="PENDENTE",M4209="PARCIAL"),"🟡 FATURAMENTO PENDENTE","🟡 EMBARQUE PENDENTE")))))))))))</f>
        <v/>
      </c>
      <c r="D4209" s="4" t="n"/>
      <c r="E4209" s="5" t="n"/>
      <c r="F4209" s="5" t="n"/>
      <c r="G4209" s="5" t="n"/>
      <c r="H4209" s="5" t="n"/>
      <c r="I4209" s="5" t="n"/>
      <c r="J4209" s="6" t="n"/>
      <c r="K4209" s="6" t="n"/>
      <c r="L4209" s="7">
        <f>IF(OR(D4209="",N(J4209)=0),"",MIN(1,N(K4209)/J4209))</f>
        <v/>
      </c>
      <c r="M4209" s="5" t="n"/>
      <c r="N4209" s="5" t="n"/>
      <c r="O4209" s="5" t="n"/>
      <c r="P4209" s="5" t="n"/>
      <c r="Q4209" s="5" t="n"/>
      <c r="R4209" s="4" t="n"/>
      <c r="S4209" s="4" t="n"/>
      <c r="T4209" s="5" t="n"/>
      <c r="U4209" s="8">
        <f>IF(AND(V4209=1,D4209&lt;&gt;""),IF(D4209&gt;=corte,TODAY()-D4209,""),"")</f>
        <v/>
      </c>
      <c r="V4209" s="8">
        <f>IF(D4209="",0,IF(OR(AND(P4209&lt;&gt;"",S4209=""),AND(N(J4209)&gt;0,N(K4209)&lt;J4209),OR(M4209="PENDENTE",M4209="PARCIAL"),OR(N4209="PENDENTE",N4209="PARCIAL")),1,0))</f>
        <v/>
      </c>
      <c r="W4209" s="8">
        <f>IF(AND(V4209=1,D4209&lt;&gt;""),IF(D4209&gt;=corte,(B4209="CRÍTICO")*1E9+(100000-D4209)*10000+10000-ROW(),""),"")</f>
        <v/>
      </c>
      <c r="X4209" s="8">
        <f>IF(AND(V4209=1,D4209=pas_data,E4209=pas_turno),10000-ROW(),"")</f>
        <v/>
      </c>
    </row>
    <row r="4210">
      <c r="A4210" s="3">
        <f>IF(D4210="","","TT-"&amp;TEXT(ROW()-1,"00000"))</f>
        <v/>
      </c>
      <c r="B4210" s="3">
        <f>IF(D4210="","",IF(V4210=0,"CONCLUÍDO",IF(D4210&lt;corte,"HISTÓRICO",IF(OR(AND(ISNUMBER(R4210),R4210&lt;TODAY()),AND(OR(N4210="PENDENTE",N4210="PARCIAL"),D4210&lt;TODAY()-1)),"CRÍTICO",IF(OR(AND(P4210&lt;&gt;"",S4210=""),AND(N4210="REALIZADO",M4210="PENDENTE"),AND(ISNUMBER(R4210),R4210=TODAY())),"ATENÇÃO",IF(N(K4210)=0,"PENDENTE","EM ANDAMENTO"))))))</f>
        <v/>
      </c>
      <c r="C4210" s="3">
        <f>IF(D4210="","",IF(V4210=0,"🟢 OK",IF(D4210&lt;corte,"⚪ HISTÓRICO (sem baixa)",IF(AND(ISNUMBER(R4210),R4210&lt;TODAY()),"🔴 PRAZO VENCIDO",IF(AND(OR(N4210="PENDENTE",N4210="PARCIAL"),D4210&lt;TODAY()-1),"🔴 EMBARQUE ATRASADO",IF(AND(N4210="REALIZADO",M4210="PENDENTE"),"🟡 EMBARCADO SEM FATURAR",IF(AND(P4210&lt;&gt;"",S4210="",OR(Q4210="",R4210="")),"🟡 PENDÊNCIA SEM RESPONSÁVEL/PRAZO",IF(AND(ISNUMBER(R4210),R4210=TODAY()),"🟡 VENCE HOJE",IF(AND(P4210&lt;&gt;"",S4210=""),"🟡 PENDÊNCIA ABERTA",IF(AND(N(J4210)&gt;0,N(K4210)&lt;J4210),"🟡 FALTA EXECUTAR",IF(OR(M4210="PENDENTE",M4210="PARCIAL"),"🟡 FATURAMENTO PENDENTE","🟡 EMBARQUE PENDENTE")))))))))))</f>
        <v/>
      </c>
      <c r="D4210" s="4" t="n"/>
      <c r="E4210" s="5" t="n"/>
      <c r="F4210" s="5" t="n"/>
      <c r="G4210" s="5" t="n"/>
      <c r="H4210" s="5" t="n"/>
      <c r="I4210" s="5" t="n"/>
      <c r="J4210" s="6" t="n"/>
      <c r="K4210" s="6" t="n"/>
      <c r="L4210" s="7">
        <f>IF(OR(D4210="",N(J4210)=0),"",MIN(1,N(K4210)/J4210))</f>
        <v/>
      </c>
      <c r="M4210" s="5" t="n"/>
      <c r="N4210" s="5" t="n"/>
      <c r="O4210" s="5" t="n"/>
      <c r="P4210" s="5" t="n"/>
      <c r="Q4210" s="5" t="n"/>
      <c r="R4210" s="4" t="n"/>
      <c r="S4210" s="4" t="n"/>
      <c r="T4210" s="5" t="n"/>
      <c r="U4210" s="8">
        <f>IF(AND(V4210=1,D4210&lt;&gt;""),IF(D4210&gt;=corte,TODAY()-D4210,""),"")</f>
        <v/>
      </c>
      <c r="V4210" s="8">
        <f>IF(D4210="",0,IF(OR(AND(P4210&lt;&gt;"",S4210=""),AND(N(J4210)&gt;0,N(K4210)&lt;J4210),OR(M4210="PENDENTE",M4210="PARCIAL"),OR(N4210="PENDENTE",N4210="PARCIAL")),1,0))</f>
        <v/>
      </c>
      <c r="W4210" s="8">
        <f>IF(AND(V4210=1,D4210&lt;&gt;""),IF(D4210&gt;=corte,(B4210="CRÍTICO")*1E9+(100000-D4210)*10000+10000-ROW(),""),"")</f>
        <v/>
      </c>
      <c r="X4210" s="8">
        <f>IF(AND(V4210=1,D4210=pas_data,E4210=pas_turno),10000-ROW(),"")</f>
        <v/>
      </c>
    </row>
    <row r="4211">
      <c r="A4211" s="3">
        <f>IF(D4211="","","TT-"&amp;TEXT(ROW()-1,"00000"))</f>
        <v/>
      </c>
      <c r="B4211" s="3">
        <f>IF(D4211="","",IF(V4211=0,"CONCLUÍDO",IF(D4211&lt;corte,"HISTÓRICO",IF(OR(AND(ISNUMBER(R4211),R4211&lt;TODAY()),AND(OR(N4211="PENDENTE",N4211="PARCIAL"),D4211&lt;TODAY()-1)),"CRÍTICO",IF(OR(AND(P4211&lt;&gt;"",S4211=""),AND(N4211="REALIZADO",M4211="PENDENTE"),AND(ISNUMBER(R4211),R4211=TODAY())),"ATENÇÃO",IF(N(K4211)=0,"PENDENTE","EM ANDAMENTO"))))))</f>
        <v/>
      </c>
      <c r="C4211" s="3">
        <f>IF(D4211="","",IF(V4211=0,"🟢 OK",IF(D4211&lt;corte,"⚪ HISTÓRICO (sem baixa)",IF(AND(ISNUMBER(R4211),R4211&lt;TODAY()),"🔴 PRAZO VENCIDO",IF(AND(OR(N4211="PENDENTE",N4211="PARCIAL"),D4211&lt;TODAY()-1),"🔴 EMBARQUE ATRASADO",IF(AND(N4211="REALIZADO",M4211="PENDENTE"),"🟡 EMBARCADO SEM FATURAR",IF(AND(P4211&lt;&gt;"",S4211="",OR(Q4211="",R4211="")),"🟡 PENDÊNCIA SEM RESPONSÁVEL/PRAZO",IF(AND(ISNUMBER(R4211),R4211=TODAY()),"🟡 VENCE HOJE",IF(AND(P4211&lt;&gt;"",S4211=""),"🟡 PENDÊNCIA ABERTA",IF(AND(N(J4211)&gt;0,N(K4211)&lt;J4211),"🟡 FALTA EXECUTAR",IF(OR(M4211="PENDENTE",M4211="PARCIAL"),"🟡 FATURAMENTO PENDENTE","🟡 EMBARQUE PENDENTE")))))))))))</f>
        <v/>
      </c>
      <c r="D4211" s="4" t="n"/>
      <c r="E4211" s="5" t="n"/>
      <c r="F4211" s="5" t="n"/>
      <c r="G4211" s="5" t="n"/>
      <c r="H4211" s="5" t="n"/>
      <c r="I4211" s="5" t="n"/>
      <c r="J4211" s="6" t="n"/>
      <c r="K4211" s="6" t="n"/>
      <c r="L4211" s="7">
        <f>IF(OR(D4211="",N(J4211)=0),"",MIN(1,N(K4211)/J4211))</f>
        <v/>
      </c>
      <c r="M4211" s="5" t="n"/>
      <c r="N4211" s="5" t="n"/>
      <c r="O4211" s="5" t="n"/>
      <c r="P4211" s="5" t="n"/>
      <c r="Q4211" s="5" t="n"/>
      <c r="R4211" s="4" t="n"/>
      <c r="S4211" s="4" t="n"/>
      <c r="T4211" s="5" t="n"/>
      <c r="U4211" s="8">
        <f>IF(AND(V4211=1,D4211&lt;&gt;""),IF(D4211&gt;=corte,TODAY()-D4211,""),"")</f>
        <v/>
      </c>
      <c r="V4211" s="8">
        <f>IF(D4211="",0,IF(OR(AND(P4211&lt;&gt;"",S4211=""),AND(N(J4211)&gt;0,N(K4211)&lt;J4211),OR(M4211="PENDENTE",M4211="PARCIAL"),OR(N4211="PENDENTE",N4211="PARCIAL")),1,0))</f>
        <v/>
      </c>
      <c r="W4211" s="8">
        <f>IF(AND(V4211=1,D4211&lt;&gt;""),IF(D4211&gt;=corte,(B4211="CRÍTICO")*1E9+(100000-D4211)*10000+10000-ROW(),""),"")</f>
        <v/>
      </c>
      <c r="X4211" s="8">
        <f>IF(AND(V4211=1,D4211=pas_data,E4211=pas_turno),10000-ROW(),"")</f>
        <v/>
      </c>
    </row>
    <row r="4212">
      <c r="A4212" s="3">
        <f>IF(D4212="","","TT-"&amp;TEXT(ROW()-1,"00000"))</f>
        <v/>
      </c>
      <c r="B4212" s="3">
        <f>IF(D4212="","",IF(V4212=0,"CONCLUÍDO",IF(D4212&lt;corte,"HISTÓRICO",IF(OR(AND(ISNUMBER(R4212),R4212&lt;TODAY()),AND(OR(N4212="PENDENTE",N4212="PARCIAL"),D4212&lt;TODAY()-1)),"CRÍTICO",IF(OR(AND(P4212&lt;&gt;"",S4212=""),AND(N4212="REALIZADO",M4212="PENDENTE"),AND(ISNUMBER(R4212),R4212=TODAY())),"ATENÇÃO",IF(N(K4212)=0,"PENDENTE","EM ANDAMENTO"))))))</f>
        <v/>
      </c>
      <c r="C4212" s="3">
        <f>IF(D4212="","",IF(V4212=0,"🟢 OK",IF(D4212&lt;corte,"⚪ HISTÓRICO (sem baixa)",IF(AND(ISNUMBER(R4212),R4212&lt;TODAY()),"🔴 PRAZO VENCIDO",IF(AND(OR(N4212="PENDENTE",N4212="PARCIAL"),D4212&lt;TODAY()-1),"🔴 EMBARQUE ATRASADO",IF(AND(N4212="REALIZADO",M4212="PENDENTE"),"🟡 EMBARCADO SEM FATURAR",IF(AND(P4212&lt;&gt;"",S4212="",OR(Q4212="",R4212="")),"🟡 PENDÊNCIA SEM RESPONSÁVEL/PRAZO",IF(AND(ISNUMBER(R4212),R4212=TODAY()),"🟡 VENCE HOJE",IF(AND(P4212&lt;&gt;"",S4212=""),"🟡 PENDÊNCIA ABERTA",IF(AND(N(J4212)&gt;0,N(K4212)&lt;J4212),"🟡 FALTA EXECUTAR",IF(OR(M4212="PENDENTE",M4212="PARCIAL"),"🟡 FATURAMENTO PENDENTE","🟡 EMBARQUE PENDENTE")))))))))))</f>
        <v/>
      </c>
      <c r="D4212" s="4" t="n"/>
      <c r="E4212" s="5" t="n"/>
      <c r="F4212" s="5" t="n"/>
      <c r="G4212" s="5" t="n"/>
      <c r="H4212" s="5" t="n"/>
      <c r="I4212" s="5" t="n"/>
      <c r="J4212" s="6" t="n"/>
      <c r="K4212" s="6" t="n"/>
      <c r="L4212" s="7">
        <f>IF(OR(D4212="",N(J4212)=0),"",MIN(1,N(K4212)/J4212))</f>
        <v/>
      </c>
      <c r="M4212" s="5" t="n"/>
      <c r="N4212" s="5" t="n"/>
      <c r="O4212" s="5" t="n"/>
      <c r="P4212" s="5" t="n"/>
      <c r="Q4212" s="5" t="n"/>
      <c r="R4212" s="4" t="n"/>
      <c r="S4212" s="4" t="n"/>
      <c r="T4212" s="5" t="n"/>
      <c r="U4212" s="8">
        <f>IF(AND(V4212=1,D4212&lt;&gt;""),IF(D4212&gt;=corte,TODAY()-D4212,""),"")</f>
        <v/>
      </c>
      <c r="V4212" s="8">
        <f>IF(D4212="",0,IF(OR(AND(P4212&lt;&gt;"",S4212=""),AND(N(J4212)&gt;0,N(K4212)&lt;J4212),OR(M4212="PENDENTE",M4212="PARCIAL"),OR(N4212="PENDENTE",N4212="PARCIAL")),1,0))</f>
        <v/>
      </c>
      <c r="W4212" s="8">
        <f>IF(AND(V4212=1,D4212&lt;&gt;""),IF(D4212&gt;=corte,(B4212="CRÍTICO")*1E9+(100000-D4212)*10000+10000-ROW(),""),"")</f>
        <v/>
      </c>
      <c r="X4212" s="8">
        <f>IF(AND(V4212=1,D4212=pas_data,E4212=pas_turno),10000-ROW(),"")</f>
        <v/>
      </c>
    </row>
    <row r="4213">
      <c r="A4213" s="3">
        <f>IF(D4213="","","TT-"&amp;TEXT(ROW()-1,"00000"))</f>
        <v/>
      </c>
      <c r="B4213" s="3">
        <f>IF(D4213="","",IF(V4213=0,"CONCLUÍDO",IF(D4213&lt;corte,"HISTÓRICO",IF(OR(AND(ISNUMBER(R4213),R4213&lt;TODAY()),AND(OR(N4213="PENDENTE",N4213="PARCIAL"),D4213&lt;TODAY()-1)),"CRÍTICO",IF(OR(AND(P4213&lt;&gt;"",S4213=""),AND(N4213="REALIZADO",M4213="PENDENTE"),AND(ISNUMBER(R4213),R4213=TODAY())),"ATENÇÃO",IF(N(K4213)=0,"PENDENTE","EM ANDAMENTO"))))))</f>
        <v/>
      </c>
      <c r="C4213" s="3">
        <f>IF(D4213="","",IF(V4213=0,"🟢 OK",IF(D4213&lt;corte,"⚪ HISTÓRICO (sem baixa)",IF(AND(ISNUMBER(R4213),R4213&lt;TODAY()),"🔴 PRAZO VENCIDO",IF(AND(OR(N4213="PENDENTE",N4213="PARCIAL"),D4213&lt;TODAY()-1),"🔴 EMBARQUE ATRASADO",IF(AND(N4213="REALIZADO",M4213="PENDENTE"),"🟡 EMBARCADO SEM FATURAR",IF(AND(P4213&lt;&gt;"",S4213="",OR(Q4213="",R4213="")),"🟡 PENDÊNCIA SEM RESPONSÁVEL/PRAZO",IF(AND(ISNUMBER(R4213),R4213=TODAY()),"🟡 VENCE HOJE",IF(AND(P4213&lt;&gt;"",S4213=""),"🟡 PENDÊNCIA ABERTA",IF(AND(N(J4213)&gt;0,N(K4213)&lt;J4213),"🟡 FALTA EXECUTAR",IF(OR(M4213="PENDENTE",M4213="PARCIAL"),"🟡 FATURAMENTO PENDENTE","🟡 EMBARQUE PENDENTE")))))))))))</f>
        <v/>
      </c>
      <c r="D4213" s="4" t="n"/>
      <c r="E4213" s="5" t="n"/>
      <c r="F4213" s="5" t="n"/>
      <c r="G4213" s="5" t="n"/>
      <c r="H4213" s="5" t="n"/>
      <c r="I4213" s="5" t="n"/>
      <c r="J4213" s="6" t="n"/>
      <c r="K4213" s="6" t="n"/>
      <c r="L4213" s="7">
        <f>IF(OR(D4213="",N(J4213)=0),"",MIN(1,N(K4213)/J4213))</f>
        <v/>
      </c>
      <c r="M4213" s="5" t="n"/>
      <c r="N4213" s="5" t="n"/>
      <c r="O4213" s="5" t="n"/>
      <c r="P4213" s="5" t="n"/>
      <c r="Q4213" s="5" t="n"/>
      <c r="R4213" s="4" t="n"/>
      <c r="S4213" s="4" t="n"/>
      <c r="T4213" s="5" t="n"/>
      <c r="U4213" s="8">
        <f>IF(AND(V4213=1,D4213&lt;&gt;""),IF(D4213&gt;=corte,TODAY()-D4213,""),"")</f>
        <v/>
      </c>
      <c r="V4213" s="8">
        <f>IF(D4213="",0,IF(OR(AND(P4213&lt;&gt;"",S4213=""),AND(N(J4213)&gt;0,N(K4213)&lt;J4213),OR(M4213="PENDENTE",M4213="PARCIAL"),OR(N4213="PENDENTE",N4213="PARCIAL")),1,0))</f>
        <v/>
      </c>
      <c r="W4213" s="8">
        <f>IF(AND(V4213=1,D4213&lt;&gt;""),IF(D4213&gt;=corte,(B4213="CRÍTICO")*1E9+(100000-D4213)*10000+10000-ROW(),""),"")</f>
        <v/>
      </c>
      <c r="X4213" s="8">
        <f>IF(AND(V4213=1,D4213=pas_data,E4213=pas_turno),10000-ROW(),"")</f>
        <v/>
      </c>
    </row>
    <row r="4214">
      <c r="A4214" s="3">
        <f>IF(D4214="","","TT-"&amp;TEXT(ROW()-1,"00000"))</f>
        <v/>
      </c>
      <c r="B4214" s="3">
        <f>IF(D4214="","",IF(V4214=0,"CONCLUÍDO",IF(D4214&lt;corte,"HISTÓRICO",IF(OR(AND(ISNUMBER(R4214),R4214&lt;TODAY()),AND(OR(N4214="PENDENTE",N4214="PARCIAL"),D4214&lt;TODAY()-1)),"CRÍTICO",IF(OR(AND(P4214&lt;&gt;"",S4214=""),AND(N4214="REALIZADO",M4214="PENDENTE"),AND(ISNUMBER(R4214),R4214=TODAY())),"ATENÇÃO",IF(N(K4214)=0,"PENDENTE","EM ANDAMENTO"))))))</f>
        <v/>
      </c>
      <c r="C4214" s="3">
        <f>IF(D4214="","",IF(V4214=0,"🟢 OK",IF(D4214&lt;corte,"⚪ HISTÓRICO (sem baixa)",IF(AND(ISNUMBER(R4214),R4214&lt;TODAY()),"🔴 PRAZO VENCIDO",IF(AND(OR(N4214="PENDENTE",N4214="PARCIAL"),D4214&lt;TODAY()-1),"🔴 EMBARQUE ATRASADO",IF(AND(N4214="REALIZADO",M4214="PENDENTE"),"🟡 EMBARCADO SEM FATURAR",IF(AND(P4214&lt;&gt;"",S4214="",OR(Q4214="",R4214="")),"🟡 PENDÊNCIA SEM RESPONSÁVEL/PRAZO",IF(AND(ISNUMBER(R4214),R4214=TODAY()),"🟡 VENCE HOJE",IF(AND(P4214&lt;&gt;"",S4214=""),"🟡 PENDÊNCIA ABERTA",IF(AND(N(J4214)&gt;0,N(K4214)&lt;J4214),"🟡 FALTA EXECUTAR",IF(OR(M4214="PENDENTE",M4214="PARCIAL"),"🟡 FATURAMENTO PENDENTE","🟡 EMBARQUE PENDENTE")))))))))))</f>
        <v/>
      </c>
      <c r="D4214" s="4" t="n"/>
      <c r="E4214" s="5" t="n"/>
      <c r="F4214" s="5" t="n"/>
      <c r="G4214" s="5" t="n"/>
      <c r="H4214" s="5" t="n"/>
      <c r="I4214" s="5" t="n"/>
      <c r="J4214" s="6" t="n"/>
      <c r="K4214" s="6" t="n"/>
      <c r="L4214" s="7">
        <f>IF(OR(D4214="",N(J4214)=0),"",MIN(1,N(K4214)/J4214))</f>
        <v/>
      </c>
      <c r="M4214" s="5" t="n"/>
      <c r="N4214" s="5" t="n"/>
      <c r="O4214" s="5" t="n"/>
      <c r="P4214" s="5" t="n"/>
      <c r="Q4214" s="5" t="n"/>
      <c r="R4214" s="4" t="n"/>
      <c r="S4214" s="4" t="n"/>
      <c r="T4214" s="5" t="n"/>
      <c r="U4214" s="8">
        <f>IF(AND(V4214=1,D4214&lt;&gt;""),IF(D4214&gt;=corte,TODAY()-D4214,""),"")</f>
        <v/>
      </c>
      <c r="V4214" s="8">
        <f>IF(D4214="",0,IF(OR(AND(P4214&lt;&gt;"",S4214=""),AND(N(J4214)&gt;0,N(K4214)&lt;J4214),OR(M4214="PENDENTE",M4214="PARCIAL"),OR(N4214="PENDENTE",N4214="PARCIAL")),1,0))</f>
        <v/>
      </c>
      <c r="W4214" s="8">
        <f>IF(AND(V4214=1,D4214&lt;&gt;""),IF(D4214&gt;=corte,(B4214="CRÍTICO")*1E9+(100000-D4214)*10000+10000-ROW(),""),"")</f>
        <v/>
      </c>
      <c r="X4214" s="8">
        <f>IF(AND(V4214=1,D4214=pas_data,E4214=pas_turno),10000-ROW(),"")</f>
        <v/>
      </c>
    </row>
    <row r="4215">
      <c r="A4215" s="3">
        <f>IF(D4215="","","TT-"&amp;TEXT(ROW()-1,"00000"))</f>
        <v/>
      </c>
      <c r="B4215" s="3">
        <f>IF(D4215="","",IF(V4215=0,"CONCLUÍDO",IF(D4215&lt;corte,"HISTÓRICO",IF(OR(AND(ISNUMBER(R4215),R4215&lt;TODAY()),AND(OR(N4215="PENDENTE",N4215="PARCIAL"),D4215&lt;TODAY()-1)),"CRÍTICO",IF(OR(AND(P4215&lt;&gt;"",S4215=""),AND(N4215="REALIZADO",M4215="PENDENTE"),AND(ISNUMBER(R4215),R4215=TODAY())),"ATENÇÃO",IF(N(K4215)=0,"PENDENTE","EM ANDAMENTO"))))))</f>
        <v/>
      </c>
      <c r="C4215" s="3">
        <f>IF(D4215="","",IF(V4215=0,"🟢 OK",IF(D4215&lt;corte,"⚪ HISTÓRICO (sem baixa)",IF(AND(ISNUMBER(R4215),R4215&lt;TODAY()),"🔴 PRAZO VENCIDO",IF(AND(OR(N4215="PENDENTE",N4215="PARCIAL"),D4215&lt;TODAY()-1),"🔴 EMBARQUE ATRASADO",IF(AND(N4215="REALIZADO",M4215="PENDENTE"),"🟡 EMBARCADO SEM FATURAR",IF(AND(P4215&lt;&gt;"",S4215="",OR(Q4215="",R4215="")),"🟡 PENDÊNCIA SEM RESPONSÁVEL/PRAZO",IF(AND(ISNUMBER(R4215),R4215=TODAY()),"🟡 VENCE HOJE",IF(AND(P4215&lt;&gt;"",S4215=""),"🟡 PENDÊNCIA ABERTA",IF(AND(N(J4215)&gt;0,N(K4215)&lt;J4215),"🟡 FALTA EXECUTAR",IF(OR(M4215="PENDENTE",M4215="PARCIAL"),"🟡 FATURAMENTO PENDENTE","🟡 EMBARQUE PENDENTE")))))))))))</f>
        <v/>
      </c>
      <c r="D4215" s="4" t="n"/>
      <c r="E4215" s="5" t="n"/>
      <c r="F4215" s="5" t="n"/>
      <c r="G4215" s="5" t="n"/>
      <c r="H4215" s="5" t="n"/>
      <c r="I4215" s="5" t="n"/>
      <c r="J4215" s="6" t="n"/>
      <c r="K4215" s="6" t="n"/>
      <c r="L4215" s="7">
        <f>IF(OR(D4215="",N(J4215)=0),"",MIN(1,N(K4215)/J4215))</f>
        <v/>
      </c>
      <c r="M4215" s="5" t="n"/>
      <c r="N4215" s="5" t="n"/>
      <c r="O4215" s="5" t="n"/>
      <c r="P4215" s="5" t="n"/>
      <c r="Q4215" s="5" t="n"/>
      <c r="R4215" s="4" t="n"/>
      <c r="S4215" s="4" t="n"/>
      <c r="T4215" s="5" t="n"/>
      <c r="U4215" s="8">
        <f>IF(AND(V4215=1,D4215&lt;&gt;""),IF(D4215&gt;=corte,TODAY()-D4215,""),"")</f>
        <v/>
      </c>
      <c r="V4215" s="8">
        <f>IF(D4215="",0,IF(OR(AND(P4215&lt;&gt;"",S4215=""),AND(N(J4215)&gt;0,N(K4215)&lt;J4215),OR(M4215="PENDENTE",M4215="PARCIAL"),OR(N4215="PENDENTE",N4215="PARCIAL")),1,0))</f>
        <v/>
      </c>
      <c r="W4215" s="8">
        <f>IF(AND(V4215=1,D4215&lt;&gt;""),IF(D4215&gt;=corte,(B4215="CRÍTICO")*1E9+(100000-D4215)*10000+10000-ROW(),""),"")</f>
        <v/>
      </c>
      <c r="X4215" s="8">
        <f>IF(AND(V4215=1,D4215=pas_data,E4215=pas_turno),10000-ROW(),"")</f>
        <v/>
      </c>
    </row>
    <row r="4216">
      <c r="A4216" s="3">
        <f>IF(D4216="","","TT-"&amp;TEXT(ROW()-1,"00000"))</f>
        <v/>
      </c>
      <c r="B4216" s="3">
        <f>IF(D4216="","",IF(V4216=0,"CONCLUÍDO",IF(D4216&lt;corte,"HISTÓRICO",IF(OR(AND(ISNUMBER(R4216),R4216&lt;TODAY()),AND(OR(N4216="PENDENTE",N4216="PARCIAL"),D4216&lt;TODAY()-1)),"CRÍTICO",IF(OR(AND(P4216&lt;&gt;"",S4216=""),AND(N4216="REALIZADO",M4216="PENDENTE"),AND(ISNUMBER(R4216),R4216=TODAY())),"ATENÇÃO",IF(N(K4216)=0,"PENDENTE","EM ANDAMENTO"))))))</f>
        <v/>
      </c>
      <c r="C4216" s="3">
        <f>IF(D4216="","",IF(V4216=0,"🟢 OK",IF(D4216&lt;corte,"⚪ HISTÓRICO (sem baixa)",IF(AND(ISNUMBER(R4216),R4216&lt;TODAY()),"🔴 PRAZO VENCIDO",IF(AND(OR(N4216="PENDENTE",N4216="PARCIAL"),D4216&lt;TODAY()-1),"🔴 EMBARQUE ATRASADO",IF(AND(N4216="REALIZADO",M4216="PENDENTE"),"🟡 EMBARCADO SEM FATURAR",IF(AND(P4216&lt;&gt;"",S4216="",OR(Q4216="",R4216="")),"🟡 PENDÊNCIA SEM RESPONSÁVEL/PRAZO",IF(AND(ISNUMBER(R4216),R4216=TODAY()),"🟡 VENCE HOJE",IF(AND(P4216&lt;&gt;"",S4216=""),"🟡 PENDÊNCIA ABERTA",IF(AND(N(J4216)&gt;0,N(K4216)&lt;J4216),"🟡 FALTA EXECUTAR",IF(OR(M4216="PENDENTE",M4216="PARCIAL"),"🟡 FATURAMENTO PENDENTE","🟡 EMBARQUE PENDENTE")))))))))))</f>
        <v/>
      </c>
      <c r="D4216" s="4" t="n"/>
      <c r="E4216" s="5" t="n"/>
      <c r="F4216" s="5" t="n"/>
      <c r="G4216" s="5" t="n"/>
      <c r="H4216" s="5" t="n"/>
      <c r="I4216" s="5" t="n"/>
      <c r="J4216" s="6" t="n"/>
      <c r="K4216" s="6" t="n"/>
      <c r="L4216" s="7">
        <f>IF(OR(D4216="",N(J4216)=0),"",MIN(1,N(K4216)/J4216))</f>
        <v/>
      </c>
      <c r="M4216" s="5" t="n"/>
      <c r="N4216" s="5" t="n"/>
      <c r="O4216" s="5" t="n"/>
      <c r="P4216" s="5" t="n"/>
      <c r="Q4216" s="5" t="n"/>
      <c r="R4216" s="4" t="n"/>
      <c r="S4216" s="4" t="n"/>
      <c r="T4216" s="5" t="n"/>
      <c r="U4216" s="8">
        <f>IF(AND(V4216=1,D4216&lt;&gt;""),IF(D4216&gt;=corte,TODAY()-D4216,""),"")</f>
        <v/>
      </c>
      <c r="V4216" s="8">
        <f>IF(D4216="",0,IF(OR(AND(P4216&lt;&gt;"",S4216=""),AND(N(J4216)&gt;0,N(K4216)&lt;J4216),OR(M4216="PENDENTE",M4216="PARCIAL"),OR(N4216="PENDENTE",N4216="PARCIAL")),1,0))</f>
        <v/>
      </c>
      <c r="W4216" s="8">
        <f>IF(AND(V4216=1,D4216&lt;&gt;""),IF(D4216&gt;=corte,(B4216="CRÍTICO")*1E9+(100000-D4216)*10000+10000-ROW(),""),"")</f>
        <v/>
      </c>
      <c r="X4216" s="8">
        <f>IF(AND(V4216=1,D4216=pas_data,E4216=pas_turno),10000-ROW(),"")</f>
        <v/>
      </c>
    </row>
    <row r="4217">
      <c r="A4217" s="3">
        <f>IF(D4217="","","TT-"&amp;TEXT(ROW()-1,"00000"))</f>
        <v/>
      </c>
      <c r="B4217" s="3">
        <f>IF(D4217="","",IF(V4217=0,"CONCLUÍDO",IF(D4217&lt;corte,"HISTÓRICO",IF(OR(AND(ISNUMBER(R4217),R4217&lt;TODAY()),AND(OR(N4217="PENDENTE",N4217="PARCIAL"),D4217&lt;TODAY()-1)),"CRÍTICO",IF(OR(AND(P4217&lt;&gt;"",S4217=""),AND(N4217="REALIZADO",M4217="PENDENTE"),AND(ISNUMBER(R4217),R4217=TODAY())),"ATENÇÃO",IF(N(K4217)=0,"PENDENTE","EM ANDAMENTO"))))))</f>
        <v/>
      </c>
      <c r="C4217" s="3">
        <f>IF(D4217="","",IF(V4217=0,"🟢 OK",IF(D4217&lt;corte,"⚪ HISTÓRICO (sem baixa)",IF(AND(ISNUMBER(R4217),R4217&lt;TODAY()),"🔴 PRAZO VENCIDO",IF(AND(OR(N4217="PENDENTE",N4217="PARCIAL"),D4217&lt;TODAY()-1),"🔴 EMBARQUE ATRASADO",IF(AND(N4217="REALIZADO",M4217="PENDENTE"),"🟡 EMBARCADO SEM FATURAR",IF(AND(P4217&lt;&gt;"",S4217="",OR(Q4217="",R4217="")),"🟡 PENDÊNCIA SEM RESPONSÁVEL/PRAZO",IF(AND(ISNUMBER(R4217),R4217=TODAY()),"🟡 VENCE HOJE",IF(AND(P4217&lt;&gt;"",S4217=""),"🟡 PENDÊNCIA ABERTA",IF(AND(N(J4217)&gt;0,N(K4217)&lt;J4217),"🟡 FALTA EXECUTAR",IF(OR(M4217="PENDENTE",M4217="PARCIAL"),"🟡 FATURAMENTO PENDENTE","🟡 EMBARQUE PENDENTE")))))))))))</f>
        <v/>
      </c>
      <c r="D4217" s="4" t="n"/>
      <c r="E4217" s="5" t="n"/>
      <c r="F4217" s="5" t="n"/>
      <c r="G4217" s="5" t="n"/>
      <c r="H4217" s="5" t="n"/>
      <c r="I4217" s="5" t="n"/>
      <c r="J4217" s="6" t="n"/>
      <c r="K4217" s="6" t="n"/>
      <c r="L4217" s="7">
        <f>IF(OR(D4217="",N(J4217)=0),"",MIN(1,N(K4217)/J4217))</f>
        <v/>
      </c>
      <c r="M4217" s="5" t="n"/>
      <c r="N4217" s="5" t="n"/>
      <c r="O4217" s="5" t="n"/>
      <c r="P4217" s="5" t="n"/>
      <c r="Q4217" s="5" t="n"/>
      <c r="R4217" s="4" t="n"/>
      <c r="S4217" s="4" t="n"/>
      <c r="T4217" s="5" t="n"/>
      <c r="U4217" s="8">
        <f>IF(AND(V4217=1,D4217&lt;&gt;""),IF(D4217&gt;=corte,TODAY()-D4217,""),"")</f>
        <v/>
      </c>
      <c r="V4217" s="8">
        <f>IF(D4217="",0,IF(OR(AND(P4217&lt;&gt;"",S4217=""),AND(N(J4217)&gt;0,N(K4217)&lt;J4217),OR(M4217="PENDENTE",M4217="PARCIAL"),OR(N4217="PENDENTE",N4217="PARCIAL")),1,0))</f>
        <v/>
      </c>
      <c r="W4217" s="8">
        <f>IF(AND(V4217=1,D4217&lt;&gt;""),IF(D4217&gt;=corte,(B4217="CRÍTICO")*1E9+(100000-D4217)*10000+10000-ROW(),""),"")</f>
        <v/>
      </c>
      <c r="X4217" s="8">
        <f>IF(AND(V4217=1,D4217=pas_data,E4217=pas_turno),10000-ROW(),"")</f>
        <v/>
      </c>
    </row>
    <row r="4218">
      <c r="A4218" s="3">
        <f>IF(D4218="","","TT-"&amp;TEXT(ROW()-1,"00000"))</f>
        <v/>
      </c>
      <c r="B4218" s="3">
        <f>IF(D4218="","",IF(V4218=0,"CONCLUÍDO",IF(D4218&lt;corte,"HISTÓRICO",IF(OR(AND(ISNUMBER(R4218),R4218&lt;TODAY()),AND(OR(N4218="PENDENTE",N4218="PARCIAL"),D4218&lt;TODAY()-1)),"CRÍTICO",IF(OR(AND(P4218&lt;&gt;"",S4218=""),AND(N4218="REALIZADO",M4218="PENDENTE"),AND(ISNUMBER(R4218),R4218=TODAY())),"ATENÇÃO",IF(N(K4218)=0,"PENDENTE","EM ANDAMENTO"))))))</f>
        <v/>
      </c>
      <c r="C4218" s="3">
        <f>IF(D4218="","",IF(V4218=0,"🟢 OK",IF(D4218&lt;corte,"⚪ HISTÓRICO (sem baixa)",IF(AND(ISNUMBER(R4218),R4218&lt;TODAY()),"🔴 PRAZO VENCIDO",IF(AND(OR(N4218="PENDENTE",N4218="PARCIAL"),D4218&lt;TODAY()-1),"🔴 EMBARQUE ATRASADO",IF(AND(N4218="REALIZADO",M4218="PENDENTE"),"🟡 EMBARCADO SEM FATURAR",IF(AND(P4218&lt;&gt;"",S4218="",OR(Q4218="",R4218="")),"🟡 PENDÊNCIA SEM RESPONSÁVEL/PRAZO",IF(AND(ISNUMBER(R4218),R4218=TODAY()),"🟡 VENCE HOJE",IF(AND(P4218&lt;&gt;"",S4218=""),"🟡 PENDÊNCIA ABERTA",IF(AND(N(J4218)&gt;0,N(K4218)&lt;J4218),"🟡 FALTA EXECUTAR",IF(OR(M4218="PENDENTE",M4218="PARCIAL"),"🟡 FATURAMENTO PENDENTE","🟡 EMBARQUE PENDENTE")))))))))))</f>
        <v/>
      </c>
      <c r="D4218" s="4" t="n"/>
      <c r="E4218" s="5" t="n"/>
      <c r="F4218" s="5" t="n"/>
      <c r="G4218" s="5" t="n"/>
      <c r="H4218" s="5" t="n"/>
      <c r="I4218" s="5" t="n"/>
      <c r="J4218" s="6" t="n"/>
      <c r="K4218" s="6" t="n"/>
      <c r="L4218" s="7">
        <f>IF(OR(D4218="",N(J4218)=0),"",MIN(1,N(K4218)/J4218))</f>
        <v/>
      </c>
      <c r="M4218" s="5" t="n"/>
      <c r="N4218" s="5" t="n"/>
      <c r="O4218" s="5" t="n"/>
      <c r="P4218" s="5" t="n"/>
      <c r="Q4218" s="5" t="n"/>
      <c r="R4218" s="4" t="n"/>
      <c r="S4218" s="4" t="n"/>
      <c r="T4218" s="5" t="n"/>
      <c r="U4218" s="8">
        <f>IF(AND(V4218=1,D4218&lt;&gt;""),IF(D4218&gt;=corte,TODAY()-D4218,""),"")</f>
        <v/>
      </c>
      <c r="V4218" s="8">
        <f>IF(D4218="",0,IF(OR(AND(P4218&lt;&gt;"",S4218=""),AND(N(J4218)&gt;0,N(K4218)&lt;J4218),OR(M4218="PENDENTE",M4218="PARCIAL"),OR(N4218="PENDENTE",N4218="PARCIAL")),1,0))</f>
        <v/>
      </c>
      <c r="W4218" s="8">
        <f>IF(AND(V4218=1,D4218&lt;&gt;""),IF(D4218&gt;=corte,(B4218="CRÍTICO")*1E9+(100000-D4218)*10000+10000-ROW(),""),"")</f>
        <v/>
      </c>
      <c r="X4218" s="8">
        <f>IF(AND(V4218=1,D4218=pas_data,E4218=pas_turno),10000-ROW(),"")</f>
        <v/>
      </c>
    </row>
    <row r="4219">
      <c r="A4219" s="3">
        <f>IF(D4219="","","TT-"&amp;TEXT(ROW()-1,"00000"))</f>
        <v/>
      </c>
      <c r="B4219" s="3">
        <f>IF(D4219="","",IF(V4219=0,"CONCLUÍDO",IF(D4219&lt;corte,"HISTÓRICO",IF(OR(AND(ISNUMBER(R4219),R4219&lt;TODAY()),AND(OR(N4219="PENDENTE",N4219="PARCIAL"),D4219&lt;TODAY()-1)),"CRÍTICO",IF(OR(AND(P4219&lt;&gt;"",S4219=""),AND(N4219="REALIZADO",M4219="PENDENTE"),AND(ISNUMBER(R4219),R4219=TODAY())),"ATENÇÃO",IF(N(K4219)=0,"PENDENTE","EM ANDAMENTO"))))))</f>
        <v/>
      </c>
      <c r="C4219" s="3">
        <f>IF(D4219="","",IF(V4219=0,"🟢 OK",IF(D4219&lt;corte,"⚪ HISTÓRICO (sem baixa)",IF(AND(ISNUMBER(R4219),R4219&lt;TODAY()),"🔴 PRAZO VENCIDO",IF(AND(OR(N4219="PENDENTE",N4219="PARCIAL"),D4219&lt;TODAY()-1),"🔴 EMBARQUE ATRASADO",IF(AND(N4219="REALIZADO",M4219="PENDENTE"),"🟡 EMBARCADO SEM FATURAR",IF(AND(P4219&lt;&gt;"",S4219="",OR(Q4219="",R4219="")),"🟡 PENDÊNCIA SEM RESPONSÁVEL/PRAZO",IF(AND(ISNUMBER(R4219),R4219=TODAY()),"🟡 VENCE HOJE",IF(AND(P4219&lt;&gt;"",S4219=""),"🟡 PENDÊNCIA ABERTA",IF(AND(N(J4219)&gt;0,N(K4219)&lt;J4219),"🟡 FALTA EXECUTAR",IF(OR(M4219="PENDENTE",M4219="PARCIAL"),"🟡 FATURAMENTO PENDENTE","🟡 EMBARQUE PENDENTE")))))))))))</f>
        <v/>
      </c>
      <c r="D4219" s="4" t="n"/>
      <c r="E4219" s="5" t="n"/>
      <c r="F4219" s="5" t="n"/>
      <c r="G4219" s="5" t="n"/>
      <c r="H4219" s="5" t="n"/>
      <c r="I4219" s="5" t="n"/>
      <c r="J4219" s="6" t="n"/>
      <c r="K4219" s="6" t="n"/>
      <c r="L4219" s="7">
        <f>IF(OR(D4219="",N(J4219)=0),"",MIN(1,N(K4219)/J4219))</f>
        <v/>
      </c>
      <c r="M4219" s="5" t="n"/>
      <c r="N4219" s="5" t="n"/>
      <c r="O4219" s="5" t="n"/>
      <c r="P4219" s="5" t="n"/>
      <c r="Q4219" s="5" t="n"/>
      <c r="R4219" s="4" t="n"/>
      <c r="S4219" s="4" t="n"/>
      <c r="T4219" s="5" t="n"/>
      <c r="U4219" s="8">
        <f>IF(AND(V4219=1,D4219&lt;&gt;""),IF(D4219&gt;=corte,TODAY()-D4219,""),"")</f>
        <v/>
      </c>
      <c r="V4219" s="8">
        <f>IF(D4219="",0,IF(OR(AND(P4219&lt;&gt;"",S4219=""),AND(N(J4219)&gt;0,N(K4219)&lt;J4219),OR(M4219="PENDENTE",M4219="PARCIAL"),OR(N4219="PENDENTE",N4219="PARCIAL")),1,0))</f>
        <v/>
      </c>
      <c r="W4219" s="8">
        <f>IF(AND(V4219=1,D4219&lt;&gt;""),IF(D4219&gt;=corte,(B4219="CRÍTICO")*1E9+(100000-D4219)*10000+10000-ROW(),""),"")</f>
        <v/>
      </c>
      <c r="X4219" s="8">
        <f>IF(AND(V4219=1,D4219=pas_data,E4219=pas_turno),10000-ROW(),"")</f>
        <v/>
      </c>
    </row>
    <row r="4220">
      <c r="A4220" s="3">
        <f>IF(D4220="","","TT-"&amp;TEXT(ROW()-1,"00000"))</f>
        <v/>
      </c>
      <c r="B4220" s="3">
        <f>IF(D4220="","",IF(V4220=0,"CONCLUÍDO",IF(D4220&lt;corte,"HISTÓRICO",IF(OR(AND(ISNUMBER(R4220),R4220&lt;TODAY()),AND(OR(N4220="PENDENTE",N4220="PARCIAL"),D4220&lt;TODAY()-1)),"CRÍTICO",IF(OR(AND(P4220&lt;&gt;"",S4220=""),AND(N4220="REALIZADO",M4220="PENDENTE"),AND(ISNUMBER(R4220),R4220=TODAY())),"ATENÇÃO",IF(N(K4220)=0,"PENDENTE","EM ANDAMENTO"))))))</f>
        <v/>
      </c>
      <c r="C4220" s="3">
        <f>IF(D4220="","",IF(V4220=0,"🟢 OK",IF(D4220&lt;corte,"⚪ HISTÓRICO (sem baixa)",IF(AND(ISNUMBER(R4220),R4220&lt;TODAY()),"🔴 PRAZO VENCIDO",IF(AND(OR(N4220="PENDENTE",N4220="PARCIAL"),D4220&lt;TODAY()-1),"🔴 EMBARQUE ATRASADO",IF(AND(N4220="REALIZADO",M4220="PENDENTE"),"🟡 EMBARCADO SEM FATURAR",IF(AND(P4220&lt;&gt;"",S4220="",OR(Q4220="",R4220="")),"🟡 PENDÊNCIA SEM RESPONSÁVEL/PRAZO",IF(AND(ISNUMBER(R4220),R4220=TODAY()),"🟡 VENCE HOJE",IF(AND(P4220&lt;&gt;"",S4220=""),"🟡 PENDÊNCIA ABERTA",IF(AND(N(J4220)&gt;0,N(K4220)&lt;J4220),"🟡 FALTA EXECUTAR",IF(OR(M4220="PENDENTE",M4220="PARCIAL"),"🟡 FATURAMENTO PENDENTE","🟡 EMBARQUE PENDENTE")))))))))))</f>
        <v/>
      </c>
      <c r="D4220" s="4" t="n"/>
      <c r="E4220" s="5" t="n"/>
      <c r="F4220" s="5" t="n"/>
      <c r="G4220" s="5" t="n"/>
      <c r="H4220" s="5" t="n"/>
      <c r="I4220" s="5" t="n"/>
      <c r="J4220" s="6" t="n"/>
      <c r="K4220" s="6" t="n"/>
      <c r="L4220" s="7">
        <f>IF(OR(D4220="",N(J4220)=0),"",MIN(1,N(K4220)/J4220))</f>
        <v/>
      </c>
      <c r="M4220" s="5" t="n"/>
      <c r="N4220" s="5" t="n"/>
      <c r="O4220" s="5" t="n"/>
      <c r="P4220" s="5" t="n"/>
      <c r="Q4220" s="5" t="n"/>
      <c r="R4220" s="4" t="n"/>
      <c r="S4220" s="4" t="n"/>
      <c r="T4220" s="5" t="n"/>
      <c r="U4220" s="8">
        <f>IF(AND(V4220=1,D4220&lt;&gt;""),IF(D4220&gt;=corte,TODAY()-D4220,""),"")</f>
        <v/>
      </c>
      <c r="V4220" s="8">
        <f>IF(D4220="",0,IF(OR(AND(P4220&lt;&gt;"",S4220=""),AND(N(J4220)&gt;0,N(K4220)&lt;J4220),OR(M4220="PENDENTE",M4220="PARCIAL"),OR(N4220="PENDENTE",N4220="PARCIAL")),1,0))</f>
        <v/>
      </c>
      <c r="W4220" s="8">
        <f>IF(AND(V4220=1,D4220&lt;&gt;""),IF(D4220&gt;=corte,(B4220="CRÍTICO")*1E9+(100000-D4220)*10000+10000-ROW(),""),"")</f>
        <v/>
      </c>
      <c r="X4220" s="8">
        <f>IF(AND(V4220=1,D4220=pas_data,E4220=pas_turno),10000-ROW(),"")</f>
        <v/>
      </c>
    </row>
    <row r="4221">
      <c r="A4221" s="3">
        <f>IF(D4221="","","TT-"&amp;TEXT(ROW()-1,"00000"))</f>
        <v/>
      </c>
      <c r="B4221" s="3">
        <f>IF(D4221="","",IF(V4221=0,"CONCLUÍDO",IF(D4221&lt;corte,"HISTÓRICO",IF(OR(AND(ISNUMBER(R4221),R4221&lt;TODAY()),AND(OR(N4221="PENDENTE",N4221="PARCIAL"),D4221&lt;TODAY()-1)),"CRÍTICO",IF(OR(AND(P4221&lt;&gt;"",S4221=""),AND(N4221="REALIZADO",M4221="PENDENTE"),AND(ISNUMBER(R4221),R4221=TODAY())),"ATENÇÃO",IF(N(K4221)=0,"PENDENTE","EM ANDAMENTO"))))))</f>
        <v/>
      </c>
      <c r="C4221" s="3">
        <f>IF(D4221="","",IF(V4221=0,"🟢 OK",IF(D4221&lt;corte,"⚪ HISTÓRICO (sem baixa)",IF(AND(ISNUMBER(R4221),R4221&lt;TODAY()),"🔴 PRAZO VENCIDO",IF(AND(OR(N4221="PENDENTE",N4221="PARCIAL"),D4221&lt;TODAY()-1),"🔴 EMBARQUE ATRASADO",IF(AND(N4221="REALIZADO",M4221="PENDENTE"),"🟡 EMBARCADO SEM FATURAR",IF(AND(P4221&lt;&gt;"",S4221="",OR(Q4221="",R4221="")),"🟡 PENDÊNCIA SEM RESPONSÁVEL/PRAZO",IF(AND(ISNUMBER(R4221),R4221=TODAY()),"🟡 VENCE HOJE",IF(AND(P4221&lt;&gt;"",S4221=""),"🟡 PENDÊNCIA ABERTA",IF(AND(N(J4221)&gt;0,N(K4221)&lt;J4221),"🟡 FALTA EXECUTAR",IF(OR(M4221="PENDENTE",M4221="PARCIAL"),"🟡 FATURAMENTO PENDENTE","🟡 EMBARQUE PENDENTE")))))))))))</f>
        <v/>
      </c>
      <c r="D4221" s="4" t="n"/>
      <c r="E4221" s="5" t="n"/>
      <c r="F4221" s="5" t="n"/>
      <c r="G4221" s="5" t="n"/>
      <c r="H4221" s="5" t="n"/>
      <c r="I4221" s="5" t="n"/>
      <c r="J4221" s="6" t="n"/>
      <c r="K4221" s="6" t="n"/>
      <c r="L4221" s="7">
        <f>IF(OR(D4221="",N(J4221)=0),"",MIN(1,N(K4221)/J4221))</f>
        <v/>
      </c>
      <c r="M4221" s="5" t="n"/>
      <c r="N4221" s="5" t="n"/>
      <c r="O4221" s="5" t="n"/>
      <c r="P4221" s="5" t="n"/>
      <c r="Q4221" s="5" t="n"/>
      <c r="R4221" s="4" t="n"/>
      <c r="S4221" s="4" t="n"/>
      <c r="T4221" s="5" t="n"/>
      <c r="U4221" s="8">
        <f>IF(AND(V4221=1,D4221&lt;&gt;""),IF(D4221&gt;=corte,TODAY()-D4221,""),"")</f>
        <v/>
      </c>
      <c r="V4221" s="8">
        <f>IF(D4221="",0,IF(OR(AND(P4221&lt;&gt;"",S4221=""),AND(N(J4221)&gt;0,N(K4221)&lt;J4221),OR(M4221="PENDENTE",M4221="PARCIAL"),OR(N4221="PENDENTE",N4221="PARCIAL")),1,0))</f>
        <v/>
      </c>
      <c r="W4221" s="8">
        <f>IF(AND(V4221=1,D4221&lt;&gt;""),IF(D4221&gt;=corte,(B4221="CRÍTICO")*1E9+(100000-D4221)*10000+10000-ROW(),""),"")</f>
        <v/>
      </c>
      <c r="X4221" s="8">
        <f>IF(AND(V4221=1,D4221=pas_data,E4221=pas_turno),10000-ROW(),"")</f>
        <v/>
      </c>
    </row>
    <row r="4222">
      <c r="A4222" s="3">
        <f>IF(D4222="","","TT-"&amp;TEXT(ROW()-1,"00000"))</f>
        <v/>
      </c>
      <c r="B4222" s="3">
        <f>IF(D4222="","",IF(V4222=0,"CONCLUÍDO",IF(D4222&lt;corte,"HISTÓRICO",IF(OR(AND(ISNUMBER(R4222),R4222&lt;TODAY()),AND(OR(N4222="PENDENTE",N4222="PARCIAL"),D4222&lt;TODAY()-1)),"CRÍTICO",IF(OR(AND(P4222&lt;&gt;"",S4222=""),AND(N4222="REALIZADO",M4222="PENDENTE"),AND(ISNUMBER(R4222),R4222=TODAY())),"ATENÇÃO",IF(N(K4222)=0,"PENDENTE","EM ANDAMENTO"))))))</f>
        <v/>
      </c>
      <c r="C4222" s="3">
        <f>IF(D4222="","",IF(V4222=0,"🟢 OK",IF(D4222&lt;corte,"⚪ HISTÓRICO (sem baixa)",IF(AND(ISNUMBER(R4222),R4222&lt;TODAY()),"🔴 PRAZO VENCIDO",IF(AND(OR(N4222="PENDENTE",N4222="PARCIAL"),D4222&lt;TODAY()-1),"🔴 EMBARQUE ATRASADO",IF(AND(N4222="REALIZADO",M4222="PENDENTE"),"🟡 EMBARCADO SEM FATURAR",IF(AND(P4222&lt;&gt;"",S4222="",OR(Q4222="",R4222="")),"🟡 PENDÊNCIA SEM RESPONSÁVEL/PRAZO",IF(AND(ISNUMBER(R4222),R4222=TODAY()),"🟡 VENCE HOJE",IF(AND(P4222&lt;&gt;"",S4222=""),"🟡 PENDÊNCIA ABERTA",IF(AND(N(J4222)&gt;0,N(K4222)&lt;J4222),"🟡 FALTA EXECUTAR",IF(OR(M4222="PENDENTE",M4222="PARCIAL"),"🟡 FATURAMENTO PENDENTE","🟡 EMBARQUE PENDENTE")))))))))))</f>
        <v/>
      </c>
      <c r="D4222" s="4" t="n"/>
      <c r="E4222" s="5" t="n"/>
      <c r="F4222" s="5" t="n"/>
      <c r="G4222" s="5" t="n"/>
      <c r="H4222" s="5" t="n"/>
      <c r="I4222" s="5" t="n"/>
      <c r="J4222" s="6" t="n"/>
      <c r="K4222" s="6" t="n"/>
      <c r="L4222" s="7">
        <f>IF(OR(D4222="",N(J4222)=0),"",MIN(1,N(K4222)/J4222))</f>
        <v/>
      </c>
      <c r="M4222" s="5" t="n"/>
      <c r="N4222" s="5" t="n"/>
      <c r="O4222" s="5" t="n"/>
      <c r="P4222" s="5" t="n"/>
      <c r="Q4222" s="5" t="n"/>
      <c r="R4222" s="4" t="n"/>
      <c r="S4222" s="4" t="n"/>
      <c r="T4222" s="5" t="n"/>
      <c r="U4222" s="8">
        <f>IF(AND(V4222=1,D4222&lt;&gt;""),IF(D4222&gt;=corte,TODAY()-D4222,""),"")</f>
        <v/>
      </c>
      <c r="V4222" s="8">
        <f>IF(D4222="",0,IF(OR(AND(P4222&lt;&gt;"",S4222=""),AND(N(J4222)&gt;0,N(K4222)&lt;J4222),OR(M4222="PENDENTE",M4222="PARCIAL"),OR(N4222="PENDENTE",N4222="PARCIAL")),1,0))</f>
        <v/>
      </c>
      <c r="W4222" s="8">
        <f>IF(AND(V4222=1,D4222&lt;&gt;""),IF(D4222&gt;=corte,(B4222="CRÍTICO")*1E9+(100000-D4222)*10000+10000-ROW(),""),"")</f>
        <v/>
      </c>
      <c r="X4222" s="8">
        <f>IF(AND(V4222=1,D4222=pas_data,E4222=pas_turno),10000-ROW(),"")</f>
        <v/>
      </c>
    </row>
    <row r="4223">
      <c r="A4223" s="3">
        <f>IF(D4223="","","TT-"&amp;TEXT(ROW()-1,"00000"))</f>
        <v/>
      </c>
      <c r="B4223" s="3">
        <f>IF(D4223="","",IF(V4223=0,"CONCLUÍDO",IF(D4223&lt;corte,"HISTÓRICO",IF(OR(AND(ISNUMBER(R4223),R4223&lt;TODAY()),AND(OR(N4223="PENDENTE",N4223="PARCIAL"),D4223&lt;TODAY()-1)),"CRÍTICO",IF(OR(AND(P4223&lt;&gt;"",S4223=""),AND(N4223="REALIZADO",M4223="PENDENTE"),AND(ISNUMBER(R4223),R4223=TODAY())),"ATENÇÃO",IF(N(K4223)=0,"PENDENTE","EM ANDAMENTO"))))))</f>
        <v/>
      </c>
      <c r="C4223" s="3">
        <f>IF(D4223="","",IF(V4223=0,"🟢 OK",IF(D4223&lt;corte,"⚪ HISTÓRICO (sem baixa)",IF(AND(ISNUMBER(R4223),R4223&lt;TODAY()),"🔴 PRAZO VENCIDO",IF(AND(OR(N4223="PENDENTE",N4223="PARCIAL"),D4223&lt;TODAY()-1),"🔴 EMBARQUE ATRASADO",IF(AND(N4223="REALIZADO",M4223="PENDENTE"),"🟡 EMBARCADO SEM FATURAR",IF(AND(P4223&lt;&gt;"",S4223="",OR(Q4223="",R4223="")),"🟡 PENDÊNCIA SEM RESPONSÁVEL/PRAZO",IF(AND(ISNUMBER(R4223),R4223=TODAY()),"🟡 VENCE HOJE",IF(AND(P4223&lt;&gt;"",S4223=""),"🟡 PENDÊNCIA ABERTA",IF(AND(N(J4223)&gt;0,N(K4223)&lt;J4223),"🟡 FALTA EXECUTAR",IF(OR(M4223="PENDENTE",M4223="PARCIAL"),"🟡 FATURAMENTO PENDENTE","🟡 EMBARQUE PENDENTE")))))))))))</f>
        <v/>
      </c>
      <c r="D4223" s="4" t="n"/>
      <c r="E4223" s="5" t="n"/>
      <c r="F4223" s="5" t="n"/>
      <c r="G4223" s="5" t="n"/>
      <c r="H4223" s="5" t="n"/>
      <c r="I4223" s="5" t="n"/>
      <c r="J4223" s="6" t="n"/>
      <c r="K4223" s="6" t="n"/>
      <c r="L4223" s="7">
        <f>IF(OR(D4223="",N(J4223)=0),"",MIN(1,N(K4223)/J4223))</f>
        <v/>
      </c>
      <c r="M4223" s="5" t="n"/>
      <c r="N4223" s="5" t="n"/>
      <c r="O4223" s="5" t="n"/>
      <c r="P4223" s="5" t="n"/>
      <c r="Q4223" s="5" t="n"/>
      <c r="R4223" s="4" t="n"/>
      <c r="S4223" s="4" t="n"/>
      <c r="T4223" s="5" t="n"/>
      <c r="U4223" s="8">
        <f>IF(AND(V4223=1,D4223&lt;&gt;""),IF(D4223&gt;=corte,TODAY()-D4223,""),"")</f>
        <v/>
      </c>
      <c r="V4223" s="8">
        <f>IF(D4223="",0,IF(OR(AND(P4223&lt;&gt;"",S4223=""),AND(N(J4223)&gt;0,N(K4223)&lt;J4223),OR(M4223="PENDENTE",M4223="PARCIAL"),OR(N4223="PENDENTE",N4223="PARCIAL")),1,0))</f>
        <v/>
      </c>
      <c r="W4223" s="8">
        <f>IF(AND(V4223=1,D4223&lt;&gt;""),IF(D4223&gt;=corte,(B4223="CRÍTICO")*1E9+(100000-D4223)*10000+10000-ROW(),""),"")</f>
        <v/>
      </c>
      <c r="X4223" s="8">
        <f>IF(AND(V4223=1,D4223=pas_data,E4223=pas_turno),10000-ROW(),"")</f>
        <v/>
      </c>
    </row>
    <row r="4224">
      <c r="A4224" s="3">
        <f>IF(D4224="","","TT-"&amp;TEXT(ROW()-1,"00000"))</f>
        <v/>
      </c>
      <c r="B4224" s="3">
        <f>IF(D4224="","",IF(V4224=0,"CONCLUÍDO",IF(D4224&lt;corte,"HISTÓRICO",IF(OR(AND(ISNUMBER(R4224),R4224&lt;TODAY()),AND(OR(N4224="PENDENTE",N4224="PARCIAL"),D4224&lt;TODAY()-1)),"CRÍTICO",IF(OR(AND(P4224&lt;&gt;"",S4224=""),AND(N4224="REALIZADO",M4224="PENDENTE"),AND(ISNUMBER(R4224),R4224=TODAY())),"ATENÇÃO",IF(N(K4224)=0,"PENDENTE","EM ANDAMENTO"))))))</f>
        <v/>
      </c>
      <c r="C4224" s="3">
        <f>IF(D4224="","",IF(V4224=0,"🟢 OK",IF(D4224&lt;corte,"⚪ HISTÓRICO (sem baixa)",IF(AND(ISNUMBER(R4224),R4224&lt;TODAY()),"🔴 PRAZO VENCIDO",IF(AND(OR(N4224="PENDENTE",N4224="PARCIAL"),D4224&lt;TODAY()-1),"🔴 EMBARQUE ATRASADO",IF(AND(N4224="REALIZADO",M4224="PENDENTE"),"🟡 EMBARCADO SEM FATURAR",IF(AND(P4224&lt;&gt;"",S4224="",OR(Q4224="",R4224="")),"🟡 PENDÊNCIA SEM RESPONSÁVEL/PRAZO",IF(AND(ISNUMBER(R4224),R4224=TODAY()),"🟡 VENCE HOJE",IF(AND(P4224&lt;&gt;"",S4224=""),"🟡 PENDÊNCIA ABERTA",IF(AND(N(J4224)&gt;0,N(K4224)&lt;J4224),"🟡 FALTA EXECUTAR",IF(OR(M4224="PENDENTE",M4224="PARCIAL"),"🟡 FATURAMENTO PENDENTE","🟡 EMBARQUE PENDENTE")))))))))))</f>
        <v/>
      </c>
      <c r="D4224" s="4" t="n"/>
      <c r="E4224" s="5" t="n"/>
      <c r="F4224" s="5" t="n"/>
      <c r="G4224" s="5" t="n"/>
      <c r="H4224" s="5" t="n"/>
      <c r="I4224" s="5" t="n"/>
      <c r="J4224" s="6" t="n"/>
      <c r="K4224" s="6" t="n"/>
      <c r="L4224" s="7">
        <f>IF(OR(D4224="",N(J4224)=0),"",MIN(1,N(K4224)/J4224))</f>
        <v/>
      </c>
      <c r="M4224" s="5" t="n"/>
      <c r="N4224" s="5" t="n"/>
      <c r="O4224" s="5" t="n"/>
      <c r="P4224" s="5" t="n"/>
      <c r="Q4224" s="5" t="n"/>
      <c r="R4224" s="4" t="n"/>
      <c r="S4224" s="4" t="n"/>
      <c r="T4224" s="5" t="n"/>
      <c r="U4224" s="8">
        <f>IF(AND(V4224=1,D4224&lt;&gt;""),IF(D4224&gt;=corte,TODAY()-D4224,""),"")</f>
        <v/>
      </c>
      <c r="V4224" s="8">
        <f>IF(D4224="",0,IF(OR(AND(P4224&lt;&gt;"",S4224=""),AND(N(J4224)&gt;0,N(K4224)&lt;J4224),OR(M4224="PENDENTE",M4224="PARCIAL"),OR(N4224="PENDENTE",N4224="PARCIAL")),1,0))</f>
        <v/>
      </c>
      <c r="W4224" s="8">
        <f>IF(AND(V4224=1,D4224&lt;&gt;""),IF(D4224&gt;=corte,(B4224="CRÍTICO")*1E9+(100000-D4224)*10000+10000-ROW(),""),"")</f>
        <v/>
      </c>
      <c r="X4224" s="8">
        <f>IF(AND(V4224=1,D4224=pas_data,E4224=pas_turno),10000-ROW(),"")</f>
        <v/>
      </c>
    </row>
    <row r="4225">
      <c r="A4225" s="3">
        <f>IF(D4225="","","TT-"&amp;TEXT(ROW()-1,"00000"))</f>
        <v/>
      </c>
      <c r="B4225" s="3">
        <f>IF(D4225="","",IF(V4225=0,"CONCLUÍDO",IF(D4225&lt;corte,"HISTÓRICO",IF(OR(AND(ISNUMBER(R4225),R4225&lt;TODAY()),AND(OR(N4225="PENDENTE",N4225="PARCIAL"),D4225&lt;TODAY()-1)),"CRÍTICO",IF(OR(AND(P4225&lt;&gt;"",S4225=""),AND(N4225="REALIZADO",M4225="PENDENTE"),AND(ISNUMBER(R4225),R4225=TODAY())),"ATENÇÃO",IF(N(K4225)=0,"PENDENTE","EM ANDAMENTO"))))))</f>
        <v/>
      </c>
      <c r="C4225" s="3">
        <f>IF(D4225="","",IF(V4225=0,"🟢 OK",IF(D4225&lt;corte,"⚪ HISTÓRICO (sem baixa)",IF(AND(ISNUMBER(R4225),R4225&lt;TODAY()),"🔴 PRAZO VENCIDO",IF(AND(OR(N4225="PENDENTE",N4225="PARCIAL"),D4225&lt;TODAY()-1),"🔴 EMBARQUE ATRASADO",IF(AND(N4225="REALIZADO",M4225="PENDENTE"),"🟡 EMBARCADO SEM FATURAR",IF(AND(P4225&lt;&gt;"",S4225="",OR(Q4225="",R4225="")),"🟡 PENDÊNCIA SEM RESPONSÁVEL/PRAZO",IF(AND(ISNUMBER(R4225),R4225=TODAY()),"🟡 VENCE HOJE",IF(AND(P4225&lt;&gt;"",S4225=""),"🟡 PENDÊNCIA ABERTA",IF(AND(N(J4225)&gt;0,N(K4225)&lt;J4225),"🟡 FALTA EXECUTAR",IF(OR(M4225="PENDENTE",M4225="PARCIAL"),"🟡 FATURAMENTO PENDENTE","🟡 EMBARQUE PENDENTE")))))))))))</f>
        <v/>
      </c>
      <c r="D4225" s="4" t="n"/>
      <c r="E4225" s="5" t="n"/>
      <c r="F4225" s="5" t="n"/>
      <c r="G4225" s="5" t="n"/>
      <c r="H4225" s="5" t="n"/>
      <c r="I4225" s="5" t="n"/>
      <c r="J4225" s="6" t="n"/>
      <c r="K4225" s="6" t="n"/>
      <c r="L4225" s="7">
        <f>IF(OR(D4225="",N(J4225)=0),"",MIN(1,N(K4225)/J4225))</f>
        <v/>
      </c>
      <c r="M4225" s="5" t="n"/>
      <c r="N4225" s="5" t="n"/>
      <c r="O4225" s="5" t="n"/>
      <c r="P4225" s="5" t="n"/>
      <c r="Q4225" s="5" t="n"/>
      <c r="R4225" s="4" t="n"/>
      <c r="S4225" s="4" t="n"/>
      <c r="T4225" s="5" t="n"/>
      <c r="U4225" s="8">
        <f>IF(AND(V4225=1,D4225&lt;&gt;""),IF(D4225&gt;=corte,TODAY()-D4225,""),"")</f>
        <v/>
      </c>
      <c r="V4225" s="8">
        <f>IF(D4225="",0,IF(OR(AND(P4225&lt;&gt;"",S4225=""),AND(N(J4225)&gt;0,N(K4225)&lt;J4225),OR(M4225="PENDENTE",M4225="PARCIAL"),OR(N4225="PENDENTE",N4225="PARCIAL")),1,0))</f>
        <v/>
      </c>
      <c r="W4225" s="8">
        <f>IF(AND(V4225=1,D4225&lt;&gt;""),IF(D4225&gt;=corte,(B4225="CRÍTICO")*1E9+(100000-D4225)*10000+10000-ROW(),""),"")</f>
        <v/>
      </c>
      <c r="X4225" s="8">
        <f>IF(AND(V4225=1,D4225=pas_data,E4225=pas_turno),10000-ROW(),"")</f>
        <v/>
      </c>
    </row>
    <row r="4226">
      <c r="A4226" s="3">
        <f>IF(D4226="","","TT-"&amp;TEXT(ROW()-1,"00000"))</f>
        <v/>
      </c>
      <c r="B4226" s="3">
        <f>IF(D4226="","",IF(V4226=0,"CONCLUÍDO",IF(D4226&lt;corte,"HISTÓRICO",IF(OR(AND(ISNUMBER(R4226),R4226&lt;TODAY()),AND(OR(N4226="PENDENTE",N4226="PARCIAL"),D4226&lt;TODAY()-1)),"CRÍTICO",IF(OR(AND(P4226&lt;&gt;"",S4226=""),AND(N4226="REALIZADO",M4226="PENDENTE"),AND(ISNUMBER(R4226),R4226=TODAY())),"ATENÇÃO",IF(N(K4226)=0,"PENDENTE","EM ANDAMENTO"))))))</f>
        <v/>
      </c>
      <c r="C4226" s="3">
        <f>IF(D4226="","",IF(V4226=0,"🟢 OK",IF(D4226&lt;corte,"⚪ HISTÓRICO (sem baixa)",IF(AND(ISNUMBER(R4226),R4226&lt;TODAY()),"🔴 PRAZO VENCIDO",IF(AND(OR(N4226="PENDENTE",N4226="PARCIAL"),D4226&lt;TODAY()-1),"🔴 EMBARQUE ATRASADO",IF(AND(N4226="REALIZADO",M4226="PENDENTE"),"🟡 EMBARCADO SEM FATURAR",IF(AND(P4226&lt;&gt;"",S4226="",OR(Q4226="",R4226="")),"🟡 PENDÊNCIA SEM RESPONSÁVEL/PRAZO",IF(AND(ISNUMBER(R4226),R4226=TODAY()),"🟡 VENCE HOJE",IF(AND(P4226&lt;&gt;"",S4226=""),"🟡 PENDÊNCIA ABERTA",IF(AND(N(J4226)&gt;0,N(K4226)&lt;J4226),"🟡 FALTA EXECUTAR",IF(OR(M4226="PENDENTE",M4226="PARCIAL"),"🟡 FATURAMENTO PENDENTE","🟡 EMBARQUE PENDENTE")))))))))))</f>
        <v/>
      </c>
      <c r="D4226" s="4" t="n"/>
      <c r="E4226" s="5" t="n"/>
      <c r="F4226" s="5" t="n"/>
      <c r="G4226" s="5" t="n"/>
      <c r="H4226" s="5" t="n"/>
      <c r="I4226" s="5" t="n"/>
      <c r="J4226" s="6" t="n"/>
      <c r="K4226" s="6" t="n"/>
      <c r="L4226" s="7">
        <f>IF(OR(D4226="",N(J4226)=0),"",MIN(1,N(K4226)/J4226))</f>
        <v/>
      </c>
      <c r="M4226" s="5" t="n"/>
      <c r="N4226" s="5" t="n"/>
      <c r="O4226" s="5" t="n"/>
      <c r="P4226" s="5" t="n"/>
      <c r="Q4226" s="5" t="n"/>
      <c r="R4226" s="4" t="n"/>
      <c r="S4226" s="4" t="n"/>
      <c r="T4226" s="5" t="n"/>
      <c r="U4226" s="8">
        <f>IF(AND(V4226=1,D4226&lt;&gt;""),IF(D4226&gt;=corte,TODAY()-D4226,""),"")</f>
        <v/>
      </c>
      <c r="V4226" s="8">
        <f>IF(D4226="",0,IF(OR(AND(P4226&lt;&gt;"",S4226=""),AND(N(J4226)&gt;0,N(K4226)&lt;J4226),OR(M4226="PENDENTE",M4226="PARCIAL"),OR(N4226="PENDENTE",N4226="PARCIAL")),1,0))</f>
        <v/>
      </c>
      <c r="W4226" s="8">
        <f>IF(AND(V4226=1,D4226&lt;&gt;""),IF(D4226&gt;=corte,(B4226="CRÍTICO")*1E9+(100000-D4226)*10000+10000-ROW(),""),"")</f>
        <v/>
      </c>
      <c r="X4226" s="8">
        <f>IF(AND(V4226=1,D4226=pas_data,E4226=pas_turno),10000-ROW(),"")</f>
        <v/>
      </c>
    </row>
    <row r="4227">
      <c r="A4227" s="3">
        <f>IF(D4227="","","TT-"&amp;TEXT(ROW()-1,"00000"))</f>
        <v/>
      </c>
      <c r="B4227" s="3">
        <f>IF(D4227="","",IF(V4227=0,"CONCLUÍDO",IF(D4227&lt;corte,"HISTÓRICO",IF(OR(AND(ISNUMBER(R4227),R4227&lt;TODAY()),AND(OR(N4227="PENDENTE",N4227="PARCIAL"),D4227&lt;TODAY()-1)),"CRÍTICO",IF(OR(AND(P4227&lt;&gt;"",S4227=""),AND(N4227="REALIZADO",M4227="PENDENTE"),AND(ISNUMBER(R4227),R4227=TODAY())),"ATENÇÃO",IF(N(K4227)=0,"PENDENTE","EM ANDAMENTO"))))))</f>
        <v/>
      </c>
      <c r="C4227" s="3">
        <f>IF(D4227="","",IF(V4227=0,"🟢 OK",IF(D4227&lt;corte,"⚪ HISTÓRICO (sem baixa)",IF(AND(ISNUMBER(R4227),R4227&lt;TODAY()),"🔴 PRAZO VENCIDO",IF(AND(OR(N4227="PENDENTE",N4227="PARCIAL"),D4227&lt;TODAY()-1),"🔴 EMBARQUE ATRASADO",IF(AND(N4227="REALIZADO",M4227="PENDENTE"),"🟡 EMBARCADO SEM FATURAR",IF(AND(P4227&lt;&gt;"",S4227="",OR(Q4227="",R4227="")),"🟡 PENDÊNCIA SEM RESPONSÁVEL/PRAZO",IF(AND(ISNUMBER(R4227),R4227=TODAY()),"🟡 VENCE HOJE",IF(AND(P4227&lt;&gt;"",S4227=""),"🟡 PENDÊNCIA ABERTA",IF(AND(N(J4227)&gt;0,N(K4227)&lt;J4227),"🟡 FALTA EXECUTAR",IF(OR(M4227="PENDENTE",M4227="PARCIAL"),"🟡 FATURAMENTO PENDENTE","🟡 EMBARQUE PENDENTE")))))))))))</f>
        <v/>
      </c>
      <c r="D4227" s="4" t="n"/>
      <c r="E4227" s="5" t="n"/>
      <c r="F4227" s="5" t="n"/>
      <c r="G4227" s="5" t="n"/>
      <c r="H4227" s="5" t="n"/>
      <c r="I4227" s="5" t="n"/>
      <c r="J4227" s="6" t="n"/>
      <c r="K4227" s="6" t="n"/>
      <c r="L4227" s="7">
        <f>IF(OR(D4227="",N(J4227)=0),"",MIN(1,N(K4227)/J4227))</f>
        <v/>
      </c>
      <c r="M4227" s="5" t="n"/>
      <c r="N4227" s="5" t="n"/>
      <c r="O4227" s="5" t="n"/>
      <c r="P4227" s="5" t="n"/>
      <c r="Q4227" s="5" t="n"/>
      <c r="R4227" s="4" t="n"/>
      <c r="S4227" s="4" t="n"/>
      <c r="T4227" s="5" t="n"/>
      <c r="U4227" s="8">
        <f>IF(AND(V4227=1,D4227&lt;&gt;""),IF(D4227&gt;=corte,TODAY()-D4227,""),"")</f>
        <v/>
      </c>
      <c r="V4227" s="8">
        <f>IF(D4227="",0,IF(OR(AND(P4227&lt;&gt;"",S4227=""),AND(N(J4227)&gt;0,N(K4227)&lt;J4227),OR(M4227="PENDENTE",M4227="PARCIAL"),OR(N4227="PENDENTE",N4227="PARCIAL")),1,0))</f>
        <v/>
      </c>
      <c r="W4227" s="8">
        <f>IF(AND(V4227=1,D4227&lt;&gt;""),IF(D4227&gt;=corte,(B4227="CRÍTICO")*1E9+(100000-D4227)*10000+10000-ROW(),""),"")</f>
        <v/>
      </c>
      <c r="X4227" s="8">
        <f>IF(AND(V4227=1,D4227=pas_data,E4227=pas_turno),10000-ROW(),"")</f>
        <v/>
      </c>
    </row>
    <row r="4228">
      <c r="A4228" s="3">
        <f>IF(D4228="","","TT-"&amp;TEXT(ROW()-1,"00000"))</f>
        <v/>
      </c>
      <c r="B4228" s="3">
        <f>IF(D4228="","",IF(V4228=0,"CONCLUÍDO",IF(D4228&lt;corte,"HISTÓRICO",IF(OR(AND(ISNUMBER(R4228),R4228&lt;TODAY()),AND(OR(N4228="PENDENTE",N4228="PARCIAL"),D4228&lt;TODAY()-1)),"CRÍTICO",IF(OR(AND(P4228&lt;&gt;"",S4228=""),AND(N4228="REALIZADO",M4228="PENDENTE"),AND(ISNUMBER(R4228),R4228=TODAY())),"ATENÇÃO",IF(N(K4228)=0,"PENDENTE","EM ANDAMENTO"))))))</f>
        <v/>
      </c>
      <c r="C4228" s="3">
        <f>IF(D4228="","",IF(V4228=0,"🟢 OK",IF(D4228&lt;corte,"⚪ HISTÓRICO (sem baixa)",IF(AND(ISNUMBER(R4228),R4228&lt;TODAY()),"🔴 PRAZO VENCIDO",IF(AND(OR(N4228="PENDENTE",N4228="PARCIAL"),D4228&lt;TODAY()-1),"🔴 EMBARQUE ATRASADO",IF(AND(N4228="REALIZADO",M4228="PENDENTE"),"🟡 EMBARCADO SEM FATURAR",IF(AND(P4228&lt;&gt;"",S4228="",OR(Q4228="",R4228="")),"🟡 PENDÊNCIA SEM RESPONSÁVEL/PRAZO",IF(AND(ISNUMBER(R4228),R4228=TODAY()),"🟡 VENCE HOJE",IF(AND(P4228&lt;&gt;"",S4228=""),"🟡 PENDÊNCIA ABERTA",IF(AND(N(J4228)&gt;0,N(K4228)&lt;J4228),"🟡 FALTA EXECUTAR",IF(OR(M4228="PENDENTE",M4228="PARCIAL"),"🟡 FATURAMENTO PENDENTE","🟡 EMBARQUE PENDENTE")))))))))))</f>
        <v/>
      </c>
      <c r="D4228" s="4" t="n"/>
      <c r="E4228" s="5" t="n"/>
      <c r="F4228" s="5" t="n"/>
      <c r="G4228" s="5" t="n"/>
      <c r="H4228" s="5" t="n"/>
      <c r="I4228" s="5" t="n"/>
      <c r="J4228" s="6" t="n"/>
      <c r="K4228" s="6" t="n"/>
      <c r="L4228" s="7">
        <f>IF(OR(D4228="",N(J4228)=0),"",MIN(1,N(K4228)/J4228))</f>
        <v/>
      </c>
      <c r="M4228" s="5" t="n"/>
      <c r="N4228" s="5" t="n"/>
      <c r="O4228" s="5" t="n"/>
      <c r="P4228" s="5" t="n"/>
      <c r="Q4228" s="5" t="n"/>
      <c r="R4228" s="4" t="n"/>
      <c r="S4228" s="4" t="n"/>
      <c r="T4228" s="5" t="n"/>
      <c r="U4228" s="8">
        <f>IF(AND(V4228=1,D4228&lt;&gt;""),IF(D4228&gt;=corte,TODAY()-D4228,""),"")</f>
        <v/>
      </c>
      <c r="V4228" s="8">
        <f>IF(D4228="",0,IF(OR(AND(P4228&lt;&gt;"",S4228=""),AND(N(J4228)&gt;0,N(K4228)&lt;J4228),OR(M4228="PENDENTE",M4228="PARCIAL"),OR(N4228="PENDENTE",N4228="PARCIAL")),1,0))</f>
        <v/>
      </c>
      <c r="W4228" s="8">
        <f>IF(AND(V4228=1,D4228&lt;&gt;""),IF(D4228&gt;=corte,(B4228="CRÍTICO")*1E9+(100000-D4228)*10000+10000-ROW(),""),"")</f>
        <v/>
      </c>
      <c r="X4228" s="8">
        <f>IF(AND(V4228=1,D4228=pas_data,E4228=pas_turno),10000-ROW(),"")</f>
        <v/>
      </c>
    </row>
    <row r="4229">
      <c r="A4229" s="3">
        <f>IF(D4229="","","TT-"&amp;TEXT(ROW()-1,"00000"))</f>
        <v/>
      </c>
      <c r="B4229" s="3">
        <f>IF(D4229="","",IF(V4229=0,"CONCLUÍDO",IF(D4229&lt;corte,"HISTÓRICO",IF(OR(AND(ISNUMBER(R4229),R4229&lt;TODAY()),AND(OR(N4229="PENDENTE",N4229="PARCIAL"),D4229&lt;TODAY()-1)),"CRÍTICO",IF(OR(AND(P4229&lt;&gt;"",S4229=""),AND(N4229="REALIZADO",M4229="PENDENTE"),AND(ISNUMBER(R4229),R4229=TODAY())),"ATENÇÃO",IF(N(K4229)=0,"PENDENTE","EM ANDAMENTO"))))))</f>
        <v/>
      </c>
      <c r="C4229" s="3">
        <f>IF(D4229="","",IF(V4229=0,"🟢 OK",IF(D4229&lt;corte,"⚪ HISTÓRICO (sem baixa)",IF(AND(ISNUMBER(R4229),R4229&lt;TODAY()),"🔴 PRAZO VENCIDO",IF(AND(OR(N4229="PENDENTE",N4229="PARCIAL"),D4229&lt;TODAY()-1),"🔴 EMBARQUE ATRASADO",IF(AND(N4229="REALIZADO",M4229="PENDENTE"),"🟡 EMBARCADO SEM FATURAR",IF(AND(P4229&lt;&gt;"",S4229="",OR(Q4229="",R4229="")),"🟡 PENDÊNCIA SEM RESPONSÁVEL/PRAZO",IF(AND(ISNUMBER(R4229),R4229=TODAY()),"🟡 VENCE HOJE",IF(AND(P4229&lt;&gt;"",S4229=""),"🟡 PENDÊNCIA ABERTA",IF(AND(N(J4229)&gt;0,N(K4229)&lt;J4229),"🟡 FALTA EXECUTAR",IF(OR(M4229="PENDENTE",M4229="PARCIAL"),"🟡 FATURAMENTO PENDENTE","🟡 EMBARQUE PENDENTE")))))))))))</f>
        <v/>
      </c>
      <c r="D4229" s="4" t="n"/>
      <c r="E4229" s="5" t="n"/>
      <c r="F4229" s="5" t="n"/>
      <c r="G4229" s="5" t="n"/>
      <c r="H4229" s="5" t="n"/>
      <c r="I4229" s="5" t="n"/>
      <c r="J4229" s="6" t="n"/>
      <c r="K4229" s="6" t="n"/>
      <c r="L4229" s="7">
        <f>IF(OR(D4229="",N(J4229)=0),"",MIN(1,N(K4229)/J4229))</f>
        <v/>
      </c>
      <c r="M4229" s="5" t="n"/>
      <c r="N4229" s="5" t="n"/>
      <c r="O4229" s="5" t="n"/>
      <c r="P4229" s="5" t="n"/>
      <c r="Q4229" s="5" t="n"/>
      <c r="R4229" s="4" t="n"/>
      <c r="S4229" s="4" t="n"/>
      <c r="T4229" s="5" t="n"/>
      <c r="U4229" s="8">
        <f>IF(AND(V4229=1,D4229&lt;&gt;""),IF(D4229&gt;=corte,TODAY()-D4229,""),"")</f>
        <v/>
      </c>
      <c r="V4229" s="8">
        <f>IF(D4229="",0,IF(OR(AND(P4229&lt;&gt;"",S4229=""),AND(N(J4229)&gt;0,N(K4229)&lt;J4229),OR(M4229="PENDENTE",M4229="PARCIAL"),OR(N4229="PENDENTE",N4229="PARCIAL")),1,0))</f>
        <v/>
      </c>
      <c r="W4229" s="8">
        <f>IF(AND(V4229=1,D4229&lt;&gt;""),IF(D4229&gt;=corte,(B4229="CRÍTICO")*1E9+(100000-D4229)*10000+10000-ROW(),""),"")</f>
        <v/>
      </c>
      <c r="X4229" s="8">
        <f>IF(AND(V4229=1,D4229=pas_data,E4229=pas_turno),10000-ROW(),"")</f>
        <v/>
      </c>
    </row>
    <row r="4230">
      <c r="A4230" s="3">
        <f>IF(D4230="","","TT-"&amp;TEXT(ROW()-1,"00000"))</f>
        <v/>
      </c>
      <c r="B4230" s="3">
        <f>IF(D4230="","",IF(V4230=0,"CONCLUÍDO",IF(D4230&lt;corte,"HISTÓRICO",IF(OR(AND(ISNUMBER(R4230),R4230&lt;TODAY()),AND(OR(N4230="PENDENTE",N4230="PARCIAL"),D4230&lt;TODAY()-1)),"CRÍTICO",IF(OR(AND(P4230&lt;&gt;"",S4230=""),AND(N4230="REALIZADO",M4230="PENDENTE"),AND(ISNUMBER(R4230),R4230=TODAY())),"ATENÇÃO",IF(N(K4230)=0,"PENDENTE","EM ANDAMENTO"))))))</f>
        <v/>
      </c>
      <c r="C4230" s="3">
        <f>IF(D4230="","",IF(V4230=0,"🟢 OK",IF(D4230&lt;corte,"⚪ HISTÓRICO (sem baixa)",IF(AND(ISNUMBER(R4230),R4230&lt;TODAY()),"🔴 PRAZO VENCIDO",IF(AND(OR(N4230="PENDENTE",N4230="PARCIAL"),D4230&lt;TODAY()-1),"🔴 EMBARQUE ATRASADO",IF(AND(N4230="REALIZADO",M4230="PENDENTE"),"🟡 EMBARCADO SEM FATURAR",IF(AND(P4230&lt;&gt;"",S4230="",OR(Q4230="",R4230="")),"🟡 PENDÊNCIA SEM RESPONSÁVEL/PRAZO",IF(AND(ISNUMBER(R4230),R4230=TODAY()),"🟡 VENCE HOJE",IF(AND(P4230&lt;&gt;"",S4230=""),"🟡 PENDÊNCIA ABERTA",IF(AND(N(J4230)&gt;0,N(K4230)&lt;J4230),"🟡 FALTA EXECUTAR",IF(OR(M4230="PENDENTE",M4230="PARCIAL"),"🟡 FATURAMENTO PENDENTE","🟡 EMBARQUE PENDENTE")))))))))))</f>
        <v/>
      </c>
      <c r="D4230" s="4" t="n"/>
      <c r="E4230" s="5" t="n"/>
      <c r="F4230" s="5" t="n"/>
      <c r="G4230" s="5" t="n"/>
      <c r="H4230" s="5" t="n"/>
      <c r="I4230" s="5" t="n"/>
      <c r="J4230" s="6" t="n"/>
      <c r="K4230" s="6" t="n"/>
      <c r="L4230" s="7">
        <f>IF(OR(D4230="",N(J4230)=0),"",MIN(1,N(K4230)/J4230))</f>
        <v/>
      </c>
      <c r="M4230" s="5" t="n"/>
      <c r="N4230" s="5" t="n"/>
      <c r="O4230" s="5" t="n"/>
      <c r="P4230" s="5" t="n"/>
      <c r="Q4230" s="5" t="n"/>
      <c r="R4230" s="4" t="n"/>
      <c r="S4230" s="4" t="n"/>
      <c r="T4230" s="5" t="n"/>
      <c r="U4230" s="8">
        <f>IF(AND(V4230=1,D4230&lt;&gt;""),IF(D4230&gt;=corte,TODAY()-D4230,""),"")</f>
        <v/>
      </c>
      <c r="V4230" s="8">
        <f>IF(D4230="",0,IF(OR(AND(P4230&lt;&gt;"",S4230=""),AND(N(J4230)&gt;0,N(K4230)&lt;J4230),OR(M4230="PENDENTE",M4230="PARCIAL"),OR(N4230="PENDENTE",N4230="PARCIAL")),1,0))</f>
        <v/>
      </c>
      <c r="W4230" s="8">
        <f>IF(AND(V4230=1,D4230&lt;&gt;""),IF(D4230&gt;=corte,(B4230="CRÍTICO")*1E9+(100000-D4230)*10000+10000-ROW(),""),"")</f>
        <v/>
      </c>
      <c r="X4230" s="8">
        <f>IF(AND(V4230=1,D4230=pas_data,E4230=pas_turno),10000-ROW(),"")</f>
        <v/>
      </c>
    </row>
    <row r="4231">
      <c r="A4231" s="3">
        <f>IF(D4231="","","TT-"&amp;TEXT(ROW()-1,"00000"))</f>
        <v/>
      </c>
      <c r="B4231" s="3">
        <f>IF(D4231="","",IF(V4231=0,"CONCLUÍDO",IF(D4231&lt;corte,"HISTÓRICO",IF(OR(AND(ISNUMBER(R4231),R4231&lt;TODAY()),AND(OR(N4231="PENDENTE",N4231="PARCIAL"),D4231&lt;TODAY()-1)),"CRÍTICO",IF(OR(AND(P4231&lt;&gt;"",S4231=""),AND(N4231="REALIZADO",M4231="PENDENTE"),AND(ISNUMBER(R4231),R4231=TODAY())),"ATENÇÃO",IF(N(K4231)=0,"PENDENTE","EM ANDAMENTO"))))))</f>
        <v/>
      </c>
      <c r="C4231" s="3">
        <f>IF(D4231="","",IF(V4231=0,"🟢 OK",IF(D4231&lt;corte,"⚪ HISTÓRICO (sem baixa)",IF(AND(ISNUMBER(R4231),R4231&lt;TODAY()),"🔴 PRAZO VENCIDO",IF(AND(OR(N4231="PENDENTE",N4231="PARCIAL"),D4231&lt;TODAY()-1),"🔴 EMBARQUE ATRASADO",IF(AND(N4231="REALIZADO",M4231="PENDENTE"),"🟡 EMBARCADO SEM FATURAR",IF(AND(P4231&lt;&gt;"",S4231="",OR(Q4231="",R4231="")),"🟡 PENDÊNCIA SEM RESPONSÁVEL/PRAZO",IF(AND(ISNUMBER(R4231),R4231=TODAY()),"🟡 VENCE HOJE",IF(AND(P4231&lt;&gt;"",S4231=""),"🟡 PENDÊNCIA ABERTA",IF(AND(N(J4231)&gt;0,N(K4231)&lt;J4231),"🟡 FALTA EXECUTAR",IF(OR(M4231="PENDENTE",M4231="PARCIAL"),"🟡 FATURAMENTO PENDENTE","🟡 EMBARQUE PENDENTE")))))))))))</f>
        <v/>
      </c>
      <c r="D4231" s="4" t="n"/>
      <c r="E4231" s="5" t="n"/>
      <c r="F4231" s="5" t="n"/>
      <c r="G4231" s="5" t="n"/>
      <c r="H4231" s="5" t="n"/>
      <c r="I4231" s="5" t="n"/>
      <c r="J4231" s="6" t="n"/>
      <c r="K4231" s="6" t="n"/>
      <c r="L4231" s="7">
        <f>IF(OR(D4231="",N(J4231)=0),"",MIN(1,N(K4231)/J4231))</f>
        <v/>
      </c>
      <c r="M4231" s="5" t="n"/>
      <c r="N4231" s="5" t="n"/>
      <c r="O4231" s="5" t="n"/>
      <c r="P4231" s="5" t="n"/>
      <c r="Q4231" s="5" t="n"/>
      <c r="R4231" s="4" t="n"/>
      <c r="S4231" s="4" t="n"/>
      <c r="T4231" s="5" t="n"/>
      <c r="U4231" s="8">
        <f>IF(AND(V4231=1,D4231&lt;&gt;""),IF(D4231&gt;=corte,TODAY()-D4231,""),"")</f>
        <v/>
      </c>
      <c r="V4231" s="8">
        <f>IF(D4231="",0,IF(OR(AND(P4231&lt;&gt;"",S4231=""),AND(N(J4231)&gt;0,N(K4231)&lt;J4231),OR(M4231="PENDENTE",M4231="PARCIAL"),OR(N4231="PENDENTE",N4231="PARCIAL")),1,0))</f>
        <v/>
      </c>
      <c r="W4231" s="8">
        <f>IF(AND(V4231=1,D4231&lt;&gt;""),IF(D4231&gt;=corte,(B4231="CRÍTICO")*1E9+(100000-D4231)*10000+10000-ROW(),""),"")</f>
        <v/>
      </c>
      <c r="X4231" s="8">
        <f>IF(AND(V4231=1,D4231=pas_data,E4231=pas_turno),10000-ROW(),"")</f>
        <v/>
      </c>
    </row>
    <row r="4232">
      <c r="A4232" s="3">
        <f>IF(D4232="","","TT-"&amp;TEXT(ROW()-1,"00000"))</f>
        <v/>
      </c>
      <c r="B4232" s="3">
        <f>IF(D4232="","",IF(V4232=0,"CONCLUÍDO",IF(D4232&lt;corte,"HISTÓRICO",IF(OR(AND(ISNUMBER(R4232),R4232&lt;TODAY()),AND(OR(N4232="PENDENTE",N4232="PARCIAL"),D4232&lt;TODAY()-1)),"CRÍTICO",IF(OR(AND(P4232&lt;&gt;"",S4232=""),AND(N4232="REALIZADO",M4232="PENDENTE"),AND(ISNUMBER(R4232),R4232=TODAY())),"ATENÇÃO",IF(N(K4232)=0,"PENDENTE","EM ANDAMENTO"))))))</f>
        <v/>
      </c>
      <c r="C4232" s="3">
        <f>IF(D4232="","",IF(V4232=0,"🟢 OK",IF(D4232&lt;corte,"⚪ HISTÓRICO (sem baixa)",IF(AND(ISNUMBER(R4232),R4232&lt;TODAY()),"🔴 PRAZO VENCIDO",IF(AND(OR(N4232="PENDENTE",N4232="PARCIAL"),D4232&lt;TODAY()-1),"🔴 EMBARQUE ATRASADO",IF(AND(N4232="REALIZADO",M4232="PENDENTE"),"🟡 EMBARCADO SEM FATURAR",IF(AND(P4232&lt;&gt;"",S4232="",OR(Q4232="",R4232="")),"🟡 PENDÊNCIA SEM RESPONSÁVEL/PRAZO",IF(AND(ISNUMBER(R4232),R4232=TODAY()),"🟡 VENCE HOJE",IF(AND(P4232&lt;&gt;"",S4232=""),"🟡 PENDÊNCIA ABERTA",IF(AND(N(J4232)&gt;0,N(K4232)&lt;J4232),"🟡 FALTA EXECUTAR",IF(OR(M4232="PENDENTE",M4232="PARCIAL"),"🟡 FATURAMENTO PENDENTE","🟡 EMBARQUE PENDENTE")))))))))))</f>
        <v/>
      </c>
      <c r="D4232" s="4" t="n"/>
      <c r="E4232" s="5" t="n"/>
      <c r="F4232" s="5" t="n"/>
      <c r="G4232" s="5" t="n"/>
      <c r="H4232" s="5" t="n"/>
      <c r="I4232" s="5" t="n"/>
      <c r="J4232" s="6" t="n"/>
      <c r="K4232" s="6" t="n"/>
      <c r="L4232" s="7">
        <f>IF(OR(D4232="",N(J4232)=0),"",MIN(1,N(K4232)/J4232))</f>
        <v/>
      </c>
      <c r="M4232" s="5" t="n"/>
      <c r="N4232" s="5" t="n"/>
      <c r="O4232" s="5" t="n"/>
      <c r="P4232" s="5" t="n"/>
      <c r="Q4232" s="5" t="n"/>
      <c r="R4232" s="4" t="n"/>
      <c r="S4232" s="4" t="n"/>
      <c r="T4232" s="5" t="n"/>
      <c r="U4232" s="8">
        <f>IF(AND(V4232=1,D4232&lt;&gt;""),IF(D4232&gt;=corte,TODAY()-D4232,""),"")</f>
        <v/>
      </c>
      <c r="V4232" s="8">
        <f>IF(D4232="",0,IF(OR(AND(P4232&lt;&gt;"",S4232=""),AND(N(J4232)&gt;0,N(K4232)&lt;J4232),OR(M4232="PENDENTE",M4232="PARCIAL"),OR(N4232="PENDENTE",N4232="PARCIAL")),1,0))</f>
        <v/>
      </c>
      <c r="W4232" s="8">
        <f>IF(AND(V4232=1,D4232&lt;&gt;""),IF(D4232&gt;=corte,(B4232="CRÍTICO")*1E9+(100000-D4232)*10000+10000-ROW(),""),"")</f>
        <v/>
      </c>
      <c r="X4232" s="8">
        <f>IF(AND(V4232=1,D4232=pas_data,E4232=pas_turno),10000-ROW(),"")</f>
        <v/>
      </c>
    </row>
    <row r="4233">
      <c r="A4233" s="3">
        <f>IF(D4233="","","TT-"&amp;TEXT(ROW()-1,"00000"))</f>
        <v/>
      </c>
      <c r="B4233" s="3">
        <f>IF(D4233="","",IF(V4233=0,"CONCLUÍDO",IF(D4233&lt;corte,"HISTÓRICO",IF(OR(AND(ISNUMBER(R4233),R4233&lt;TODAY()),AND(OR(N4233="PENDENTE",N4233="PARCIAL"),D4233&lt;TODAY()-1)),"CRÍTICO",IF(OR(AND(P4233&lt;&gt;"",S4233=""),AND(N4233="REALIZADO",M4233="PENDENTE"),AND(ISNUMBER(R4233),R4233=TODAY())),"ATENÇÃO",IF(N(K4233)=0,"PENDENTE","EM ANDAMENTO"))))))</f>
        <v/>
      </c>
      <c r="C4233" s="3">
        <f>IF(D4233="","",IF(V4233=0,"🟢 OK",IF(D4233&lt;corte,"⚪ HISTÓRICO (sem baixa)",IF(AND(ISNUMBER(R4233),R4233&lt;TODAY()),"🔴 PRAZO VENCIDO",IF(AND(OR(N4233="PENDENTE",N4233="PARCIAL"),D4233&lt;TODAY()-1),"🔴 EMBARQUE ATRASADO",IF(AND(N4233="REALIZADO",M4233="PENDENTE"),"🟡 EMBARCADO SEM FATURAR",IF(AND(P4233&lt;&gt;"",S4233="",OR(Q4233="",R4233="")),"🟡 PENDÊNCIA SEM RESPONSÁVEL/PRAZO",IF(AND(ISNUMBER(R4233),R4233=TODAY()),"🟡 VENCE HOJE",IF(AND(P4233&lt;&gt;"",S4233=""),"🟡 PENDÊNCIA ABERTA",IF(AND(N(J4233)&gt;0,N(K4233)&lt;J4233),"🟡 FALTA EXECUTAR",IF(OR(M4233="PENDENTE",M4233="PARCIAL"),"🟡 FATURAMENTO PENDENTE","🟡 EMBARQUE PENDENTE")))))))))))</f>
        <v/>
      </c>
      <c r="D4233" s="4" t="n"/>
      <c r="E4233" s="5" t="n"/>
      <c r="F4233" s="5" t="n"/>
      <c r="G4233" s="5" t="n"/>
      <c r="H4233" s="5" t="n"/>
      <c r="I4233" s="5" t="n"/>
      <c r="J4233" s="6" t="n"/>
      <c r="K4233" s="6" t="n"/>
      <c r="L4233" s="7">
        <f>IF(OR(D4233="",N(J4233)=0),"",MIN(1,N(K4233)/J4233))</f>
        <v/>
      </c>
      <c r="M4233" s="5" t="n"/>
      <c r="N4233" s="5" t="n"/>
      <c r="O4233" s="5" t="n"/>
      <c r="P4233" s="5" t="n"/>
      <c r="Q4233" s="5" t="n"/>
      <c r="R4233" s="4" t="n"/>
      <c r="S4233" s="4" t="n"/>
      <c r="T4233" s="5" t="n"/>
      <c r="U4233" s="8">
        <f>IF(AND(V4233=1,D4233&lt;&gt;""),IF(D4233&gt;=corte,TODAY()-D4233,""),"")</f>
        <v/>
      </c>
      <c r="V4233" s="8">
        <f>IF(D4233="",0,IF(OR(AND(P4233&lt;&gt;"",S4233=""),AND(N(J4233)&gt;0,N(K4233)&lt;J4233),OR(M4233="PENDENTE",M4233="PARCIAL"),OR(N4233="PENDENTE",N4233="PARCIAL")),1,0))</f>
        <v/>
      </c>
      <c r="W4233" s="8">
        <f>IF(AND(V4233=1,D4233&lt;&gt;""),IF(D4233&gt;=corte,(B4233="CRÍTICO")*1E9+(100000-D4233)*10000+10000-ROW(),""),"")</f>
        <v/>
      </c>
      <c r="X4233" s="8">
        <f>IF(AND(V4233=1,D4233=pas_data,E4233=pas_turno),10000-ROW(),"")</f>
        <v/>
      </c>
    </row>
    <row r="4234">
      <c r="A4234" s="3">
        <f>IF(D4234="","","TT-"&amp;TEXT(ROW()-1,"00000"))</f>
        <v/>
      </c>
      <c r="B4234" s="3">
        <f>IF(D4234="","",IF(V4234=0,"CONCLUÍDO",IF(D4234&lt;corte,"HISTÓRICO",IF(OR(AND(ISNUMBER(R4234),R4234&lt;TODAY()),AND(OR(N4234="PENDENTE",N4234="PARCIAL"),D4234&lt;TODAY()-1)),"CRÍTICO",IF(OR(AND(P4234&lt;&gt;"",S4234=""),AND(N4234="REALIZADO",M4234="PENDENTE"),AND(ISNUMBER(R4234),R4234=TODAY())),"ATENÇÃO",IF(N(K4234)=0,"PENDENTE","EM ANDAMENTO"))))))</f>
        <v/>
      </c>
      <c r="C4234" s="3">
        <f>IF(D4234="","",IF(V4234=0,"🟢 OK",IF(D4234&lt;corte,"⚪ HISTÓRICO (sem baixa)",IF(AND(ISNUMBER(R4234),R4234&lt;TODAY()),"🔴 PRAZO VENCIDO",IF(AND(OR(N4234="PENDENTE",N4234="PARCIAL"),D4234&lt;TODAY()-1),"🔴 EMBARQUE ATRASADO",IF(AND(N4234="REALIZADO",M4234="PENDENTE"),"🟡 EMBARCADO SEM FATURAR",IF(AND(P4234&lt;&gt;"",S4234="",OR(Q4234="",R4234="")),"🟡 PENDÊNCIA SEM RESPONSÁVEL/PRAZO",IF(AND(ISNUMBER(R4234),R4234=TODAY()),"🟡 VENCE HOJE",IF(AND(P4234&lt;&gt;"",S4234=""),"🟡 PENDÊNCIA ABERTA",IF(AND(N(J4234)&gt;0,N(K4234)&lt;J4234),"🟡 FALTA EXECUTAR",IF(OR(M4234="PENDENTE",M4234="PARCIAL"),"🟡 FATURAMENTO PENDENTE","🟡 EMBARQUE PENDENTE")))))))))))</f>
        <v/>
      </c>
      <c r="D4234" s="4" t="n"/>
      <c r="E4234" s="5" t="n"/>
      <c r="F4234" s="5" t="n"/>
      <c r="G4234" s="5" t="n"/>
      <c r="H4234" s="5" t="n"/>
      <c r="I4234" s="5" t="n"/>
      <c r="J4234" s="6" t="n"/>
      <c r="K4234" s="6" t="n"/>
      <c r="L4234" s="7">
        <f>IF(OR(D4234="",N(J4234)=0),"",MIN(1,N(K4234)/J4234))</f>
        <v/>
      </c>
      <c r="M4234" s="5" t="n"/>
      <c r="N4234" s="5" t="n"/>
      <c r="O4234" s="5" t="n"/>
      <c r="P4234" s="5" t="n"/>
      <c r="Q4234" s="5" t="n"/>
      <c r="R4234" s="4" t="n"/>
      <c r="S4234" s="4" t="n"/>
      <c r="T4234" s="5" t="n"/>
      <c r="U4234" s="8">
        <f>IF(AND(V4234=1,D4234&lt;&gt;""),IF(D4234&gt;=corte,TODAY()-D4234,""),"")</f>
        <v/>
      </c>
      <c r="V4234" s="8">
        <f>IF(D4234="",0,IF(OR(AND(P4234&lt;&gt;"",S4234=""),AND(N(J4234)&gt;0,N(K4234)&lt;J4234),OR(M4234="PENDENTE",M4234="PARCIAL"),OR(N4234="PENDENTE",N4234="PARCIAL")),1,0))</f>
        <v/>
      </c>
      <c r="W4234" s="8">
        <f>IF(AND(V4234=1,D4234&lt;&gt;""),IF(D4234&gt;=corte,(B4234="CRÍTICO")*1E9+(100000-D4234)*10000+10000-ROW(),""),"")</f>
        <v/>
      </c>
      <c r="X4234" s="8">
        <f>IF(AND(V4234=1,D4234=pas_data,E4234=pas_turno),10000-ROW(),"")</f>
        <v/>
      </c>
    </row>
    <row r="4235">
      <c r="A4235" s="3">
        <f>IF(D4235="","","TT-"&amp;TEXT(ROW()-1,"00000"))</f>
        <v/>
      </c>
      <c r="B4235" s="3">
        <f>IF(D4235="","",IF(V4235=0,"CONCLUÍDO",IF(D4235&lt;corte,"HISTÓRICO",IF(OR(AND(ISNUMBER(R4235),R4235&lt;TODAY()),AND(OR(N4235="PENDENTE",N4235="PARCIAL"),D4235&lt;TODAY()-1)),"CRÍTICO",IF(OR(AND(P4235&lt;&gt;"",S4235=""),AND(N4235="REALIZADO",M4235="PENDENTE"),AND(ISNUMBER(R4235),R4235=TODAY())),"ATENÇÃO",IF(N(K4235)=0,"PENDENTE","EM ANDAMENTO"))))))</f>
        <v/>
      </c>
      <c r="C4235" s="3">
        <f>IF(D4235="","",IF(V4235=0,"🟢 OK",IF(D4235&lt;corte,"⚪ HISTÓRICO (sem baixa)",IF(AND(ISNUMBER(R4235),R4235&lt;TODAY()),"🔴 PRAZO VENCIDO",IF(AND(OR(N4235="PENDENTE",N4235="PARCIAL"),D4235&lt;TODAY()-1),"🔴 EMBARQUE ATRASADO",IF(AND(N4235="REALIZADO",M4235="PENDENTE"),"🟡 EMBARCADO SEM FATURAR",IF(AND(P4235&lt;&gt;"",S4235="",OR(Q4235="",R4235="")),"🟡 PENDÊNCIA SEM RESPONSÁVEL/PRAZO",IF(AND(ISNUMBER(R4235),R4235=TODAY()),"🟡 VENCE HOJE",IF(AND(P4235&lt;&gt;"",S4235=""),"🟡 PENDÊNCIA ABERTA",IF(AND(N(J4235)&gt;0,N(K4235)&lt;J4235),"🟡 FALTA EXECUTAR",IF(OR(M4235="PENDENTE",M4235="PARCIAL"),"🟡 FATURAMENTO PENDENTE","🟡 EMBARQUE PENDENTE")))))))))))</f>
        <v/>
      </c>
      <c r="D4235" s="4" t="n"/>
      <c r="E4235" s="5" t="n"/>
      <c r="F4235" s="5" t="n"/>
      <c r="G4235" s="5" t="n"/>
      <c r="H4235" s="5" t="n"/>
      <c r="I4235" s="5" t="n"/>
      <c r="J4235" s="6" t="n"/>
      <c r="K4235" s="6" t="n"/>
      <c r="L4235" s="7">
        <f>IF(OR(D4235="",N(J4235)=0),"",MIN(1,N(K4235)/J4235))</f>
        <v/>
      </c>
      <c r="M4235" s="5" t="n"/>
      <c r="N4235" s="5" t="n"/>
      <c r="O4235" s="5" t="n"/>
      <c r="P4235" s="5" t="n"/>
      <c r="Q4235" s="5" t="n"/>
      <c r="R4235" s="4" t="n"/>
      <c r="S4235" s="4" t="n"/>
      <c r="T4235" s="5" t="n"/>
      <c r="U4235" s="8">
        <f>IF(AND(V4235=1,D4235&lt;&gt;""),IF(D4235&gt;=corte,TODAY()-D4235,""),"")</f>
        <v/>
      </c>
      <c r="V4235" s="8">
        <f>IF(D4235="",0,IF(OR(AND(P4235&lt;&gt;"",S4235=""),AND(N(J4235)&gt;0,N(K4235)&lt;J4235),OR(M4235="PENDENTE",M4235="PARCIAL"),OR(N4235="PENDENTE",N4235="PARCIAL")),1,0))</f>
        <v/>
      </c>
      <c r="W4235" s="8">
        <f>IF(AND(V4235=1,D4235&lt;&gt;""),IF(D4235&gt;=corte,(B4235="CRÍTICO")*1E9+(100000-D4235)*10000+10000-ROW(),""),"")</f>
        <v/>
      </c>
      <c r="X4235" s="8">
        <f>IF(AND(V4235=1,D4235=pas_data,E4235=pas_turno),10000-ROW(),"")</f>
        <v/>
      </c>
    </row>
    <row r="4236">
      <c r="A4236" s="3">
        <f>IF(D4236="","","TT-"&amp;TEXT(ROW()-1,"00000"))</f>
        <v/>
      </c>
      <c r="B4236" s="3">
        <f>IF(D4236="","",IF(V4236=0,"CONCLUÍDO",IF(D4236&lt;corte,"HISTÓRICO",IF(OR(AND(ISNUMBER(R4236),R4236&lt;TODAY()),AND(OR(N4236="PENDENTE",N4236="PARCIAL"),D4236&lt;TODAY()-1)),"CRÍTICO",IF(OR(AND(P4236&lt;&gt;"",S4236=""),AND(N4236="REALIZADO",M4236="PENDENTE"),AND(ISNUMBER(R4236),R4236=TODAY())),"ATENÇÃO",IF(N(K4236)=0,"PENDENTE","EM ANDAMENTO"))))))</f>
        <v/>
      </c>
      <c r="C4236" s="3">
        <f>IF(D4236="","",IF(V4236=0,"🟢 OK",IF(D4236&lt;corte,"⚪ HISTÓRICO (sem baixa)",IF(AND(ISNUMBER(R4236),R4236&lt;TODAY()),"🔴 PRAZO VENCIDO",IF(AND(OR(N4236="PENDENTE",N4236="PARCIAL"),D4236&lt;TODAY()-1),"🔴 EMBARQUE ATRASADO",IF(AND(N4236="REALIZADO",M4236="PENDENTE"),"🟡 EMBARCADO SEM FATURAR",IF(AND(P4236&lt;&gt;"",S4236="",OR(Q4236="",R4236="")),"🟡 PENDÊNCIA SEM RESPONSÁVEL/PRAZO",IF(AND(ISNUMBER(R4236),R4236=TODAY()),"🟡 VENCE HOJE",IF(AND(P4236&lt;&gt;"",S4236=""),"🟡 PENDÊNCIA ABERTA",IF(AND(N(J4236)&gt;0,N(K4236)&lt;J4236),"🟡 FALTA EXECUTAR",IF(OR(M4236="PENDENTE",M4236="PARCIAL"),"🟡 FATURAMENTO PENDENTE","🟡 EMBARQUE PENDENTE")))))))))))</f>
        <v/>
      </c>
      <c r="D4236" s="4" t="n"/>
      <c r="E4236" s="5" t="n"/>
      <c r="F4236" s="5" t="n"/>
      <c r="G4236" s="5" t="n"/>
      <c r="H4236" s="5" t="n"/>
      <c r="I4236" s="5" t="n"/>
      <c r="J4236" s="6" t="n"/>
      <c r="K4236" s="6" t="n"/>
      <c r="L4236" s="7">
        <f>IF(OR(D4236="",N(J4236)=0),"",MIN(1,N(K4236)/J4236))</f>
        <v/>
      </c>
      <c r="M4236" s="5" t="n"/>
      <c r="N4236" s="5" t="n"/>
      <c r="O4236" s="5" t="n"/>
      <c r="P4236" s="5" t="n"/>
      <c r="Q4236" s="5" t="n"/>
      <c r="R4236" s="4" t="n"/>
      <c r="S4236" s="4" t="n"/>
      <c r="T4236" s="5" t="n"/>
      <c r="U4236" s="8">
        <f>IF(AND(V4236=1,D4236&lt;&gt;""),IF(D4236&gt;=corte,TODAY()-D4236,""),"")</f>
        <v/>
      </c>
      <c r="V4236" s="8">
        <f>IF(D4236="",0,IF(OR(AND(P4236&lt;&gt;"",S4236=""),AND(N(J4236)&gt;0,N(K4236)&lt;J4236),OR(M4236="PENDENTE",M4236="PARCIAL"),OR(N4236="PENDENTE",N4236="PARCIAL")),1,0))</f>
        <v/>
      </c>
      <c r="W4236" s="8">
        <f>IF(AND(V4236=1,D4236&lt;&gt;""),IF(D4236&gt;=corte,(B4236="CRÍTICO")*1E9+(100000-D4236)*10000+10000-ROW(),""),"")</f>
        <v/>
      </c>
      <c r="X4236" s="8">
        <f>IF(AND(V4236=1,D4236=pas_data,E4236=pas_turno),10000-ROW(),"")</f>
        <v/>
      </c>
    </row>
    <row r="4237">
      <c r="A4237" s="3">
        <f>IF(D4237="","","TT-"&amp;TEXT(ROW()-1,"00000"))</f>
        <v/>
      </c>
      <c r="B4237" s="3">
        <f>IF(D4237="","",IF(V4237=0,"CONCLUÍDO",IF(D4237&lt;corte,"HISTÓRICO",IF(OR(AND(ISNUMBER(R4237),R4237&lt;TODAY()),AND(OR(N4237="PENDENTE",N4237="PARCIAL"),D4237&lt;TODAY()-1)),"CRÍTICO",IF(OR(AND(P4237&lt;&gt;"",S4237=""),AND(N4237="REALIZADO",M4237="PENDENTE"),AND(ISNUMBER(R4237),R4237=TODAY())),"ATENÇÃO",IF(N(K4237)=0,"PENDENTE","EM ANDAMENTO"))))))</f>
        <v/>
      </c>
      <c r="C4237" s="3">
        <f>IF(D4237="","",IF(V4237=0,"🟢 OK",IF(D4237&lt;corte,"⚪ HISTÓRICO (sem baixa)",IF(AND(ISNUMBER(R4237),R4237&lt;TODAY()),"🔴 PRAZO VENCIDO",IF(AND(OR(N4237="PENDENTE",N4237="PARCIAL"),D4237&lt;TODAY()-1),"🔴 EMBARQUE ATRASADO",IF(AND(N4237="REALIZADO",M4237="PENDENTE"),"🟡 EMBARCADO SEM FATURAR",IF(AND(P4237&lt;&gt;"",S4237="",OR(Q4237="",R4237="")),"🟡 PENDÊNCIA SEM RESPONSÁVEL/PRAZO",IF(AND(ISNUMBER(R4237),R4237=TODAY()),"🟡 VENCE HOJE",IF(AND(P4237&lt;&gt;"",S4237=""),"🟡 PENDÊNCIA ABERTA",IF(AND(N(J4237)&gt;0,N(K4237)&lt;J4237),"🟡 FALTA EXECUTAR",IF(OR(M4237="PENDENTE",M4237="PARCIAL"),"🟡 FATURAMENTO PENDENTE","🟡 EMBARQUE PENDENTE")))))))))))</f>
        <v/>
      </c>
      <c r="D4237" s="4" t="n"/>
      <c r="E4237" s="5" t="n"/>
      <c r="F4237" s="5" t="n"/>
      <c r="G4237" s="5" t="n"/>
      <c r="H4237" s="5" t="n"/>
      <c r="I4237" s="5" t="n"/>
      <c r="J4237" s="6" t="n"/>
      <c r="K4237" s="6" t="n"/>
      <c r="L4237" s="7">
        <f>IF(OR(D4237="",N(J4237)=0),"",MIN(1,N(K4237)/J4237))</f>
        <v/>
      </c>
      <c r="M4237" s="5" t="n"/>
      <c r="N4237" s="5" t="n"/>
      <c r="O4237" s="5" t="n"/>
      <c r="P4237" s="5" t="n"/>
      <c r="Q4237" s="5" t="n"/>
      <c r="R4237" s="4" t="n"/>
      <c r="S4237" s="4" t="n"/>
      <c r="T4237" s="5" t="n"/>
      <c r="U4237" s="8">
        <f>IF(AND(V4237=1,D4237&lt;&gt;""),IF(D4237&gt;=corte,TODAY()-D4237,""),"")</f>
        <v/>
      </c>
      <c r="V4237" s="8">
        <f>IF(D4237="",0,IF(OR(AND(P4237&lt;&gt;"",S4237=""),AND(N(J4237)&gt;0,N(K4237)&lt;J4237),OR(M4237="PENDENTE",M4237="PARCIAL"),OR(N4237="PENDENTE",N4237="PARCIAL")),1,0))</f>
        <v/>
      </c>
      <c r="W4237" s="8">
        <f>IF(AND(V4237=1,D4237&lt;&gt;""),IF(D4237&gt;=corte,(B4237="CRÍTICO")*1E9+(100000-D4237)*10000+10000-ROW(),""),"")</f>
        <v/>
      </c>
      <c r="X4237" s="8">
        <f>IF(AND(V4237=1,D4237=pas_data,E4237=pas_turno),10000-ROW(),"")</f>
        <v/>
      </c>
    </row>
    <row r="4238">
      <c r="A4238" s="3">
        <f>IF(D4238="","","TT-"&amp;TEXT(ROW()-1,"00000"))</f>
        <v/>
      </c>
      <c r="B4238" s="3">
        <f>IF(D4238="","",IF(V4238=0,"CONCLUÍDO",IF(D4238&lt;corte,"HISTÓRICO",IF(OR(AND(ISNUMBER(R4238),R4238&lt;TODAY()),AND(OR(N4238="PENDENTE",N4238="PARCIAL"),D4238&lt;TODAY()-1)),"CRÍTICO",IF(OR(AND(P4238&lt;&gt;"",S4238=""),AND(N4238="REALIZADO",M4238="PENDENTE"),AND(ISNUMBER(R4238),R4238=TODAY())),"ATENÇÃO",IF(N(K4238)=0,"PENDENTE","EM ANDAMENTO"))))))</f>
        <v/>
      </c>
      <c r="C4238" s="3">
        <f>IF(D4238="","",IF(V4238=0,"🟢 OK",IF(D4238&lt;corte,"⚪ HISTÓRICO (sem baixa)",IF(AND(ISNUMBER(R4238),R4238&lt;TODAY()),"🔴 PRAZO VENCIDO",IF(AND(OR(N4238="PENDENTE",N4238="PARCIAL"),D4238&lt;TODAY()-1),"🔴 EMBARQUE ATRASADO",IF(AND(N4238="REALIZADO",M4238="PENDENTE"),"🟡 EMBARCADO SEM FATURAR",IF(AND(P4238&lt;&gt;"",S4238="",OR(Q4238="",R4238="")),"🟡 PENDÊNCIA SEM RESPONSÁVEL/PRAZO",IF(AND(ISNUMBER(R4238),R4238=TODAY()),"🟡 VENCE HOJE",IF(AND(P4238&lt;&gt;"",S4238=""),"🟡 PENDÊNCIA ABERTA",IF(AND(N(J4238)&gt;0,N(K4238)&lt;J4238),"🟡 FALTA EXECUTAR",IF(OR(M4238="PENDENTE",M4238="PARCIAL"),"🟡 FATURAMENTO PENDENTE","🟡 EMBARQUE PENDENTE")))))))))))</f>
        <v/>
      </c>
      <c r="D4238" s="4" t="n"/>
      <c r="E4238" s="5" t="n"/>
      <c r="F4238" s="5" t="n"/>
      <c r="G4238" s="5" t="n"/>
      <c r="H4238" s="5" t="n"/>
      <c r="I4238" s="5" t="n"/>
      <c r="J4238" s="6" t="n"/>
      <c r="K4238" s="6" t="n"/>
      <c r="L4238" s="7">
        <f>IF(OR(D4238="",N(J4238)=0),"",MIN(1,N(K4238)/J4238))</f>
        <v/>
      </c>
      <c r="M4238" s="5" t="n"/>
      <c r="N4238" s="5" t="n"/>
      <c r="O4238" s="5" t="n"/>
      <c r="P4238" s="5" t="n"/>
      <c r="Q4238" s="5" t="n"/>
      <c r="R4238" s="4" t="n"/>
      <c r="S4238" s="4" t="n"/>
      <c r="T4238" s="5" t="n"/>
      <c r="U4238" s="8">
        <f>IF(AND(V4238=1,D4238&lt;&gt;""),IF(D4238&gt;=corte,TODAY()-D4238,""),"")</f>
        <v/>
      </c>
      <c r="V4238" s="8">
        <f>IF(D4238="",0,IF(OR(AND(P4238&lt;&gt;"",S4238=""),AND(N(J4238)&gt;0,N(K4238)&lt;J4238),OR(M4238="PENDENTE",M4238="PARCIAL"),OR(N4238="PENDENTE",N4238="PARCIAL")),1,0))</f>
        <v/>
      </c>
      <c r="W4238" s="8">
        <f>IF(AND(V4238=1,D4238&lt;&gt;""),IF(D4238&gt;=corte,(B4238="CRÍTICO")*1E9+(100000-D4238)*10000+10000-ROW(),""),"")</f>
        <v/>
      </c>
      <c r="X4238" s="8">
        <f>IF(AND(V4238=1,D4238=pas_data,E4238=pas_turno),10000-ROW(),"")</f>
        <v/>
      </c>
    </row>
    <row r="4239">
      <c r="A4239" s="3">
        <f>IF(D4239="","","TT-"&amp;TEXT(ROW()-1,"00000"))</f>
        <v/>
      </c>
      <c r="B4239" s="3">
        <f>IF(D4239="","",IF(V4239=0,"CONCLUÍDO",IF(D4239&lt;corte,"HISTÓRICO",IF(OR(AND(ISNUMBER(R4239),R4239&lt;TODAY()),AND(OR(N4239="PENDENTE",N4239="PARCIAL"),D4239&lt;TODAY()-1)),"CRÍTICO",IF(OR(AND(P4239&lt;&gt;"",S4239=""),AND(N4239="REALIZADO",M4239="PENDENTE"),AND(ISNUMBER(R4239),R4239=TODAY())),"ATENÇÃO",IF(N(K4239)=0,"PENDENTE","EM ANDAMENTO"))))))</f>
        <v/>
      </c>
      <c r="C4239" s="3">
        <f>IF(D4239="","",IF(V4239=0,"🟢 OK",IF(D4239&lt;corte,"⚪ HISTÓRICO (sem baixa)",IF(AND(ISNUMBER(R4239),R4239&lt;TODAY()),"🔴 PRAZO VENCIDO",IF(AND(OR(N4239="PENDENTE",N4239="PARCIAL"),D4239&lt;TODAY()-1),"🔴 EMBARQUE ATRASADO",IF(AND(N4239="REALIZADO",M4239="PENDENTE"),"🟡 EMBARCADO SEM FATURAR",IF(AND(P4239&lt;&gt;"",S4239="",OR(Q4239="",R4239="")),"🟡 PENDÊNCIA SEM RESPONSÁVEL/PRAZO",IF(AND(ISNUMBER(R4239),R4239=TODAY()),"🟡 VENCE HOJE",IF(AND(P4239&lt;&gt;"",S4239=""),"🟡 PENDÊNCIA ABERTA",IF(AND(N(J4239)&gt;0,N(K4239)&lt;J4239),"🟡 FALTA EXECUTAR",IF(OR(M4239="PENDENTE",M4239="PARCIAL"),"🟡 FATURAMENTO PENDENTE","🟡 EMBARQUE PENDENTE")))))))))))</f>
        <v/>
      </c>
      <c r="D4239" s="4" t="n"/>
      <c r="E4239" s="5" t="n"/>
      <c r="F4239" s="5" t="n"/>
      <c r="G4239" s="5" t="n"/>
      <c r="H4239" s="5" t="n"/>
      <c r="I4239" s="5" t="n"/>
      <c r="J4239" s="6" t="n"/>
      <c r="K4239" s="6" t="n"/>
      <c r="L4239" s="7">
        <f>IF(OR(D4239="",N(J4239)=0),"",MIN(1,N(K4239)/J4239))</f>
        <v/>
      </c>
      <c r="M4239" s="5" t="n"/>
      <c r="N4239" s="5" t="n"/>
      <c r="O4239" s="5" t="n"/>
      <c r="P4239" s="5" t="n"/>
      <c r="Q4239" s="5" t="n"/>
      <c r="R4239" s="4" t="n"/>
      <c r="S4239" s="4" t="n"/>
      <c r="T4239" s="5" t="n"/>
      <c r="U4239" s="8">
        <f>IF(AND(V4239=1,D4239&lt;&gt;""),IF(D4239&gt;=corte,TODAY()-D4239,""),"")</f>
        <v/>
      </c>
      <c r="V4239" s="8">
        <f>IF(D4239="",0,IF(OR(AND(P4239&lt;&gt;"",S4239=""),AND(N(J4239)&gt;0,N(K4239)&lt;J4239),OR(M4239="PENDENTE",M4239="PARCIAL"),OR(N4239="PENDENTE",N4239="PARCIAL")),1,0))</f>
        <v/>
      </c>
      <c r="W4239" s="8">
        <f>IF(AND(V4239=1,D4239&lt;&gt;""),IF(D4239&gt;=corte,(B4239="CRÍTICO")*1E9+(100000-D4239)*10000+10000-ROW(),""),"")</f>
        <v/>
      </c>
      <c r="X4239" s="8">
        <f>IF(AND(V4239=1,D4239=pas_data,E4239=pas_turno),10000-ROW(),"")</f>
        <v/>
      </c>
    </row>
    <row r="4240">
      <c r="A4240" s="3">
        <f>IF(D4240="","","TT-"&amp;TEXT(ROW()-1,"00000"))</f>
        <v/>
      </c>
      <c r="B4240" s="3">
        <f>IF(D4240="","",IF(V4240=0,"CONCLUÍDO",IF(D4240&lt;corte,"HISTÓRICO",IF(OR(AND(ISNUMBER(R4240),R4240&lt;TODAY()),AND(OR(N4240="PENDENTE",N4240="PARCIAL"),D4240&lt;TODAY()-1)),"CRÍTICO",IF(OR(AND(P4240&lt;&gt;"",S4240=""),AND(N4240="REALIZADO",M4240="PENDENTE"),AND(ISNUMBER(R4240),R4240=TODAY())),"ATENÇÃO",IF(N(K4240)=0,"PENDENTE","EM ANDAMENTO"))))))</f>
        <v/>
      </c>
      <c r="C4240" s="3">
        <f>IF(D4240="","",IF(V4240=0,"🟢 OK",IF(D4240&lt;corte,"⚪ HISTÓRICO (sem baixa)",IF(AND(ISNUMBER(R4240),R4240&lt;TODAY()),"🔴 PRAZO VENCIDO",IF(AND(OR(N4240="PENDENTE",N4240="PARCIAL"),D4240&lt;TODAY()-1),"🔴 EMBARQUE ATRASADO",IF(AND(N4240="REALIZADO",M4240="PENDENTE"),"🟡 EMBARCADO SEM FATURAR",IF(AND(P4240&lt;&gt;"",S4240="",OR(Q4240="",R4240="")),"🟡 PENDÊNCIA SEM RESPONSÁVEL/PRAZO",IF(AND(ISNUMBER(R4240),R4240=TODAY()),"🟡 VENCE HOJE",IF(AND(P4240&lt;&gt;"",S4240=""),"🟡 PENDÊNCIA ABERTA",IF(AND(N(J4240)&gt;0,N(K4240)&lt;J4240),"🟡 FALTA EXECUTAR",IF(OR(M4240="PENDENTE",M4240="PARCIAL"),"🟡 FATURAMENTO PENDENTE","🟡 EMBARQUE PENDENTE")))))))))))</f>
        <v/>
      </c>
      <c r="D4240" s="4" t="n"/>
      <c r="E4240" s="5" t="n"/>
      <c r="F4240" s="5" t="n"/>
      <c r="G4240" s="5" t="n"/>
      <c r="H4240" s="5" t="n"/>
      <c r="I4240" s="5" t="n"/>
      <c r="J4240" s="6" t="n"/>
      <c r="K4240" s="6" t="n"/>
      <c r="L4240" s="7">
        <f>IF(OR(D4240="",N(J4240)=0),"",MIN(1,N(K4240)/J4240))</f>
        <v/>
      </c>
      <c r="M4240" s="5" t="n"/>
      <c r="N4240" s="5" t="n"/>
      <c r="O4240" s="5" t="n"/>
      <c r="P4240" s="5" t="n"/>
      <c r="Q4240" s="5" t="n"/>
      <c r="R4240" s="4" t="n"/>
      <c r="S4240" s="4" t="n"/>
      <c r="T4240" s="5" t="n"/>
      <c r="U4240" s="8">
        <f>IF(AND(V4240=1,D4240&lt;&gt;""),IF(D4240&gt;=corte,TODAY()-D4240,""),"")</f>
        <v/>
      </c>
      <c r="V4240" s="8">
        <f>IF(D4240="",0,IF(OR(AND(P4240&lt;&gt;"",S4240=""),AND(N(J4240)&gt;0,N(K4240)&lt;J4240),OR(M4240="PENDENTE",M4240="PARCIAL"),OR(N4240="PENDENTE",N4240="PARCIAL")),1,0))</f>
        <v/>
      </c>
      <c r="W4240" s="8">
        <f>IF(AND(V4240=1,D4240&lt;&gt;""),IF(D4240&gt;=corte,(B4240="CRÍTICO")*1E9+(100000-D4240)*10000+10000-ROW(),""),"")</f>
        <v/>
      </c>
      <c r="X4240" s="8">
        <f>IF(AND(V4240=1,D4240=pas_data,E4240=pas_turno),10000-ROW(),"")</f>
        <v/>
      </c>
    </row>
    <row r="4241">
      <c r="A4241" s="3">
        <f>IF(D4241="","","TT-"&amp;TEXT(ROW()-1,"00000"))</f>
        <v/>
      </c>
      <c r="B4241" s="3">
        <f>IF(D4241="","",IF(V4241=0,"CONCLUÍDO",IF(D4241&lt;corte,"HISTÓRICO",IF(OR(AND(ISNUMBER(R4241),R4241&lt;TODAY()),AND(OR(N4241="PENDENTE",N4241="PARCIAL"),D4241&lt;TODAY()-1)),"CRÍTICO",IF(OR(AND(P4241&lt;&gt;"",S4241=""),AND(N4241="REALIZADO",M4241="PENDENTE"),AND(ISNUMBER(R4241),R4241=TODAY())),"ATENÇÃO",IF(N(K4241)=0,"PENDENTE","EM ANDAMENTO"))))))</f>
        <v/>
      </c>
      <c r="C4241" s="3">
        <f>IF(D4241="","",IF(V4241=0,"🟢 OK",IF(D4241&lt;corte,"⚪ HISTÓRICO (sem baixa)",IF(AND(ISNUMBER(R4241),R4241&lt;TODAY()),"🔴 PRAZO VENCIDO",IF(AND(OR(N4241="PENDENTE",N4241="PARCIAL"),D4241&lt;TODAY()-1),"🔴 EMBARQUE ATRASADO",IF(AND(N4241="REALIZADO",M4241="PENDENTE"),"🟡 EMBARCADO SEM FATURAR",IF(AND(P4241&lt;&gt;"",S4241="",OR(Q4241="",R4241="")),"🟡 PENDÊNCIA SEM RESPONSÁVEL/PRAZO",IF(AND(ISNUMBER(R4241),R4241=TODAY()),"🟡 VENCE HOJE",IF(AND(P4241&lt;&gt;"",S4241=""),"🟡 PENDÊNCIA ABERTA",IF(AND(N(J4241)&gt;0,N(K4241)&lt;J4241),"🟡 FALTA EXECUTAR",IF(OR(M4241="PENDENTE",M4241="PARCIAL"),"🟡 FATURAMENTO PENDENTE","🟡 EMBARQUE PENDENTE")))))))))))</f>
        <v/>
      </c>
      <c r="D4241" s="4" t="n"/>
      <c r="E4241" s="5" t="n"/>
      <c r="F4241" s="5" t="n"/>
      <c r="G4241" s="5" t="n"/>
      <c r="H4241" s="5" t="n"/>
      <c r="I4241" s="5" t="n"/>
      <c r="J4241" s="6" t="n"/>
      <c r="K4241" s="6" t="n"/>
      <c r="L4241" s="7">
        <f>IF(OR(D4241="",N(J4241)=0),"",MIN(1,N(K4241)/J4241))</f>
        <v/>
      </c>
      <c r="M4241" s="5" t="n"/>
      <c r="N4241" s="5" t="n"/>
      <c r="O4241" s="5" t="n"/>
      <c r="P4241" s="5" t="n"/>
      <c r="Q4241" s="5" t="n"/>
      <c r="R4241" s="4" t="n"/>
      <c r="S4241" s="4" t="n"/>
      <c r="T4241" s="5" t="n"/>
      <c r="U4241" s="8">
        <f>IF(AND(V4241=1,D4241&lt;&gt;""),IF(D4241&gt;=corte,TODAY()-D4241,""),"")</f>
        <v/>
      </c>
      <c r="V4241" s="8">
        <f>IF(D4241="",0,IF(OR(AND(P4241&lt;&gt;"",S4241=""),AND(N(J4241)&gt;0,N(K4241)&lt;J4241),OR(M4241="PENDENTE",M4241="PARCIAL"),OR(N4241="PENDENTE",N4241="PARCIAL")),1,0))</f>
        <v/>
      </c>
      <c r="W4241" s="8">
        <f>IF(AND(V4241=1,D4241&lt;&gt;""),IF(D4241&gt;=corte,(B4241="CRÍTICO")*1E9+(100000-D4241)*10000+10000-ROW(),""),"")</f>
        <v/>
      </c>
      <c r="X4241" s="8">
        <f>IF(AND(V4241=1,D4241=pas_data,E4241=pas_turno),10000-ROW(),"")</f>
        <v/>
      </c>
    </row>
    <row r="4242">
      <c r="A4242" s="3">
        <f>IF(D4242="","","TT-"&amp;TEXT(ROW()-1,"00000"))</f>
        <v/>
      </c>
      <c r="B4242" s="3">
        <f>IF(D4242="","",IF(V4242=0,"CONCLUÍDO",IF(D4242&lt;corte,"HISTÓRICO",IF(OR(AND(ISNUMBER(R4242),R4242&lt;TODAY()),AND(OR(N4242="PENDENTE",N4242="PARCIAL"),D4242&lt;TODAY()-1)),"CRÍTICO",IF(OR(AND(P4242&lt;&gt;"",S4242=""),AND(N4242="REALIZADO",M4242="PENDENTE"),AND(ISNUMBER(R4242),R4242=TODAY())),"ATENÇÃO",IF(N(K4242)=0,"PENDENTE","EM ANDAMENTO"))))))</f>
        <v/>
      </c>
      <c r="C4242" s="3">
        <f>IF(D4242="","",IF(V4242=0,"🟢 OK",IF(D4242&lt;corte,"⚪ HISTÓRICO (sem baixa)",IF(AND(ISNUMBER(R4242),R4242&lt;TODAY()),"🔴 PRAZO VENCIDO",IF(AND(OR(N4242="PENDENTE",N4242="PARCIAL"),D4242&lt;TODAY()-1),"🔴 EMBARQUE ATRASADO",IF(AND(N4242="REALIZADO",M4242="PENDENTE"),"🟡 EMBARCADO SEM FATURAR",IF(AND(P4242&lt;&gt;"",S4242="",OR(Q4242="",R4242="")),"🟡 PENDÊNCIA SEM RESPONSÁVEL/PRAZO",IF(AND(ISNUMBER(R4242),R4242=TODAY()),"🟡 VENCE HOJE",IF(AND(P4242&lt;&gt;"",S4242=""),"🟡 PENDÊNCIA ABERTA",IF(AND(N(J4242)&gt;0,N(K4242)&lt;J4242),"🟡 FALTA EXECUTAR",IF(OR(M4242="PENDENTE",M4242="PARCIAL"),"🟡 FATURAMENTO PENDENTE","🟡 EMBARQUE PENDENTE")))))))))))</f>
        <v/>
      </c>
      <c r="D4242" s="4" t="n"/>
      <c r="E4242" s="5" t="n"/>
      <c r="F4242" s="5" t="n"/>
      <c r="G4242" s="5" t="n"/>
      <c r="H4242" s="5" t="n"/>
      <c r="I4242" s="5" t="n"/>
      <c r="J4242" s="6" t="n"/>
      <c r="K4242" s="6" t="n"/>
      <c r="L4242" s="7">
        <f>IF(OR(D4242="",N(J4242)=0),"",MIN(1,N(K4242)/J4242))</f>
        <v/>
      </c>
      <c r="M4242" s="5" t="n"/>
      <c r="N4242" s="5" t="n"/>
      <c r="O4242" s="5" t="n"/>
      <c r="P4242" s="5" t="n"/>
      <c r="Q4242" s="5" t="n"/>
      <c r="R4242" s="4" t="n"/>
      <c r="S4242" s="4" t="n"/>
      <c r="T4242" s="5" t="n"/>
      <c r="U4242" s="8">
        <f>IF(AND(V4242=1,D4242&lt;&gt;""),IF(D4242&gt;=corte,TODAY()-D4242,""),"")</f>
        <v/>
      </c>
      <c r="V4242" s="8">
        <f>IF(D4242="",0,IF(OR(AND(P4242&lt;&gt;"",S4242=""),AND(N(J4242)&gt;0,N(K4242)&lt;J4242),OR(M4242="PENDENTE",M4242="PARCIAL"),OR(N4242="PENDENTE",N4242="PARCIAL")),1,0))</f>
        <v/>
      </c>
      <c r="W4242" s="8">
        <f>IF(AND(V4242=1,D4242&lt;&gt;""),IF(D4242&gt;=corte,(B4242="CRÍTICO")*1E9+(100000-D4242)*10000+10000-ROW(),""),"")</f>
        <v/>
      </c>
      <c r="X4242" s="8">
        <f>IF(AND(V4242=1,D4242=pas_data,E4242=pas_turno),10000-ROW(),"")</f>
        <v/>
      </c>
    </row>
    <row r="4243">
      <c r="A4243" s="3">
        <f>IF(D4243="","","TT-"&amp;TEXT(ROW()-1,"00000"))</f>
        <v/>
      </c>
      <c r="B4243" s="3">
        <f>IF(D4243="","",IF(V4243=0,"CONCLUÍDO",IF(D4243&lt;corte,"HISTÓRICO",IF(OR(AND(ISNUMBER(R4243),R4243&lt;TODAY()),AND(OR(N4243="PENDENTE",N4243="PARCIAL"),D4243&lt;TODAY()-1)),"CRÍTICO",IF(OR(AND(P4243&lt;&gt;"",S4243=""),AND(N4243="REALIZADO",M4243="PENDENTE"),AND(ISNUMBER(R4243),R4243=TODAY())),"ATENÇÃO",IF(N(K4243)=0,"PENDENTE","EM ANDAMENTO"))))))</f>
        <v/>
      </c>
      <c r="C4243" s="3">
        <f>IF(D4243="","",IF(V4243=0,"🟢 OK",IF(D4243&lt;corte,"⚪ HISTÓRICO (sem baixa)",IF(AND(ISNUMBER(R4243),R4243&lt;TODAY()),"🔴 PRAZO VENCIDO",IF(AND(OR(N4243="PENDENTE",N4243="PARCIAL"),D4243&lt;TODAY()-1),"🔴 EMBARQUE ATRASADO",IF(AND(N4243="REALIZADO",M4243="PENDENTE"),"🟡 EMBARCADO SEM FATURAR",IF(AND(P4243&lt;&gt;"",S4243="",OR(Q4243="",R4243="")),"🟡 PENDÊNCIA SEM RESPONSÁVEL/PRAZO",IF(AND(ISNUMBER(R4243),R4243=TODAY()),"🟡 VENCE HOJE",IF(AND(P4243&lt;&gt;"",S4243=""),"🟡 PENDÊNCIA ABERTA",IF(AND(N(J4243)&gt;0,N(K4243)&lt;J4243),"🟡 FALTA EXECUTAR",IF(OR(M4243="PENDENTE",M4243="PARCIAL"),"🟡 FATURAMENTO PENDENTE","🟡 EMBARQUE PENDENTE")))))))))))</f>
        <v/>
      </c>
      <c r="D4243" s="4" t="n"/>
      <c r="E4243" s="5" t="n"/>
      <c r="F4243" s="5" t="n"/>
      <c r="G4243" s="5" t="n"/>
      <c r="H4243" s="5" t="n"/>
      <c r="I4243" s="5" t="n"/>
      <c r="J4243" s="6" t="n"/>
      <c r="K4243" s="6" t="n"/>
      <c r="L4243" s="7">
        <f>IF(OR(D4243="",N(J4243)=0),"",MIN(1,N(K4243)/J4243))</f>
        <v/>
      </c>
      <c r="M4243" s="5" t="n"/>
      <c r="N4243" s="5" t="n"/>
      <c r="O4243" s="5" t="n"/>
      <c r="P4243" s="5" t="n"/>
      <c r="Q4243" s="5" t="n"/>
      <c r="R4243" s="4" t="n"/>
      <c r="S4243" s="4" t="n"/>
      <c r="T4243" s="5" t="n"/>
      <c r="U4243" s="8">
        <f>IF(AND(V4243=1,D4243&lt;&gt;""),IF(D4243&gt;=corte,TODAY()-D4243,""),"")</f>
        <v/>
      </c>
      <c r="V4243" s="8">
        <f>IF(D4243="",0,IF(OR(AND(P4243&lt;&gt;"",S4243=""),AND(N(J4243)&gt;0,N(K4243)&lt;J4243),OR(M4243="PENDENTE",M4243="PARCIAL"),OR(N4243="PENDENTE",N4243="PARCIAL")),1,0))</f>
        <v/>
      </c>
      <c r="W4243" s="8">
        <f>IF(AND(V4243=1,D4243&lt;&gt;""),IF(D4243&gt;=corte,(B4243="CRÍTICO")*1E9+(100000-D4243)*10000+10000-ROW(),""),"")</f>
        <v/>
      </c>
      <c r="X4243" s="8">
        <f>IF(AND(V4243=1,D4243=pas_data,E4243=pas_turno),10000-ROW(),"")</f>
        <v/>
      </c>
    </row>
    <row r="4244">
      <c r="A4244" s="3">
        <f>IF(D4244="","","TT-"&amp;TEXT(ROW()-1,"00000"))</f>
        <v/>
      </c>
      <c r="B4244" s="3">
        <f>IF(D4244="","",IF(V4244=0,"CONCLUÍDO",IF(D4244&lt;corte,"HISTÓRICO",IF(OR(AND(ISNUMBER(R4244),R4244&lt;TODAY()),AND(OR(N4244="PENDENTE",N4244="PARCIAL"),D4244&lt;TODAY()-1)),"CRÍTICO",IF(OR(AND(P4244&lt;&gt;"",S4244=""),AND(N4244="REALIZADO",M4244="PENDENTE"),AND(ISNUMBER(R4244),R4244=TODAY())),"ATENÇÃO",IF(N(K4244)=0,"PENDENTE","EM ANDAMENTO"))))))</f>
        <v/>
      </c>
      <c r="C4244" s="3">
        <f>IF(D4244="","",IF(V4244=0,"🟢 OK",IF(D4244&lt;corte,"⚪ HISTÓRICO (sem baixa)",IF(AND(ISNUMBER(R4244),R4244&lt;TODAY()),"🔴 PRAZO VENCIDO",IF(AND(OR(N4244="PENDENTE",N4244="PARCIAL"),D4244&lt;TODAY()-1),"🔴 EMBARQUE ATRASADO",IF(AND(N4244="REALIZADO",M4244="PENDENTE"),"🟡 EMBARCADO SEM FATURAR",IF(AND(P4244&lt;&gt;"",S4244="",OR(Q4244="",R4244="")),"🟡 PENDÊNCIA SEM RESPONSÁVEL/PRAZO",IF(AND(ISNUMBER(R4244),R4244=TODAY()),"🟡 VENCE HOJE",IF(AND(P4244&lt;&gt;"",S4244=""),"🟡 PENDÊNCIA ABERTA",IF(AND(N(J4244)&gt;0,N(K4244)&lt;J4244),"🟡 FALTA EXECUTAR",IF(OR(M4244="PENDENTE",M4244="PARCIAL"),"🟡 FATURAMENTO PENDENTE","🟡 EMBARQUE PENDENTE")))))))))))</f>
        <v/>
      </c>
      <c r="D4244" s="4" t="n"/>
      <c r="E4244" s="5" t="n"/>
      <c r="F4244" s="5" t="n"/>
      <c r="G4244" s="5" t="n"/>
      <c r="H4244" s="5" t="n"/>
      <c r="I4244" s="5" t="n"/>
      <c r="J4244" s="6" t="n"/>
      <c r="K4244" s="6" t="n"/>
      <c r="L4244" s="7">
        <f>IF(OR(D4244="",N(J4244)=0),"",MIN(1,N(K4244)/J4244))</f>
        <v/>
      </c>
      <c r="M4244" s="5" t="n"/>
      <c r="N4244" s="5" t="n"/>
      <c r="O4244" s="5" t="n"/>
      <c r="P4244" s="5" t="n"/>
      <c r="Q4244" s="5" t="n"/>
      <c r="R4244" s="4" t="n"/>
      <c r="S4244" s="4" t="n"/>
      <c r="T4244" s="5" t="n"/>
      <c r="U4244" s="8">
        <f>IF(AND(V4244=1,D4244&lt;&gt;""),IF(D4244&gt;=corte,TODAY()-D4244,""),"")</f>
        <v/>
      </c>
      <c r="V4244" s="8">
        <f>IF(D4244="",0,IF(OR(AND(P4244&lt;&gt;"",S4244=""),AND(N(J4244)&gt;0,N(K4244)&lt;J4244),OR(M4244="PENDENTE",M4244="PARCIAL"),OR(N4244="PENDENTE",N4244="PARCIAL")),1,0))</f>
        <v/>
      </c>
      <c r="W4244" s="8">
        <f>IF(AND(V4244=1,D4244&lt;&gt;""),IF(D4244&gt;=corte,(B4244="CRÍTICO")*1E9+(100000-D4244)*10000+10000-ROW(),""),"")</f>
        <v/>
      </c>
      <c r="X4244" s="8">
        <f>IF(AND(V4244=1,D4244=pas_data,E4244=pas_turno),10000-ROW(),"")</f>
        <v/>
      </c>
    </row>
    <row r="4245">
      <c r="A4245" s="3">
        <f>IF(D4245="","","TT-"&amp;TEXT(ROW()-1,"00000"))</f>
        <v/>
      </c>
      <c r="B4245" s="3">
        <f>IF(D4245="","",IF(V4245=0,"CONCLUÍDO",IF(D4245&lt;corte,"HISTÓRICO",IF(OR(AND(ISNUMBER(R4245),R4245&lt;TODAY()),AND(OR(N4245="PENDENTE",N4245="PARCIAL"),D4245&lt;TODAY()-1)),"CRÍTICO",IF(OR(AND(P4245&lt;&gt;"",S4245=""),AND(N4245="REALIZADO",M4245="PENDENTE"),AND(ISNUMBER(R4245),R4245=TODAY())),"ATENÇÃO",IF(N(K4245)=0,"PENDENTE","EM ANDAMENTO"))))))</f>
        <v/>
      </c>
      <c r="C4245" s="3">
        <f>IF(D4245="","",IF(V4245=0,"🟢 OK",IF(D4245&lt;corte,"⚪ HISTÓRICO (sem baixa)",IF(AND(ISNUMBER(R4245),R4245&lt;TODAY()),"🔴 PRAZO VENCIDO",IF(AND(OR(N4245="PENDENTE",N4245="PARCIAL"),D4245&lt;TODAY()-1),"🔴 EMBARQUE ATRASADO",IF(AND(N4245="REALIZADO",M4245="PENDENTE"),"🟡 EMBARCADO SEM FATURAR",IF(AND(P4245&lt;&gt;"",S4245="",OR(Q4245="",R4245="")),"🟡 PENDÊNCIA SEM RESPONSÁVEL/PRAZO",IF(AND(ISNUMBER(R4245),R4245=TODAY()),"🟡 VENCE HOJE",IF(AND(P4245&lt;&gt;"",S4245=""),"🟡 PENDÊNCIA ABERTA",IF(AND(N(J4245)&gt;0,N(K4245)&lt;J4245),"🟡 FALTA EXECUTAR",IF(OR(M4245="PENDENTE",M4245="PARCIAL"),"🟡 FATURAMENTO PENDENTE","🟡 EMBARQUE PENDENTE")))))))))))</f>
        <v/>
      </c>
      <c r="D4245" s="4" t="n"/>
      <c r="E4245" s="5" t="n"/>
      <c r="F4245" s="5" t="n"/>
      <c r="G4245" s="5" t="n"/>
      <c r="H4245" s="5" t="n"/>
      <c r="I4245" s="5" t="n"/>
      <c r="J4245" s="6" t="n"/>
      <c r="K4245" s="6" t="n"/>
      <c r="L4245" s="7">
        <f>IF(OR(D4245="",N(J4245)=0),"",MIN(1,N(K4245)/J4245))</f>
        <v/>
      </c>
      <c r="M4245" s="5" t="n"/>
      <c r="N4245" s="5" t="n"/>
      <c r="O4245" s="5" t="n"/>
      <c r="P4245" s="5" t="n"/>
      <c r="Q4245" s="5" t="n"/>
      <c r="R4245" s="4" t="n"/>
      <c r="S4245" s="4" t="n"/>
      <c r="T4245" s="5" t="n"/>
      <c r="U4245" s="8">
        <f>IF(AND(V4245=1,D4245&lt;&gt;""),IF(D4245&gt;=corte,TODAY()-D4245,""),"")</f>
        <v/>
      </c>
      <c r="V4245" s="8">
        <f>IF(D4245="",0,IF(OR(AND(P4245&lt;&gt;"",S4245=""),AND(N(J4245)&gt;0,N(K4245)&lt;J4245),OR(M4245="PENDENTE",M4245="PARCIAL"),OR(N4245="PENDENTE",N4245="PARCIAL")),1,0))</f>
        <v/>
      </c>
      <c r="W4245" s="8">
        <f>IF(AND(V4245=1,D4245&lt;&gt;""),IF(D4245&gt;=corte,(B4245="CRÍTICO")*1E9+(100000-D4245)*10000+10000-ROW(),""),"")</f>
        <v/>
      </c>
      <c r="X4245" s="8">
        <f>IF(AND(V4245=1,D4245=pas_data,E4245=pas_turno),10000-ROW(),"")</f>
        <v/>
      </c>
    </row>
    <row r="4246">
      <c r="A4246" s="3">
        <f>IF(D4246="","","TT-"&amp;TEXT(ROW()-1,"00000"))</f>
        <v/>
      </c>
      <c r="B4246" s="3">
        <f>IF(D4246="","",IF(V4246=0,"CONCLUÍDO",IF(D4246&lt;corte,"HISTÓRICO",IF(OR(AND(ISNUMBER(R4246),R4246&lt;TODAY()),AND(OR(N4246="PENDENTE",N4246="PARCIAL"),D4246&lt;TODAY()-1)),"CRÍTICO",IF(OR(AND(P4246&lt;&gt;"",S4246=""),AND(N4246="REALIZADO",M4246="PENDENTE"),AND(ISNUMBER(R4246),R4246=TODAY())),"ATENÇÃO",IF(N(K4246)=0,"PENDENTE","EM ANDAMENTO"))))))</f>
        <v/>
      </c>
      <c r="C4246" s="3">
        <f>IF(D4246="","",IF(V4246=0,"🟢 OK",IF(D4246&lt;corte,"⚪ HISTÓRICO (sem baixa)",IF(AND(ISNUMBER(R4246),R4246&lt;TODAY()),"🔴 PRAZO VENCIDO",IF(AND(OR(N4246="PENDENTE",N4246="PARCIAL"),D4246&lt;TODAY()-1),"🔴 EMBARQUE ATRASADO",IF(AND(N4246="REALIZADO",M4246="PENDENTE"),"🟡 EMBARCADO SEM FATURAR",IF(AND(P4246&lt;&gt;"",S4246="",OR(Q4246="",R4246="")),"🟡 PENDÊNCIA SEM RESPONSÁVEL/PRAZO",IF(AND(ISNUMBER(R4246),R4246=TODAY()),"🟡 VENCE HOJE",IF(AND(P4246&lt;&gt;"",S4246=""),"🟡 PENDÊNCIA ABERTA",IF(AND(N(J4246)&gt;0,N(K4246)&lt;J4246),"🟡 FALTA EXECUTAR",IF(OR(M4246="PENDENTE",M4246="PARCIAL"),"🟡 FATURAMENTO PENDENTE","🟡 EMBARQUE PENDENTE")))))))))))</f>
        <v/>
      </c>
      <c r="D4246" s="4" t="n"/>
      <c r="E4246" s="5" t="n"/>
      <c r="F4246" s="5" t="n"/>
      <c r="G4246" s="5" t="n"/>
      <c r="H4246" s="5" t="n"/>
      <c r="I4246" s="5" t="n"/>
      <c r="J4246" s="6" t="n"/>
      <c r="K4246" s="6" t="n"/>
      <c r="L4246" s="7">
        <f>IF(OR(D4246="",N(J4246)=0),"",MIN(1,N(K4246)/J4246))</f>
        <v/>
      </c>
      <c r="M4246" s="5" t="n"/>
      <c r="N4246" s="5" t="n"/>
      <c r="O4246" s="5" t="n"/>
      <c r="P4246" s="5" t="n"/>
      <c r="Q4246" s="5" t="n"/>
      <c r="R4246" s="4" t="n"/>
      <c r="S4246" s="4" t="n"/>
      <c r="T4246" s="5" t="n"/>
      <c r="U4246" s="8">
        <f>IF(AND(V4246=1,D4246&lt;&gt;""),IF(D4246&gt;=corte,TODAY()-D4246,""),"")</f>
        <v/>
      </c>
      <c r="V4246" s="8">
        <f>IF(D4246="",0,IF(OR(AND(P4246&lt;&gt;"",S4246=""),AND(N(J4246)&gt;0,N(K4246)&lt;J4246),OR(M4246="PENDENTE",M4246="PARCIAL"),OR(N4246="PENDENTE",N4246="PARCIAL")),1,0))</f>
        <v/>
      </c>
      <c r="W4246" s="8">
        <f>IF(AND(V4246=1,D4246&lt;&gt;""),IF(D4246&gt;=corte,(B4246="CRÍTICO")*1E9+(100000-D4246)*10000+10000-ROW(),""),"")</f>
        <v/>
      </c>
      <c r="X4246" s="8">
        <f>IF(AND(V4246=1,D4246=pas_data,E4246=pas_turno),10000-ROW(),"")</f>
        <v/>
      </c>
    </row>
    <row r="4247">
      <c r="A4247" s="3">
        <f>IF(D4247="","","TT-"&amp;TEXT(ROW()-1,"00000"))</f>
        <v/>
      </c>
      <c r="B4247" s="3">
        <f>IF(D4247="","",IF(V4247=0,"CONCLUÍDO",IF(D4247&lt;corte,"HISTÓRICO",IF(OR(AND(ISNUMBER(R4247),R4247&lt;TODAY()),AND(OR(N4247="PENDENTE",N4247="PARCIAL"),D4247&lt;TODAY()-1)),"CRÍTICO",IF(OR(AND(P4247&lt;&gt;"",S4247=""),AND(N4247="REALIZADO",M4247="PENDENTE"),AND(ISNUMBER(R4247),R4247=TODAY())),"ATENÇÃO",IF(N(K4247)=0,"PENDENTE","EM ANDAMENTO"))))))</f>
        <v/>
      </c>
      <c r="C4247" s="3">
        <f>IF(D4247="","",IF(V4247=0,"🟢 OK",IF(D4247&lt;corte,"⚪ HISTÓRICO (sem baixa)",IF(AND(ISNUMBER(R4247),R4247&lt;TODAY()),"🔴 PRAZO VENCIDO",IF(AND(OR(N4247="PENDENTE",N4247="PARCIAL"),D4247&lt;TODAY()-1),"🔴 EMBARQUE ATRASADO",IF(AND(N4247="REALIZADO",M4247="PENDENTE"),"🟡 EMBARCADO SEM FATURAR",IF(AND(P4247&lt;&gt;"",S4247="",OR(Q4247="",R4247="")),"🟡 PENDÊNCIA SEM RESPONSÁVEL/PRAZO",IF(AND(ISNUMBER(R4247),R4247=TODAY()),"🟡 VENCE HOJE",IF(AND(P4247&lt;&gt;"",S4247=""),"🟡 PENDÊNCIA ABERTA",IF(AND(N(J4247)&gt;0,N(K4247)&lt;J4247),"🟡 FALTA EXECUTAR",IF(OR(M4247="PENDENTE",M4247="PARCIAL"),"🟡 FATURAMENTO PENDENTE","🟡 EMBARQUE PENDENTE")))))))))))</f>
        <v/>
      </c>
      <c r="D4247" s="4" t="n"/>
      <c r="E4247" s="5" t="n"/>
      <c r="F4247" s="5" t="n"/>
      <c r="G4247" s="5" t="n"/>
      <c r="H4247" s="5" t="n"/>
      <c r="I4247" s="5" t="n"/>
      <c r="J4247" s="6" t="n"/>
      <c r="K4247" s="6" t="n"/>
      <c r="L4247" s="7">
        <f>IF(OR(D4247="",N(J4247)=0),"",MIN(1,N(K4247)/J4247))</f>
        <v/>
      </c>
      <c r="M4247" s="5" t="n"/>
      <c r="N4247" s="5" t="n"/>
      <c r="O4247" s="5" t="n"/>
      <c r="P4247" s="5" t="n"/>
      <c r="Q4247" s="5" t="n"/>
      <c r="R4247" s="4" t="n"/>
      <c r="S4247" s="4" t="n"/>
      <c r="T4247" s="5" t="n"/>
      <c r="U4247" s="8">
        <f>IF(AND(V4247=1,D4247&lt;&gt;""),IF(D4247&gt;=corte,TODAY()-D4247,""),"")</f>
        <v/>
      </c>
      <c r="V4247" s="8">
        <f>IF(D4247="",0,IF(OR(AND(P4247&lt;&gt;"",S4247=""),AND(N(J4247)&gt;0,N(K4247)&lt;J4247),OR(M4247="PENDENTE",M4247="PARCIAL"),OR(N4247="PENDENTE",N4247="PARCIAL")),1,0))</f>
        <v/>
      </c>
      <c r="W4247" s="8">
        <f>IF(AND(V4247=1,D4247&lt;&gt;""),IF(D4247&gt;=corte,(B4247="CRÍTICO")*1E9+(100000-D4247)*10000+10000-ROW(),""),"")</f>
        <v/>
      </c>
      <c r="X4247" s="8">
        <f>IF(AND(V4247=1,D4247=pas_data,E4247=pas_turno),10000-ROW(),"")</f>
        <v/>
      </c>
    </row>
    <row r="4248">
      <c r="A4248" s="3">
        <f>IF(D4248="","","TT-"&amp;TEXT(ROW()-1,"00000"))</f>
        <v/>
      </c>
      <c r="B4248" s="3">
        <f>IF(D4248="","",IF(V4248=0,"CONCLUÍDO",IF(D4248&lt;corte,"HISTÓRICO",IF(OR(AND(ISNUMBER(R4248),R4248&lt;TODAY()),AND(OR(N4248="PENDENTE",N4248="PARCIAL"),D4248&lt;TODAY()-1)),"CRÍTICO",IF(OR(AND(P4248&lt;&gt;"",S4248=""),AND(N4248="REALIZADO",M4248="PENDENTE"),AND(ISNUMBER(R4248),R4248=TODAY())),"ATENÇÃO",IF(N(K4248)=0,"PENDENTE","EM ANDAMENTO"))))))</f>
        <v/>
      </c>
      <c r="C4248" s="3">
        <f>IF(D4248="","",IF(V4248=0,"🟢 OK",IF(D4248&lt;corte,"⚪ HISTÓRICO (sem baixa)",IF(AND(ISNUMBER(R4248),R4248&lt;TODAY()),"🔴 PRAZO VENCIDO",IF(AND(OR(N4248="PENDENTE",N4248="PARCIAL"),D4248&lt;TODAY()-1),"🔴 EMBARQUE ATRASADO",IF(AND(N4248="REALIZADO",M4248="PENDENTE"),"🟡 EMBARCADO SEM FATURAR",IF(AND(P4248&lt;&gt;"",S4248="",OR(Q4248="",R4248="")),"🟡 PENDÊNCIA SEM RESPONSÁVEL/PRAZO",IF(AND(ISNUMBER(R4248),R4248=TODAY()),"🟡 VENCE HOJE",IF(AND(P4248&lt;&gt;"",S4248=""),"🟡 PENDÊNCIA ABERTA",IF(AND(N(J4248)&gt;0,N(K4248)&lt;J4248),"🟡 FALTA EXECUTAR",IF(OR(M4248="PENDENTE",M4248="PARCIAL"),"🟡 FATURAMENTO PENDENTE","🟡 EMBARQUE PENDENTE")))))))))))</f>
        <v/>
      </c>
      <c r="D4248" s="4" t="n"/>
      <c r="E4248" s="5" t="n"/>
      <c r="F4248" s="5" t="n"/>
      <c r="G4248" s="5" t="n"/>
      <c r="H4248" s="5" t="n"/>
      <c r="I4248" s="5" t="n"/>
      <c r="J4248" s="6" t="n"/>
      <c r="K4248" s="6" t="n"/>
      <c r="L4248" s="7">
        <f>IF(OR(D4248="",N(J4248)=0),"",MIN(1,N(K4248)/J4248))</f>
        <v/>
      </c>
      <c r="M4248" s="5" t="n"/>
      <c r="N4248" s="5" t="n"/>
      <c r="O4248" s="5" t="n"/>
      <c r="P4248" s="5" t="n"/>
      <c r="Q4248" s="5" t="n"/>
      <c r="R4248" s="4" t="n"/>
      <c r="S4248" s="4" t="n"/>
      <c r="T4248" s="5" t="n"/>
      <c r="U4248" s="8">
        <f>IF(AND(V4248=1,D4248&lt;&gt;""),IF(D4248&gt;=corte,TODAY()-D4248,""),"")</f>
        <v/>
      </c>
      <c r="V4248" s="8">
        <f>IF(D4248="",0,IF(OR(AND(P4248&lt;&gt;"",S4248=""),AND(N(J4248)&gt;0,N(K4248)&lt;J4248),OR(M4248="PENDENTE",M4248="PARCIAL"),OR(N4248="PENDENTE",N4248="PARCIAL")),1,0))</f>
        <v/>
      </c>
      <c r="W4248" s="8">
        <f>IF(AND(V4248=1,D4248&lt;&gt;""),IF(D4248&gt;=corte,(B4248="CRÍTICO")*1E9+(100000-D4248)*10000+10000-ROW(),""),"")</f>
        <v/>
      </c>
      <c r="X4248" s="8">
        <f>IF(AND(V4248=1,D4248=pas_data,E4248=pas_turno),10000-ROW(),"")</f>
        <v/>
      </c>
    </row>
    <row r="4249">
      <c r="A4249" s="3">
        <f>IF(D4249="","","TT-"&amp;TEXT(ROW()-1,"00000"))</f>
        <v/>
      </c>
      <c r="B4249" s="3">
        <f>IF(D4249="","",IF(V4249=0,"CONCLUÍDO",IF(D4249&lt;corte,"HISTÓRICO",IF(OR(AND(ISNUMBER(R4249),R4249&lt;TODAY()),AND(OR(N4249="PENDENTE",N4249="PARCIAL"),D4249&lt;TODAY()-1)),"CRÍTICO",IF(OR(AND(P4249&lt;&gt;"",S4249=""),AND(N4249="REALIZADO",M4249="PENDENTE"),AND(ISNUMBER(R4249),R4249=TODAY())),"ATENÇÃO",IF(N(K4249)=0,"PENDENTE","EM ANDAMENTO"))))))</f>
        <v/>
      </c>
      <c r="C4249" s="3">
        <f>IF(D4249="","",IF(V4249=0,"🟢 OK",IF(D4249&lt;corte,"⚪ HISTÓRICO (sem baixa)",IF(AND(ISNUMBER(R4249),R4249&lt;TODAY()),"🔴 PRAZO VENCIDO",IF(AND(OR(N4249="PENDENTE",N4249="PARCIAL"),D4249&lt;TODAY()-1),"🔴 EMBARQUE ATRASADO",IF(AND(N4249="REALIZADO",M4249="PENDENTE"),"🟡 EMBARCADO SEM FATURAR",IF(AND(P4249&lt;&gt;"",S4249="",OR(Q4249="",R4249="")),"🟡 PENDÊNCIA SEM RESPONSÁVEL/PRAZO",IF(AND(ISNUMBER(R4249),R4249=TODAY()),"🟡 VENCE HOJE",IF(AND(P4249&lt;&gt;"",S4249=""),"🟡 PENDÊNCIA ABERTA",IF(AND(N(J4249)&gt;0,N(K4249)&lt;J4249),"🟡 FALTA EXECUTAR",IF(OR(M4249="PENDENTE",M4249="PARCIAL"),"🟡 FATURAMENTO PENDENTE","🟡 EMBARQUE PENDENTE")))))))))))</f>
        <v/>
      </c>
      <c r="D4249" s="4" t="n"/>
      <c r="E4249" s="5" t="n"/>
      <c r="F4249" s="5" t="n"/>
      <c r="G4249" s="5" t="n"/>
      <c r="H4249" s="5" t="n"/>
      <c r="I4249" s="5" t="n"/>
      <c r="J4249" s="6" t="n"/>
      <c r="K4249" s="6" t="n"/>
      <c r="L4249" s="7">
        <f>IF(OR(D4249="",N(J4249)=0),"",MIN(1,N(K4249)/J4249))</f>
        <v/>
      </c>
      <c r="M4249" s="5" t="n"/>
      <c r="N4249" s="5" t="n"/>
      <c r="O4249" s="5" t="n"/>
      <c r="P4249" s="5" t="n"/>
      <c r="Q4249" s="5" t="n"/>
      <c r="R4249" s="4" t="n"/>
      <c r="S4249" s="4" t="n"/>
      <c r="T4249" s="5" t="n"/>
      <c r="U4249" s="8">
        <f>IF(AND(V4249=1,D4249&lt;&gt;""),IF(D4249&gt;=corte,TODAY()-D4249,""),"")</f>
        <v/>
      </c>
      <c r="V4249" s="8">
        <f>IF(D4249="",0,IF(OR(AND(P4249&lt;&gt;"",S4249=""),AND(N(J4249)&gt;0,N(K4249)&lt;J4249),OR(M4249="PENDENTE",M4249="PARCIAL"),OR(N4249="PENDENTE",N4249="PARCIAL")),1,0))</f>
        <v/>
      </c>
      <c r="W4249" s="8">
        <f>IF(AND(V4249=1,D4249&lt;&gt;""),IF(D4249&gt;=corte,(B4249="CRÍTICO")*1E9+(100000-D4249)*10000+10000-ROW(),""),"")</f>
        <v/>
      </c>
      <c r="X4249" s="8">
        <f>IF(AND(V4249=1,D4249=pas_data,E4249=pas_turno),10000-ROW(),"")</f>
        <v/>
      </c>
    </row>
    <row r="4250">
      <c r="A4250" s="3">
        <f>IF(D4250="","","TT-"&amp;TEXT(ROW()-1,"00000"))</f>
        <v/>
      </c>
      <c r="B4250" s="3">
        <f>IF(D4250="","",IF(V4250=0,"CONCLUÍDO",IF(D4250&lt;corte,"HISTÓRICO",IF(OR(AND(ISNUMBER(R4250),R4250&lt;TODAY()),AND(OR(N4250="PENDENTE",N4250="PARCIAL"),D4250&lt;TODAY()-1)),"CRÍTICO",IF(OR(AND(P4250&lt;&gt;"",S4250=""),AND(N4250="REALIZADO",M4250="PENDENTE"),AND(ISNUMBER(R4250),R4250=TODAY())),"ATENÇÃO",IF(N(K4250)=0,"PENDENTE","EM ANDAMENTO"))))))</f>
        <v/>
      </c>
      <c r="C4250" s="3">
        <f>IF(D4250="","",IF(V4250=0,"🟢 OK",IF(D4250&lt;corte,"⚪ HISTÓRICO (sem baixa)",IF(AND(ISNUMBER(R4250),R4250&lt;TODAY()),"🔴 PRAZO VENCIDO",IF(AND(OR(N4250="PENDENTE",N4250="PARCIAL"),D4250&lt;TODAY()-1),"🔴 EMBARQUE ATRASADO",IF(AND(N4250="REALIZADO",M4250="PENDENTE"),"🟡 EMBARCADO SEM FATURAR",IF(AND(P4250&lt;&gt;"",S4250="",OR(Q4250="",R4250="")),"🟡 PENDÊNCIA SEM RESPONSÁVEL/PRAZO",IF(AND(ISNUMBER(R4250),R4250=TODAY()),"🟡 VENCE HOJE",IF(AND(P4250&lt;&gt;"",S4250=""),"🟡 PENDÊNCIA ABERTA",IF(AND(N(J4250)&gt;0,N(K4250)&lt;J4250),"🟡 FALTA EXECUTAR",IF(OR(M4250="PENDENTE",M4250="PARCIAL"),"🟡 FATURAMENTO PENDENTE","🟡 EMBARQUE PENDENTE")))))))))))</f>
        <v/>
      </c>
      <c r="D4250" s="4" t="n"/>
      <c r="E4250" s="5" t="n"/>
      <c r="F4250" s="5" t="n"/>
      <c r="G4250" s="5" t="n"/>
      <c r="H4250" s="5" t="n"/>
      <c r="I4250" s="5" t="n"/>
      <c r="J4250" s="6" t="n"/>
      <c r="K4250" s="6" t="n"/>
      <c r="L4250" s="7">
        <f>IF(OR(D4250="",N(J4250)=0),"",MIN(1,N(K4250)/J4250))</f>
        <v/>
      </c>
      <c r="M4250" s="5" t="n"/>
      <c r="N4250" s="5" t="n"/>
      <c r="O4250" s="5" t="n"/>
      <c r="P4250" s="5" t="n"/>
      <c r="Q4250" s="5" t="n"/>
      <c r="R4250" s="4" t="n"/>
      <c r="S4250" s="4" t="n"/>
      <c r="T4250" s="5" t="n"/>
      <c r="U4250" s="8">
        <f>IF(AND(V4250=1,D4250&lt;&gt;""),IF(D4250&gt;=corte,TODAY()-D4250,""),"")</f>
        <v/>
      </c>
      <c r="V4250" s="8">
        <f>IF(D4250="",0,IF(OR(AND(P4250&lt;&gt;"",S4250=""),AND(N(J4250)&gt;0,N(K4250)&lt;J4250),OR(M4250="PENDENTE",M4250="PARCIAL"),OR(N4250="PENDENTE",N4250="PARCIAL")),1,0))</f>
        <v/>
      </c>
      <c r="W4250" s="8">
        <f>IF(AND(V4250=1,D4250&lt;&gt;""),IF(D4250&gt;=corte,(B4250="CRÍTICO")*1E9+(100000-D4250)*10000+10000-ROW(),""),"")</f>
        <v/>
      </c>
      <c r="X4250" s="8">
        <f>IF(AND(V4250=1,D4250=pas_data,E4250=pas_turno),10000-ROW(),"")</f>
        <v/>
      </c>
    </row>
    <row r="4251">
      <c r="A4251" s="3">
        <f>IF(D4251="","","TT-"&amp;TEXT(ROW()-1,"00000"))</f>
        <v/>
      </c>
      <c r="B4251" s="3">
        <f>IF(D4251="","",IF(V4251=0,"CONCLUÍDO",IF(D4251&lt;corte,"HISTÓRICO",IF(OR(AND(ISNUMBER(R4251),R4251&lt;TODAY()),AND(OR(N4251="PENDENTE",N4251="PARCIAL"),D4251&lt;TODAY()-1)),"CRÍTICO",IF(OR(AND(P4251&lt;&gt;"",S4251=""),AND(N4251="REALIZADO",M4251="PENDENTE"),AND(ISNUMBER(R4251),R4251=TODAY())),"ATENÇÃO",IF(N(K4251)=0,"PENDENTE","EM ANDAMENTO"))))))</f>
        <v/>
      </c>
      <c r="C4251" s="3">
        <f>IF(D4251="","",IF(V4251=0,"🟢 OK",IF(D4251&lt;corte,"⚪ HISTÓRICO (sem baixa)",IF(AND(ISNUMBER(R4251),R4251&lt;TODAY()),"🔴 PRAZO VENCIDO",IF(AND(OR(N4251="PENDENTE",N4251="PARCIAL"),D4251&lt;TODAY()-1),"🔴 EMBARQUE ATRASADO",IF(AND(N4251="REALIZADO",M4251="PENDENTE"),"🟡 EMBARCADO SEM FATURAR",IF(AND(P4251&lt;&gt;"",S4251="",OR(Q4251="",R4251="")),"🟡 PENDÊNCIA SEM RESPONSÁVEL/PRAZO",IF(AND(ISNUMBER(R4251),R4251=TODAY()),"🟡 VENCE HOJE",IF(AND(P4251&lt;&gt;"",S4251=""),"🟡 PENDÊNCIA ABERTA",IF(AND(N(J4251)&gt;0,N(K4251)&lt;J4251),"🟡 FALTA EXECUTAR",IF(OR(M4251="PENDENTE",M4251="PARCIAL"),"🟡 FATURAMENTO PENDENTE","🟡 EMBARQUE PENDENTE")))))))))))</f>
        <v/>
      </c>
      <c r="D4251" s="4" t="n"/>
      <c r="E4251" s="5" t="n"/>
      <c r="F4251" s="5" t="n"/>
      <c r="G4251" s="5" t="n"/>
      <c r="H4251" s="5" t="n"/>
      <c r="I4251" s="5" t="n"/>
      <c r="J4251" s="6" t="n"/>
      <c r="K4251" s="6" t="n"/>
      <c r="L4251" s="7">
        <f>IF(OR(D4251="",N(J4251)=0),"",MIN(1,N(K4251)/J4251))</f>
        <v/>
      </c>
      <c r="M4251" s="5" t="n"/>
      <c r="N4251" s="5" t="n"/>
      <c r="O4251" s="5" t="n"/>
      <c r="P4251" s="5" t="n"/>
      <c r="Q4251" s="5" t="n"/>
      <c r="R4251" s="4" t="n"/>
      <c r="S4251" s="4" t="n"/>
      <c r="T4251" s="5" t="n"/>
      <c r="U4251" s="8">
        <f>IF(AND(V4251=1,D4251&lt;&gt;""),IF(D4251&gt;=corte,TODAY()-D4251,""),"")</f>
        <v/>
      </c>
      <c r="V4251" s="8">
        <f>IF(D4251="",0,IF(OR(AND(P4251&lt;&gt;"",S4251=""),AND(N(J4251)&gt;0,N(K4251)&lt;J4251),OR(M4251="PENDENTE",M4251="PARCIAL"),OR(N4251="PENDENTE",N4251="PARCIAL")),1,0))</f>
        <v/>
      </c>
      <c r="W4251" s="8">
        <f>IF(AND(V4251=1,D4251&lt;&gt;""),IF(D4251&gt;=corte,(B4251="CRÍTICO")*1E9+(100000-D4251)*10000+10000-ROW(),""),"")</f>
        <v/>
      </c>
      <c r="X4251" s="8">
        <f>IF(AND(V4251=1,D4251=pas_data,E4251=pas_turno),10000-ROW(),"")</f>
        <v/>
      </c>
    </row>
    <row r="4252">
      <c r="A4252" s="3">
        <f>IF(D4252="","","TT-"&amp;TEXT(ROW()-1,"00000"))</f>
        <v/>
      </c>
      <c r="B4252" s="3">
        <f>IF(D4252="","",IF(V4252=0,"CONCLUÍDO",IF(D4252&lt;corte,"HISTÓRICO",IF(OR(AND(ISNUMBER(R4252),R4252&lt;TODAY()),AND(OR(N4252="PENDENTE",N4252="PARCIAL"),D4252&lt;TODAY()-1)),"CRÍTICO",IF(OR(AND(P4252&lt;&gt;"",S4252=""),AND(N4252="REALIZADO",M4252="PENDENTE"),AND(ISNUMBER(R4252),R4252=TODAY())),"ATENÇÃO",IF(N(K4252)=0,"PENDENTE","EM ANDAMENTO"))))))</f>
        <v/>
      </c>
      <c r="C4252" s="3">
        <f>IF(D4252="","",IF(V4252=0,"🟢 OK",IF(D4252&lt;corte,"⚪ HISTÓRICO (sem baixa)",IF(AND(ISNUMBER(R4252),R4252&lt;TODAY()),"🔴 PRAZO VENCIDO",IF(AND(OR(N4252="PENDENTE",N4252="PARCIAL"),D4252&lt;TODAY()-1),"🔴 EMBARQUE ATRASADO",IF(AND(N4252="REALIZADO",M4252="PENDENTE"),"🟡 EMBARCADO SEM FATURAR",IF(AND(P4252&lt;&gt;"",S4252="",OR(Q4252="",R4252="")),"🟡 PENDÊNCIA SEM RESPONSÁVEL/PRAZO",IF(AND(ISNUMBER(R4252),R4252=TODAY()),"🟡 VENCE HOJE",IF(AND(P4252&lt;&gt;"",S4252=""),"🟡 PENDÊNCIA ABERTA",IF(AND(N(J4252)&gt;0,N(K4252)&lt;J4252),"🟡 FALTA EXECUTAR",IF(OR(M4252="PENDENTE",M4252="PARCIAL"),"🟡 FATURAMENTO PENDENTE","🟡 EMBARQUE PENDENTE")))))))))))</f>
        <v/>
      </c>
      <c r="D4252" s="4" t="n"/>
      <c r="E4252" s="5" t="n"/>
      <c r="F4252" s="5" t="n"/>
      <c r="G4252" s="5" t="n"/>
      <c r="H4252" s="5" t="n"/>
      <c r="I4252" s="5" t="n"/>
      <c r="J4252" s="6" t="n"/>
      <c r="K4252" s="6" t="n"/>
      <c r="L4252" s="7">
        <f>IF(OR(D4252="",N(J4252)=0),"",MIN(1,N(K4252)/J4252))</f>
        <v/>
      </c>
      <c r="M4252" s="5" t="n"/>
      <c r="N4252" s="5" t="n"/>
      <c r="O4252" s="5" t="n"/>
      <c r="P4252" s="5" t="n"/>
      <c r="Q4252" s="5" t="n"/>
      <c r="R4252" s="4" t="n"/>
      <c r="S4252" s="4" t="n"/>
      <c r="T4252" s="5" t="n"/>
      <c r="U4252" s="8">
        <f>IF(AND(V4252=1,D4252&lt;&gt;""),IF(D4252&gt;=corte,TODAY()-D4252,""),"")</f>
        <v/>
      </c>
      <c r="V4252" s="8">
        <f>IF(D4252="",0,IF(OR(AND(P4252&lt;&gt;"",S4252=""),AND(N(J4252)&gt;0,N(K4252)&lt;J4252),OR(M4252="PENDENTE",M4252="PARCIAL"),OR(N4252="PENDENTE",N4252="PARCIAL")),1,0))</f>
        <v/>
      </c>
      <c r="W4252" s="8">
        <f>IF(AND(V4252=1,D4252&lt;&gt;""),IF(D4252&gt;=corte,(B4252="CRÍTICO")*1E9+(100000-D4252)*10000+10000-ROW(),""),"")</f>
        <v/>
      </c>
      <c r="X4252" s="8">
        <f>IF(AND(V4252=1,D4252=pas_data,E4252=pas_turno),10000-ROW(),"")</f>
        <v/>
      </c>
    </row>
    <row r="4253">
      <c r="A4253" s="3">
        <f>IF(D4253="","","TT-"&amp;TEXT(ROW()-1,"00000"))</f>
        <v/>
      </c>
      <c r="B4253" s="3">
        <f>IF(D4253="","",IF(V4253=0,"CONCLUÍDO",IF(D4253&lt;corte,"HISTÓRICO",IF(OR(AND(ISNUMBER(R4253),R4253&lt;TODAY()),AND(OR(N4253="PENDENTE",N4253="PARCIAL"),D4253&lt;TODAY()-1)),"CRÍTICO",IF(OR(AND(P4253&lt;&gt;"",S4253=""),AND(N4253="REALIZADO",M4253="PENDENTE"),AND(ISNUMBER(R4253),R4253=TODAY())),"ATENÇÃO",IF(N(K4253)=0,"PENDENTE","EM ANDAMENTO"))))))</f>
        <v/>
      </c>
      <c r="C4253" s="3">
        <f>IF(D4253="","",IF(V4253=0,"🟢 OK",IF(D4253&lt;corte,"⚪ HISTÓRICO (sem baixa)",IF(AND(ISNUMBER(R4253),R4253&lt;TODAY()),"🔴 PRAZO VENCIDO",IF(AND(OR(N4253="PENDENTE",N4253="PARCIAL"),D4253&lt;TODAY()-1),"🔴 EMBARQUE ATRASADO",IF(AND(N4253="REALIZADO",M4253="PENDENTE"),"🟡 EMBARCADO SEM FATURAR",IF(AND(P4253&lt;&gt;"",S4253="",OR(Q4253="",R4253="")),"🟡 PENDÊNCIA SEM RESPONSÁVEL/PRAZO",IF(AND(ISNUMBER(R4253),R4253=TODAY()),"🟡 VENCE HOJE",IF(AND(P4253&lt;&gt;"",S4253=""),"🟡 PENDÊNCIA ABERTA",IF(AND(N(J4253)&gt;0,N(K4253)&lt;J4253),"🟡 FALTA EXECUTAR",IF(OR(M4253="PENDENTE",M4253="PARCIAL"),"🟡 FATURAMENTO PENDENTE","🟡 EMBARQUE PENDENTE")))))))))))</f>
        <v/>
      </c>
      <c r="D4253" s="4" t="n"/>
      <c r="E4253" s="5" t="n"/>
      <c r="F4253" s="5" t="n"/>
      <c r="G4253" s="5" t="n"/>
      <c r="H4253" s="5" t="n"/>
      <c r="I4253" s="5" t="n"/>
      <c r="J4253" s="6" t="n"/>
      <c r="K4253" s="6" t="n"/>
      <c r="L4253" s="7">
        <f>IF(OR(D4253="",N(J4253)=0),"",MIN(1,N(K4253)/J4253))</f>
        <v/>
      </c>
      <c r="M4253" s="5" t="n"/>
      <c r="N4253" s="5" t="n"/>
      <c r="O4253" s="5" t="n"/>
      <c r="P4253" s="5" t="n"/>
      <c r="Q4253" s="5" t="n"/>
      <c r="R4253" s="4" t="n"/>
      <c r="S4253" s="4" t="n"/>
      <c r="T4253" s="5" t="n"/>
      <c r="U4253" s="8">
        <f>IF(AND(V4253=1,D4253&lt;&gt;""),IF(D4253&gt;=corte,TODAY()-D4253,""),"")</f>
        <v/>
      </c>
      <c r="V4253" s="8">
        <f>IF(D4253="",0,IF(OR(AND(P4253&lt;&gt;"",S4253=""),AND(N(J4253)&gt;0,N(K4253)&lt;J4253),OR(M4253="PENDENTE",M4253="PARCIAL"),OR(N4253="PENDENTE",N4253="PARCIAL")),1,0))</f>
        <v/>
      </c>
      <c r="W4253" s="8">
        <f>IF(AND(V4253=1,D4253&lt;&gt;""),IF(D4253&gt;=corte,(B4253="CRÍTICO")*1E9+(100000-D4253)*10000+10000-ROW(),""),"")</f>
        <v/>
      </c>
      <c r="X4253" s="8">
        <f>IF(AND(V4253=1,D4253=pas_data,E4253=pas_turno),10000-ROW(),"")</f>
        <v/>
      </c>
    </row>
    <row r="4254">
      <c r="A4254" s="3">
        <f>IF(D4254="","","TT-"&amp;TEXT(ROW()-1,"00000"))</f>
        <v/>
      </c>
      <c r="B4254" s="3">
        <f>IF(D4254="","",IF(V4254=0,"CONCLUÍDO",IF(D4254&lt;corte,"HISTÓRICO",IF(OR(AND(ISNUMBER(R4254),R4254&lt;TODAY()),AND(OR(N4254="PENDENTE",N4254="PARCIAL"),D4254&lt;TODAY()-1)),"CRÍTICO",IF(OR(AND(P4254&lt;&gt;"",S4254=""),AND(N4254="REALIZADO",M4254="PENDENTE"),AND(ISNUMBER(R4254),R4254=TODAY())),"ATENÇÃO",IF(N(K4254)=0,"PENDENTE","EM ANDAMENTO"))))))</f>
        <v/>
      </c>
      <c r="C4254" s="3">
        <f>IF(D4254="","",IF(V4254=0,"🟢 OK",IF(D4254&lt;corte,"⚪ HISTÓRICO (sem baixa)",IF(AND(ISNUMBER(R4254),R4254&lt;TODAY()),"🔴 PRAZO VENCIDO",IF(AND(OR(N4254="PENDENTE",N4254="PARCIAL"),D4254&lt;TODAY()-1),"🔴 EMBARQUE ATRASADO",IF(AND(N4254="REALIZADO",M4254="PENDENTE"),"🟡 EMBARCADO SEM FATURAR",IF(AND(P4254&lt;&gt;"",S4254="",OR(Q4254="",R4254="")),"🟡 PENDÊNCIA SEM RESPONSÁVEL/PRAZO",IF(AND(ISNUMBER(R4254),R4254=TODAY()),"🟡 VENCE HOJE",IF(AND(P4254&lt;&gt;"",S4254=""),"🟡 PENDÊNCIA ABERTA",IF(AND(N(J4254)&gt;0,N(K4254)&lt;J4254),"🟡 FALTA EXECUTAR",IF(OR(M4254="PENDENTE",M4254="PARCIAL"),"🟡 FATURAMENTO PENDENTE","🟡 EMBARQUE PENDENTE")))))))))))</f>
        <v/>
      </c>
      <c r="D4254" s="4" t="n"/>
      <c r="E4254" s="5" t="n"/>
      <c r="F4254" s="5" t="n"/>
      <c r="G4254" s="5" t="n"/>
      <c r="H4254" s="5" t="n"/>
      <c r="I4254" s="5" t="n"/>
      <c r="J4254" s="6" t="n"/>
      <c r="K4254" s="6" t="n"/>
      <c r="L4254" s="7">
        <f>IF(OR(D4254="",N(J4254)=0),"",MIN(1,N(K4254)/J4254))</f>
        <v/>
      </c>
      <c r="M4254" s="5" t="n"/>
      <c r="N4254" s="5" t="n"/>
      <c r="O4254" s="5" t="n"/>
      <c r="P4254" s="5" t="n"/>
      <c r="Q4254" s="5" t="n"/>
      <c r="R4254" s="4" t="n"/>
      <c r="S4254" s="4" t="n"/>
      <c r="T4254" s="5" t="n"/>
      <c r="U4254" s="8">
        <f>IF(AND(V4254=1,D4254&lt;&gt;""),IF(D4254&gt;=corte,TODAY()-D4254,""),"")</f>
        <v/>
      </c>
      <c r="V4254" s="8">
        <f>IF(D4254="",0,IF(OR(AND(P4254&lt;&gt;"",S4254=""),AND(N(J4254)&gt;0,N(K4254)&lt;J4254),OR(M4254="PENDENTE",M4254="PARCIAL"),OR(N4254="PENDENTE",N4254="PARCIAL")),1,0))</f>
        <v/>
      </c>
      <c r="W4254" s="8">
        <f>IF(AND(V4254=1,D4254&lt;&gt;""),IF(D4254&gt;=corte,(B4254="CRÍTICO")*1E9+(100000-D4254)*10000+10000-ROW(),""),"")</f>
        <v/>
      </c>
      <c r="X4254" s="8">
        <f>IF(AND(V4254=1,D4254=pas_data,E4254=pas_turno),10000-ROW(),"")</f>
        <v/>
      </c>
    </row>
    <row r="4255">
      <c r="A4255" s="3">
        <f>IF(D4255="","","TT-"&amp;TEXT(ROW()-1,"00000"))</f>
        <v/>
      </c>
      <c r="B4255" s="3">
        <f>IF(D4255="","",IF(V4255=0,"CONCLUÍDO",IF(D4255&lt;corte,"HISTÓRICO",IF(OR(AND(ISNUMBER(R4255),R4255&lt;TODAY()),AND(OR(N4255="PENDENTE",N4255="PARCIAL"),D4255&lt;TODAY()-1)),"CRÍTICO",IF(OR(AND(P4255&lt;&gt;"",S4255=""),AND(N4255="REALIZADO",M4255="PENDENTE"),AND(ISNUMBER(R4255),R4255=TODAY())),"ATENÇÃO",IF(N(K4255)=0,"PENDENTE","EM ANDAMENTO"))))))</f>
        <v/>
      </c>
      <c r="C4255" s="3">
        <f>IF(D4255="","",IF(V4255=0,"🟢 OK",IF(D4255&lt;corte,"⚪ HISTÓRICO (sem baixa)",IF(AND(ISNUMBER(R4255),R4255&lt;TODAY()),"🔴 PRAZO VENCIDO",IF(AND(OR(N4255="PENDENTE",N4255="PARCIAL"),D4255&lt;TODAY()-1),"🔴 EMBARQUE ATRASADO",IF(AND(N4255="REALIZADO",M4255="PENDENTE"),"🟡 EMBARCADO SEM FATURAR",IF(AND(P4255&lt;&gt;"",S4255="",OR(Q4255="",R4255="")),"🟡 PENDÊNCIA SEM RESPONSÁVEL/PRAZO",IF(AND(ISNUMBER(R4255),R4255=TODAY()),"🟡 VENCE HOJE",IF(AND(P4255&lt;&gt;"",S4255=""),"🟡 PENDÊNCIA ABERTA",IF(AND(N(J4255)&gt;0,N(K4255)&lt;J4255),"🟡 FALTA EXECUTAR",IF(OR(M4255="PENDENTE",M4255="PARCIAL"),"🟡 FATURAMENTO PENDENTE","🟡 EMBARQUE PENDENTE")))))))))))</f>
        <v/>
      </c>
      <c r="D4255" s="4" t="n"/>
      <c r="E4255" s="5" t="n"/>
      <c r="F4255" s="5" t="n"/>
      <c r="G4255" s="5" t="n"/>
      <c r="H4255" s="5" t="n"/>
      <c r="I4255" s="5" t="n"/>
      <c r="J4255" s="6" t="n"/>
      <c r="K4255" s="6" t="n"/>
      <c r="L4255" s="7">
        <f>IF(OR(D4255="",N(J4255)=0),"",MIN(1,N(K4255)/J4255))</f>
        <v/>
      </c>
      <c r="M4255" s="5" t="n"/>
      <c r="N4255" s="5" t="n"/>
      <c r="O4255" s="5" t="n"/>
      <c r="P4255" s="5" t="n"/>
      <c r="Q4255" s="5" t="n"/>
      <c r="R4255" s="4" t="n"/>
      <c r="S4255" s="4" t="n"/>
      <c r="T4255" s="5" t="n"/>
      <c r="U4255" s="8">
        <f>IF(AND(V4255=1,D4255&lt;&gt;""),IF(D4255&gt;=corte,TODAY()-D4255,""),"")</f>
        <v/>
      </c>
      <c r="V4255" s="8">
        <f>IF(D4255="",0,IF(OR(AND(P4255&lt;&gt;"",S4255=""),AND(N(J4255)&gt;0,N(K4255)&lt;J4255),OR(M4255="PENDENTE",M4255="PARCIAL"),OR(N4255="PENDENTE",N4255="PARCIAL")),1,0))</f>
        <v/>
      </c>
      <c r="W4255" s="8">
        <f>IF(AND(V4255=1,D4255&lt;&gt;""),IF(D4255&gt;=corte,(B4255="CRÍTICO")*1E9+(100000-D4255)*10000+10000-ROW(),""),"")</f>
        <v/>
      </c>
      <c r="X4255" s="8">
        <f>IF(AND(V4255=1,D4255=pas_data,E4255=pas_turno),10000-ROW(),"")</f>
        <v/>
      </c>
    </row>
    <row r="4256">
      <c r="A4256" s="3">
        <f>IF(D4256="","","TT-"&amp;TEXT(ROW()-1,"00000"))</f>
        <v/>
      </c>
      <c r="B4256" s="3">
        <f>IF(D4256="","",IF(V4256=0,"CONCLUÍDO",IF(D4256&lt;corte,"HISTÓRICO",IF(OR(AND(ISNUMBER(R4256),R4256&lt;TODAY()),AND(OR(N4256="PENDENTE",N4256="PARCIAL"),D4256&lt;TODAY()-1)),"CRÍTICO",IF(OR(AND(P4256&lt;&gt;"",S4256=""),AND(N4256="REALIZADO",M4256="PENDENTE"),AND(ISNUMBER(R4256),R4256=TODAY())),"ATENÇÃO",IF(N(K4256)=0,"PENDENTE","EM ANDAMENTO"))))))</f>
        <v/>
      </c>
      <c r="C4256" s="3">
        <f>IF(D4256="","",IF(V4256=0,"🟢 OK",IF(D4256&lt;corte,"⚪ HISTÓRICO (sem baixa)",IF(AND(ISNUMBER(R4256),R4256&lt;TODAY()),"🔴 PRAZO VENCIDO",IF(AND(OR(N4256="PENDENTE",N4256="PARCIAL"),D4256&lt;TODAY()-1),"🔴 EMBARQUE ATRASADO",IF(AND(N4256="REALIZADO",M4256="PENDENTE"),"🟡 EMBARCADO SEM FATURAR",IF(AND(P4256&lt;&gt;"",S4256="",OR(Q4256="",R4256="")),"🟡 PENDÊNCIA SEM RESPONSÁVEL/PRAZO",IF(AND(ISNUMBER(R4256),R4256=TODAY()),"🟡 VENCE HOJE",IF(AND(P4256&lt;&gt;"",S4256=""),"🟡 PENDÊNCIA ABERTA",IF(AND(N(J4256)&gt;0,N(K4256)&lt;J4256),"🟡 FALTA EXECUTAR",IF(OR(M4256="PENDENTE",M4256="PARCIAL"),"🟡 FATURAMENTO PENDENTE","🟡 EMBARQUE PENDENTE")))))))))))</f>
        <v/>
      </c>
      <c r="D4256" s="4" t="n"/>
      <c r="E4256" s="5" t="n"/>
      <c r="F4256" s="5" t="n"/>
      <c r="G4256" s="5" t="n"/>
      <c r="H4256" s="5" t="n"/>
      <c r="I4256" s="5" t="n"/>
      <c r="J4256" s="6" t="n"/>
      <c r="K4256" s="6" t="n"/>
      <c r="L4256" s="7">
        <f>IF(OR(D4256="",N(J4256)=0),"",MIN(1,N(K4256)/J4256))</f>
        <v/>
      </c>
      <c r="M4256" s="5" t="n"/>
      <c r="N4256" s="5" t="n"/>
      <c r="O4256" s="5" t="n"/>
      <c r="P4256" s="5" t="n"/>
      <c r="Q4256" s="5" t="n"/>
      <c r="R4256" s="4" t="n"/>
      <c r="S4256" s="4" t="n"/>
      <c r="T4256" s="5" t="n"/>
      <c r="U4256" s="8">
        <f>IF(AND(V4256=1,D4256&lt;&gt;""),IF(D4256&gt;=corte,TODAY()-D4256,""),"")</f>
        <v/>
      </c>
      <c r="V4256" s="8">
        <f>IF(D4256="",0,IF(OR(AND(P4256&lt;&gt;"",S4256=""),AND(N(J4256)&gt;0,N(K4256)&lt;J4256),OR(M4256="PENDENTE",M4256="PARCIAL"),OR(N4256="PENDENTE",N4256="PARCIAL")),1,0))</f>
        <v/>
      </c>
      <c r="W4256" s="8">
        <f>IF(AND(V4256=1,D4256&lt;&gt;""),IF(D4256&gt;=corte,(B4256="CRÍTICO")*1E9+(100000-D4256)*10000+10000-ROW(),""),"")</f>
        <v/>
      </c>
      <c r="X4256" s="8">
        <f>IF(AND(V4256=1,D4256=pas_data,E4256=pas_turno),10000-ROW(),"")</f>
        <v/>
      </c>
    </row>
    <row r="4257">
      <c r="A4257" s="3">
        <f>IF(D4257="","","TT-"&amp;TEXT(ROW()-1,"00000"))</f>
        <v/>
      </c>
      <c r="B4257" s="3">
        <f>IF(D4257="","",IF(V4257=0,"CONCLUÍDO",IF(D4257&lt;corte,"HISTÓRICO",IF(OR(AND(ISNUMBER(R4257),R4257&lt;TODAY()),AND(OR(N4257="PENDENTE",N4257="PARCIAL"),D4257&lt;TODAY()-1)),"CRÍTICO",IF(OR(AND(P4257&lt;&gt;"",S4257=""),AND(N4257="REALIZADO",M4257="PENDENTE"),AND(ISNUMBER(R4257),R4257=TODAY())),"ATENÇÃO",IF(N(K4257)=0,"PENDENTE","EM ANDAMENTO"))))))</f>
        <v/>
      </c>
      <c r="C4257" s="3">
        <f>IF(D4257="","",IF(V4257=0,"🟢 OK",IF(D4257&lt;corte,"⚪ HISTÓRICO (sem baixa)",IF(AND(ISNUMBER(R4257),R4257&lt;TODAY()),"🔴 PRAZO VENCIDO",IF(AND(OR(N4257="PENDENTE",N4257="PARCIAL"),D4257&lt;TODAY()-1),"🔴 EMBARQUE ATRASADO",IF(AND(N4257="REALIZADO",M4257="PENDENTE"),"🟡 EMBARCADO SEM FATURAR",IF(AND(P4257&lt;&gt;"",S4257="",OR(Q4257="",R4257="")),"🟡 PENDÊNCIA SEM RESPONSÁVEL/PRAZO",IF(AND(ISNUMBER(R4257),R4257=TODAY()),"🟡 VENCE HOJE",IF(AND(P4257&lt;&gt;"",S4257=""),"🟡 PENDÊNCIA ABERTA",IF(AND(N(J4257)&gt;0,N(K4257)&lt;J4257),"🟡 FALTA EXECUTAR",IF(OR(M4257="PENDENTE",M4257="PARCIAL"),"🟡 FATURAMENTO PENDENTE","🟡 EMBARQUE PENDENTE")))))))))))</f>
        <v/>
      </c>
      <c r="D4257" s="4" t="n"/>
      <c r="E4257" s="5" t="n"/>
      <c r="F4257" s="5" t="n"/>
      <c r="G4257" s="5" t="n"/>
      <c r="H4257" s="5" t="n"/>
      <c r="I4257" s="5" t="n"/>
      <c r="J4257" s="6" t="n"/>
      <c r="K4257" s="6" t="n"/>
      <c r="L4257" s="7">
        <f>IF(OR(D4257="",N(J4257)=0),"",MIN(1,N(K4257)/J4257))</f>
        <v/>
      </c>
      <c r="M4257" s="5" t="n"/>
      <c r="N4257" s="5" t="n"/>
      <c r="O4257" s="5" t="n"/>
      <c r="P4257" s="5" t="n"/>
      <c r="Q4257" s="5" t="n"/>
      <c r="R4257" s="4" t="n"/>
      <c r="S4257" s="4" t="n"/>
      <c r="T4257" s="5" t="n"/>
      <c r="U4257" s="8">
        <f>IF(AND(V4257=1,D4257&lt;&gt;""),IF(D4257&gt;=corte,TODAY()-D4257,""),"")</f>
        <v/>
      </c>
      <c r="V4257" s="8">
        <f>IF(D4257="",0,IF(OR(AND(P4257&lt;&gt;"",S4257=""),AND(N(J4257)&gt;0,N(K4257)&lt;J4257),OR(M4257="PENDENTE",M4257="PARCIAL"),OR(N4257="PENDENTE",N4257="PARCIAL")),1,0))</f>
        <v/>
      </c>
      <c r="W4257" s="8">
        <f>IF(AND(V4257=1,D4257&lt;&gt;""),IF(D4257&gt;=corte,(B4257="CRÍTICO")*1E9+(100000-D4257)*10000+10000-ROW(),""),"")</f>
        <v/>
      </c>
      <c r="X4257" s="8">
        <f>IF(AND(V4257=1,D4257=pas_data,E4257=pas_turno),10000-ROW(),"")</f>
        <v/>
      </c>
    </row>
    <row r="4258">
      <c r="A4258" s="3">
        <f>IF(D4258="","","TT-"&amp;TEXT(ROW()-1,"00000"))</f>
        <v/>
      </c>
      <c r="B4258" s="3">
        <f>IF(D4258="","",IF(V4258=0,"CONCLUÍDO",IF(D4258&lt;corte,"HISTÓRICO",IF(OR(AND(ISNUMBER(R4258),R4258&lt;TODAY()),AND(OR(N4258="PENDENTE",N4258="PARCIAL"),D4258&lt;TODAY()-1)),"CRÍTICO",IF(OR(AND(P4258&lt;&gt;"",S4258=""),AND(N4258="REALIZADO",M4258="PENDENTE"),AND(ISNUMBER(R4258),R4258=TODAY())),"ATENÇÃO",IF(N(K4258)=0,"PENDENTE","EM ANDAMENTO"))))))</f>
        <v/>
      </c>
      <c r="C4258" s="3">
        <f>IF(D4258="","",IF(V4258=0,"🟢 OK",IF(D4258&lt;corte,"⚪ HISTÓRICO (sem baixa)",IF(AND(ISNUMBER(R4258),R4258&lt;TODAY()),"🔴 PRAZO VENCIDO",IF(AND(OR(N4258="PENDENTE",N4258="PARCIAL"),D4258&lt;TODAY()-1),"🔴 EMBARQUE ATRASADO",IF(AND(N4258="REALIZADO",M4258="PENDENTE"),"🟡 EMBARCADO SEM FATURAR",IF(AND(P4258&lt;&gt;"",S4258="",OR(Q4258="",R4258="")),"🟡 PENDÊNCIA SEM RESPONSÁVEL/PRAZO",IF(AND(ISNUMBER(R4258),R4258=TODAY()),"🟡 VENCE HOJE",IF(AND(P4258&lt;&gt;"",S4258=""),"🟡 PENDÊNCIA ABERTA",IF(AND(N(J4258)&gt;0,N(K4258)&lt;J4258),"🟡 FALTA EXECUTAR",IF(OR(M4258="PENDENTE",M4258="PARCIAL"),"🟡 FATURAMENTO PENDENTE","🟡 EMBARQUE PENDENTE")))))))))))</f>
        <v/>
      </c>
      <c r="D4258" s="4" t="n"/>
      <c r="E4258" s="5" t="n"/>
      <c r="F4258" s="5" t="n"/>
      <c r="G4258" s="5" t="n"/>
      <c r="H4258" s="5" t="n"/>
      <c r="I4258" s="5" t="n"/>
      <c r="J4258" s="6" t="n"/>
      <c r="K4258" s="6" t="n"/>
      <c r="L4258" s="7">
        <f>IF(OR(D4258="",N(J4258)=0),"",MIN(1,N(K4258)/J4258))</f>
        <v/>
      </c>
      <c r="M4258" s="5" t="n"/>
      <c r="N4258" s="5" t="n"/>
      <c r="O4258" s="5" t="n"/>
      <c r="P4258" s="5" t="n"/>
      <c r="Q4258" s="5" t="n"/>
      <c r="R4258" s="4" t="n"/>
      <c r="S4258" s="4" t="n"/>
      <c r="T4258" s="5" t="n"/>
      <c r="U4258" s="8">
        <f>IF(AND(V4258=1,D4258&lt;&gt;""),IF(D4258&gt;=corte,TODAY()-D4258,""),"")</f>
        <v/>
      </c>
      <c r="V4258" s="8">
        <f>IF(D4258="",0,IF(OR(AND(P4258&lt;&gt;"",S4258=""),AND(N(J4258)&gt;0,N(K4258)&lt;J4258),OR(M4258="PENDENTE",M4258="PARCIAL"),OR(N4258="PENDENTE",N4258="PARCIAL")),1,0))</f>
        <v/>
      </c>
      <c r="W4258" s="8">
        <f>IF(AND(V4258=1,D4258&lt;&gt;""),IF(D4258&gt;=corte,(B4258="CRÍTICO")*1E9+(100000-D4258)*10000+10000-ROW(),""),"")</f>
        <v/>
      </c>
      <c r="X4258" s="8">
        <f>IF(AND(V4258=1,D4258=pas_data,E4258=pas_turno),10000-ROW(),"")</f>
        <v/>
      </c>
    </row>
    <row r="4259">
      <c r="A4259" s="3">
        <f>IF(D4259="","","TT-"&amp;TEXT(ROW()-1,"00000"))</f>
        <v/>
      </c>
      <c r="B4259" s="3">
        <f>IF(D4259="","",IF(V4259=0,"CONCLUÍDO",IF(D4259&lt;corte,"HISTÓRICO",IF(OR(AND(ISNUMBER(R4259),R4259&lt;TODAY()),AND(OR(N4259="PENDENTE",N4259="PARCIAL"),D4259&lt;TODAY()-1)),"CRÍTICO",IF(OR(AND(P4259&lt;&gt;"",S4259=""),AND(N4259="REALIZADO",M4259="PENDENTE"),AND(ISNUMBER(R4259),R4259=TODAY())),"ATENÇÃO",IF(N(K4259)=0,"PENDENTE","EM ANDAMENTO"))))))</f>
        <v/>
      </c>
      <c r="C4259" s="3">
        <f>IF(D4259="","",IF(V4259=0,"🟢 OK",IF(D4259&lt;corte,"⚪ HISTÓRICO (sem baixa)",IF(AND(ISNUMBER(R4259),R4259&lt;TODAY()),"🔴 PRAZO VENCIDO",IF(AND(OR(N4259="PENDENTE",N4259="PARCIAL"),D4259&lt;TODAY()-1),"🔴 EMBARQUE ATRASADO",IF(AND(N4259="REALIZADO",M4259="PENDENTE"),"🟡 EMBARCADO SEM FATURAR",IF(AND(P4259&lt;&gt;"",S4259="",OR(Q4259="",R4259="")),"🟡 PENDÊNCIA SEM RESPONSÁVEL/PRAZO",IF(AND(ISNUMBER(R4259),R4259=TODAY()),"🟡 VENCE HOJE",IF(AND(P4259&lt;&gt;"",S4259=""),"🟡 PENDÊNCIA ABERTA",IF(AND(N(J4259)&gt;0,N(K4259)&lt;J4259),"🟡 FALTA EXECUTAR",IF(OR(M4259="PENDENTE",M4259="PARCIAL"),"🟡 FATURAMENTO PENDENTE","🟡 EMBARQUE PENDENTE")))))))))))</f>
        <v/>
      </c>
      <c r="D4259" s="4" t="n"/>
      <c r="E4259" s="5" t="n"/>
      <c r="F4259" s="5" t="n"/>
      <c r="G4259" s="5" t="n"/>
      <c r="H4259" s="5" t="n"/>
      <c r="I4259" s="5" t="n"/>
      <c r="J4259" s="6" t="n"/>
      <c r="K4259" s="6" t="n"/>
      <c r="L4259" s="7">
        <f>IF(OR(D4259="",N(J4259)=0),"",MIN(1,N(K4259)/J4259))</f>
        <v/>
      </c>
      <c r="M4259" s="5" t="n"/>
      <c r="N4259" s="5" t="n"/>
      <c r="O4259" s="5" t="n"/>
      <c r="P4259" s="5" t="n"/>
      <c r="Q4259" s="5" t="n"/>
      <c r="R4259" s="4" t="n"/>
      <c r="S4259" s="4" t="n"/>
      <c r="T4259" s="5" t="n"/>
      <c r="U4259" s="8">
        <f>IF(AND(V4259=1,D4259&lt;&gt;""),IF(D4259&gt;=corte,TODAY()-D4259,""),"")</f>
        <v/>
      </c>
      <c r="V4259" s="8">
        <f>IF(D4259="",0,IF(OR(AND(P4259&lt;&gt;"",S4259=""),AND(N(J4259)&gt;0,N(K4259)&lt;J4259),OR(M4259="PENDENTE",M4259="PARCIAL"),OR(N4259="PENDENTE",N4259="PARCIAL")),1,0))</f>
        <v/>
      </c>
      <c r="W4259" s="8">
        <f>IF(AND(V4259=1,D4259&lt;&gt;""),IF(D4259&gt;=corte,(B4259="CRÍTICO")*1E9+(100000-D4259)*10000+10000-ROW(),""),"")</f>
        <v/>
      </c>
      <c r="X4259" s="8">
        <f>IF(AND(V4259=1,D4259=pas_data,E4259=pas_turno),10000-ROW(),"")</f>
        <v/>
      </c>
    </row>
    <row r="4260">
      <c r="A4260" s="3">
        <f>IF(D4260="","","TT-"&amp;TEXT(ROW()-1,"00000"))</f>
        <v/>
      </c>
      <c r="B4260" s="3">
        <f>IF(D4260="","",IF(V4260=0,"CONCLUÍDO",IF(D4260&lt;corte,"HISTÓRICO",IF(OR(AND(ISNUMBER(R4260),R4260&lt;TODAY()),AND(OR(N4260="PENDENTE",N4260="PARCIAL"),D4260&lt;TODAY()-1)),"CRÍTICO",IF(OR(AND(P4260&lt;&gt;"",S4260=""),AND(N4260="REALIZADO",M4260="PENDENTE"),AND(ISNUMBER(R4260),R4260=TODAY())),"ATENÇÃO",IF(N(K4260)=0,"PENDENTE","EM ANDAMENTO"))))))</f>
        <v/>
      </c>
      <c r="C4260" s="3">
        <f>IF(D4260="","",IF(V4260=0,"🟢 OK",IF(D4260&lt;corte,"⚪ HISTÓRICO (sem baixa)",IF(AND(ISNUMBER(R4260),R4260&lt;TODAY()),"🔴 PRAZO VENCIDO",IF(AND(OR(N4260="PENDENTE",N4260="PARCIAL"),D4260&lt;TODAY()-1),"🔴 EMBARQUE ATRASADO",IF(AND(N4260="REALIZADO",M4260="PENDENTE"),"🟡 EMBARCADO SEM FATURAR",IF(AND(P4260&lt;&gt;"",S4260="",OR(Q4260="",R4260="")),"🟡 PENDÊNCIA SEM RESPONSÁVEL/PRAZO",IF(AND(ISNUMBER(R4260),R4260=TODAY()),"🟡 VENCE HOJE",IF(AND(P4260&lt;&gt;"",S4260=""),"🟡 PENDÊNCIA ABERTA",IF(AND(N(J4260)&gt;0,N(K4260)&lt;J4260),"🟡 FALTA EXECUTAR",IF(OR(M4260="PENDENTE",M4260="PARCIAL"),"🟡 FATURAMENTO PENDENTE","🟡 EMBARQUE PENDENTE")))))))))))</f>
        <v/>
      </c>
      <c r="D4260" s="4" t="n"/>
      <c r="E4260" s="5" t="n"/>
      <c r="F4260" s="5" t="n"/>
      <c r="G4260" s="5" t="n"/>
      <c r="H4260" s="5" t="n"/>
      <c r="I4260" s="5" t="n"/>
      <c r="J4260" s="6" t="n"/>
      <c r="K4260" s="6" t="n"/>
      <c r="L4260" s="7">
        <f>IF(OR(D4260="",N(J4260)=0),"",MIN(1,N(K4260)/J4260))</f>
        <v/>
      </c>
      <c r="M4260" s="5" t="n"/>
      <c r="N4260" s="5" t="n"/>
      <c r="O4260" s="5" t="n"/>
      <c r="P4260" s="5" t="n"/>
      <c r="Q4260" s="5" t="n"/>
      <c r="R4260" s="4" t="n"/>
      <c r="S4260" s="4" t="n"/>
      <c r="T4260" s="5" t="n"/>
      <c r="U4260" s="8">
        <f>IF(AND(V4260=1,D4260&lt;&gt;""),IF(D4260&gt;=corte,TODAY()-D4260,""),"")</f>
        <v/>
      </c>
      <c r="V4260" s="8">
        <f>IF(D4260="",0,IF(OR(AND(P4260&lt;&gt;"",S4260=""),AND(N(J4260)&gt;0,N(K4260)&lt;J4260),OR(M4260="PENDENTE",M4260="PARCIAL"),OR(N4260="PENDENTE",N4260="PARCIAL")),1,0))</f>
        <v/>
      </c>
      <c r="W4260" s="8">
        <f>IF(AND(V4260=1,D4260&lt;&gt;""),IF(D4260&gt;=corte,(B4260="CRÍTICO")*1E9+(100000-D4260)*10000+10000-ROW(),""),"")</f>
        <v/>
      </c>
      <c r="X4260" s="8">
        <f>IF(AND(V4260=1,D4260=pas_data,E4260=pas_turno),10000-ROW(),"")</f>
        <v/>
      </c>
    </row>
    <row r="4261">
      <c r="A4261" s="3">
        <f>IF(D4261="","","TT-"&amp;TEXT(ROW()-1,"00000"))</f>
        <v/>
      </c>
      <c r="B4261" s="3">
        <f>IF(D4261="","",IF(V4261=0,"CONCLUÍDO",IF(D4261&lt;corte,"HISTÓRICO",IF(OR(AND(ISNUMBER(R4261),R4261&lt;TODAY()),AND(OR(N4261="PENDENTE",N4261="PARCIAL"),D4261&lt;TODAY()-1)),"CRÍTICO",IF(OR(AND(P4261&lt;&gt;"",S4261=""),AND(N4261="REALIZADO",M4261="PENDENTE"),AND(ISNUMBER(R4261),R4261=TODAY())),"ATENÇÃO",IF(N(K4261)=0,"PENDENTE","EM ANDAMENTO"))))))</f>
        <v/>
      </c>
      <c r="C4261" s="3">
        <f>IF(D4261="","",IF(V4261=0,"🟢 OK",IF(D4261&lt;corte,"⚪ HISTÓRICO (sem baixa)",IF(AND(ISNUMBER(R4261),R4261&lt;TODAY()),"🔴 PRAZO VENCIDO",IF(AND(OR(N4261="PENDENTE",N4261="PARCIAL"),D4261&lt;TODAY()-1),"🔴 EMBARQUE ATRASADO",IF(AND(N4261="REALIZADO",M4261="PENDENTE"),"🟡 EMBARCADO SEM FATURAR",IF(AND(P4261&lt;&gt;"",S4261="",OR(Q4261="",R4261="")),"🟡 PENDÊNCIA SEM RESPONSÁVEL/PRAZO",IF(AND(ISNUMBER(R4261),R4261=TODAY()),"🟡 VENCE HOJE",IF(AND(P4261&lt;&gt;"",S4261=""),"🟡 PENDÊNCIA ABERTA",IF(AND(N(J4261)&gt;0,N(K4261)&lt;J4261),"🟡 FALTA EXECUTAR",IF(OR(M4261="PENDENTE",M4261="PARCIAL"),"🟡 FATURAMENTO PENDENTE","🟡 EMBARQUE PENDENTE")))))))))))</f>
        <v/>
      </c>
      <c r="D4261" s="4" t="n"/>
      <c r="E4261" s="5" t="n"/>
      <c r="F4261" s="5" t="n"/>
      <c r="G4261" s="5" t="n"/>
      <c r="H4261" s="5" t="n"/>
      <c r="I4261" s="5" t="n"/>
      <c r="J4261" s="6" t="n"/>
      <c r="K4261" s="6" t="n"/>
      <c r="L4261" s="7">
        <f>IF(OR(D4261="",N(J4261)=0),"",MIN(1,N(K4261)/J4261))</f>
        <v/>
      </c>
      <c r="M4261" s="5" t="n"/>
      <c r="N4261" s="5" t="n"/>
      <c r="O4261" s="5" t="n"/>
      <c r="P4261" s="5" t="n"/>
      <c r="Q4261" s="5" t="n"/>
      <c r="R4261" s="4" t="n"/>
      <c r="S4261" s="4" t="n"/>
      <c r="T4261" s="5" t="n"/>
      <c r="U4261" s="8">
        <f>IF(AND(V4261=1,D4261&lt;&gt;""),IF(D4261&gt;=corte,TODAY()-D4261,""),"")</f>
        <v/>
      </c>
      <c r="V4261" s="8">
        <f>IF(D4261="",0,IF(OR(AND(P4261&lt;&gt;"",S4261=""),AND(N(J4261)&gt;0,N(K4261)&lt;J4261),OR(M4261="PENDENTE",M4261="PARCIAL"),OR(N4261="PENDENTE",N4261="PARCIAL")),1,0))</f>
        <v/>
      </c>
      <c r="W4261" s="8">
        <f>IF(AND(V4261=1,D4261&lt;&gt;""),IF(D4261&gt;=corte,(B4261="CRÍTICO")*1E9+(100000-D4261)*10000+10000-ROW(),""),"")</f>
        <v/>
      </c>
      <c r="X4261" s="8">
        <f>IF(AND(V4261=1,D4261=pas_data,E4261=pas_turno),10000-ROW(),"")</f>
        <v/>
      </c>
    </row>
    <row r="4262">
      <c r="A4262" s="3">
        <f>IF(D4262="","","TT-"&amp;TEXT(ROW()-1,"00000"))</f>
        <v/>
      </c>
      <c r="B4262" s="3">
        <f>IF(D4262="","",IF(V4262=0,"CONCLUÍDO",IF(D4262&lt;corte,"HISTÓRICO",IF(OR(AND(ISNUMBER(R4262),R4262&lt;TODAY()),AND(OR(N4262="PENDENTE",N4262="PARCIAL"),D4262&lt;TODAY()-1)),"CRÍTICO",IF(OR(AND(P4262&lt;&gt;"",S4262=""),AND(N4262="REALIZADO",M4262="PENDENTE"),AND(ISNUMBER(R4262),R4262=TODAY())),"ATENÇÃO",IF(N(K4262)=0,"PENDENTE","EM ANDAMENTO"))))))</f>
        <v/>
      </c>
      <c r="C4262" s="3">
        <f>IF(D4262="","",IF(V4262=0,"🟢 OK",IF(D4262&lt;corte,"⚪ HISTÓRICO (sem baixa)",IF(AND(ISNUMBER(R4262),R4262&lt;TODAY()),"🔴 PRAZO VENCIDO",IF(AND(OR(N4262="PENDENTE",N4262="PARCIAL"),D4262&lt;TODAY()-1),"🔴 EMBARQUE ATRASADO",IF(AND(N4262="REALIZADO",M4262="PENDENTE"),"🟡 EMBARCADO SEM FATURAR",IF(AND(P4262&lt;&gt;"",S4262="",OR(Q4262="",R4262="")),"🟡 PENDÊNCIA SEM RESPONSÁVEL/PRAZO",IF(AND(ISNUMBER(R4262),R4262=TODAY()),"🟡 VENCE HOJE",IF(AND(P4262&lt;&gt;"",S4262=""),"🟡 PENDÊNCIA ABERTA",IF(AND(N(J4262)&gt;0,N(K4262)&lt;J4262),"🟡 FALTA EXECUTAR",IF(OR(M4262="PENDENTE",M4262="PARCIAL"),"🟡 FATURAMENTO PENDENTE","🟡 EMBARQUE PENDENTE")))))))))))</f>
        <v/>
      </c>
      <c r="D4262" s="4" t="n"/>
      <c r="E4262" s="5" t="n"/>
      <c r="F4262" s="5" t="n"/>
      <c r="G4262" s="5" t="n"/>
      <c r="H4262" s="5" t="n"/>
      <c r="I4262" s="5" t="n"/>
      <c r="J4262" s="6" t="n"/>
      <c r="K4262" s="6" t="n"/>
      <c r="L4262" s="7">
        <f>IF(OR(D4262="",N(J4262)=0),"",MIN(1,N(K4262)/J4262))</f>
        <v/>
      </c>
      <c r="M4262" s="5" t="n"/>
      <c r="N4262" s="5" t="n"/>
      <c r="O4262" s="5" t="n"/>
      <c r="P4262" s="5" t="n"/>
      <c r="Q4262" s="5" t="n"/>
      <c r="R4262" s="4" t="n"/>
      <c r="S4262" s="4" t="n"/>
      <c r="T4262" s="5" t="n"/>
      <c r="U4262" s="8">
        <f>IF(AND(V4262=1,D4262&lt;&gt;""),IF(D4262&gt;=corte,TODAY()-D4262,""),"")</f>
        <v/>
      </c>
      <c r="V4262" s="8">
        <f>IF(D4262="",0,IF(OR(AND(P4262&lt;&gt;"",S4262=""),AND(N(J4262)&gt;0,N(K4262)&lt;J4262),OR(M4262="PENDENTE",M4262="PARCIAL"),OR(N4262="PENDENTE",N4262="PARCIAL")),1,0))</f>
        <v/>
      </c>
      <c r="W4262" s="8">
        <f>IF(AND(V4262=1,D4262&lt;&gt;""),IF(D4262&gt;=corte,(B4262="CRÍTICO")*1E9+(100000-D4262)*10000+10000-ROW(),""),"")</f>
        <v/>
      </c>
      <c r="X4262" s="8">
        <f>IF(AND(V4262=1,D4262=pas_data,E4262=pas_turno),10000-ROW(),"")</f>
        <v/>
      </c>
    </row>
    <row r="4263">
      <c r="A4263" s="3">
        <f>IF(D4263="","","TT-"&amp;TEXT(ROW()-1,"00000"))</f>
        <v/>
      </c>
      <c r="B4263" s="3">
        <f>IF(D4263="","",IF(V4263=0,"CONCLUÍDO",IF(D4263&lt;corte,"HISTÓRICO",IF(OR(AND(ISNUMBER(R4263),R4263&lt;TODAY()),AND(OR(N4263="PENDENTE",N4263="PARCIAL"),D4263&lt;TODAY()-1)),"CRÍTICO",IF(OR(AND(P4263&lt;&gt;"",S4263=""),AND(N4263="REALIZADO",M4263="PENDENTE"),AND(ISNUMBER(R4263),R4263=TODAY())),"ATENÇÃO",IF(N(K4263)=0,"PENDENTE","EM ANDAMENTO"))))))</f>
        <v/>
      </c>
      <c r="C4263" s="3">
        <f>IF(D4263="","",IF(V4263=0,"🟢 OK",IF(D4263&lt;corte,"⚪ HISTÓRICO (sem baixa)",IF(AND(ISNUMBER(R4263),R4263&lt;TODAY()),"🔴 PRAZO VENCIDO",IF(AND(OR(N4263="PENDENTE",N4263="PARCIAL"),D4263&lt;TODAY()-1),"🔴 EMBARQUE ATRASADO",IF(AND(N4263="REALIZADO",M4263="PENDENTE"),"🟡 EMBARCADO SEM FATURAR",IF(AND(P4263&lt;&gt;"",S4263="",OR(Q4263="",R4263="")),"🟡 PENDÊNCIA SEM RESPONSÁVEL/PRAZO",IF(AND(ISNUMBER(R4263),R4263=TODAY()),"🟡 VENCE HOJE",IF(AND(P4263&lt;&gt;"",S4263=""),"🟡 PENDÊNCIA ABERTA",IF(AND(N(J4263)&gt;0,N(K4263)&lt;J4263),"🟡 FALTA EXECUTAR",IF(OR(M4263="PENDENTE",M4263="PARCIAL"),"🟡 FATURAMENTO PENDENTE","🟡 EMBARQUE PENDENTE")))))))))))</f>
        <v/>
      </c>
      <c r="D4263" s="4" t="n"/>
      <c r="E4263" s="5" t="n"/>
      <c r="F4263" s="5" t="n"/>
      <c r="G4263" s="5" t="n"/>
      <c r="H4263" s="5" t="n"/>
      <c r="I4263" s="5" t="n"/>
      <c r="J4263" s="6" t="n"/>
      <c r="K4263" s="6" t="n"/>
      <c r="L4263" s="7">
        <f>IF(OR(D4263="",N(J4263)=0),"",MIN(1,N(K4263)/J4263))</f>
        <v/>
      </c>
      <c r="M4263" s="5" t="n"/>
      <c r="N4263" s="5" t="n"/>
      <c r="O4263" s="5" t="n"/>
      <c r="P4263" s="5" t="n"/>
      <c r="Q4263" s="5" t="n"/>
      <c r="R4263" s="4" t="n"/>
      <c r="S4263" s="4" t="n"/>
      <c r="T4263" s="5" t="n"/>
      <c r="U4263" s="8">
        <f>IF(AND(V4263=1,D4263&lt;&gt;""),IF(D4263&gt;=corte,TODAY()-D4263,""),"")</f>
        <v/>
      </c>
      <c r="V4263" s="8">
        <f>IF(D4263="",0,IF(OR(AND(P4263&lt;&gt;"",S4263=""),AND(N(J4263)&gt;0,N(K4263)&lt;J4263),OR(M4263="PENDENTE",M4263="PARCIAL"),OR(N4263="PENDENTE",N4263="PARCIAL")),1,0))</f>
        <v/>
      </c>
      <c r="W4263" s="8">
        <f>IF(AND(V4263=1,D4263&lt;&gt;""),IF(D4263&gt;=corte,(B4263="CRÍTICO")*1E9+(100000-D4263)*10000+10000-ROW(),""),"")</f>
        <v/>
      </c>
      <c r="X4263" s="8">
        <f>IF(AND(V4263=1,D4263=pas_data,E4263=pas_turno),10000-ROW(),"")</f>
        <v/>
      </c>
    </row>
    <row r="4264">
      <c r="A4264" s="3">
        <f>IF(D4264="","","TT-"&amp;TEXT(ROW()-1,"00000"))</f>
        <v/>
      </c>
      <c r="B4264" s="3">
        <f>IF(D4264="","",IF(V4264=0,"CONCLUÍDO",IF(D4264&lt;corte,"HISTÓRICO",IF(OR(AND(ISNUMBER(R4264),R4264&lt;TODAY()),AND(OR(N4264="PENDENTE",N4264="PARCIAL"),D4264&lt;TODAY()-1)),"CRÍTICO",IF(OR(AND(P4264&lt;&gt;"",S4264=""),AND(N4264="REALIZADO",M4264="PENDENTE"),AND(ISNUMBER(R4264),R4264=TODAY())),"ATENÇÃO",IF(N(K4264)=0,"PENDENTE","EM ANDAMENTO"))))))</f>
        <v/>
      </c>
      <c r="C4264" s="3">
        <f>IF(D4264="","",IF(V4264=0,"🟢 OK",IF(D4264&lt;corte,"⚪ HISTÓRICO (sem baixa)",IF(AND(ISNUMBER(R4264),R4264&lt;TODAY()),"🔴 PRAZO VENCIDO",IF(AND(OR(N4264="PENDENTE",N4264="PARCIAL"),D4264&lt;TODAY()-1),"🔴 EMBARQUE ATRASADO",IF(AND(N4264="REALIZADO",M4264="PENDENTE"),"🟡 EMBARCADO SEM FATURAR",IF(AND(P4264&lt;&gt;"",S4264="",OR(Q4264="",R4264="")),"🟡 PENDÊNCIA SEM RESPONSÁVEL/PRAZO",IF(AND(ISNUMBER(R4264),R4264=TODAY()),"🟡 VENCE HOJE",IF(AND(P4264&lt;&gt;"",S4264=""),"🟡 PENDÊNCIA ABERTA",IF(AND(N(J4264)&gt;0,N(K4264)&lt;J4264),"🟡 FALTA EXECUTAR",IF(OR(M4264="PENDENTE",M4264="PARCIAL"),"🟡 FATURAMENTO PENDENTE","🟡 EMBARQUE PENDENTE")))))))))))</f>
        <v/>
      </c>
      <c r="D4264" s="4" t="n"/>
      <c r="E4264" s="5" t="n"/>
      <c r="F4264" s="5" t="n"/>
      <c r="G4264" s="5" t="n"/>
      <c r="H4264" s="5" t="n"/>
      <c r="I4264" s="5" t="n"/>
      <c r="J4264" s="6" t="n"/>
      <c r="K4264" s="6" t="n"/>
      <c r="L4264" s="7">
        <f>IF(OR(D4264="",N(J4264)=0),"",MIN(1,N(K4264)/J4264))</f>
        <v/>
      </c>
      <c r="M4264" s="5" t="n"/>
      <c r="N4264" s="5" t="n"/>
      <c r="O4264" s="5" t="n"/>
      <c r="P4264" s="5" t="n"/>
      <c r="Q4264" s="5" t="n"/>
      <c r="R4264" s="4" t="n"/>
      <c r="S4264" s="4" t="n"/>
      <c r="T4264" s="5" t="n"/>
      <c r="U4264" s="8">
        <f>IF(AND(V4264=1,D4264&lt;&gt;""),IF(D4264&gt;=corte,TODAY()-D4264,""),"")</f>
        <v/>
      </c>
      <c r="V4264" s="8">
        <f>IF(D4264="",0,IF(OR(AND(P4264&lt;&gt;"",S4264=""),AND(N(J4264)&gt;0,N(K4264)&lt;J4264),OR(M4264="PENDENTE",M4264="PARCIAL"),OR(N4264="PENDENTE",N4264="PARCIAL")),1,0))</f>
        <v/>
      </c>
      <c r="W4264" s="8">
        <f>IF(AND(V4264=1,D4264&lt;&gt;""),IF(D4264&gt;=corte,(B4264="CRÍTICO")*1E9+(100000-D4264)*10000+10000-ROW(),""),"")</f>
        <v/>
      </c>
      <c r="X4264" s="8">
        <f>IF(AND(V4264=1,D4264=pas_data,E4264=pas_turno),10000-ROW(),"")</f>
        <v/>
      </c>
    </row>
    <row r="4265">
      <c r="A4265" s="3">
        <f>IF(D4265="","","TT-"&amp;TEXT(ROW()-1,"00000"))</f>
        <v/>
      </c>
      <c r="B4265" s="3">
        <f>IF(D4265="","",IF(V4265=0,"CONCLUÍDO",IF(D4265&lt;corte,"HISTÓRICO",IF(OR(AND(ISNUMBER(R4265),R4265&lt;TODAY()),AND(OR(N4265="PENDENTE",N4265="PARCIAL"),D4265&lt;TODAY()-1)),"CRÍTICO",IF(OR(AND(P4265&lt;&gt;"",S4265=""),AND(N4265="REALIZADO",M4265="PENDENTE"),AND(ISNUMBER(R4265),R4265=TODAY())),"ATENÇÃO",IF(N(K4265)=0,"PENDENTE","EM ANDAMENTO"))))))</f>
        <v/>
      </c>
      <c r="C4265" s="3">
        <f>IF(D4265="","",IF(V4265=0,"🟢 OK",IF(D4265&lt;corte,"⚪ HISTÓRICO (sem baixa)",IF(AND(ISNUMBER(R4265),R4265&lt;TODAY()),"🔴 PRAZO VENCIDO",IF(AND(OR(N4265="PENDENTE",N4265="PARCIAL"),D4265&lt;TODAY()-1),"🔴 EMBARQUE ATRASADO",IF(AND(N4265="REALIZADO",M4265="PENDENTE"),"🟡 EMBARCADO SEM FATURAR",IF(AND(P4265&lt;&gt;"",S4265="",OR(Q4265="",R4265="")),"🟡 PENDÊNCIA SEM RESPONSÁVEL/PRAZO",IF(AND(ISNUMBER(R4265),R4265=TODAY()),"🟡 VENCE HOJE",IF(AND(P4265&lt;&gt;"",S4265=""),"🟡 PENDÊNCIA ABERTA",IF(AND(N(J4265)&gt;0,N(K4265)&lt;J4265),"🟡 FALTA EXECUTAR",IF(OR(M4265="PENDENTE",M4265="PARCIAL"),"🟡 FATURAMENTO PENDENTE","🟡 EMBARQUE PENDENTE")))))))))))</f>
        <v/>
      </c>
      <c r="D4265" s="4" t="n"/>
      <c r="E4265" s="5" t="n"/>
      <c r="F4265" s="5" t="n"/>
      <c r="G4265" s="5" t="n"/>
      <c r="H4265" s="5" t="n"/>
      <c r="I4265" s="5" t="n"/>
      <c r="J4265" s="6" t="n"/>
      <c r="K4265" s="6" t="n"/>
      <c r="L4265" s="7">
        <f>IF(OR(D4265="",N(J4265)=0),"",MIN(1,N(K4265)/J4265))</f>
        <v/>
      </c>
      <c r="M4265" s="5" t="n"/>
      <c r="N4265" s="5" t="n"/>
      <c r="O4265" s="5" t="n"/>
      <c r="P4265" s="5" t="n"/>
      <c r="Q4265" s="5" t="n"/>
      <c r="R4265" s="4" t="n"/>
      <c r="S4265" s="4" t="n"/>
      <c r="T4265" s="5" t="n"/>
      <c r="U4265" s="8">
        <f>IF(AND(V4265=1,D4265&lt;&gt;""),IF(D4265&gt;=corte,TODAY()-D4265,""),"")</f>
        <v/>
      </c>
      <c r="V4265" s="8">
        <f>IF(D4265="",0,IF(OR(AND(P4265&lt;&gt;"",S4265=""),AND(N(J4265)&gt;0,N(K4265)&lt;J4265),OR(M4265="PENDENTE",M4265="PARCIAL"),OR(N4265="PENDENTE",N4265="PARCIAL")),1,0))</f>
        <v/>
      </c>
      <c r="W4265" s="8">
        <f>IF(AND(V4265=1,D4265&lt;&gt;""),IF(D4265&gt;=corte,(B4265="CRÍTICO")*1E9+(100000-D4265)*10000+10000-ROW(),""),"")</f>
        <v/>
      </c>
      <c r="X4265" s="8">
        <f>IF(AND(V4265=1,D4265=pas_data,E4265=pas_turno),10000-ROW(),"")</f>
        <v/>
      </c>
    </row>
    <row r="4266">
      <c r="A4266" s="3">
        <f>IF(D4266="","","TT-"&amp;TEXT(ROW()-1,"00000"))</f>
        <v/>
      </c>
      <c r="B4266" s="3">
        <f>IF(D4266="","",IF(V4266=0,"CONCLUÍDO",IF(D4266&lt;corte,"HISTÓRICO",IF(OR(AND(ISNUMBER(R4266),R4266&lt;TODAY()),AND(OR(N4266="PENDENTE",N4266="PARCIAL"),D4266&lt;TODAY()-1)),"CRÍTICO",IF(OR(AND(P4266&lt;&gt;"",S4266=""),AND(N4266="REALIZADO",M4266="PENDENTE"),AND(ISNUMBER(R4266),R4266=TODAY())),"ATENÇÃO",IF(N(K4266)=0,"PENDENTE","EM ANDAMENTO"))))))</f>
        <v/>
      </c>
      <c r="C4266" s="3">
        <f>IF(D4266="","",IF(V4266=0,"🟢 OK",IF(D4266&lt;corte,"⚪ HISTÓRICO (sem baixa)",IF(AND(ISNUMBER(R4266),R4266&lt;TODAY()),"🔴 PRAZO VENCIDO",IF(AND(OR(N4266="PENDENTE",N4266="PARCIAL"),D4266&lt;TODAY()-1),"🔴 EMBARQUE ATRASADO",IF(AND(N4266="REALIZADO",M4266="PENDENTE"),"🟡 EMBARCADO SEM FATURAR",IF(AND(P4266&lt;&gt;"",S4266="",OR(Q4266="",R4266="")),"🟡 PENDÊNCIA SEM RESPONSÁVEL/PRAZO",IF(AND(ISNUMBER(R4266),R4266=TODAY()),"🟡 VENCE HOJE",IF(AND(P4266&lt;&gt;"",S4266=""),"🟡 PENDÊNCIA ABERTA",IF(AND(N(J4266)&gt;0,N(K4266)&lt;J4266),"🟡 FALTA EXECUTAR",IF(OR(M4266="PENDENTE",M4266="PARCIAL"),"🟡 FATURAMENTO PENDENTE","🟡 EMBARQUE PENDENTE")))))))))))</f>
        <v/>
      </c>
      <c r="D4266" s="4" t="n"/>
      <c r="E4266" s="5" t="n"/>
      <c r="F4266" s="5" t="n"/>
      <c r="G4266" s="5" t="n"/>
      <c r="H4266" s="5" t="n"/>
      <c r="I4266" s="5" t="n"/>
      <c r="J4266" s="6" t="n"/>
      <c r="K4266" s="6" t="n"/>
      <c r="L4266" s="7">
        <f>IF(OR(D4266="",N(J4266)=0),"",MIN(1,N(K4266)/J4266))</f>
        <v/>
      </c>
      <c r="M4266" s="5" t="n"/>
      <c r="N4266" s="5" t="n"/>
      <c r="O4266" s="5" t="n"/>
      <c r="P4266" s="5" t="n"/>
      <c r="Q4266" s="5" t="n"/>
      <c r="R4266" s="4" t="n"/>
      <c r="S4266" s="4" t="n"/>
      <c r="T4266" s="5" t="n"/>
      <c r="U4266" s="8">
        <f>IF(AND(V4266=1,D4266&lt;&gt;""),IF(D4266&gt;=corte,TODAY()-D4266,""),"")</f>
        <v/>
      </c>
      <c r="V4266" s="8">
        <f>IF(D4266="",0,IF(OR(AND(P4266&lt;&gt;"",S4266=""),AND(N(J4266)&gt;0,N(K4266)&lt;J4266),OR(M4266="PENDENTE",M4266="PARCIAL"),OR(N4266="PENDENTE",N4266="PARCIAL")),1,0))</f>
        <v/>
      </c>
      <c r="W4266" s="8">
        <f>IF(AND(V4266=1,D4266&lt;&gt;""),IF(D4266&gt;=corte,(B4266="CRÍTICO")*1E9+(100000-D4266)*10000+10000-ROW(),""),"")</f>
        <v/>
      </c>
      <c r="X4266" s="8">
        <f>IF(AND(V4266=1,D4266=pas_data,E4266=pas_turno),10000-ROW(),"")</f>
        <v/>
      </c>
    </row>
    <row r="4267">
      <c r="A4267" s="3">
        <f>IF(D4267="","","TT-"&amp;TEXT(ROW()-1,"00000"))</f>
        <v/>
      </c>
      <c r="B4267" s="3">
        <f>IF(D4267="","",IF(V4267=0,"CONCLUÍDO",IF(D4267&lt;corte,"HISTÓRICO",IF(OR(AND(ISNUMBER(R4267),R4267&lt;TODAY()),AND(OR(N4267="PENDENTE",N4267="PARCIAL"),D4267&lt;TODAY()-1)),"CRÍTICO",IF(OR(AND(P4267&lt;&gt;"",S4267=""),AND(N4267="REALIZADO",M4267="PENDENTE"),AND(ISNUMBER(R4267),R4267=TODAY())),"ATENÇÃO",IF(N(K4267)=0,"PENDENTE","EM ANDAMENTO"))))))</f>
        <v/>
      </c>
      <c r="C4267" s="3">
        <f>IF(D4267="","",IF(V4267=0,"🟢 OK",IF(D4267&lt;corte,"⚪ HISTÓRICO (sem baixa)",IF(AND(ISNUMBER(R4267),R4267&lt;TODAY()),"🔴 PRAZO VENCIDO",IF(AND(OR(N4267="PENDENTE",N4267="PARCIAL"),D4267&lt;TODAY()-1),"🔴 EMBARQUE ATRASADO",IF(AND(N4267="REALIZADO",M4267="PENDENTE"),"🟡 EMBARCADO SEM FATURAR",IF(AND(P4267&lt;&gt;"",S4267="",OR(Q4267="",R4267="")),"🟡 PENDÊNCIA SEM RESPONSÁVEL/PRAZO",IF(AND(ISNUMBER(R4267),R4267=TODAY()),"🟡 VENCE HOJE",IF(AND(P4267&lt;&gt;"",S4267=""),"🟡 PENDÊNCIA ABERTA",IF(AND(N(J4267)&gt;0,N(K4267)&lt;J4267),"🟡 FALTA EXECUTAR",IF(OR(M4267="PENDENTE",M4267="PARCIAL"),"🟡 FATURAMENTO PENDENTE","🟡 EMBARQUE PENDENTE")))))))))))</f>
        <v/>
      </c>
      <c r="D4267" s="4" t="n"/>
      <c r="E4267" s="5" t="n"/>
      <c r="F4267" s="5" t="n"/>
      <c r="G4267" s="5" t="n"/>
      <c r="H4267" s="5" t="n"/>
      <c r="I4267" s="5" t="n"/>
      <c r="J4267" s="6" t="n"/>
      <c r="K4267" s="6" t="n"/>
      <c r="L4267" s="7">
        <f>IF(OR(D4267="",N(J4267)=0),"",MIN(1,N(K4267)/J4267))</f>
        <v/>
      </c>
      <c r="M4267" s="5" t="n"/>
      <c r="N4267" s="5" t="n"/>
      <c r="O4267" s="5" t="n"/>
      <c r="P4267" s="5" t="n"/>
      <c r="Q4267" s="5" t="n"/>
      <c r="R4267" s="4" t="n"/>
      <c r="S4267" s="4" t="n"/>
      <c r="T4267" s="5" t="n"/>
      <c r="U4267" s="8">
        <f>IF(AND(V4267=1,D4267&lt;&gt;""),IF(D4267&gt;=corte,TODAY()-D4267,""),"")</f>
        <v/>
      </c>
      <c r="V4267" s="8">
        <f>IF(D4267="",0,IF(OR(AND(P4267&lt;&gt;"",S4267=""),AND(N(J4267)&gt;0,N(K4267)&lt;J4267),OR(M4267="PENDENTE",M4267="PARCIAL"),OR(N4267="PENDENTE",N4267="PARCIAL")),1,0))</f>
        <v/>
      </c>
      <c r="W4267" s="8">
        <f>IF(AND(V4267=1,D4267&lt;&gt;""),IF(D4267&gt;=corte,(B4267="CRÍTICO")*1E9+(100000-D4267)*10000+10000-ROW(),""),"")</f>
        <v/>
      </c>
      <c r="X4267" s="8">
        <f>IF(AND(V4267=1,D4267=pas_data,E4267=pas_turno),10000-ROW(),"")</f>
        <v/>
      </c>
    </row>
    <row r="4268">
      <c r="A4268" s="3">
        <f>IF(D4268="","","TT-"&amp;TEXT(ROW()-1,"00000"))</f>
        <v/>
      </c>
      <c r="B4268" s="3">
        <f>IF(D4268="","",IF(V4268=0,"CONCLUÍDO",IF(D4268&lt;corte,"HISTÓRICO",IF(OR(AND(ISNUMBER(R4268),R4268&lt;TODAY()),AND(OR(N4268="PENDENTE",N4268="PARCIAL"),D4268&lt;TODAY()-1)),"CRÍTICO",IF(OR(AND(P4268&lt;&gt;"",S4268=""),AND(N4268="REALIZADO",M4268="PENDENTE"),AND(ISNUMBER(R4268),R4268=TODAY())),"ATENÇÃO",IF(N(K4268)=0,"PENDENTE","EM ANDAMENTO"))))))</f>
        <v/>
      </c>
      <c r="C4268" s="3">
        <f>IF(D4268="","",IF(V4268=0,"🟢 OK",IF(D4268&lt;corte,"⚪ HISTÓRICO (sem baixa)",IF(AND(ISNUMBER(R4268),R4268&lt;TODAY()),"🔴 PRAZO VENCIDO",IF(AND(OR(N4268="PENDENTE",N4268="PARCIAL"),D4268&lt;TODAY()-1),"🔴 EMBARQUE ATRASADO",IF(AND(N4268="REALIZADO",M4268="PENDENTE"),"🟡 EMBARCADO SEM FATURAR",IF(AND(P4268&lt;&gt;"",S4268="",OR(Q4268="",R4268="")),"🟡 PENDÊNCIA SEM RESPONSÁVEL/PRAZO",IF(AND(ISNUMBER(R4268),R4268=TODAY()),"🟡 VENCE HOJE",IF(AND(P4268&lt;&gt;"",S4268=""),"🟡 PENDÊNCIA ABERTA",IF(AND(N(J4268)&gt;0,N(K4268)&lt;J4268),"🟡 FALTA EXECUTAR",IF(OR(M4268="PENDENTE",M4268="PARCIAL"),"🟡 FATURAMENTO PENDENTE","🟡 EMBARQUE PENDENTE")))))))))))</f>
        <v/>
      </c>
      <c r="D4268" s="4" t="n"/>
      <c r="E4268" s="5" t="n"/>
      <c r="F4268" s="5" t="n"/>
      <c r="G4268" s="5" t="n"/>
      <c r="H4268" s="5" t="n"/>
      <c r="I4268" s="5" t="n"/>
      <c r="J4268" s="6" t="n"/>
      <c r="K4268" s="6" t="n"/>
      <c r="L4268" s="7">
        <f>IF(OR(D4268="",N(J4268)=0),"",MIN(1,N(K4268)/J4268))</f>
        <v/>
      </c>
      <c r="M4268" s="5" t="n"/>
      <c r="N4268" s="5" t="n"/>
      <c r="O4268" s="5" t="n"/>
      <c r="P4268" s="5" t="n"/>
      <c r="Q4268" s="5" t="n"/>
      <c r="R4268" s="4" t="n"/>
      <c r="S4268" s="4" t="n"/>
      <c r="T4268" s="5" t="n"/>
      <c r="U4268" s="8">
        <f>IF(AND(V4268=1,D4268&lt;&gt;""),IF(D4268&gt;=corte,TODAY()-D4268,""),"")</f>
        <v/>
      </c>
      <c r="V4268" s="8">
        <f>IF(D4268="",0,IF(OR(AND(P4268&lt;&gt;"",S4268=""),AND(N(J4268)&gt;0,N(K4268)&lt;J4268),OR(M4268="PENDENTE",M4268="PARCIAL"),OR(N4268="PENDENTE",N4268="PARCIAL")),1,0))</f>
        <v/>
      </c>
      <c r="W4268" s="8">
        <f>IF(AND(V4268=1,D4268&lt;&gt;""),IF(D4268&gt;=corte,(B4268="CRÍTICO")*1E9+(100000-D4268)*10000+10000-ROW(),""),"")</f>
        <v/>
      </c>
      <c r="X4268" s="8">
        <f>IF(AND(V4268=1,D4268=pas_data,E4268=pas_turno),10000-ROW(),"")</f>
        <v/>
      </c>
    </row>
    <row r="4269">
      <c r="A4269" s="3">
        <f>IF(D4269="","","TT-"&amp;TEXT(ROW()-1,"00000"))</f>
        <v/>
      </c>
      <c r="B4269" s="3">
        <f>IF(D4269="","",IF(V4269=0,"CONCLUÍDO",IF(D4269&lt;corte,"HISTÓRICO",IF(OR(AND(ISNUMBER(R4269),R4269&lt;TODAY()),AND(OR(N4269="PENDENTE",N4269="PARCIAL"),D4269&lt;TODAY()-1)),"CRÍTICO",IF(OR(AND(P4269&lt;&gt;"",S4269=""),AND(N4269="REALIZADO",M4269="PENDENTE"),AND(ISNUMBER(R4269),R4269=TODAY())),"ATENÇÃO",IF(N(K4269)=0,"PENDENTE","EM ANDAMENTO"))))))</f>
        <v/>
      </c>
      <c r="C4269" s="3">
        <f>IF(D4269="","",IF(V4269=0,"🟢 OK",IF(D4269&lt;corte,"⚪ HISTÓRICO (sem baixa)",IF(AND(ISNUMBER(R4269),R4269&lt;TODAY()),"🔴 PRAZO VENCIDO",IF(AND(OR(N4269="PENDENTE",N4269="PARCIAL"),D4269&lt;TODAY()-1),"🔴 EMBARQUE ATRASADO",IF(AND(N4269="REALIZADO",M4269="PENDENTE"),"🟡 EMBARCADO SEM FATURAR",IF(AND(P4269&lt;&gt;"",S4269="",OR(Q4269="",R4269="")),"🟡 PENDÊNCIA SEM RESPONSÁVEL/PRAZO",IF(AND(ISNUMBER(R4269),R4269=TODAY()),"🟡 VENCE HOJE",IF(AND(P4269&lt;&gt;"",S4269=""),"🟡 PENDÊNCIA ABERTA",IF(AND(N(J4269)&gt;0,N(K4269)&lt;J4269),"🟡 FALTA EXECUTAR",IF(OR(M4269="PENDENTE",M4269="PARCIAL"),"🟡 FATURAMENTO PENDENTE","🟡 EMBARQUE PENDENTE")))))))))))</f>
        <v/>
      </c>
      <c r="D4269" s="4" t="n"/>
      <c r="E4269" s="5" t="n"/>
      <c r="F4269" s="5" t="n"/>
      <c r="G4269" s="5" t="n"/>
      <c r="H4269" s="5" t="n"/>
      <c r="I4269" s="5" t="n"/>
      <c r="J4269" s="6" t="n"/>
      <c r="K4269" s="6" t="n"/>
      <c r="L4269" s="7">
        <f>IF(OR(D4269="",N(J4269)=0),"",MIN(1,N(K4269)/J4269))</f>
        <v/>
      </c>
      <c r="M4269" s="5" t="n"/>
      <c r="N4269" s="5" t="n"/>
      <c r="O4269" s="5" t="n"/>
      <c r="P4269" s="5" t="n"/>
      <c r="Q4269" s="5" t="n"/>
      <c r="R4269" s="4" t="n"/>
      <c r="S4269" s="4" t="n"/>
      <c r="T4269" s="5" t="n"/>
      <c r="U4269" s="8">
        <f>IF(AND(V4269=1,D4269&lt;&gt;""),IF(D4269&gt;=corte,TODAY()-D4269,""),"")</f>
        <v/>
      </c>
      <c r="V4269" s="8">
        <f>IF(D4269="",0,IF(OR(AND(P4269&lt;&gt;"",S4269=""),AND(N(J4269)&gt;0,N(K4269)&lt;J4269),OR(M4269="PENDENTE",M4269="PARCIAL"),OR(N4269="PENDENTE",N4269="PARCIAL")),1,0))</f>
        <v/>
      </c>
      <c r="W4269" s="8">
        <f>IF(AND(V4269=1,D4269&lt;&gt;""),IF(D4269&gt;=corte,(B4269="CRÍTICO")*1E9+(100000-D4269)*10000+10000-ROW(),""),"")</f>
        <v/>
      </c>
      <c r="X4269" s="8">
        <f>IF(AND(V4269=1,D4269=pas_data,E4269=pas_turno),10000-ROW(),"")</f>
        <v/>
      </c>
    </row>
    <row r="4270">
      <c r="A4270" s="3">
        <f>IF(D4270="","","TT-"&amp;TEXT(ROW()-1,"00000"))</f>
        <v/>
      </c>
      <c r="B4270" s="3">
        <f>IF(D4270="","",IF(V4270=0,"CONCLUÍDO",IF(D4270&lt;corte,"HISTÓRICO",IF(OR(AND(ISNUMBER(R4270),R4270&lt;TODAY()),AND(OR(N4270="PENDENTE",N4270="PARCIAL"),D4270&lt;TODAY()-1)),"CRÍTICO",IF(OR(AND(P4270&lt;&gt;"",S4270=""),AND(N4270="REALIZADO",M4270="PENDENTE"),AND(ISNUMBER(R4270),R4270=TODAY())),"ATENÇÃO",IF(N(K4270)=0,"PENDENTE","EM ANDAMENTO"))))))</f>
        <v/>
      </c>
      <c r="C4270" s="3">
        <f>IF(D4270="","",IF(V4270=0,"🟢 OK",IF(D4270&lt;corte,"⚪ HISTÓRICO (sem baixa)",IF(AND(ISNUMBER(R4270),R4270&lt;TODAY()),"🔴 PRAZO VENCIDO",IF(AND(OR(N4270="PENDENTE",N4270="PARCIAL"),D4270&lt;TODAY()-1),"🔴 EMBARQUE ATRASADO",IF(AND(N4270="REALIZADO",M4270="PENDENTE"),"🟡 EMBARCADO SEM FATURAR",IF(AND(P4270&lt;&gt;"",S4270="",OR(Q4270="",R4270="")),"🟡 PENDÊNCIA SEM RESPONSÁVEL/PRAZO",IF(AND(ISNUMBER(R4270),R4270=TODAY()),"🟡 VENCE HOJE",IF(AND(P4270&lt;&gt;"",S4270=""),"🟡 PENDÊNCIA ABERTA",IF(AND(N(J4270)&gt;0,N(K4270)&lt;J4270),"🟡 FALTA EXECUTAR",IF(OR(M4270="PENDENTE",M4270="PARCIAL"),"🟡 FATURAMENTO PENDENTE","🟡 EMBARQUE PENDENTE")))))))))))</f>
        <v/>
      </c>
      <c r="D4270" s="4" t="n"/>
      <c r="E4270" s="5" t="n"/>
      <c r="F4270" s="5" t="n"/>
      <c r="G4270" s="5" t="n"/>
      <c r="H4270" s="5" t="n"/>
      <c r="I4270" s="5" t="n"/>
      <c r="J4270" s="6" t="n"/>
      <c r="K4270" s="6" t="n"/>
      <c r="L4270" s="7">
        <f>IF(OR(D4270="",N(J4270)=0),"",MIN(1,N(K4270)/J4270))</f>
        <v/>
      </c>
      <c r="M4270" s="5" t="n"/>
      <c r="N4270" s="5" t="n"/>
      <c r="O4270" s="5" t="n"/>
      <c r="P4270" s="5" t="n"/>
      <c r="Q4270" s="5" t="n"/>
      <c r="R4270" s="4" t="n"/>
      <c r="S4270" s="4" t="n"/>
      <c r="T4270" s="5" t="n"/>
      <c r="U4270" s="8">
        <f>IF(AND(V4270=1,D4270&lt;&gt;""),IF(D4270&gt;=corte,TODAY()-D4270,""),"")</f>
        <v/>
      </c>
      <c r="V4270" s="8">
        <f>IF(D4270="",0,IF(OR(AND(P4270&lt;&gt;"",S4270=""),AND(N(J4270)&gt;0,N(K4270)&lt;J4270),OR(M4270="PENDENTE",M4270="PARCIAL"),OR(N4270="PENDENTE",N4270="PARCIAL")),1,0))</f>
        <v/>
      </c>
      <c r="W4270" s="8">
        <f>IF(AND(V4270=1,D4270&lt;&gt;""),IF(D4270&gt;=corte,(B4270="CRÍTICO")*1E9+(100000-D4270)*10000+10000-ROW(),""),"")</f>
        <v/>
      </c>
      <c r="X4270" s="8">
        <f>IF(AND(V4270=1,D4270=pas_data,E4270=pas_turno),10000-ROW(),"")</f>
        <v/>
      </c>
    </row>
    <row r="4271">
      <c r="A4271" s="3">
        <f>IF(D4271="","","TT-"&amp;TEXT(ROW()-1,"00000"))</f>
        <v/>
      </c>
      <c r="B4271" s="3">
        <f>IF(D4271="","",IF(V4271=0,"CONCLUÍDO",IF(D4271&lt;corte,"HISTÓRICO",IF(OR(AND(ISNUMBER(R4271),R4271&lt;TODAY()),AND(OR(N4271="PENDENTE",N4271="PARCIAL"),D4271&lt;TODAY()-1)),"CRÍTICO",IF(OR(AND(P4271&lt;&gt;"",S4271=""),AND(N4271="REALIZADO",M4271="PENDENTE"),AND(ISNUMBER(R4271),R4271=TODAY())),"ATENÇÃO",IF(N(K4271)=0,"PENDENTE","EM ANDAMENTO"))))))</f>
        <v/>
      </c>
      <c r="C4271" s="3">
        <f>IF(D4271="","",IF(V4271=0,"🟢 OK",IF(D4271&lt;corte,"⚪ HISTÓRICO (sem baixa)",IF(AND(ISNUMBER(R4271),R4271&lt;TODAY()),"🔴 PRAZO VENCIDO",IF(AND(OR(N4271="PENDENTE",N4271="PARCIAL"),D4271&lt;TODAY()-1),"🔴 EMBARQUE ATRASADO",IF(AND(N4271="REALIZADO",M4271="PENDENTE"),"🟡 EMBARCADO SEM FATURAR",IF(AND(P4271&lt;&gt;"",S4271="",OR(Q4271="",R4271="")),"🟡 PENDÊNCIA SEM RESPONSÁVEL/PRAZO",IF(AND(ISNUMBER(R4271),R4271=TODAY()),"🟡 VENCE HOJE",IF(AND(P4271&lt;&gt;"",S4271=""),"🟡 PENDÊNCIA ABERTA",IF(AND(N(J4271)&gt;0,N(K4271)&lt;J4271),"🟡 FALTA EXECUTAR",IF(OR(M4271="PENDENTE",M4271="PARCIAL"),"🟡 FATURAMENTO PENDENTE","🟡 EMBARQUE PENDENTE")))))))))))</f>
        <v/>
      </c>
      <c r="D4271" s="4" t="n"/>
      <c r="E4271" s="5" t="n"/>
      <c r="F4271" s="5" t="n"/>
      <c r="G4271" s="5" t="n"/>
      <c r="H4271" s="5" t="n"/>
      <c r="I4271" s="5" t="n"/>
      <c r="J4271" s="6" t="n"/>
      <c r="K4271" s="6" t="n"/>
      <c r="L4271" s="7">
        <f>IF(OR(D4271="",N(J4271)=0),"",MIN(1,N(K4271)/J4271))</f>
        <v/>
      </c>
      <c r="M4271" s="5" t="n"/>
      <c r="N4271" s="5" t="n"/>
      <c r="O4271" s="5" t="n"/>
      <c r="P4271" s="5" t="n"/>
      <c r="Q4271" s="5" t="n"/>
      <c r="R4271" s="4" t="n"/>
      <c r="S4271" s="4" t="n"/>
      <c r="T4271" s="5" t="n"/>
      <c r="U4271" s="8">
        <f>IF(AND(V4271=1,D4271&lt;&gt;""),IF(D4271&gt;=corte,TODAY()-D4271,""),"")</f>
        <v/>
      </c>
      <c r="V4271" s="8">
        <f>IF(D4271="",0,IF(OR(AND(P4271&lt;&gt;"",S4271=""),AND(N(J4271)&gt;0,N(K4271)&lt;J4271),OR(M4271="PENDENTE",M4271="PARCIAL"),OR(N4271="PENDENTE",N4271="PARCIAL")),1,0))</f>
        <v/>
      </c>
      <c r="W4271" s="8">
        <f>IF(AND(V4271=1,D4271&lt;&gt;""),IF(D4271&gt;=corte,(B4271="CRÍTICO")*1E9+(100000-D4271)*10000+10000-ROW(),""),"")</f>
        <v/>
      </c>
      <c r="X4271" s="8">
        <f>IF(AND(V4271=1,D4271=pas_data,E4271=pas_turno),10000-ROW(),"")</f>
        <v/>
      </c>
    </row>
    <row r="4272">
      <c r="A4272" s="3">
        <f>IF(D4272="","","TT-"&amp;TEXT(ROW()-1,"00000"))</f>
        <v/>
      </c>
      <c r="B4272" s="3">
        <f>IF(D4272="","",IF(V4272=0,"CONCLUÍDO",IF(D4272&lt;corte,"HISTÓRICO",IF(OR(AND(ISNUMBER(R4272),R4272&lt;TODAY()),AND(OR(N4272="PENDENTE",N4272="PARCIAL"),D4272&lt;TODAY()-1)),"CRÍTICO",IF(OR(AND(P4272&lt;&gt;"",S4272=""),AND(N4272="REALIZADO",M4272="PENDENTE"),AND(ISNUMBER(R4272),R4272=TODAY())),"ATENÇÃO",IF(N(K4272)=0,"PENDENTE","EM ANDAMENTO"))))))</f>
        <v/>
      </c>
      <c r="C4272" s="3">
        <f>IF(D4272="","",IF(V4272=0,"🟢 OK",IF(D4272&lt;corte,"⚪ HISTÓRICO (sem baixa)",IF(AND(ISNUMBER(R4272),R4272&lt;TODAY()),"🔴 PRAZO VENCIDO",IF(AND(OR(N4272="PENDENTE",N4272="PARCIAL"),D4272&lt;TODAY()-1),"🔴 EMBARQUE ATRASADO",IF(AND(N4272="REALIZADO",M4272="PENDENTE"),"🟡 EMBARCADO SEM FATURAR",IF(AND(P4272&lt;&gt;"",S4272="",OR(Q4272="",R4272="")),"🟡 PENDÊNCIA SEM RESPONSÁVEL/PRAZO",IF(AND(ISNUMBER(R4272),R4272=TODAY()),"🟡 VENCE HOJE",IF(AND(P4272&lt;&gt;"",S4272=""),"🟡 PENDÊNCIA ABERTA",IF(AND(N(J4272)&gt;0,N(K4272)&lt;J4272),"🟡 FALTA EXECUTAR",IF(OR(M4272="PENDENTE",M4272="PARCIAL"),"🟡 FATURAMENTO PENDENTE","🟡 EMBARQUE PENDENTE")))))))))))</f>
        <v/>
      </c>
      <c r="D4272" s="4" t="n"/>
      <c r="E4272" s="5" t="n"/>
      <c r="F4272" s="5" t="n"/>
      <c r="G4272" s="5" t="n"/>
      <c r="H4272" s="5" t="n"/>
      <c r="I4272" s="5" t="n"/>
      <c r="J4272" s="6" t="n"/>
      <c r="K4272" s="6" t="n"/>
      <c r="L4272" s="7">
        <f>IF(OR(D4272="",N(J4272)=0),"",MIN(1,N(K4272)/J4272))</f>
        <v/>
      </c>
      <c r="M4272" s="5" t="n"/>
      <c r="N4272" s="5" t="n"/>
      <c r="O4272" s="5" t="n"/>
      <c r="P4272" s="5" t="n"/>
      <c r="Q4272" s="5" t="n"/>
      <c r="R4272" s="4" t="n"/>
      <c r="S4272" s="4" t="n"/>
      <c r="T4272" s="5" t="n"/>
      <c r="U4272" s="8">
        <f>IF(AND(V4272=1,D4272&lt;&gt;""),IF(D4272&gt;=corte,TODAY()-D4272,""),"")</f>
        <v/>
      </c>
      <c r="V4272" s="8">
        <f>IF(D4272="",0,IF(OR(AND(P4272&lt;&gt;"",S4272=""),AND(N(J4272)&gt;0,N(K4272)&lt;J4272),OR(M4272="PENDENTE",M4272="PARCIAL"),OR(N4272="PENDENTE",N4272="PARCIAL")),1,0))</f>
        <v/>
      </c>
      <c r="W4272" s="8">
        <f>IF(AND(V4272=1,D4272&lt;&gt;""),IF(D4272&gt;=corte,(B4272="CRÍTICO")*1E9+(100000-D4272)*10000+10000-ROW(),""),"")</f>
        <v/>
      </c>
      <c r="X4272" s="8">
        <f>IF(AND(V4272=1,D4272=pas_data,E4272=pas_turno),10000-ROW(),"")</f>
        <v/>
      </c>
    </row>
    <row r="4273">
      <c r="A4273" s="3">
        <f>IF(D4273="","","TT-"&amp;TEXT(ROW()-1,"00000"))</f>
        <v/>
      </c>
      <c r="B4273" s="3">
        <f>IF(D4273="","",IF(V4273=0,"CONCLUÍDO",IF(D4273&lt;corte,"HISTÓRICO",IF(OR(AND(ISNUMBER(R4273),R4273&lt;TODAY()),AND(OR(N4273="PENDENTE",N4273="PARCIAL"),D4273&lt;TODAY()-1)),"CRÍTICO",IF(OR(AND(P4273&lt;&gt;"",S4273=""),AND(N4273="REALIZADO",M4273="PENDENTE"),AND(ISNUMBER(R4273),R4273=TODAY())),"ATENÇÃO",IF(N(K4273)=0,"PENDENTE","EM ANDAMENTO"))))))</f>
        <v/>
      </c>
      <c r="C4273" s="3">
        <f>IF(D4273="","",IF(V4273=0,"🟢 OK",IF(D4273&lt;corte,"⚪ HISTÓRICO (sem baixa)",IF(AND(ISNUMBER(R4273),R4273&lt;TODAY()),"🔴 PRAZO VENCIDO",IF(AND(OR(N4273="PENDENTE",N4273="PARCIAL"),D4273&lt;TODAY()-1),"🔴 EMBARQUE ATRASADO",IF(AND(N4273="REALIZADO",M4273="PENDENTE"),"🟡 EMBARCADO SEM FATURAR",IF(AND(P4273&lt;&gt;"",S4273="",OR(Q4273="",R4273="")),"🟡 PENDÊNCIA SEM RESPONSÁVEL/PRAZO",IF(AND(ISNUMBER(R4273),R4273=TODAY()),"🟡 VENCE HOJE",IF(AND(P4273&lt;&gt;"",S4273=""),"🟡 PENDÊNCIA ABERTA",IF(AND(N(J4273)&gt;0,N(K4273)&lt;J4273),"🟡 FALTA EXECUTAR",IF(OR(M4273="PENDENTE",M4273="PARCIAL"),"🟡 FATURAMENTO PENDENTE","🟡 EMBARQUE PENDENTE")))))))))))</f>
        <v/>
      </c>
      <c r="D4273" s="4" t="n"/>
      <c r="E4273" s="5" t="n"/>
      <c r="F4273" s="5" t="n"/>
      <c r="G4273" s="5" t="n"/>
      <c r="H4273" s="5" t="n"/>
      <c r="I4273" s="5" t="n"/>
      <c r="J4273" s="6" t="n"/>
      <c r="K4273" s="6" t="n"/>
      <c r="L4273" s="7">
        <f>IF(OR(D4273="",N(J4273)=0),"",MIN(1,N(K4273)/J4273))</f>
        <v/>
      </c>
      <c r="M4273" s="5" t="n"/>
      <c r="N4273" s="5" t="n"/>
      <c r="O4273" s="5" t="n"/>
      <c r="P4273" s="5" t="n"/>
      <c r="Q4273" s="5" t="n"/>
      <c r="R4273" s="4" t="n"/>
      <c r="S4273" s="4" t="n"/>
      <c r="T4273" s="5" t="n"/>
      <c r="U4273" s="8">
        <f>IF(AND(V4273=1,D4273&lt;&gt;""),IF(D4273&gt;=corte,TODAY()-D4273,""),"")</f>
        <v/>
      </c>
      <c r="V4273" s="8">
        <f>IF(D4273="",0,IF(OR(AND(P4273&lt;&gt;"",S4273=""),AND(N(J4273)&gt;0,N(K4273)&lt;J4273),OR(M4273="PENDENTE",M4273="PARCIAL"),OR(N4273="PENDENTE",N4273="PARCIAL")),1,0))</f>
        <v/>
      </c>
      <c r="W4273" s="8">
        <f>IF(AND(V4273=1,D4273&lt;&gt;""),IF(D4273&gt;=corte,(B4273="CRÍTICO")*1E9+(100000-D4273)*10000+10000-ROW(),""),"")</f>
        <v/>
      </c>
      <c r="X4273" s="8">
        <f>IF(AND(V4273=1,D4273=pas_data,E4273=pas_turno),10000-ROW(),"")</f>
        <v/>
      </c>
    </row>
    <row r="4274">
      <c r="A4274" s="3">
        <f>IF(D4274="","","TT-"&amp;TEXT(ROW()-1,"00000"))</f>
        <v/>
      </c>
      <c r="B4274" s="3">
        <f>IF(D4274="","",IF(V4274=0,"CONCLUÍDO",IF(D4274&lt;corte,"HISTÓRICO",IF(OR(AND(ISNUMBER(R4274),R4274&lt;TODAY()),AND(OR(N4274="PENDENTE",N4274="PARCIAL"),D4274&lt;TODAY()-1)),"CRÍTICO",IF(OR(AND(P4274&lt;&gt;"",S4274=""),AND(N4274="REALIZADO",M4274="PENDENTE"),AND(ISNUMBER(R4274),R4274=TODAY())),"ATENÇÃO",IF(N(K4274)=0,"PENDENTE","EM ANDAMENTO"))))))</f>
        <v/>
      </c>
      <c r="C4274" s="3">
        <f>IF(D4274="","",IF(V4274=0,"🟢 OK",IF(D4274&lt;corte,"⚪ HISTÓRICO (sem baixa)",IF(AND(ISNUMBER(R4274),R4274&lt;TODAY()),"🔴 PRAZO VENCIDO",IF(AND(OR(N4274="PENDENTE",N4274="PARCIAL"),D4274&lt;TODAY()-1),"🔴 EMBARQUE ATRASADO",IF(AND(N4274="REALIZADO",M4274="PENDENTE"),"🟡 EMBARCADO SEM FATURAR",IF(AND(P4274&lt;&gt;"",S4274="",OR(Q4274="",R4274="")),"🟡 PENDÊNCIA SEM RESPONSÁVEL/PRAZO",IF(AND(ISNUMBER(R4274),R4274=TODAY()),"🟡 VENCE HOJE",IF(AND(P4274&lt;&gt;"",S4274=""),"🟡 PENDÊNCIA ABERTA",IF(AND(N(J4274)&gt;0,N(K4274)&lt;J4274),"🟡 FALTA EXECUTAR",IF(OR(M4274="PENDENTE",M4274="PARCIAL"),"🟡 FATURAMENTO PENDENTE","🟡 EMBARQUE PENDENTE")))))))))))</f>
        <v/>
      </c>
      <c r="D4274" s="4" t="n"/>
      <c r="E4274" s="5" t="n"/>
      <c r="F4274" s="5" t="n"/>
      <c r="G4274" s="5" t="n"/>
      <c r="H4274" s="5" t="n"/>
      <c r="I4274" s="5" t="n"/>
      <c r="J4274" s="6" t="n"/>
      <c r="K4274" s="6" t="n"/>
      <c r="L4274" s="7">
        <f>IF(OR(D4274="",N(J4274)=0),"",MIN(1,N(K4274)/J4274))</f>
        <v/>
      </c>
      <c r="M4274" s="5" t="n"/>
      <c r="N4274" s="5" t="n"/>
      <c r="O4274" s="5" t="n"/>
      <c r="P4274" s="5" t="n"/>
      <c r="Q4274" s="5" t="n"/>
      <c r="R4274" s="4" t="n"/>
      <c r="S4274" s="4" t="n"/>
      <c r="T4274" s="5" t="n"/>
      <c r="U4274" s="8">
        <f>IF(AND(V4274=1,D4274&lt;&gt;""),IF(D4274&gt;=corte,TODAY()-D4274,""),"")</f>
        <v/>
      </c>
      <c r="V4274" s="8">
        <f>IF(D4274="",0,IF(OR(AND(P4274&lt;&gt;"",S4274=""),AND(N(J4274)&gt;0,N(K4274)&lt;J4274),OR(M4274="PENDENTE",M4274="PARCIAL"),OR(N4274="PENDENTE",N4274="PARCIAL")),1,0))</f>
        <v/>
      </c>
      <c r="W4274" s="8">
        <f>IF(AND(V4274=1,D4274&lt;&gt;""),IF(D4274&gt;=corte,(B4274="CRÍTICO")*1E9+(100000-D4274)*10000+10000-ROW(),""),"")</f>
        <v/>
      </c>
      <c r="X4274" s="8">
        <f>IF(AND(V4274=1,D4274=pas_data,E4274=pas_turno),10000-ROW(),"")</f>
        <v/>
      </c>
    </row>
    <row r="4275">
      <c r="A4275" s="3">
        <f>IF(D4275="","","TT-"&amp;TEXT(ROW()-1,"00000"))</f>
        <v/>
      </c>
      <c r="B4275" s="3">
        <f>IF(D4275="","",IF(V4275=0,"CONCLUÍDO",IF(D4275&lt;corte,"HISTÓRICO",IF(OR(AND(ISNUMBER(R4275),R4275&lt;TODAY()),AND(OR(N4275="PENDENTE",N4275="PARCIAL"),D4275&lt;TODAY()-1)),"CRÍTICO",IF(OR(AND(P4275&lt;&gt;"",S4275=""),AND(N4275="REALIZADO",M4275="PENDENTE"),AND(ISNUMBER(R4275),R4275=TODAY())),"ATENÇÃO",IF(N(K4275)=0,"PENDENTE","EM ANDAMENTO"))))))</f>
        <v/>
      </c>
      <c r="C4275" s="3">
        <f>IF(D4275="","",IF(V4275=0,"🟢 OK",IF(D4275&lt;corte,"⚪ HISTÓRICO (sem baixa)",IF(AND(ISNUMBER(R4275),R4275&lt;TODAY()),"🔴 PRAZO VENCIDO",IF(AND(OR(N4275="PENDENTE",N4275="PARCIAL"),D4275&lt;TODAY()-1),"🔴 EMBARQUE ATRASADO",IF(AND(N4275="REALIZADO",M4275="PENDENTE"),"🟡 EMBARCADO SEM FATURAR",IF(AND(P4275&lt;&gt;"",S4275="",OR(Q4275="",R4275="")),"🟡 PENDÊNCIA SEM RESPONSÁVEL/PRAZO",IF(AND(ISNUMBER(R4275),R4275=TODAY()),"🟡 VENCE HOJE",IF(AND(P4275&lt;&gt;"",S4275=""),"🟡 PENDÊNCIA ABERTA",IF(AND(N(J4275)&gt;0,N(K4275)&lt;J4275),"🟡 FALTA EXECUTAR",IF(OR(M4275="PENDENTE",M4275="PARCIAL"),"🟡 FATURAMENTO PENDENTE","🟡 EMBARQUE PENDENTE")))))))))))</f>
        <v/>
      </c>
      <c r="D4275" s="4" t="n"/>
      <c r="E4275" s="5" t="n"/>
      <c r="F4275" s="5" t="n"/>
      <c r="G4275" s="5" t="n"/>
      <c r="H4275" s="5" t="n"/>
      <c r="I4275" s="5" t="n"/>
      <c r="J4275" s="6" t="n"/>
      <c r="K4275" s="6" t="n"/>
      <c r="L4275" s="7">
        <f>IF(OR(D4275="",N(J4275)=0),"",MIN(1,N(K4275)/J4275))</f>
        <v/>
      </c>
      <c r="M4275" s="5" t="n"/>
      <c r="N4275" s="5" t="n"/>
      <c r="O4275" s="5" t="n"/>
      <c r="P4275" s="5" t="n"/>
      <c r="Q4275" s="5" t="n"/>
      <c r="R4275" s="4" t="n"/>
      <c r="S4275" s="4" t="n"/>
      <c r="T4275" s="5" t="n"/>
      <c r="U4275" s="8">
        <f>IF(AND(V4275=1,D4275&lt;&gt;""),IF(D4275&gt;=corte,TODAY()-D4275,""),"")</f>
        <v/>
      </c>
      <c r="V4275" s="8">
        <f>IF(D4275="",0,IF(OR(AND(P4275&lt;&gt;"",S4275=""),AND(N(J4275)&gt;0,N(K4275)&lt;J4275),OR(M4275="PENDENTE",M4275="PARCIAL"),OR(N4275="PENDENTE",N4275="PARCIAL")),1,0))</f>
        <v/>
      </c>
      <c r="W4275" s="8">
        <f>IF(AND(V4275=1,D4275&lt;&gt;""),IF(D4275&gt;=corte,(B4275="CRÍTICO")*1E9+(100000-D4275)*10000+10000-ROW(),""),"")</f>
        <v/>
      </c>
      <c r="X4275" s="8">
        <f>IF(AND(V4275=1,D4275=pas_data,E4275=pas_turno),10000-ROW(),"")</f>
        <v/>
      </c>
    </row>
    <row r="4276">
      <c r="A4276" s="3">
        <f>IF(D4276="","","TT-"&amp;TEXT(ROW()-1,"00000"))</f>
        <v/>
      </c>
      <c r="B4276" s="3">
        <f>IF(D4276="","",IF(V4276=0,"CONCLUÍDO",IF(D4276&lt;corte,"HISTÓRICO",IF(OR(AND(ISNUMBER(R4276),R4276&lt;TODAY()),AND(OR(N4276="PENDENTE",N4276="PARCIAL"),D4276&lt;TODAY()-1)),"CRÍTICO",IF(OR(AND(P4276&lt;&gt;"",S4276=""),AND(N4276="REALIZADO",M4276="PENDENTE"),AND(ISNUMBER(R4276),R4276=TODAY())),"ATENÇÃO",IF(N(K4276)=0,"PENDENTE","EM ANDAMENTO"))))))</f>
        <v/>
      </c>
      <c r="C4276" s="3">
        <f>IF(D4276="","",IF(V4276=0,"🟢 OK",IF(D4276&lt;corte,"⚪ HISTÓRICO (sem baixa)",IF(AND(ISNUMBER(R4276),R4276&lt;TODAY()),"🔴 PRAZO VENCIDO",IF(AND(OR(N4276="PENDENTE",N4276="PARCIAL"),D4276&lt;TODAY()-1),"🔴 EMBARQUE ATRASADO",IF(AND(N4276="REALIZADO",M4276="PENDENTE"),"🟡 EMBARCADO SEM FATURAR",IF(AND(P4276&lt;&gt;"",S4276="",OR(Q4276="",R4276="")),"🟡 PENDÊNCIA SEM RESPONSÁVEL/PRAZO",IF(AND(ISNUMBER(R4276),R4276=TODAY()),"🟡 VENCE HOJE",IF(AND(P4276&lt;&gt;"",S4276=""),"🟡 PENDÊNCIA ABERTA",IF(AND(N(J4276)&gt;0,N(K4276)&lt;J4276),"🟡 FALTA EXECUTAR",IF(OR(M4276="PENDENTE",M4276="PARCIAL"),"🟡 FATURAMENTO PENDENTE","🟡 EMBARQUE PENDENTE")))))))))))</f>
        <v/>
      </c>
      <c r="D4276" s="4" t="n"/>
      <c r="E4276" s="5" t="n"/>
      <c r="F4276" s="5" t="n"/>
      <c r="G4276" s="5" t="n"/>
      <c r="H4276" s="5" t="n"/>
      <c r="I4276" s="5" t="n"/>
      <c r="J4276" s="6" t="n"/>
      <c r="K4276" s="6" t="n"/>
      <c r="L4276" s="7">
        <f>IF(OR(D4276="",N(J4276)=0),"",MIN(1,N(K4276)/J4276))</f>
        <v/>
      </c>
      <c r="M4276" s="5" t="n"/>
      <c r="N4276" s="5" t="n"/>
      <c r="O4276" s="5" t="n"/>
      <c r="P4276" s="5" t="n"/>
      <c r="Q4276" s="5" t="n"/>
      <c r="R4276" s="4" t="n"/>
      <c r="S4276" s="4" t="n"/>
      <c r="T4276" s="5" t="n"/>
      <c r="U4276" s="8">
        <f>IF(AND(V4276=1,D4276&lt;&gt;""),IF(D4276&gt;=corte,TODAY()-D4276,""),"")</f>
        <v/>
      </c>
      <c r="V4276" s="8">
        <f>IF(D4276="",0,IF(OR(AND(P4276&lt;&gt;"",S4276=""),AND(N(J4276)&gt;0,N(K4276)&lt;J4276),OR(M4276="PENDENTE",M4276="PARCIAL"),OR(N4276="PENDENTE",N4276="PARCIAL")),1,0))</f>
        <v/>
      </c>
      <c r="W4276" s="8">
        <f>IF(AND(V4276=1,D4276&lt;&gt;""),IF(D4276&gt;=corte,(B4276="CRÍTICO")*1E9+(100000-D4276)*10000+10000-ROW(),""),"")</f>
        <v/>
      </c>
      <c r="X4276" s="8">
        <f>IF(AND(V4276=1,D4276=pas_data,E4276=pas_turno),10000-ROW(),"")</f>
        <v/>
      </c>
    </row>
    <row r="4277">
      <c r="A4277" s="3">
        <f>IF(D4277="","","TT-"&amp;TEXT(ROW()-1,"00000"))</f>
        <v/>
      </c>
      <c r="B4277" s="3">
        <f>IF(D4277="","",IF(V4277=0,"CONCLUÍDO",IF(D4277&lt;corte,"HISTÓRICO",IF(OR(AND(ISNUMBER(R4277),R4277&lt;TODAY()),AND(OR(N4277="PENDENTE",N4277="PARCIAL"),D4277&lt;TODAY()-1)),"CRÍTICO",IF(OR(AND(P4277&lt;&gt;"",S4277=""),AND(N4277="REALIZADO",M4277="PENDENTE"),AND(ISNUMBER(R4277),R4277=TODAY())),"ATENÇÃO",IF(N(K4277)=0,"PENDENTE","EM ANDAMENTO"))))))</f>
        <v/>
      </c>
      <c r="C4277" s="3">
        <f>IF(D4277="","",IF(V4277=0,"🟢 OK",IF(D4277&lt;corte,"⚪ HISTÓRICO (sem baixa)",IF(AND(ISNUMBER(R4277),R4277&lt;TODAY()),"🔴 PRAZO VENCIDO",IF(AND(OR(N4277="PENDENTE",N4277="PARCIAL"),D4277&lt;TODAY()-1),"🔴 EMBARQUE ATRASADO",IF(AND(N4277="REALIZADO",M4277="PENDENTE"),"🟡 EMBARCADO SEM FATURAR",IF(AND(P4277&lt;&gt;"",S4277="",OR(Q4277="",R4277="")),"🟡 PENDÊNCIA SEM RESPONSÁVEL/PRAZO",IF(AND(ISNUMBER(R4277),R4277=TODAY()),"🟡 VENCE HOJE",IF(AND(P4277&lt;&gt;"",S4277=""),"🟡 PENDÊNCIA ABERTA",IF(AND(N(J4277)&gt;0,N(K4277)&lt;J4277),"🟡 FALTA EXECUTAR",IF(OR(M4277="PENDENTE",M4277="PARCIAL"),"🟡 FATURAMENTO PENDENTE","🟡 EMBARQUE PENDENTE")))))))))))</f>
        <v/>
      </c>
      <c r="D4277" s="4" t="n"/>
      <c r="E4277" s="5" t="n"/>
      <c r="F4277" s="5" t="n"/>
      <c r="G4277" s="5" t="n"/>
      <c r="H4277" s="5" t="n"/>
      <c r="I4277" s="5" t="n"/>
      <c r="J4277" s="6" t="n"/>
      <c r="K4277" s="6" t="n"/>
      <c r="L4277" s="7">
        <f>IF(OR(D4277="",N(J4277)=0),"",MIN(1,N(K4277)/J4277))</f>
        <v/>
      </c>
      <c r="M4277" s="5" t="n"/>
      <c r="N4277" s="5" t="n"/>
      <c r="O4277" s="5" t="n"/>
      <c r="P4277" s="5" t="n"/>
      <c r="Q4277" s="5" t="n"/>
      <c r="R4277" s="4" t="n"/>
      <c r="S4277" s="4" t="n"/>
      <c r="T4277" s="5" t="n"/>
      <c r="U4277" s="8">
        <f>IF(AND(V4277=1,D4277&lt;&gt;""),IF(D4277&gt;=corte,TODAY()-D4277,""),"")</f>
        <v/>
      </c>
      <c r="V4277" s="8">
        <f>IF(D4277="",0,IF(OR(AND(P4277&lt;&gt;"",S4277=""),AND(N(J4277)&gt;0,N(K4277)&lt;J4277),OR(M4277="PENDENTE",M4277="PARCIAL"),OR(N4277="PENDENTE",N4277="PARCIAL")),1,0))</f>
        <v/>
      </c>
      <c r="W4277" s="8">
        <f>IF(AND(V4277=1,D4277&lt;&gt;""),IF(D4277&gt;=corte,(B4277="CRÍTICO")*1E9+(100000-D4277)*10000+10000-ROW(),""),"")</f>
        <v/>
      </c>
      <c r="X4277" s="8">
        <f>IF(AND(V4277=1,D4277=pas_data,E4277=pas_turno),10000-ROW(),"")</f>
        <v/>
      </c>
    </row>
    <row r="4278">
      <c r="A4278" s="3">
        <f>IF(D4278="","","TT-"&amp;TEXT(ROW()-1,"00000"))</f>
        <v/>
      </c>
      <c r="B4278" s="3">
        <f>IF(D4278="","",IF(V4278=0,"CONCLUÍDO",IF(D4278&lt;corte,"HISTÓRICO",IF(OR(AND(ISNUMBER(R4278),R4278&lt;TODAY()),AND(OR(N4278="PENDENTE",N4278="PARCIAL"),D4278&lt;TODAY()-1)),"CRÍTICO",IF(OR(AND(P4278&lt;&gt;"",S4278=""),AND(N4278="REALIZADO",M4278="PENDENTE"),AND(ISNUMBER(R4278),R4278=TODAY())),"ATENÇÃO",IF(N(K4278)=0,"PENDENTE","EM ANDAMENTO"))))))</f>
        <v/>
      </c>
      <c r="C4278" s="3">
        <f>IF(D4278="","",IF(V4278=0,"🟢 OK",IF(D4278&lt;corte,"⚪ HISTÓRICO (sem baixa)",IF(AND(ISNUMBER(R4278),R4278&lt;TODAY()),"🔴 PRAZO VENCIDO",IF(AND(OR(N4278="PENDENTE",N4278="PARCIAL"),D4278&lt;TODAY()-1),"🔴 EMBARQUE ATRASADO",IF(AND(N4278="REALIZADO",M4278="PENDENTE"),"🟡 EMBARCADO SEM FATURAR",IF(AND(P4278&lt;&gt;"",S4278="",OR(Q4278="",R4278="")),"🟡 PENDÊNCIA SEM RESPONSÁVEL/PRAZO",IF(AND(ISNUMBER(R4278),R4278=TODAY()),"🟡 VENCE HOJE",IF(AND(P4278&lt;&gt;"",S4278=""),"🟡 PENDÊNCIA ABERTA",IF(AND(N(J4278)&gt;0,N(K4278)&lt;J4278),"🟡 FALTA EXECUTAR",IF(OR(M4278="PENDENTE",M4278="PARCIAL"),"🟡 FATURAMENTO PENDENTE","🟡 EMBARQUE PENDENTE")))))))))))</f>
        <v/>
      </c>
      <c r="D4278" s="4" t="n"/>
      <c r="E4278" s="5" t="n"/>
      <c r="F4278" s="5" t="n"/>
      <c r="G4278" s="5" t="n"/>
      <c r="H4278" s="5" t="n"/>
      <c r="I4278" s="5" t="n"/>
      <c r="J4278" s="6" t="n"/>
      <c r="K4278" s="6" t="n"/>
      <c r="L4278" s="7">
        <f>IF(OR(D4278="",N(J4278)=0),"",MIN(1,N(K4278)/J4278))</f>
        <v/>
      </c>
      <c r="M4278" s="5" t="n"/>
      <c r="N4278" s="5" t="n"/>
      <c r="O4278" s="5" t="n"/>
      <c r="P4278" s="5" t="n"/>
      <c r="Q4278" s="5" t="n"/>
      <c r="R4278" s="4" t="n"/>
      <c r="S4278" s="4" t="n"/>
      <c r="T4278" s="5" t="n"/>
      <c r="U4278" s="8">
        <f>IF(AND(V4278=1,D4278&lt;&gt;""),IF(D4278&gt;=corte,TODAY()-D4278,""),"")</f>
        <v/>
      </c>
      <c r="V4278" s="8">
        <f>IF(D4278="",0,IF(OR(AND(P4278&lt;&gt;"",S4278=""),AND(N(J4278)&gt;0,N(K4278)&lt;J4278),OR(M4278="PENDENTE",M4278="PARCIAL"),OR(N4278="PENDENTE",N4278="PARCIAL")),1,0))</f>
        <v/>
      </c>
      <c r="W4278" s="8">
        <f>IF(AND(V4278=1,D4278&lt;&gt;""),IF(D4278&gt;=corte,(B4278="CRÍTICO")*1E9+(100000-D4278)*10000+10000-ROW(),""),"")</f>
        <v/>
      </c>
      <c r="X4278" s="8">
        <f>IF(AND(V4278=1,D4278=pas_data,E4278=pas_turno),10000-ROW(),"")</f>
        <v/>
      </c>
    </row>
    <row r="4279">
      <c r="A4279" s="3">
        <f>IF(D4279="","","TT-"&amp;TEXT(ROW()-1,"00000"))</f>
        <v/>
      </c>
      <c r="B4279" s="3">
        <f>IF(D4279="","",IF(V4279=0,"CONCLUÍDO",IF(D4279&lt;corte,"HISTÓRICO",IF(OR(AND(ISNUMBER(R4279),R4279&lt;TODAY()),AND(OR(N4279="PENDENTE",N4279="PARCIAL"),D4279&lt;TODAY()-1)),"CRÍTICO",IF(OR(AND(P4279&lt;&gt;"",S4279=""),AND(N4279="REALIZADO",M4279="PENDENTE"),AND(ISNUMBER(R4279),R4279=TODAY())),"ATENÇÃO",IF(N(K4279)=0,"PENDENTE","EM ANDAMENTO"))))))</f>
        <v/>
      </c>
      <c r="C4279" s="3">
        <f>IF(D4279="","",IF(V4279=0,"🟢 OK",IF(D4279&lt;corte,"⚪ HISTÓRICO (sem baixa)",IF(AND(ISNUMBER(R4279),R4279&lt;TODAY()),"🔴 PRAZO VENCIDO",IF(AND(OR(N4279="PENDENTE",N4279="PARCIAL"),D4279&lt;TODAY()-1),"🔴 EMBARQUE ATRASADO",IF(AND(N4279="REALIZADO",M4279="PENDENTE"),"🟡 EMBARCADO SEM FATURAR",IF(AND(P4279&lt;&gt;"",S4279="",OR(Q4279="",R4279="")),"🟡 PENDÊNCIA SEM RESPONSÁVEL/PRAZO",IF(AND(ISNUMBER(R4279),R4279=TODAY()),"🟡 VENCE HOJE",IF(AND(P4279&lt;&gt;"",S4279=""),"🟡 PENDÊNCIA ABERTA",IF(AND(N(J4279)&gt;0,N(K4279)&lt;J4279),"🟡 FALTA EXECUTAR",IF(OR(M4279="PENDENTE",M4279="PARCIAL"),"🟡 FATURAMENTO PENDENTE","🟡 EMBARQUE PENDENTE")))))))))))</f>
        <v/>
      </c>
      <c r="D4279" s="4" t="n"/>
      <c r="E4279" s="5" t="n"/>
      <c r="F4279" s="5" t="n"/>
      <c r="G4279" s="5" t="n"/>
      <c r="H4279" s="5" t="n"/>
      <c r="I4279" s="5" t="n"/>
      <c r="J4279" s="6" t="n"/>
      <c r="K4279" s="6" t="n"/>
      <c r="L4279" s="7">
        <f>IF(OR(D4279="",N(J4279)=0),"",MIN(1,N(K4279)/J4279))</f>
        <v/>
      </c>
      <c r="M4279" s="5" t="n"/>
      <c r="N4279" s="5" t="n"/>
      <c r="O4279" s="5" t="n"/>
      <c r="P4279" s="5" t="n"/>
      <c r="Q4279" s="5" t="n"/>
      <c r="R4279" s="4" t="n"/>
      <c r="S4279" s="4" t="n"/>
      <c r="T4279" s="5" t="n"/>
      <c r="U4279" s="8">
        <f>IF(AND(V4279=1,D4279&lt;&gt;""),IF(D4279&gt;=corte,TODAY()-D4279,""),"")</f>
        <v/>
      </c>
      <c r="V4279" s="8">
        <f>IF(D4279="",0,IF(OR(AND(P4279&lt;&gt;"",S4279=""),AND(N(J4279)&gt;0,N(K4279)&lt;J4279),OR(M4279="PENDENTE",M4279="PARCIAL"),OR(N4279="PENDENTE",N4279="PARCIAL")),1,0))</f>
        <v/>
      </c>
      <c r="W4279" s="8">
        <f>IF(AND(V4279=1,D4279&lt;&gt;""),IF(D4279&gt;=corte,(B4279="CRÍTICO")*1E9+(100000-D4279)*10000+10000-ROW(),""),"")</f>
        <v/>
      </c>
      <c r="X4279" s="8">
        <f>IF(AND(V4279=1,D4279=pas_data,E4279=pas_turno),10000-ROW(),"")</f>
        <v/>
      </c>
    </row>
    <row r="4280">
      <c r="A4280" s="3">
        <f>IF(D4280="","","TT-"&amp;TEXT(ROW()-1,"00000"))</f>
        <v/>
      </c>
      <c r="B4280" s="3">
        <f>IF(D4280="","",IF(V4280=0,"CONCLUÍDO",IF(D4280&lt;corte,"HISTÓRICO",IF(OR(AND(ISNUMBER(R4280),R4280&lt;TODAY()),AND(OR(N4280="PENDENTE",N4280="PARCIAL"),D4280&lt;TODAY()-1)),"CRÍTICO",IF(OR(AND(P4280&lt;&gt;"",S4280=""),AND(N4280="REALIZADO",M4280="PENDENTE"),AND(ISNUMBER(R4280),R4280=TODAY())),"ATENÇÃO",IF(N(K4280)=0,"PENDENTE","EM ANDAMENTO"))))))</f>
        <v/>
      </c>
      <c r="C4280" s="3">
        <f>IF(D4280="","",IF(V4280=0,"🟢 OK",IF(D4280&lt;corte,"⚪ HISTÓRICO (sem baixa)",IF(AND(ISNUMBER(R4280),R4280&lt;TODAY()),"🔴 PRAZO VENCIDO",IF(AND(OR(N4280="PENDENTE",N4280="PARCIAL"),D4280&lt;TODAY()-1),"🔴 EMBARQUE ATRASADO",IF(AND(N4280="REALIZADO",M4280="PENDENTE"),"🟡 EMBARCADO SEM FATURAR",IF(AND(P4280&lt;&gt;"",S4280="",OR(Q4280="",R4280="")),"🟡 PENDÊNCIA SEM RESPONSÁVEL/PRAZO",IF(AND(ISNUMBER(R4280),R4280=TODAY()),"🟡 VENCE HOJE",IF(AND(P4280&lt;&gt;"",S4280=""),"🟡 PENDÊNCIA ABERTA",IF(AND(N(J4280)&gt;0,N(K4280)&lt;J4280),"🟡 FALTA EXECUTAR",IF(OR(M4280="PENDENTE",M4280="PARCIAL"),"🟡 FATURAMENTO PENDENTE","🟡 EMBARQUE PENDENTE")))))))))))</f>
        <v/>
      </c>
      <c r="D4280" s="4" t="n"/>
      <c r="E4280" s="5" t="n"/>
      <c r="F4280" s="5" t="n"/>
      <c r="G4280" s="5" t="n"/>
      <c r="H4280" s="5" t="n"/>
      <c r="I4280" s="5" t="n"/>
      <c r="J4280" s="6" t="n"/>
      <c r="K4280" s="6" t="n"/>
      <c r="L4280" s="7">
        <f>IF(OR(D4280="",N(J4280)=0),"",MIN(1,N(K4280)/J4280))</f>
        <v/>
      </c>
      <c r="M4280" s="5" t="n"/>
      <c r="N4280" s="5" t="n"/>
      <c r="O4280" s="5" t="n"/>
      <c r="P4280" s="5" t="n"/>
      <c r="Q4280" s="5" t="n"/>
      <c r="R4280" s="4" t="n"/>
      <c r="S4280" s="4" t="n"/>
      <c r="T4280" s="5" t="n"/>
      <c r="U4280" s="8">
        <f>IF(AND(V4280=1,D4280&lt;&gt;""),IF(D4280&gt;=corte,TODAY()-D4280,""),"")</f>
        <v/>
      </c>
      <c r="V4280" s="8">
        <f>IF(D4280="",0,IF(OR(AND(P4280&lt;&gt;"",S4280=""),AND(N(J4280)&gt;0,N(K4280)&lt;J4280),OR(M4280="PENDENTE",M4280="PARCIAL"),OR(N4280="PENDENTE",N4280="PARCIAL")),1,0))</f>
        <v/>
      </c>
      <c r="W4280" s="8">
        <f>IF(AND(V4280=1,D4280&lt;&gt;""),IF(D4280&gt;=corte,(B4280="CRÍTICO")*1E9+(100000-D4280)*10000+10000-ROW(),""),"")</f>
        <v/>
      </c>
      <c r="X4280" s="8">
        <f>IF(AND(V4280=1,D4280=pas_data,E4280=pas_turno),10000-ROW(),"")</f>
        <v/>
      </c>
    </row>
    <row r="4281">
      <c r="A4281" s="3">
        <f>IF(D4281="","","TT-"&amp;TEXT(ROW()-1,"00000"))</f>
        <v/>
      </c>
      <c r="B4281" s="3">
        <f>IF(D4281="","",IF(V4281=0,"CONCLUÍDO",IF(D4281&lt;corte,"HISTÓRICO",IF(OR(AND(ISNUMBER(R4281),R4281&lt;TODAY()),AND(OR(N4281="PENDENTE",N4281="PARCIAL"),D4281&lt;TODAY()-1)),"CRÍTICO",IF(OR(AND(P4281&lt;&gt;"",S4281=""),AND(N4281="REALIZADO",M4281="PENDENTE"),AND(ISNUMBER(R4281),R4281=TODAY())),"ATENÇÃO",IF(N(K4281)=0,"PENDENTE","EM ANDAMENTO"))))))</f>
        <v/>
      </c>
      <c r="C4281" s="3">
        <f>IF(D4281="","",IF(V4281=0,"🟢 OK",IF(D4281&lt;corte,"⚪ HISTÓRICO (sem baixa)",IF(AND(ISNUMBER(R4281),R4281&lt;TODAY()),"🔴 PRAZO VENCIDO",IF(AND(OR(N4281="PENDENTE",N4281="PARCIAL"),D4281&lt;TODAY()-1),"🔴 EMBARQUE ATRASADO",IF(AND(N4281="REALIZADO",M4281="PENDENTE"),"🟡 EMBARCADO SEM FATURAR",IF(AND(P4281&lt;&gt;"",S4281="",OR(Q4281="",R4281="")),"🟡 PENDÊNCIA SEM RESPONSÁVEL/PRAZO",IF(AND(ISNUMBER(R4281),R4281=TODAY()),"🟡 VENCE HOJE",IF(AND(P4281&lt;&gt;"",S4281=""),"🟡 PENDÊNCIA ABERTA",IF(AND(N(J4281)&gt;0,N(K4281)&lt;J4281),"🟡 FALTA EXECUTAR",IF(OR(M4281="PENDENTE",M4281="PARCIAL"),"🟡 FATURAMENTO PENDENTE","🟡 EMBARQUE PENDENTE")))))))))))</f>
        <v/>
      </c>
      <c r="D4281" s="4" t="n"/>
      <c r="E4281" s="5" t="n"/>
      <c r="F4281" s="5" t="n"/>
      <c r="G4281" s="5" t="n"/>
      <c r="H4281" s="5" t="n"/>
      <c r="I4281" s="5" t="n"/>
      <c r="J4281" s="6" t="n"/>
      <c r="K4281" s="6" t="n"/>
      <c r="L4281" s="7">
        <f>IF(OR(D4281="",N(J4281)=0),"",MIN(1,N(K4281)/J4281))</f>
        <v/>
      </c>
      <c r="M4281" s="5" t="n"/>
      <c r="N4281" s="5" t="n"/>
      <c r="O4281" s="5" t="n"/>
      <c r="P4281" s="5" t="n"/>
      <c r="Q4281" s="5" t="n"/>
      <c r="R4281" s="4" t="n"/>
      <c r="S4281" s="4" t="n"/>
      <c r="T4281" s="5" t="n"/>
      <c r="U4281" s="8">
        <f>IF(AND(V4281=1,D4281&lt;&gt;""),IF(D4281&gt;=corte,TODAY()-D4281,""),"")</f>
        <v/>
      </c>
      <c r="V4281" s="8">
        <f>IF(D4281="",0,IF(OR(AND(P4281&lt;&gt;"",S4281=""),AND(N(J4281)&gt;0,N(K4281)&lt;J4281),OR(M4281="PENDENTE",M4281="PARCIAL"),OR(N4281="PENDENTE",N4281="PARCIAL")),1,0))</f>
        <v/>
      </c>
      <c r="W4281" s="8">
        <f>IF(AND(V4281=1,D4281&lt;&gt;""),IF(D4281&gt;=corte,(B4281="CRÍTICO")*1E9+(100000-D4281)*10000+10000-ROW(),""),"")</f>
        <v/>
      </c>
      <c r="X4281" s="8">
        <f>IF(AND(V4281=1,D4281=pas_data,E4281=pas_turno),10000-ROW(),"")</f>
        <v/>
      </c>
    </row>
    <row r="4282">
      <c r="A4282" s="3">
        <f>IF(D4282="","","TT-"&amp;TEXT(ROW()-1,"00000"))</f>
        <v/>
      </c>
      <c r="B4282" s="3">
        <f>IF(D4282="","",IF(V4282=0,"CONCLUÍDO",IF(D4282&lt;corte,"HISTÓRICO",IF(OR(AND(ISNUMBER(R4282),R4282&lt;TODAY()),AND(OR(N4282="PENDENTE",N4282="PARCIAL"),D4282&lt;TODAY()-1)),"CRÍTICO",IF(OR(AND(P4282&lt;&gt;"",S4282=""),AND(N4282="REALIZADO",M4282="PENDENTE"),AND(ISNUMBER(R4282),R4282=TODAY())),"ATENÇÃO",IF(N(K4282)=0,"PENDENTE","EM ANDAMENTO"))))))</f>
        <v/>
      </c>
      <c r="C4282" s="3">
        <f>IF(D4282="","",IF(V4282=0,"🟢 OK",IF(D4282&lt;corte,"⚪ HISTÓRICO (sem baixa)",IF(AND(ISNUMBER(R4282),R4282&lt;TODAY()),"🔴 PRAZO VENCIDO",IF(AND(OR(N4282="PENDENTE",N4282="PARCIAL"),D4282&lt;TODAY()-1),"🔴 EMBARQUE ATRASADO",IF(AND(N4282="REALIZADO",M4282="PENDENTE"),"🟡 EMBARCADO SEM FATURAR",IF(AND(P4282&lt;&gt;"",S4282="",OR(Q4282="",R4282="")),"🟡 PENDÊNCIA SEM RESPONSÁVEL/PRAZO",IF(AND(ISNUMBER(R4282),R4282=TODAY()),"🟡 VENCE HOJE",IF(AND(P4282&lt;&gt;"",S4282=""),"🟡 PENDÊNCIA ABERTA",IF(AND(N(J4282)&gt;0,N(K4282)&lt;J4282),"🟡 FALTA EXECUTAR",IF(OR(M4282="PENDENTE",M4282="PARCIAL"),"🟡 FATURAMENTO PENDENTE","🟡 EMBARQUE PENDENTE")))))))))))</f>
        <v/>
      </c>
      <c r="D4282" s="4" t="n"/>
      <c r="E4282" s="5" t="n"/>
      <c r="F4282" s="5" t="n"/>
      <c r="G4282" s="5" t="n"/>
      <c r="H4282" s="5" t="n"/>
      <c r="I4282" s="5" t="n"/>
      <c r="J4282" s="6" t="n"/>
      <c r="K4282" s="6" t="n"/>
      <c r="L4282" s="7">
        <f>IF(OR(D4282="",N(J4282)=0),"",MIN(1,N(K4282)/J4282))</f>
        <v/>
      </c>
      <c r="M4282" s="5" t="n"/>
      <c r="N4282" s="5" t="n"/>
      <c r="O4282" s="5" t="n"/>
      <c r="P4282" s="5" t="n"/>
      <c r="Q4282" s="5" t="n"/>
      <c r="R4282" s="4" t="n"/>
      <c r="S4282" s="4" t="n"/>
      <c r="T4282" s="5" t="n"/>
      <c r="U4282" s="8">
        <f>IF(AND(V4282=1,D4282&lt;&gt;""),IF(D4282&gt;=corte,TODAY()-D4282,""),"")</f>
        <v/>
      </c>
      <c r="V4282" s="8">
        <f>IF(D4282="",0,IF(OR(AND(P4282&lt;&gt;"",S4282=""),AND(N(J4282)&gt;0,N(K4282)&lt;J4282),OR(M4282="PENDENTE",M4282="PARCIAL"),OR(N4282="PENDENTE",N4282="PARCIAL")),1,0))</f>
        <v/>
      </c>
      <c r="W4282" s="8">
        <f>IF(AND(V4282=1,D4282&lt;&gt;""),IF(D4282&gt;=corte,(B4282="CRÍTICO")*1E9+(100000-D4282)*10000+10000-ROW(),""),"")</f>
        <v/>
      </c>
      <c r="X4282" s="8">
        <f>IF(AND(V4282=1,D4282=pas_data,E4282=pas_turno),10000-ROW(),"")</f>
        <v/>
      </c>
    </row>
    <row r="4283">
      <c r="A4283" s="3">
        <f>IF(D4283="","","TT-"&amp;TEXT(ROW()-1,"00000"))</f>
        <v/>
      </c>
      <c r="B4283" s="3">
        <f>IF(D4283="","",IF(V4283=0,"CONCLUÍDO",IF(D4283&lt;corte,"HISTÓRICO",IF(OR(AND(ISNUMBER(R4283),R4283&lt;TODAY()),AND(OR(N4283="PENDENTE",N4283="PARCIAL"),D4283&lt;TODAY()-1)),"CRÍTICO",IF(OR(AND(P4283&lt;&gt;"",S4283=""),AND(N4283="REALIZADO",M4283="PENDENTE"),AND(ISNUMBER(R4283),R4283=TODAY())),"ATENÇÃO",IF(N(K4283)=0,"PENDENTE","EM ANDAMENTO"))))))</f>
        <v/>
      </c>
      <c r="C4283" s="3">
        <f>IF(D4283="","",IF(V4283=0,"🟢 OK",IF(D4283&lt;corte,"⚪ HISTÓRICO (sem baixa)",IF(AND(ISNUMBER(R4283),R4283&lt;TODAY()),"🔴 PRAZO VENCIDO",IF(AND(OR(N4283="PENDENTE",N4283="PARCIAL"),D4283&lt;TODAY()-1),"🔴 EMBARQUE ATRASADO",IF(AND(N4283="REALIZADO",M4283="PENDENTE"),"🟡 EMBARCADO SEM FATURAR",IF(AND(P4283&lt;&gt;"",S4283="",OR(Q4283="",R4283="")),"🟡 PENDÊNCIA SEM RESPONSÁVEL/PRAZO",IF(AND(ISNUMBER(R4283),R4283=TODAY()),"🟡 VENCE HOJE",IF(AND(P4283&lt;&gt;"",S4283=""),"🟡 PENDÊNCIA ABERTA",IF(AND(N(J4283)&gt;0,N(K4283)&lt;J4283),"🟡 FALTA EXECUTAR",IF(OR(M4283="PENDENTE",M4283="PARCIAL"),"🟡 FATURAMENTO PENDENTE","🟡 EMBARQUE PENDENTE")))))))))))</f>
        <v/>
      </c>
      <c r="D4283" s="4" t="n"/>
      <c r="E4283" s="5" t="n"/>
      <c r="F4283" s="5" t="n"/>
      <c r="G4283" s="5" t="n"/>
      <c r="H4283" s="5" t="n"/>
      <c r="I4283" s="5" t="n"/>
      <c r="J4283" s="6" t="n"/>
      <c r="K4283" s="6" t="n"/>
      <c r="L4283" s="7">
        <f>IF(OR(D4283="",N(J4283)=0),"",MIN(1,N(K4283)/J4283))</f>
        <v/>
      </c>
      <c r="M4283" s="5" t="n"/>
      <c r="N4283" s="5" t="n"/>
      <c r="O4283" s="5" t="n"/>
      <c r="P4283" s="5" t="n"/>
      <c r="Q4283" s="5" t="n"/>
      <c r="R4283" s="4" t="n"/>
      <c r="S4283" s="4" t="n"/>
      <c r="T4283" s="5" t="n"/>
      <c r="U4283" s="8">
        <f>IF(AND(V4283=1,D4283&lt;&gt;""),IF(D4283&gt;=corte,TODAY()-D4283,""),"")</f>
        <v/>
      </c>
      <c r="V4283" s="8">
        <f>IF(D4283="",0,IF(OR(AND(P4283&lt;&gt;"",S4283=""),AND(N(J4283)&gt;0,N(K4283)&lt;J4283),OR(M4283="PENDENTE",M4283="PARCIAL"),OR(N4283="PENDENTE",N4283="PARCIAL")),1,0))</f>
        <v/>
      </c>
      <c r="W4283" s="8">
        <f>IF(AND(V4283=1,D4283&lt;&gt;""),IF(D4283&gt;=corte,(B4283="CRÍTICO")*1E9+(100000-D4283)*10000+10000-ROW(),""),"")</f>
        <v/>
      </c>
      <c r="X4283" s="8">
        <f>IF(AND(V4283=1,D4283=pas_data,E4283=pas_turno),10000-ROW(),"")</f>
        <v/>
      </c>
    </row>
    <row r="4284">
      <c r="A4284" s="3">
        <f>IF(D4284="","","TT-"&amp;TEXT(ROW()-1,"00000"))</f>
        <v/>
      </c>
      <c r="B4284" s="3">
        <f>IF(D4284="","",IF(V4284=0,"CONCLUÍDO",IF(D4284&lt;corte,"HISTÓRICO",IF(OR(AND(ISNUMBER(R4284),R4284&lt;TODAY()),AND(OR(N4284="PENDENTE",N4284="PARCIAL"),D4284&lt;TODAY()-1)),"CRÍTICO",IF(OR(AND(P4284&lt;&gt;"",S4284=""),AND(N4284="REALIZADO",M4284="PENDENTE"),AND(ISNUMBER(R4284),R4284=TODAY())),"ATENÇÃO",IF(N(K4284)=0,"PENDENTE","EM ANDAMENTO"))))))</f>
        <v/>
      </c>
      <c r="C4284" s="3">
        <f>IF(D4284="","",IF(V4284=0,"🟢 OK",IF(D4284&lt;corte,"⚪ HISTÓRICO (sem baixa)",IF(AND(ISNUMBER(R4284),R4284&lt;TODAY()),"🔴 PRAZO VENCIDO",IF(AND(OR(N4284="PENDENTE",N4284="PARCIAL"),D4284&lt;TODAY()-1),"🔴 EMBARQUE ATRASADO",IF(AND(N4284="REALIZADO",M4284="PENDENTE"),"🟡 EMBARCADO SEM FATURAR",IF(AND(P4284&lt;&gt;"",S4284="",OR(Q4284="",R4284="")),"🟡 PENDÊNCIA SEM RESPONSÁVEL/PRAZO",IF(AND(ISNUMBER(R4284),R4284=TODAY()),"🟡 VENCE HOJE",IF(AND(P4284&lt;&gt;"",S4284=""),"🟡 PENDÊNCIA ABERTA",IF(AND(N(J4284)&gt;0,N(K4284)&lt;J4284),"🟡 FALTA EXECUTAR",IF(OR(M4284="PENDENTE",M4284="PARCIAL"),"🟡 FATURAMENTO PENDENTE","🟡 EMBARQUE PENDENTE")))))))))))</f>
        <v/>
      </c>
      <c r="D4284" s="4" t="n"/>
      <c r="E4284" s="5" t="n"/>
      <c r="F4284" s="5" t="n"/>
      <c r="G4284" s="5" t="n"/>
      <c r="H4284" s="5" t="n"/>
      <c r="I4284" s="5" t="n"/>
      <c r="J4284" s="6" t="n"/>
      <c r="K4284" s="6" t="n"/>
      <c r="L4284" s="7">
        <f>IF(OR(D4284="",N(J4284)=0),"",MIN(1,N(K4284)/J4284))</f>
        <v/>
      </c>
      <c r="M4284" s="5" t="n"/>
      <c r="N4284" s="5" t="n"/>
      <c r="O4284" s="5" t="n"/>
      <c r="P4284" s="5" t="n"/>
      <c r="Q4284" s="5" t="n"/>
      <c r="R4284" s="4" t="n"/>
      <c r="S4284" s="4" t="n"/>
      <c r="T4284" s="5" t="n"/>
      <c r="U4284" s="8">
        <f>IF(AND(V4284=1,D4284&lt;&gt;""),IF(D4284&gt;=corte,TODAY()-D4284,""),"")</f>
        <v/>
      </c>
      <c r="V4284" s="8">
        <f>IF(D4284="",0,IF(OR(AND(P4284&lt;&gt;"",S4284=""),AND(N(J4284)&gt;0,N(K4284)&lt;J4284),OR(M4284="PENDENTE",M4284="PARCIAL"),OR(N4284="PENDENTE",N4284="PARCIAL")),1,0))</f>
        <v/>
      </c>
      <c r="W4284" s="8">
        <f>IF(AND(V4284=1,D4284&lt;&gt;""),IF(D4284&gt;=corte,(B4284="CRÍTICO")*1E9+(100000-D4284)*10000+10000-ROW(),""),"")</f>
        <v/>
      </c>
      <c r="X4284" s="8">
        <f>IF(AND(V4284=1,D4284=pas_data,E4284=pas_turno),10000-ROW(),"")</f>
        <v/>
      </c>
    </row>
    <row r="4285">
      <c r="A4285" s="3">
        <f>IF(D4285="","","TT-"&amp;TEXT(ROW()-1,"00000"))</f>
        <v/>
      </c>
      <c r="B4285" s="3">
        <f>IF(D4285="","",IF(V4285=0,"CONCLUÍDO",IF(D4285&lt;corte,"HISTÓRICO",IF(OR(AND(ISNUMBER(R4285),R4285&lt;TODAY()),AND(OR(N4285="PENDENTE",N4285="PARCIAL"),D4285&lt;TODAY()-1)),"CRÍTICO",IF(OR(AND(P4285&lt;&gt;"",S4285=""),AND(N4285="REALIZADO",M4285="PENDENTE"),AND(ISNUMBER(R4285),R4285=TODAY())),"ATENÇÃO",IF(N(K4285)=0,"PENDENTE","EM ANDAMENTO"))))))</f>
        <v/>
      </c>
      <c r="C4285" s="3">
        <f>IF(D4285="","",IF(V4285=0,"🟢 OK",IF(D4285&lt;corte,"⚪ HISTÓRICO (sem baixa)",IF(AND(ISNUMBER(R4285),R4285&lt;TODAY()),"🔴 PRAZO VENCIDO",IF(AND(OR(N4285="PENDENTE",N4285="PARCIAL"),D4285&lt;TODAY()-1),"🔴 EMBARQUE ATRASADO",IF(AND(N4285="REALIZADO",M4285="PENDENTE"),"🟡 EMBARCADO SEM FATURAR",IF(AND(P4285&lt;&gt;"",S4285="",OR(Q4285="",R4285="")),"🟡 PENDÊNCIA SEM RESPONSÁVEL/PRAZO",IF(AND(ISNUMBER(R4285),R4285=TODAY()),"🟡 VENCE HOJE",IF(AND(P4285&lt;&gt;"",S4285=""),"🟡 PENDÊNCIA ABERTA",IF(AND(N(J4285)&gt;0,N(K4285)&lt;J4285),"🟡 FALTA EXECUTAR",IF(OR(M4285="PENDENTE",M4285="PARCIAL"),"🟡 FATURAMENTO PENDENTE","🟡 EMBARQUE PENDENTE")))))))))))</f>
        <v/>
      </c>
      <c r="D4285" s="4" t="n"/>
      <c r="E4285" s="5" t="n"/>
      <c r="F4285" s="5" t="n"/>
      <c r="G4285" s="5" t="n"/>
      <c r="H4285" s="5" t="n"/>
      <c r="I4285" s="5" t="n"/>
      <c r="J4285" s="6" t="n"/>
      <c r="K4285" s="6" t="n"/>
      <c r="L4285" s="7">
        <f>IF(OR(D4285="",N(J4285)=0),"",MIN(1,N(K4285)/J4285))</f>
        <v/>
      </c>
      <c r="M4285" s="5" t="n"/>
      <c r="N4285" s="5" t="n"/>
      <c r="O4285" s="5" t="n"/>
      <c r="P4285" s="5" t="n"/>
      <c r="Q4285" s="5" t="n"/>
      <c r="R4285" s="4" t="n"/>
      <c r="S4285" s="4" t="n"/>
      <c r="T4285" s="5" t="n"/>
      <c r="U4285" s="8">
        <f>IF(AND(V4285=1,D4285&lt;&gt;""),IF(D4285&gt;=corte,TODAY()-D4285,""),"")</f>
        <v/>
      </c>
      <c r="V4285" s="8">
        <f>IF(D4285="",0,IF(OR(AND(P4285&lt;&gt;"",S4285=""),AND(N(J4285)&gt;0,N(K4285)&lt;J4285),OR(M4285="PENDENTE",M4285="PARCIAL"),OR(N4285="PENDENTE",N4285="PARCIAL")),1,0))</f>
        <v/>
      </c>
      <c r="W4285" s="8">
        <f>IF(AND(V4285=1,D4285&lt;&gt;""),IF(D4285&gt;=corte,(B4285="CRÍTICO")*1E9+(100000-D4285)*10000+10000-ROW(),""),"")</f>
        <v/>
      </c>
      <c r="X4285" s="8">
        <f>IF(AND(V4285=1,D4285=pas_data,E4285=pas_turno),10000-ROW(),"")</f>
        <v/>
      </c>
    </row>
    <row r="4286">
      <c r="A4286" s="3">
        <f>IF(D4286="","","TT-"&amp;TEXT(ROW()-1,"00000"))</f>
        <v/>
      </c>
      <c r="B4286" s="3">
        <f>IF(D4286="","",IF(V4286=0,"CONCLUÍDO",IF(D4286&lt;corte,"HISTÓRICO",IF(OR(AND(ISNUMBER(R4286),R4286&lt;TODAY()),AND(OR(N4286="PENDENTE",N4286="PARCIAL"),D4286&lt;TODAY()-1)),"CRÍTICO",IF(OR(AND(P4286&lt;&gt;"",S4286=""),AND(N4286="REALIZADO",M4286="PENDENTE"),AND(ISNUMBER(R4286),R4286=TODAY())),"ATENÇÃO",IF(N(K4286)=0,"PENDENTE","EM ANDAMENTO"))))))</f>
        <v/>
      </c>
      <c r="C4286" s="3">
        <f>IF(D4286="","",IF(V4286=0,"🟢 OK",IF(D4286&lt;corte,"⚪ HISTÓRICO (sem baixa)",IF(AND(ISNUMBER(R4286),R4286&lt;TODAY()),"🔴 PRAZO VENCIDO",IF(AND(OR(N4286="PENDENTE",N4286="PARCIAL"),D4286&lt;TODAY()-1),"🔴 EMBARQUE ATRASADO",IF(AND(N4286="REALIZADO",M4286="PENDENTE"),"🟡 EMBARCADO SEM FATURAR",IF(AND(P4286&lt;&gt;"",S4286="",OR(Q4286="",R4286="")),"🟡 PENDÊNCIA SEM RESPONSÁVEL/PRAZO",IF(AND(ISNUMBER(R4286),R4286=TODAY()),"🟡 VENCE HOJE",IF(AND(P4286&lt;&gt;"",S4286=""),"🟡 PENDÊNCIA ABERTA",IF(AND(N(J4286)&gt;0,N(K4286)&lt;J4286),"🟡 FALTA EXECUTAR",IF(OR(M4286="PENDENTE",M4286="PARCIAL"),"🟡 FATURAMENTO PENDENTE","🟡 EMBARQUE PENDENTE")))))))))))</f>
        <v/>
      </c>
      <c r="D4286" s="4" t="n"/>
      <c r="E4286" s="5" t="n"/>
      <c r="F4286" s="5" t="n"/>
      <c r="G4286" s="5" t="n"/>
      <c r="H4286" s="5" t="n"/>
      <c r="I4286" s="5" t="n"/>
      <c r="J4286" s="6" t="n"/>
      <c r="K4286" s="6" t="n"/>
      <c r="L4286" s="7">
        <f>IF(OR(D4286="",N(J4286)=0),"",MIN(1,N(K4286)/J4286))</f>
        <v/>
      </c>
      <c r="M4286" s="5" t="n"/>
      <c r="N4286" s="5" t="n"/>
      <c r="O4286" s="5" t="n"/>
      <c r="P4286" s="5" t="n"/>
      <c r="Q4286" s="5" t="n"/>
      <c r="R4286" s="4" t="n"/>
      <c r="S4286" s="4" t="n"/>
      <c r="T4286" s="5" t="n"/>
      <c r="U4286" s="8">
        <f>IF(AND(V4286=1,D4286&lt;&gt;""),IF(D4286&gt;=corte,TODAY()-D4286,""),"")</f>
        <v/>
      </c>
      <c r="V4286" s="8">
        <f>IF(D4286="",0,IF(OR(AND(P4286&lt;&gt;"",S4286=""),AND(N(J4286)&gt;0,N(K4286)&lt;J4286),OR(M4286="PENDENTE",M4286="PARCIAL"),OR(N4286="PENDENTE",N4286="PARCIAL")),1,0))</f>
        <v/>
      </c>
      <c r="W4286" s="8">
        <f>IF(AND(V4286=1,D4286&lt;&gt;""),IF(D4286&gt;=corte,(B4286="CRÍTICO")*1E9+(100000-D4286)*10000+10000-ROW(),""),"")</f>
        <v/>
      </c>
      <c r="X4286" s="8">
        <f>IF(AND(V4286=1,D4286=pas_data,E4286=pas_turno),10000-ROW(),"")</f>
        <v/>
      </c>
    </row>
    <row r="4287">
      <c r="A4287" s="3">
        <f>IF(D4287="","","TT-"&amp;TEXT(ROW()-1,"00000"))</f>
        <v/>
      </c>
      <c r="B4287" s="3">
        <f>IF(D4287="","",IF(V4287=0,"CONCLUÍDO",IF(D4287&lt;corte,"HISTÓRICO",IF(OR(AND(ISNUMBER(R4287),R4287&lt;TODAY()),AND(OR(N4287="PENDENTE",N4287="PARCIAL"),D4287&lt;TODAY()-1)),"CRÍTICO",IF(OR(AND(P4287&lt;&gt;"",S4287=""),AND(N4287="REALIZADO",M4287="PENDENTE"),AND(ISNUMBER(R4287),R4287=TODAY())),"ATENÇÃO",IF(N(K4287)=0,"PENDENTE","EM ANDAMENTO"))))))</f>
        <v/>
      </c>
      <c r="C4287" s="3">
        <f>IF(D4287="","",IF(V4287=0,"🟢 OK",IF(D4287&lt;corte,"⚪ HISTÓRICO (sem baixa)",IF(AND(ISNUMBER(R4287),R4287&lt;TODAY()),"🔴 PRAZO VENCIDO",IF(AND(OR(N4287="PENDENTE",N4287="PARCIAL"),D4287&lt;TODAY()-1),"🔴 EMBARQUE ATRASADO",IF(AND(N4287="REALIZADO",M4287="PENDENTE"),"🟡 EMBARCADO SEM FATURAR",IF(AND(P4287&lt;&gt;"",S4287="",OR(Q4287="",R4287="")),"🟡 PENDÊNCIA SEM RESPONSÁVEL/PRAZO",IF(AND(ISNUMBER(R4287),R4287=TODAY()),"🟡 VENCE HOJE",IF(AND(P4287&lt;&gt;"",S4287=""),"🟡 PENDÊNCIA ABERTA",IF(AND(N(J4287)&gt;0,N(K4287)&lt;J4287),"🟡 FALTA EXECUTAR",IF(OR(M4287="PENDENTE",M4287="PARCIAL"),"🟡 FATURAMENTO PENDENTE","🟡 EMBARQUE PENDENTE")))))))))))</f>
        <v/>
      </c>
      <c r="D4287" s="4" t="n"/>
      <c r="E4287" s="5" t="n"/>
      <c r="F4287" s="5" t="n"/>
      <c r="G4287" s="5" t="n"/>
      <c r="H4287" s="5" t="n"/>
      <c r="I4287" s="5" t="n"/>
      <c r="J4287" s="6" t="n"/>
      <c r="K4287" s="6" t="n"/>
      <c r="L4287" s="7">
        <f>IF(OR(D4287="",N(J4287)=0),"",MIN(1,N(K4287)/J4287))</f>
        <v/>
      </c>
      <c r="M4287" s="5" t="n"/>
      <c r="N4287" s="5" t="n"/>
      <c r="O4287" s="5" t="n"/>
      <c r="P4287" s="5" t="n"/>
      <c r="Q4287" s="5" t="n"/>
      <c r="R4287" s="4" t="n"/>
      <c r="S4287" s="4" t="n"/>
      <c r="T4287" s="5" t="n"/>
      <c r="U4287" s="8">
        <f>IF(AND(V4287=1,D4287&lt;&gt;""),IF(D4287&gt;=corte,TODAY()-D4287,""),"")</f>
        <v/>
      </c>
      <c r="V4287" s="8">
        <f>IF(D4287="",0,IF(OR(AND(P4287&lt;&gt;"",S4287=""),AND(N(J4287)&gt;0,N(K4287)&lt;J4287),OR(M4287="PENDENTE",M4287="PARCIAL"),OR(N4287="PENDENTE",N4287="PARCIAL")),1,0))</f>
        <v/>
      </c>
      <c r="W4287" s="8">
        <f>IF(AND(V4287=1,D4287&lt;&gt;""),IF(D4287&gt;=corte,(B4287="CRÍTICO")*1E9+(100000-D4287)*10000+10000-ROW(),""),"")</f>
        <v/>
      </c>
      <c r="X4287" s="8">
        <f>IF(AND(V4287=1,D4287=pas_data,E4287=pas_turno),10000-ROW(),"")</f>
        <v/>
      </c>
    </row>
    <row r="4288">
      <c r="A4288" s="3">
        <f>IF(D4288="","","TT-"&amp;TEXT(ROW()-1,"00000"))</f>
        <v/>
      </c>
      <c r="B4288" s="3">
        <f>IF(D4288="","",IF(V4288=0,"CONCLUÍDO",IF(D4288&lt;corte,"HISTÓRICO",IF(OR(AND(ISNUMBER(R4288),R4288&lt;TODAY()),AND(OR(N4288="PENDENTE",N4288="PARCIAL"),D4288&lt;TODAY()-1)),"CRÍTICO",IF(OR(AND(P4288&lt;&gt;"",S4288=""),AND(N4288="REALIZADO",M4288="PENDENTE"),AND(ISNUMBER(R4288),R4288=TODAY())),"ATENÇÃO",IF(N(K4288)=0,"PENDENTE","EM ANDAMENTO"))))))</f>
        <v/>
      </c>
      <c r="C4288" s="3">
        <f>IF(D4288="","",IF(V4288=0,"🟢 OK",IF(D4288&lt;corte,"⚪ HISTÓRICO (sem baixa)",IF(AND(ISNUMBER(R4288),R4288&lt;TODAY()),"🔴 PRAZO VENCIDO",IF(AND(OR(N4288="PENDENTE",N4288="PARCIAL"),D4288&lt;TODAY()-1),"🔴 EMBARQUE ATRASADO",IF(AND(N4288="REALIZADO",M4288="PENDENTE"),"🟡 EMBARCADO SEM FATURAR",IF(AND(P4288&lt;&gt;"",S4288="",OR(Q4288="",R4288="")),"🟡 PENDÊNCIA SEM RESPONSÁVEL/PRAZO",IF(AND(ISNUMBER(R4288),R4288=TODAY()),"🟡 VENCE HOJE",IF(AND(P4288&lt;&gt;"",S4288=""),"🟡 PENDÊNCIA ABERTA",IF(AND(N(J4288)&gt;0,N(K4288)&lt;J4288),"🟡 FALTA EXECUTAR",IF(OR(M4288="PENDENTE",M4288="PARCIAL"),"🟡 FATURAMENTO PENDENTE","🟡 EMBARQUE PENDENTE")))))))))))</f>
        <v/>
      </c>
      <c r="D4288" s="4" t="n"/>
      <c r="E4288" s="5" t="n"/>
      <c r="F4288" s="5" t="n"/>
      <c r="G4288" s="5" t="n"/>
      <c r="H4288" s="5" t="n"/>
      <c r="I4288" s="5" t="n"/>
      <c r="J4288" s="6" t="n"/>
      <c r="K4288" s="6" t="n"/>
      <c r="L4288" s="7">
        <f>IF(OR(D4288="",N(J4288)=0),"",MIN(1,N(K4288)/J4288))</f>
        <v/>
      </c>
      <c r="M4288" s="5" t="n"/>
      <c r="N4288" s="5" t="n"/>
      <c r="O4288" s="5" t="n"/>
      <c r="P4288" s="5" t="n"/>
      <c r="Q4288" s="5" t="n"/>
      <c r="R4288" s="4" t="n"/>
      <c r="S4288" s="4" t="n"/>
      <c r="T4288" s="5" t="n"/>
      <c r="U4288" s="8">
        <f>IF(AND(V4288=1,D4288&lt;&gt;""),IF(D4288&gt;=corte,TODAY()-D4288,""),"")</f>
        <v/>
      </c>
      <c r="V4288" s="8">
        <f>IF(D4288="",0,IF(OR(AND(P4288&lt;&gt;"",S4288=""),AND(N(J4288)&gt;0,N(K4288)&lt;J4288),OR(M4288="PENDENTE",M4288="PARCIAL"),OR(N4288="PENDENTE",N4288="PARCIAL")),1,0))</f>
        <v/>
      </c>
      <c r="W4288" s="8">
        <f>IF(AND(V4288=1,D4288&lt;&gt;""),IF(D4288&gt;=corte,(B4288="CRÍTICO")*1E9+(100000-D4288)*10000+10000-ROW(),""),"")</f>
        <v/>
      </c>
      <c r="X4288" s="8">
        <f>IF(AND(V4288=1,D4288=pas_data,E4288=pas_turno),10000-ROW(),"")</f>
        <v/>
      </c>
    </row>
    <row r="4289">
      <c r="A4289" s="3">
        <f>IF(D4289="","","TT-"&amp;TEXT(ROW()-1,"00000"))</f>
        <v/>
      </c>
      <c r="B4289" s="3">
        <f>IF(D4289="","",IF(V4289=0,"CONCLUÍDO",IF(D4289&lt;corte,"HISTÓRICO",IF(OR(AND(ISNUMBER(R4289),R4289&lt;TODAY()),AND(OR(N4289="PENDENTE",N4289="PARCIAL"),D4289&lt;TODAY()-1)),"CRÍTICO",IF(OR(AND(P4289&lt;&gt;"",S4289=""),AND(N4289="REALIZADO",M4289="PENDENTE"),AND(ISNUMBER(R4289),R4289=TODAY())),"ATENÇÃO",IF(N(K4289)=0,"PENDENTE","EM ANDAMENTO"))))))</f>
        <v/>
      </c>
      <c r="C4289" s="3">
        <f>IF(D4289="","",IF(V4289=0,"🟢 OK",IF(D4289&lt;corte,"⚪ HISTÓRICO (sem baixa)",IF(AND(ISNUMBER(R4289),R4289&lt;TODAY()),"🔴 PRAZO VENCIDO",IF(AND(OR(N4289="PENDENTE",N4289="PARCIAL"),D4289&lt;TODAY()-1),"🔴 EMBARQUE ATRASADO",IF(AND(N4289="REALIZADO",M4289="PENDENTE"),"🟡 EMBARCADO SEM FATURAR",IF(AND(P4289&lt;&gt;"",S4289="",OR(Q4289="",R4289="")),"🟡 PENDÊNCIA SEM RESPONSÁVEL/PRAZO",IF(AND(ISNUMBER(R4289),R4289=TODAY()),"🟡 VENCE HOJE",IF(AND(P4289&lt;&gt;"",S4289=""),"🟡 PENDÊNCIA ABERTA",IF(AND(N(J4289)&gt;0,N(K4289)&lt;J4289),"🟡 FALTA EXECUTAR",IF(OR(M4289="PENDENTE",M4289="PARCIAL"),"🟡 FATURAMENTO PENDENTE","🟡 EMBARQUE PENDENTE")))))))))))</f>
        <v/>
      </c>
      <c r="D4289" s="4" t="n"/>
      <c r="E4289" s="5" t="n"/>
      <c r="F4289" s="5" t="n"/>
      <c r="G4289" s="5" t="n"/>
      <c r="H4289" s="5" t="n"/>
      <c r="I4289" s="5" t="n"/>
      <c r="J4289" s="6" t="n"/>
      <c r="K4289" s="6" t="n"/>
      <c r="L4289" s="7">
        <f>IF(OR(D4289="",N(J4289)=0),"",MIN(1,N(K4289)/J4289))</f>
        <v/>
      </c>
      <c r="M4289" s="5" t="n"/>
      <c r="N4289" s="5" t="n"/>
      <c r="O4289" s="5" t="n"/>
      <c r="P4289" s="5" t="n"/>
      <c r="Q4289" s="5" t="n"/>
      <c r="R4289" s="4" t="n"/>
      <c r="S4289" s="4" t="n"/>
      <c r="T4289" s="5" t="n"/>
      <c r="U4289" s="8">
        <f>IF(AND(V4289=1,D4289&lt;&gt;""),IF(D4289&gt;=corte,TODAY()-D4289,""),"")</f>
        <v/>
      </c>
      <c r="V4289" s="8">
        <f>IF(D4289="",0,IF(OR(AND(P4289&lt;&gt;"",S4289=""),AND(N(J4289)&gt;0,N(K4289)&lt;J4289),OR(M4289="PENDENTE",M4289="PARCIAL"),OR(N4289="PENDENTE",N4289="PARCIAL")),1,0))</f>
        <v/>
      </c>
      <c r="W4289" s="8">
        <f>IF(AND(V4289=1,D4289&lt;&gt;""),IF(D4289&gt;=corte,(B4289="CRÍTICO")*1E9+(100000-D4289)*10000+10000-ROW(),""),"")</f>
        <v/>
      </c>
      <c r="X4289" s="8">
        <f>IF(AND(V4289=1,D4289=pas_data,E4289=pas_turno),10000-ROW(),"")</f>
        <v/>
      </c>
    </row>
    <row r="4290">
      <c r="A4290" s="3">
        <f>IF(D4290="","","TT-"&amp;TEXT(ROW()-1,"00000"))</f>
        <v/>
      </c>
      <c r="B4290" s="3">
        <f>IF(D4290="","",IF(V4290=0,"CONCLUÍDO",IF(D4290&lt;corte,"HISTÓRICO",IF(OR(AND(ISNUMBER(R4290),R4290&lt;TODAY()),AND(OR(N4290="PENDENTE",N4290="PARCIAL"),D4290&lt;TODAY()-1)),"CRÍTICO",IF(OR(AND(P4290&lt;&gt;"",S4290=""),AND(N4290="REALIZADO",M4290="PENDENTE"),AND(ISNUMBER(R4290),R4290=TODAY())),"ATENÇÃO",IF(N(K4290)=0,"PENDENTE","EM ANDAMENTO"))))))</f>
        <v/>
      </c>
      <c r="C4290" s="3">
        <f>IF(D4290="","",IF(V4290=0,"🟢 OK",IF(D4290&lt;corte,"⚪ HISTÓRICO (sem baixa)",IF(AND(ISNUMBER(R4290),R4290&lt;TODAY()),"🔴 PRAZO VENCIDO",IF(AND(OR(N4290="PENDENTE",N4290="PARCIAL"),D4290&lt;TODAY()-1),"🔴 EMBARQUE ATRASADO",IF(AND(N4290="REALIZADO",M4290="PENDENTE"),"🟡 EMBARCADO SEM FATURAR",IF(AND(P4290&lt;&gt;"",S4290="",OR(Q4290="",R4290="")),"🟡 PENDÊNCIA SEM RESPONSÁVEL/PRAZO",IF(AND(ISNUMBER(R4290),R4290=TODAY()),"🟡 VENCE HOJE",IF(AND(P4290&lt;&gt;"",S4290=""),"🟡 PENDÊNCIA ABERTA",IF(AND(N(J4290)&gt;0,N(K4290)&lt;J4290),"🟡 FALTA EXECUTAR",IF(OR(M4290="PENDENTE",M4290="PARCIAL"),"🟡 FATURAMENTO PENDENTE","🟡 EMBARQUE PENDENTE")))))))))))</f>
        <v/>
      </c>
      <c r="D4290" s="4" t="n"/>
      <c r="E4290" s="5" t="n"/>
      <c r="F4290" s="5" t="n"/>
      <c r="G4290" s="5" t="n"/>
      <c r="H4290" s="5" t="n"/>
      <c r="I4290" s="5" t="n"/>
      <c r="J4290" s="6" t="n"/>
      <c r="K4290" s="6" t="n"/>
      <c r="L4290" s="7">
        <f>IF(OR(D4290="",N(J4290)=0),"",MIN(1,N(K4290)/J4290))</f>
        <v/>
      </c>
      <c r="M4290" s="5" t="n"/>
      <c r="N4290" s="5" t="n"/>
      <c r="O4290" s="5" t="n"/>
      <c r="P4290" s="5" t="n"/>
      <c r="Q4290" s="5" t="n"/>
      <c r="R4290" s="4" t="n"/>
      <c r="S4290" s="4" t="n"/>
      <c r="T4290" s="5" t="n"/>
      <c r="U4290" s="8">
        <f>IF(AND(V4290=1,D4290&lt;&gt;""),IF(D4290&gt;=corte,TODAY()-D4290,""),"")</f>
        <v/>
      </c>
      <c r="V4290" s="8">
        <f>IF(D4290="",0,IF(OR(AND(P4290&lt;&gt;"",S4290=""),AND(N(J4290)&gt;0,N(K4290)&lt;J4290),OR(M4290="PENDENTE",M4290="PARCIAL"),OR(N4290="PENDENTE",N4290="PARCIAL")),1,0))</f>
        <v/>
      </c>
      <c r="W4290" s="8">
        <f>IF(AND(V4290=1,D4290&lt;&gt;""),IF(D4290&gt;=corte,(B4290="CRÍTICO")*1E9+(100000-D4290)*10000+10000-ROW(),""),"")</f>
        <v/>
      </c>
      <c r="X4290" s="8">
        <f>IF(AND(V4290=1,D4290=pas_data,E4290=pas_turno),10000-ROW(),"")</f>
        <v/>
      </c>
    </row>
    <row r="4291">
      <c r="A4291" s="3">
        <f>IF(D4291="","","TT-"&amp;TEXT(ROW()-1,"00000"))</f>
        <v/>
      </c>
      <c r="B4291" s="3">
        <f>IF(D4291="","",IF(V4291=0,"CONCLUÍDO",IF(D4291&lt;corte,"HISTÓRICO",IF(OR(AND(ISNUMBER(R4291),R4291&lt;TODAY()),AND(OR(N4291="PENDENTE",N4291="PARCIAL"),D4291&lt;TODAY()-1)),"CRÍTICO",IF(OR(AND(P4291&lt;&gt;"",S4291=""),AND(N4291="REALIZADO",M4291="PENDENTE"),AND(ISNUMBER(R4291),R4291=TODAY())),"ATENÇÃO",IF(N(K4291)=0,"PENDENTE","EM ANDAMENTO"))))))</f>
        <v/>
      </c>
      <c r="C4291" s="3">
        <f>IF(D4291="","",IF(V4291=0,"🟢 OK",IF(D4291&lt;corte,"⚪ HISTÓRICO (sem baixa)",IF(AND(ISNUMBER(R4291),R4291&lt;TODAY()),"🔴 PRAZO VENCIDO",IF(AND(OR(N4291="PENDENTE",N4291="PARCIAL"),D4291&lt;TODAY()-1),"🔴 EMBARQUE ATRASADO",IF(AND(N4291="REALIZADO",M4291="PENDENTE"),"🟡 EMBARCADO SEM FATURAR",IF(AND(P4291&lt;&gt;"",S4291="",OR(Q4291="",R4291="")),"🟡 PENDÊNCIA SEM RESPONSÁVEL/PRAZO",IF(AND(ISNUMBER(R4291),R4291=TODAY()),"🟡 VENCE HOJE",IF(AND(P4291&lt;&gt;"",S4291=""),"🟡 PENDÊNCIA ABERTA",IF(AND(N(J4291)&gt;0,N(K4291)&lt;J4291),"🟡 FALTA EXECUTAR",IF(OR(M4291="PENDENTE",M4291="PARCIAL"),"🟡 FATURAMENTO PENDENTE","🟡 EMBARQUE PENDENTE")))))))))))</f>
        <v/>
      </c>
      <c r="D4291" s="4" t="n"/>
      <c r="E4291" s="5" t="n"/>
      <c r="F4291" s="5" t="n"/>
      <c r="G4291" s="5" t="n"/>
      <c r="H4291" s="5" t="n"/>
      <c r="I4291" s="5" t="n"/>
      <c r="J4291" s="6" t="n"/>
      <c r="K4291" s="6" t="n"/>
      <c r="L4291" s="7">
        <f>IF(OR(D4291="",N(J4291)=0),"",MIN(1,N(K4291)/J4291))</f>
        <v/>
      </c>
      <c r="M4291" s="5" t="n"/>
      <c r="N4291" s="5" t="n"/>
      <c r="O4291" s="5" t="n"/>
      <c r="P4291" s="5" t="n"/>
      <c r="Q4291" s="5" t="n"/>
      <c r="R4291" s="4" t="n"/>
      <c r="S4291" s="4" t="n"/>
      <c r="T4291" s="5" t="n"/>
      <c r="U4291" s="8">
        <f>IF(AND(V4291=1,D4291&lt;&gt;""),IF(D4291&gt;=corte,TODAY()-D4291,""),"")</f>
        <v/>
      </c>
      <c r="V4291" s="8">
        <f>IF(D4291="",0,IF(OR(AND(P4291&lt;&gt;"",S4291=""),AND(N(J4291)&gt;0,N(K4291)&lt;J4291),OR(M4291="PENDENTE",M4291="PARCIAL"),OR(N4291="PENDENTE",N4291="PARCIAL")),1,0))</f>
        <v/>
      </c>
      <c r="W4291" s="8">
        <f>IF(AND(V4291=1,D4291&lt;&gt;""),IF(D4291&gt;=corte,(B4291="CRÍTICO")*1E9+(100000-D4291)*10000+10000-ROW(),""),"")</f>
        <v/>
      </c>
      <c r="X4291" s="8">
        <f>IF(AND(V4291=1,D4291=pas_data,E4291=pas_turno),10000-ROW(),"")</f>
        <v/>
      </c>
    </row>
    <row r="4292">
      <c r="A4292" s="3">
        <f>IF(D4292="","","TT-"&amp;TEXT(ROW()-1,"00000"))</f>
        <v/>
      </c>
      <c r="B4292" s="3">
        <f>IF(D4292="","",IF(V4292=0,"CONCLUÍDO",IF(D4292&lt;corte,"HISTÓRICO",IF(OR(AND(ISNUMBER(R4292),R4292&lt;TODAY()),AND(OR(N4292="PENDENTE",N4292="PARCIAL"),D4292&lt;TODAY()-1)),"CRÍTICO",IF(OR(AND(P4292&lt;&gt;"",S4292=""),AND(N4292="REALIZADO",M4292="PENDENTE"),AND(ISNUMBER(R4292),R4292=TODAY())),"ATENÇÃO",IF(N(K4292)=0,"PENDENTE","EM ANDAMENTO"))))))</f>
        <v/>
      </c>
      <c r="C4292" s="3">
        <f>IF(D4292="","",IF(V4292=0,"🟢 OK",IF(D4292&lt;corte,"⚪ HISTÓRICO (sem baixa)",IF(AND(ISNUMBER(R4292),R4292&lt;TODAY()),"🔴 PRAZO VENCIDO",IF(AND(OR(N4292="PENDENTE",N4292="PARCIAL"),D4292&lt;TODAY()-1),"🔴 EMBARQUE ATRASADO",IF(AND(N4292="REALIZADO",M4292="PENDENTE"),"🟡 EMBARCADO SEM FATURAR",IF(AND(P4292&lt;&gt;"",S4292="",OR(Q4292="",R4292="")),"🟡 PENDÊNCIA SEM RESPONSÁVEL/PRAZO",IF(AND(ISNUMBER(R4292),R4292=TODAY()),"🟡 VENCE HOJE",IF(AND(P4292&lt;&gt;"",S4292=""),"🟡 PENDÊNCIA ABERTA",IF(AND(N(J4292)&gt;0,N(K4292)&lt;J4292),"🟡 FALTA EXECUTAR",IF(OR(M4292="PENDENTE",M4292="PARCIAL"),"🟡 FATURAMENTO PENDENTE","🟡 EMBARQUE PENDENTE")))))))))))</f>
        <v/>
      </c>
      <c r="D4292" s="4" t="n"/>
      <c r="E4292" s="5" t="n"/>
      <c r="F4292" s="5" t="n"/>
      <c r="G4292" s="5" t="n"/>
      <c r="H4292" s="5" t="n"/>
      <c r="I4292" s="5" t="n"/>
      <c r="J4292" s="6" t="n"/>
      <c r="K4292" s="6" t="n"/>
      <c r="L4292" s="7">
        <f>IF(OR(D4292="",N(J4292)=0),"",MIN(1,N(K4292)/J4292))</f>
        <v/>
      </c>
      <c r="M4292" s="5" t="n"/>
      <c r="N4292" s="5" t="n"/>
      <c r="O4292" s="5" t="n"/>
      <c r="P4292" s="5" t="n"/>
      <c r="Q4292" s="5" t="n"/>
      <c r="R4292" s="4" t="n"/>
      <c r="S4292" s="4" t="n"/>
      <c r="T4292" s="5" t="n"/>
      <c r="U4292" s="8">
        <f>IF(AND(V4292=1,D4292&lt;&gt;""),IF(D4292&gt;=corte,TODAY()-D4292,""),"")</f>
        <v/>
      </c>
      <c r="V4292" s="8">
        <f>IF(D4292="",0,IF(OR(AND(P4292&lt;&gt;"",S4292=""),AND(N(J4292)&gt;0,N(K4292)&lt;J4292),OR(M4292="PENDENTE",M4292="PARCIAL"),OR(N4292="PENDENTE",N4292="PARCIAL")),1,0))</f>
        <v/>
      </c>
      <c r="W4292" s="8">
        <f>IF(AND(V4292=1,D4292&lt;&gt;""),IF(D4292&gt;=corte,(B4292="CRÍTICO")*1E9+(100000-D4292)*10000+10000-ROW(),""),"")</f>
        <v/>
      </c>
      <c r="X4292" s="8">
        <f>IF(AND(V4292=1,D4292=pas_data,E4292=pas_turno),10000-ROW(),"")</f>
        <v/>
      </c>
    </row>
    <row r="4293">
      <c r="A4293" s="3">
        <f>IF(D4293="","","TT-"&amp;TEXT(ROW()-1,"00000"))</f>
        <v/>
      </c>
      <c r="B4293" s="3">
        <f>IF(D4293="","",IF(V4293=0,"CONCLUÍDO",IF(D4293&lt;corte,"HISTÓRICO",IF(OR(AND(ISNUMBER(R4293),R4293&lt;TODAY()),AND(OR(N4293="PENDENTE",N4293="PARCIAL"),D4293&lt;TODAY()-1)),"CRÍTICO",IF(OR(AND(P4293&lt;&gt;"",S4293=""),AND(N4293="REALIZADO",M4293="PENDENTE"),AND(ISNUMBER(R4293),R4293=TODAY())),"ATENÇÃO",IF(N(K4293)=0,"PENDENTE","EM ANDAMENTO"))))))</f>
        <v/>
      </c>
      <c r="C4293" s="3">
        <f>IF(D4293="","",IF(V4293=0,"🟢 OK",IF(D4293&lt;corte,"⚪ HISTÓRICO (sem baixa)",IF(AND(ISNUMBER(R4293),R4293&lt;TODAY()),"🔴 PRAZO VENCIDO",IF(AND(OR(N4293="PENDENTE",N4293="PARCIAL"),D4293&lt;TODAY()-1),"🔴 EMBARQUE ATRASADO",IF(AND(N4293="REALIZADO",M4293="PENDENTE"),"🟡 EMBARCADO SEM FATURAR",IF(AND(P4293&lt;&gt;"",S4293="",OR(Q4293="",R4293="")),"🟡 PENDÊNCIA SEM RESPONSÁVEL/PRAZO",IF(AND(ISNUMBER(R4293),R4293=TODAY()),"🟡 VENCE HOJE",IF(AND(P4293&lt;&gt;"",S4293=""),"🟡 PENDÊNCIA ABERTA",IF(AND(N(J4293)&gt;0,N(K4293)&lt;J4293),"🟡 FALTA EXECUTAR",IF(OR(M4293="PENDENTE",M4293="PARCIAL"),"🟡 FATURAMENTO PENDENTE","🟡 EMBARQUE PENDENTE")))))))))))</f>
        <v/>
      </c>
      <c r="D4293" s="4" t="n"/>
      <c r="E4293" s="5" t="n"/>
      <c r="F4293" s="5" t="n"/>
      <c r="G4293" s="5" t="n"/>
      <c r="H4293" s="5" t="n"/>
      <c r="I4293" s="5" t="n"/>
      <c r="J4293" s="6" t="n"/>
      <c r="K4293" s="6" t="n"/>
      <c r="L4293" s="7">
        <f>IF(OR(D4293="",N(J4293)=0),"",MIN(1,N(K4293)/J4293))</f>
        <v/>
      </c>
      <c r="M4293" s="5" t="n"/>
      <c r="N4293" s="5" t="n"/>
      <c r="O4293" s="5" t="n"/>
      <c r="P4293" s="5" t="n"/>
      <c r="Q4293" s="5" t="n"/>
      <c r="R4293" s="4" t="n"/>
      <c r="S4293" s="4" t="n"/>
      <c r="T4293" s="5" t="n"/>
      <c r="U4293" s="8">
        <f>IF(AND(V4293=1,D4293&lt;&gt;""),IF(D4293&gt;=corte,TODAY()-D4293,""),"")</f>
        <v/>
      </c>
      <c r="V4293" s="8">
        <f>IF(D4293="",0,IF(OR(AND(P4293&lt;&gt;"",S4293=""),AND(N(J4293)&gt;0,N(K4293)&lt;J4293),OR(M4293="PENDENTE",M4293="PARCIAL"),OR(N4293="PENDENTE",N4293="PARCIAL")),1,0))</f>
        <v/>
      </c>
      <c r="W4293" s="8">
        <f>IF(AND(V4293=1,D4293&lt;&gt;""),IF(D4293&gt;=corte,(B4293="CRÍTICO")*1E9+(100000-D4293)*10000+10000-ROW(),""),"")</f>
        <v/>
      </c>
      <c r="X4293" s="8">
        <f>IF(AND(V4293=1,D4293=pas_data,E4293=pas_turno),10000-ROW(),"")</f>
        <v/>
      </c>
    </row>
    <row r="4294">
      <c r="A4294" s="3">
        <f>IF(D4294="","","TT-"&amp;TEXT(ROW()-1,"00000"))</f>
        <v/>
      </c>
      <c r="B4294" s="3">
        <f>IF(D4294="","",IF(V4294=0,"CONCLUÍDO",IF(D4294&lt;corte,"HISTÓRICO",IF(OR(AND(ISNUMBER(R4294),R4294&lt;TODAY()),AND(OR(N4294="PENDENTE",N4294="PARCIAL"),D4294&lt;TODAY()-1)),"CRÍTICO",IF(OR(AND(P4294&lt;&gt;"",S4294=""),AND(N4294="REALIZADO",M4294="PENDENTE"),AND(ISNUMBER(R4294),R4294=TODAY())),"ATENÇÃO",IF(N(K4294)=0,"PENDENTE","EM ANDAMENTO"))))))</f>
        <v/>
      </c>
      <c r="C4294" s="3">
        <f>IF(D4294="","",IF(V4294=0,"🟢 OK",IF(D4294&lt;corte,"⚪ HISTÓRICO (sem baixa)",IF(AND(ISNUMBER(R4294),R4294&lt;TODAY()),"🔴 PRAZO VENCIDO",IF(AND(OR(N4294="PENDENTE",N4294="PARCIAL"),D4294&lt;TODAY()-1),"🔴 EMBARQUE ATRASADO",IF(AND(N4294="REALIZADO",M4294="PENDENTE"),"🟡 EMBARCADO SEM FATURAR",IF(AND(P4294&lt;&gt;"",S4294="",OR(Q4294="",R4294="")),"🟡 PENDÊNCIA SEM RESPONSÁVEL/PRAZO",IF(AND(ISNUMBER(R4294),R4294=TODAY()),"🟡 VENCE HOJE",IF(AND(P4294&lt;&gt;"",S4294=""),"🟡 PENDÊNCIA ABERTA",IF(AND(N(J4294)&gt;0,N(K4294)&lt;J4294),"🟡 FALTA EXECUTAR",IF(OR(M4294="PENDENTE",M4294="PARCIAL"),"🟡 FATURAMENTO PENDENTE","🟡 EMBARQUE PENDENTE")))))))))))</f>
        <v/>
      </c>
      <c r="D4294" s="4" t="n"/>
      <c r="E4294" s="5" t="n"/>
      <c r="F4294" s="5" t="n"/>
      <c r="G4294" s="5" t="n"/>
      <c r="H4294" s="5" t="n"/>
      <c r="I4294" s="5" t="n"/>
      <c r="J4294" s="6" t="n"/>
      <c r="K4294" s="6" t="n"/>
      <c r="L4294" s="7">
        <f>IF(OR(D4294="",N(J4294)=0),"",MIN(1,N(K4294)/J4294))</f>
        <v/>
      </c>
      <c r="M4294" s="5" t="n"/>
      <c r="N4294" s="5" t="n"/>
      <c r="O4294" s="5" t="n"/>
      <c r="P4294" s="5" t="n"/>
      <c r="Q4294" s="5" t="n"/>
      <c r="R4294" s="4" t="n"/>
      <c r="S4294" s="4" t="n"/>
      <c r="T4294" s="5" t="n"/>
      <c r="U4294" s="8">
        <f>IF(AND(V4294=1,D4294&lt;&gt;""),IF(D4294&gt;=corte,TODAY()-D4294,""),"")</f>
        <v/>
      </c>
      <c r="V4294" s="8">
        <f>IF(D4294="",0,IF(OR(AND(P4294&lt;&gt;"",S4294=""),AND(N(J4294)&gt;0,N(K4294)&lt;J4294),OR(M4294="PENDENTE",M4294="PARCIAL"),OR(N4294="PENDENTE",N4294="PARCIAL")),1,0))</f>
        <v/>
      </c>
      <c r="W4294" s="8">
        <f>IF(AND(V4294=1,D4294&lt;&gt;""),IF(D4294&gt;=corte,(B4294="CRÍTICO")*1E9+(100000-D4294)*10000+10000-ROW(),""),"")</f>
        <v/>
      </c>
      <c r="X4294" s="8">
        <f>IF(AND(V4294=1,D4294=pas_data,E4294=pas_turno),10000-ROW(),"")</f>
        <v/>
      </c>
    </row>
    <row r="4295">
      <c r="A4295" s="3">
        <f>IF(D4295="","","TT-"&amp;TEXT(ROW()-1,"00000"))</f>
        <v/>
      </c>
      <c r="B4295" s="3">
        <f>IF(D4295="","",IF(V4295=0,"CONCLUÍDO",IF(D4295&lt;corte,"HISTÓRICO",IF(OR(AND(ISNUMBER(R4295),R4295&lt;TODAY()),AND(OR(N4295="PENDENTE",N4295="PARCIAL"),D4295&lt;TODAY()-1)),"CRÍTICO",IF(OR(AND(P4295&lt;&gt;"",S4295=""),AND(N4295="REALIZADO",M4295="PENDENTE"),AND(ISNUMBER(R4295),R4295=TODAY())),"ATENÇÃO",IF(N(K4295)=0,"PENDENTE","EM ANDAMENTO"))))))</f>
        <v/>
      </c>
      <c r="C4295" s="3">
        <f>IF(D4295="","",IF(V4295=0,"🟢 OK",IF(D4295&lt;corte,"⚪ HISTÓRICO (sem baixa)",IF(AND(ISNUMBER(R4295),R4295&lt;TODAY()),"🔴 PRAZO VENCIDO",IF(AND(OR(N4295="PENDENTE",N4295="PARCIAL"),D4295&lt;TODAY()-1),"🔴 EMBARQUE ATRASADO",IF(AND(N4295="REALIZADO",M4295="PENDENTE"),"🟡 EMBARCADO SEM FATURAR",IF(AND(P4295&lt;&gt;"",S4295="",OR(Q4295="",R4295="")),"🟡 PENDÊNCIA SEM RESPONSÁVEL/PRAZO",IF(AND(ISNUMBER(R4295),R4295=TODAY()),"🟡 VENCE HOJE",IF(AND(P4295&lt;&gt;"",S4295=""),"🟡 PENDÊNCIA ABERTA",IF(AND(N(J4295)&gt;0,N(K4295)&lt;J4295),"🟡 FALTA EXECUTAR",IF(OR(M4295="PENDENTE",M4295="PARCIAL"),"🟡 FATURAMENTO PENDENTE","🟡 EMBARQUE PENDENTE")))))))))))</f>
        <v/>
      </c>
      <c r="D4295" s="4" t="n"/>
      <c r="E4295" s="5" t="n"/>
      <c r="F4295" s="5" t="n"/>
      <c r="G4295" s="5" t="n"/>
      <c r="H4295" s="5" t="n"/>
      <c r="I4295" s="5" t="n"/>
      <c r="J4295" s="6" t="n"/>
      <c r="K4295" s="6" t="n"/>
      <c r="L4295" s="7">
        <f>IF(OR(D4295="",N(J4295)=0),"",MIN(1,N(K4295)/J4295))</f>
        <v/>
      </c>
      <c r="M4295" s="5" t="n"/>
      <c r="N4295" s="5" t="n"/>
      <c r="O4295" s="5" t="n"/>
      <c r="P4295" s="5" t="n"/>
      <c r="Q4295" s="5" t="n"/>
      <c r="R4295" s="4" t="n"/>
      <c r="S4295" s="4" t="n"/>
      <c r="T4295" s="5" t="n"/>
      <c r="U4295" s="8">
        <f>IF(AND(V4295=1,D4295&lt;&gt;""),IF(D4295&gt;=corte,TODAY()-D4295,""),"")</f>
        <v/>
      </c>
      <c r="V4295" s="8">
        <f>IF(D4295="",0,IF(OR(AND(P4295&lt;&gt;"",S4295=""),AND(N(J4295)&gt;0,N(K4295)&lt;J4295),OR(M4295="PENDENTE",M4295="PARCIAL"),OR(N4295="PENDENTE",N4295="PARCIAL")),1,0))</f>
        <v/>
      </c>
      <c r="W4295" s="8">
        <f>IF(AND(V4295=1,D4295&lt;&gt;""),IF(D4295&gt;=corte,(B4295="CRÍTICO")*1E9+(100000-D4295)*10000+10000-ROW(),""),"")</f>
        <v/>
      </c>
      <c r="X4295" s="8">
        <f>IF(AND(V4295=1,D4295=pas_data,E4295=pas_turno),10000-ROW(),"")</f>
        <v/>
      </c>
    </row>
    <row r="4296">
      <c r="A4296" s="3">
        <f>IF(D4296="","","TT-"&amp;TEXT(ROW()-1,"00000"))</f>
        <v/>
      </c>
      <c r="B4296" s="3">
        <f>IF(D4296="","",IF(V4296=0,"CONCLUÍDO",IF(D4296&lt;corte,"HISTÓRICO",IF(OR(AND(ISNUMBER(R4296),R4296&lt;TODAY()),AND(OR(N4296="PENDENTE",N4296="PARCIAL"),D4296&lt;TODAY()-1)),"CRÍTICO",IF(OR(AND(P4296&lt;&gt;"",S4296=""),AND(N4296="REALIZADO",M4296="PENDENTE"),AND(ISNUMBER(R4296),R4296=TODAY())),"ATENÇÃO",IF(N(K4296)=0,"PENDENTE","EM ANDAMENTO"))))))</f>
        <v/>
      </c>
      <c r="C4296" s="3">
        <f>IF(D4296="","",IF(V4296=0,"🟢 OK",IF(D4296&lt;corte,"⚪ HISTÓRICO (sem baixa)",IF(AND(ISNUMBER(R4296),R4296&lt;TODAY()),"🔴 PRAZO VENCIDO",IF(AND(OR(N4296="PENDENTE",N4296="PARCIAL"),D4296&lt;TODAY()-1),"🔴 EMBARQUE ATRASADO",IF(AND(N4296="REALIZADO",M4296="PENDENTE"),"🟡 EMBARCADO SEM FATURAR",IF(AND(P4296&lt;&gt;"",S4296="",OR(Q4296="",R4296="")),"🟡 PENDÊNCIA SEM RESPONSÁVEL/PRAZO",IF(AND(ISNUMBER(R4296),R4296=TODAY()),"🟡 VENCE HOJE",IF(AND(P4296&lt;&gt;"",S4296=""),"🟡 PENDÊNCIA ABERTA",IF(AND(N(J4296)&gt;0,N(K4296)&lt;J4296),"🟡 FALTA EXECUTAR",IF(OR(M4296="PENDENTE",M4296="PARCIAL"),"🟡 FATURAMENTO PENDENTE","🟡 EMBARQUE PENDENTE")))))))))))</f>
        <v/>
      </c>
      <c r="D4296" s="4" t="n"/>
      <c r="E4296" s="5" t="n"/>
      <c r="F4296" s="5" t="n"/>
      <c r="G4296" s="5" t="n"/>
      <c r="H4296" s="5" t="n"/>
      <c r="I4296" s="5" t="n"/>
      <c r="J4296" s="6" t="n"/>
      <c r="K4296" s="6" t="n"/>
      <c r="L4296" s="7">
        <f>IF(OR(D4296="",N(J4296)=0),"",MIN(1,N(K4296)/J4296))</f>
        <v/>
      </c>
      <c r="M4296" s="5" t="n"/>
      <c r="N4296" s="5" t="n"/>
      <c r="O4296" s="5" t="n"/>
      <c r="P4296" s="5" t="n"/>
      <c r="Q4296" s="5" t="n"/>
      <c r="R4296" s="4" t="n"/>
      <c r="S4296" s="4" t="n"/>
      <c r="T4296" s="5" t="n"/>
      <c r="U4296" s="8">
        <f>IF(AND(V4296=1,D4296&lt;&gt;""),IF(D4296&gt;=corte,TODAY()-D4296,""),"")</f>
        <v/>
      </c>
      <c r="V4296" s="8">
        <f>IF(D4296="",0,IF(OR(AND(P4296&lt;&gt;"",S4296=""),AND(N(J4296)&gt;0,N(K4296)&lt;J4296),OR(M4296="PENDENTE",M4296="PARCIAL"),OR(N4296="PENDENTE",N4296="PARCIAL")),1,0))</f>
        <v/>
      </c>
      <c r="W4296" s="8">
        <f>IF(AND(V4296=1,D4296&lt;&gt;""),IF(D4296&gt;=corte,(B4296="CRÍTICO")*1E9+(100000-D4296)*10000+10000-ROW(),""),"")</f>
        <v/>
      </c>
      <c r="X4296" s="8">
        <f>IF(AND(V4296=1,D4296=pas_data,E4296=pas_turno),10000-ROW(),"")</f>
        <v/>
      </c>
    </row>
    <row r="4297">
      <c r="A4297" s="3">
        <f>IF(D4297="","","TT-"&amp;TEXT(ROW()-1,"00000"))</f>
        <v/>
      </c>
      <c r="B4297" s="3">
        <f>IF(D4297="","",IF(V4297=0,"CONCLUÍDO",IF(D4297&lt;corte,"HISTÓRICO",IF(OR(AND(ISNUMBER(R4297),R4297&lt;TODAY()),AND(OR(N4297="PENDENTE",N4297="PARCIAL"),D4297&lt;TODAY()-1)),"CRÍTICO",IF(OR(AND(P4297&lt;&gt;"",S4297=""),AND(N4297="REALIZADO",M4297="PENDENTE"),AND(ISNUMBER(R4297),R4297=TODAY())),"ATENÇÃO",IF(N(K4297)=0,"PENDENTE","EM ANDAMENTO"))))))</f>
        <v/>
      </c>
      <c r="C4297" s="3">
        <f>IF(D4297="","",IF(V4297=0,"🟢 OK",IF(D4297&lt;corte,"⚪ HISTÓRICO (sem baixa)",IF(AND(ISNUMBER(R4297),R4297&lt;TODAY()),"🔴 PRAZO VENCIDO",IF(AND(OR(N4297="PENDENTE",N4297="PARCIAL"),D4297&lt;TODAY()-1),"🔴 EMBARQUE ATRASADO",IF(AND(N4297="REALIZADO",M4297="PENDENTE"),"🟡 EMBARCADO SEM FATURAR",IF(AND(P4297&lt;&gt;"",S4297="",OR(Q4297="",R4297="")),"🟡 PENDÊNCIA SEM RESPONSÁVEL/PRAZO",IF(AND(ISNUMBER(R4297),R4297=TODAY()),"🟡 VENCE HOJE",IF(AND(P4297&lt;&gt;"",S4297=""),"🟡 PENDÊNCIA ABERTA",IF(AND(N(J4297)&gt;0,N(K4297)&lt;J4297),"🟡 FALTA EXECUTAR",IF(OR(M4297="PENDENTE",M4297="PARCIAL"),"🟡 FATURAMENTO PENDENTE","🟡 EMBARQUE PENDENTE")))))))))))</f>
        <v/>
      </c>
      <c r="D4297" s="4" t="n"/>
      <c r="E4297" s="5" t="n"/>
      <c r="F4297" s="5" t="n"/>
      <c r="G4297" s="5" t="n"/>
      <c r="H4297" s="5" t="n"/>
      <c r="I4297" s="5" t="n"/>
      <c r="J4297" s="6" t="n"/>
      <c r="K4297" s="6" t="n"/>
      <c r="L4297" s="7">
        <f>IF(OR(D4297="",N(J4297)=0),"",MIN(1,N(K4297)/J4297))</f>
        <v/>
      </c>
      <c r="M4297" s="5" t="n"/>
      <c r="N4297" s="5" t="n"/>
      <c r="O4297" s="5" t="n"/>
      <c r="P4297" s="5" t="n"/>
      <c r="Q4297" s="5" t="n"/>
      <c r="R4297" s="4" t="n"/>
      <c r="S4297" s="4" t="n"/>
      <c r="T4297" s="5" t="n"/>
      <c r="U4297" s="8">
        <f>IF(AND(V4297=1,D4297&lt;&gt;""),IF(D4297&gt;=corte,TODAY()-D4297,""),"")</f>
        <v/>
      </c>
      <c r="V4297" s="8">
        <f>IF(D4297="",0,IF(OR(AND(P4297&lt;&gt;"",S4297=""),AND(N(J4297)&gt;0,N(K4297)&lt;J4297),OR(M4297="PENDENTE",M4297="PARCIAL"),OR(N4297="PENDENTE",N4297="PARCIAL")),1,0))</f>
        <v/>
      </c>
      <c r="W4297" s="8">
        <f>IF(AND(V4297=1,D4297&lt;&gt;""),IF(D4297&gt;=corte,(B4297="CRÍTICO")*1E9+(100000-D4297)*10000+10000-ROW(),""),"")</f>
        <v/>
      </c>
      <c r="X4297" s="8">
        <f>IF(AND(V4297=1,D4297=pas_data,E4297=pas_turno),10000-ROW(),"")</f>
        <v/>
      </c>
    </row>
    <row r="4298">
      <c r="A4298" s="3">
        <f>IF(D4298="","","TT-"&amp;TEXT(ROW()-1,"00000"))</f>
        <v/>
      </c>
      <c r="B4298" s="3">
        <f>IF(D4298="","",IF(V4298=0,"CONCLUÍDO",IF(D4298&lt;corte,"HISTÓRICO",IF(OR(AND(ISNUMBER(R4298),R4298&lt;TODAY()),AND(OR(N4298="PENDENTE",N4298="PARCIAL"),D4298&lt;TODAY()-1)),"CRÍTICO",IF(OR(AND(P4298&lt;&gt;"",S4298=""),AND(N4298="REALIZADO",M4298="PENDENTE"),AND(ISNUMBER(R4298),R4298=TODAY())),"ATENÇÃO",IF(N(K4298)=0,"PENDENTE","EM ANDAMENTO"))))))</f>
        <v/>
      </c>
      <c r="C4298" s="3">
        <f>IF(D4298="","",IF(V4298=0,"🟢 OK",IF(D4298&lt;corte,"⚪ HISTÓRICO (sem baixa)",IF(AND(ISNUMBER(R4298),R4298&lt;TODAY()),"🔴 PRAZO VENCIDO",IF(AND(OR(N4298="PENDENTE",N4298="PARCIAL"),D4298&lt;TODAY()-1),"🔴 EMBARQUE ATRASADO",IF(AND(N4298="REALIZADO",M4298="PENDENTE"),"🟡 EMBARCADO SEM FATURAR",IF(AND(P4298&lt;&gt;"",S4298="",OR(Q4298="",R4298="")),"🟡 PENDÊNCIA SEM RESPONSÁVEL/PRAZO",IF(AND(ISNUMBER(R4298),R4298=TODAY()),"🟡 VENCE HOJE",IF(AND(P4298&lt;&gt;"",S4298=""),"🟡 PENDÊNCIA ABERTA",IF(AND(N(J4298)&gt;0,N(K4298)&lt;J4298),"🟡 FALTA EXECUTAR",IF(OR(M4298="PENDENTE",M4298="PARCIAL"),"🟡 FATURAMENTO PENDENTE","🟡 EMBARQUE PENDENTE")))))))))))</f>
        <v/>
      </c>
      <c r="D4298" s="4" t="n"/>
      <c r="E4298" s="5" t="n"/>
      <c r="F4298" s="5" t="n"/>
      <c r="G4298" s="5" t="n"/>
      <c r="H4298" s="5" t="n"/>
      <c r="I4298" s="5" t="n"/>
      <c r="J4298" s="6" t="n"/>
      <c r="K4298" s="6" t="n"/>
      <c r="L4298" s="7">
        <f>IF(OR(D4298="",N(J4298)=0),"",MIN(1,N(K4298)/J4298))</f>
        <v/>
      </c>
      <c r="M4298" s="5" t="n"/>
      <c r="N4298" s="5" t="n"/>
      <c r="O4298" s="5" t="n"/>
      <c r="P4298" s="5" t="n"/>
      <c r="Q4298" s="5" t="n"/>
      <c r="R4298" s="4" t="n"/>
      <c r="S4298" s="4" t="n"/>
      <c r="T4298" s="5" t="n"/>
      <c r="U4298" s="8">
        <f>IF(AND(V4298=1,D4298&lt;&gt;""),IF(D4298&gt;=corte,TODAY()-D4298,""),"")</f>
        <v/>
      </c>
      <c r="V4298" s="8">
        <f>IF(D4298="",0,IF(OR(AND(P4298&lt;&gt;"",S4298=""),AND(N(J4298)&gt;0,N(K4298)&lt;J4298),OR(M4298="PENDENTE",M4298="PARCIAL"),OR(N4298="PENDENTE",N4298="PARCIAL")),1,0))</f>
        <v/>
      </c>
      <c r="W4298" s="8">
        <f>IF(AND(V4298=1,D4298&lt;&gt;""),IF(D4298&gt;=corte,(B4298="CRÍTICO")*1E9+(100000-D4298)*10000+10000-ROW(),""),"")</f>
        <v/>
      </c>
      <c r="X4298" s="8">
        <f>IF(AND(V4298=1,D4298=pas_data,E4298=pas_turno),10000-ROW(),"")</f>
        <v/>
      </c>
    </row>
    <row r="4299">
      <c r="A4299" s="3">
        <f>IF(D4299="","","TT-"&amp;TEXT(ROW()-1,"00000"))</f>
        <v/>
      </c>
      <c r="B4299" s="3">
        <f>IF(D4299="","",IF(V4299=0,"CONCLUÍDO",IF(D4299&lt;corte,"HISTÓRICO",IF(OR(AND(ISNUMBER(R4299),R4299&lt;TODAY()),AND(OR(N4299="PENDENTE",N4299="PARCIAL"),D4299&lt;TODAY()-1)),"CRÍTICO",IF(OR(AND(P4299&lt;&gt;"",S4299=""),AND(N4299="REALIZADO",M4299="PENDENTE"),AND(ISNUMBER(R4299),R4299=TODAY())),"ATENÇÃO",IF(N(K4299)=0,"PENDENTE","EM ANDAMENTO"))))))</f>
        <v/>
      </c>
      <c r="C4299" s="3">
        <f>IF(D4299="","",IF(V4299=0,"🟢 OK",IF(D4299&lt;corte,"⚪ HISTÓRICO (sem baixa)",IF(AND(ISNUMBER(R4299),R4299&lt;TODAY()),"🔴 PRAZO VENCIDO",IF(AND(OR(N4299="PENDENTE",N4299="PARCIAL"),D4299&lt;TODAY()-1),"🔴 EMBARQUE ATRASADO",IF(AND(N4299="REALIZADO",M4299="PENDENTE"),"🟡 EMBARCADO SEM FATURAR",IF(AND(P4299&lt;&gt;"",S4299="",OR(Q4299="",R4299="")),"🟡 PENDÊNCIA SEM RESPONSÁVEL/PRAZO",IF(AND(ISNUMBER(R4299),R4299=TODAY()),"🟡 VENCE HOJE",IF(AND(P4299&lt;&gt;"",S4299=""),"🟡 PENDÊNCIA ABERTA",IF(AND(N(J4299)&gt;0,N(K4299)&lt;J4299),"🟡 FALTA EXECUTAR",IF(OR(M4299="PENDENTE",M4299="PARCIAL"),"🟡 FATURAMENTO PENDENTE","🟡 EMBARQUE PENDENTE")))))))))))</f>
        <v/>
      </c>
      <c r="D4299" s="4" t="n"/>
      <c r="E4299" s="5" t="n"/>
      <c r="F4299" s="5" t="n"/>
      <c r="G4299" s="5" t="n"/>
      <c r="H4299" s="5" t="n"/>
      <c r="I4299" s="5" t="n"/>
      <c r="J4299" s="6" t="n"/>
      <c r="K4299" s="6" t="n"/>
      <c r="L4299" s="7">
        <f>IF(OR(D4299="",N(J4299)=0),"",MIN(1,N(K4299)/J4299))</f>
        <v/>
      </c>
      <c r="M4299" s="5" t="n"/>
      <c r="N4299" s="5" t="n"/>
      <c r="O4299" s="5" t="n"/>
      <c r="P4299" s="5" t="n"/>
      <c r="Q4299" s="5" t="n"/>
      <c r="R4299" s="4" t="n"/>
      <c r="S4299" s="4" t="n"/>
      <c r="T4299" s="5" t="n"/>
      <c r="U4299" s="8">
        <f>IF(AND(V4299=1,D4299&lt;&gt;""),IF(D4299&gt;=corte,TODAY()-D4299,""),"")</f>
        <v/>
      </c>
      <c r="V4299" s="8">
        <f>IF(D4299="",0,IF(OR(AND(P4299&lt;&gt;"",S4299=""),AND(N(J4299)&gt;0,N(K4299)&lt;J4299),OR(M4299="PENDENTE",M4299="PARCIAL"),OR(N4299="PENDENTE",N4299="PARCIAL")),1,0))</f>
        <v/>
      </c>
      <c r="W4299" s="8">
        <f>IF(AND(V4299=1,D4299&lt;&gt;""),IF(D4299&gt;=corte,(B4299="CRÍTICO")*1E9+(100000-D4299)*10000+10000-ROW(),""),"")</f>
        <v/>
      </c>
      <c r="X4299" s="8">
        <f>IF(AND(V4299=1,D4299=pas_data,E4299=pas_turno),10000-ROW(),"")</f>
        <v/>
      </c>
    </row>
    <row r="4300">
      <c r="A4300" s="3">
        <f>IF(D4300="","","TT-"&amp;TEXT(ROW()-1,"00000"))</f>
        <v/>
      </c>
      <c r="B4300" s="3">
        <f>IF(D4300="","",IF(V4300=0,"CONCLUÍDO",IF(D4300&lt;corte,"HISTÓRICO",IF(OR(AND(ISNUMBER(R4300),R4300&lt;TODAY()),AND(OR(N4300="PENDENTE",N4300="PARCIAL"),D4300&lt;TODAY()-1)),"CRÍTICO",IF(OR(AND(P4300&lt;&gt;"",S4300=""),AND(N4300="REALIZADO",M4300="PENDENTE"),AND(ISNUMBER(R4300),R4300=TODAY())),"ATENÇÃO",IF(N(K4300)=0,"PENDENTE","EM ANDAMENTO"))))))</f>
        <v/>
      </c>
      <c r="C4300" s="3">
        <f>IF(D4300="","",IF(V4300=0,"🟢 OK",IF(D4300&lt;corte,"⚪ HISTÓRICO (sem baixa)",IF(AND(ISNUMBER(R4300),R4300&lt;TODAY()),"🔴 PRAZO VENCIDO",IF(AND(OR(N4300="PENDENTE",N4300="PARCIAL"),D4300&lt;TODAY()-1),"🔴 EMBARQUE ATRASADO",IF(AND(N4300="REALIZADO",M4300="PENDENTE"),"🟡 EMBARCADO SEM FATURAR",IF(AND(P4300&lt;&gt;"",S4300="",OR(Q4300="",R4300="")),"🟡 PENDÊNCIA SEM RESPONSÁVEL/PRAZO",IF(AND(ISNUMBER(R4300),R4300=TODAY()),"🟡 VENCE HOJE",IF(AND(P4300&lt;&gt;"",S4300=""),"🟡 PENDÊNCIA ABERTA",IF(AND(N(J4300)&gt;0,N(K4300)&lt;J4300),"🟡 FALTA EXECUTAR",IF(OR(M4300="PENDENTE",M4300="PARCIAL"),"🟡 FATURAMENTO PENDENTE","🟡 EMBARQUE PENDENTE")))))))))))</f>
        <v/>
      </c>
      <c r="D4300" s="4" t="n"/>
      <c r="E4300" s="5" t="n"/>
      <c r="F4300" s="5" t="n"/>
      <c r="G4300" s="5" t="n"/>
      <c r="H4300" s="5" t="n"/>
      <c r="I4300" s="5" t="n"/>
      <c r="J4300" s="6" t="n"/>
      <c r="K4300" s="6" t="n"/>
      <c r="L4300" s="7">
        <f>IF(OR(D4300="",N(J4300)=0),"",MIN(1,N(K4300)/J4300))</f>
        <v/>
      </c>
      <c r="M4300" s="5" t="n"/>
      <c r="N4300" s="5" t="n"/>
      <c r="O4300" s="5" t="n"/>
      <c r="P4300" s="5" t="n"/>
      <c r="Q4300" s="5" t="n"/>
      <c r="R4300" s="4" t="n"/>
      <c r="S4300" s="4" t="n"/>
      <c r="T4300" s="5" t="n"/>
      <c r="U4300" s="8">
        <f>IF(AND(V4300=1,D4300&lt;&gt;""),IF(D4300&gt;=corte,TODAY()-D4300,""),"")</f>
        <v/>
      </c>
      <c r="V4300" s="8">
        <f>IF(D4300="",0,IF(OR(AND(P4300&lt;&gt;"",S4300=""),AND(N(J4300)&gt;0,N(K4300)&lt;J4300),OR(M4300="PENDENTE",M4300="PARCIAL"),OR(N4300="PENDENTE",N4300="PARCIAL")),1,0))</f>
        <v/>
      </c>
      <c r="W4300" s="8">
        <f>IF(AND(V4300=1,D4300&lt;&gt;""),IF(D4300&gt;=corte,(B4300="CRÍTICO")*1E9+(100000-D4300)*10000+10000-ROW(),""),"")</f>
        <v/>
      </c>
      <c r="X4300" s="8">
        <f>IF(AND(V4300=1,D4300=pas_data,E4300=pas_turno),10000-ROW(),"")</f>
        <v/>
      </c>
    </row>
    <row r="4301">
      <c r="A4301" s="3">
        <f>IF(D4301="","","TT-"&amp;TEXT(ROW()-1,"00000"))</f>
        <v/>
      </c>
      <c r="B4301" s="3">
        <f>IF(D4301="","",IF(V4301=0,"CONCLUÍDO",IF(D4301&lt;corte,"HISTÓRICO",IF(OR(AND(ISNUMBER(R4301),R4301&lt;TODAY()),AND(OR(N4301="PENDENTE",N4301="PARCIAL"),D4301&lt;TODAY()-1)),"CRÍTICO",IF(OR(AND(P4301&lt;&gt;"",S4301=""),AND(N4301="REALIZADO",M4301="PENDENTE"),AND(ISNUMBER(R4301),R4301=TODAY())),"ATENÇÃO",IF(N(K4301)=0,"PENDENTE","EM ANDAMENTO"))))))</f>
        <v/>
      </c>
      <c r="C4301" s="3">
        <f>IF(D4301="","",IF(V4301=0,"🟢 OK",IF(D4301&lt;corte,"⚪ HISTÓRICO (sem baixa)",IF(AND(ISNUMBER(R4301),R4301&lt;TODAY()),"🔴 PRAZO VENCIDO",IF(AND(OR(N4301="PENDENTE",N4301="PARCIAL"),D4301&lt;TODAY()-1),"🔴 EMBARQUE ATRASADO",IF(AND(N4301="REALIZADO",M4301="PENDENTE"),"🟡 EMBARCADO SEM FATURAR",IF(AND(P4301&lt;&gt;"",S4301="",OR(Q4301="",R4301="")),"🟡 PENDÊNCIA SEM RESPONSÁVEL/PRAZO",IF(AND(ISNUMBER(R4301),R4301=TODAY()),"🟡 VENCE HOJE",IF(AND(P4301&lt;&gt;"",S4301=""),"🟡 PENDÊNCIA ABERTA",IF(AND(N(J4301)&gt;0,N(K4301)&lt;J4301),"🟡 FALTA EXECUTAR",IF(OR(M4301="PENDENTE",M4301="PARCIAL"),"🟡 FATURAMENTO PENDENTE","🟡 EMBARQUE PENDENTE")))))))))))</f>
        <v/>
      </c>
      <c r="D4301" s="4" t="n"/>
      <c r="E4301" s="5" t="n"/>
      <c r="F4301" s="5" t="n"/>
      <c r="G4301" s="5" t="n"/>
      <c r="H4301" s="5" t="n"/>
      <c r="I4301" s="5" t="n"/>
      <c r="J4301" s="6" t="n"/>
      <c r="K4301" s="6" t="n"/>
      <c r="L4301" s="7">
        <f>IF(OR(D4301="",N(J4301)=0),"",MIN(1,N(K4301)/J4301))</f>
        <v/>
      </c>
      <c r="M4301" s="5" t="n"/>
      <c r="N4301" s="5" t="n"/>
      <c r="O4301" s="5" t="n"/>
      <c r="P4301" s="5" t="n"/>
      <c r="Q4301" s="5" t="n"/>
      <c r="R4301" s="4" t="n"/>
      <c r="S4301" s="4" t="n"/>
      <c r="T4301" s="5" t="n"/>
      <c r="U4301" s="8">
        <f>IF(AND(V4301=1,D4301&lt;&gt;""),IF(D4301&gt;=corte,TODAY()-D4301,""),"")</f>
        <v/>
      </c>
      <c r="V4301" s="8">
        <f>IF(D4301="",0,IF(OR(AND(P4301&lt;&gt;"",S4301=""),AND(N(J4301)&gt;0,N(K4301)&lt;J4301),OR(M4301="PENDENTE",M4301="PARCIAL"),OR(N4301="PENDENTE",N4301="PARCIAL")),1,0))</f>
        <v/>
      </c>
      <c r="W4301" s="8">
        <f>IF(AND(V4301=1,D4301&lt;&gt;""),IF(D4301&gt;=corte,(B4301="CRÍTICO")*1E9+(100000-D4301)*10000+10000-ROW(),""),"")</f>
        <v/>
      </c>
      <c r="X4301" s="8">
        <f>IF(AND(V4301=1,D4301=pas_data,E4301=pas_turno),10000-ROW(),"")</f>
        <v/>
      </c>
    </row>
    <row r="4302">
      <c r="A4302" s="3">
        <f>IF(D4302="","","TT-"&amp;TEXT(ROW()-1,"00000"))</f>
        <v/>
      </c>
      <c r="B4302" s="3">
        <f>IF(D4302="","",IF(V4302=0,"CONCLUÍDO",IF(D4302&lt;corte,"HISTÓRICO",IF(OR(AND(ISNUMBER(R4302),R4302&lt;TODAY()),AND(OR(N4302="PENDENTE",N4302="PARCIAL"),D4302&lt;TODAY()-1)),"CRÍTICO",IF(OR(AND(P4302&lt;&gt;"",S4302=""),AND(N4302="REALIZADO",M4302="PENDENTE"),AND(ISNUMBER(R4302),R4302=TODAY())),"ATENÇÃO",IF(N(K4302)=0,"PENDENTE","EM ANDAMENTO"))))))</f>
        <v/>
      </c>
      <c r="C4302" s="3">
        <f>IF(D4302="","",IF(V4302=0,"🟢 OK",IF(D4302&lt;corte,"⚪ HISTÓRICO (sem baixa)",IF(AND(ISNUMBER(R4302),R4302&lt;TODAY()),"🔴 PRAZO VENCIDO",IF(AND(OR(N4302="PENDENTE",N4302="PARCIAL"),D4302&lt;TODAY()-1),"🔴 EMBARQUE ATRASADO",IF(AND(N4302="REALIZADO",M4302="PENDENTE"),"🟡 EMBARCADO SEM FATURAR",IF(AND(P4302&lt;&gt;"",S4302="",OR(Q4302="",R4302="")),"🟡 PENDÊNCIA SEM RESPONSÁVEL/PRAZO",IF(AND(ISNUMBER(R4302),R4302=TODAY()),"🟡 VENCE HOJE",IF(AND(P4302&lt;&gt;"",S4302=""),"🟡 PENDÊNCIA ABERTA",IF(AND(N(J4302)&gt;0,N(K4302)&lt;J4302),"🟡 FALTA EXECUTAR",IF(OR(M4302="PENDENTE",M4302="PARCIAL"),"🟡 FATURAMENTO PENDENTE","🟡 EMBARQUE PENDENTE")))))))))))</f>
        <v/>
      </c>
      <c r="D4302" s="4" t="n"/>
      <c r="E4302" s="5" t="n"/>
      <c r="F4302" s="5" t="n"/>
      <c r="G4302" s="5" t="n"/>
      <c r="H4302" s="5" t="n"/>
      <c r="I4302" s="5" t="n"/>
      <c r="J4302" s="6" t="n"/>
      <c r="K4302" s="6" t="n"/>
      <c r="L4302" s="7">
        <f>IF(OR(D4302="",N(J4302)=0),"",MIN(1,N(K4302)/J4302))</f>
        <v/>
      </c>
      <c r="M4302" s="5" t="n"/>
      <c r="N4302" s="5" t="n"/>
      <c r="O4302" s="5" t="n"/>
      <c r="P4302" s="5" t="n"/>
      <c r="Q4302" s="5" t="n"/>
      <c r="R4302" s="4" t="n"/>
      <c r="S4302" s="4" t="n"/>
      <c r="T4302" s="5" t="n"/>
      <c r="U4302" s="8">
        <f>IF(AND(V4302=1,D4302&lt;&gt;""),IF(D4302&gt;=corte,TODAY()-D4302,""),"")</f>
        <v/>
      </c>
      <c r="V4302" s="8">
        <f>IF(D4302="",0,IF(OR(AND(P4302&lt;&gt;"",S4302=""),AND(N(J4302)&gt;0,N(K4302)&lt;J4302),OR(M4302="PENDENTE",M4302="PARCIAL"),OR(N4302="PENDENTE",N4302="PARCIAL")),1,0))</f>
        <v/>
      </c>
      <c r="W4302" s="8">
        <f>IF(AND(V4302=1,D4302&lt;&gt;""),IF(D4302&gt;=corte,(B4302="CRÍTICO")*1E9+(100000-D4302)*10000+10000-ROW(),""),"")</f>
        <v/>
      </c>
      <c r="X4302" s="8">
        <f>IF(AND(V4302=1,D4302=pas_data,E4302=pas_turno),10000-ROW(),"")</f>
        <v/>
      </c>
    </row>
    <row r="4303">
      <c r="A4303" s="3">
        <f>IF(D4303="","","TT-"&amp;TEXT(ROW()-1,"00000"))</f>
        <v/>
      </c>
      <c r="B4303" s="3">
        <f>IF(D4303="","",IF(V4303=0,"CONCLUÍDO",IF(D4303&lt;corte,"HISTÓRICO",IF(OR(AND(ISNUMBER(R4303),R4303&lt;TODAY()),AND(OR(N4303="PENDENTE",N4303="PARCIAL"),D4303&lt;TODAY()-1)),"CRÍTICO",IF(OR(AND(P4303&lt;&gt;"",S4303=""),AND(N4303="REALIZADO",M4303="PENDENTE"),AND(ISNUMBER(R4303),R4303=TODAY())),"ATENÇÃO",IF(N(K4303)=0,"PENDENTE","EM ANDAMENTO"))))))</f>
        <v/>
      </c>
      <c r="C4303" s="3">
        <f>IF(D4303="","",IF(V4303=0,"🟢 OK",IF(D4303&lt;corte,"⚪ HISTÓRICO (sem baixa)",IF(AND(ISNUMBER(R4303),R4303&lt;TODAY()),"🔴 PRAZO VENCIDO",IF(AND(OR(N4303="PENDENTE",N4303="PARCIAL"),D4303&lt;TODAY()-1),"🔴 EMBARQUE ATRASADO",IF(AND(N4303="REALIZADO",M4303="PENDENTE"),"🟡 EMBARCADO SEM FATURAR",IF(AND(P4303&lt;&gt;"",S4303="",OR(Q4303="",R4303="")),"🟡 PENDÊNCIA SEM RESPONSÁVEL/PRAZO",IF(AND(ISNUMBER(R4303),R4303=TODAY()),"🟡 VENCE HOJE",IF(AND(P4303&lt;&gt;"",S4303=""),"🟡 PENDÊNCIA ABERTA",IF(AND(N(J4303)&gt;0,N(K4303)&lt;J4303),"🟡 FALTA EXECUTAR",IF(OR(M4303="PENDENTE",M4303="PARCIAL"),"🟡 FATURAMENTO PENDENTE","🟡 EMBARQUE PENDENTE")))))))))))</f>
        <v/>
      </c>
      <c r="D4303" s="4" t="n"/>
      <c r="E4303" s="5" t="n"/>
      <c r="F4303" s="5" t="n"/>
      <c r="G4303" s="5" t="n"/>
      <c r="H4303" s="5" t="n"/>
      <c r="I4303" s="5" t="n"/>
      <c r="J4303" s="6" t="n"/>
      <c r="K4303" s="6" t="n"/>
      <c r="L4303" s="7">
        <f>IF(OR(D4303="",N(J4303)=0),"",MIN(1,N(K4303)/J4303))</f>
        <v/>
      </c>
      <c r="M4303" s="5" t="n"/>
      <c r="N4303" s="5" t="n"/>
      <c r="O4303" s="5" t="n"/>
      <c r="P4303" s="5" t="n"/>
      <c r="Q4303" s="5" t="n"/>
      <c r="R4303" s="4" t="n"/>
      <c r="S4303" s="4" t="n"/>
      <c r="T4303" s="5" t="n"/>
      <c r="U4303" s="8">
        <f>IF(AND(V4303=1,D4303&lt;&gt;""),IF(D4303&gt;=corte,TODAY()-D4303,""),"")</f>
        <v/>
      </c>
      <c r="V4303" s="8">
        <f>IF(D4303="",0,IF(OR(AND(P4303&lt;&gt;"",S4303=""),AND(N(J4303)&gt;0,N(K4303)&lt;J4303),OR(M4303="PENDENTE",M4303="PARCIAL"),OR(N4303="PENDENTE",N4303="PARCIAL")),1,0))</f>
        <v/>
      </c>
      <c r="W4303" s="8">
        <f>IF(AND(V4303=1,D4303&lt;&gt;""),IF(D4303&gt;=corte,(B4303="CRÍTICO")*1E9+(100000-D4303)*10000+10000-ROW(),""),"")</f>
        <v/>
      </c>
      <c r="X4303" s="8">
        <f>IF(AND(V4303=1,D4303=pas_data,E4303=pas_turno),10000-ROW(),"")</f>
        <v/>
      </c>
    </row>
    <row r="4304">
      <c r="A4304" s="3">
        <f>IF(D4304="","","TT-"&amp;TEXT(ROW()-1,"00000"))</f>
        <v/>
      </c>
      <c r="B4304" s="3">
        <f>IF(D4304="","",IF(V4304=0,"CONCLUÍDO",IF(D4304&lt;corte,"HISTÓRICO",IF(OR(AND(ISNUMBER(R4304),R4304&lt;TODAY()),AND(OR(N4304="PENDENTE",N4304="PARCIAL"),D4304&lt;TODAY()-1)),"CRÍTICO",IF(OR(AND(P4304&lt;&gt;"",S4304=""),AND(N4304="REALIZADO",M4304="PENDENTE"),AND(ISNUMBER(R4304),R4304=TODAY())),"ATENÇÃO",IF(N(K4304)=0,"PENDENTE","EM ANDAMENTO"))))))</f>
        <v/>
      </c>
      <c r="C4304" s="3">
        <f>IF(D4304="","",IF(V4304=0,"🟢 OK",IF(D4304&lt;corte,"⚪ HISTÓRICO (sem baixa)",IF(AND(ISNUMBER(R4304),R4304&lt;TODAY()),"🔴 PRAZO VENCIDO",IF(AND(OR(N4304="PENDENTE",N4304="PARCIAL"),D4304&lt;TODAY()-1),"🔴 EMBARQUE ATRASADO",IF(AND(N4304="REALIZADO",M4304="PENDENTE"),"🟡 EMBARCADO SEM FATURAR",IF(AND(P4304&lt;&gt;"",S4304="",OR(Q4304="",R4304="")),"🟡 PENDÊNCIA SEM RESPONSÁVEL/PRAZO",IF(AND(ISNUMBER(R4304),R4304=TODAY()),"🟡 VENCE HOJE",IF(AND(P4304&lt;&gt;"",S4304=""),"🟡 PENDÊNCIA ABERTA",IF(AND(N(J4304)&gt;0,N(K4304)&lt;J4304),"🟡 FALTA EXECUTAR",IF(OR(M4304="PENDENTE",M4304="PARCIAL"),"🟡 FATURAMENTO PENDENTE","🟡 EMBARQUE PENDENTE")))))))))))</f>
        <v/>
      </c>
      <c r="D4304" s="4" t="n"/>
      <c r="E4304" s="5" t="n"/>
      <c r="F4304" s="5" t="n"/>
      <c r="G4304" s="5" t="n"/>
      <c r="H4304" s="5" t="n"/>
      <c r="I4304" s="5" t="n"/>
      <c r="J4304" s="6" t="n"/>
      <c r="K4304" s="6" t="n"/>
      <c r="L4304" s="7">
        <f>IF(OR(D4304="",N(J4304)=0),"",MIN(1,N(K4304)/J4304))</f>
        <v/>
      </c>
      <c r="M4304" s="5" t="n"/>
      <c r="N4304" s="5" t="n"/>
      <c r="O4304" s="5" t="n"/>
      <c r="P4304" s="5" t="n"/>
      <c r="Q4304" s="5" t="n"/>
      <c r="R4304" s="4" t="n"/>
      <c r="S4304" s="4" t="n"/>
      <c r="T4304" s="5" t="n"/>
      <c r="U4304" s="8">
        <f>IF(AND(V4304=1,D4304&lt;&gt;""),IF(D4304&gt;=corte,TODAY()-D4304,""),"")</f>
        <v/>
      </c>
      <c r="V4304" s="8">
        <f>IF(D4304="",0,IF(OR(AND(P4304&lt;&gt;"",S4304=""),AND(N(J4304)&gt;0,N(K4304)&lt;J4304),OR(M4304="PENDENTE",M4304="PARCIAL"),OR(N4304="PENDENTE",N4304="PARCIAL")),1,0))</f>
        <v/>
      </c>
      <c r="W4304" s="8">
        <f>IF(AND(V4304=1,D4304&lt;&gt;""),IF(D4304&gt;=corte,(B4304="CRÍTICO")*1E9+(100000-D4304)*10000+10000-ROW(),""),"")</f>
        <v/>
      </c>
      <c r="X4304" s="8">
        <f>IF(AND(V4304=1,D4304=pas_data,E4304=pas_turno),10000-ROW(),"")</f>
        <v/>
      </c>
    </row>
    <row r="4305">
      <c r="A4305" s="3">
        <f>IF(D4305="","","TT-"&amp;TEXT(ROW()-1,"00000"))</f>
        <v/>
      </c>
      <c r="B4305" s="3">
        <f>IF(D4305="","",IF(V4305=0,"CONCLUÍDO",IF(D4305&lt;corte,"HISTÓRICO",IF(OR(AND(ISNUMBER(R4305),R4305&lt;TODAY()),AND(OR(N4305="PENDENTE",N4305="PARCIAL"),D4305&lt;TODAY()-1)),"CRÍTICO",IF(OR(AND(P4305&lt;&gt;"",S4305=""),AND(N4305="REALIZADO",M4305="PENDENTE"),AND(ISNUMBER(R4305),R4305=TODAY())),"ATENÇÃO",IF(N(K4305)=0,"PENDENTE","EM ANDAMENTO"))))))</f>
        <v/>
      </c>
      <c r="C4305" s="3">
        <f>IF(D4305="","",IF(V4305=0,"🟢 OK",IF(D4305&lt;corte,"⚪ HISTÓRICO (sem baixa)",IF(AND(ISNUMBER(R4305),R4305&lt;TODAY()),"🔴 PRAZO VENCIDO",IF(AND(OR(N4305="PENDENTE",N4305="PARCIAL"),D4305&lt;TODAY()-1),"🔴 EMBARQUE ATRASADO",IF(AND(N4305="REALIZADO",M4305="PENDENTE"),"🟡 EMBARCADO SEM FATURAR",IF(AND(P4305&lt;&gt;"",S4305="",OR(Q4305="",R4305="")),"🟡 PENDÊNCIA SEM RESPONSÁVEL/PRAZO",IF(AND(ISNUMBER(R4305),R4305=TODAY()),"🟡 VENCE HOJE",IF(AND(P4305&lt;&gt;"",S4305=""),"🟡 PENDÊNCIA ABERTA",IF(AND(N(J4305)&gt;0,N(K4305)&lt;J4305),"🟡 FALTA EXECUTAR",IF(OR(M4305="PENDENTE",M4305="PARCIAL"),"🟡 FATURAMENTO PENDENTE","🟡 EMBARQUE PENDENTE")))))))))))</f>
        <v/>
      </c>
      <c r="D4305" s="4" t="n"/>
      <c r="E4305" s="5" t="n"/>
      <c r="F4305" s="5" t="n"/>
      <c r="G4305" s="5" t="n"/>
      <c r="H4305" s="5" t="n"/>
      <c r="I4305" s="5" t="n"/>
      <c r="J4305" s="6" t="n"/>
      <c r="K4305" s="6" t="n"/>
      <c r="L4305" s="7">
        <f>IF(OR(D4305="",N(J4305)=0),"",MIN(1,N(K4305)/J4305))</f>
        <v/>
      </c>
      <c r="M4305" s="5" t="n"/>
      <c r="N4305" s="5" t="n"/>
      <c r="O4305" s="5" t="n"/>
      <c r="P4305" s="5" t="n"/>
      <c r="Q4305" s="5" t="n"/>
      <c r="R4305" s="4" t="n"/>
      <c r="S4305" s="4" t="n"/>
      <c r="T4305" s="5" t="n"/>
      <c r="U4305" s="8">
        <f>IF(AND(V4305=1,D4305&lt;&gt;""),IF(D4305&gt;=corte,TODAY()-D4305,""),"")</f>
        <v/>
      </c>
      <c r="V4305" s="8">
        <f>IF(D4305="",0,IF(OR(AND(P4305&lt;&gt;"",S4305=""),AND(N(J4305)&gt;0,N(K4305)&lt;J4305),OR(M4305="PENDENTE",M4305="PARCIAL"),OR(N4305="PENDENTE",N4305="PARCIAL")),1,0))</f>
        <v/>
      </c>
      <c r="W4305" s="8">
        <f>IF(AND(V4305=1,D4305&lt;&gt;""),IF(D4305&gt;=corte,(B4305="CRÍTICO")*1E9+(100000-D4305)*10000+10000-ROW(),""),"")</f>
        <v/>
      </c>
      <c r="X4305" s="8">
        <f>IF(AND(V4305=1,D4305=pas_data,E4305=pas_turno),10000-ROW(),"")</f>
        <v/>
      </c>
    </row>
    <row r="4306">
      <c r="A4306" s="3">
        <f>IF(D4306="","","TT-"&amp;TEXT(ROW()-1,"00000"))</f>
        <v/>
      </c>
      <c r="B4306" s="3">
        <f>IF(D4306="","",IF(V4306=0,"CONCLUÍDO",IF(D4306&lt;corte,"HISTÓRICO",IF(OR(AND(ISNUMBER(R4306),R4306&lt;TODAY()),AND(OR(N4306="PENDENTE",N4306="PARCIAL"),D4306&lt;TODAY()-1)),"CRÍTICO",IF(OR(AND(P4306&lt;&gt;"",S4306=""),AND(N4306="REALIZADO",M4306="PENDENTE"),AND(ISNUMBER(R4306),R4306=TODAY())),"ATENÇÃO",IF(N(K4306)=0,"PENDENTE","EM ANDAMENTO"))))))</f>
        <v/>
      </c>
      <c r="C4306" s="3">
        <f>IF(D4306="","",IF(V4306=0,"🟢 OK",IF(D4306&lt;corte,"⚪ HISTÓRICO (sem baixa)",IF(AND(ISNUMBER(R4306),R4306&lt;TODAY()),"🔴 PRAZO VENCIDO",IF(AND(OR(N4306="PENDENTE",N4306="PARCIAL"),D4306&lt;TODAY()-1),"🔴 EMBARQUE ATRASADO",IF(AND(N4306="REALIZADO",M4306="PENDENTE"),"🟡 EMBARCADO SEM FATURAR",IF(AND(P4306&lt;&gt;"",S4306="",OR(Q4306="",R4306="")),"🟡 PENDÊNCIA SEM RESPONSÁVEL/PRAZO",IF(AND(ISNUMBER(R4306),R4306=TODAY()),"🟡 VENCE HOJE",IF(AND(P4306&lt;&gt;"",S4306=""),"🟡 PENDÊNCIA ABERTA",IF(AND(N(J4306)&gt;0,N(K4306)&lt;J4306),"🟡 FALTA EXECUTAR",IF(OR(M4306="PENDENTE",M4306="PARCIAL"),"🟡 FATURAMENTO PENDENTE","🟡 EMBARQUE PENDENTE")))))))))))</f>
        <v/>
      </c>
      <c r="D4306" s="4" t="n"/>
      <c r="E4306" s="5" t="n"/>
      <c r="F4306" s="5" t="n"/>
      <c r="G4306" s="5" t="n"/>
      <c r="H4306" s="5" t="n"/>
      <c r="I4306" s="5" t="n"/>
      <c r="J4306" s="6" t="n"/>
      <c r="K4306" s="6" t="n"/>
      <c r="L4306" s="7">
        <f>IF(OR(D4306="",N(J4306)=0),"",MIN(1,N(K4306)/J4306))</f>
        <v/>
      </c>
      <c r="M4306" s="5" t="n"/>
      <c r="N4306" s="5" t="n"/>
      <c r="O4306" s="5" t="n"/>
      <c r="P4306" s="5" t="n"/>
      <c r="Q4306" s="5" t="n"/>
      <c r="R4306" s="4" t="n"/>
      <c r="S4306" s="4" t="n"/>
      <c r="T4306" s="5" t="n"/>
      <c r="U4306" s="8">
        <f>IF(AND(V4306=1,D4306&lt;&gt;""),IF(D4306&gt;=corte,TODAY()-D4306,""),"")</f>
        <v/>
      </c>
      <c r="V4306" s="8">
        <f>IF(D4306="",0,IF(OR(AND(P4306&lt;&gt;"",S4306=""),AND(N(J4306)&gt;0,N(K4306)&lt;J4306),OR(M4306="PENDENTE",M4306="PARCIAL"),OR(N4306="PENDENTE",N4306="PARCIAL")),1,0))</f>
        <v/>
      </c>
      <c r="W4306" s="8">
        <f>IF(AND(V4306=1,D4306&lt;&gt;""),IF(D4306&gt;=corte,(B4306="CRÍTICO")*1E9+(100000-D4306)*10000+10000-ROW(),""),"")</f>
        <v/>
      </c>
      <c r="X4306" s="8">
        <f>IF(AND(V4306=1,D4306=pas_data,E4306=pas_turno),10000-ROW(),"")</f>
        <v/>
      </c>
    </row>
    <row r="4307">
      <c r="A4307" s="3">
        <f>IF(D4307="","","TT-"&amp;TEXT(ROW()-1,"00000"))</f>
        <v/>
      </c>
      <c r="B4307" s="3">
        <f>IF(D4307="","",IF(V4307=0,"CONCLUÍDO",IF(D4307&lt;corte,"HISTÓRICO",IF(OR(AND(ISNUMBER(R4307),R4307&lt;TODAY()),AND(OR(N4307="PENDENTE",N4307="PARCIAL"),D4307&lt;TODAY()-1)),"CRÍTICO",IF(OR(AND(P4307&lt;&gt;"",S4307=""),AND(N4307="REALIZADO",M4307="PENDENTE"),AND(ISNUMBER(R4307),R4307=TODAY())),"ATENÇÃO",IF(N(K4307)=0,"PENDENTE","EM ANDAMENTO"))))))</f>
        <v/>
      </c>
      <c r="C4307" s="3">
        <f>IF(D4307="","",IF(V4307=0,"🟢 OK",IF(D4307&lt;corte,"⚪ HISTÓRICO (sem baixa)",IF(AND(ISNUMBER(R4307),R4307&lt;TODAY()),"🔴 PRAZO VENCIDO",IF(AND(OR(N4307="PENDENTE",N4307="PARCIAL"),D4307&lt;TODAY()-1),"🔴 EMBARQUE ATRASADO",IF(AND(N4307="REALIZADO",M4307="PENDENTE"),"🟡 EMBARCADO SEM FATURAR",IF(AND(P4307&lt;&gt;"",S4307="",OR(Q4307="",R4307="")),"🟡 PENDÊNCIA SEM RESPONSÁVEL/PRAZO",IF(AND(ISNUMBER(R4307),R4307=TODAY()),"🟡 VENCE HOJE",IF(AND(P4307&lt;&gt;"",S4307=""),"🟡 PENDÊNCIA ABERTA",IF(AND(N(J4307)&gt;0,N(K4307)&lt;J4307),"🟡 FALTA EXECUTAR",IF(OR(M4307="PENDENTE",M4307="PARCIAL"),"🟡 FATURAMENTO PENDENTE","🟡 EMBARQUE PENDENTE")))))))))))</f>
        <v/>
      </c>
      <c r="D4307" s="4" t="n"/>
      <c r="E4307" s="5" t="n"/>
      <c r="F4307" s="5" t="n"/>
      <c r="G4307" s="5" t="n"/>
      <c r="H4307" s="5" t="n"/>
      <c r="I4307" s="5" t="n"/>
      <c r="J4307" s="6" t="n"/>
      <c r="K4307" s="6" t="n"/>
      <c r="L4307" s="7">
        <f>IF(OR(D4307="",N(J4307)=0),"",MIN(1,N(K4307)/J4307))</f>
        <v/>
      </c>
      <c r="M4307" s="5" t="n"/>
      <c r="N4307" s="5" t="n"/>
      <c r="O4307" s="5" t="n"/>
      <c r="P4307" s="5" t="n"/>
      <c r="Q4307" s="5" t="n"/>
      <c r="R4307" s="4" t="n"/>
      <c r="S4307" s="4" t="n"/>
      <c r="T4307" s="5" t="n"/>
      <c r="U4307" s="8">
        <f>IF(AND(V4307=1,D4307&lt;&gt;""),IF(D4307&gt;=corte,TODAY()-D4307,""),"")</f>
        <v/>
      </c>
      <c r="V4307" s="8">
        <f>IF(D4307="",0,IF(OR(AND(P4307&lt;&gt;"",S4307=""),AND(N(J4307)&gt;0,N(K4307)&lt;J4307),OR(M4307="PENDENTE",M4307="PARCIAL"),OR(N4307="PENDENTE",N4307="PARCIAL")),1,0))</f>
        <v/>
      </c>
      <c r="W4307" s="8">
        <f>IF(AND(V4307=1,D4307&lt;&gt;""),IF(D4307&gt;=corte,(B4307="CRÍTICO")*1E9+(100000-D4307)*10000+10000-ROW(),""),"")</f>
        <v/>
      </c>
      <c r="X4307" s="8">
        <f>IF(AND(V4307=1,D4307=pas_data,E4307=pas_turno),10000-ROW(),"")</f>
        <v/>
      </c>
    </row>
    <row r="4308">
      <c r="A4308" s="3">
        <f>IF(D4308="","","TT-"&amp;TEXT(ROW()-1,"00000"))</f>
        <v/>
      </c>
      <c r="B4308" s="3">
        <f>IF(D4308="","",IF(V4308=0,"CONCLUÍDO",IF(D4308&lt;corte,"HISTÓRICO",IF(OR(AND(ISNUMBER(R4308),R4308&lt;TODAY()),AND(OR(N4308="PENDENTE",N4308="PARCIAL"),D4308&lt;TODAY()-1)),"CRÍTICO",IF(OR(AND(P4308&lt;&gt;"",S4308=""),AND(N4308="REALIZADO",M4308="PENDENTE"),AND(ISNUMBER(R4308),R4308=TODAY())),"ATENÇÃO",IF(N(K4308)=0,"PENDENTE","EM ANDAMENTO"))))))</f>
        <v/>
      </c>
      <c r="C4308" s="3">
        <f>IF(D4308="","",IF(V4308=0,"🟢 OK",IF(D4308&lt;corte,"⚪ HISTÓRICO (sem baixa)",IF(AND(ISNUMBER(R4308),R4308&lt;TODAY()),"🔴 PRAZO VENCIDO",IF(AND(OR(N4308="PENDENTE",N4308="PARCIAL"),D4308&lt;TODAY()-1),"🔴 EMBARQUE ATRASADO",IF(AND(N4308="REALIZADO",M4308="PENDENTE"),"🟡 EMBARCADO SEM FATURAR",IF(AND(P4308&lt;&gt;"",S4308="",OR(Q4308="",R4308="")),"🟡 PENDÊNCIA SEM RESPONSÁVEL/PRAZO",IF(AND(ISNUMBER(R4308),R4308=TODAY()),"🟡 VENCE HOJE",IF(AND(P4308&lt;&gt;"",S4308=""),"🟡 PENDÊNCIA ABERTA",IF(AND(N(J4308)&gt;0,N(K4308)&lt;J4308),"🟡 FALTA EXECUTAR",IF(OR(M4308="PENDENTE",M4308="PARCIAL"),"🟡 FATURAMENTO PENDENTE","🟡 EMBARQUE PENDENTE")))))))))))</f>
        <v/>
      </c>
      <c r="D4308" s="4" t="n"/>
      <c r="E4308" s="5" t="n"/>
      <c r="F4308" s="5" t="n"/>
      <c r="G4308" s="5" t="n"/>
      <c r="H4308" s="5" t="n"/>
      <c r="I4308" s="5" t="n"/>
      <c r="J4308" s="6" t="n"/>
      <c r="K4308" s="6" t="n"/>
      <c r="L4308" s="7">
        <f>IF(OR(D4308="",N(J4308)=0),"",MIN(1,N(K4308)/J4308))</f>
        <v/>
      </c>
      <c r="M4308" s="5" t="n"/>
      <c r="N4308" s="5" t="n"/>
      <c r="O4308" s="5" t="n"/>
      <c r="P4308" s="5" t="n"/>
      <c r="Q4308" s="5" t="n"/>
      <c r="R4308" s="4" t="n"/>
      <c r="S4308" s="4" t="n"/>
      <c r="T4308" s="5" t="n"/>
      <c r="U4308" s="8">
        <f>IF(AND(V4308=1,D4308&lt;&gt;""),IF(D4308&gt;=corte,TODAY()-D4308,""),"")</f>
        <v/>
      </c>
      <c r="V4308" s="8">
        <f>IF(D4308="",0,IF(OR(AND(P4308&lt;&gt;"",S4308=""),AND(N(J4308)&gt;0,N(K4308)&lt;J4308),OR(M4308="PENDENTE",M4308="PARCIAL"),OR(N4308="PENDENTE",N4308="PARCIAL")),1,0))</f>
        <v/>
      </c>
      <c r="W4308" s="8">
        <f>IF(AND(V4308=1,D4308&lt;&gt;""),IF(D4308&gt;=corte,(B4308="CRÍTICO")*1E9+(100000-D4308)*10000+10000-ROW(),""),"")</f>
        <v/>
      </c>
      <c r="X4308" s="8">
        <f>IF(AND(V4308=1,D4308=pas_data,E4308=pas_turno),10000-ROW(),"")</f>
        <v/>
      </c>
    </row>
    <row r="4309">
      <c r="A4309" s="3">
        <f>IF(D4309="","","TT-"&amp;TEXT(ROW()-1,"00000"))</f>
        <v/>
      </c>
      <c r="B4309" s="3">
        <f>IF(D4309="","",IF(V4309=0,"CONCLUÍDO",IF(D4309&lt;corte,"HISTÓRICO",IF(OR(AND(ISNUMBER(R4309),R4309&lt;TODAY()),AND(OR(N4309="PENDENTE",N4309="PARCIAL"),D4309&lt;TODAY()-1)),"CRÍTICO",IF(OR(AND(P4309&lt;&gt;"",S4309=""),AND(N4309="REALIZADO",M4309="PENDENTE"),AND(ISNUMBER(R4309),R4309=TODAY())),"ATENÇÃO",IF(N(K4309)=0,"PENDENTE","EM ANDAMENTO"))))))</f>
        <v/>
      </c>
      <c r="C4309" s="3">
        <f>IF(D4309="","",IF(V4309=0,"🟢 OK",IF(D4309&lt;corte,"⚪ HISTÓRICO (sem baixa)",IF(AND(ISNUMBER(R4309),R4309&lt;TODAY()),"🔴 PRAZO VENCIDO",IF(AND(OR(N4309="PENDENTE",N4309="PARCIAL"),D4309&lt;TODAY()-1),"🔴 EMBARQUE ATRASADO",IF(AND(N4309="REALIZADO",M4309="PENDENTE"),"🟡 EMBARCADO SEM FATURAR",IF(AND(P4309&lt;&gt;"",S4309="",OR(Q4309="",R4309="")),"🟡 PENDÊNCIA SEM RESPONSÁVEL/PRAZO",IF(AND(ISNUMBER(R4309),R4309=TODAY()),"🟡 VENCE HOJE",IF(AND(P4309&lt;&gt;"",S4309=""),"🟡 PENDÊNCIA ABERTA",IF(AND(N(J4309)&gt;0,N(K4309)&lt;J4309),"🟡 FALTA EXECUTAR",IF(OR(M4309="PENDENTE",M4309="PARCIAL"),"🟡 FATURAMENTO PENDENTE","🟡 EMBARQUE PENDENTE")))))))))))</f>
        <v/>
      </c>
      <c r="D4309" s="4" t="n"/>
      <c r="E4309" s="5" t="n"/>
      <c r="F4309" s="5" t="n"/>
      <c r="G4309" s="5" t="n"/>
      <c r="H4309" s="5" t="n"/>
      <c r="I4309" s="5" t="n"/>
      <c r="J4309" s="6" t="n"/>
      <c r="K4309" s="6" t="n"/>
      <c r="L4309" s="7">
        <f>IF(OR(D4309="",N(J4309)=0),"",MIN(1,N(K4309)/J4309))</f>
        <v/>
      </c>
      <c r="M4309" s="5" t="n"/>
      <c r="N4309" s="5" t="n"/>
      <c r="O4309" s="5" t="n"/>
      <c r="P4309" s="5" t="n"/>
      <c r="Q4309" s="5" t="n"/>
      <c r="R4309" s="4" t="n"/>
      <c r="S4309" s="4" t="n"/>
      <c r="T4309" s="5" t="n"/>
      <c r="U4309" s="8">
        <f>IF(AND(V4309=1,D4309&lt;&gt;""),IF(D4309&gt;=corte,TODAY()-D4309,""),"")</f>
        <v/>
      </c>
      <c r="V4309" s="8">
        <f>IF(D4309="",0,IF(OR(AND(P4309&lt;&gt;"",S4309=""),AND(N(J4309)&gt;0,N(K4309)&lt;J4309),OR(M4309="PENDENTE",M4309="PARCIAL"),OR(N4309="PENDENTE",N4309="PARCIAL")),1,0))</f>
        <v/>
      </c>
      <c r="W4309" s="8">
        <f>IF(AND(V4309=1,D4309&lt;&gt;""),IF(D4309&gt;=corte,(B4309="CRÍTICO")*1E9+(100000-D4309)*10000+10000-ROW(),""),"")</f>
        <v/>
      </c>
      <c r="X4309" s="8">
        <f>IF(AND(V4309=1,D4309=pas_data,E4309=pas_turno),10000-ROW(),"")</f>
        <v/>
      </c>
    </row>
    <row r="4310">
      <c r="A4310" s="3">
        <f>IF(D4310="","","TT-"&amp;TEXT(ROW()-1,"00000"))</f>
        <v/>
      </c>
      <c r="B4310" s="3">
        <f>IF(D4310="","",IF(V4310=0,"CONCLUÍDO",IF(D4310&lt;corte,"HISTÓRICO",IF(OR(AND(ISNUMBER(R4310),R4310&lt;TODAY()),AND(OR(N4310="PENDENTE",N4310="PARCIAL"),D4310&lt;TODAY()-1)),"CRÍTICO",IF(OR(AND(P4310&lt;&gt;"",S4310=""),AND(N4310="REALIZADO",M4310="PENDENTE"),AND(ISNUMBER(R4310),R4310=TODAY())),"ATENÇÃO",IF(N(K4310)=0,"PENDENTE","EM ANDAMENTO"))))))</f>
        <v/>
      </c>
      <c r="C4310" s="3">
        <f>IF(D4310="","",IF(V4310=0,"🟢 OK",IF(D4310&lt;corte,"⚪ HISTÓRICO (sem baixa)",IF(AND(ISNUMBER(R4310),R4310&lt;TODAY()),"🔴 PRAZO VENCIDO",IF(AND(OR(N4310="PENDENTE",N4310="PARCIAL"),D4310&lt;TODAY()-1),"🔴 EMBARQUE ATRASADO",IF(AND(N4310="REALIZADO",M4310="PENDENTE"),"🟡 EMBARCADO SEM FATURAR",IF(AND(P4310&lt;&gt;"",S4310="",OR(Q4310="",R4310="")),"🟡 PENDÊNCIA SEM RESPONSÁVEL/PRAZO",IF(AND(ISNUMBER(R4310),R4310=TODAY()),"🟡 VENCE HOJE",IF(AND(P4310&lt;&gt;"",S4310=""),"🟡 PENDÊNCIA ABERTA",IF(AND(N(J4310)&gt;0,N(K4310)&lt;J4310),"🟡 FALTA EXECUTAR",IF(OR(M4310="PENDENTE",M4310="PARCIAL"),"🟡 FATURAMENTO PENDENTE","🟡 EMBARQUE PENDENTE")))))))))))</f>
        <v/>
      </c>
      <c r="D4310" s="4" t="n"/>
      <c r="E4310" s="5" t="n"/>
      <c r="F4310" s="5" t="n"/>
      <c r="G4310" s="5" t="n"/>
      <c r="H4310" s="5" t="n"/>
      <c r="I4310" s="5" t="n"/>
      <c r="J4310" s="6" t="n"/>
      <c r="K4310" s="6" t="n"/>
      <c r="L4310" s="7">
        <f>IF(OR(D4310="",N(J4310)=0),"",MIN(1,N(K4310)/J4310))</f>
        <v/>
      </c>
      <c r="M4310" s="5" t="n"/>
      <c r="N4310" s="5" t="n"/>
      <c r="O4310" s="5" t="n"/>
      <c r="P4310" s="5" t="n"/>
      <c r="Q4310" s="5" t="n"/>
      <c r="R4310" s="4" t="n"/>
      <c r="S4310" s="4" t="n"/>
      <c r="T4310" s="5" t="n"/>
      <c r="U4310" s="8">
        <f>IF(AND(V4310=1,D4310&lt;&gt;""),IF(D4310&gt;=corte,TODAY()-D4310,""),"")</f>
        <v/>
      </c>
      <c r="V4310" s="8">
        <f>IF(D4310="",0,IF(OR(AND(P4310&lt;&gt;"",S4310=""),AND(N(J4310)&gt;0,N(K4310)&lt;J4310),OR(M4310="PENDENTE",M4310="PARCIAL"),OR(N4310="PENDENTE",N4310="PARCIAL")),1,0))</f>
        <v/>
      </c>
      <c r="W4310" s="8">
        <f>IF(AND(V4310=1,D4310&lt;&gt;""),IF(D4310&gt;=corte,(B4310="CRÍTICO")*1E9+(100000-D4310)*10000+10000-ROW(),""),"")</f>
        <v/>
      </c>
      <c r="X4310" s="8">
        <f>IF(AND(V4310=1,D4310=pas_data,E4310=pas_turno),10000-ROW(),"")</f>
        <v/>
      </c>
    </row>
    <row r="4311">
      <c r="A4311" s="3">
        <f>IF(D4311="","","TT-"&amp;TEXT(ROW()-1,"00000"))</f>
        <v/>
      </c>
      <c r="B4311" s="3">
        <f>IF(D4311="","",IF(V4311=0,"CONCLUÍDO",IF(D4311&lt;corte,"HISTÓRICO",IF(OR(AND(ISNUMBER(R4311),R4311&lt;TODAY()),AND(OR(N4311="PENDENTE",N4311="PARCIAL"),D4311&lt;TODAY()-1)),"CRÍTICO",IF(OR(AND(P4311&lt;&gt;"",S4311=""),AND(N4311="REALIZADO",M4311="PENDENTE"),AND(ISNUMBER(R4311),R4311=TODAY())),"ATENÇÃO",IF(N(K4311)=0,"PENDENTE","EM ANDAMENTO"))))))</f>
        <v/>
      </c>
      <c r="C4311" s="3">
        <f>IF(D4311="","",IF(V4311=0,"🟢 OK",IF(D4311&lt;corte,"⚪ HISTÓRICO (sem baixa)",IF(AND(ISNUMBER(R4311),R4311&lt;TODAY()),"🔴 PRAZO VENCIDO",IF(AND(OR(N4311="PENDENTE",N4311="PARCIAL"),D4311&lt;TODAY()-1),"🔴 EMBARQUE ATRASADO",IF(AND(N4311="REALIZADO",M4311="PENDENTE"),"🟡 EMBARCADO SEM FATURAR",IF(AND(P4311&lt;&gt;"",S4311="",OR(Q4311="",R4311="")),"🟡 PENDÊNCIA SEM RESPONSÁVEL/PRAZO",IF(AND(ISNUMBER(R4311),R4311=TODAY()),"🟡 VENCE HOJE",IF(AND(P4311&lt;&gt;"",S4311=""),"🟡 PENDÊNCIA ABERTA",IF(AND(N(J4311)&gt;0,N(K4311)&lt;J4311),"🟡 FALTA EXECUTAR",IF(OR(M4311="PENDENTE",M4311="PARCIAL"),"🟡 FATURAMENTO PENDENTE","🟡 EMBARQUE PENDENTE")))))))))))</f>
        <v/>
      </c>
      <c r="D4311" s="4" t="n"/>
      <c r="E4311" s="5" t="n"/>
      <c r="F4311" s="5" t="n"/>
      <c r="G4311" s="5" t="n"/>
      <c r="H4311" s="5" t="n"/>
      <c r="I4311" s="5" t="n"/>
      <c r="J4311" s="6" t="n"/>
      <c r="K4311" s="6" t="n"/>
      <c r="L4311" s="7">
        <f>IF(OR(D4311="",N(J4311)=0),"",MIN(1,N(K4311)/J4311))</f>
        <v/>
      </c>
      <c r="M4311" s="5" t="n"/>
      <c r="N4311" s="5" t="n"/>
      <c r="O4311" s="5" t="n"/>
      <c r="P4311" s="5" t="n"/>
      <c r="Q4311" s="5" t="n"/>
      <c r="R4311" s="4" t="n"/>
      <c r="S4311" s="4" t="n"/>
      <c r="T4311" s="5" t="n"/>
      <c r="U4311" s="8">
        <f>IF(AND(V4311=1,D4311&lt;&gt;""),IF(D4311&gt;=corte,TODAY()-D4311,""),"")</f>
        <v/>
      </c>
      <c r="V4311" s="8">
        <f>IF(D4311="",0,IF(OR(AND(P4311&lt;&gt;"",S4311=""),AND(N(J4311)&gt;0,N(K4311)&lt;J4311),OR(M4311="PENDENTE",M4311="PARCIAL"),OR(N4311="PENDENTE",N4311="PARCIAL")),1,0))</f>
        <v/>
      </c>
      <c r="W4311" s="8">
        <f>IF(AND(V4311=1,D4311&lt;&gt;""),IF(D4311&gt;=corte,(B4311="CRÍTICO")*1E9+(100000-D4311)*10000+10000-ROW(),""),"")</f>
        <v/>
      </c>
      <c r="X4311" s="8">
        <f>IF(AND(V4311=1,D4311=pas_data,E4311=pas_turno),10000-ROW(),"")</f>
        <v/>
      </c>
    </row>
    <row r="4312">
      <c r="A4312" s="3">
        <f>IF(D4312="","","TT-"&amp;TEXT(ROW()-1,"00000"))</f>
        <v/>
      </c>
      <c r="B4312" s="3">
        <f>IF(D4312="","",IF(V4312=0,"CONCLUÍDO",IF(D4312&lt;corte,"HISTÓRICO",IF(OR(AND(ISNUMBER(R4312),R4312&lt;TODAY()),AND(OR(N4312="PENDENTE",N4312="PARCIAL"),D4312&lt;TODAY()-1)),"CRÍTICO",IF(OR(AND(P4312&lt;&gt;"",S4312=""),AND(N4312="REALIZADO",M4312="PENDENTE"),AND(ISNUMBER(R4312),R4312=TODAY())),"ATENÇÃO",IF(N(K4312)=0,"PENDENTE","EM ANDAMENTO"))))))</f>
        <v/>
      </c>
      <c r="C4312" s="3">
        <f>IF(D4312="","",IF(V4312=0,"🟢 OK",IF(D4312&lt;corte,"⚪ HISTÓRICO (sem baixa)",IF(AND(ISNUMBER(R4312),R4312&lt;TODAY()),"🔴 PRAZO VENCIDO",IF(AND(OR(N4312="PENDENTE",N4312="PARCIAL"),D4312&lt;TODAY()-1),"🔴 EMBARQUE ATRASADO",IF(AND(N4312="REALIZADO",M4312="PENDENTE"),"🟡 EMBARCADO SEM FATURAR",IF(AND(P4312&lt;&gt;"",S4312="",OR(Q4312="",R4312="")),"🟡 PENDÊNCIA SEM RESPONSÁVEL/PRAZO",IF(AND(ISNUMBER(R4312),R4312=TODAY()),"🟡 VENCE HOJE",IF(AND(P4312&lt;&gt;"",S4312=""),"🟡 PENDÊNCIA ABERTA",IF(AND(N(J4312)&gt;0,N(K4312)&lt;J4312),"🟡 FALTA EXECUTAR",IF(OR(M4312="PENDENTE",M4312="PARCIAL"),"🟡 FATURAMENTO PENDENTE","🟡 EMBARQUE PENDENTE")))))))))))</f>
        <v/>
      </c>
      <c r="D4312" s="4" t="n"/>
      <c r="E4312" s="5" t="n"/>
      <c r="F4312" s="5" t="n"/>
      <c r="G4312" s="5" t="n"/>
      <c r="H4312" s="5" t="n"/>
      <c r="I4312" s="5" t="n"/>
      <c r="J4312" s="6" t="n"/>
      <c r="K4312" s="6" t="n"/>
      <c r="L4312" s="7">
        <f>IF(OR(D4312="",N(J4312)=0),"",MIN(1,N(K4312)/J4312))</f>
        <v/>
      </c>
      <c r="M4312" s="5" t="n"/>
      <c r="N4312" s="5" t="n"/>
      <c r="O4312" s="5" t="n"/>
      <c r="P4312" s="5" t="n"/>
      <c r="Q4312" s="5" t="n"/>
      <c r="R4312" s="4" t="n"/>
      <c r="S4312" s="4" t="n"/>
      <c r="T4312" s="5" t="n"/>
      <c r="U4312" s="8">
        <f>IF(AND(V4312=1,D4312&lt;&gt;""),IF(D4312&gt;=corte,TODAY()-D4312,""),"")</f>
        <v/>
      </c>
      <c r="V4312" s="8">
        <f>IF(D4312="",0,IF(OR(AND(P4312&lt;&gt;"",S4312=""),AND(N(J4312)&gt;0,N(K4312)&lt;J4312),OR(M4312="PENDENTE",M4312="PARCIAL"),OR(N4312="PENDENTE",N4312="PARCIAL")),1,0))</f>
        <v/>
      </c>
      <c r="W4312" s="8">
        <f>IF(AND(V4312=1,D4312&lt;&gt;""),IF(D4312&gt;=corte,(B4312="CRÍTICO")*1E9+(100000-D4312)*10000+10000-ROW(),""),"")</f>
        <v/>
      </c>
      <c r="X4312" s="8">
        <f>IF(AND(V4312=1,D4312=pas_data,E4312=pas_turno),10000-ROW(),"")</f>
        <v/>
      </c>
    </row>
    <row r="4313">
      <c r="A4313" s="3">
        <f>IF(D4313="","","TT-"&amp;TEXT(ROW()-1,"00000"))</f>
        <v/>
      </c>
      <c r="B4313" s="3">
        <f>IF(D4313="","",IF(V4313=0,"CONCLUÍDO",IF(D4313&lt;corte,"HISTÓRICO",IF(OR(AND(ISNUMBER(R4313),R4313&lt;TODAY()),AND(OR(N4313="PENDENTE",N4313="PARCIAL"),D4313&lt;TODAY()-1)),"CRÍTICO",IF(OR(AND(P4313&lt;&gt;"",S4313=""),AND(N4313="REALIZADO",M4313="PENDENTE"),AND(ISNUMBER(R4313),R4313=TODAY())),"ATENÇÃO",IF(N(K4313)=0,"PENDENTE","EM ANDAMENTO"))))))</f>
        <v/>
      </c>
      <c r="C4313" s="3">
        <f>IF(D4313="","",IF(V4313=0,"🟢 OK",IF(D4313&lt;corte,"⚪ HISTÓRICO (sem baixa)",IF(AND(ISNUMBER(R4313),R4313&lt;TODAY()),"🔴 PRAZO VENCIDO",IF(AND(OR(N4313="PENDENTE",N4313="PARCIAL"),D4313&lt;TODAY()-1),"🔴 EMBARQUE ATRASADO",IF(AND(N4313="REALIZADO",M4313="PENDENTE"),"🟡 EMBARCADO SEM FATURAR",IF(AND(P4313&lt;&gt;"",S4313="",OR(Q4313="",R4313="")),"🟡 PENDÊNCIA SEM RESPONSÁVEL/PRAZO",IF(AND(ISNUMBER(R4313),R4313=TODAY()),"🟡 VENCE HOJE",IF(AND(P4313&lt;&gt;"",S4313=""),"🟡 PENDÊNCIA ABERTA",IF(AND(N(J4313)&gt;0,N(K4313)&lt;J4313),"🟡 FALTA EXECUTAR",IF(OR(M4313="PENDENTE",M4313="PARCIAL"),"🟡 FATURAMENTO PENDENTE","🟡 EMBARQUE PENDENTE")))))))))))</f>
        <v/>
      </c>
      <c r="D4313" s="4" t="n"/>
      <c r="E4313" s="5" t="n"/>
      <c r="F4313" s="5" t="n"/>
      <c r="G4313" s="5" t="n"/>
      <c r="H4313" s="5" t="n"/>
      <c r="I4313" s="5" t="n"/>
      <c r="J4313" s="6" t="n"/>
      <c r="K4313" s="6" t="n"/>
      <c r="L4313" s="7">
        <f>IF(OR(D4313="",N(J4313)=0),"",MIN(1,N(K4313)/J4313))</f>
        <v/>
      </c>
      <c r="M4313" s="5" t="n"/>
      <c r="N4313" s="5" t="n"/>
      <c r="O4313" s="5" t="n"/>
      <c r="P4313" s="5" t="n"/>
      <c r="Q4313" s="5" t="n"/>
      <c r="R4313" s="4" t="n"/>
      <c r="S4313" s="4" t="n"/>
      <c r="T4313" s="5" t="n"/>
      <c r="U4313" s="8">
        <f>IF(AND(V4313=1,D4313&lt;&gt;""),IF(D4313&gt;=corte,TODAY()-D4313,""),"")</f>
        <v/>
      </c>
      <c r="V4313" s="8">
        <f>IF(D4313="",0,IF(OR(AND(P4313&lt;&gt;"",S4313=""),AND(N(J4313)&gt;0,N(K4313)&lt;J4313),OR(M4313="PENDENTE",M4313="PARCIAL"),OR(N4313="PENDENTE",N4313="PARCIAL")),1,0))</f>
        <v/>
      </c>
      <c r="W4313" s="8">
        <f>IF(AND(V4313=1,D4313&lt;&gt;""),IF(D4313&gt;=corte,(B4313="CRÍTICO")*1E9+(100000-D4313)*10000+10000-ROW(),""),"")</f>
        <v/>
      </c>
      <c r="X4313" s="8">
        <f>IF(AND(V4313=1,D4313=pas_data,E4313=pas_turno),10000-ROW(),"")</f>
        <v/>
      </c>
    </row>
    <row r="4314">
      <c r="A4314" s="3">
        <f>IF(D4314="","","TT-"&amp;TEXT(ROW()-1,"00000"))</f>
        <v/>
      </c>
      <c r="B4314" s="3">
        <f>IF(D4314="","",IF(V4314=0,"CONCLUÍDO",IF(D4314&lt;corte,"HISTÓRICO",IF(OR(AND(ISNUMBER(R4314),R4314&lt;TODAY()),AND(OR(N4314="PENDENTE",N4314="PARCIAL"),D4314&lt;TODAY()-1)),"CRÍTICO",IF(OR(AND(P4314&lt;&gt;"",S4314=""),AND(N4314="REALIZADO",M4314="PENDENTE"),AND(ISNUMBER(R4314),R4314=TODAY())),"ATENÇÃO",IF(N(K4314)=0,"PENDENTE","EM ANDAMENTO"))))))</f>
        <v/>
      </c>
      <c r="C4314" s="3">
        <f>IF(D4314="","",IF(V4314=0,"🟢 OK",IF(D4314&lt;corte,"⚪ HISTÓRICO (sem baixa)",IF(AND(ISNUMBER(R4314),R4314&lt;TODAY()),"🔴 PRAZO VENCIDO",IF(AND(OR(N4314="PENDENTE",N4314="PARCIAL"),D4314&lt;TODAY()-1),"🔴 EMBARQUE ATRASADO",IF(AND(N4314="REALIZADO",M4314="PENDENTE"),"🟡 EMBARCADO SEM FATURAR",IF(AND(P4314&lt;&gt;"",S4314="",OR(Q4314="",R4314="")),"🟡 PENDÊNCIA SEM RESPONSÁVEL/PRAZO",IF(AND(ISNUMBER(R4314),R4314=TODAY()),"🟡 VENCE HOJE",IF(AND(P4314&lt;&gt;"",S4314=""),"🟡 PENDÊNCIA ABERTA",IF(AND(N(J4314)&gt;0,N(K4314)&lt;J4314),"🟡 FALTA EXECUTAR",IF(OR(M4314="PENDENTE",M4314="PARCIAL"),"🟡 FATURAMENTO PENDENTE","🟡 EMBARQUE PENDENTE")))))))))))</f>
        <v/>
      </c>
      <c r="D4314" s="4" t="n"/>
      <c r="E4314" s="5" t="n"/>
      <c r="F4314" s="5" t="n"/>
      <c r="G4314" s="5" t="n"/>
      <c r="H4314" s="5" t="n"/>
      <c r="I4314" s="5" t="n"/>
      <c r="J4314" s="6" t="n"/>
      <c r="K4314" s="6" t="n"/>
      <c r="L4314" s="7">
        <f>IF(OR(D4314="",N(J4314)=0),"",MIN(1,N(K4314)/J4314))</f>
        <v/>
      </c>
      <c r="M4314" s="5" t="n"/>
      <c r="N4314" s="5" t="n"/>
      <c r="O4314" s="5" t="n"/>
      <c r="P4314" s="5" t="n"/>
      <c r="Q4314" s="5" t="n"/>
      <c r="R4314" s="4" t="n"/>
      <c r="S4314" s="4" t="n"/>
      <c r="T4314" s="5" t="n"/>
      <c r="U4314" s="8">
        <f>IF(AND(V4314=1,D4314&lt;&gt;""),IF(D4314&gt;=corte,TODAY()-D4314,""),"")</f>
        <v/>
      </c>
      <c r="V4314" s="8">
        <f>IF(D4314="",0,IF(OR(AND(P4314&lt;&gt;"",S4314=""),AND(N(J4314)&gt;0,N(K4314)&lt;J4314),OR(M4314="PENDENTE",M4314="PARCIAL"),OR(N4314="PENDENTE",N4314="PARCIAL")),1,0))</f>
        <v/>
      </c>
      <c r="W4314" s="8">
        <f>IF(AND(V4314=1,D4314&lt;&gt;""),IF(D4314&gt;=corte,(B4314="CRÍTICO")*1E9+(100000-D4314)*10000+10000-ROW(),""),"")</f>
        <v/>
      </c>
      <c r="X4314" s="8">
        <f>IF(AND(V4314=1,D4314=pas_data,E4314=pas_turno),10000-ROW(),"")</f>
        <v/>
      </c>
    </row>
    <row r="4315">
      <c r="A4315" s="3">
        <f>IF(D4315="","","TT-"&amp;TEXT(ROW()-1,"00000"))</f>
        <v/>
      </c>
      <c r="B4315" s="3">
        <f>IF(D4315="","",IF(V4315=0,"CONCLUÍDO",IF(D4315&lt;corte,"HISTÓRICO",IF(OR(AND(ISNUMBER(R4315),R4315&lt;TODAY()),AND(OR(N4315="PENDENTE",N4315="PARCIAL"),D4315&lt;TODAY()-1)),"CRÍTICO",IF(OR(AND(P4315&lt;&gt;"",S4315=""),AND(N4315="REALIZADO",M4315="PENDENTE"),AND(ISNUMBER(R4315),R4315=TODAY())),"ATENÇÃO",IF(N(K4315)=0,"PENDENTE","EM ANDAMENTO"))))))</f>
        <v/>
      </c>
      <c r="C4315" s="3">
        <f>IF(D4315="","",IF(V4315=0,"🟢 OK",IF(D4315&lt;corte,"⚪ HISTÓRICO (sem baixa)",IF(AND(ISNUMBER(R4315),R4315&lt;TODAY()),"🔴 PRAZO VENCIDO",IF(AND(OR(N4315="PENDENTE",N4315="PARCIAL"),D4315&lt;TODAY()-1),"🔴 EMBARQUE ATRASADO",IF(AND(N4315="REALIZADO",M4315="PENDENTE"),"🟡 EMBARCADO SEM FATURAR",IF(AND(P4315&lt;&gt;"",S4315="",OR(Q4315="",R4315="")),"🟡 PENDÊNCIA SEM RESPONSÁVEL/PRAZO",IF(AND(ISNUMBER(R4315),R4315=TODAY()),"🟡 VENCE HOJE",IF(AND(P4315&lt;&gt;"",S4315=""),"🟡 PENDÊNCIA ABERTA",IF(AND(N(J4315)&gt;0,N(K4315)&lt;J4315),"🟡 FALTA EXECUTAR",IF(OR(M4315="PENDENTE",M4315="PARCIAL"),"🟡 FATURAMENTO PENDENTE","🟡 EMBARQUE PENDENTE")))))))))))</f>
        <v/>
      </c>
      <c r="D4315" s="4" t="n"/>
      <c r="E4315" s="5" t="n"/>
      <c r="F4315" s="5" t="n"/>
      <c r="G4315" s="5" t="n"/>
      <c r="H4315" s="5" t="n"/>
      <c r="I4315" s="5" t="n"/>
      <c r="J4315" s="6" t="n"/>
      <c r="K4315" s="6" t="n"/>
      <c r="L4315" s="7">
        <f>IF(OR(D4315="",N(J4315)=0),"",MIN(1,N(K4315)/J4315))</f>
        <v/>
      </c>
      <c r="M4315" s="5" t="n"/>
      <c r="N4315" s="5" t="n"/>
      <c r="O4315" s="5" t="n"/>
      <c r="P4315" s="5" t="n"/>
      <c r="Q4315" s="5" t="n"/>
      <c r="R4315" s="4" t="n"/>
      <c r="S4315" s="4" t="n"/>
      <c r="T4315" s="5" t="n"/>
      <c r="U4315" s="8">
        <f>IF(AND(V4315=1,D4315&lt;&gt;""),IF(D4315&gt;=corte,TODAY()-D4315,""),"")</f>
        <v/>
      </c>
      <c r="V4315" s="8">
        <f>IF(D4315="",0,IF(OR(AND(P4315&lt;&gt;"",S4315=""),AND(N(J4315)&gt;0,N(K4315)&lt;J4315),OR(M4315="PENDENTE",M4315="PARCIAL"),OR(N4315="PENDENTE",N4315="PARCIAL")),1,0))</f>
        <v/>
      </c>
      <c r="W4315" s="8">
        <f>IF(AND(V4315=1,D4315&lt;&gt;""),IF(D4315&gt;=corte,(B4315="CRÍTICO")*1E9+(100000-D4315)*10000+10000-ROW(),""),"")</f>
        <v/>
      </c>
      <c r="X4315" s="8">
        <f>IF(AND(V4315=1,D4315=pas_data,E4315=pas_turno),10000-ROW(),"")</f>
        <v/>
      </c>
    </row>
    <row r="4316">
      <c r="A4316" s="3">
        <f>IF(D4316="","","TT-"&amp;TEXT(ROW()-1,"00000"))</f>
        <v/>
      </c>
      <c r="B4316" s="3">
        <f>IF(D4316="","",IF(V4316=0,"CONCLUÍDO",IF(D4316&lt;corte,"HISTÓRICO",IF(OR(AND(ISNUMBER(R4316),R4316&lt;TODAY()),AND(OR(N4316="PENDENTE",N4316="PARCIAL"),D4316&lt;TODAY()-1)),"CRÍTICO",IF(OR(AND(P4316&lt;&gt;"",S4316=""),AND(N4316="REALIZADO",M4316="PENDENTE"),AND(ISNUMBER(R4316),R4316=TODAY())),"ATENÇÃO",IF(N(K4316)=0,"PENDENTE","EM ANDAMENTO"))))))</f>
        <v/>
      </c>
      <c r="C4316" s="3">
        <f>IF(D4316="","",IF(V4316=0,"🟢 OK",IF(D4316&lt;corte,"⚪ HISTÓRICO (sem baixa)",IF(AND(ISNUMBER(R4316),R4316&lt;TODAY()),"🔴 PRAZO VENCIDO",IF(AND(OR(N4316="PENDENTE",N4316="PARCIAL"),D4316&lt;TODAY()-1),"🔴 EMBARQUE ATRASADO",IF(AND(N4316="REALIZADO",M4316="PENDENTE"),"🟡 EMBARCADO SEM FATURAR",IF(AND(P4316&lt;&gt;"",S4316="",OR(Q4316="",R4316="")),"🟡 PENDÊNCIA SEM RESPONSÁVEL/PRAZO",IF(AND(ISNUMBER(R4316),R4316=TODAY()),"🟡 VENCE HOJE",IF(AND(P4316&lt;&gt;"",S4316=""),"🟡 PENDÊNCIA ABERTA",IF(AND(N(J4316)&gt;0,N(K4316)&lt;J4316),"🟡 FALTA EXECUTAR",IF(OR(M4316="PENDENTE",M4316="PARCIAL"),"🟡 FATURAMENTO PENDENTE","🟡 EMBARQUE PENDENTE")))))))))))</f>
        <v/>
      </c>
      <c r="D4316" s="4" t="n"/>
      <c r="E4316" s="5" t="n"/>
      <c r="F4316" s="5" t="n"/>
      <c r="G4316" s="5" t="n"/>
      <c r="H4316" s="5" t="n"/>
      <c r="I4316" s="5" t="n"/>
      <c r="J4316" s="6" t="n"/>
      <c r="K4316" s="6" t="n"/>
      <c r="L4316" s="7">
        <f>IF(OR(D4316="",N(J4316)=0),"",MIN(1,N(K4316)/J4316))</f>
        <v/>
      </c>
      <c r="M4316" s="5" t="n"/>
      <c r="N4316" s="5" t="n"/>
      <c r="O4316" s="5" t="n"/>
      <c r="P4316" s="5" t="n"/>
      <c r="Q4316" s="5" t="n"/>
      <c r="R4316" s="4" t="n"/>
      <c r="S4316" s="4" t="n"/>
      <c r="T4316" s="5" t="n"/>
      <c r="U4316" s="8">
        <f>IF(AND(V4316=1,D4316&lt;&gt;""),IF(D4316&gt;=corte,TODAY()-D4316,""),"")</f>
        <v/>
      </c>
      <c r="V4316" s="8">
        <f>IF(D4316="",0,IF(OR(AND(P4316&lt;&gt;"",S4316=""),AND(N(J4316)&gt;0,N(K4316)&lt;J4316),OR(M4316="PENDENTE",M4316="PARCIAL"),OR(N4316="PENDENTE",N4316="PARCIAL")),1,0))</f>
        <v/>
      </c>
      <c r="W4316" s="8">
        <f>IF(AND(V4316=1,D4316&lt;&gt;""),IF(D4316&gt;=corte,(B4316="CRÍTICO")*1E9+(100000-D4316)*10000+10000-ROW(),""),"")</f>
        <v/>
      </c>
      <c r="X4316" s="8">
        <f>IF(AND(V4316=1,D4316=pas_data,E4316=pas_turno),10000-ROW(),"")</f>
        <v/>
      </c>
    </row>
    <row r="4317">
      <c r="A4317" s="3">
        <f>IF(D4317="","","TT-"&amp;TEXT(ROW()-1,"00000"))</f>
        <v/>
      </c>
      <c r="B4317" s="3">
        <f>IF(D4317="","",IF(V4317=0,"CONCLUÍDO",IF(D4317&lt;corte,"HISTÓRICO",IF(OR(AND(ISNUMBER(R4317),R4317&lt;TODAY()),AND(OR(N4317="PENDENTE",N4317="PARCIAL"),D4317&lt;TODAY()-1)),"CRÍTICO",IF(OR(AND(P4317&lt;&gt;"",S4317=""),AND(N4317="REALIZADO",M4317="PENDENTE"),AND(ISNUMBER(R4317),R4317=TODAY())),"ATENÇÃO",IF(N(K4317)=0,"PENDENTE","EM ANDAMENTO"))))))</f>
        <v/>
      </c>
      <c r="C4317" s="3">
        <f>IF(D4317="","",IF(V4317=0,"🟢 OK",IF(D4317&lt;corte,"⚪ HISTÓRICO (sem baixa)",IF(AND(ISNUMBER(R4317),R4317&lt;TODAY()),"🔴 PRAZO VENCIDO",IF(AND(OR(N4317="PENDENTE",N4317="PARCIAL"),D4317&lt;TODAY()-1),"🔴 EMBARQUE ATRASADO",IF(AND(N4317="REALIZADO",M4317="PENDENTE"),"🟡 EMBARCADO SEM FATURAR",IF(AND(P4317&lt;&gt;"",S4317="",OR(Q4317="",R4317="")),"🟡 PENDÊNCIA SEM RESPONSÁVEL/PRAZO",IF(AND(ISNUMBER(R4317),R4317=TODAY()),"🟡 VENCE HOJE",IF(AND(P4317&lt;&gt;"",S4317=""),"🟡 PENDÊNCIA ABERTA",IF(AND(N(J4317)&gt;0,N(K4317)&lt;J4317),"🟡 FALTA EXECUTAR",IF(OR(M4317="PENDENTE",M4317="PARCIAL"),"🟡 FATURAMENTO PENDENTE","🟡 EMBARQUE PENDENTE")))))))))))</f>
        <v/>
      </c>
      <c r="D4317" s="4" t="n"/>
      <c r="E4317" s="5" t="n"/>
      <c r="F4317" s="5" t="n"/>
      <c r="G4317" s="5" t="n"/>
      <c r="H4317" s="5" t="n"/>
      <c r="I4317" s="5" t="n"/>
      <c r="J4317" s="6" t="n"/>
      <c r="K4317" s="6" t="n"/>
      <c r="L4317" s="7">
        <f>IF(OR(D4317="",N(J4317)=0),"",MIN(1,N(K4317)/J4317))</f>
        <v/>
      </c>
      <c r="M4317" s="5" t="n"/>
      <c r="N4317" s="5" t="n"/>
      <c r="O4317" s="5" t="n"/>
      <c r="P4317" s="5" t="n"/>
      <c r="Q4317" s="5" t="n"/>
      <c r="R4317" s="4" t="n"/>
      <c r="S4317" s="4" t="n"/>
      <c r="T4317" s="5" t="n"/>
      <c r="U4317" s="8">
        <f>IF(AND(V4317=1,D4317&lt;&gt;""),IF(D4317&gt;=corte,TODAY()-D4317,""),"")</f>
        <v/>
      </c>
      <c r="V4317" s="8">
        <f>IF(D4317="",0,IF(OR(AND(P4317&lt;&gt;"",S4317=""),AND(N(J4317)&gt;0,N(K4317)&lt;J4317),OR(M4317="PENDENTE",M4317="PARCIAL"),OR(N4317="PENDENTE",N4317="PARCIAL")),1,0))</f>
        <v/>
      </c>
      <c r="W4317" s="8">
        <f>IF(AND(V4317=1,D4317&lt;&gt;""),IF(D4317&gt;=corte,(B4317="CRÍTICO")*1E9+(100000-D4317)*10000+10000-ROW(),""),"")</f>
        <v/>
      </c>
      <c r="X4317" s="8">
        <f>IF(AND(V4317=1,D4317=pas_data,E4317=pas_turno),10000-ROW(),"")</f>
        <v/>
      </c>
    </row>
    <row r="4318">
      <c r="A4318" s="3">
        <f>IF(D4318="","","TT-"&amp;TEXT(ROW()-1,"00000"))</f>
        <v/>
      </c>
      <c r="B4318" s="3">
        <f>IF(D4318="","",IF(V4318=0,"CONCLUÍDO",IF(D4318&lt;corte,"HISTÓRICO",IF(OR(AND(ISNUMBER(R4318),R4318&lt;TODAY()),AND(OR(N4318="PENDENTE",N4318="PARCIAL"),D4318&lt;TODAY()-1)),"CRÍTICO",IF(OR(AND(P4318&lt;&gt;"",S4318=""),AND(N4318="REALIZADO",M4318="PENDENTE"),AND(ISNUMBER(R4318),R4318=TODAY())),"ATENÇÃO",IF(N(K4318)=0,"PENDENTE","EM ANDAMENTO"))))))</f>
        <v/>
      </c>
      <c r="C4318" s="3">
        <f>IF(D4318="","",IF(V4318=0,"🟢 OK",IF(D4318&lt;corte,"⚪ HISTÓRICO (sem baixa)",IF(AND(ISNUMBER(R4318),R4318&lt;TODAY()),"🔴 PRAZO VENCIDO",IF(AND(OR(N4318="PENDENTE",N4318="PARCIAL"),D4318&lt;TODAY()-1),"🔴 EMBARQUE ATRASADO",IF(AND(N4318="REALIZADO",M4318="PENDENTE"),"🟡 EMBARCADO SEM FATURAR",IF(AND(P4318&lt;&gt;"",S4318="",OR(Q4318="",R4318="")),"🟡 PENDÊNCIA SEM RESPONSÁVEL/PRAZO",IF(AND(ISNUMBER(R4318),R4318=TODAY()),"🟡 VENCE HOJE",IF(AND(P4318&lt;&gt;"",S4318=""),"🟡 PENDÊNCIA ABERTA",IF(AND(N(J4318)&gt;0,N(K4318)&lt;J4318),"🟡 FALTA EXECUTAR",IF(OR(M4318="PENDENTE",M4318="PARCIAL"),"🟡 FATURAMENTO PENDENTE","🟡 EMBARQUE PENDENTE")))))))))))</f>
        <v/>
      </c>
      <c r="D4318" s="4" t="n"/>
      <c r="E4318" s="5" t="n"/>
      <c r="F4318" s="5" t="n"/>
      <c r="G4318" s="5" t="n"/>
      <c r="H4318" s="5" t="n"/>
      <c r="I4318" s="5" t="n"/>
      <c r="J4318" s="6" t="n"/>
      <c r="K4318" s="6" t="n"/>
      <c r="L4318" s="7">
        <f>IF(OR(D4318="",N(J4318)=0),"",MIN(1,N(K4318)/J4318))</f>
        <v/>
      </c>
      <c r="M4318" s="5" t="n"/>
      <c r="N4318" s="5" t="n"/>
      <c r="O4318" s="5" t="n"/>
      <c r="P4318" s="5" t="n"/>
      <c r="Q4318" s="5" t="n"/>
      <c r="R4318" s="4" t="n"/>
      <c r="S4318" s="4" t="n"/>
      <c r="T4318" s="5" t="n"/>
      <c r="U4318" s="8">
        <f>IF(AND(V4318=1,D4318&lt;&gt;""),IF(D4318&gt;=corte,TODAY()-D4318,""),"")</f>
        <v/>
      </c>
      <c r="V4318" s="8">
        <f>IF(D4318="",0,IF(OR(AND(P4318&lt;&gt;"",S4318=""),AND(N(J4318)&gt;0,N(K4318)&lt;J4318),OR(M4318="PENDENTE",M4318="PARCIAL"),OR(N4318="PENDENTE",N4318="PARCIAL")),1,0))</f>
        <v/>
      </c>
      <c r="W4318" s="8">
        <f>IF(AND(V4318=1,D4318&lt;&gt;""),IF(D4318&gt;=corte,(B4318="CRÍTICO")*1E9+(100000-D4318)*10000+10000-ROW(),""),"")</f>
        <v/>
      </c>
      <c r="X4318" s="8">
        <f>IF(AND(V4318=1,D4318=pas_data,E4318=pas_turno),10000-ROW(),"")</f>
        <v/>
      </c>
    </row>
    <row r="4319">
      <c r="A4319" s="3">
        <f>IF(D4319="","","TT-"&amp;TEXT(ROW()-1,"00000"))</f>
        <v/>
      </c>
      <c r="B4319" s="3">
        <f>IF(D4319="","",IF(V4319=0,"CONCLUÍDO",IF(D4319&lt;corte,"HISTÓRICO",IF(OR(AND(ISNUMBER(R4319),R4319&lt;TODAY()),AND(OR(N4319="PENDENTE",N4319="PARCIAL"),D4319&lt;TODAY()-1)),"CRÍTICO",IF(OR(AND(P4319&lt;&gt;"",S4319=""),AND(N4319="REALIZADO",M4319="PENDENTE"),AND(ISNUMBER(R4319),R4319=TODAY())),"ATENÇÃO",IF(N(K4319)=0,"PENDENTE","EM ANDAMENTO"))))))</f>
        <v/>
      </c>
      <c r="C4319" s="3">
        <f>IF(D4319="","",IF(V4319=0,"🟢 OK",IF(D4319&lt;corte,"⚪ HISTÓRICO (sem baixa)",IF(AND(ISNUMBER(R4319),R4319&lt;TODAY()),"🔴 PRAZO VENCIDO",IF(AND(OR(N4319="PENDENTE",N4319="PARCIAL"),D4319&lt;TODAY()-1),"🔴 EMBARQUE ATRASADO",IF(AND(N4319="REALIZADO",M4319="PENDENTE"),"🟡 EMBARCADO SEM FATURAR",IF(AND(P4319&lt;&gt;"",S4319="",OR(Q4319="",R4319="")),"🟡 PENDÊNCIA SEM RESPONSÁVEL/PRAZO",IF(AND(ISNUMBER(R4319),R4319=TODAY()),"🟡 VENCE HOJE",IF(AND(P4319&lt;&gt;"",S4319=""),"🟡 PENDÊNCIA ABERTA",IF(AND(N(J4319)&gt;0,N(K4319)&lt;J4319),"🟡 FALTA EXECUTAR",IF(OR(M4319="PENDENTE",M4319="PARCIAL"),"🟡 FATURAMENTO PENDENTE","🟡 EMBARQUE PENDENTE")))))))))))</f>
        <v/>
      </c>
      <c r="D4319" s="4" t="n"/>
      <c r="E4319" s="5" t="n"/>
      <c r="F4319" s="5" t="n"/>
      <c r="G4319" s="5" t="n"/>
      <c r="H4319" s="5" t="n"/>
      <c r="I4319" s="5" t="n"/>
      <c r="J4319" s="6" t="n"/>
      <c r="K4319" s="6" t="n"/>
      <c r="L4319" s="7">
        <f>IF(OR(D4319="",N(J4319)=0),"",MIN(1,N(K4319)/J4319))</f>
        <v/>
      </c>
      <c r="M4319" s="5" t="n"/>
      <c r="N4319" s="5" t="n"/>
      <c r="O4319" s="5" t="n"/>
      <c r="P4319" s="5" t="n"/>
      <c r="Q4319" s="5" t="n"/>
      <c r="R4319" s="4" t="n"/>
      <c r="S4319" s="4" t="n"/>
      <c r="T4319" s="5" t="n"/>
      <c r="U4319" s="8">
        <f>IF(AND(V4319=1,D4319&lt;&gt;""),IF(D4319&gt;=corte,TODAY()-D4319,""),"")</f>
        <v/>
      </c>
      <c r="V4319" s="8">
        <f>IF(D4319="",0,IF(OR(AND(P4319&lt;&gt;"",S4319=""),AND(N(J4319)&gt;0,N(K4319)&lt;J4319),OR(M4319="PENDENTE",M4319="PARCIAL"),OR(N4319="PENDENTE",N4319="PARCIAL")),1,0))</f>
        <v/>
      </c>
      <c r="W4319" s="8">
        <f>IF(AND(V4319=1,D4319&lt;&gt;""),IF(D4319&gt;=corte,(B4319="CRÍTICO")*1E9+(100000-D4319)*10000+10000-ROW(),""),"")</f>
        <v/>
      </c>
      <c r="X4319" s="8">
        <f>IF(AND(V4319=1,D4319=pas_data,E4319=pas_turno),10000-ROW(),"")</f>
        <v/>
      </c>
    </row>
    <row r="4320">
      <c r="A4320" s="3">
        <f>IF(D4320="","","TT-"&amp;TEXT(ROW()-1,"00000"))</f>
        <v/>
      </c>
      <c r="B4320" s="3">
        <f>IF(D4320="","",IF(V4320=0,"CONCLUÍDO",IF(D4320&lt;corte,"HISTÓRICO",IF(OR(AND(ISNUMBER(R4320),R4320&lt;TODAY()),AND(OR(N4320="PENDENTE",N4320="PARCIAL"),D4320&lt;TODAY()-1)),"CRÍTICO",IF(OR(AND(P4320&lt;&gt;"",S4320=""),AND(N4320="REALIZADO",M4320="PENDENTE"),AND(ISNUMBER(R4320),R4320=TODAY())),"ATENÇÃO",IF(N(K4320)=0,"PENDENTE","EM ANDAMENTO"))))))</f>
        <v/>
      </c>
      <c r="C4320" s="3">
        <f>IF(D4320="","",IF(V4320=0,"🟢 OK",IF(D4320&lt;corte,"⚪ HISTÓRICO (sem baixa)",IF(AND(ISNUMBER(R4320),R4320&lt;TODAY()),"🔴 PRAZO VENCIDO",IF(AND(OR(N4320="PENDENTE",N4320="PARCIAL"),D4320&lt;TODAY()-1),"🔴 EMBARQUE ATRASADO",IF(AND(N4320="REALIZADO",M4320="PENDENTE"),"🟡 EMBARCADO SEM FATURAR",IF(AND(P4320&lt;&gt;"",S4320="",OR(Q4320="",R4320="")),"🟡 PENDÊNCIA SEM RESPONSÁVEL/PRAZO",IF(AND(ISNUMBER(R4320),R4320=TODAY()),"🟡 VENCE HOJE",IF(AND(P4320&lt;&gt;"",S4320=""),"🟡 PENDÊNCIA ABERTA",IF(AND(N(J4320)&gt;0,N(K4320)&lt;J4320),"🟡 FALTA EXECUTAR",IF(OR(M4320="PENDENTE",M4320="PARCIAL"),"🟡 FATURAMENTO PENDENTE","🟡 EMBARQUE PENDENTE")))))))))))</f>
        <v/>
      </c>
      <c r="D4320" s="4" t="n"/>
      <c r="E4320" s="5" t="n"/>
      <c r="F4320" s="5" t="n"/>
      <c r="G4320" s="5" t="n"/>
      <c r="H4320" s="5" t="n"/>
      <c r="I4320" s="5" t="n"/>
      <c r="J4320" s="6" t="n"/>
      <c r="K4320" s="6" t="n"/>
      <c r="L4320" s="7">
        <f>IF(OR(D4320="",N(J4320)=0),"",MIN(1,N(K4320)/J4320))</f>
        <v/>
      </c>
      <c r="M4320" s="5" t="n"/>
      <c r="N4320" s="5" t="n"/>
      <c r="O4320" s="5" t="n"/>
      <c r="P4320" s="5" t="n"/>
      <c r="Q4320" s="5" t="n"/>
      <c r="R4320" s="4" t="n"/>
      <c r="S4320" s="4" t="n"/>
      <c r="T4320" s="5" t="n"/>
      <c r="U4320" s="8">
        <f>IF(AND(V4320=1,D4320&lt;&gt;""),IF(D4320&gt;=corte,TODAY()-D4320,""),"")</f>
        <v/>
      </c>
      <c r="V4320" s="8">
        <f>IF(D4320="",0,IF(OR(AND(P4320&lt;&gt;"",S4320=""),AND(N(J4320)&gt;0,N(K4320)&lt;J4320),OR(M4320="PENDENTE",M4320="PARCIAL"),OR(N4320="PENDENTE",N4320="PARCIAL")),1,0))</f>
        <v/>
      </c>
      <c r="W4320" s="8">
        <f>IF(AND(V4320=1,D4320&lt;&gt;""),IF(D4320&gt;=corte,(B4320="CRÍTICO")*1E9+(100000-D4320)*10000+10000-ROW(),""),"")</f>
        <v/>
      </c>
      <c r="X4320" s="8">
        <f>IF(AND(V4320=1,D4320=pas_data,E4320=pas_turno),10000-ROW(),"")</f>
        <v/>
      </c>
    </row>
    <row r="4321">
      <c r="A4321" s="3">
        <f>IF(D4321="","","TT-"&amp;TEXT(ROW()-1,"00000"))</f>
        <v/>
      </c>
      <c r="B4321" s="3">
        <f>IF(D4321="","",IF(V4321=0,"CONCLUÍDO",IF(D4321&lt;corte,"HISTÓRICO",IF(OR(AND(ISNUMBER(R4321),R4321&lt;TODAY()),AND(OR(N4321="PENDENTE",N4321="PARCIAL"),D4321&lt;TODAY()-1)),"CRÍTICO",IF(OR(AND(P4321&lt;&gt;"",S4321=""),AND(N4321="REALIZADO",M4321="PENDENTE"),AND(ISNUMBER(R4321),R4321=TODAY())),"ATENÇÃO",IF(N(K4321)=0,"PENDENTE","EM ANDAMENTO"))))))</f>
        <v/>
      </c>
      <c r="C4321" s="3">
        <f>IF(D4321="","",IF(V4321=0,"🟢 OK",IF(D4321&lt;corte,"⚪ HISTÓRICO (sem baixa)",IF(AND(ISNUMBER(R4321),R4321&lt;TODAY()),"🔴 PRAZO VENCIDO",IF(AND(OR(N4321="PENDENTE",N4321="PARCIAL"),D4321&lt;TODAY()-1),"🔴 EMBARQUE ATRASADO",IF(AND(N4321="REALIZADO",M4321="PENDENTE"),"🟡 EMBARCADO SEM FATURAR",IF(AND(P4321&lt;&gt;"",S4321="",OR(Q4321="",R4321="")),"🟡 PENDÊNCIA SEM RESPONSÁVEL/PRAZO",IF(AND(ISNUMBER(R4321),R4321=TODAY()),"🟡 VENCE HOJE",IF(AND(P4321&lt;&gt;"",S4321=""),"🟡 PENDÊNCIA ABERTA",IF(AND(N(J4321)&gt;0,N(K4321)&lt;J4321),"🟡 FALTA EXECUTAR",IF(OR(M4321="PENDENTE",M4321="PARCIAL"),"🟡 FATURAMENTO PENDENTE","🟡 EMBARQUE PENDENTE")))))))))))</f>
        <v/>
      </c>
      <c r="D4321" s="4" t="n"/>
      <c r="E4321" s="5" t="n"/>
      <c r="F4321" s="5" t="n"/>
      <c r="G4321" s="5" t="n"/>
      <c r="H4321" s="5" t="n"/>
      <c r="I4321" s="5" t="n"/>
      <c r="J4321" s="6" t="n"/>
      <c r="K4321" s="6" t="n"/>
      <c r="L4321" s="7">
        <f>IF(OR(D4321="",N(J4321)=0),"",MIN(1,N(K4321)/J4321))</f>
        <v/>
      </c>
      <c r="M4321" s="5" t="n"/>
      <c r="N4321" s="5" t="n"/>
      <c r="O4321" s="5" t="n"/>
      <c r="P4321" s="5" t="n"/>
      <c r="Q4321" s="5" t="n"/>
      <c r="R4321" s="4" t="n"/>
      <c r="S4321" s="4" t="n"/>
      <c r="T4321" s="5" t="n"/>
      <c r="U4321" s="8">
        <f>IF(AND(V4321=1,D4321&lt;&gt;""),IF(D4321&gt;=corte,TODAY()-D4321,""),"")</f>
        <v/>
      </c>
      <c r="V4321" s="8">
        <f>IF(D4321="",0,IF(OR(AND(P4321&lt;&gt;"",S4321=""),AND(N(J4321)&gt;0,N(K4321)&lt;J4321),OR(M4321="PENDENTE",M4321="PARCIAL"),OR(N4321="PENDENTE",N4321="PARCIAL")),1,0))</f>
        <v/>
      </c>
      <c r="W4321" s="8">
        <f>IF(AND(V4321=1,D4321&lt;&gt;""),IF(D4321&gt;=corte,(B4321="CRÍTICO")*1E9+(100000-D4321)*10000+10000-ROW(),""),"")</f>
        <v/>
      </c>
      <c r="X4321" s="8">
        <f>IF(AND(V4321=1,D4321=pas_data,E4321=pas_turno),10000-ROW(),"")</f>
        <v/>
      </c>
    </row>
    <row r="4322">
      <c r="A4322" s="3">
        <f>IF(D4322="","","TT-"&amp;TEXT(ROW()-1,"00000"))</f>
        <v/>
      </c>
      <c r="B4322" s="3">
        <f>IF(D4322="","",IF(V4322=0,"CONCLUÍDO",IF(D4322&lt;corte,"HISTÓRICO",IF(OR(AND(ISNUMBER(R4322),R4322&lt;TODAY()),AND(OR(N4322="PENDENTE",N4322="PARCIAL"),D4322&lt;TODAY()-1)),"CRÍTICO",IF(OR(AND(P4322&lt;&gt;"",S4322=""),AND(N4322="REALIZADO",M4322="PENDENTE"),AND(ISNUMBER(R4322),R4322=TODAY())),"ATENÇÃO",IF(N(K4322)=0,"PENDENTE","EM ANDAMENTO"))))))</f>
        <v/>
      </c>
      <c r="C4322" s="3">
        <f>IF(D4322="","",IF(V4322=0,"🟢 OK",IF(D4322&lt;corte,"⚪ HISTÓRICO (sem baixa)",IF(AND(ISNUMBER(R4322),R4322&lt;TODAY()),"🔴 PRAZO VENCIDO",IF(AND(OR(N4322="PENDENTE",N4322="PARCIAL"),D4322&lt;TODAY()-1),"🔴 EMBARQUE ATRASADO",IF(AND(N4322="REALIZADO",M4322="PENDENTE"),"🟡 EMBARCADO SEM FATURAR",IF(AND(P4322&lt;&gt;"",S4322="",OR(Q4322="",R4322="")),"🟡 PENDÊNCIA SEM RESPONSÁVEL/PRAZO",IF(AND(ISNUMBER(R4322),R4322=TODAY()),"🟡 VENCE HOJE",IF(AND(P4322&lt;&gt;"",S4322=""),"🟡 PENDÊNCIA ABERTA",IF(AND(N(J4322)&gt;0,N(K4322)&lt;J4322),"🟡 FALTA EXECUTAR",IF(OR(M4322="PENDENTE",M4322="PARCIAL"),"🟡 FATURAMENTO PENDENTE","🟡 EMBARQUE PENDENTE")))))))))))</f>
        <v/>
      </c>
      <c r="D4322" s="4" t="n"/>
      <c r="E4322" s="5" t="n"/>
      <c r="F4322" s="5" t="n"/>
      <c r="G4322" s="5" t="n"/>
      <c r="H4322" s="5" t="n"/>
      <c r="I4322" s="5" t="n"/>
      <c r="J4322" s="6" t="n"/>
      <c r="K4322" s="6" t="n"/>
      <c r="L4322" s="7">
        <f>IF(OR(D4322="",N(J4322)=0),"",MIN(1,N(K4322)/J4322))</f>
        <v/>
      </c>
      <c r="M4322" s="5" t="n"/>
      <c r="N4322" s="5" t="n"/>
      <c r="O4322" s="5" t="n"/>
      <c r="P4322" s="5" t="n"/>
      <c r="Q4322" s="5" t="n"/>
      <c r="R4322" s="4" t="n"/>
      <c r="S4322" s="4" t="n"/>
      <c r="T4322" s="5" t="n"/>
      <c r="U4322" s="8">
        <f>IF(AND(V4322=1,D4322&lt;&gt;""),IF(D4322&gt;=corte,TODAY()-D4322,""),"")</f>
        <v/>
      </c>
      <c r="V4322" s="8">
        <f>IF(D4322="",0,IF(OR(AND(P4322&lt;&gt;"",S4322=""),AND(N(J4322)&gt;0,N(K4322)&lt;J4322),OR(M4322="PENDENTE",M4322="PARCIAL"),OR(N4322="PENDENTE",N4322="PARCIAL")),1,0))</f>
        <v/>
      </c>
      <c r="W4322" s="8">
        <f>IF(AND(V4322=1,D4322&lt;&gt;""),IF(D4322&gt;=corte,(B4322="CRÍTICO")*1E9+(100000-D4322)*10000+10000-ROW(),""),"")</f>
        <v/>
      </c>
      <c r="X4322" s="8">
        <f>IF(AND(V4322=1,D4322=pas_data,E4322=pas_turno),10000-ROW(),"")</f>
        <v/>
      </c>
    </row>
    <row r="4323">
      <c r="A4323" s="3">
        <f>IF(D4323="","","TT-"&amp;TEXT(ROW()-1,"00000"))</f>
        <v/>
      </c>
      <c r="B4323" s="3">
        <f>IF(D4323="","",IF(V4323=0,"CONCLUÍDO",IF(D4323&lt;corte,"HISTÓRICO",IF(OR(AND(ISNUMBER(R4323),R4323&lt;TODAY()),AND(OR(N4323="PENDENTE",N4323="PARCIAL"),D4323&lt;TODAY()-1)),"CRÍTICO",IF(OR(AND(P4323&lt;&gt;"",S4323=""),AND(N4323="REALIZADO",M4323="PENDENTE"),AND(ISNUMBER(R4323),R4323=TODAY())),"ATENÇÃO",IF(N(K4323)=0,"PENDENTE","EM ANDAMENTO"))))))</f>
        <v/>
      </c>
      <c r="C4323" s="3">
        <f>IF(D4323="","",IF(V4323=0,"🟢 OK",IF(D4323&lt;corte,"⚪ HISTÓRICO (sem baixa)",IF(AND(ISNUMBER(R4323),R4323&lt;TODAY()),"🔴 PRAZO VENCIDO",IF(AND(OR(N4323="PENDENTE",N4323="PARCIAL"),D4323&lt;TODAY()-1),"🔴 EMBARQUE ATRASADO",IF(AND(N4323="REALIZADO",M4323="PENDENTE"),"🟡 EMBARCADO SEM FATURAR",IF(AND(P4323&lt;&gt;"",S4323="",OR(Q4323="",R4323="")),"🟡 PENDÊNCIA SEM RESPONSÁVEL/PRAZO",IF(AND(ISNUMBER(R4323),R4323=TODAY()),"🟡 VENCE HOJE",IF(AND(P4323&lt;&gt;"",S4323=""),"🟡 PENDÊNCIA ABERTA",IF(AND(N(J4323)&gt;0,N(K4323)&lt;J4323),"🟡 FALTA EXECUTAR",IF(OR(M4323="PENDENTE",M4323="PARCIAL"),"🟡 FATURAMENTO PENDENTE","🟡 EMBARQUE PENDENTE")))))))))))</f>
        <v/>
      </c>
      <c r="D4323" s="4" t="n"/>
      <c r="E4323" s="5" t="n"/>
      <c r="F4323" s="5" t="n"/>
      <c r="G4323" s="5" t="n"/>
      <c r="H4323" s="5" t="n"/>
      <c r="I4323" s="5" t="n"/>
      <c r="J4323" s="6" t="n"/>
      <c r="K4323" s="6" t="n"/>
      <c r="L4323" s="7">
        <f>IF(OR(D4323="",N(J4323)=0),"",MIN(1,N(K4323)/J4323))</f>
        <v/>
      </c>
      <c r="M4323" s="5" t="n"/>
      <c r="N4323" s="5" t="n"/>
      <c r="O4323" s="5" t="n"/>
      <c r="P4323" s="5" t="n"/>
      <c r="Q4323" s="5" t="n"/>
      <c r="R4323" s="4" t="n"/>
      <c r="S4323" s="4" t="n"/>
      <c r="T4323" s="5" t="n"/>
      <c r="U4323" s="8">
        <f>IF(AND(V4323=1,D4323&lt;&gt;""),IF(D4323&gt;=corte,TODAY()-D4323,""),"")</f>
        <v/>
      </c>
      <c r="V4323" s="8">
        <f>IF(D4323="",0,IF(OR(AND(P4323&lt;&gt;"",S4323=""),AND(N(J4323)&gt;0,N(K4323)&lt;J4323),OR(M4323="PENDENTE",M4323="PARCIAL"),OR(N4323="PENDENTE",N4323="PARCIAL")),1,0))</f>
        <v/>
      </c>
      <c r="W4323" s="8">
        <f>IF(AND(V4323=1,D4323&lt;&gt;""),IF(D4323&gt;=corte,(B4323="CRÍTICO")*1E9+(100000-D4323)*10000+10000-ROW(),""),"")</f>
        <v/>
      </c>
      <c r="X4323" s="8">
        <f>IF(AND(V4323=1,D4323=pas_data,E4323=pas_turno),10000-ROW(),"")</f>
        <v/>
      </c>
    </row>
    <row r="4324">
      <c r="A4324" s="3">
        <f>IF(D4324="","","TT-"&amp;TEXT(ROW()-1,"00000"))</f>
        <v/>
      </c>
      <c r="B4324" s="3">
        <f>IF(D4324="","",IF(V4324=0,"CONCLUÍDO",IF(D4324&lt;corte,"HISTÓRICO",IF(OR(AND(ISNUMBER(R4324),R4324&lt;TODAY()),AND(OR(N4324="PENDENTE",N4324="PARCIAL"),D4324&lt;TODAY()-1)),"CRÍTICO",IF(OR(AND(P4324&lt;&gt;"",S4324=""),AND(N4324="REALIZADO",M4324="PENDENTE"),AND(ISNUMBER(R4324),R4324=TODAY())),"ATENÇÃO",IF(N(K4324)=0,"PENDENTE","EM ANDAMENTO"))))))</f>
        <v/>
      </c>
      <c r="C4324" s="3">
        <f>IF(D4324="","",IF(V4324=0,"🟢 OK",IF(D4324&lt;corte,"⚪ HISTÓRICO (sem baixa)",IF(AND(ISNUMBER(R4324),R4324&lt;TODAY()),"🔴 PRAZO VENCIDO",IF(AND(OR(N4324="PENDENTE",N4324="PARCIAL"),D4324&lt;TODAY()-1),"🔴 EMBARQUE ATRASADO",IF(AND(N4324="REALIZADO",M4324="PENDENTE"),"🟡 EMBARCADO SEM FATURAR",IF(AND(P4324&lt;&gt;"",S4324="",OR(Q4324="",R4324="")),"🟡 PENDÊNCIA SEM RESPONSÁVEL/PRAZO",IF(AND(ISNUMBER(R4324),R4324=TODAY()),"🟡 VENCE HOJE",IF(AND(P4324&lt;&gt;"",S4324=""),"🟡 PENDÊNCIA ABERTA",IF(AND(N(J4324)&gt;0,N(K4324)&lt;J4324),"🟡 FALTA EXECUTAR",IF(OR(M4324="PENDENTE",M4324="PARCIAL"),"🟡 FATURAMENTO PENDENTE","🟡 EMBARQUE PENDENTE")))))))))))</f>
        <v/>
      </c>
      <c r="D4324" s="4" t="n"/>
      <c r="E4324" s="5" t="n"/>
      <c r="F4324" s="5" t="n"/>
      <c r="G4324" s="5" t="n"/>
      <c r="H4324" s="5" t="n"/>
      <c r="I4324" s="5" t="n"/>
      <c r="J4324" s="6" t="n"/>
      <c r="K4324" s="6" t="n"/>
      <c r="L4324" s="7">
        <f>IF(OR(D4324="",N(J4324)=0),"",MIN(1,N(K4324)/J4324))</f>
        <v/>
      </c>
      <c r="M4324" s="5" t="n"/>
      <c r="N4324" s="5" t="n"/>
      <c r="O4324" s="5" t="n"/>
      <c r="P4324" s="5" t="n"/>
      <c r="Q4324" s="5" t="n"/>
      <c r="R4324" s="4" t="n"/>
      <c r="S4324" s="4" t="n"/>
      <c r="T4324" s="5" t="n"/>
      <c r="U4324" s="8">
        <f>IF(AND(V4324=1,D4324&lt;&gt;""),IF(D4324&gt;=corte,TODAY()-D4324,""),"")</f>
        <v/>
      </c>
      <c r="V4324" s="8">
        <f>IF(D4324="",0,IF(OR(AND(P4324&lt;&gt;"",S4324=""),AND(N(J4324)&gt;0,N(K4324)&lt;J4324),OR(M4324="PENDENTE",M4324="PARCIAL"),OR(N4324="PENDENTE",N4324="PARCIAL")),1,0))</f>
        <v/>
      </c>
      <c r="W4324" s="8">
        <f>IF(AND(V4324=1,D4324&lt;&gt;""),IF(D4324&gt;=corte,(B4324="CRÍTICO")*1E9+(100000-D4324)*10000+10000-ROW(),""),"")</f>
        <v/>
      </c>
      <c r="X4324" s="8">
        <f>IF(AND(V4324=1,D4324=pas_data,E4324=pas_turno),10000-ROW(),"")</f>
        <v/>
      </c>
    </row>
    <row r="4325">
      <c r="A4325" s="3">
        <f>IF(D4325="","","TT-"&amp;TEXT(ROW()-1,"00000"))</f>
        <v/>
      </c>
      <c r="B4325" s="3">
        <f>IF(D4325="","",IF(V4325=0,"CONCLUÍDO",IF(D4325&lt;corte,"HISTÓRICO",IF(OR(AND(ISNUMBER(R4325),R4325&lt;TODAY()),AND(OR(N4325="PENDENTE",N4325="PARCIAL"),D4325&lt;TODAY()-1)),"CRÍTICO",IF(OR(AND(P4325&lt;&gt;"",S4325=""),AND(N4325="REALIZADO",M4325="PENDENTE"),AND(ISNUMBER(R4325),R4325=TODAY())),"ATENÇÃO",IF(N(K4325)=0,"PENDENTE","EM ANDAMENTO"))))))</f>
        <v/>
      </c>
      <c r="C4325" s="3">
        <f>IF(D4325="","",IF(V4325=0,"🟢 OK",IF(D4325&lt;corte,"⚪ HISTÓRICO (sem baixa)",IF(AND(ISNUMBER(R4325),R4325&lt;TODAY()),"🔴 PRAZO VENCIDO",IF(AND(OR(N4325="PENDENTE",N4325="PARCIAL"),D4325&lt;TODAY()-1),"🔴 EMBARQUE ATRASADO",IF(AND(N4325="REALIZADO",M4325="PENDENTE"),"🟡 EMBARCADO SEM FATURAR",IF(AND(P4325&lt;&gt;"",S4325="",OR(Q4325="",R4325="")),"🟡 PENDÊNCIA SEM RESPONSÁVEL/PRAZO",IF(AND(ISNUMBER(R4325),R4325=TODAY()),"🟡 VENCE HOJE",IF(AND(P4325&lt;&gt;"",S4325=""),"🟡 PENDÊNCIA ABERTA",IF(AND(N(J4325)&gt;0,N(K4325)&lt;J4325),"🟡 FALTA EXECUTAR",IF(OR(M4325="PENDENTE",M4325="PARCIAL"),"🟡 FATURAMENTO PENDENTE","🟡 EMBARQUE PENDENTE")))))))))))</f>
        <v/>
      </c>
      <c r="D4325" s="4" t="n"/>
      <c r="E4325" s="5" t="n"/>
      <c r="F4325" s="5" t="n"/>
      <c r="G4325" s="5" t="n"/>
      <c r="H4325" s="5" t="n"/>
      <c r="I4325" s="5" t="n"/>
      <c r="J4325" s="6" t="n"/>
      <c r="K4325" s="6" t="n"/>
      <c r="L4325" s="7">
        <f>IF(OR(D4325="",N(J4325)=0),"",MIN(1,N(K4325)/J4325))</f>
        <v/>
      </c>
      <c r="M4325" s="5" t="n"/>
      <c r="N4325" s="5" t="n"/>
      <c r="O4325" s="5" t="n"/>
      <c r="P4325" s="5" t="n"/>
      <c r="Q4325" s="5" t="n"/>
      <c r="R4325" s="4" t="n"/>
      <c r="S4325" s="4" t="n"/>
      <c r="T4325" s="5" t="n"/>
      <c r="U4325" s="8">
        <f>IF(AND(V4325=1,D4325&lt;&gt;""),IF(D4325&gt;=corte,TODAY()-D4325,""),"")</f>
        <v/>
      </c>
      <c r="V4325" s="8">
        <f>IF(D4325="",0,IF(OR(AND(P4325&lt;&gt;"",S4325=""),AND(N(J4325)&gt;0,N(K4325)&lt;J4325),OR(M4325="PENDENTE",M4325="PARCIAL"),OR(N4325="PENDENTE",N4325="PARCIAL")),1,0))</f>
        <v/>
      </c>
      <c r="W4325" s="8">
        <f>IF(AND(V4325=1,D4325&lt;&gt;""),IF(D4325&gt;=corte,(B4325="CRÍTICO")*1E9+(100000-D4325)*10000+10000-ROW(),""),"")</f>
        <v/>
      </c>
      <c r="X4325" s="8">
        <f>IF(AND(V4325=1,D4325=pas_data,E4325=pas_turno),10000-ROW(),"")</f>
        <v/>
      </c>
    </row>
    <row r="4326">
      <c r="A4326" s="3">
        <f>IF(D4326="","","TT-"&amp;TEXT(ROW()-1,"00000"))</f>
        <v/>
      </c>
      <c r="B4326" s="3">
        <f>IF(D4326="","",IF(V4326=0,"CONCLUÍDO",IF(D4326&lt;corte,"HISTÓRICO",IF(OR(AND(ISNUMBER(R4326),R4326&lt;TODAY()),AND(OR(N4326="PENDENTE",N4326="PARCIAL"),D4326&lt;TODAY()-1)),"CRÍTICO",IF(OR(AND(P4326&lt;&gt;"",S4326=""),AND(N4326="REALIZADO",M4326="PENDENTE"),AND(ISNUMBER(R4326),R4326=TODAY())),"ATENÇÃO",IF(N(K4326)=0,"PENDENTE","EM ANDAMENTO"))))))</f>
        <v/>
      </c>
      <c r="C4326" s="3">
        <f>IF(D4326="","",IF(V4326=0,"🟢 OK",IF(D4326&lt;corte,"⚪ HISTÓRICO (sem baixa)",IF(AND(ISNUMBER(R4326),R4326&lt;TODAY()),"🔴 PRAZO VENCIDO",IF(AND(OR(N4326="PENDENTE",N4326="PARCIAL"),D4326&lt;TODAY()-1),"🔴 EMBARQUE ATRASADO",IF(AND(N4326="REALIZADO",M4326="PENDENTE"),"🟡 EMBARCADO SEM FATURAR",IF(AND(P4326&lt;&gt;"",S4326="",OR(Q4326="",R4326="")),"🟡 PENDÊNCIA SEM RESPONSÁVEL/PRAZO",IF(AND(ISNUMBER(R4326),R4326=TODAY()),"🟡 VENCE HOJE",IF(AND(P4326&lt;&gt;"",S4326=""),"🟡 PENDÊNCIA ABERTA",IF(AND(N(J4326)&gt;0,N(K4326)&lt;J4326),"🟡 FALTA EXECUTAR",IF(OR(M4326="PENDENTE",M4326="PARCIAL"),"🟡 FATURAMENTO PENDENTE","🟡 EMBARQUE PENDENTE")))))))))))</f>
        <v/>
      </c>
      <c r="D4326" s="4" t="n"/>
      <c r="E4326" s="5" t="n"/>
      <c r="F4326" s="5" t="n"/>
      <c r="G4326" s="5" t="n"/>
      <c r="H4326" s="5" t="n"/>
      <c r="I4326" s="5" t="n"/>
      <c r="J4326" s="6" t="n"/>
      <c r="K4326" s="6" t="n"/>
      <c r="L4326" s="7">
        <f>IF(OR(D4326="",N(J4326)=0),"",MIN(1,N(K4326)/J4326))</f>
        <v/>
      </c>
      <c r="M4326" s="5" t="n"/>
      <c r="N4326" s="5" t="n"/>
      <c r="O4326" s="5" t="n"/>
      <c r="P4326" s="5" t="n"/>
      <c r="Q4326" s="5" t="n"/>
      <c r="R4326" s="4" t="n"/>
      <c r="S4326" s="4" t="n"/>
      <c r="T4326" s="5" t="n"/>
      <c r="U4326" s="8">
        <f>IF(AND(V4326=1,D4326&lt;&gt;""),IF(D4326&gt;=corte,TODAY()-D4326,""),"")</f>
        <v/>
      </c>
      <c r="V4326" s="8">
        <f>IF(D4326="",0,IF(OR(AND(P4326&lt;&gt;"",S4326=""),AND(N(J4326)&gt;0,N(K4326)&lt;J4326),OR(M4326="PENDENTE",M4326="PARCIAL"),OR(N4326="PENDENTE",N4326="PARCIAL")),1,0))</f>
        <v/>
      </c>
      <c r="W4326" s="8">
        <f>IF(AND(V4326=1,D4326&lt;&gt;""),IF(D4326&gt;=corte,(B4326="CRÍTICO")*1E9+(100000-D4326)*10000+10000-ROW(),""),"")</f>
        <v/>
      </c>
      <c r="X4326" s="8">
        <f>IF(AND(V4326=1,D4326=pas_data,E4326=pas_turno),10000-ROW(),"")</f>
        <v/>
      </c>
    </row>
    <row r="4327">
      <c r="A4327" s="3">
        <f>IF(D4327="","","TT-"&amp;TEXT(ROW()-1,"00000"))</f>
        <v/>
      </c>
      <c r="B4327" s="3">
        <f>IF(D4327="","",IF(V4327=0,"CONCLUÍDO",IF(D4327&lt;corte,"HISTÓRICO",IF(OR(AND(ISNUMBER(R4327),R4327&lt;TODAY()),AND(OR(N4327="PENDENTE",N4327="PARCIAL"),D4327&lt;TODAY()-1)),"CRÍTICO",IF(OR(AND(P4327&lt;&gt;"",S4327=""),AND(N4327="REALIZADO",M4327="PENDENTE"),AND(ISNUMBER(R4327),R4327=TODAY())),"ATENÇÃO",IF(N(K4327)=0,"PENDENTE","EM ANDAMENTO"))))))</f>
        <v/>
      </c>
      <c r="C4327" s="3">
        <f>IF(D4327="","",IF(V4327=0,"🟢 OK",IF(D4327&lt;corte,"⚪ HISTÓRICO (sem baixa)",IF(AND(ISNUMBER(R4327),R4327&lt;TODAY()),"🔴 PRAZO VENCIDO",IF(AND(OR(N4327="PENDENTE",N4327="PARCIAL"),D4327&lt;TODAY()-1),"🔴 EMBARQUE ATRASADO",IF(AND(N4327="REALIZADO",M4327="PENDENTE"),"🟡 EMBARCADO SEM FATURAR",IF(AND(P4327&lt;&gt;"",S4327="",OR(Q4327="",R4327="")),"🟡 PENDÊNCIA SEM RESPONSÁVEL/PRAZO",IF(AND(ISNUMBER(R4327),R4327=TODAY()),"🟡 VENCE HOJE",IF(AND(P4327&lt;&gt;"",S4327=""),"🟡 PENDÊNCIA ABERTA",IF(AND(N(J4327)&gt;0,N(K4327)&lt;J4327),"🟡 FALTA EXECUTAR",IF(OR(M4327="PENDENTE",M4327="PARCIAL"),"🟡 FATURAMENTO PENDENTE","🟡 EMBARQUE PENDENTE")))))))))))</f>
        <v/>
      </c>
      <c r="D4327" s="4" t="n"/>
      <c r="E4327" s="5" t="n"/>
      <c r="F4327" s="5" t="n"/>
      <c r="G4327" s="5" t="n"/>
      <c r="H4327" s="5" t="n"/>
      <c r="I4327" s="5" t="n"/>
      <c r="J4327" s="6" t="n"/>
      <c r="K4327" s="6" t="n"/>
      <c r="L4327" s="7">
        <f>IF(OR(D4327="",N(J4327)=0),"",MIN(1,N(K4327)/J4327))</f>
        <v/>
      </c>
      <c r="M4327" s="5" t="n"/>
      <c r="N4327" s="5" t="n"/>
      <c r="O4327" s="5" t="n"/>
      <c r="P4327" s="5" t="n"/>
      <c r="Q4327" s="5" t="n"/>
      <c r="R4327" s="4" t="n"/>
      <c r="S4327" s="4" t="n"/>
      <c r="T4327" s="5" t="n"/>
      <c r="U4327" s="8">
        <f>IF(AND(V4327=1,D4327&lt;&gt;""),IF(D4327&gt;=corte,TODAY()-D4327,""),"")</f>
        <v/>
      </c>
      <c r="V4327" s="8">
        <f>IF(D4327="",0,IF(OR(AND(P4327&lt;&gt;"",S4327=""),AND(N(J4327)&gt;0,N(K4327)&lt;J4327),OR(M4327="PENDENTE",M4327="PARCIAL"),OR(N4327="PENDENTE",N4327="PARCIAL")),1,0))</f>
        <v/>
      </c>
      <c r="W4327" s="8">
        <f>IF(AND(V4327=1,D4327&lt;&gt;""),IF(D4327&gt;=corte,(B4327="CRÍTICO")*1E9+(100000-D4327)*10000+10000-ROW(),""),"")</f>
        <v/>
      </c>
      <c r="X4327" s="8">
        <f>IF(AND(V4327=1,D4327=pas_data,E4327=pas_turno),10000-ROW(),"")</f>
        <v/>
      </c>
    </row>
    <row r="4328">
      <c r="A4328" s="3">
        <f>IF(D4328="","","TT-"&amp;TEXT(ROW()-1,"00000"))</f>
        <v/>
      </c>
      <c r="B4328" s="3">
        <f>IF(D4328="","",IF(V4328=0,"CONCLUÍDO",IF(D4328&lt;corte,"HISTÓRICO",IF(OR(AND(ISNUMBER(R4328),R4328&lt;TODAY()),AND(OR(N4328="PENDENTE",N4328="PARCIAL"),D4328&lt;TODAY()-1)),"CRÍTICO",IF(OR(AND(P4328&lt;&gt;"",S4328=""),AND(N4328="REALIZADO",M4328="PENDENTE"),AND(ISNUMBER(R4328),R4328=TODAY())),"ATENÇÃO",IF(N(K4328)=0,"PENDENTE","EM ANDAMENTO"))))))</f>
        <v/>
      </c>
      <c r="C4328" s="3">
        <f>IF(D4328="","",IF(V4328=0,"🟢 OK",IF(D4328&lt;corte,"⚪ HISTÓRICO (sem baixa)",IF(AND(ISNUMBER(R4328),R4328&lt;TODAY()),"🔴 PRAZO VENCIDO",IF(AND(OR(N4328="PENDENTE",N4328="PARCIAL"),D4328&lt;TODAY()-1),"🔴 EMBARQUE ATRASADO",IF(AND(N4328="REALIZADO",M4328="PENDENTE"),"🟡 EMBARCADO SEM FATURAR",IF(AND(P4328&lt;&gt;"",S4328="",OR(Q4328="",R4328="")),"🟡 PENDÊNCIA SEM RESPONSÁVEL/PRAZO",IF(AND(ISNUMBER(R4328),R4328=TODAY()),"🟡 VENCE HOJE",IF(AND(P4328&lt;&gt;"",S4328=""),"🟡 PENDÊNCIA ABERTA",IF(AND(N(J4328)&gt;0,N(K4328)&lt;J4328),"🟡 FALTA EXECUTAR",IF(OR(M4328="PENDENTE",M4328="PARCIAL"),"🟡 FATURAMENTO PENDENTE","🟡 EMBARQUE PENDENTE")))))))))))</f>
        <v/>
      </c>
      <c r="D4328" s="4" t="n"/>
      <c r="E4328" s="5" t="n"/>
      <c r="F4328" s="5" t="n"/>
      <c r="G4328" s="5" t="n"/>
      <c r="H4328" s="5" t="n"/>
      <c r="I4328" s="5" t="n"/>
      <c r="J4328" s="6" t="n"/>
      <c r="K4328" s="6" t="n"/>
      <c r="L4328" s="7">
        <f>IF(OR(D4328="",N(J4328)=0),"",MIN(1,N(K4328)/J4328))</f>
        <v/>
      </c>
      <c r="M4328" s="5" t="n"/>
      <c r="N4328" s="5" t="n"/>
      <c r="O4328" s="5" t="n"/>
      <c r="P4328" s="5" t="n"/>
      <c r="Q4328" s="5" t="n"/>
      <c r="R4328" s="4" t="n"/>
      <c r="S4328" s="4" t="n"/>
      <c r="T4328" s="5" t="n"/>
      <c r="U4328" s="8">
        <f>IF(AND(V4328=1,D4328&lt;&gt;""),IF(D4328&gt;=corte,TODAY()-D4328,""),"")</f>
        <v/>
      </c>
      <c r="V4328" s="8">
        <f>IF(D4328="",0,IF(OR(AND(P4328&lt;&gt;"",S4328=""),AND(N(J4328)&gt;0,N(K4328)&lt;J4328),OR(M4328="PENDENTE",M4328="PARCIAL"),OR(N4328="PENDENTE",N4328="PARCIAL")),1,0))</f>
        <v/>
      </c>
      <c r="W4328" s="8">
        <f>IF(AND(V4328=1,D4328&lt;&gt;""),IF(D4328&gt;=corte,(B4328="CRÍTICO")*1E9+(100000-D4328)*10000+10000-ROW(),""),"")</f>
        <v/>
      </c>
      <c r="X4328" s="8">
        <f>IF(AND(V4328=1,D4328=pas_data,E4328=pas_turno),10000-ROW(),"")</f>
        <v/>
      </c>
    </row>
    <row r="4329">
      <c r="A4329" s="3">
        <f>IF(D4329="","","TT-"&amp;TEXT(ROW()-1,"00000"))</f>
        <v/>
      </c>
      <c r="B4329" s="3">
        <f>IF(D4329="","",IF(V4329=0,"CONCLUÍDO",IF(D4329&lt;corte,"HISTÓRICO",IF(OR(AND(ISNUMBER(R4329),R4329&lt;TODAY()),AND(OR(N4329="PENDENTE",N4329="PARCIAL"),D4329&lt;TODAY()-1)),"CRÍTICO",IF(OR(AND(P4329&lt;&gt;"",S4329=""),AND(N4329="REALIZADO",M4329="PENDENTE"),AND(ISNUMBER(R4329),R4329=TODAY())),"ATENÇÃO",IF(N(K4329)=0,"PENDENTE","EM ANDAMENTO"))))))</f>
        <v/>
      </c>
      <c r="C4329" s="3">
        <f>IF(D4329="","",IF(V4329=0,"🟢 OK",IF(D4329&lt;corte,"⚪ HISTÓRICO (sem baixa)",IF(AND(ISNUMBER(R4329),R4329&lt;TODAY()),"🔴 PRAZO VENCIDO",IF(AND(OR(N4329="PENDENTE",N4329="PARCIAL"),D4329&lt;TODAY()-1),"🔴 EMBARQUE ATRASADO",IF(AND(N4329="REALIZADO",M4329="PENDENTE"),"🟡 EMBARCADO SEM FATURAR",IF(AND(P4329&lt;&gt;"",S4329="",OR(Q4329="",R4329="")),"🟡 PENDÊNCIA SEM RESPONSÁVEL/PRAZO",IF(AND(ISNUMBER(R4329),R4329=TODAY()),"🟡 VENCE HOJE",IF(AND(P4329&lt;&gt;"",S4329=""),"🟡 PENDÊNCIA ABERTA",IF(AND(N(J4329)&gt;0,N(K4329)&lt;J4329),"🟡 FALTA EXECUTAR",IF(OR(M4329="PENDENTE",M4329="PARCIAL"),"🟡 FATURAMENTO PENDENTE","🟡 EMBARQUE PENDENTE")))))))))))</f>
        <v/>
      </c>
      <c r="D4329" s="4" t="n"/>
      <c r="E4329" s="5" t="n"/>
      <c r="F4329" s="5" t="n"/>
      <c r="G4329" s="5" t="n"/>
      <c r="H4329" s="5" t="n"/>
      <c r="I4329" s="5" t="n"/>
      <c r="J4329" s="6" t="n"/>
      <c r="K4329" s="6" t="n"/>
      <c r="L4329" s="7">
        <f>IF(OR(D4329="",N(J4329)=0),"",MIN(1,N(K4329)/J4329))</f>
        <v/>
      </c>
      <c r="M4329" s="5" t="n"/>
      <c r="N4329" s="5" t="n"/>
      <c r="O4329" s="5" t="n"/>
      <c r="P4329" s="5" t="n"/>
      <c r="Q4329" s="5" t="n"/>
      <c r="R4329" s="4" t="n"/>
      <c r="S4329" s="4" t="n"/>
      <c r="T4329" s="5" t="n"/>
      <c r="U4329" s="8">
        <f>IF(AND(V4329=1,D4329&lt;&gt;""),IF(D4329&gt;=corte,TODAY()-D4329,""),"")</f>
        <v/>
      </c>
      <c r="V4329" s="8">
        <f>IF(D4329="",0,IF(OR(AND(P4329&lt;&gt;"",S4329=""),AND(N(J4329)&gt;0,N(K4329)&lt;J4329),OR(M4329="PENDENTE",M4329="PARCIAL"),OR(N4329="PENDENTE",N4329="PARCIAL")),1,0))</f>
        <v/>
      </c>
      <c r="W4329" s="8">
        <f>IF(AND(V4329=1,D4329&lt;&gt;""),IF(D4329&gt;=corte,(B4329="CRÍTICO")*1E9+(100000-D4329)*10000+10000-ROW(),""),"")</f>
        <v/>
      </c>
      <c r="X4329" s="8">
        <f>IF(AND(V4329=1,D4329=pas_data,E4329=pas_turno),10000-ROW(),"")</f>
        <v/>
      </c>
    </row>
    <row r="4330">
      <c r="A4330" s="3">
        <f>IF(D4330="","","TT-"&amp;TEXT(ROW()-1,"00000"))</f>
        <v/>
      </c>
      <c r="B4330" s="3">
        <f>IF(D4330="","",IF(V4330=0,"CONCLUÍDO",IF(D4330&lt;corte,"HISTÓRICO",IF(OR(AND(ISNUMBER(R4330),R4330&lt;TODAY()),AND(OR(N4330="PENDENTE",N4330="PARCIAL"),D4330&lt;TODAY()-1)),"CRÍTICO",IF(OR(AND(P4330&lt;&gt;"",S4330=""),AND(N4330="REALIZADO",M4330="PENDENTE"),AND(ISNUMBER(R4330),R4330=TODAY())),"ATENÇÃO",IF(N(K4330)=0,"PENDENTE","EM ANDAMENTO"))))))</f>
        <v/>
      </c>
      <c r="C4330" s="3">
        <f>IF(D4330="","",IF(V4330=0,"🟢 OK",IF(D4330&lt;corte,"⚪ HISTÓRICO (sem baixa)",IF(AND(ISNUMBER(R4330),R4330&lt;TODAY()),"🔴 PRAZO VENCIDO",IF(AND(OR(N4330="PENDENTE",N4330="PARCIAL"),D4330&lt;TODAY()-1),"🔴 EMBARQUE ATRASADO",IF(AND(N4330="REALIZADO",M4330="PENDENTE"),"🟡 EMBARCADO SEM FATURAR",IF(AND(P4330&lt;&gt;"",S4330="",OR(Q4330="",R4330="")),"🟡 PENDÊNCIA SEM RESPONSÁVEL/PRAZO",IF(AND(ISNUMBER(R4330),R4330=TODAY()),"🟡 VENCE HOJE",IF(AND(P4330&lt;&gt;"",S4330=""),"🟡 PENDÊNCIA ABERTA",IF(AND(N(J4330)&gt;0,N(K4330)&lt;J4330),"🟡 FALTA EXECUTAR",IF(OR(M4330="PENDENTE",M4330="PARCIAL"),"🟡 FATURAMENTO PENDENTE","🟡 EMBARQUE PENDENTE")))))))))))</f>
        <v/>
      </c>
      <c r="D4330" s="4" t="n"/>
      <c r="E4330" s="5" t="n"/>
      <c r="F4330" s="5" t="n"/>
      <c r="G4330" s="5" t="n"/>
      <c r="H4330" s="5" t="n"/>
      <c r="I4330" s="5" t="n"/>
      <c r="J4330" s="6" t="n"/>
      <c r="K4330" s="6" t="n"/>
      <c r="L4330" s="7">
        <f>IF(OR(D4330="",N(J4330)=0),"",MIN(1,N(K4330)/J4330))</f>
        <v/>
      </c>
      <c r="M4330" s="5" t="n"/>
      <c r="N4330" s="5" t="n"/>
      <c r="O4330" s="5" t="n"/>
      <c r="P4330" s="5" t="n"/>
      <c r="Q4330" s="5" t="n"/>
      <c r="R4330" s="4" t="n"/>
      <c r="S4330" s="4" t="n"/>
      <c r="T4330" s="5" t="n"/>
      <c r="U4330" s="8">
        <f>IF(AND(V4330=1,D4330&lt;&gt;""),IF(D4330&gt;=corte,TODAY()-D4330,""),"")</f>
        <v/>
      </c>
      <c r="V4330" s="8">
        <f>IF(D4330="",0,IF(OR(AND(P4330&lt;&gt;"",S4330=""),AND(N(J4330)&gt;0,N(K4330)&lt;J4330),OR(M4330="PENDENTE",M4330="PARCIAL"),OR(N4330="PENDENTE",N4330="PARCIAL")),1,0))</f>
        <v/>
      </c>
      <c r="W4330" s="8">
        <f>IF(AND(V4330=1,D4330&lt;&gt;""),IF(D4330&gt;=corte,(B4330="CRÍTICO")*1E9+(100000-D4330)*10000+10000-ROW(),""),"")</f>
        <v/>
      </c>
      <c r="X4330" s="8">
        <f>IF(AND(V4330=1,D4330=pas_data,E4330=pas_turno),10000-ROW(),"")</f>
        <v/>
      </c>
    </row>
    <row r="4331">
      <c r="A4331" s="3">
        <f>IF(D4331="","","TT-"&amp;TEXT(ROW()-1,"00000"))</f>
        <v/>
      </c>
      <c r="B4331" s="3">
        <f>IF(D4331="","",IF(V4331=0,"CONCLUÍDO",IF(D4331&lt;corte,"HISTÓRICO",IF(OR(AND(ISNUMBER(R4331),R4331&lt;TODAY()),AND(OR(N4331="PENDENTE",N4331="PARCIAL"),D4331&lt;TODAY()-1)),"CRÍTICO",IF(OR(AND(P4331&lt;&gt;"",S4331=""),AND(N4331="REALIZADO",M4331="PENDENTE"),AND(ISNUMBER(R4331),R4331=TODAY())),"ATENÇÃO",IF(N(K4331)=0,"PENDENTE","EM ANDAMENTO"))))))</f>
        <v/>
      </c>
      <c r="C4331" s="3">
        <f>IF(D4331="","",IF(V4331=0,"🟢 OK",IF(D4331&lt;corte,"⚪ HISTÓRICO (sem baixa)",IF(AND(ISNUMBER(R4331),R4331&lt;TODAY()),"🔴 PRAZO VENCIDO",IF(AND(OR(N4331="PENDENTE",N4331="PARCIAL"),D4331&lt;TODAY()-1),"🔴 EMBARQUE ATRASADO",IF(AND(N4331="REALIZADO",M4331="PENDENTE"),"🟡 EMBARCADO SEM FATURAR",IF(AND(P4331&lt;&gt;"",S4331="",OR(Q4331="",R4331="")),"🟡 PENDÊNCIA SEM RESPONSÁVEL/PRAZO",IF(AND(ISNUMBER(R4331),R4331=TODAY()),"🟡 VENCE HOJE",IF(AND(P4331&lt;&gt;"",S4331=""),"🟡 PENDÊNCIA ABERTA",IF(AND(N(J4331)&gt;0,N(K4331)&lt;J4331),"🟡 FALTA EXECUTAR",IF(OR(M4331="PENDENTE",M4331="PARCIAL"),"🟡 FATURAMENTO PENDENTE","🟡 EMBARQUE PENDENTE")))))))))))</f>
        <v/>
      </c>
      <c r="D4331" s="4" t="n"/>
      <c r="E4331" s="5" t="n"/>
      <c r="F4331" s="5" t="n"/>
      <c r="G4331" s="5" t="n"/>
      <c r="H4331" s="5" t="n"/>
      <c r="I4331" s="5" t="n"/>
      <c r="J4331" s="6" t="n"/>
      <c r="K4331" s="6" t="n"/>
      <c r="L4331" s="7">
        <f>IF(OR(D4331="",N(J4331)=0),"",MIN(1,N(K4331)/J4331))</f>
        <v/>
      </c>
      <c r="M4331" s="5" t="n"/>
      <c r="N4331" s="5" t="n"/>
      <c r="O4331" s="5" t="n"/>
      <c r="P4331" s="5" t="n"/>
      <c r="Q4331" s="5" t="n"/>
      <c r="R4331" s="4" t="n"/>
      <c r="S4331" s="4" t="n"/>
      <c r="T4331" s="5" t="n"/>
      <c r="U4331" s="8">
        <f>IF(AND(V4331=1,D4331&lt;&gt;""),IF(D4331&gt;=corte,TODAY()-D4331,""),"")</f>
        <v/>
      </c>
      <c r="V4331" s="8">
        <f>IF(D4331="",0,IF(OR(AND(P4331&lt;&gt;"",S4331=""),AND(N(J4331)&gt;0,N(K4331)&lt;J4331),OR(M4331="PENDENTE",M4331="PARCIAL"),OR(N4331="PENDENTE",N4331="PARCIAL")),1,0))</f>
        <v/>
      </c>
      <c r="W4331" s="8">
        <f>IF(AND(V4331=1,D4331&lt;&gt;""),IF(D4331&gt;=corte,(B4331="CRÍTICO")*1E9+(100000-D4331)*10000+10000-ROW(),""),"")</f>
        <v/>
      </c>
      <c r="X4331" s="8">
        <f>IF(AND(V4331=1,D4331=pas_data,E4331=pas_turno),10000-ROW(),"")</f>
        <v/>
      </c>
    </row>
    <row r="4332">
      <c r="A4332" s="3">
        <f>IF(D4332="","","TT-"&amp;TEXT(ROW()-1,"00000"))</f>
        <v/>
      </c>
      <c r="B4332" s="3">
        <f>IF(D4332="","",IF(V4332=0,"CONCLUÍDO",IF(D4332&lt;corte,"HISTÓRICO",IF(OR(AND(ISNUMBER(R4332),R4332&lt;TODAY()),AND(OR(N4332="PENDENTE",N4332="PARCIAL"),D4332&lt;TODAY()-1)),"CRÍTICO",IF(OR(AND(P4332&lt;&gt;"",S4332=""),AND(N4332="REALIZADO",M4332="PENDENTE"),AND(ISNUMBER(R4332),R4332=TODAY())),"ATENÇÃO",IF(N(K4332)=0,"PENDENTE","EM ANDAMENTO"))))))</f>
        <v/>
      </c>
      <c r="C4332" s="3">
        <f>IF(D4332="","",IF(V4332=0,"🟢 OK",IF(D4332&lt;corte,"⚪ HISTÓRICO (sem baixa)",IF(AND(ISNUMBER(R4332),R4332&lt;TODAY()),"🔴 PRAZO VENCIDO",IF(AND(OR(N4332="PENDENTE",N4332="PARCIAL"),D4332&lt;TODAY()-1),"🔴 EMBARQUE ATRASADO",IF(AND(N4332="REALIZADO",M4332="PENDENTE"),"🟡 EMBARCADO SEM FATURAR",IF(AND(P4332&lt;&gt;"",S4332="",OR(Q4332="",R4332="")),"🟡 PENDÊNCIA SEM RESPONSÁVEL/PRAZO",IF(AND(ISNUMBER(R4332),R4332=TODAY()),"🟡 VENCE HOJE",IF(AND(P4332&lt;&gt;"",S4332=""),"🟡 PENDÊNCIA ABERTA",IF(AND(N(J4332)&gt;0,N(K4332)&lt;J4332),"🟡 FALTA EXECUTAR",IF(OR(M4332="PENDENTE",M4332="PARCIAL"),"🟡 FATURAMENTO PENDENTE","🟡 EMBARQUE PENDENTE")))))))))))</f>
        <v/>
      </c>
      <c r="D4332" s="4" t="n"/>
      <c r="E4332" s="5" t="n"/>
      <c r="F4332" s="5" t="n"/>
      <c r="G4332" s="5" t="n"/>
      <c r="H4332" s="5" t="n"/>
      <c r="I4332" s="5" t="n"/>
      <c r="J4332" s="6" t="n"/>
      <c r="K4332" s="6" t="n"/>
      <c r="L4332" s="7">
        <f>IF(OR(D4332="",N(J4332)=0),"",MIN(1,N(K4332)/J4332))</f>
        <v/>
      </c>
      <c r="M4332" s="5" t="n"/>
      <c r="N4332" s="5" t="n"/>
      <c r="O4332" s="5" t="n"/>
      <c r="P4332" s="5" t="n"/>
      <c r="Q4332" s="5" t="n"/>
      <c r="R4332" s="4" t="n"/>
      <c r="S4332" s="4" t="n"/>
      <c r="T4332" s="5" t="n"/>
      <c r="U4332" s="8">
        <f>IF(AND(V4332=1,D4332&lt;&gt;""),IF(D4332&gt;=corte,TODAY()-D4332,""),"")</f>
        <v/>
      </c>
      <c r="V4332" s="8">
        <f>IF(D4332="",0,IF(OR(AND(P4332&lt;&gt;"",S4332=""),AND(N(J4332)&gt;0,N(K4332)&lt;J4332),OR(M4332="PENDENTE",M4332="PARCIAL"),OR(N4332="PENDENTE",N4332="PARCIAL")),1,0))</f>
        <v/>
      </c>
      <c r="W4332" s="8">
        <f>IF(AND(V4332=1,D4332&lt;&gt;""),IF(D4332&gt;=corte,(B4332="CRÍTICO")*1E9+(100000-D4332)*10000+10000-ROW(),""),"")</f>
        <v/>
      </c>
      <c r="X4332" s="8">
        <f>IF(AND(V4332=1,D4332=pas_data,E4332=pas_turno),10000-ROW(),"")</f>
        <v/>
      </c>
    </row>
    <row r="4333">
      <c r="A4333" s="3">
        <f>IF(D4333="","","TT-"&amp;TEXT(ROW()-1,"00000"))</f>
        <v/>
      </c>
      <c r="B4333" s="3">
        <f>IF(D4333="","",IF(V4333=0,"CONCLUÍDO",IF(D4333&lt;corte,"HISTÓRICO",IF(OR(AND(ISNUMBER(R4333),R4333&lt;TODAY()),AND(OR(N4333="PENDENTE",N4333="PARCIAL"),D4333&lt;TODAY()-1)),"CRÍTICO",IF(OR(AND(P4333&lt;&gt;"",S4333=""),AND(N4333="REALIZADO",M4333="PENDENTE"),AND(ISNUMBER(R4333),R4333=TODAY())),"ATENÇÃO",IF(N(K4333)=0,"PENDENTE","EM ANDAMENTO"))))))</f>
        <v/>
      </c>
      <c r="C4333" s="3">
        <f>IF(D4333="","",IF(V4333=0,"🟢 OK",IF(D4333&lt;corte,"⚪ HISTÓRICO (sem baixa)",IF(AND(ISNUMBER(R4333),R4333&lt;TODAY()),"🔴 PRAZO VENCIDO",IF(AND(OR(N4333="PENDENTE",N4333="PARCIAL"),D4333&lt;TODAY()-1),"🔴 EMBARQUE ATRASADO",IF(AND(N4333="REALIZADO",M4333="PENDENTE"),"🟡 EMBARCADO SEM FATURAR",IF(AND(P4333&lt;&gt;"",S4333="",OR(Q4333="",R4333="")),"🟡 PENDÊNCIA SEM RESPONSÁVEL/PRAZO",IF(AND(ISNUMBER(R4333),R4333=TODAY()),"🟡 VENCE HOJE",IF(AND(P4333&lt;&gt;"",S4333=""),"🟡 PENDÊNCIA ABERTA",IF(AND(N(J4333)&gt;0,N(K4333)&lt;J4333),"🟡 FALTA EXECUTAR",IF(OR(M4333="PENDENTE",M4333="PARCIAL"),"🟡 FATURAMENTO PENDENTE","🟡 EMBARQUE PENDENTE")))))))))))</f>
        <v/>
      </c>
      <c r="D4333" s="4" t="n"/>
      <c r="E4333" s="5" t="n"/>
      <c r="F4333" s="5" t="n"/>
      <c r="G4333" s="5" t="n"/>
      <c r="H4333" s="5" t="n"/>
      <c r="I4333" s="5" t="n"/>
      <c r="J4333" s="6" t="n"/>
      <c r="K4333" s="6" t="n"/>
      <c r="L4333" s="7">
        <f>IF(OR(D4333="",N(J4333)=0),"",MIN(1,N(K4333)/J4333))</f>
        <v/>
      </c>
      <c r="M4333" s="5" t="n"/>
      <c r="N4333" s="5" t="n"/>
      <c r="O4333" s="5" t="n"/>
      <c r="P4333" s="5" t="n"/>
      <c r="Q4333" s="5" t="n"/>
      <c r="R4333" s="4" t="n"/>
      <c r="S4333" s="4" t="n"/>
      <c r="T4333" s="5" t="n"/>
      <c r="U4333" s="8">
        <f>IF(AND(V4333=1,D4333&lt;&gt;""),IF(D4333&gt;=corte,TODAY()-D4333,""),"")</f>
        <v/>
      </c>
      <c r="V4333" s="8">
        <f>IF(D4333="",0,IF(OR(AND(P4333&lt;&gt;"",S4333=""),AND(N(J4333)&gt;0,N(K4333)&lt;J4333),OR(M4333="PENDENTE",M4333="PARCIAL"),OR(N4333="PENDENTE",N4333="PARCIAL")),1,0))</f>
        <v/>
      </c>
      <c r="W4333" s="8">
        <f>IF(AND(V4333=1,D4333&lt;&gt;""),IF(D4333&gt;=corte,(B4333="CRÍTICO")*1E9+(100000-D4333)*10000+10000-ROW(),""),"")</f>
        <v/>
      </c>
      <c r="X4333" s="8">
        <f>IF(AND(V4333=1,D4333=pas_data,E4333=pas_turno),10000-ROW(),"")</f>
        <v/>
      </c>
    </row>
    <row r="4334">
      <c r="A4334" s="3">
        <f>IF(D4334="","","TT-"&amp;TEXT(ROW()-1,"00000"))</f>
        <v/>
      </c>
      <c r="B4334" s="3">
        <f>IF(D4334="","",IF(V4334=0,"CONCLUÍDO",IF(D4334&lt;corte,"HISTÓRICO",IF(OR(AND(ISNUMBER(R4334),R4334&lt;TODAY()),AND(OR(N4334="PENDENTE",N4334="PARCIAL"),D4334&lt;TODAY()-1)),"CRÍTICO",IF(OR(AND(P4334&lt;&gt;"",S4334=""),AND(N4334="REALIZADO",M4334="PENDENTE"),AND(ISNUMBER(R4334),R4334=TODAY())),"ATENÇÃO",IF(N(K4334)=0,"PENDENTE","EM ANDAMENTO"))))))</f>
        <v/>
      </c>
      <c r="C4334" s="3">
        <f>IF(D4334="","",IF(V4334=0,"🟢 OK",IF(D4334&lt;corte,"⚪ HISTÓRICO (sem baixa)",IF(AND(ISNUMBER(R4334),R4334&lt;TODAY()),"🔴 PRAZO VENCIDO",IF(AND(OR(N4334="PENDENTE",N4334="PARCIAL"),D4334&lt;TODAY()-1),"🔴 EMBARQUE ATRASADO",IF(AND(N4334="REALIZADO",M4334="PENDENTE"),"🟡 EMBARCADO SEM FATURAR",IF(AND(P4334&lt;&gt;"",S4334="",OR(Q4334="",R4334="")),"🟡 PENDÊNCIA SEM RESPONSÁVEL/PRAZO",IF(AND(ISNUMBER(R4334),R4334=TODAY()),"🟡 VENCE HOJE",IF(AND(P4334&lt;&gt;"",S4334=""),"🟡 PENDÊNCIA ABERTA",IF(AND(N(J4334)&gt;0,N(K4334)&lt;J4334),"🟡 FALTA EXECUTAR",IF(OR(M4334="PENDENTE",M4334="PARCIAL"),"🟡 FATURAMENTO PENDENTE","🟡 EMBARQUE PENDENTE")))))))))))</f>
        <v/>
      </c>
      <c r="D4334" s="4" t="n"/>
      <c r="E4334" s="5" t="n"/>
      <c r="F4334" s="5" t="n"/>
      <c r="G4334" s="5" t="n"/>
      <c r="H4334" s="5" t="n"/>
      <c r="I4334" s="5" t="n"/>
      <c r="J4334" s="6" t="n"/>
      <c r="K4334" s="6" t="n"/>
      <c r="L4334" s="7">
        <f>IF(OR(D4334="",N(J4334)=0),"",MIN(1,N(K4334)/J4334))</f>
        <v/>
      </c>
      <c r="M4334" s="5" t="n"/>
      <c r="N4334" s="5" t="n"/>
      <c r="O4334" s="5" t="n"/>
      <c r="P4334" s="5" t="n"/>
      <c r="Q4334" s="5" t="n"/>
      <c r="R4334" s="4" t="n"/>
      <c r="S4334" s="4" t="n"/>
      <c r="T4334" s="5" t="n"/>
      <c r="U4334" s="8">
        <f>IF(AND(V4334=1,D4334&lt;&gt;""),IF(D4334&gt;=corte,TODAY()-D4334,""),"")</f>
        <v/>
      </c>
      <c r="V4334" s="8">
        <f>IF(D4334="",0,IF(OR(AND(P4334&lt;&gt;"",S4334=""),AND(N(J4334)&gt;0,N(K4334)&lt;J4334),OR(M4334="PENDENTE",M4334="PARCIAL"),OR(N4334="PENDENTE",N4334="PARCIAL")),1,0))</f>
        <v/>
      </c>
      <c r="W4334" s="8">
        <f>IF(AND(V4334=1,D4334&lt;&gt;""),IF(D4334&gt;=corte,(B4334="CRÍTICO")*1E9+(100000-D4334)*10000+10000-ROW(),""),"")</f>
        <v/>
      </c>
      <c r="X4334" s="8">
        <f>IF(AND(V4334=1,D4334=pas_data,E4334=pas_turno),10000-ROW(),"")</f>
        <v/>
      </c>
    </row>
    <row r="4335">
      <c r="A4335" s="3">
        <f>IF(D4335="","","TT-"&amp;TEXT(ROW()-1,"00000"))</f>
        <v/>
      </c>
      <c r="B4335" s="3">
        <f>IF(D4335="","",IF(V4335=0,"CONCLUÍDO",IF(D4335&lt;corte,"HISTÓRICO",IF(OR(AND(ISNUMBER(R4335),R4335&lt;TODAY()),AND(OR(N4335="PENDENTE",N4335="PARCIAL"),D4335&lt;TODAY()-1)),"CRÍTICO",IF(OR(AND(P4335&lt;&gt;"",S4335=""),AND(N4335="REALIZADO",M4335="PENDENTE"),AND(ISNUMBER(R4335),R4335=TODAY())),"ATENÇÃO",IF(N(K4335)=0,"PENDENTE","EM ANDAMENTO"))))))</f>
        <v/>
      </c>
      <c r="C4335" s="3">
        <f>IF(D4335="","",IF(V4335=0,"🟢 OK",IF(D4335&lt;corte,"⚪ HISTÓRICO (sem baixa)",IF(AND(ISNUMBER(R4335),R4335&lt;TODAY()),"🔴 PRAZO VENCIDO",IF(AND(OR(N4335="PENDENTE",N4335="PARCIAL"),D4335&lt;TODAY()-1),"🔴 EMBARQUE ATRASADO",IF(AND(N4335="REALIZADO",M4335="PENDENTE"),"🟡 EMBARCADO SEM FATURAR",IF(AND(P4335&lt;&gt;"",S4335="",OR(Q4335="",R4335="")),"🟡 PENDÊNCIA SEM RESPONSÁVEL/PRAZO",IF(AND(ISNUMBER(R4335),R4335=TODAY()),"🟡 VENCE HOJE",IF(AND(P4335&lt;&gt;"",S4335=""),"🟡 PENDÊNCIA ABERTA",IF(AND(N(J4335)&gt;0,N(K4335)&lt;J4335),"🟡 FALTA EXECUTAR",IF(OR(M4335="PENDENTE",M4335="PARCIAL"),"🟡 FATURAMENTO PENDENTE","🟡 EMBARQUE PENDENTE")))))))))))</f>
        <v/>
      </c>
      <c r="D4335" s="4" t="n"/>
      <c r="E4335" s="5" t="n"/>
      <c r="F4335" s="5" t="n"/>
      <c r="G4335" s="5" t="n"/>
      <c r="H4335" s="5" t="n"/>
      <c r="I4335" s="5" t="n"/>
      <c r="J4335" s="6" t="n"/>
      <c r="K4335" s="6" t="n"/>
      <c r="L4335" s="7">
        <f>IF(OR(D4335="",N(J4335)=0),"",MIN(1,N(K4335)/J4335))</f>
        <v/>
      </c>
      <c r="M4335" s="5" t="n"/>
      <c r="N4335" s="5" t="n"/>
      <c r="O4335" s="5" t="n"/>
      <c r="P4335" s="5" t="n"/>
      <c r="Q4335" s="5" t="n"/>
      <c r="R4335" s="4" t="n"/>
      <c r="S4335" s="4" t="n"/>
      <c r="T4335" s="5" t="n"/>
      <c r="U4335" s="8">
        <f>IF(AND(V4335=1,D4335&lt;&gt;""),IF(D4335&gt;=corte,TODAY()-D4335,""),"")</f>
        <v/>
      </c>
      <c r="V4335" s="8">
        <f>IF(D4335="",0,IF(OR(AND(P4335&lt;&gt;"",S4335=""),AND(N(J4335)&gt;0,N(K4335)&lt;J4335),OR(M4335="PENDENTE",M4335="PARCIAL"),OR(N4335="PENDENTE",N4335="PARCIAL")),1,0))</f>
        <v/>
      </c>
      <c r="W4335" s="8">
        <f>IF(AND(V4335=1,D4335&lt;&gt;""),IF(D4335&gt;=corte,(B4335="CRÍTICO")*1E9+(100000-D4335)*10000+10000-ROW(),""),"")</f>
        <v/>
      </c>
      <c r="X4335" s="8">
        <f>IF(AND(V4335=1,D4335=pas_data,E4335=pas_turno),10000-ROW(),"")</f>
        <v/>
      </c>
    </row>
    <row r="4336">
      <c r="A4336" s="3">
        <f>IF(D4336="","","TT-"&amp;TEXT(ROW()-1,"00000"))</f>
        <v/>
      </c>
      <c r="B4336" s="3">
        <f>IF(D4336="","",IF(V4336=0,"CONCLUÍDO",IF(D4336&lt;corte,"HISTÓRICO",IF(OR(AND(ISNUMBER(R4336),R4336&lt;TODAY()),AND(OR(N4336="PENDENTE",N4336="PARCIAL"),D4336&lt;TODAY()-1)),"CRÍTICO",IF(OR(AND(P4336&lt;&gt;"",S4336=""),AND(N4336="REALIZADO",M4336="PENDENTE"),AND(ISNUMBER(R4336),R4336=TODAY())),"ATENÇÃO",IF(N(K4336)=0,"PENDENTE","EM ANDAMENTO"))))))</f>
        <v/>
      </c>
      <c r="C4336" s="3">
        <f>IF(D4336="","",IF(V4336=0,"🟢 OK",IF(D4336&lt;corte,"⚪ HISTÓRICO (sem baixa)",IF(AND(ISNUMBER(R4336),R4336&lt;TODAY()),"🔴 PRAZO VENCIDO",IF(AND(OR(N4336="PENDENTE",N4336="PARCIAL"),D4336&lt;TODAY()-1),"🔴 EMBARQUE ATRASADO",IF(AND(N4336="REALIZADO",M4336="PENDENTE"),"🟡 EMBARCADO SEM FATURAR",IF(AND(P4336&lt;&gt;"",S4336="",OR(Q4336="",R4336="")),"🟡 PENDÊNCIA SEM RESPONSÁVEL/PRAZO",IF(AND(ISNUMBER(R4336),R4336=TODAY()),"🟡 VENCE HOJE",IF(AND(P4336&lt;&gt;"",S4336=""),"🟡 PENDÊNCIA ABERTA",IF(AND(N(J4336)&gt;0,N(K4336)&lt;J4336),"🟡 FALTA EXECUTAR",IF(OR(M4336="PENDENTE",M4336="PARCIAL"),"🟡 FATURAMENTO PENDENTE","🟡 EMBARQUE PENDENTE")))))))))))</f>
        <v/>
      </c>
      <c r="D4336" s="4" t="n"/>
      <c r="E4336" s="5" t="n"/>
      <c r="F4336" s="5" t="n"/>
      <c r="G4336" s="5" t="n"/>
      <c r="H4336" s="5" t="n"/>
      <c r="I4336" s="5" t="n"/>
      <c r="J4336" s="6" t="n"/>
      <c r="K4336" s="6" t="n"/>
      <c r="L4336" s="7">
        <f>IF(OR(D4336="",N(J4336)=0),"",MIN(1,N(K4336)/J4336))</f>
        <v/>
      </c>
      <c r="M4336" s="5" t="n"/>
      <c r="N4336" s="5" t="n"/>
      <c r="O4336" s="5" t="n"/>
      <c r="P4336" s="5" t="n"/>
      <c r="Q4336" s="5" t="n"/>
      <c r="R4336" s="4" t="n"/>
      <c r="S4336" s="4" t="n"/>
      <c r="T4336" s="5" t="n"/>
      <c r="U4336" s="8">
        <f>IF(AND(V4336=1,D4336&lt;&gt;""),IF(D4336&gt;=corte,TODAY()-D4336,""),"")</f>
        <v/>
      </c>
      <c r="V4336" s="8">
        <f>IF(D4336="",0,IF(OR(AND(P4336&lt;&gt;"",S4336=""),AND(N(J4336)&gt;0,N(K4336)&lt;J4336),OR(M4336="PENDENTE",M4336="PARCIAL"),OR(N4336="PENDENTE",N4336="PARCIAL")),1,0))</f>
        <v/>
      </c>
      <c r="W4336" s="8">
        <f>IF(AND(V4336=1,D4336&lt;&gt;""),IF(D4336&gt;=corte,(B4336="CRÍTICO")*1E9+(100000-D4336)*10000+10000-ROW(),""),"")</f>
        <v/>
      </c>
      <c r="X4336" s="8">
        <f>IF(AND(V4336=1,D4336=pas_data,E4336=pas_turno),10000-ROW(),"")</f>
        <v/>
      </c>
    </row>
    <row r="4337">
      <c r="A4337" s="3">
        <f>IF(D4337="","","TT-"&amp;TEXT(ROW()-1,"00000"))</f>
        <v/>
      </c>
      <c r="B4337" s="3">
        <f>IF(D4337="","",IF(V4337=0,"CONCLUÍDO",IF(D4337&lt;corte,"HISTÓRICO",IF(OR(AND(ISNUMBER(R4337),R4337&lt;TODAY()),AND(OR(N4337="PENDENTE",N4337="PARCIAL"),D4337&lt;TODAY()-1)),"CRÍTICO",IF(OR(AND(P4337&lt;&gt;"",S4337=""),AND(N4337="REALIZADO",M4337="PENDENTE"),AND(ISNUMBER(R4337),R4337=TODAY())),"ATENÇÃO",IF(N(K4337)=0,"PENDENTE","EM ANDAMENTO"))))))</f>
        <v/>
      </c>
      <c r="C4337" s="3">
        <f>IF(D4337="","",IF(V4337=0,"🟢 OK",IF(D4337&lt;corte,"⚪ HISTÓRICO (sem baixa)",IF(AND(ISNUMBER(R4337),R4337&lt;TODAY()),"🔴 PRAZO VENCIDO",IF(AND(OR(N4337="PENDENTE",N4337="PARCIAL"),D4337&lt;TODAY()-1),"🔴 EMBARQUE ATRASADO",IF(AND(N4337="REALIZADO",M4337="PENDENTE"),"🟡 EMBARCADO SEM FATURAR",IF(AND(P4337&lt;&gt;"",S4337="",OR(Q4337="",R4337="")),"🟡 PENDÊNCIA SEM RESPONSÁVEL/PRAZO",IF(AND(ISNUMBER(R4337),R4337=TODAY()),"🟡 VENCE HOJE",IF(AND(P4337&lt;&gt;"",S4337=""),"🟡 PENDÊNCIA ABERTA",IF(AND(N(J4337)&gt;0,N(K4337)&lt;J4337),"🟡 FALTA EXECUTAR",IF(OR(M4337="PENDENTE",M4337="PARCIAL"),"🟡 FATURAMENTO PENDENTE","🟡 EMBARQUE PENDENTE")))))))))))</f>
        <v/>
      </c>
      <c r="D4337" s="4" t="n"/>
      <c r="E4337" s="5" t="n"/>
      <c r="F4337" s="5" t="n"/>
      <c r="G4337" s="5" t="n"/>
      <c r="H4337" s="5" t="n"/>
      <c r="I4337" s="5" t="n"/>
      <c r="J4337" s="6" t="n"/>
      <c r="K4337" s="6" t="n"/>
      <c r="L4337" s="7">
        <f>IF(OR(D4337="",N(J4337)=0),"",MIN(1,N(K4337)/J4337))</f>
        <v/>
      </c>
      <c r="M4337" s="5" t="n"/>
      <c r="N4337" s="5" t="n"/>
      <c r="O4337" s="5" t="n"/>
      <c r="P4337" s="5" t="n"/>
      <c r="Q4337" s="5" t="n"/>
      <c r="R4337" s="4" t="n"/>
      <c r="S4337" s="4" t="n"/>
      <c r="T4337" s="5" t="n"/>
      <c r="U4337" s="8">
        <f>IF(AND(V4337=1,D4337&lt;&gt;""),IF(D4337&gt;=corte,TODAY()-D4337,""),"")</f>
        <v/>
      </c>
      <c r="V4337" s="8">
        <f>IF(D4337="",0,IF(OR(AND(P4337&lt;&gt;"",S4337=""),AND(N(J4337)&gt;0,N(K4337)&lt;J4337),OR(M4337="PENDENTE",M4337="PARCIAL"),OR(N4337="PENDENTE",N4337="PARCIAL")),1,0))</f>
        <v/>
      </c>
      <c r="W4337" s="8">
        <f>IF(AND(V4337=1,D4337&lt;&gt;""),IF(D4337&gt;=corte,(B4337="CRÍTICO")*1E9+(100000-D4337)*10000+10000-ROW(),""),"")</f>
        <v/>
      </c>
      <c r="X4337" s="8">
        <f>IF(AND(V4337=1,D4337=pas_data,E4337=pas_turno),10000-ROW(),"")</f>
        <v/>
      </c>
    </row>
    <row r="4338">
      <c r="A4338" s="3">
        <f>IF(D4338="","","TT-"&amp;TEXT(ROW()-1,"00000"))</f>
        <v/>
      </c>
      <c r="B4338" s="3">
        <f>IF(D4338="","",IF(V4338=0,"CONCLUÍDO",IF(D4338&lt;corte,"HISTÓRICO",IF(OR(AND(ISNUMBER(R4338),R4338&lt;TODAY()),AND(OR(N4338="PENDENTE",N4338="PARCIAL"),D4338&lt;TODAY()-1)),"CRÍTICO",IF(OR(AND(P4338&lt;&gt;"",S4338=""),AND(N4338="REALIZADO",M4338="PENDENTE"),AND(ISNUMBER(R4338),R4338=TODAY())),"ATENÇÃO",IF(N(K4338)=0,"PENDENTE","EM ANDAMENTO"))))))</f>
        <v/>
      </c>
      <c r="C4338" s="3">
        <f>IF(D4338="","",IF(V4338=0,"🟢 OK",IF(D4338&lt;corte,"⚪ HISTÓRICO (sem baixa)",IF(AND(ISNUMBER(R4338),R4338&lt;TODAY()),"🔴 PRAZO VENCIDO",IF(AND(OR(N4338="PENDENTE",N4338="PARCIAL"),D4338&lt;TODAY()-1),"🔴 EMBARQUE ATRASADO",IF(AND(N4338="REALIZADO",M4338="PENDENTE"),"🟡 EMBARCADO SEM FATURAR",IF(AND(P4338&lt;&gt;"",S4338="",OR(Q4338="",R4338="")),"🟡 PENDÊNCIA SEM RESPONSÁVEL/PRAZO",IF(AND(ISNUMBER(R4338),R4338=TODAY()),"🟡 VENCE HOJE",IF(AND(P4338&lt;&gt;"",S4338=""),"🟡 PENDÊNCIA ABERTA",IF(AND(N(J4338)&gt;0,N(K4338)&lt;J4338),"🟡 FALTA EXECUTAR",IF(OR(M4338="PENDENTE",M4338="PARCIAL"),"🟡 FATURAMENTO PENDENTE","🟡 EMBARQUE PENDENTE")))))))))))</f>
        <v/>
      </c>
      <c r="D4338" s="4" t="n"/>
      <c r="E4338" s="5" t="n"/>
      <c r="F4338" s="5" t="n"/>
      <c r="G4338" s="5" t="n"/>
      <c r="H4338" s="5" t="n"/>
      <c r="I4338" s="5" t="n"/>
      <c r="J4338" s="6" t="n"/>
      <c r="K4338" s="6" t="n"/>
      <c r="L4338" s="7">
        <f>IF(OR(D4338="",N(J4338)=0),"",MIN(1,N(K4338)/J4338))</f>
        <v/>
      </c>
      <c r="M4338" s="5" t="n"/>
      <c r="N4338" s="5" t="n"/>
      <c r="O4338" s="5" t="n"/>
      <c r="P4338" s="5" t="n"/>
      <c r="Q4338" s="5" t="n"/>
      <c r="R4338" s="4" t="n"/>
      <c r="S4338" s="4" t="n"/>
      <c r="T4338" s="5" t="n"/>
      <c r="U4338" s="8">
        <f>IF(AND(V4338=1,D4338&lt;&gt;""),IF(D4338&gt;=corte,TODAY()-D4338,""),"")</f>
        <v/>
      </c>
      <c r="V4338" s="8">
        <f>IF(D4338="",0,IF(OR(AND(P4338&lt;&gt;"",S4338=""),AND(N(J4338)&gt;0,N(K4338)&lt;J4338),OR(M4338="PENDENTE",M4338="PARCIAL"),OR(N4338="PENDENTE",N4338="PARCIAL")),1,0))</f>
        <v/>
      </c>
      <c r="W4338" s="8">
        <f>IF(AND(V4338=1,D4338&lt;&gt;""),IF(D4338&gt;=corte,(B4338="CRÍTICO")*1E9+(100000-D4338)*10000+10000-ROW(),""),"")</f>
        <v/>
      </c>
      <c r="X4338" s="8">
        <f>IF(AND(V4338=1,D4338=pas_data,E4338=pas_turno),10000-ROW(),"")</f>
        <v/>
      </c>
    </row>
    <row r="4339">
      <c r="A4339" s="3">
        <f>IF(D4339="","","TT-"&amp;TEXT(ROW()-1,"00000"))</f>
        <v/>
      </c>
      <c r="B4339" s="3">
        <f>IF(D4339="","",IF(V4339=0,"CONCLUÍDO",IF(D4339&lt;corte,"HISTÓRICO",IF(OR(AND(ISNUMBER(R4339),R4339&lt;TODAY()),AND(OR(N4339="PENDENTE",N4339="PARCIAL"),D4339&lt;TODAY()-1)),"CRÍTICO",IF(OR(AND(P4339&lt;&gt;"",S4339=""),AND(N4339="REALIZADO",M4339="PENDENTE"),AND(ISNUMBER(R4339),R4339=TODAY())),"ATENÇÃO",IF(N(K4339)=0,"PENDENTE","EM ANDAMENTO"))))))</f>
        <v/>
      </c>
      <c r="C4339" s="3">
        <f>IF(D4339="","",IF(V4339=0,"🟢 OK",IF(D4339&lt;corte,"⚪ HISTÓRICO (sem baixa)",IF(AND(ISNUMBER(R4339),R4339&lt;TODAY()),"🔴 PRAZO VENCIDO",IF(AND(OR(N4339="PENDENTE",N4339="PARCIAL"),D4339&lt;TODAY()-1),"🔴 EMBARQUE ATRASADO",IF(AND(N4339="REALIZADO",M4339="PENDENTE"),"🟡 EMBARCADO SEM FATURAR",IF(AND(P4339&lt;&gt;"",S4339="",OR(Q4339="",R4339="")),"🟡 PENDÊNCIA SEM RESPONSÁVEL/PRAZO",IF(AND(ISNUMBER(R4339),R4339=TODAY()),"🟡 VENCE HOJE",IF(AND(P4339&lt;&gt;"",S4339=""),"🟡 PENDÊNCIA ABERTA",IF(AND(N(J4339)&gt;0,N(K4339)&lt;J4339),"🟡 FALTA EXECUTAR",IF(OR(M4339="PENDENTE",M4339="PARCIAL"),"🟡 FATURAMENTO PENDENTE","🟡 EMBARQUE PENDENTE")))))))))))</f>
        <v/>
      </c>
      <c r="D4339" s="4" t="n"/>
      <c r="E4339" s="5" t="n"/>
      <c r="F4339" s="5" t="n"/>
      <c r="G4339" s="5" t="n"/>
      <c r="H4339" s="5" t="n"/>
      <c r="I4339" s="5" t="n"/>
      <c r="J4339" s="6" t="n"/>
      <c r="K4339" s="6" t="n"/>
      <c r="L4339" s="7">
        <f>IF(OR(D4339="",N(J4339)=0),"",MIN(1,N(K4339)/J4339))</f>
        <v/>
      </c>
      <c r="M4339" s="5" t="n"/>
      <c r="N4339" s="5" t="n"/>
      <c r="O4339" s="5" t="n"/>
      <c r="P4339" s="5" t="n"/>
      <c r="Q4339" s="5" t="n"/>
      <c r="R4339" s="4" t="n"/>
      <c r="S4339" s="4" t="n"/>
      <c r="T4339" s="5" t="n"/>
      <c r="U4339" s="8">
        <f>IF(AND(V4339=1,D4339&lt;&gt;""),IF(D4339&gt;=corte,TODAY()-D4339,""),"")</f>
        <v/>
      </c>
      <c r="V4339" s="8">
        <f>IF(D4339="",0,IF(OR(AND(P4339&lt;&gt;"",S4339=""),AND(N(J4339)&gt;0,N(K4339)&lt;J4339),OR(M4339="PENDENTE",M4339="PARCIAL"),OR(N4339="PENDENTE",N4339="PARCIAL")),1,0))</f>
        <v/>
      </c>
      <c r="W4339" s="8">
        <f>IF(AND(V4339=1,D4339&lt;&gt;""),IF(D4339&gt;=corte,(B4339="CRÍTICO")*1E9+(100000-D4339)*10000+10000-ROW(),""),"")</f>
        <v/>
      </c>
      <c r="X4339" s="8">
        <f>IF(AND(V4339=1,D4339=pas_data,E4339=pas_turno),10000-ROW(),"")</f>
        <v/>
      </c>
    </row>
    <row r="4340">
      <c r="A4340" s="3">
        <f>IF(D4340="","","TT-"&amp;TEXT(ROW()-1,"00000"))</f>
        <v/>
      </c>
      <c r="B4340" s="3">
        <f>IF(D4340="","",IF(V4340=0,"CONCLUÍDO",IF(D4340&lt;corte,"HISTÓRICO",IF(OR(AND(ISNUMBER(R4340),R4340&lt;TODAY()),AND(OR(N4340="PENDENTE",N4340="PARCIAL"),D4340&lt;TODAY()-1)),"CRÍTICO",IF(OR(AND(P4340&lt;&gt;"",S4340=""),AND(N4340="REALIZADO",M4340="PENDENTE"),AND(ISNUMBER(R4340),R4340=TODAY())),"ATENÇÃO",IF(N(K4340)=0,"PENDENTE","EM ANDAMENTO"))))))</f>
        <v/>
      </c>
      <c r="C4340" s="3">
        <f>IF(D4340="","",IF(V4340=0,"🟢 OK",IF(D4340&lt;corte,"⚪ HISTÓRICO (sem baixa)",IF(AND(ISNUMBER(R4340),R4340&lt;TODAY()),"🔴 PRAZO VENCIDO",IF(AND(OR(N4340="PENDENTE",N4340="PARCIAL"),D4340&lt;TODAY()-1),"🔴 EMBARQUE ATRASADO",IF(AND(N4340="REALIZADO",M4340="PENDENTE"),"🟡 EMBARCADO SEM FATURAR",IF(AND(P4340&lt;&gt;"",S4340="",OR(Q4340="",R4340="")),"🟡 PENDÊNCIA SEM RESPONSÁVEL/PRAZO",IF(AND(ISNUMBER(R4340),R4340=TODAY()),"🟡 VENCE HOJE",IF(AND(P4340&lt;&gt;"",S4340=""),"🟡 PENDÊNCIA ABERTA",IF(AND(N(J4340)&gt;0,N(K4340)&lt;J4340),"🟡 FALTA EXECUTAR",IF(OR(M4340="PENDENTE",M4340="PARCIAL"),"🟡 FATURAMENTO PENDENTE","🟡 EMBARQUE PENDENTE")))))))))))</f>
        <v/>
      </c>
      <c r="D4340" s="4" t="n"/>
      <c r="E4340" s="5" t="n"/>
      <c r="F4340" s="5" t="n"/>
      <c r="G4340" s="5" t="n"/>
      <c r="H4340" s="5" t="n"/>
      <c r="I4340" s="5" t="n"/>
      <c r="J4340" s="6" t="n"/>
      <c r="K4340" s="6" t="n"/>
      <c r="L4340" s="7">
        <f>IF(OR(D4340="",N(J4340)=0),"",MIN(1,N(K4340)/J4340))</f>
        <v/>
      </c>
      <c r="M4340" s="5" t="n"/>
      <c r="N4340" s="5" t="n"/>
      <c r="O4340" s="5" t="n"/>
      <c r="P4340" s="5" t="n"/>
      <c r="Q4340" s="5" t="n"/>
      <c r="R4340" s="4" t="n"/>
      <c r="S4340" s="4" t="n"/>
      <c r="T4340" s="5" t="n"/>
      <c r="U4340" s="8">
        <f>IF(AND(V4340=1,D4340&lt;&gt;""),IF(D4340&gt;=corte,TODAY()-D4340,""),"")</f>
        <v/>
      </c>
      <c r="V4340" s="8">
        <f>IF(D4340="",0,IF(OR(AND(P4340&lt;&gt;"",S4340=""),AND(N(J4340)&gt;0,N(K4340)&lt;J4340),OR(M4340="PENDENTE",M4340="PARCIAL"),OR(N4340="PENDENTE",N4340="PARCIAL")),1,0))</f>
        <v/>
      </c>
      <c r="W4340" s="8">
        <f>IF(AND(V4340=1,D4340&lt;&gt;""),IF(D4340&gt;=corte,(B4340="CRÍTICO")*1E9+(100000-D4340)*10000+10000-ROW(),""),"")</f>
        <v/>
      </c>
      <c r="X4340" s="8">
        <f>IF(AND(V4340=1,D4340=pas_data,E4340=pas_turno),10000-ROW(),"")</f>
        <v/>
      </c>
    </row>
    <row r="4341">
      <c r="A4341" s="3">
        <f>IF(D4341="","","TT-"&amp;TEXT(ROW()-1,"00000"))</f>
        <v/>
      </c>
      <c r="B4341" s="3">
        <f>IF(D4341="","",IF(V4341=0,"CONCLUÍDO",IF(D4341&lt;corte,"HISTÓRICO",IF(OR(AND(ISNUMBER(R4341),R4341&lt;TODAY()),AND(OR(N4341="PENDENTE",N4341="PARCIAL"),D4341&lt;TODAY()-1)),"CRÍTICO",IF(OR(AND(P4341&lt;&gt;"",S4341=""),AND(N4341="REALIZADO",M4341="PENDENTE"),AND(ISNUMBER(R4341),R4341=TODAY())),"ATENÇÃO",IF(N(K4341)=0,"PENDENTE","EM ANDAMENTO"))))))</f>
        <v/>
      </c>
      <c r="C4341" s="3">
        <f>IF(D4341="","",IF(V4341=0,"🟢 OK",IF(D4341&lt;corte,"⚪ HISTÓRICO (sem baixa)",IF(AND(ISNUMBER(R4341),R4341&lt;TODAY()),"🔴 PRAZO VENCIDO",IF(AND(OR(N4341="PENDENTE",N4341="PARCIAL"),D4341&lt;TODAY()-1),"🔴 EMBARQUE ATRASADO",IF(AND(N4341="REALIZADO",M4341="PENDENTE"),"🟡 EMBARCADO SEM FATURAR",IF(AND(P4341&lt;&gt;"",S4341="",OR(Q4341="",R4341="")),"🟡 PENDÊNCIA SEM RESPONSÁVEL/PRAZO",IF(AND(ISNUMBER(R4341),R4341=TODAY()),"🟡 VENCE HOJE",IF(AND(P4341&lt;&gt;"",S4341=""),"🟡 PENDÊNCIA ABERTA",IF(AND(N(J4341)&gt;0,N(K4341)&lt;J4341),"🟡 FALTA EXECUTAR",IF(OR(M4341="PENDENTE",M4341="PARCIAL"),"🟡 FATURAMENTO PENDENTE","🟡 EMBARQUE PENDENTE")))))))))))</f>
        <v/>
      </c>
      <c r="D4341" s="4" t="n"/>
      <c r="E4341" s="5" t="n"/>
      <c r="F4341" s="5" t="n"/>
      <c r="G4341" s="5" t="n"/>
      <c r="H4341" s="5" t="n"/>
      <c r="I4341" s="5" t="n"/>
      <c r="J4341" s="6" t="n"/>
      <c r="K4341" s="6" t="n"/>
      <c r="L4341" s="7">
        <f>IF(OR(D4341="",N(J4341)=0),"",MIN(1,N(K4341)/J4341))</f>
        <v/>
      </c>
      <c r="M4341" s="5" t="n"/>
      <c r="N4341" s="5" t="n"/>
      <c r="O4341" s="5" t="n"/>
      <c r="P4341" s="5" t="n"/>
      <c r="Q4341" s="5" t="n"/>
      <c r="R4341" s="4" t="n"/>
      <c r="S4341" s="4" t="n"/>
      <c r="T4341" s="5" t="n"/>
      <c r="U4341" s="8">
        <f>IF(AND(V4341=1,D4341&lt;&gt;""),IF(D4341&gt;=corte,TODAY()-D4341,""),"")</f>
        <v/>
      </c>
      <c r="V4341" s="8">
        <f>IF(D4341="",0,IF(OR(AND(P4341&lt;&gt;"",S4341=""),AND(N(J4341)&gt;0,N(K4341)&lt;J4341),OR(M4341="PENDENTE",M4341="PARCIAL"),OR(N4341="PENDENTE",N4341="PARCIAL")),1,0))</f>
        <v/>
      </c>
      <c r="W4341" s="8">
        <f>IF(AND(V4341=1,D4341&lt;&gt;""),IF(D4341&gt;=corte,(B4341="CRÍTICO")*1E9+(100000-D4341)*10000+10000-ROW(),""),"")</f>
        <v/>
      </c>
      <c r="X4341" s="8">
        <f>IF(AND(V4341=1,D4341=pas_data,E4341=pas_turno),10000-ROW(),"")</f>
        <v/>
      </c>
    </row>
    <row r="4342">
      <c r="A4342" s="3">
        <f>IF(D4342="","","TT-"&amp;TEXT(ROW()-1,"00000"))</f>
        <v/>
      </c>
      <c r="B4342" s="3">
        <f>IF(D4342="","",IF(V4342=0,"CONCLUÍDO",IF(D4342&lt;corte,"HISTÓRICO",IF(OR(AND(ISNUMBER(R4342),R4342&lt;TODAY()),AND(OR(N4342="PENDENTE",N4342="PARCIAL"),D4342&lt;TODAY()-1)),"CRÍTICO",IF(OR(AND(P4342&lt;&gt;"",S4342=""),AND(N4342="REALIZADO",M4342="PENDENTE"),AND(ISNUMBER(R4342),R4342=TODAY())),"ATENÇÃO",IF(N(K4342)=0,"PENDENTE","EM ANDAMENTO"))))))</f>
        <v/>
      </c>
      <c r="C4342" s="3">
        <f>IF(D4342="","",IF(V4342=0,"🟢 OK",IF(D4342&lt;corte,"⚪ HISTÓRICO (sem baixa)",IF(AND(ISNUMBER(R4342),R4342&lt;TODAY()),"🔴 PRAZO VENCIDO",IF(AND(OR(N4342="PENDENTE",N4342="PARCIAL"),D4342&lt;TODAY()-1),"🔴 EMBARQUE ATRASADO",IF(AND(N4342="REALIZADO",M4342="PENDENTE"),"🟡 EMBARCADO SEM FATURAR",IF(AND(P4342&lt;&gt;"",S4342="",OR(Q4342="",R4342="")),"🟡 PENDÊNCIA SEM RESPONSÁVEL/PRAZO",IF(AND(ISNUMBER(R4342),R4342=TODAY()),"🟡 VENCE HOJE",IF(AND(P4342&lt;&gt;"",S4342=""),"🟡 PENDÊNCIA ABERTA",IF(AND(N(J4342)&gt;0,N(K4342)&lt;J4342),"🟡 FALTA EXECUTAR",IF(OR(M4342="PENDENTE",M4342="PARCIAL"),"🟡 FATURAMENTO PENDENTE","🟡 EMBARQUE PENDENTE")))))))))))</f>
        <v/>
      </c>
      <c r="D4342" s="4" t="n"/>
      <c r="E4342" s="5" t="n"/>
      <c r="F4342" s="5" t="n"/>
      <c r="G4342" s="5" t="n"/>
      <c r="H4342" s="5" t="n"/>
      <c r="I4342" s="5" t="n"/>
      <c r="J4342" s="6" t="n"/>
      <c r="K4342" s="6" t="n"/>
      <c r="L4342" s="7">
        <f>IF(OR(D4342="",N(J4342)=0),"",MIN(1,N(K4342)/J4342))</f>
        <v/>
      </c>
      <c r="M4342" s="5" t="n"/>
      <c r="N4342" s="5" t="n"/>
      <c r="O4342" s="5" t="n"/>
      <c r="P4342" s="5" t="n"/>
      <c r="Q4342" s="5" t="n"/>
      <c r="R4342" s="4" t="n"/>
      <c r="S4342" s="4" t="n"/>
      <c r="T4342" s="5" t="n"/>
      <c r="U4342" s="8">
        <f>IF(AND(V4342=1,D4342&lt;&gt;""),IF(D4342&gt;=corte,TODAY()-D4342,""),"")</f>
        <v/>
      </c>
      <c r="V4342" s="8">
        <f>IF(D4342="",0,IF(OR(AND(P4342&lt;&gt;"",S4342=""),AND(N(J4342)&gt;0,N(K4342)&lt;J4342),OR(M4342="PENDENTE",M4342="PARCIAL"),OR(N4342="PENDENTE",N4342="PARCIAL")),1,0))</f>
        <v/>
      </c>
      <c r="W4342" s="8">
        <f>IF(AND(V4342=1,D4342&lt;&gt;""),IF(D4342&gt;=corte,(B4342="CRÍTICO")*1E9+(100000-D4342)*10000+10000-ROW(),""),"")</f>
        <v/>
      </c>
      <c r="X4342" s="8">
        <f>IF(AND(V4342=1,D4342=pas_data,E4342=pas_turno),10000-ROW(),"")</f>
        <v/>
      </c>
    </row>
    <row r="4343">
      <c r="A4343" s="3">
        <f>IF(D4343="","","TT-"&amp;TEXT(ROW()-1,"00000"))</f>
        <v/>
      </c>
      <c r="B4343" s="3">
        <f>IF(D4343="","",IF(V4343=0,"CONCLUÍDO",IF(D4343&lt;corte,"HISTÓRICO",IF(OR(AND(ISNUMBER(R4343),R4343&lt;TODAY()),AND(OR(N4343="PENDENTE",N4343="PARCIAL"),D4343&lt;TODAY()-1)),"CRÍTICO",IF(OR(AND(P4343&lt;&gt;"",S4343=""),AND(N4343="REALIZADO",M4343="PENDENTE"),AND(ISNUMBER(R4343),R4343=TODAY())),"ATENÇÃO",IF(N(K4343)=0,"PENDENTE","EM ANDAMENTO"))))))</f>
        <v/>
      </c>
      <c r="C4343" s="3">
        <f>IF(D4343="","",IF(V4343=0,"🟢 OK",IF(D4343&lt;corte,"⚪ HISTÓRICO (sem baixa)",IF(AND(ISNUMBER(R4343),R4343&lt;TODAY()),"🔴 PRAZO VENCIDO",IF(AND(OR(N4343="PENDENTE",N4343="PARCIAL"),D4343&lt;TODAY()-1),"🔴 EMBARQUE ATRASADO",IF(AND(N4343="REALIZADO",M4343="PENDENTE"),"🟡 EMBARCADO SEM FATURAR",IF(AND(P4343&lt;&gt;"",S4343="",OR(Q4343="",R4343="")),"🟡 PENDÊNCIA SEM RESPONSÁVEL/PRAZO",IF(AND(ISNUMBER(R4343),R4343=TODAY()),"🟡 VENCE HOJE",IF(AND(P4343&lt;&gt;"",S4343=""),"🟡 PENDÊNCIA ABERTA",IF(AND(N(J4343)&gt;0,N(K4343)&lt;J4343),"🟡 FALTA EXECUTAR",IF(OR(M4343="PENDENTE",M4343="PARCIAL"),"🟡 FATURAMENTO PENDENTE","🟡 EMBARQUE PENDENTE")))))))))))</f>
        <v/>
      </c>
      <c r="D4343" s="4" t="n"/>
      <c r="E4343" s="5" t="n"/>
      <c r="F4343" s="5" t="n"/>
      <c r="G4343" s="5" t="n"/>
      <c r="H4343" s="5" t="n"/>
      <c r="I4343" s="5" t="n"/>
      <c r="J4343" s="6" t="n"/>
      <c r="K4343" s="6" t="n"/>
      <c r="L4343" s="7">
        <f>IF(OR(D4343="",N(J4343)=0),"",MIN(1,N(K4343)/J4343))</f>
        <v/>
      </c>
      <c r="M4343" s="5" t="n"/>
      <c r="N4343" s="5" t="n"/>
      <c r="O4343" s="5" t="n"/>
      <c r="P4343" s="5" t="n"/>
      <c r="Q4343" s="5" t="n"/>
      <c r="R4343" s="4" t="n"/>
      <c r="S4343" s="4" t="n"/>
      <c r="T4343" s="5" t="n"/>
      <c r="U4343" s="8">
        <f>IF(AND(V4343=1,D4343&lt;&gt;""),IF(D4343&gt;=corte,TODAY()-D4343,""),"")</f>
        <v/>
      </c>
      <c r="V4343" s="8">
        <f>IF(D4343="",0,IF(OR(AND(P4343&lt;&gt;"",S4343=""),AND(N(J4343)&gt;0,N(K4343)&lt;J4343),OR(M4343="PENDENTE",M4343="PARCIAL"),OR(N4343="PENDENTE",N4343="PARCIAL")),1,0))</f>
        <v/>
      </c>
      <c r="W4343" s="8">
        <f>IF(AND(V4343=1,D4343&lt;&gt;""),IF(D4343&gt;=corte,(B4343="CRÍTICO")*1E9+(100000-D4343)*10000+10000-ROW(),""),"")</f>
        <v/>
      </c>
      <c r="X4343" s="8">
        <f>IF(AND(V4343=1,D4343=pas_data,E4343=pas_turno),10000-ROW(),"")</f>
        <v/>
      </c>
    </row>
    <row r="4344">
      <c r="A4344" s="3">
        <f>IF(D4344="","","TT-"&amp;TEXT(ROW()-1,"00000"))</f>
        <v/>
      </c>
      <c r="B4344" s="3">
        <f>IF(D4344="","",IF(V4344=0,"CONCLUÍDO",IF(D4344&lt;corte,"HISTÓRICO",IF(OR(AND(ISNUMBER(R4344),R4344&lt;TODAY()),AND(OR(N4344="PENDENTE",N4344="PARCIAL"),D4344&lt;TODAY()-1)),"CRÍTICO",IF(OR(AND(P4344&lt;&gt;"",S4344=""),AND(N4344="REALIZADO",M4344="PENDENTE"),AND(ISNUMBER(R4344),R4344=TODAY())),"ATENÇÃO",IF(N(K4344)=0,"PENDENTE","EM ANDAMENTO"))))))</f>
        <v/>
      </c>
      <c r="C4344" s="3">
        <f>IF(D4344="","",IF(V4344=0,"🟢 OK",IF(D4344&lt;corte,"⚪ HISTÓRICO (sem baixa)",IF(AND(ISNUMBER(R4344),R4344&lt;TODAY()),"🔴 PRAZO VENCIDO",IF(AND(OR(N4344="PENDENTE",N4344="PARCIAL"),D4344&lt;TODAY()-1),"🔴 EMBARQUE ATRASADO",IF(AND(N4344="REALIZADO",M4344="PENDENTE"),"🟡 EMBARCADO SEM FATURAR",IF(AND(P4344&lt;&gt;"",S4344="",OR(Q4344="",R4344="")),"🟡 PENDÊNCIA SEM RESPONSÁVEL/PRAZO",IF(AND(ISNUMBER(R4344),R4344=TODAY()),"🟡 VENCE HOJE",IF(AND(P4344&lt;&gt;"",S4344=""),"🟡 PENDÊNCIA ABERTA",IF(AND(N(J4344)&gt;0,N(K4344)&lt;J4344),"🟡 FALTA EXECUTAR",IF(OR(M4344="PENDENTE",M4344="PARCIAL"),"🟡 FATURAMENTO PENDENTE","🟡 EMBARQUE PENDENTE")))))))))))</f>
        <v/>
      </c>
      <c r="D4344" s="4" t="n"/>
      <c r="E4344" s="5" t="n"/>
      <c r="F4344" s="5" t="n"/>
      <c r="G4344" s="5" t="n"/>
      <c r="H4344" s="5" t="n"/>
      <c r="I4344" s="5" t="n"/>
      <c r="J4344" s="6" t="n"/>
      <c r="K4344" s="6" t="n"/>
      <c r="L4344" s="7">
        <f>IF(OR(D4344="",N(J4344)=0),"",MIN(1,N(K4344)/J4344))</f>
        <v/>
      </c>
      <c r="M4344" s="5" t="n"/>
      <c r="N4344" s="5" t="n"/>
      <c r="O4344" s="5" t="n"/>
      <c r="P4344" s="5" t="n"/>
      <c r="Q4344" s="5" t="n"/>
      <c r="R4344" s="4" t="n"/>
      <c r="S4344" s="4" t="n"/>
      <c r="T4344" s="5" t="n"/>
      <c r="U4344" s="8">
        <f>IF(AND(V4344=1,D4344&lt;&gt;""),IF(D4344&gt;=corte,TODAY()-D4344,""),"")</f>
        <v/>
      </c>
      <c r="V4344" s="8">
        <f>IF(D4344="",0,IF(OR(AND(P4344&lt;&gt;"",S4344=""),AND(N(J4344)&gt;0,N(K4344)&lt;J4344),OR(M4344="PENDENTE",M4344="PARCIAL"),OR(N4344="PENDENTE",N4344="PARCIAL")),1,0))</f>
        <v/>
      </c>
      <c r="W4344" s="8">
        <f>IF(AND(V4344=1,D4344&lt;&gt;""),IF(D4344&gt;=corte,(B4344="CRÍTICO")*1E9+(100000-D4344)*10000+10000-ROW(),""),"")</f>
        <v/>
      </c>
      <c r="X4344" s="8">
        <f>IF(AND(V4344=1,D4344=pas_data,E4344=pas_turno),10000-ROW(),"")</f>
        <v/>
      </c>
    </row>
    <row r="4345">
      <c r="A4345" s="3">
        <f>IF(D4345="","","TT-"&amp;TEXT(ROW()-1,"00000"))</f>
        <v/>
      </c>
      <c r="B4345" s="3">
        <f>IF(D4345="","",IF(V4345=0,"CONCLUÍDO",IF(D4345&lt;corte,"HISTÓRICO",IF(OR(AND(ISNUMBER(R4345),R4345&lt;TODAY()),AND(OR(N4345="PENDENTE",N4345="PARCIAL"),D4345&lt;TODAY()-1)),"CRÍTICO",IF(OR(AND(P4345&lt;&gt;"",S4345=""),AND(N4345="REALIZADO",M4345="PENDENTE"),AND(ISNUMBER(R4345),R4345=TODAY())),"ATENÇÃO",IF(N(K4345)=0,"PENDENTE","EM ANDAMENTO"))))))</f>
        <v/>
      </c>
      <c r="C4345" s="3">
        <f>IF(D4345="","",IF(V4345=0,"🟢 OK",IF(D4345&lt;corte,"⚪ HISTÓRICO (sem baixa)",IF(AND(ISNUMBER(R4345),R4345&lt;TODAY()),"🔴 PRAZO VENCIDO",IF(AND(OR(N4345="PENDENTE",N4345="PARCIAL"),D4345&lt;TODAY()-1),"🔴 EMBARQUE ATRASADO",IF(AND(N4345="REALIZADO",M4345="PENDENTE"),"🟡 EMBARCADO SEM FATURAR",IF(AND(P4345&lt;&gt;"",S4345="",OR(Q4345="",R4345="")),"🟡 PENDÊNCIA SEM RESPONSÁVEL/PRAZO",IF(AND(ISNUMBER(R4345),R4345=TODAY()),"🟡 VENCE HOJE",IF(AND(P4345&lt;&gt;"",S4345=""),"🟡 PENDÊNCIA ABERTA",IF(AND(N(J4345)&gt;0,N(K4345)&lt;J4345),"🟡 FALTA EXECUTAR",IF(OR(M4345="PENDENTE",M4345="PARCIAL"),"🟡 FATURAMENTO PENDENTE","🟡 EMBARQUE PENDENTE")))))))))))</f>
        <v/>
      </c>
      <c r="D4345" s="4" t="n"/>
      <c r="E4345" s="5" t="n"/>
      <c r="F4345" s="5" t="n"/>
      <c r="G4345" s="5" t="n"/>
      <c r="H4345" s="5" t="n"/>
      <c r="I4345" s="5" t="n"/>
      <c r="J4345" s="6" t="n"/>
      <c r="K4345" s="6" t="n"/>
      <c r="L4345" s="7">
        <f>IF(OR(D4345="",N(J4345)=0),"",MIN(1,N(K4345)/J4345))</f>
        <v/>
      </c>
      <c r="M4345" s="5" t="n"/>
      <c r="N4345" s="5" t="n"/>
      <c r="O4345" s="5" t="n"/>
      <c r="P4345" s="5" t="n"/>
      <c r="Q4345" s="5" t="n"/>
      <c r="R4345" s="4" t="n"/>
      <c r="S4345" s="4" t="n"/>
      <c r="T4345" s="5" t="n"/>
      <c r="U4345" s="8">
        <f>IF(AND(V4345=1,D4345&lt;&gt;""),IF(D4345&gt;=corte,TODAY()-D4345,""),"")</f>
        <v/>
      </c>
      <c r="V4345" s="8">
        <f>IF(D4345="",0,IF(OR(AND(P4345&lt;&gt;"",S4345=""),AND(N(J4345)&gt;0,N(K4345)&lt;J4345),OR(M4345="PENDENTE",M4345="PARCIAL"),OR(N4345="PENDENTE",N4345="PARCIAL")),1,0))</f>
        <v/>
      </c>
      <c r="W4345" s="8">
        <f>IF(AND(V4345=1,D4345&lt;&gt;""),IF(D4345&gt;=corte,(B4345="CRÍTICO")*1E9+(100000-D4345)*10000+10000-ROW(),""),"")</f>
        <v/>
      </c>
      <c r="X4345" s="8">
        <f>IF(AND(V4345=1,D4345=pas_data,E4345=pas_turno),10000-ROW(),"")</f>
        <v/>
      </c>
    </row>
    <row r="4346">
      <c r="A4346" s="3">
        <f>IF(D4346="","","TT-"&amp;TEXT(ROW()-1,"00000"))</f>
        <v/>
      </c>
      <c r="B4346" s="3">
        <f>IF(D4346="","",IF(V4346=0,"CONCLUÍDO",IF(D4346&lt;corte,"HISTÓRICO",IF(OR(AND(ISNUMBER(R4346),R4346&lt;TODAY()),AND(OR(N4346="PENDENTE",N4346="PARCIAL"),D4346&lt;TODAY()-1)),"CRÍTICO",IF(OR(AND(P4346&lt;&gt;"",S4346=""),AND(N4346="REALIZADO",M4346="PENDENTE"),AND(ISNUMBER(R4346),R4346=TODAY())),"ATENÇÃO",IF(N(K4346)=0,"PENDENTE","EM ANDAMENTO"))))))</f>
        <v/>
      </c>
      <c r="C4346" s="3">
        <f>IF(D4346="","",IF(V4346=0,"🟢 OK",IF(D4346&lt;corte,"⚪ HISTÓRICO (sem baixa)",IF(AND(ISNUMBER(R4346),R4346&lt;TODAY()),"🔴 PRAZO VENCIDO",IF(AND(OR(N4346="PENDENTE",N4346="PARCIAL"),D4346&lt;TODAY()-1),"🔴 EMBARQUE ATRASADO",IF(AND(N4346="REALIZADO",M4346="PENDENTE"),"🟡 EMBARCADO SEM FATURAR",IF(AND(P4346&lt;&gt;"",S4346="",OR(Q4346="",R4346="")),"🟡 PENDÊNCIA SEM RESPONSÁVEL/PRAZO",IF(AND(ISNUMBER(R4346),R4346=TODAY()),"🟡 VENCE HOJE",IF(AND(P4346&lt;&gt;"",S4346=""),"🟡 PENDÊNCIA ABERTA",IF(AND(N(J4346)&gt;0,N(K4346)&lt;J4346),"🟡 FALTA EXECUTAR",IF(OR(M4346="PENDENTE",M4346="PARCIAL"),"🟡 FATURAMENTO PENDENTE","🟡 EMBARQUE PENDENTE")))))))))))</f>
        <v/>
      </c>
      <c r="D4346" s="4" t="n"/>
      <c r="E4346" s="5" t="n"/>
      <c r="F4346" s="5" t="n"/>
      <c r="G4346" s="5" t="n"/>
      <c r="H4346" s="5" t="n"/>
      <c r="I4346" s="5" t="n"/>
      <c r="J4346" s="6" t="n"/>
      <c r="K4346" s="6" t="n"/>
      <c r="L4346" s="7">
        <f>IF(OR(D4346="",N(J4346)=0),"",MIN(1,N(K4346)/J4346))</f>
        <v/>
      </c>
      <c r="M4346" s="5" t="n"/>
      <c r="N4346" s="5" t="n"/>
      <c r="O4346" s="5" t="n"/>
      <c r="P4346" s="5" t="n"/>
      <c r="Q4346" s="5" t="n"/>
      <c r="R4346" s="4" t="n"/>
      <c r="S4346" s="4" t="n"/>
      <c r="T4346" s="5" t="n"/>
      <c r="U4346" s="8">
        <f>IF(AND(V4346=1,D4346&lt;&gt;""),IF(D4346&gt;=corte,TODAY()-D4346,""),"")</f>
        <v/>
      </c>
      <c r="V4346" s="8">
        <f>IF(D4346="",0,IF(OR(AND(P4346&lt;&gt;"",S4346=""),AND(N(J4346)&gt;0,N(K4346)&lt;J4346),OR(M4346="PENDENTE",M4346="PARCIAL"),OR(N4346="PENDENTE",N4346="PARCIAL")),1,0))</f>
        <v/>
      </c>
      <c r="W4346" s="8">
        <f>IF(AND(V4346=1,D4346&lt;&gt;""),IF(D4346&gt;=corte,(B4346="CRÍTICO")*1E9+(100000-D4346)*10000+10000-ROW(),""),"")</f>
        <v/>
      </c>
      <c r="X4346" s="8">
        <f>IF(AND(V4346=1,D4346=pas_data,E4346=pas_turno),10000-ROW(),"")</f>
        <v/>
      </c>
    </row>
    <row r="4347">
      <c r="A4347" s="3">
        <f>IF(D4347="","","TT-"&amp;TEXT(ROW()-1,"00000"))</f>
        <v/>
      </c>
      <c r="B4347" s="3">
        <f>IF(D4347="","",IF(V4347=0,"CONCLUÍDO",IF(D4347&lt;corte,"HISTÓRICO",IF(OR(AND(ISNUMBER(R4347),R4347&lt;TODAY()),AND(OR(N4347="PENDENTE",N4347="PARCIAL"),D4347&lt;TODAY()-1)),"CRÍTICO",IF(OR(AND(P4347&lt;&gt;"",S4347=""),AND(N4347="REALIZADO",M4347="PENDENTE"),AND(ISNUMBER(R4347),R4347=TODAY())),"ATENÇÃO",IF(N(K4347)=0,"PENDENTE","EM ANDAMENTO"))))))</f>
        <v/>
      </c>
      <c r="C4347" s="3">
        <f>IF(D4347="","",IF(V4347=0,"🟢 OK",IF(D4347&lt;corte,"⚪ HISTÓRICO (sem baixa)",IF(AND(ISNUMBER(R4347),R4347&lt;TODAY()),"🔴 PRAZO VENCIDO",IF(AND(OR(N4347="PENDENTE",N4347="PARCIAL"),D4347&lt;TODAY()-1),"🔴 EMBARQUE ATRASADO",IF(AND(N4347="REALIZADO",M4347="PENDENTE"),"🟡 EMBARCADO SEM FATURAR",IF(AND(P4347&lt;&gt;"",S4347="",OR(Q4347="",R4347="")),"🟡 PENDÊNCIA SEM RESPONSÁVEL/PRAZO",IF(AND(ISNUMBER(R4347),R4347=TODAY()),"🟡 VENCE HOJE",IF(AND(P4347&lt;&gt;"",S4347=""),"🟡 PENDÊNCIA ABERTA",IF(AND(N(J4347)&gt;0,N(K4347)&lt;J4347),"🟡 FALTA EXECUTAR",IF(OR(M4347="PENDENTE",M4347="PARCIAL"),"🟡 FATURAMENTO PENDENTE","🟡 EMBARQUE PENDENTE")))))))))))</f>
        <v/>
      </c>
      <c r="D4347" s="4" t="n"/>
      <c r="E4347" s="5" t="n"/>
      <c r="F4347" s="5" t="n"/>
      <c r="G4347" s="5" t="n"/>
      <c r="H4347" s="5" t="n"/>
      <c r="I4347" s="5" t="n"/>
      <c r="J4347" s="6" t="n"/>
      <c r="K4347" s="6" t="n"/>
      <c r="L4347" s="7">
        <f>IF(OR(D4347="",N(J4347)=0),"",MIN(1,N(K4347)/J4347))</f>
        <v/>
      </c>
      <c r="M4347" s="5" t="n"/>
      <c r="N4347" s="5" t="n"/>
      <c r="O4347" s="5" t="n"/>
      <c r="P4347" s="5" t="n"/>
      <c r="Q4347" s="5" t="n"/>
      <c r="R4347" s="4" t="n"/>
      <c r="S4347" s="4" t="n"/>
      <c r="T4347" s="5" t="n"/>
      <c r="U4347" s="8">
        <f>IF(AND(V4347=1,D4347&lt;&gt;""),IF(D4347&gt;=corte,TODAY()-D4347,""),"")</f>
        <v/>
      </c>
      <c r="V4347" s="8">
        <f>IF(D4347="",0,IF(OR(AND(P4347&lt;&gt;"",S4347=""),AND(N(J4347)&gt;0,N(K4347)&lt;J4347),OR(M4347="PENDENTE",M4347="PARCIAL"),OR(N4347="PENDENTE",N4347="PARCIAL")),1,0))</f>
        <v/>
      </c>
      <c r="W4347" s="8">
        <f>IF(AND(V4347=1,D4347&lt;&gt;""),IF(D4347&gt;=corte,(B4347="CRÍTICO")*1E9+(100000-D4347)*10000+10000-ROW(),""),"")</f>
        <v/>
      </c>
      <c r="X4347" s="8">
        <f>IF(AND(V4347=1,D4347=pas_data,E4347=pas_turno),10000-ROW(),"")</f>
        <v/>
      </c>
    </row>
    <row r="4348">
      <c r="A4348" s="3">
        <f>IF(D4348="","","TT-"&amp;TEXT(ROW()-1,"00000"))</f>
        <v/>
      </c>
      <c r="B4348" s="3">
        <f>IF(D4348="","",IF(V4348=0,"CONCLUÍDO",IF(D4348&lt;corte,"HISTÓRICO",IF(OR(AND(ISNUMBER(R4348),R4348&lt;TODAY()),AND(OR(N4348="PENDENTE",N4348="PARCIAL"),D4348&lt;TODAY()-1)),"CRÍTICO",IF(OR(AND(P4348&lt;&gt;"",S4348=""),AND(N4348="REALIZADO",M4348="PENDENTE"),AND(ISNUMBER(R4348),R4348=TODAY())),"ATENÇÃO",IF(N(K4348)=0,"PENDENTE","EM ANDAMENTO"))))))</f>
        <v/>
      </c>
      <c r="C4348" s="3">
        <f>IF(D4348="","",IF(V4348=0,"🟢 OK",IF(D4348&lt;corte,"⚪ HISTÓRICO (sem baixa)",IF(AND(ISNUMBER(R4348),R4348&lt;TODAY()),"🔴 PRAZO VENCIDO",IF(AND(OR(N4348="PENDENTE",N4348="PARCIAL"),D4348&lt;TODAY()-1),"🔴 EMBARQUE ATRASADO",IF(AND(N4348="REALIZADO",M4348="PENDENTE"),"🟡 EMBARCADO SEM FATURAR",IF(AND(P4348&lt;&gt;"",S4348="",OR(Q4348="",R4348="")),"🟡 PENDÊNCIA SEM RESPONSÁVEL/PRAZO",IF(AND(ISNUMBER(R4348),R4348=TODAY()),"🟡 VENCE HOJE",IF(AND(P4348&lt;&gt;"",S4348=""),"🟡 PENDÊNCIA ABERTA",IF(AND(N(J4348)&gt;0,N(K4348)&lt;J4348),"🟡 FALTA EXECUTAR",IF(OR(M4348="PENDENTE",M4348="PARCIAL"),"🟡 FATURAMENTO PENDENTE","🟡 EMBARQUE PENDENTE")))))))))))</f>
        <v/>
      </c>
      <c r="D4348" s="4" t="n"/>
      <c r="E4348" s="5" t="n"/>
      <c r="F4348" s="5" t="n"/>
      <c r="G4348" s="5" t="n"/>
      <c r="H4348" s="5" t="n"/>
      <c r="I4348" s="5" t="n"/>
      <c r="J4348" s="6" t="n"/>
      <c r="K4348" s="6" t="n"/>
      <c r="L4348" s="7">
        <f>IF(OR(D4348="",N(J4348)=0),"",MIN(1,N(K4348)/J4348))</f>
        <v/>
      </c>
      <c r="M4348" s="5" t="n"/>
      <c r="N4348" s="5" t="n"/>
      <c r="O4348" s="5" t="n"/>
      <c r="P4348" s="5" t="n"/>
      <c r="Q4348" s="5" t="n"/>
      <c r="R4348" s="4" t="n"/>
      <c r="S4348" s="4" t="n"/>
      <c r="T4348" s="5" t="n"/>
      <c r="U4348" s="8">
        <f>IF(AND(V4348=1,D4348&lt;&gt;""),IF(D4348&gt;=corte,TODAY()-D4348,""),"")</f>
        <v/>
      </c>
      <c r="V4348" s="8">
        <f>IF(D4348="",0,IF(OR(AND(P4348&lt;&gt;"",S4348=""),AND(N(J4348)&gt;0,N(K4348)&lt;J4348),OR(M4348="PENDENTE",M4348="PARCIAL"),OR(N4348="PENDENTE",N4348="PARCIAL")),1,0))</f>
        <v/>
      </c>
      <c r="W4348" s="8">
        <f>IF(AND(V4348=1,D4348&lt;&gt;""),IF(D4348&gt;=corte,(B4348="CRÍTICO")*1E9+(100000-D4348)*10000+10000-ROW(),""),"")</f>
        <v/>
      </c>
      <c r="X4348" s="8">
        <f>IF(AND(V4348=1,D4348=pas_data,E4348=pas_turno),10000-ROW(),"")</f>
        <v/>
      </c>
    </row>
    <row r="4349">
      <c r="A4349" s="3">
        <f>IF(D4349="","","TT-"&amp;TEXT(ROW()-1,"00000"))</f>
        <v/>
      </c>
      <c r="B4349" s="3">
        <f>IF(D4349="","",IF(V4349=0,"CONCLUÍDO",IF(D4349&lt;corte,"HISTÓRICO",IF(OR(AND(ISNUMBER(R4349),R4349&lt;TODAY()),AND(OR(N4349="PENDENTE",N4349="PARCIAL"),D4349&lt;TODAY()-1)),"CRÍTICO",IF(OR(AND(P4349&lt;&gt;"",S4349=""),AND(N4349="REALIZADO",M4349="PENDENTE"),AND(ISNUMBER(R4349),R4349=TODAY())),"ATENÇÃO",IF(N(K4349)=0,"PENDENTE","EM ANDAMENTO"))))))</f>
        <v/>
      </c>
      <c r="C4349" s="3">
        <f>IF(D4349="","",IF(V4349=0,"🟢 OK",IF(D4349&lt;corte,"⚪ HISTÓRICO (sem baixa)",IF(AND(ISNUMBER(R4349),R4349&lt;TODAY()),"🔴 PRAZO VENCIDO",IF(AND(OR(N4349="PENDENTE",N4349="PARCIAL"),D4349&lt;TODAY()-1),"🔴 EMBARQUE ATRASADO",IF(AND(N4349="REALIZADO",M4349="PENDENTE"),"🟡 EMBARCADO SEM FATURAR",IF(AND(P4349&lt;&gt;"",S4349="",OR(Q4349="",R4349="")),"🟡 PENDÊNCIA SEM RESPONSÁVEL/PRAZO",IF(AND(ISNUMBER(R4349),R4349=TODAY()),"🟡 VENCE HOJE",IF(AND(P4349&lt;&gt;"",S4349=""),"🟡 PENDÊNCIA ABERTA",IF(AND(N(J4349)&gt;0,N(K4349)&lt;J4349),"🟡 FALTA EXECUTAR",IF(OR(M4349="PENDENTE",M4349="PARCIAL"),"🟡 FATURAMENTO PENDENTE","🟡 EMBARQUE PENDENTE")))))))))))</f>
        <v/>
      </c>
      <c r="D4349" s="4" t="n"/>
      <c r="E4349" s="5" t="n"/>
      <c r="F4349" s="5" t="n"/>
      <c r="G4349" s="5" t="n"/>
      <c r="H4349" s="5" t="n"/>
      <c r="I4349" s="5" t="n"/>
      <c r="J4349" s="6" t="n"/>
      <c r="K4349" s="6" t="n"/>
      <c r="L4349" s="7">
        <f>IF(OR(D4349="",N(J4349)=0),"",MIN(1,N(K4349)/J4349))</f>
        <v/>
      </c>
      <c r="M4349" s="5" t="n"/>
      <c r="N4349" s="5" t="n"/>
      <c r="O4349" s="5" t="n"/>
      <c r="P4349" s="5" t="n"/>
      <c r="Q4349" s="5" t="n"/>
      <c r="R4349" s="4" t="n"/>
      <c r="S4349" s="4" t="n"/>
      <c r="T4349" s="5" t="n"/>
      <c r="U4349" s="8">
        <f>IF(AND(V4349=1,D4349&lt;&gt;""),IF(D4349&gt;=corte,TODAY()-D4349,""),"")</f>
        <v/>
      </c>
      <c r="V4349" s="8">
        <f>IF(D4349="",0,IF(OR(AND(P4349&lt;&gt;"",S4349=""),AND(N(J4349)&gt;0,N(K4349)&lt;J4349),OR(M4349="PENDENTE",M4349="PARCIAL"),OR(N4349="PENDENTE",N4349="PARCIAL")),1,0))</f>
        <v/>
      </c>
      <c r="W4349" s="8">
        <f>IF(AND(V4349=1,D4349&lt;&gt;""),IF(D4349&gt;=corte,(B4349="CRÍTICO")*1E9+(100000-D4349)*10000+10000-ROW(),""),"")</f>
        <v/>
      </c>
      <c r="X4349" s="8">
        <f>IF(AND(V4349=1,D4349=pas_data,E4349=pas_turno),10000-ROW(),"")</f>
        <v/>
      </c>
    </row>
    <row r="4350">
      <c r="A4350" s="3">
        <f>IF(D4350="","","TT-"&amp;TEXT(ROW()-1,"00000"))</f>
        <v/>
      </c>
      <c r="B4350" s="3">
        <f>IF(D4350="","",IF(V4350=0,"CONCLUÍDO",IF(D4350&lt;corte,"HISTÓRICO",IF(OR(AND(ISNUMBER(R4350),R4350&lt;TODAY()),AND(OR(N4350="PENDENTE",N4350="PARCIAL"),D4350&lt;TODAY()-1)),"CRÍTICO",IF(OR(AND(P4350&lt;&gt;"",S4350=""),AND(N4350="REALIZADO",M4350="PENDENTE"),AND(ISNUMBER(R4350),R4350=TODAY())),"ATENÇÃO",IF(N(K4350)=0,"PENDENTE","EM ANDAMENTO"))))))</f>
        <v/>
      </c>
      <c r="C4350" s="3">
        <f>IF(D4350="","",IF(V4350=0,"🟢 OK",IF(D4350&lt;corte,"⚪ HISTÓRICO (sem baixa)",IF(AND(ISNUMBER(R4350),R4350&lt;TODAY()),"🔴 PRAZO VENCIDO",IF(AND(OR(N4350="PENDENTE",N4350="PARCIAL"),D4350&lt;TODAY()-1),"🔴 EMBARQUE ATRASADO",IF(AND(N4350="REALIZADO",M4350="PENDENTE"),"🟡 EMBARCADO SEM FATURAR",IF(AND(P4350&lt;&gt;"",S4350="",OR(Q4350="",R4350="")),"🟡 PENDÊNCIA SEM RESPONSÁVEL/PRAZO",IF(AND(ISNUMBER(R4350),R4350=TODAY()),"🟡 VENCE HOJE",IF(AND(P4350&lt;&gt;"",S4350=""),"🟡 PENDÊNCIA ABERTA",IF(AND(N(J4350)&gt;0,N(K4350)&lt;J4350),"🟡 FALTA EXECUTAR",IF(OR(M4350="PENDENTE",M4350="PARCIAL"),"🟡 FATURAMENTO PENDENTE","🟡 EMBARQUE PENDENTE")))))))))))</f>
        <v/>
      </c>
      <c r="D4350" s="4" t="n"/>
      <c r="E4350" s="5" t="n"/>
      <c r="F4350" s="5" t="n"/>
      <c r="G4350" s="5" t="n"/>
      <c r="H4350" s="5" t="n"/>
      <c r="I4350" s="5" t="n"/>
      <c r="J4350" s="6" t="n"/>
      <c r="K4350" s="6" t="n"/>
      <c r="L4350" s="7">
        <f>IF(OR(D4350="",N(J4350)=0),"",MIN(1,N(K4350)/J4350))</f>
        <v/>
      </c>
      <c r="M4350" s="5" t="n"/>
      <c r="N4350" s="5" t="n"/>
      <c r="O4350" s="5" t="n"/>
      <c r="P4350" s="5" t="n"/>
      <c r="Q4350" s="5" t="n"/>
      <c r="R4350" s="4" t="n"/>
      <c r="S4350" s="4" t="n"/>
      <c r="T4350" s="5" t="n"/>
      <c r="U4350" s="8">
        <f>IF(AND(V4350=1,D4350&lt;&gt;""),IF(D4350&gt;=corte,TODAY()-D4350,""),"")</f>
        <v/>
      </c>
      <c r="V4350" s="8">
        <f>IF(D4350="",0,IF(OR(AND(P4350&lt;&gt;"",S4350=""),AND(N(J4350)&gt;0,N(K4350)&lt;J4350),OR(M4350="PENDENTE",M4350="PARCIAL"),OR(N4350="PENDENTE",N4350="PARCIAL")),1,0))</f>
        <v/>
      </c>
      <c r="W4350" s="8">
        <f>IF(AND(V4350=1,D4350&lt;&gt;""),IF(D4350&gt;=corte,(B4350="CRÍTICO")*1E9+(100000-D4350)*10000+10000-ROW(),""),"")</f>
        <v/>
      </c>
      <c r="X4350" s="8">
        <f>IF(AND(V4350=1,D4350=pas_data,E4350=pas_turno),10000-ROW(),"")</f>
        <v/>
      </c>
    </row>
    <row r="4351">
      <c r="A4351" s="3">
        <f>IF(D4351="","","TT-"&amp;TEXT(ROW()-1,"00000"))</f>
        <v/>
      </c>
      <c r="B4351" s="3">
        <f>IF(D4351="","",IF(V4351=0,"CONCLUÍDO",IF(D4351&lt;corte,"HISTÓRICO",IF(OR(AND(ISNUMBER(R4351),R4351&lt;TODAY()),AND(OR(N4351="PENDENTE",N4351="PARCIAL"),D4351&lt;TODAY()-1)),"CRÍTICO",IF(OR(AND(P4351&lt;&gt;"",S4351=""),AND(N4351="REALIZADO",M4351="PENDENTE"),AND(ISNUMBER(R4351),R4351=TODAY())),"ATENÇÃO",IF(N(K4351)=0,"PENDENTE","EM ANDAMENTO"))))))</f>
        <v/>
      </c>
      <c r="C4351" s="3">
        <f>IF(D4351="","",IF(V4351=0,"🟢 OK",IF(D4351&lt;corte,"⚪ HISTÓRICO (sem baixa)",IF(AND(ISNUMBER(R4351),R4351&lt;TODAY()),"🔴 PRAZO VENCIDO",IF(AND(OR(N4351="PENDENTE",N4351="PARCIAL"),D4351&lt;TODAY()-1),"🔴 EMBARQUE ATRASADO",IF(AND(N4351="REALIZADO",M4351="PENDENTE"),"🟡 EMBARCADO SEM FATURAR",IF(AND(P4351&lt;&gt;"",S4351="",OR(Q4351="",R4351="")),"🟡 PENDÊNCIA SEM RESPONSÁVEL/PRAZO",IF(AND(ISNUMBER(R4351),R4351=TODAY()),"🟡 VENCE HOJE",IF(AND(P4351&lt;&gt;"",S4351=""),"🟡 PENDÊNCIA ABERTA",IF(AND(N(J4351)&gt;0,N(K4351)&lt;J4351),"🟡 FALTA EXECUTAR",IF(OR(M4351="PENDENTE",M4351="PARCIAL"),"🟡 FATURAMENTO PENDENTE","🟡 EMBARQUE PENDENTE")))))))))))</f>
        <v/>
      </c>
      <c r="D4351" s="4" t="n"/>
      <c r="E4351" s="5" t="n"/>
      <c r="F4351" s="5" t="n"/>
      <c r="G4351" s="5" t="n"/>
      <c r="H4351" s="5" t="n"/>
      <c r="I4351" s="5" t="n"/>
      <c r="J4351" s="6" t="n"/>
      <c r="K4351" s="6" t="n"/>
      <c r="L4351" s="7">
        <f>IF(OR(D4351="",N(J4351)=0),"",MIN(1,N(K4351)/J4351))</f>
        <v/>
      </c>
      <c r="M4351" s="5" t="n"/>
      <c r="N4351" s="5" t="n"/>
      <c r="O4351" s="5" t="n"/>
      <c r="P4351" s="5" t="n"/>
      <c r="Q4351" s="5" t="n"/>
      <c r="R4351" s="4" t="n"/>
      <c r="S4351" s="4" t="n"/>
      <c r="T4351" s="5" t="n"/>
      <c r="U4351" s="8">
        <f>IF(AND(V4351=1,D4351&lt;&gt;""),IF(D4351&gt;=corte,TODAY()-D4351,""),"")</f>
        <v/>
      </c>
      <c r="V4351" s="8">
        <f>IF(D4351="",0,IF(OR(AND(P4351&lt;&gt;"",S4351=""),AND(N(J4351)&gt;0,N(K4351)&lt;J4351),OR(M4351="PENDENTE",M4351="PARCIAL"),OR(N4351="PENDENTE",N4351="PARCIAL")),1,0))</f>
        <v/>
      </c>
      <c r="W4351" s="8">
        <f>IF(AND(V4351=1,D4351&lt;&gt;""),IF(D4351&gt;=corte,(B4351="CRÍTICO")*1E9+(100000-D4351)*10000+10000-ROW(),""),"")</f>
        <v/>
      </c>
      <c r="X4351" s="8">
        <f>IF(AND(V4351=1,D4351=pas_data,E4351=pas_turno),10000-ROW(),"")</f>
        <v/>
      </c>
    </row>
    <row r="4352">
      <c r="A4352" s="3">
        <f>IF(D4352="","","TT-"&amp;TEXT(ROW()-1,"00000"))</f>
        <v/>
      </c>
      <c r="B4352" s="3">
        <f>IF(D4352="","",IF(V4352=0,"CONCLUÍDO",IF(D4352&lt;corte,"HISTÓRICO",IF(OR(AND(ISNUMBER(R4352),R4352&lt;TODAY()),AND(OR(N4352="PENDENTE",N4352="PARCIAL"),D4352&lt;TODAY()-1)),"CRÍTICO",IF(OR(AND(P4352&lt;&gt;"",S4352=""),AND(N4352="REALIZADO",M4352="PENDENTE"),AND(ISNUMBER(R4352),R4352=TODAY())),"ATENÇÃO",IF(N(K4352)=0,"PENDENTE","EM ANDAMENTO"))))))</f>
        <v/>
      </c>
      <c r="C4352" s="3">
        <f>IF(D4352="","",IF(V4352=0,"🟢 OK",IF(D4352&lt;corte,"⚪ HISTÓRICO (sem baixa)",IF(AND(ISNUMBER(R4352),R4352&lt;TODAY()),"🔴 PRAZO VENCIDO",IF(AND(OR(N4352="PENDENTE",N4352="PARCIAL"),D4352&lt;TODAY()-1),"🔴 EMBARQUE ATRASADO",IF(AND(N4352="REALIZADO",M4352="PENDENTE"),"🟡 EMBARCADO SEM FATURAR",IF(AND(P4352&lt;&gt;"",S4352="",OR(Q4352="",R4352="")),"🟡 PENDÊNCIA SEM RESPONSÁVEL/PRAZO",IF(AND(ISNUMBER(R4352),R4352=TODAY()),"🟡 VENCE HOJE",IF(AND(P4352&lt;&gt;"",S4352=""),"🟡 PENDÊNCIA ABERTA",IF(AND(N(J4352)&gt;0,N(K4352)&lt;J4352),"🟡 FALTA EXECUTAR",IF(OR(M4352="PENDENTE",M4352="PARCIAL"),"🟡 FATURAMENTO PENDENTE","🟡 EMBARQUE PENDENTE")))))))))))</f>
        <v/>
      </c>
      <c r="D4352" s="4" t="n"/>
      <c r="E4352" s="5" t="n"/>
      <c r="F4352" s="5" t="n"/>
      <c r="G4352" s="5" t="n"/>
      <c r="H4352" s="5" t="n"/>
      <c r="I4352" s="5" t="n"/>
      <c r="J4352" s="6" t="n"/>
      <c r="K4352" s="6" t="n"/>
      <c r="L4352" s="7">
        <f>IF(OR(D4352="",N(J4352)=0),"",MIN(1,N(K4352)/J4352))</f>
        <v/>
      </c>
      <c r="M4352" s="5" t="n"/>
      <c r="N4352" s="5" t="n"/>
      <c r="O4352" s="5" t="n"/>
      <c r="P4352" s="5" t="n"/>
      <c r="Q4352" s="5" t="n"/>
      <c r="R4352" s="4" t="n"/>
      <c r="S4352" s="4" t="n"/>
      <c r="T4352" s="5" t="n"/>
      <c r="U4352" s="8">
        <f>IF(AND(V4352=1,D4352&lt;&gt;""),IF(D4352&gt;=corte,TODAY()-D4352,""),"")</f>
        <v/>
      </c>
      <c r="V4352" s="8">
        <f>IF(D4352="",0,IF(OR(AND(P4352&lt;&gt;"",S4352=""),AND(N(J4352)&gt;0,N(K4352)&lt;J4352),OR(M4352="PENDENTE",M4352="PARCIAL"),OR(N4352="PENDENTE",N4352="PARCIAL")),1,0))</f>
        <v/>
      </c>
      <c r="W4352" s="8">
        <f>IF(AND(V4352=1,D4352&lt;&gt;""),IF(D4352&gt;=corte,(B4352="CRÍTICO")*1E9+(100000-D4352)*10000+10000-ROW(),""),"")</f>
        <v/>
      </c>
      <c r="X4352" s="8">
        <f>IF(AND(V4352=1,D4352=pas_data,E4352=pas_turno),10000-ROW(),"")</f>
        <v/>
      </c>
    </row>
    <row r="4353">
      <c r="A4353" s="3">
        <f>IF(D4353="","","TT-"&amp;TEXT(ROW()-1,"00000"))</f>
        <v/>
      </c>
      <c r="B4353" s="3">
        <f>IF(D4353="","",IF(V4353=0,"CONCLUÍDO",IF(D4353&lt;corte,"HISTÓRICO",IF(OR(AND(ISNUMBER(R4353),R4353&lt;TODAY()),AND(OR(N4353="PENDENTE",N4353="PARCIAL"),D4353&lt;TODAY()-1)),"CRÍTICO",IF(OR(AND(P4353&lt;&gt;"",S4353=""),AND(N4353="REALIZADO",M4353="PENDENTE"),AND(ISNUMBER(R4353),R4353=TODAY())),"ATENÇÃO",IF(N(K4353)=0,"PENDENTE","EM ANDAMENTO"))))))</f>
        <v/>
      </c>
      <c r="C4353" s="3">
        <f>IF(D4353="","",IF(V4353=0,"🟢 OK",IF(D4353&lt;corte,"⚪ HISTÓRICO (sem baixa)",IF(AND(ISNUMBER(R4353),R4353&lt;TODAY()),"🔴 PRAZO VENCIDO",IF(AND(OR(N4353="PENDENTE",N4353="PARCIAL"),D4353&lt;TODAY()-1),"🔴 EMBARQUE ATRASADO",IF(AND(N4353="REALIZADO",M4353="PENDENTE"),"🟡 EMBARCADO SEM FATURAR",IF(AND(P4353&lt;&gt;"",S4353="",OR(Q4353="",R4353="")),"🟡 PENDÊNCIA SEM RESPONSÁVEL/PRAZO",IF(AND(ISNUMBER(R4353),R4353=TODAY()),"🟡 VENCE HOJE",IF(AND(P4353&lt;&gt;"",S4353=""),"🟡 PENDÊNCIA ABERTA",IF(AND(N(J4353)&gt;0,N(K4353)&lt;J4353),"🟡 FALTA EXECUTAR",IF(OR(M4353="PENDENTE",M4353="PARCIAL"),"🟡 FATURAMENTO PENDENTE","🟡 EMBARQUE PENDENTE")))))))))))</f>
        <v/>
      </c>
      <c r="D4353" s="4" t="n"/>
      <c r="E4353" s="5" t="n"/>
      <c r="F4353" s="5" t="n"/>
      <c r="G4353" s="5" t="n"/>
      <c r="H4353" s="5" t="n"/>
      <c r="I4353" s="5" t="n"/>
      <c r="J4353" s="6" t="n"/>
      <c r="K4353" s="6" t="n"/>
      <c r="L4353" s="7">
        <f>IF(OR(D4353="",N(J4353)=0),"",MIN(1,N(K4353)/J4353))</f>
        <v/>
      </c>
      <c r="M4353" s="5" t="n"/>
      <c r="N4353" s="5" t="n"/>
      <c r="O4353" s="5" t="n"/>
      <c r="P4353" s="5" t="n"/>
      <c r="Q4353" s="5" t="n"/>
      <c r="R4353" s="4" t="n"/>
      <c r="S4353" s="4" t="n"/>
      <c r="T4353" s="5" t="n"/>
      <c r="U4353" s="8">
        <f>IF(AND(V4353=1,D4353&lt;&gt;""),IF(D4353&gt;=corte,TODAY()-D4353,""),"")</f>
        <v/>
      </c>
      <c r="V4353" s="8">
        <f>IF(D4353="",0,IF(OR(AND(P4353&lt;&gt;"",S4353=""),AND(N(J4353)&gt;0,N(K4353)&lt;J4353),OR(M4353="PENDENTE",M4353="PARCIAL"),OR(N4353="PENDENTE",N4353="PARCIAL")),1,0))</f>
        <v/>
      </c>
      <c r="W4353" s="8">
        <f>IF(AND(V4353=1,D4353&lt;&gt;""),IF(D4353&gt;=corte,(B4353="CRÍTICO")*1E9+(100000-D4353)*10000+10000-ROW(),""),"")</f>
        <v/>
      </c>
      <c r="X4353" s="8">
        <f>IF(AND(V4353=1,D4353=pas_data,E4353=pas_turno),10000-ROW(),"")</f>
        <v/>
      </c>
    </row>
    <row r="4354">
      <c r="A4354" s="3">
        <f>IF(D4354="","","TT-"&amp;TEXT(ROW()-1,"00000"))</f>
        <v/>
      </c>
      <c r="B4354" s="3">
        <f>IF(D4354="","",IF(V4354=0,"CONCLUÍDO",IF(D4354&lt;corte,"HISTÓRICO",IF(OR(AND(ISNUMBER(R4354),R4354&lt;TODAY()),AND(OR(N4354="PENDENTE",N4354="PARCIAL"),D4354&lt;TODAY()-1)),"CRÍTICO",IF(OR(AND(P4354&lt;&gt;"",S4354=""),AND(N4354="REALIZADO",M4354="PENDENTE"),AND(ISNUMBER(R4354),R4354=TODAY())),"ATENÇÃO",IF(N(K4354)=0,"PENDENTE","EM ANDAMENTO"))))))</f>
        <v/>
      </c>
      <c r="C4354" s="3">
        <f>IF(D4354="","",IF(V4354=0,"🟢 OK",IF(D4354&lt;corte,"⚪ HISTÓRICO (sem baixa)",IF(AND(ISNUMBER(R4354),R4354&lt;TODAY()),"🔴 PRAZO VENCIDO",IF(AND(OR(N4354="PENDENTE",N4354="PARCIAL"),D4354&lt;TODAY()-1),"🔴 EMBARQUE ATRASADO",IF(AND(N4354="REALIZADO",M4354="PENDENTE"),"🟡 EMBARCADO SEM FATURAR",IF(AND(P4354&lt;&gt;"",S4354="",OR(Q4354="",R4354="")),"🟡 PENDÊNCIA SEM RESPONSÁVEL/PRAZO",IF(AND(ISNUMBER(R4354),R4354=TODAY()),"🟡 VENCE HOJE",IF(AND(P4354&lt;&gt;"",S4354=""),"🟡 PENDÊNCIA ABERTA",IF(AND(N(J4354)&gt;0,N(K4354)&lt;J4354),"🟡 FALTA EXECUTAR",IF(OR(M4354="PENDENTE",M4354="PARCIAL"),"🟡 FATURAMENTO PENDENTE","🟡 EMBARQUE PENDENTE")))))))))))</f>
        <v/>
      </c>
      <c r="D4354" s="4" t="n"/>
      <c r="E4354" s="5" t="n"/>
      <c r="F4354" s="5" t="n"/>
      <c r="G4354" s="5" t="n"/>
      <c r="H4354" s="5" t="n"/>
      <c r="I4354" s="5" t="n"/>
      <c r="J4354" s="6" t="n"/>
      <c r="K4354" s="6" t="n"/>
      <c r="L4354" s="7">
        <f>IF(OR(D4354="",N(J4354)=0),"",MIN(1,N(K4354)/J4354))</f>
        <v/>
      </c>
      <c r="M4354" s="5" t="n"/>
      <c r="N4354" s="5" t="n"/>
      <c r="O4354" s="5" t="n"/>
      <c r="P4354" s="5" t="n"/>
      <c r="Q4354" s="5" t="n"/>
      <c r="R4354" s="4" t="n"/>
      <c r="S4354" s="4" t="n"/>
      <c r="T4354" s="5" t="n"/>
      <c r="U4354" s="8">
        <f>IF(AND(V4354=1,D4354&lt;&gt;""),IF(D4354&gt;=corte,TODAY()-D4354,""),"")</f>
        <v/>
      </c>
      <c r="V4354" s="8">
        <f>IF(D4354="",0,IF(OR(AND(P4354&lt;&gt;"",S4354=""),AND(N(J4354)&gt;0,N(K4354)&lt;J4354),OR(M4354="PENDENTE",M4354="PARCIAL"),OR(N4354="PENDENTE",N4354="PARCIAL")),1,0))</f>
        <v/>
      </c>
      <c r="W4354" s="8">
        <f>IF(AND(V4354=1,D4354&lt;&gt;""),IF(D4354&gt;=corte,(B4354="CRÍTICO")*1E9+(100000-D4354)*10000+10000-ROW(),""),"")</f>
        <v/>
      </c>
      <c r="X4354" s="8">
        <f>IF(AND(V4354=1,D4354=pas_data,E4354=pas_turno),10000-ROW(),"")</f>
        <v/>
      </c>
    </row>
    <row r="4355">
      <c r="A4355" s="3">
        <f>IF(D4355="","","TT-"&amp;TEXT(ROW()-1,"00000"))</f>
        <v/>
      </c>
      <c r="B4355" s="3">
        <f>IF(D4355="","",IF(V4355=0,"CONCLUÍDO",IF(D4355&lt;corte,"HISTÓRICO",IF(OR(AND(ISNUMBER(R4355),R4355&lt;TODAY()),AND(OR(N4355="PENDENTE",N4355="PARCIAL"),D4355&lt;TODAY()-1)),"CRÍTICO",IF(OR(AND(P4355&lt;&gt;"",S4355=""),AND(N4355="REALIZADO",M4355="PENDENTE"),AND(ISNUMBER(R4355),R4355=TODAY())),"ATENÇÃO",IF(N(K4355)=0,"PENDENTE","EM ANDAMENTO"))))))</f>
        <v/>
      </c>
      <c r="C4355" s="3">
        <f>IF(D4355="","",IF(V4355=0,"🟢 OK",IF(D4355&lt;corte,"⚪ HISTÓRICO (sem baixa)",IF(AND(ISNUMBER(R4355),R4355&lt;TODAY()),"🔴 PRAZO VENCIDO",IF(AND(OR(N4355="PENDENTE",N4355="PARCIAL"),D4355&lt;TODAY()-1),"🔴 EMBARQUE ATRASADO",IF(AND(N4355="REALIZADO",M4355="PENDENTE"),"🟡 EMBARCADO SEM FATURAR",IF(AND(P4355&lt;&gt;"",S4355="",OR(Q4355="",R4355="")),"🟡 PENDÊNCIA SEM RESPONSÁVEL/PRAZO",IF(AND(ISNUMBER(R4355),R4355=TODAY()),"🟡 VENCE HOJE",IF(AND(P4355&lt;&gt;"",S4355=""),"🟡 PENDÊNCIA ABERTA",IF(AND(N(J4355)&gt;0,N(K4355)&lt;J4355),"🟡 FALTA EXECUTAR",IF(OR(M4355="PENDENTE",M4355="PARCIAL"),"🟡 FATURAMENTO PENDENTE","🟡 EMBARQUE PENDENTE")))))))))))</f>
        <v/>
      </c>
      <c r="D4355" s="4" t="n"/>
      <c r="E4355" s="5" t="n"/>
      <c r="F4355" s="5" t="n"/>
      <c r="G4355" s="5" t="n"/>
      <c r="H4355" s="5" t="n"/>
      <c r="I4355" s="5" t="n"/>
      <c r="J4355" s="6" t="n"/>
      <c r="K4355" s="6" t="n"/>
      <c r="L4355" s="7">
        <f>IF(OR(D4355="",N(J4355)=0),"",MIN(1,N(K4355)/J4355))</f>
        <v/>
      </c>
      <c r="M4355" s="5" t="n"/>
      <c r="N4355" s="5" t="n"/>
      <c r="O4355" s="5" t="n"/>
      <c r="P4355" s="5" t="n"/>
      <c r="Q4355" s="5" t="n"/>
      <c r="R4355" s="4" t="n"/>
      <c r="S4355" s="4" t="n"/>
      <c r="T4355" s="5" t="n"/>
      <c r="U4355" s="8">
        <f>IF(AND(V4355=1,D4355&lt;&gt;""),IF(D4355&gt;=corte,TODAY()-D4355,""),"")</f>
        <v/>
      </c>
      <c r="V4355" s="8">
        <f>IF(D4355="",0,IF(OR(AND(P4355&lt;&gt;"",S4355=""),AND(N(J4355)&gt;0,N(K4355)&lt;J4355),OR(M4355="PENDENTE",M4355="PARCIAL"),OR(N4355="PENDENTE",N4355="PARCIAL")),1,0))</f>
        <v/>
      </c>
      <c r="W4355" s="8">
        <f>IF(AND(V4355=1,D4355&lt;&gt;""),IF(D4355&gt;=corte,(B4355="CRÍTICO")*1E9+(100000-D4355)*10000+10000-ROW(),""),"")</f>
        <v/>
      </c>
      <c r="X4355" s="8">
        <f>IF(AND(V4355=1,D4355=pas_data,E4355=pas_turno),10000-ROW(),"")</f>
        <v/>
      </c>
    </row>
    <row r="4356">
      <c r="A4356" s="3">
        <f>IF(D4356="","","TT-"&amp;TEXT(ROW()-1,"00000"))</f>
        <v/>
      </c>
      <c r="B4356" s="3">
        <f>IF(D4356="","",IF(V4356=0,"CONCLUÍDO",IF(D4356&lt;corte,"HISTÓRICO",IF(OR(AND(ISNUMBER(R4356),R4356&lt;TODAY()),AND(OR(N4356="PENDENTE",N4356="PARCIAL"),D4356&lt;TODAY()-1)),"CRÍTICO",IF(OR(AND(P4356&lt;&gt;"",S4356=""),AND(N4356="REALIZADO",M4356="PENDENTE"),AND(ISNUMBER(R4356),R4356=TODAY())),"ATENÇÃO",IF(N(K4356)=0,"PENDENTE","EM ANDAMENTO"))))))</f>
        <v/>
      </c>
      <c r="C4356" s="3">
        <f>IF(D4356="","",IF(V4356=0,"🟢 OK",IF(D4356&lt;corte,"⚪ HISTÓRICO (sem baixa)",IF(AND(ISNUMBER(R4356),R4356&lt;TODAY()),"🔴 PRAZO VENCIDO",IF(AND(OR(N4356="PENDENTE",N4356="PARCIAL"),D4356&lt;TODAY()-1),"🔴 EMBARQUE ATRASADO",IF(AND(N4356="REALIZADO",M4356="PENDENTE"),"🟡 EMBARCADO SEM FATURAR",IF(AND(P4356&lt;&gt;"",S4356="",OR(Q4356="",R4356="")),"🟡 PENDÊNCIA SEM RESPONSÁVEL/PRAZO",IF(AND(ISNUMBER(R4356),R4356=TODAY()),"🟡 VENCE HOJE",IF(AND(P4356&lt;&gt;"",S4356=""),"🟡 PENDÊNCIA ABERTA",IF(AND(N(J4356)&gt;0,N(K4356)&lt;J4356),"🟡 FALTA EXECUTAR",IF(OR(M4356="PENDENTE",M4356="PARCIAL"),"🟡 FATURAMENTO PENDENTE","🟡 EMBARQUE PENDENTE")))))))))))</f>
        <v/>
      </c>
      <c r="D4356" s="4" t="n"/>
      <c r="E4356" s="5" t="n"/>
      <c r="F4356" s="5" t="n"/>
      <c r="G4356" s="5" t="n"/>
      <c r="H4356" s="5" t="n"/>
      <c r="I4356" s="5" t="n"/>
      <c r="J4356" s="6" t="n"/>
      <c r="K4356" s="6" t="n"/>
      <c r="L4356" s="7">
        <f>IF(OR(D4356="",N(J4356)=0),"",MIN(1,N(K4356)/J4356))</f>
        <v/>
      </c>
      <c r="M4356" s="5" t="n"/>
      <c r="N4356" s="5" t="n"/>
      <c r="O4356" s="5" t="n"/>
      <c r="P4356" s="5" t="n"/>
      <c r="Q4356" s="5" t="n"/>
      <c r="R4356" s="4" t="n"/>
      <c r="S4356" s="4" t="n"/>
      <c r="T4356" s="5" t="n"/>
      <c r="U4356" s="8">
        <f>IF(AND(V4356=1,D4356&lt;&gt;""),IF(D4356&gt;=corte,TODAY()-D4356,""),"")</f>
        <v/>
      </c>
      <c r="V4356" s="8">
        <f>IF(D4356="",0,IF(OR(AND(P4356&lt;&gt;"",S4356=""),AND(N(J4356)&gt;0,N(K4356)&lt;J4356),OR(M4356="PENDENTE",M4356="PARCIAL"),OR(N4356="PENDENTE",N4356="PARCIAL")),1,0))</f>
        <v/>
      </c>
      <c r="W4356" s="8">
        <f>IF(AND(V4356=1,D4356&lt;&gt;""),IF(D4356&gt;=corte,(B4356="CRÍTICO")*1E9+(100000-D4356)*10000+10000-ROW(),""),"")</f>
        <v/>
      </c>
      <c r="X4356" s="8">
        <f>IF(AND(V4356=1,D4356=pas_data,E4356=pas_turno),10000-ROW(),"")</f>
        <v/>
      </c>
    </row>
    <row r="4357">
      <c r="A4357" s="3">
        <f>IF(D4357="","","TT-"&amp;TEXT(ROW()-1,"00000"))</f>
        <v/>
      </c>
      <c r="B4357" s="3">
        <f>IF(D4357="","",IF(V4357=0,"CONCLUÍDO",IF(D4357&lt;corte,"HISTÓRICO",IF(OR(AND(ISNUMBER(R4357),R4357&lt;TODAY()),AND(OR(N4357="PENDENTE",N4357="PARCIAL"),D4357&lt;TODAY()-1)),"CRÍTICO",IF(OR(AND(P4357&lt;&gt;"",S4357=""),AND(N4357="REALIZADO",M4357="PENDENTE"),AND(ISNUMBER(R4357),R4357=TODAY())),"ATENÇÃO",IF(N(K4357)=0,"PENDENTE","EM ANDAMENTO"))))))</f>
        <v/>
      </c>
      <c r="C4357" s="3">
        <f>IF(D4357="","",IF(V4357=0,"🟢 OK",IF(D4357&lt;corte,"⚪ HISTÓRICO (sem baixa)",IF(AND(ISNUMBER(R4357),R4357&lt;TODAY()),"🔴 PRAZO VENCIDO",IF(AND(OR(N4357="PENDENTE",N4357="PARCIAL"),D4357&lt;TODAY()-1),"🔴 EMBARQUE ATRASADO",IF(AND(N4357="REALIZADO",M4357="PENDENTE"),"🟡 EMBARCADO SEM FATURAR",IF(AND(P4357&lt;&gt;"",S4357="",OR(Q4357="",R4357="")),"🟡 PENDÊNCIA SEM RESPONSÁVEL/PRAZO",IF(AND(ISNUMBER(R4357),R4357=TODAY()),"🟡 VENCE HOJE",IF(AND(P4357&lt;&gt;"",S4357=""),"🟡 PENDÊNCIA ABERTA",IF(AND(N(J4357)&gt;0,N(K4357)&lt;J4357),"🟡 FALTA EXECUTAR",IF(OR(M4357="PENDENTE",M4357="PARCIAL"),"🟡 FATURAMENTO PENDENTE","🟡 EMBARQUE PENDENTE")))))))))))</f>
        <v/>
      </c>
      <c r="D4357" s="4" t="n"/>
      <c r="E4357" s="5" t="n"/>
      <c r="F4357" s="5" t="n"/>
      <c r="G4357" s="5" t="n"/>
      <c r="H4357" s="5" t="n"/>
      <c r="I4357" s="5" t="n"/>
      <c r="J4357" s="6" t="n"/>
      <c r="K4357" s="6" t="n"/>
      <c r="L4357" s="7">
        <f>IF(OR(D4357="",N(J4357)=0),"",MIN(1,N(K4357)/J4357))</f>
        <v/>
      </c>
      <c r="M4357" s="5" t="n"/>
      <c r="N4357" s="5" t="n"/>
      <c r="O4357" s="5" t="n"/>
      <c r="P4357" s="5" t="n"/>
      <c r="Q4357" s="5" t="n"/>
      <c r="R4357" s="4" t="n"/>
      <c r="S4357" s="4" t="n"/>
      <c r="T4357" s="5" t="n"/>
      <c r="U4357" s="8">
        <f>IF(AND(V4357=1,D4357&lt;&gt;""),IF(D4357&gt;=corte,TODAY()-D4357,""),"")</f>
        <v/>
      </c>
      <c r="V4357" s="8">
        <f>IF(D4357="",0,IF(OR(AND(P4357&lt;&gt;"",S4357=""),AND(N(J4357)&gt;0,N(K4357)&lt;J4357),OR(M4357="PENDENTE",M4357="PARCIAL"),OR(N4357="PENDENTE",N4357="PARCIAL")),1,0))</f>
        <v/>
      </c>
      <c r="W4357" s="8">
        <f>IF(AND(V4357=1,D4357&lt;&gt;""),IF(D4357&gt;=corte,(B4357="CRÍTICO")*1E9+(100000-D4357)*10000+10000-ROW(),""),"")</f>
        <v/>
      </c>
      <c r="X4357" s="8">
        <f>IF(AND(V4357=1,D4357=pas_data,E4357=pas_turno),10000-ROW(),"")</f>
        <v/>
      </c>
    </row>
    <row r="4358">
      <c r="A4358" s="3">
        <f>IF(D4358="","","TT-"&amp;TEXT(ROW()-1,"00000"))</f>
        <v/>
      </c>
      <c r="B4358" s="3">
        <f>IF(D4358="","",IF(V4358=0,"CONCLUÍDO",IF(D4358&lt;corte,"HISTÓRICO",IF(OR(AND(ISNUMBER(R4358),R4358&lt;TODAY()),AND(OR(N4358="PENDENTE",N4358="PARCIAL"),D4358&lt;TODAY()-1)),"CRÍTICO",IF(OR(AND(P4358&lt;&gt;"",S4358=""),AND(N4358="REALIZADO",M4358="PENDENTE"),AND(ISNUMBER(R4358),R4358=TODAY())),"ATENÇÃO",IF(N(K4358)=0,"PENDENTE","EM ANDAMENTO"))))))</f>
        <v/>
      </c>
      <c r="C4358" s="3">
        <f>IF(D4358="","",IF(V4358=0,"🟢 OK",IF(D4358&lt;corte,"⚪ HISTÓRICO (sem baixa)",IF(AND(ISNUMBER(R4358),R4358&lt;TODAY()),"🔴 PRAZO VENCIDO",IF(AND(OR(N4358="PENDENTE",N4358="PARCIAL"),D4358&lt;TODAY()-1),"🔴 EMBARQUE ATRASADO",IF(AND(N4358="REALIZADO",M4358="PENDENTE"),"🟡 EMBARCADO SEM FATURAR",IF(AND(P4358&lt;&gt;"",S4358="",OR(Q4358="",R4358="")),"🟡 PENDÊNCIA SEM RESPONSÁVEL/PRAZO",IF(AND(ISNUMBER(R4358),R4358=TODAY()),"🟡 VENCE HOJE",IF(AND(P4358&lt;&gt;"",S4358=""),"🟡 PENDÊNCIA ABERTA",IF(AND(N(J4358)&gt;0,N(K4358)&lt;J4358),"🟡 FALTA EXECUTAR",IF(OR(M4358="PENDENTE",M4358="PARCIAL"),"🟡 FATURAMENTO PENDENTE","🟡 EMBARQUE PENDENTE")))))))))))</f>
        <v/>
      </c>
      <c r="D4358" s="4" t="n"/>
      <c r="E4358" s="5" t="n"/>
      <c r="F4358" s="5" t="n"/>
      <c r="G4358" s="5" t="n"/>
      <c r="H4358" s="5" t="n"/>
      <c r="I4358" s="5" t="n"/>
      <c r="J4358" s="6" t="n"/>
      <c r="K4358" s="6" t="n"/>
      <c r="L4358" s="7">
        <f>IF(OR(D4358="",N(J4358)=0),"",MIN(1,N(K4358)/J4358))</f>
        <v/>
      </c>
      <c r="M4358" s="5" t="n"/>
      <c r="N4358" s="5" t="n"/>
      <c r="O4358" s="5" t="n"/>
      <c r="P4358" s="5" t="n"/>
      <c r="Q4358" s="5" t="n"/>
      <c r="R4358" s="4" t="n"/>
      <c r="S4358" s="4" t="n"/>
      <c r="T4358" s="5" t="n"/>
      <c r="U4358" s="8">
        <f>IF(AND(V4358=1,D4358&lt;&gt;""),IF(D4358&gt;=corte,TODAY()-D4358,""),"")</f>
        <v/>
      </c>
      <c r="V4358" s="8">
        <f>IF(D4358="",0,IF(OR(AND(P4358&lt;&gt;"",S4358=""),AND(N(J4358)&gt;0,N(K4358)&lt;J4358),OR(M4358="PENDENTE",M4358="PARCIAL"),OR(N4358="PENDENTE",N4358="PARCIAL")),1,0))</f>
        <v/>
      </c>
      <c r="W4358" s="8">
        <f>IF(AND(V4358=1,D4358&lt;&gt;""),IF(D4358&gt;=corte,(B4358="CRÍTICO")*1E9+(100000-D4358)*10000+10000-ROW(),""),"")</f>
        <v/>
      </c>
      <c r="X4358" s="8">
        <f>IF(AND(V4358=1,D4358=pas_data,E4358=pas_turno),10000-ROW(),"")</f>
        <v/>
      </c>
    </row>
    <row r="4359">
      <c r="A4359" s="3">
        <f>IF(D4359="","","TT-"&amp;TEXT(ROW()-1,"00000"))</f>
        <v/>
      </c>
      <c r="B4359" s="3">
        <f>IF(D4359="","",IF(V4359=0,"CONCLUÍDO",IF(D4359&lt;corte,"HISTÓRICO",IF(OR(AND(ISNUMBER(R4359),R4359&lt;TODAY()),AND(OR(N4359="PENDENTE",N4359="PARCIAL"),D4359&lt;TODAY()-1)),"CRÍTICO",IF(OR(AND(P4359&lt;&gt;"",S4359=""),AND(N4359="REALIZADO",M4359="PENDENTE"),AND(ISNUMBER(R4359),R4359=TODAY())),"ATENÇÃO",IF(N(K4359)=0,"PENDENTE","EM ANDAMENTO"))))))</f>
        <v/>
      </c>
      <c r="C4359" s="3">
        <f>IF(D4359="","",IF(V4359=0,"🟢 OK",IF(D4359&lt;corte,"⚪ HISTÓRICO (sem baixa)",IF(AND(ISNUMBER(R4359),R4359&lt;TODAY()),"🔴 PRAZO VENCIDO",IF(AND(OR(N4359="PENDENTE",N4359="PARCIAL"),D4359&lt;TODAY()-1),"🔴 EMBARQUE ATRASADO",IF(AND(N4359="REALIZADO",M4359="PENDENTE"),"🟡 EMBARCADO SEM FATURAR",IF(AND(P4359&lt;&gt;"",S4359="",OR(Q4359="",R4359="")),"🟡 PENDÊNCIA SEM RESPONSÁVEL/PRAZO",IF(AND(ISNUMBER(R4359),R4359=TODAY()),"🟡 VENCE HOJE",IF(AND(P4359&lt;&gt;"",S4359=""),"🟡 PENDÊNCIA ABERTA",IF(AND(N(J4359)&gt;0,N(K4359)&lt;J4359),"🟡 FALTA EXECUTAR",IF(OR(M4359="PENDENTE",M4359="PARCIAL"),"🟡 FATURAMENTO PENDENTE","🟡 EMBARQUE PENDENTE")))))))))))</f>
        <v/>
      </c>
      <c r="D4359" s="4" t="n"/>
      <c r="E4359" s="5" t="n"/>
      <c r="F4359" s="5" t="n"/>
      <c r="G4359" s="5" t="n"/>
      <c r="H4359" s="5" t="n"/>
      <c r="I4359" s="5" t="n"/>
      <c r="J4359" s="6" t="n"/>
      <c r="K4359" s="6" t="n"/>
      <c r="L4359" s="7">
        <f>IF(OR(D4359="",N(J4359)=0),"",MIN(1,N(K4359)/J4359))</f>
        <v/>
      </c>
      <c r="M4359" s="5" t="n"/>
      <c r="N4359" s="5" t="n"/>
      <c r="O4359" s="5" t="n"/>
      <c r="P4359" s="5" t="n"/>
      <c r="Q4359" s="5" t="n"/>
      <c r="R4359" s="4" t="n"/>
      <c r="S4359" s="4" t="n"/>
      <c r="T4359" s="5" t="n"/>
      <c r="U4359" s="8">
        <f>IF(AND(V4359=1,D4359&lt;&gt;""),IF(D4359&gt;=corte,TODAY()-D4359,""),"")</f>
        <v/>
      </c>
      <c r="V4359" s="8">
        <f>IF(D4359="",0,IF(OR(AND(P4359&lt;&gt;"",S4359=""),AND(N(J4359)&gt;0,N(K4359)&lt;J4359),OR(M4359="PENDENTE",M4359="PARCIAL"),OR(N4359="PENDENTE",N4359="PARCIAL")),1,0))</f>
        <v/>
      </c>
      <c r="W4359" s="8">
        <f>IF(AND(V4359=1,D4359&lt;&gt;""),IF(D4359&gt;=corte,(B4359="CRÍTICO")*1E9+(100000-D4359)*10000+10000-ROW(),""),"")</f>
        <v/>
      </c>
      <c r="X4359" s="8">
        <f>IF(AND(V4359=1,D4359=pas_data,E4359=pas_turno),10000-ROW(),"")</f>
        <v/>
      </c>
    </row>
    <row r="4360">
      <c r="A4360" s="3">
        <f>IF(D4360="","","TT-"&amp;TEXT(ROW()-1,"00000"))</f>
        <v/>
      </c>
      <c r="B4360" s="3">
        <f>IF(D4360="","",IF(V4360=0,"CONCLUÍDO",IF(D4360&lt;corte,"HISTÓRICO",IF(OR(AND(ISNUMBER(R4360),R4360&lt;TODAY()),AND(OR(N4360="PENDENTE",N4360="PARCIAL"),D4360&lt;TODAY()-1)),"CRÍTICO",IF(OR(AND(P4360&lt;&gt;"",S4360=""),AND(N4360="REALIZADO",M4360="PENDENTE"),AND(ISNUMBER(R4360),R4360=TODAY())),"ATENÇÃO",IF(N(K4360)=0,"PENDENTE","EM ANDAMENTO"))))))</f>
        <v/>
      </c>
      <c r="C4360" s="3">
        <f>IF(D4360="","",IF(V4360=0,"🟢 OK",IF(D4360&lt;corte,"⚪ HISTÓRICO (sem baixa)",IF(AND(ISNUMBER(R4360),R4360&lt;TODAY()),"🔴 PRAZO VENCIDO",IF(AND(OR(N4360="PENDENTE",N4360="PARCIAL"),D4360&lt;TODAY()-1),"🔴 EMBARQUE ATRASADO",IF(AND(N4360="REALIZADO",M4360="PENDENTE"),"🟡 EMBARCADO SEM FATURAR",IF(AND(P4360&lt;&gt;"",S4360="",OR(Q4360="",R4360="")),"🟡 PENDÊNCIA SEM RESPONSÁVEL/PRAZO",IF(AND(ISNUMBER(R4360),R4360=TODAY()),"🟡 VENCE HOJE",IF(AND(P4360&lt;&gt;"",S4360=""),"🟡 PENDÊNCIA ABERTA",IF(AND(N(J4360)&gt;0,N(K4360)&lt;J4360),"🟡 FALTA EXECUTAR",IF(OR(M4360="PENDENTE",M4360="PARCIAL"),"🟡 FATURAMENTO PENDENTE","🟡 EMBARQUE PENDENTE")))))))))))</f>
        <v/>
      </c>
      <c r="D4360" s="4" t="n"/>
      <c r="E4360" s="5" t="n"/>
      <c r="F4360" s="5" t="n"/>
      <c r="G4360" s="5" t="n"/>
      <c r="H4360" s="5" t="n"/>
      <c r="I4360" s="5" t="n"/>
      <c r="J4360" s="6" t="n"/>
      <c r="K4360" s="6" t="n"/>
      <c r="L4360" s="7">
        <f>IF(OR(D4360="",N(J4360)=0),"",MIN(1,N(K4360)/J4360))</f>
        <v/>
      </c>
      <c r="M4360" s="5" t="n"/>
      <c r="N4360" s="5" t="n"/>
      <c r="O4360" s="5" t="n"/>
      <c r="P4360" s="5" t="n"/>
      <c r="Q4360" s="5" t="n"/>
      <c r="R4360" s="4" t="n"/>
      <c r="S4360" s="4" t="n"/>
      <c r="T4360" s="5" t="n"/>
      <c r="U4360" s="8">
        <f>IF(AND(V4360=1,D4360&lt;&gt;""),IF(D4360&gt;=corte,TODAY()-D4360,""),"")</f>
        <v/>
      </c>
      <c r="V4360" s="8">
        <f>IF(D4360="",0,IF(OR(AND(P4360&lt;&gt;"",S4360=""),AND(N(J4360)&gt;0,N(K4360)&lt;J4360),OR(M4360="PENDENTE",M4360="PARCIAL"),OR(N4360="PENDENTE",N4360="PARCIAL")),1,0))</f>
        <v/>
      </c>
      <c r="W4360" s="8">
        <f>IF(AND(V4360=1,D4360&lt;&gt;""),IF(D4360&gt;=corte,(B4360="CRÍTICO")*1E9+(100000-D4360)*10000+10000-ROW(),""),"")</f>
        <v/>
      </c>
      <c r="X4360" s="8">
        <f>IF(AND(V4360=1,D4360=pas_data,E4360=pas_turno),10000-ROW(),"")</f>
        <v/>
      </c>
    </row>
    <row r="4361">
      <c r="A4361" s="3">
        <f>IF(D4361="","","TT-"&amp;TEXT(ROW()-1,"00000"))</f>
        <v/>
      </c>
      <c r="B4361" s="3">
        <f>IF(D4361="","",IF(V4361=0,"CONCLUÍDO",IF(D4361&lt;corte,"HISTÓRICO",IF(OR(AND(ISNUMBER(R4361),R4361&lt;TODAY()),AND(OR(N4361="PENDENTE",N4361="PARCIAL"),D4361&lt;TODAY()-1)),"CRÍTICO",IF(OR(AND(P4361&lt;&gt;"",S4361=""),AND(N4361="REALIZADO",M4361="PENDENTE"),AND(ISNUMBER(R4361),R4361=TODAY())),"ATENÇÃO",IF(N(K4361)=0,"PENDENTE","EM ANDAMENTO"))))))</f>
        <v/>
      </c>
      <c r="C4361" s="3">
        <f>IF(D4361="","",IF(V4361=0,"🟢 OK",IF(D4361&lt;corte,"⚪ HISTÓRICO (sem baixa)",IF(AND(ISNUMBER(R4361),R4361&lt;TODAY()),"🔴 PRAZO VENCIDO",IF(AND(OR(N4361="PENDENTE",N4361="PARCIAL"),D4361&lt;TODAY()-1),"🔴 EMBARQUE ATRASADO",IF(AND(N4361="REALIZADO",M4361="PENDENTE"),"🟡 EMBARCADO SEM FATURAR",IF(AND(P4361&lt;&gt;"",S4361="",OR(Q4361="",R4361="")),"🟡 PENDÊNCIA SEM RESPONSÁVEL/PRAZO",IF(AND(ISNUMBER(R4361),R4361=TODAY()),"🟡 VENCE HOJE",IF(AND(P4361&lt;&gt;"",S4361=""),"🟡 PENDÊNCIA ABERTA",IF(AND(N(J4361)&gt;0,N(K4361)&lt;J4361),"🟡 FALTA EXECUTAR",IF(OR(M4361="PENDENTE",M4361="PARCIAL"),"🟡 FATURAMENTO PENDENTE","🟡 EMBARQUE PENDENTE")))))))))))</f>
        <v/>
      </c>
      <c r="D4361" s="4" t="n"/>
      <c r="E4361" s="5" t="n"/>
      <c r="F4361" s="5" t="n"/>
      <c r="G4361" s="5" t="n"/>
      <c r="H4361" s="5" t="n"/>
      <c r="I4361" s="5" t="n"/>
      <c r="J4361" s="6" t="n"/>
      <c r="K4361" s="6" t="n"/>
      <c r="L4361" s="7">
        <f>IF(OR(D4361="",N(J4361)=0),"",MIN(1,N(K4361)/J4361))</f>
        <v/>
      </c>
      <c r="M4361" s="5" t="n"/>
      <c r="N4361" s="5" t="n"/>
      <c r="O4361" s="5" t="n"/>
      <c r="P4361" s="5" t="n"/>
      <c r="Q4361" s="5" t="n"/>
      <c r="R4361" s="4" t="n"/>
      <c r="S4361" s="4" t="n"/>
      <c r="T4361" s="5" t="n"/>
      <c r="U4361" s="8">
        <f>IF(AND(V4361=1,D4361&lt;&gt;""),IF(D4361&gt;=corte,TODAY()-D4361,""),"")</f>
        <v/>
      </c>
      <c r="V4361" s="8">
        <f>IF(D4361="",0,IF(OR(AND(P4361&lt;&gt;"",S4361=""),AND(N(J4361)&gt;0,N(K4361)&lt;J4361),OR(M4361="PENDENTE",M4361="PARCIAL"),OR(N4361="PENDENTE",N4361="PARCIAL")),1,0))</f>
        <v/>
      </c>
      <c r="W4361" s="8">
        <f>IF(AND(V4361=1,D4361&lt;&gt;""),IF(D4361&gt;=corte,(B4361="CRÍTICO")*1E9+(100000-D4361)*10000+10000-ROW(),""),"")</f>
        <v/>
      </c>
      <c r="X4361" s="8">
        <f>IF(AND(V4361=1,D4361=pas_data,E4361=pas_turno),10000-ROW(),"")</f>
        <v/>
      </c>
    </row>
    <row r="4362">
      <c r="A4362" s="3">
        <f>IF(D4362="","","TT-"&amp;TEXT(ROW()-1,"00000"))</f>
        <v/>
      </c>
      <c r="B4362" s="3">
        <f>IF(D4362="","",IF(V4362=0,"CONCLUÍDO",IF(D4362&lt;corte,"HISTÓRICO",IF(OR(AND(ISNUMBER(R4362),R4362&lt;TODAY()),AND(OR(N4362="PENDENTE",N4362="PARCIAL"),D4362&lt;TODAY()-1)),"CRÍTICO",IF(OR(AND(P4362&lt;&gt;"",S4362=""),AND(N4362="REALIZADO",M4362="PENDENTE"),AND(ISNUMBER(R4362),R4362=TODAY())),"ATENÇÃO",IF(N(K4362)=0,"PENDENTE","EM ANDAMENTO"))))))</f>
        <v/>
      </c>
      <c r="C4362" s="3">
        <f>IF(D4362="","",IF(V4362=0,"🟢 OK",IF(D4362&lt;corte,"⚪ HISTÓRICO (sem baixa)",IF(AND(ISNUMBER(R4362),R4362&lt;TODAY()),"🔴 PRAZO VENCIDO",IF(AND(OR(N4362="PENDENTE",N4362="PARCIAL"),D4362&lt;TODAY()-1),"🔴 EMBARQUE ATRASADO",IF(AND(N4362="REALIZADO",M4362="PENDENTE"),"🟡 EMBARCADO SEM FATURAR",IF(AND(P4362&lt;&gt;"",S4362="",OR(Q4362="",R4362="")),"🟡 PENDÊNCIA SEM RESPONSÁVEL/PRAZO",IF(AND(ISNUMBER(R4362),R4362=TODAY()),"🟡 VENCE HOJE",IF(AND(P4362&lt;&gt;"",S4362=""),"🟡 PENDÊNCIA ABERTA",IF(AND(N(J4362)&gt;0,N(K4362)&lt;J4362),"🟡 FALTA EXECUTAR",IF(OR(M4362="PENDENTE",M4362="PARCIAL"),"🟡 FATURAMENTO PENDENTE","🟡 EMBARQUE PENDENTE")))))))))))</f>
        <v/>
      </c>
      <c r="D4362" s="4" t="n"/>
      <c r="E4362" s="5" t="n"/>
      <c r="F4362" s="5" t="n"/>
      <c r="G4362" s="5" t="n"/>
      <c r="H4362" s="5" t="n"/>
      <c r="I4362" s="5" t="n"/>
      <c r="J4362" s="6" t="n"/>
      <c r="K4362" s="6" t="n"/>
      <c r="L4362" s="7">
        <f>IF(OR(D4362="",N(J4362)=0),"",MIN(1,N(K4362)/J4362))</f>
        <v/>
      </c>
      <c r="M4362" s="5" t="n"/>
      <c r="N4362" s="5" t="n"/>
      <c r="O4362" s="5" t="n"/>
      <c r="P4362" s="5" t="n"/>
      <c r="Q4362" s="5" t="n"/>
      <c r="R4362" s="4" t="n"/>
      <c r="S4362" s="4" t="n"/>
      <c r="T4362" s="5" t="n"/>
      <c r="U4362" s="8">
        <f>IF(AND(V4362=1,D4362&lt;&gt;""),IF(D4362&gt;=corte,TODAY()-D4362,""),"")</f>
        <v/>
      </c>
      <c r="V4362" s="8">
        <f>IF(D4362="",0,IF(OR(AND(P4362&lt;&gt;"",S4362=""),AND(N(J4362)&gt;0,N(K4362)&lt;J4362),OR(M4362="PENDENTE",M4362="PARCIAL"),OR(N4362="PENDENTE",N4362="PARCIAL")),1,0))</f>
        <v/>
      </c>
      <c r="W4362" s="8">
        <f>IF(AND(V4362=1,D4362&lt;&gt;""),IF(D4362&gt;=corte,(B4362="CRÍTICO")*1E9+(100000-D4362)*10000+10000-ROW(),""),"")</f>
        <v/>
      </c>
      <c r="X4362" s="8">
        <f>IF(AND(V4362=1,D4362=pas_data,E4362=pas_turno),10000-ROW(),"")</f>
        <v/>
      </c>
    </row>
    <row r="4363">
      <c r="A4363" s="3">
        <f>IF(D4363="","","TT-"&amp;TEXT(ROW()-1,"00000"))</f>
        <v/>
      </c>
      <c r="B4363" s="3">
        <f>IF(D4363="","",IF(V4363=0,"CONCLUÍDO",IF(D4363&lt;corte,"HISTÓRICO",IF(OR(AND(ISNUMBER(R4363),R4363&lt;TODAY()),AND(OR(N4363="PENDENTE",N4363="PARCIAL"),D4363&lt;TODAY()-1)),"CRÍTICO",IF(OR(AND(P4363&lt;&gt;"",S4363=""),AND(N4363="REALIZADO",M4363="PENDENTE"),AND(ISNUMBER(R4363),R4363=TODAY())),"ATENÇÃO",IF(N(K4363)=0,"PENDENTE","EM ANDAMENTO"))))))</f>
        <v/>
      </c>
      <c r="C4363" s="3">
        <f>IF(D4363="","",IF(V4363=0,"🟢 OK",IF(D4363&lt;corte,"⚪ HISTÓRICO (sem baixa)",IF(AND(ISNUMBER(R4363),R4363&lt;TODAY()),"🔴 PRAZO VENCIDO",IF(AND(OR(N4363="PENDENTE",N4363="PARCIAL"),D4363&lt;TODAY()-1),"🔴 EMBARQUE ATRASADO",IF(AND(N4363="REALIZADO",M4363="PENDENTE"),"🟡 EMBARCADO SEM FATURAR",IF(AND(P4363&lt;&gt;"",S4363="",OR(Q4363="",R4363="")),"🟡 PENDÊNCIA SEM RESPONSÁVEL/PRAZO",IF(AND(ISNUMBER(R4363),R4363=TODAY()),"🟡 VENCE HOJE",IF(AND(P4363&lt;&gt;"",S4363=""),"🟡 PENDÊNCIA ABERTA",IF(AND(N(J4363)&gt;0,N(K4363)&lt;J4363),"🟡 FALTA EXECUTAR",IF(OR(M4363="PENDENTE",M4363="PARCIAL"),"🟡 FATURAMENTO PENDENTE","🟡 EMBARQUE PENDENTE")))))))))))</f>
        <v/>
      </c>
      <c r="D4363" s="4" t="n"/>
      <c r="E4363" s="5" t="n"/>
      <c r="F4363" s="5" t="n"/>
      <c r="G4363" s="5" t="n"/>
      <c r="H4363" s="5" t="n"/>
      <c r="I4363" s="5" t="n"/>
      <c r="J4363" s="6" t="n"/>
      <c r="K4363" s="6" t="n"/>
      <c r="L4363" s="7">
        <f>IF(OR(D4363="",N(J4363)=0),"",MIN(1,N(K4363)/J4363))</f>
        <v/>
      </c>
      <c r="M4363" s="5" t="n"/>
      <c r="N4363" s="5" t="n"/>
      <c r="O4363" s="5" t="n"/>
      <c r="P4363" s="5" t="n"/>
      <c r="Q4363" s="5" t="n"/>
      <c r="R4363" s="4" t="n"/>
      <c r="S4363" s="4" t="n"/>
      <c r="T4363" s="5" t="n"/>
      <c r="U4363" s="8">
        <f>IF(AND(V4363=1,D4363&lt;&gt;""),IF(D4363&gt;=corte,TODAY()-D4363,""),"")</f>
        <v/>
      </c>
      <c r="V4363" s="8">
        <f>IF(D4363="",0,IF(OR(AND(P4363&lt;&gt;"",S4363=""),AND(N(J4363)&gt;0,N(K4363)&lt;J4363),OR(M4363="PENDENTE",M4363="PARCIAL"),OR(N4363="PENDENTE",N4363="PARCIAL")),1,0))</f>
        <v/>
      </c>
      <c r="W4363" s="8">
        <f>IF(AND(V4363=1,D4363&lt;&gt;""),IF(D4363&gt;=corte,(B4363="CRÍTICO")*1E9+(100000-D4363)*10000+10000-ROW(),""),"")</f>
        <v/>
      </c>
      <c r="X4363" s="8">
        <f>IF(AND(V4363=1,D4363=pas_data,E4363=pas_turno),10000-ROW(),"")</f>
        <v/>
      </c>
    </row>
    <row r="4364">
      <c r="A4364" s="3">
        <f>IF(D4364="","","TT-"&amp;TEXT(ROW()-1,"00000"))</f>
        <v/>
      </c>
      <c r="B4364" s="3">
        <f>IF(D4364="","",IF(V4364=0,"CONCLUÍDO",IF(D4364&lt;corte,"HISTÓRICO",IF(OR(AND(ISNUMBER(R4364),R4364&lt;TODAY()),AND(OR(N4364="PENDENTE",N4364="PARCIAL"),D4364&lt;TODAY()-1)),"CRÍTICO",IF(OR(AND(P4364&lt;&gt;"",S4364=""),AND(N4364="REALIZADO",M4364="PENDENTE"),AND(ISNUMBER(R4364),R4364=TODAY())),"ATENÇÃO",IF(N(K4364)=0,"PENDENTE","EM ANDAMENTO"))))))</f>
        <v/>
      </c>
      <c r="C4364" s="3">
        <f>IF(D4364="","",IF(V4364=0,"🟢 OK",IF(D4364&lt;corte,"⚪ HISTÓRICO (sem baixa)",IF(AND(ISNUMBER(R4364),R4364&lt;TODAY()),"🔴 PRAZO VENCIDO",IF(AND(OR(N4364="PENDENTE",N4364="PARCIAL"),D4364&lt;TODAY()-1),"🔴 EMBARQUE ATRASADO",IF(AND(N4364="REALIZADO",M4364="PENDENTE"),"🟡 EMBARCADO SEM FATURAR",IF(AND(P4364&lt;&gt;"",S4364="",OR(Q4364="",R4364="")),"🟡 PENDÊNCIA SEM RESPONSÁVEL/PRAZO",IF(AND(ISNUMBER(R4364),R4364=TODAY()),"🟡 VENCE HOJE",IF(AND(P4364&lt;&gt;"",S4364=""),"🟡 PENDÊNCIA ABERTA",IF(AND(N(J4364)&gt;0,N(K4364)&lt;J4364),"🟡 FALTA EXECUTAR",IF(OR(M4364="PENDENTE",M4364="PARCIAL"),"🟡 FATURAMENTO PENDENTE","🟡 EMBARQUE PENDENTE")))))))))))</f>
        <v/>
      </c>
      <c r="D4364" s="4" t="n"/>
      <c r="E4364" s="5" t="n"/>
      <c r="F4364" s="5" t="n"/>
      <c r="G4364" s="5" t="n"/>
      <c r="H4364" s="5" t="n"/>
      <c r="I4364" s="5" t="n"/>
      <c r="J4364" s="6" t="n"/>
      <c r="K4364" s="6" t="n"/>
      <c r="L4364" s="7">
        <f>IF(OR(D4364="",N(J4364)=0),"",MIN(1,N(K4364)/J4364))</f>
        <v/>
      </c>
      <c r="M4364" s="5" t="n"/>
      <c r="N4364" s="5" t="n"/>
      <c r="O4364" s="5" t="n"/>
      <c r="P4364" s="5" t="n"/>
      <c r="Q4364" s="5" t="n"/>
      <c r="R4364" s="4" t="n"/>
      <c r="S4364" s="4" t="n"/>
      <c r="T4364" s="5" t="n"/>
      <c r="U4364" s="8">
        <f>IF(AND(V4364=1,D4364&lt;&gt;""),IF(D4364&gt;=corte,TODAY()-D4364,""),"")</f>
        <v/>
      </c>
      <c r="V4364" s="8">
        <f>IF(D4364="",0,IF(OR(AND(P4364&lt;&gt;"",S4364=""),AND(N(J4364)&gt;0,N(K4364)&lt;J4364),OR(M4364="PENDENTE",M4364="PARCIAL"),OR(N4364="PENDENTE",N4364="PARCIAL")),1,0))</f>
        <v/>
      </c>
      <c r="W4364" s="8">
        <f>IF(AND(V4364=1,D4364&lt;&gt;""),IF(D4364&gt;=corte,(B4364="CRÍTICO")*1E9+(100000-D4364)*10000+10000-ROW(),""),"")</f>
        <v/>
      </c>
      <c r="X4364" s="8">
        <f>IF(AND(V4364=1,D4364=pas_data,E4364=pas_turno),10000-ROW(),"")</f>
        <v/>
      </c>
    </row>
    <row r="4365">
      <c r="A4365" s="3">
        <f>IF(D4365="","","TT-"&amp;TEXT(ROW()-1,"00000"))</f>
        <v/>
      </c>
      <c r="B4365" s="3">
        <f>IF(D4365="","",IF(V4365=0,"CONCLUÍDO",IF(D4365&lt;corte,"HISTÓRICO",IF(OR(AND(ISNUMBER(R4365),R4365&lt;TODAY()),AND(OR(N4365="PENDENTE",N4365="PARCIAL"),D4365&lt;TODAY()-1)),"CRÍTICO",IF(OR(AND(P4365&lt;&gt;"",S4365=""),AND(N4365="REALIZADO",M4365="PENDENTE"),AND(ISNUMBER(R4365),R4365=TODAY())),"ATENÇÃO",IF(N(K4365)=0,"PENDENTE","EM ANDAMENTO"))))))</f>
        <v/>
      </c>
      <c r="C4365" s="3">
        <f>IF(D4365="","",IF(V4365=0,"🟢 OK",IF(D4365&lt;corte,"⚪ HISTÓRICO (sem baixa)",IF(AND(ISNUMBER(R4365),R4365&lt;TODAY()),"🔴 PRAZO VENCIDO",IF(AND(OR(N4365="PENDENTE",N4365="PARCIAL"),D4365&lt;TODAY()-1),"🔴 EMBARQUE ATRASADO",IF(AND(N4365="REALIZADO",M4365="PENDENTE"),"🟡 EMBARCADO SEM FATURAR",IF(AND(P4365&lt;&gt;"",S4365="",OR(Q4365="",R4365="")),"🟡 PENDÊNCIA SEM RESPONSÁVEL/PRAZO",IF(AND(ISNUMBER(R4365),R4365=TODAY()),"🟡 VENCE HOJE",IF(AND(P4365&lt;&gt;"",S4365=""),"🟡 PENDÊNCIA ABERTA",IF(AND(N(J4365)&gt;0,N(K4365)&lt;J4365),"🟡 FALTA EXECUTAR",IF(OR(M4365="PENDENTE",M4365="PARCIAL"),"🟡 FATURAMENTO PENDENTE","🟡 EMBARQUE PENDENTE")))))))))))</f>
        <v/>
      </c>
      <c r="D4365" s="4" t="n"/>
      <c r="E4365" s="5" t="n"/>
      <c r="F4365" s="5" t="n"/>
      <c r="G4365" s="5" t="n"/>
      <c r="H4365" s="5" t="n"/>
      <c r="I4365" s="5" t="n"/>
      <c r="J4365" s="6" t="n"/>
      <c r="K4365" s="6" t="n"/>
      <c r="L4365" s="7">
        <f>IF(OR(D4365="",N(J4365)=0),"",MIN(1,N(K4365)/J4365))</f>
        <v/>
      </c>
      <c r="M4365" s="5" t="n"/>
      <c r="N4365" s="5" t="n"/>
      <c r="O4365" s="5" t="n"/>
      <c r="P4365" s="5" t="n"/>
      <c r="Q4365" s="5" t="n"/>
      <c r="R4365" s="4" t="n"/>
      <c r="S4365" s="4" t="n"/>
      <c r="T4365" s="5" t="n"/>
      <c r="U4365" s="8">
        <f>IF(AND(V4365=1,D4365&lt;&gt;""),IF(D4365&gt;=corte,TODAY()-D4365,""),"")</f>
        <v/>
      </c>
      <c r="V4365" s="8">
        <f>IF(D4365="",0,IF(OR(AND(P4365&lt;&gt;"",S4365=""),AND(N(J4365)&gt;0,N(K4365)&lt;J4365),OR(M4365="PENDENTE",M4365="PARCIAL"),OR(N4365="PENDENTE",N4365="PARCIAL")),1,0))</f>
        <v/>
      </c>
      <c r="W4365" s="8">
        <f>IF(AND(V4365=1,D4365&lt;&gt;""),IF(D4365&gt;=corte,(B4365="CRÍTICO")*1E9+(100000-D4365)*10000+10000-ROW(),""),"")</f>
        <v/>
      </c>
      <c r="X4365" s="8">
        <f>IF(AND(V4365=1,D4365=pas_data,E4365=pas_turno),10000-ROW(),"")</f>
        <v/>
      </c>
    </row>
    <row r="4366">
      <c r="A4366" s="3">
        <f>IF(D4366="","","TT-"&amp;TEXT(ROW()-1,"00000"))</f>
        <v/>
      </c>
      <c r="B4366" s="3">
        <f>IF(D4366="","",IF(V4366=0,"CONCLUÍDO",IF(D4366&lt;corte,"HISTÓRICO",IF(OR(AND(ISNUMBER(R4366),R4366&lt;TODAY()),AND(OR(N4366="PENDENTE",N4366="PARCIAL"),D4366&lt;TODAY()-1)),"CRÍTICO",IF(OR(AND(P4366&lt;&gt;"",S4366=""),AND(N4366="REALIZADO",M4366="PENDENTE"),AND(ISNUMBER(R4366),R4366=TODAY())),"ATENÇÃO",IF(N(K4366)=0,"PENDENTE","EM ANDAMENTO"))))))</f>
        <v/>
      </c>
      <c r="C4366" s="3">
        <f>IF(D4366="","",IF(V4366=0,"🟢 OK",IF(D4366&lt;corte,"⚪ HISTÓRICO (sem baixa)",IF(AND(ISNUMBER(R4366),R4366&lt;TODAY()),"🔴 PRAZO VENCIDO",IF(AND(OR(N4366="PENDENTE",N4366="PARCIAL"),D4366&lt;TODAY()-1),"🔴 EMBARQUE ATRASADO",IF(AND(N4366="REALIZADO",M4366="PENDENTE"),"🟡 EMBARCADO SEM FATURAR",IF(AND(P4366&lt;&gt;"",S4366="",OR(Q4366="",R4366="")),"🟡 PENDÊNCIA SEM RESPONSÁVEL/PRAZO",IF(AND(ISNUMBER(R4366),R4366=TODAY()),"🟡 VENCE HOJE",IF(AND(P4366&lt;&gt;"",S4366=""),"🟡 PENDÊNCIA ABERTA",IF(AND(N(J4366)&gt;0,N(K4366)&lt;J4366),"🟡 FALTA EXECUTAR",IF(OR(M4366="PENDENTE",M4366="PARCIAL"),"🟡 FATURAMENTO PENDENTE","🟡 EMBARQUE PENDENTE")))))))))))</f>
        <v/>
      </c>
      <c r="D4366" s="4" t="n"/>
      <c r="E4366" s="5" t="n"/>
      <c r="F4366" s="5" t="n"/>
      <c r="G4366" s="5" t="n"/>
      <c r="H4366" s="5" t="n"/>
      <c r="I4366" s="5" t="n"/>
      <c r="J4366" s="6" t="n"/>
      <c r="K4366" s="6" t="n"/>
      <c r="L4366" s="7">
        <f>IF(OR(D4366="",N(J4366)=0),"",MIN(1,N(K4366)/J4366))</f>
        <v/>
      </c>
      <c r="M4366" s="5" t="n"/>
      <c r="N4366" s="5" t="n"/>
      <c r="O4366" s="5" t="n"/>
      <c r="P4366" s="5" t="n"/>
      <c r="Q4366" s="5" t="n"/>
      <c r="R4366" s="4" t="n"/>
      <c r="S4366" s="4" t="n"/>
      <c r="T4366" s="5" t="n"/>
      <c r="U4366" s="8">
        <f>IF(AND(V4366=1,D4366&lt;&gt;""),IF(D4366&gt;=corte,TODAY()-D4366,""),"")</f>
        <v/>
      </c>
      <c r="V4366" s="8">
        <f>IF(D4366="",0,IF(OR(AND(P4366&lt;&gt;"",S4366=""),AND(N(J4366)&gt;0,N(K4366)&lt;J4366),OR(M4366="PENDENTE",M4366="PARCIAL"),OR(N4366="PENDENTE",N4366="PARCIAL")),1,0))</f>
        <v/>
      </c>
      <c r="W4366" s="8">
        <f>IF(AND(V4366=1,D4366&lt;&gt;""),IF(D4366&gt;=corte,(B4366="CRÍTICO")*1E9+(100000-D4366)*10000+10000-ROW(),""),"")</f>
        <v/>
      </c>
      <c r="X4366" s="8">
        <f>IF(AND(V4366=1,D4366=pas_data,E4366=pas_turno),10000-ROW(),"")</f>
        <v/>
      </c>
    </row>
    <row r="4367">
      <c r="A4367" s="3">
        <f>IF(D4367="","","TT-"&amp;TEXT(ROW()-1,"00000"))</f>
        <v/>
      </c>
      <c r="B4367" s="3">
        <f>IF(D4367="","",IF(V4367=0,"CONCLUÍDO",IF(D4367&lt;corte,"HISTÓRICO",IF(OR(AND(ISNUMBER(R4367),R4367&lt;TODAY()),AND(OR(N4367="PENDENTE",N4367="PARCIAL"),D4367&lt;TODAY()-1)),"CRÍTICO",IF(OR(AND(P4367&lt;&gt;"",S4367=""),AND(N4367="REALIZADO",M4367="PENDENTE"),AND(ISNUMBER(R4367),R4367=TODAY())),"ATENÇÃO",IF(N(K4367)=0,"PENDENTE","EM ANDAMENTO"))))))</f>
        <v/>
      </c>
      <c r="C4367" s="3">
        <f>IF(D4367="","",IF(V4367=0,"🟢 OK",IF(D4367&lt;corte,"⚪ HISTÓRICO (sem baixa)",IF(AND(ISNUMBER(R4367),R4367&lt;TODAY()),"🔴 PRAZO VENCIDO",IF(AND(OR(N4367="PENDENTE",N4367="PARCIAL"),D4367&lt;TODAY()-1),"🔴 EMBARQUE ATRASADO",IF(AND(N4367="REALIZADO",M4367="PENDENTE"),"🟡 EMBARCADO SEM FATURAR",IF(AND(P4367&lt;&gt;"",S4367="",OR(Q4367="",R4367="")),"🟡 PENDÊNCIA SEM RESPONSÁVEL/PRAZO",IF(AND(ISNUMBER(R4367),R4367=TODAY()),"🟡 VENCE HOJE",IF(AND(P4367&lt;&gt;"",S4367=""),"🟡 PENDÊNCIA ABERTA",IF(AND(N(J4367)&gt;0,N(K4367)&lt;J4367),"🟡 FALTA EXECUTAR",IF(OR(M4367="PENDENTE",M4367="PARCIAL"),"🟡 FATURAMENTO PENDENTE","🟡 EMBARQUE PENDENTE")))))))))))</f>
        <v/>
      </c>
      <c r="D4367" s="4" t="n"/>
      <c r="E4367" s="5" t="n"/>
      <c r="F4367" s="5" t="n"/>
      <c r="G4367" s="5" t="n"/>
      <c r="H4367" s="5" t="n"/>
      <c r="I4367" s="5" t="n"/>
      <c r="J4367" s="6" t="n"/>
      <c r="K4367" s="6" t="n"/>
      <c r="L4367" s="7">
        <f>IF(OR(D4367="",N(J4367)=0),"",MIN(1,N(K4367)/J4367))</f>
        <v/>
      </c>
      <c r="M4367" s="5" t="n"/>
      <c r="N4367" s="5" t="n"/>
      <c r="O4367" s="5" t="n"/>
      <c r="P4367" s="5" t="n"/>
      <c r="Q4367" s="5" t="n"/>
      <c r="R4367" s="4" t="n"/>
      <c r="S4367" s="4" t="n"/>
      <c r="T4367" s="5" t="n"/>
      <c r="U4367" s="8">
        <f>IF(AND(V4367=1,D4367&lt;&gt;""),IF(D4367&gt;=corte,TODAY()-D4367,""),"")</f>
        <v/>
      </c>
      <c r="V4367" s="8">
        <f>IF(D4367="",0,IF(OR(AND(P4367&lt;&gt;"",S4367=""),AND(N(J4367)&gt;0,N(K4367)&lt;J4367),OR(M4367="PENDENTE",M4367="PARCIAL"),OR(N4367="PENDENTE",N4367="PARCIAL")),1,0))</f>
        <v/>
      </c>
      <c r="W4367" s="8">
        <f>IF(AND(V4367=1,D4367&lt;&gt;""),IF(D4367&gt;=corte,(B4367="CRÍTICO")*1E9+(100000-D4367)*10000+10000-ROW(),""),"")</f>
        <v/>
      </c>
      <c r="X4367" s="8">
        <f>IF(AND(V4367=1,D4367=pas_data,E4367=pas_turno),10000-ROW(),"")</f>
        <v/>
      </c>
    </row>
    <row r="4368">
      <c r="A4368" s="3">
        <f>IF(D4368="","","TT-"&amp;TEXT(ROW()-1,"00000"))</f>
        <v/>
      </c>
      <c r="B4368" s="3">
        <f>IF(D4368="","",IF(V4368=0,"CONCLUÍDO",IF(D4368&lt;corte,"HISTÓRICO",IF(OR(AND(ISNUMBER(R4368),R4368&lt;TODAY()),AND(OR(N4368="PENDENTE",N4368="PARCIAL"),D4368&lt;TODAY()-1)),"CRÍTICO",IF(OR(AND(P4368&lt;&gt;"",S4368=""),AND(N4368="REALIZADO",M4368="PENDENTE"),AND(ISNUMBER(R4368),R4368=TODAY())),"ATENÇÃO",IF(N(K4368)=0,"PENDENTE","EM ANDAMENTO"))))))</f>
        <v/>
      </c>
      <c r="C4368" s="3">
        <f>IF(D4368="","",IF(V4368=0,"🟢 OK",IF(D4368&lt;corte,"⚪ HISTÓRICO (sem baixa)",IF(AND(ISNUMBER(R4368),R4368&lt;TODAY()),"🔴 PRAZO VENCIDO",IF(AND(OR(N4368="PENDENTE",N4368="PARCIAL"),D4368&lt;TODAY()-1),"🔴 EMBARQUE ATRASADO",IF(AND(N4368="REALIZADO",M4368="PENDENTE"),"🟡 EMBARCADO SEM FATURAR",IF(AND(P4368&lt;&gt;"",S4368="",OR(Q4368="",R4368="")),"🟡 PENDÊNCIA SEM RESPONSÁVEL/PRAZO",IF(AND(ISNUMBER(R4368),R4368=TODAY()),"🟡 VENCE HOJE",IF(AND(P4368&lt;&gt;"",S4368=""),"🟡 PENDÊNCIA ABERTA",IF(AND(N(J4368)&gt;0,N(K4368)&lt;J4368),"🟡 FALTA EXECUTAR",IF(OR(M4368="PENDENTE",M4368="PARCIAL"),"🟡 FATURAMENTO PENDENTE","🟡 EMBARQUE PENDENTE")))))))))))</f>
        <v/>
      </c>
      <c r="D4368" s="4" t="n"/>
      <c r="E4368" s="5" t="n"/>
      <c r="F4368" s="5" t="n"/>
      <c r="G4368" s="5" t="n"/>
      <c r="H4368" s="5" t="n"/>
      <c r="I4368" s="5" t="n"/>
      <c r="J4368" s="6" t="n"/>
      <c r="K4368" s="6" t="n"/>
      <c r="L4368" s="7">
        <f>IF(OR(D4368="",N(J4368)=0),"",MIN(1,N(K4368)/J4368))</f>
        <v/>
      </c>
      <c r="M4368" s="5" t="n"/>
      <c r="N4368" s="5" t="n"/>
      <c r="O4368" s="5" t="n"/>
      <c r="P4368" s="5" t="n"/>
      <c r="Q4368" s="5" t="n"/>
      <c r="R4368" s="4" t="n"/>
      <c r="S4368" s="4" t="n"/>
      <c r="T4368" s="5" t="n"/>
      <c r="U4368" s="8">
        <f>IF(AND(V4368=1,D4368&lt;&gt;""),IF(D4368&gt;=corte,TODAY()-D4368,""),"")</f>
        <v/>
      </c>
      <c r="V4368" s="8">
        <f>IF(D4368="",0,IF(OR(AND(P4368&lt;&gt;"",S4368=""),AND(N(J4368)&gt;0,N(K4368)&lt;J4368),OR(M4368="PENDENTE",M4368="PARCIAL"),OR(N4368="PENDENTE",N4368="PARCIAL")),1,0))</f>
        <v/>
      </c>
      <c r="W4368" s="8">
        <f>IF(AND(V4368=1,D4368&lt;&gt;""),IF(D4368&gt;=corte,(B4368="CRÍTICO")*1E9+(100000-D4368)*10000+10000-ROW(),""),"")</f>
        <v/>
      </c>
      <c r="X4368" s="8">
        <f>IF(AND(V4368=1,D4368=pas_data,E4368=pas_turno),10000-ROW(),"")</f>
        <v/>
      </c>
    </row>
    <row r="4369">
      <c r="A4369" s="3">
        <f>IF(D4369="","","TT-"&amp;TEXT(ROW()-1,"00000"))</f>
        <v/>
      </c>
      <c r="B4369" s="3">
        <f>IF(D4369="","",IF(V4369=0,"CONCLUÍDO",IF(D4369&lt;corte,"HISTÓRICO",IF(OR(AND(ISNUMBER(R4369),R4369&lt;TODAY()),AND(OR(N4369="PENDENTE",N4369="PARCIAL"),D4369&lt;TODAY()-1)),"CRÍTICO",IF(OR(AND(P4369&lt;&gt;"",S4369=""),AND(N4369="REALIZADO",M4369="PENDENTE"),AND(ISNUMBER(R4369),R4369=TODAY())),"ATENÇÃO",IF(N(K4369)=0,"PENDENTE","EM ANDAMENTO"))))))</f>
        <v/>
      </c>
      <c r="C4369" s="3">
        <f>IF(D4369="","",IF(V4369=0,"🟢 OK",IF(D4369&lt;corte,"⚪ HISTÓRICO (sem baixa)",IF(AND(ISNUMBER(R4369),R4369&lt;TODAY()),"🔴 PRAZO VENCIDO",IF(AND(OR(N4369="PENDENTE",N4369="PARCIAL"),D4369&lt;TODAY()-1),"🔴 EMBARQUE ATRASADO",IF(AND(N4369="REALIZADO",M4369="PENDENTE"),"🟡 EMBARCADO SEM FATURAR",IF(AND(P4369&lt;&gt;"",S4369="",OR(Q4369="",R4369="")),"🟡 PENDÊNCIA SEM RESPONSÁVEL/PRAZO",IF(AND(ISNUMBER(R4369),R4369=TODAY()),"🟡 VENCE HOJE",IF(AND(P4369&lt;&gt;"",S4369=""),"🟡 PENDÊNCIA ABERTA",IF(AND(N(J4369)&gt;0,N(K4369)&lt;J4369),"🟡 FALTA EXECUTAR",IF(OR(M4369="PENDENTE",M4369="PARCIAL"),"🟡 FATURAMENTO PENDENTE","🟡 EMBARQUE PENDENTE")))))))))))</f>
        <v/>
      </c>
      <c r="D4369" s="4" t="n"/>
      <c r="E4369" s="5" t="n"/>
      <c r="F4369" s="5" t="n"/>
      <c r="G4369" s="5" t="n"/>
      <c r="H4369" s="5" t="n"/>
      <c r="I4369" s="5" t="n"/>
      <c r="J4369" s="6" t="n"/>
      <c r="K4369" s="6" t="n"/>
      <c r="L4369" s="7">
        <f>IF(OR(D4369="",N(J4369)=0),"",MIN(1,N(K4369)/J4369))</f>
        <v/>
      </c>
      <c r="M4369" s="5" t="n"/>
      <c r="N4369" s="5" t="n"/>
      <c r="O4369" s="5" t="n"/>
      <c r="P4369" s="5" t="n"/>
      <c r="Q4369" s="5" t="n"/>
      <c r="R4369" s="4" t="n"/>
      <c r="S4369" s="4" t="n"/>
      <c r="T4369" s="5" t="n"/>
      <c r="U4369" s="8">
        <f>IF(AND(V4369=1,D4369&lt;&gt;""),IF(D4369&gt;=corte,TODAY()-D4369,""),"")</f>
        <v/>
      </c>
      <c r="V4369" s="8">
        <f>IF(D4369="",0,IF(OR(AND(P4369&lt;&gt;"",S4369=""),AND(N(J4369)&gt;0,N(K4369)&lt;J4369),OR(M4369="PENDENTE",M4369="PARCIAL"),OR(N4369="PENDENTE",N4369="PARCIAL")),1,0))</f>
        <v/>
      </c>
      <c r="W4369" s="8">
        <f>IF(AND(V4369=1,D4369&lt;&gt;""),IF(D4369&gt;=corte,(B4369="CRÍTICO")*1E9+(100000-D4369)*10000+10000-ROW(),""),"")</f>
        <v/>
      </c>
      <c r="X4369" s="8">
        <f>IF(AND(V4369=1,D4369=pas_data,E4369=pas_turno),10000-ROW(),"")</f>
        <v/>
      </c>
    </row>
    <row r="4370">
      <c r="A4370" s="3">
        <f>IF(D4370="","","TT-"&amp;TEXT(ROW()-1,"00000"))</f>
        <v/>
      </c>
      <c r="B4370" s="3">
        <f>IF(D4370="","",IF(V4370=0,"CONCLUÍDO",IF(D4370&lt;corte,"HISTÓRICO",IF(OR(AND(ISNUMBER(R4370),R4370&lt;TODAY()),AND(OR(N4370="PENDENTE",N4370="PARCIAL"),D4370&lt;TODAY()-1)),"CRÍTICO",IF(OR(AND(P4370&lt;&gt;"",S4370=""),AND(N4370="REALIZADO",M4370="PENDENTE"),AND(ISNUMBER(R4370),R4370=TODAY())),"ATENÇÃO",IF(N(K4370)=0,"PENDENTE","EM ANDAMENTO"))))))</f>
        <v/>
      </c>
      <c r="C4370" s="3">
        <f>IF(D4370="","",IF(V4370=0,"🟢 OK",IF(D4370&lt;corte,"⚪ HISTÓRICO (sem baixa)",IF(AND(ISNUMBER(R4370),R4370&lt;TODAY()),"🔴 PRAZO VENCIDO",IF(AND(OR(N4370="PENDENTE",N4370="PARCIAL"),D4370&lt;TODAY()-1),"🔴 EMBARQUE ATRASADO",IF(AND(N4370="REALIZADO",M4370="PENDENTE"),"🟡 EMBARCADO SEM FATURAR",IF(AND(P4370&lt;&gt;"",S4370="",OR(Q4370="",R4370="")),"🟡 PENDÊNCIA SEM RESPONSÁVEL/PRAZO",IF(AND(ISNUMBER(R4370),R4370=TODAY()),"🟡 VENCE HOJE",IF(AND(P4370&lt;&gt;"",S4370=""),"🟡 PENDÊNCIA ABERTA",IF(AND(N(J4370)&gt;0,N(K4370)&lt;J4370),"🟡 FALTA EXECUTAR",IF(OR(M4370="PENDENTE",M4370="PARCIAL"),"🟡 FATURAMENTO PENDENTE","🟡 EMBARQUE PENDENTE")))))))))))</f>
        <v/>
      </c>
      <c r="D4370" s="4" t="n"/>
      <c r="E4370" s="5" t="n"/>
      <c r="F4370" s="5" t="n"/>
      <c r="G4370" s="5" t="n"/>
      <c r="H4370" s="5" t="n"/>
      <c r="I4370" s="5" t="n"/>
      <c r="J4370" s="6" t="n"/>
      <c r="K4370" s="6" t="n"/>
      <c r="L4370" s="7">
        <f>IF(OR(D4370="",N(J4370)=0),"",MIN(1,N(K4370)/J4370))</f>
        <v/>
      </c>
      <c r="M4370" s="5" t="n"/>
      <c r="N4370" s="5" t="n"/>
      <c r="O4370" s="5" t="n"/>
      <c r="P4370" s="5" t="n"/>
      <c r="Q4370" s="5" t="n"/>
      <c r="R4370" s="4" t="n"/>
      <c r="S4370" s="4" t="n"/>
      <c r="T4370" s="5" t="n"/>
      <c r="U4370" s="8">
        <f>IF(AND(V4370=1,D4370&lt;&gt;""),IF(D4370&gt;=corte,TODAY()-D4370,""),"")</f>
        <v/>
      </c>
      <c r="V4370" s="8">
        <f>IF(D4370="",0,IF(OR(AND(P4370&lt;&gt;"",S4370=""),AND(N(J4370)&gt;0,N(K4370)&lt;J4370),OR(M4370="PENDENTE",M4370="PARCIAL"),OR(N4370="PENDENTE",N4370="PARCIAL")),1,0))</f>
        <v/>
      </c>
      <c r="W4370" s="8">
        <f>IF(AND(V4370=1,D4370&lt;&gt;""),IF(D4370&gt;=corte,(B4370="CRÍTICO")*1E9+(100000-D4370)*10000+10000-ROW(),""),"")</f>
        <v/>
      </c>
      <c r="X4370" s="8">
        <f>IF(AND(V4370=1,D4370=pas_data,E4370=pas_turno),10000-ROW(),"")</f>
        <v/>
      </c>
    </row>
    <row r="4371">
      <c r="A4371" s="3">
        <f>IF(D4371="","","TT-"&amp;TEXT(ROW()-1,"00000"))</f>
        <v/>
      </c>
      <c r="B4371" s="3">
        <f>IF(D4371="","",IF(V4371=0,"CONCLUÍDO",IF(D4371&lt;corte,"HISTÓRICO",IF(OR(AND(ISNUMBER(R4371),R4371&lt;TODAY()),AND(OR(N4371="PENDENTE",N4371="PARCIAL"),D4371&lt;TODAY()-1)),"CRÍTICO",IF(OR(AND(P4371&lt;&gt;"",S4371=""),AND(N4371="REALIZADO",M4371="PENDENTE"),AND(ISNUMBER(R4371),R4371=TODAY())),"ATENÇÃO",IF(N(K4371)=0,"PENDENTE","EM ANDAMENTO"))))))</f>
        <v/>
      </c>
      <c r="C4371" s="3">
        <f>IF(D4371="","",IF(V4371=0,"🟢 OK",IF(D4371&lt;corte,"⚪ HISTÓRICO (sem baixa)",IF(AND(ISNUMBER(R4371),R4371&lt;TODAY()),"🔴 PRAZO VENCIDO",IF(AND(OR(N4371="PENDENTE",N4371="PARCIAL"),D4371&lt;TODAY()-1),"🔴 EMBARQUE ATRASADO",IF(AND(N4371="REALIZADO",M4371="PENDENTE"),"🟡 EMBARCADO SEM FATURAR",IF(AND(P4371&lt;&gt;"",S4371="",OR(Q4371="",R4371="")),"🟡 PENDÊNCIA SEM RESPONSÁVEL/PRAZO",IF(AND(ISNUMBER(R4371),R4371=TODAY()),"🟡 VENCE HOJE",IF(AND(P4371&lt;&gt;"",S4371=""),"🟡 PENDÊNCIA ABERTA",IF(AND(N(J4371)&gt;0,N(K4371)&lt;J4371),"🟡 FALTA EXECUTAR",IF(OR(M4371="PENDENTE",M4371="PARCIAL"),"🟡 FATURAMENTO PENDENTE","🟡 EMBARQUE PENDENTE")))))))))))</f>
        <v/>
      </c>
      <c r="D4371" s="4" t="n"/>
      <c r="E4371" s="5" t="n"/>
      <c r="F4371" s="5" t="n"/>
      <c r="G4371" s="5" t="n"/>
      <c r="H4371" s="5" t="n"/>
      <c r="I4371" s="5" t="n"/>
      <c r="J4371" s="6" t="n"/>
      <c r="K4371" s="6" t="n"/>
      <c r="L4371" s="7">
        <f>IF(OR(D4371="",N(J4371)=0),"",MIN(1,N(K4371)/J4371))</f>
        <v/>
      </c>
      <c r="M4371" s="5" t="n"/>
      <c r="N4371" s="5" t="n"/>
      <c r="O4371" s="5" t="n"/>
      <c r="P4371" s="5" t="n"/>
      <c r="Q4371" s="5" t="n"/>
      <c r="R4371" s="4" t="n"/>
      <c r="S4371" s="4" t="n"/>
      <c r="T4371" s="5" t="n"/>
      <c r="U4371" s="8">
        <f>IF(AND(V4371=1,D4371&lt;&gt;""),IF(D4371&gt;=corte,TODAY()-D4371,""),"")</f>
        <v/>
      </c>
      <c r="V4371" s="8">
        <f>IF(D4371="",0,IF(OR(AND(P4371&lt;&gt;"",S4371=""),AND(N(J4371)&gt;0,N(K4371)&lt;J4371),OR(M4371="PENDENTE",M4371="PARCIAL"),OR(N4371="PENDENTE",N4371="PARCIAL")),1,0))</f>
        <v/>
      </c>
      <c r="W4371" s="8">
        <f>IF(AND(V4371=1,D4371&lt;&gt;""),IF(D4371&gt;=corte,(B4371="CRÍTICO")*1E9+(100000-D4371)*10000+10000-ROW(),""),"")</f>
        <v/>
      </c>
      <c r="X4371" s="8">
        <f>IF(AND(V4371=1,D4371=pas_data,E4371=pas_turno),10000-ROW(),"")</f>
        <v/>
      </c>
    </row>
    <row r="4372">
      <c r="A4372" s="3">
        <f>IF(D4372="","","TT-"&amp;TEXT(ROW()-1,"00000"))</f>
        <v/>
      </c>
      <c r="B4372" s="3">
        <f>IF(D4372="","",IF(V4372=0,"CONCLUÍDO",IF(D4372&lt;corte,"HISTÓRICO",IF(OR(AND(ISNUMBER(R4372),R4372&lt;TODAY()),AND(OR(N4372="PENDENTE",N4372="PARCIAL"),D4372&lt;TODAY()-1)),"CRÍTICO",IF(OR(AND(P4372&lt;&gt;"",S4372=""),AND(N4372="REALIZADO",M4372="PENDENTE"),AND(ISNUMBER(R4372),R4372=TODAY())),"ATENÇÃO",IF(N(K4372)=0,"PENDENTE","EM ANDAMENTO"))))))</f>
        <v/>
      </c>
      <c r="C4372" s="3">
        <f>IF(D4372="","",IF(V4372=0,"🟢 OK",IF(D4372&lt;corte,"⚪ HISTÓRICO (sem baixa)",IF(AND(ISNUMBER(R4372),R4372&lt;TODAY()),"🔴 PRAZO VENCIDO",IF(AND(OR(N4372="PENDENTE",N4372="PARCIAL"),D4372&lt;TODAY()-1),"🔴 EMBARQUE ATRASADO",IF(AND(N4372="REALIZADO",M4372="PENDENTE"),"🟡 EMBARCADO SEM FATURAR",IF(AND(P4372&lt;&gt;"",S4372="",OR(Q4372="",R4372="")),"🟡 PENDÊNCIA SEM RESPONSÁVEL/PRAZO",IF(AND(ISNUMBER(R4372),R4372=TODAY()),"🟡 VENCE HOJE",IF(AND(P4372&lt;&gt;"",S4372=""),"🟡 PENDÊNCIA ABERTA",IF(AND(N(J4372)&gt;0,N(K4372)&lt;J4372),"🟡 FALTA EXECUTAR",IF(OR(M4372="PENDENTE",M4372="PARCIAL"),"🟡 FATURAMENTO PENDENTE","🟡 EMBARQUE PENDENTE")))))))))))</f>
        <v/>
      </c>
      <c r="D4372" s="4" t="n"/>
      <c r="E4372" s="5" t="n"/>
      <c r="F4372" s="5" t="n"/>
      <c r="G4372" s="5" t="n"/>
      <c r="H4372" s="5" t="n"/>
      <c r="I4372" s="5" t="n"/>
      <c r="J4372" s="6" t="n"/>
      <c r="K4372" s="6" t="n"/>
      <c r="L4372" s="7">
        <f>IF(OR(D4372="",N(J4372)=0),"",MIN(1,N(K4372)/J4372))</f>
        <v/>
      </c>
      <c r="M4372" s="5" t="n"/>
      <c r="N4372" s="5" t="n"/>
      <c r="O4372" s="5" t="n"/>
      <c r="P4372" s="5" t="n"/>
      <c r="Q4372" s="5" t="n"/>
      <c r="R4372" s="4" t="n"/>
      <c r="S4372" s="4" t="n"/>
      <c r="T4372" s="5" t="n"/>
      <c r="U4372" s="8">
        <f>IF(AND(V4372=1,D4372&lt;&gt;""),IF(D4372&gt;=corte,TODAY()-D4372,""),"")</f>
        <v/>
      </c>
      <c r="V4372" s="8">
        <f>IF(D4372="",0,IF(OR(AND(P4372&lt;&gt;"",S4372=""),AND(N(J4372)&gt;0,N(K4372)&lt;J4372),OR(M4372="PENDENTE",M4372="PARCIAL"),OR(N4372="PENDENTE",N4372="PARCIAL")),1,0))</f>
        <v/>
      </c>
      <c r="W4372" s="8">
        <f>IF(AND(V4372=1,D4372&lt;&gt;""),IF(D4372&gt;=corte,(B4372="CRÍTICO")*1E9+(100000-D4372)*10000+10000-ROW(),""),"")</f>
        <v/>
      </c>
      <c r="X4372" s="8">
        <f>IF(AND(V4372=1,D4372=pas_data,E4372=pas_turno),10000-ROW(),"")</f>
        <v/>
      </c>
    </row>
    <row r="4373">
      <c r="A4373" s="3">
        <f>IF(D4373="","","TT-"&amp;TEXT(ROW()-1,"00000"))</f>
        <v/>
      </c>
      <c r="B4373" s="3">
        <f>IF(D4373="","",IF(V4373=0,"CONCLUÍDO",IF(D4373&lt;corte,"HISTÓRICO",IF(OR(AND(ISNUMBER(R4373),R4373&lt;TODAY()),AND(OR(N4373="PENDENTE",N4373="PARCIAL"),D4373&lt;TODAY()-1)),"CRÍTICO",IF(OR(AND(P4373&lt;&gt;"",S4373=""),AND(N4373="REALIZADO",M4373="PENDENTE"),AND(ISNUMBER(R4373),R4373=TODAY())),"ATENÇÃO",IF(N(K4373)=0,"PENDENTE","EM ANDAMENTO"))))))</f>
        <v/>
      </c>
      <c r="C4373" s="3">
        <f>IF(D4373="","",IF(V4373=0,"🟢 OK",IF(D4373&lt;corte,"⚪ HISTÓRICO (sem baixa)",IF(AND(ISNUMBER(R4373),R4373&lt;TODAY()),"🔴 PRAZO VENCIDO",IF(AND(OR(N4373="PENDENTE",N4373="PARCIAL"),D4373&lt;TODAY()-1),"🔴 EMBARQUE ATRASADO",IF(AND(N4373="REALIZADO",M4373="PENDENTE"),"🟡 EMBARCADO SEM FATURAR",IF(AND(P4373&lt;&gt;"",S4373="",OR(Q4373="",R4373="")),"🟡 PENDÊNCIA SEM RESPONSÁVEL/PRAZO",IF(AND(ISNUMBER(R4373),R4373=TODAY()),"🟡 VENCE HOJE",IF(AND(P4373&lt;&gt;"",S4373=""),"🟡 PENDÊNCIA ABERTA",IF(AND(N(J4373)&gt;0,N(K4373)&lt;J4373),"🟡 FALTA EXECUTAR",IF(OR(M4373="PENDENTE",M4373="PARCIAL"),"🟡 FATURAMENTO PENDENTE","🟡 EMBARQUE PENDENTE")))))))))))</f>
        <v/>
      </c>
      <c r="D4373" s="4" t="n"/>
      <c r="E4373" s="5" t="n"/>
      <c r="F4373" s="5" t="n"/>
      <c r="G4373" s="5" t="n"/>
      <c r="H4373" s="5" t="n"/>
      <c r="I4373" s="5" t="n"/>
      <c r="J4373" s="6" t="n"/>
      <c r="K4373" s="6" t="n"/>
      <c r="L4373" s="7">
        <f>IF(OR(D4373="",N(J4373)=0),"",MIN(1,N(K4373)/J4373))</f>
        <v/>
      </c>
      <c r="M4373" s="5" t="n"/>
      <c r="N4373" s="5" t="n"/>
      <c r="O4373" s="5" t="n"/>
      <c r="P4373" s="5" t="n"/>
      <c r="Q4373" s="5" t="n"/>
      <c r="R4373" s="4" t="n"/>
      <c r="S4373" s="4" t="n"/>
      <c r="T4373" s="5" t="n"/>
      <c r="U4373" s="8">
        <f>IF(AND(V4373=1,D4373&lt;&gt;""),IF(D4373&gt;=corte,TODAY()-D4373,""),"")</f>
        <v/>
      </c>
      <c r="V4373" s="8">
        <f>IF(D4373="",0,IF(OR(AND(P4373&lt;&gt;"",S4373=""),AND(N(J4373)&gt;0,N(K4373)&lt;J4373),OR(M4373="PENDENTE",M4373="PARCIAL"),OR(N4373="PENDENTE",N4373="PARCIAL")),1,0))</f>
        <v/>
      </c>
      <c r="W4373" s="8">
        <f>IF(AND(V4373=1,D4373&lt;&gt;""),IF(D4373&gt;=corte,(B4373="CRÍTICO")*1E9+(100000-D4373)*10000+10000-ROW(),""),"")</f>
        <v/>
      </c>
      <c r="X4373" s="8">
        <f>IF(AND(V4373=1,D4373=pas_data,E4373=pas_turno),10000-ROW(),"")</f>
        <v/>
      </c>
    </row>
    <row r="4374">
      <c r="A4374" s="3">
        <f>IF(D4374="","","TT-"&amp;TEXT(ROW()-1,"00000"))</f>
        <v/>
      </c>
      <c r="B4374" s="3">
        <f>IF(D4374="","",IF(V4374=0,"CONCLUÍDO",IF(D4374&lt;corte,"HISTÓRICO",IF(OR(AND(ISNUMBER(R4374),R4374&lt;TODAY()),AND(OR(N4374="PENDENTE",N4374="PARCIAL"),D4374&lt;TODAY()-1)),"CRÍTICO",IF(OR(AND(P4374&lt;&gt;"",S4374=""),AND(N4374="REALIZADO",M4374="PENDENTE"),AND(ISNUMBER(R4374),R4374=TODAY())),"ATENÇÃO",IF(N(K4374)=0,"PENDENTE","EM ANDAMENTO"))))))</f>
        <v/>
      </c>
      <c r="C4374" s="3">
        <f>IF(D4374="","",IF(V4374=0,"🟢 OK",IF(D4374&lt;corte,"⚪ HISTÓRICO (sem baixa)",IF(AND(ISNUMBER(R4374),R4374&lt;TODAY()),"🔴 PRAZO VENCIDO",IF(AND(OR(N4374="PENDENTE",N4374="PARCIAL"),D4374&lt;TODAY()-1),"🔴 EMBARQUE ATRASADO",IF(AND(N4374="REALIZADO",M4374="PENDENTE"),"🟡 EMBARCADO SEM FATURAR",IF(AND(P4374&lt;&gt;"",S4374="",OR(Q4374="",R4374="")),"🟡 PENDÊNCIA SEM RESPONSÁVEL/PRAZO",IF(AND(ISNUMBER(R4374),R4374=TODAY()),"🟡 VENCE HOJE",IF(AND(P4374&lt;&gt;"",S4374=""),"🟡 PENDÊNCIA ABERTA",IF(AND(N(J4374)&gt;0,N(K4374)&lt;J4374),"🟡 FALTA EXECUTAR",IF(OR(M4374="PENDENTE",M4374="PARCIAL"),"🟡 FATURAMENTO PENDENTE","🟡 EMBARQUE PENDENTE")))))))))))</f>
        <v/>
      </c>
      <c r="D4374" s="4" t="n"/>
      <c r="E4374" s="5" t="n"/>
      <c r="F4374" s="5" t="n"/>
      <c r="G4374" s="5" t="n"/>
      <c r="H4374" s="5" t="n"/>
      <c r="I4374" s="5" t="n"/>
      <c r="J4374" s="6" t="n"/>
      <c r="K4374" s="6" t="n"/>
      <c r="L4374" s="7">
        <f>IF(OR(D4374="",N(J4374)=0),"",MIN(1,N(K4374)/J4374))</f>
        <v/>
      </c>
      <c r="M4374" s="5" t="n"/>
      <c r="N4374" s="5" t="n"/>
      <c r="O4374" s="5" t="n"/>
      <c r="P4374" s="5" t="n"/>
      <c r="Q4374" s="5" t="n"/>
      <c r="R4374" s="4" t="n"/>
      <c r="S4374" s="4" t="n"/>
      <c r="T4374" s="5" t="n"/>
      <c r="U4374" s="8">
        <f>IF(AND(V4374=1,D4374&lt;&gt;""),IF(D4374&gt;=corte,TODAY()-D4374,""),"")</f>
        <v/>
      </c>
      <c r="V4374" s="8">
        <f>IF(D4374="",0,IF(OR(AND(P4374&lt;&gt;"",S4374=""),AND(N(J4374)&gt;0,N(K4374)&lt;J4374),OR(M4374="PENDENTE",M4374="PARCIAL"),OR(N4374="PENDENTE",N4374="PARCIAL")),1,0))</f>
        <v/>
      </c>
      <c r="W4374" s="8">
        <f>IF(AND(V4374=1,D4374&lt;&gt;""),IF(D4374&gt;=corte,(B4374="CRÍTICO")*1E9+(100000-D4374)*10000+10000-ROW(),""),"")</f>
        <v/>
      </c>
      <c r="X4374" s="8">
        <f>IF(AND(V4374=1,D4374=pas_data,E4374=pas_turno),10000-ROW(),"")</f>
        <v/>
      </c>
    </row>
    <row r="4375">
      <c r="A4375" s="3">
        <f>IF(D4375="","","TT-"&amp;TEXT(ROW()-1,"00000"))</f>
        <v/>
      </c>
      <c r="B4375" s="3">
        <f>IF(D4375="","",IF(V4375=0,"CONCLUÍDO",IF(D4375&lt;corte,"HISTÓRICO",IF(OR(AND(ISNUMBER(R4375),R4375&lt;TODAY()),AND(OR(N4375="PENDENTE",N4375="PARCIAL"),D4375&lt;TODAY()-1)),"CRÍTICO",IF(OR(AND(P4375&lt;&gt;"",S4375=""),AND(N4375="REALIZADO",M4375="PENDENTE"),AND(ISNUMBER(R4375),R4375=TODAY())),"ATENÇÃO",IF(N(K4375)=0,"PENDENTE","EM ANDAMENTO"))))))</f>
        <v/>
      </c>
      <c r="C4375" s="3">
        <f>IF(D4375="","",IF(V4375=0,"🟢 OK",IF(D4375&lt;corte,"⚪ HISTÓRICO (sem baixa)",IF(AND(ISNUMBER(R4375),R4375&lt;TODAY()),"🔴 PRAZO VENCIDO",IF(AND(OR(N4375="PENDENTE",N4375="PARCIAL"),D4375&lt;TODAY()-1),"🔴 EMBARQUE ATRASADO",IF(AND(N4375="REALIZADO",M4375="PENDENTE"),"🟡 EMBARCADO SEM FATURAR",IF(AND(P4375&lt;&gt;"",S4375="",OR(Q4375="",R4375="")),"🟡 PENDÊNCIA SEM RESPONSÁVEL/PRAZO",IF(AND(ISNUMBER(R4375),R4375=TODAY()),"🟡 VENCE HOJE",IF(AND(P4375&lt;&gt;"",S4375=""),"🟡 PENDÊNCIA ABERTA",IF(AND(N(J4375)&gt;0,N(K4375)&lt;J4375),"🟡 FALTA EXECUTAR",IF(OR(M4375="PENDENTE",M4375="PARCIAL"),"🟡 FATURAMENTO PENDENTE","🟡 EMBARQUE PENDENTE")))))))))))</f>
        <v/>
      </c>
      <c r="D4375" s="4" t="n"/>
      <c r="E4375" s="5" t="n"/>
      <c r="F4375" s="5" t="n"/>
      <c r="G4375" s="5" t="n"/>
      <c r="H4375" s="5" t="n"/>
      <c r="I4375" s="5" t="n"/>
      <c r="J4375" s="6" t="n"/>
      <c r="K4375" s="6" t="n"/>
      <c r="L4375" s="7">
        <f>IF(OR(D4375="",N(J4375)=0),"",MIN(1,N(K4375)/J4375))</f>
        <v/>
      </c>
      <c r="M4375" s="5" t="n"/>
      <c r="N4375" s="5" t="n"/>
      <c r="O4375" s="5" t="n"/>
      <c r="P4375" s="5" t="n"/>
      <c r="Q4375" s="5" t="n"/>
      <c r="R4375" s="4" t="n"/>
      <c r="S4375" s="4" t="n"/>
      <c r="T4375" s="5" t="n"/>
      <c r="U4375" s="8">
        <f>IF(AND(V4375=1,D4375&lt;&gt;""),IF(D4375&gt;=corte,TODAY()-D4375,""),"")</f>
        <v/>
      </c>
      <c r="V4375" s="8">
        <f>IF(D4375="",0,IF(OR(AND(P4375&lt;&gt;"",S4375=""),AND(N(J4375)&gt;0,N(K4375)&lt;J4375),OR(M4375="PENDENTE",M4375="PARCIAL"),OR(N4375="PENDENTE",N4375="PARCIAL")),1,0))</f>
        <v/>
      </c>
      <c r="W4375" s="8">
        <f>IF(AND(V4375=1,D4375&lt;&gt;""),IF(D4375&gt;=corte,(B4375="CRÍTICO")*1E9+(100000-D4375)*10000+10000-ROW(),""),"")</f>
        <v/>
      </c>
      <c r="X4375" s="8">
        <f>IF(AND(V4375=1,D4375=pas_data,E4375=pas_turno),10000-ROW(),"")</f>
        <v/>
      </c>
    </row>
    <row r="4376">
      <c r="A4376" s="3">
        <f>IF(D4376="","","TT-"&amp;TEXT(ROW()-1,"00000"))</f>
        <v/>
      </c>
      <c r="B4376" s="3">
        <f>IF(D4376="","",IF(V4376=0,"CONCLUÍDO",IF(D4376&lt;corte,"HISTÓRICO",IF(OR(AND(ISNUMBER(R4376),R4376&lt;TODAY()),AND(OR(N4376="PENDENTE",N4376="PARCIAL"),D4376&lt;TODAY()-1)),"CRÍTICO",IF(OR(AND(P4376&lt;&gt;"",S4376=""),AND(N4376="REALIZADO",M4376="PENDENTE"),AND(ISNUMBER(R4376),R4376=TODAY())),"ATENÇÃO",IF(N(K4376)=0,"PENDENTE","EM ANDAMENTO"))))))</f>
        <v/>
      </c>
      <c r="C4376" s="3">
        <f>IF(D4376="","",IF(V4376=0,"🟢 OK",IF(D4376&lt;corte,"⚪ HISTÓRICO (sem baixa)",IF(AND(ISNUMBER(R4376),R4376&lt;TODAY()),"🔴 PRAZO VENCIDO",IF(AND(OR(N4376="PENDENTE",N4376="PARCIAL"),D4376&lt;TODAY()-1),"🔴 EMBARQUE ATRASADO",IF(AND(N4376="REALIZADO",M4376="PENDENTE"),"🟡 EMBARCADO SEM FATURAR",IF(AND(P4376&lt;&gt;"",S4376="",OR(Q4376="",R4376="")),"🟡 PENDÊNCIA SEM RESPONSÁVEL/PRAZO",IF(AND(ISNUMBER(R4376),R4376=TODAY()),"🟡 VENCE HOJE",IF(AND(P4376&lt;&gt;"",S4376=""),"🟡 PENDÊNCIA ABERTA",IF(AND(N(J4376)&gt;0,N(K4376)&lt;J4376),"🟡 FALTA EXECUTAR",IF(OR(M4376="PENDENTE",M4376="PARCIAL"),"🟡 FATURAMENTO PENDENTE","🟡 EMBARQUE PENDENTE")))))))))))</f>
        <v/>
      </c>
      <c r="D4376" s="4" t="n"/>
      <c r="E4376" s="5" t="n"/>
      <c r="F4376" s="5" t="n"/>
      <c r="G4376" s="5" t="n"/>
      <c r="H4376" s="5" t="n"/>
      <c r="I4376" s="5" t="n"/>
      <c r="J4376" s="6" t="n"/>
      <c r="K4376" s="6" t="n"/>
      <c r="L4376" s="7">
        <f>IF(OR(D4376="",N(J4376)=0),"",MIN(1,N(K4376)/J4376))</f>
        <v/>
      </c>
      <c r="M4376" s="5" t="n"/>
      <c r="N4376" s="5" t="n"/>
      <c r="O4376" s="5" t="n"/>
      <c r="P4376" s="5" t="n"/>
      <c r="Q4376" s="5" t="n"/>
      <c r="R4376" s="4" t="n"/>
      <c r="S4376" s="4" t="n"/>
      <c r="T4376" s="5" t="n"/>
      <c r="U4376" s="8">
        <f>IF(AND(V4376=1,D4376&lt;&gt;""),IF(D4376&gt;=corte,TODAY()-D4376,""),"")</f>
        <v/>
      </c>
      <c r="V4376" s="8">
        <f>IF(D4376="",0,IF(OR(AND(P4376&lt;&gt;"",S4376=""),AND(N(J4376)&gt;0,N(K4376)&lt;J4376),OR(M4376="PENDENTE",M4376="PARCIAL"),OR(N4376="PENDENTE",N4376="PARCIAL")),1,0))</f>
        <v/>
      </c>
      <c r="W4376" s="8">
        <f>IF(AND(V4376=1,D4376&lt;&gt;""),IF(D4376&gt;=corte,(B4376="CRÍTICO")*1E9+(100000-D4376)*10000+10000-ROW(),""),"")</f>
        <v/>
      </c>
      <c r="X4376" s="8">
        <f>IF(AND(V4376=1,D4376=pas_data,E4376=pas_turno),10000-ROW(),"")</f>
        <v/>
      </c>
    </row>
    <row r="4377">
      <c r="A4377" s="3">
        <f>IF(D4377="","","TT-"&amp;TEXT(ROW()-1,"00000"))</f>
        <v/>
      </c>
      <c r="B4377" s="3">
        <f>IF(D4377="","",IF(V4377=0,"CONCLUÍDO",IF(D4377&lt;corte,"HISTÓRICO",IF(OR(AND(ISNUMBER(R4377),R4377&lt;TODAY()),AND(OR(N4377="PENDENTE",N4377="PARCIAL"),D4377&lt;TODAY()-1)),"CRÍTICO",IF(OR(AND(P4377&lt;&gt;"",S4377=""),AND(N4377="REALIZADO",M4377="PENDENTE"),AND(ISNUMBER(R4377),R4377=TODAY())),"ATENÇÃO",IF(N(K4377)=0,"PENDENTE","EM ANDAMENTO"))))))</f>
        <v/>
      </c>
      <c r="C4377" s="3">
        <f>IF(D4377="","",IF(V4377=0,"🟢 OK",IF(D4377&lt;corte,"⚪ HISTÓRICO (sem baixa)",IF(AND(ISNUMBER(R4377),R4377&lt;TODAY()),"🔴 PRAZO VENCIDO",IF(AND(OR(N4377="PENDENTE",N4377="PARCIAL"),D4377&lt;TODAY()-1),"🔴 EMBARQUE ATRASADO",IF(AND(N4377="REALIZADO",M4377="PENDENTE"),"🟡 EMBARCADO SEM FATURAR",IF(AND(P4377&lt;&gt;"",S4377="",OR(Q4377="",R4377="")),"🟡 PENDÊNCIA SEM RESPONSÁVEL/PRAZO",IF(AND(ISNUMBER(R4377),R4377=TODAY()),"🟡 VENCE HOJE",IF(AND(P4377&lt;&gt;"",S4377=""),"🟡 PENDÊNCIA ABERTA",IF(AND(N(J4377)&gt;0,N(K4377)&lt;J4377),"🟡 FALTA EXECUTAR",IF(OR(M4377="PENDENTE",M4377="PARCIAL"),"🟡 FATURAMENTO PENDENTE","🟡 EMBARQUE PENDENTE")))))))))))</f>
        <v/>
      </c>
      <c r="D4377" s="4" t="n"/>
      <c r="E4377" s="5" t="n"/>
      <c r="F4377" s="5" t="n"/>
      <c r="G4377" s="5" t="n"/>
      <c r="H4377" s="5" t="n"/>
      <c r="I4377" s="5" t="n"/>
      <c r="J4377" s="6" t="n"/>
      <c r="K4377" s="6" t="n"/>
      <c r="L4377" s="7">
        <f>IF(OR(D4377="",N(J4377)=0),"",MIN(1,N(K4377)/J4377))</f>
        <v/>
      </c>
      <c r="M4377" s="5" t="n"/>
      <c r="N4377" s="5" t="n"/>
      <c r="O4377" s="5" t="n"/>
      <c r="P4377" s="5" t="n"/>
      <c r="Q4377" s="5" t="n"/>
      <c r="R4377" s="4" t="n"/>
      <c r="S4377" s="4" t="n"/>
      <c r="T4377" s="5" t="n"/>
      <c r="U4377" s="8">
        <f>IF(AND(V4377=1,D4377&lt;&gt;""),IF(D4377&gt;=corte,TODAY()-D4377,""),"")</f>
        <v/>
      </c>
      <c r="V4377" s="8">
        <f>IF(D4377="",0,IF(OR(AND(P4377&lt;&gt;"",S4377=""),AND(N(J4377)&gt;0,N(K4377)&lt;J4377),OR(M4377="PENDENTE",M4377="PARCIAL"),OR(N4377="PENDENTE",N4377="PARCIAL")),1,0))</f>
        <v/>
      </c>
      <c r="W4377" s="8">
        <f>IF(AND(V4377=1,D4377&lt;&gt;""),IF(D4377&gt;=corte,(B4377="CRÍTICO")*1E9+(100000-D4377)*10000+10000-ROW(),""),"")</f>
        <v/>
      </c>
      <c r="X4377" s="8">
        <f>IF(AND(V4377=1,D4377=pas_data,E4377=pas_turno),10000-ROW(),"")</f>
        <v/>
      </c>
    </row>
    <row r="4378">
      <c r="A4378" s="3">
        <f>IF(D4378="","","TT-"&amp;TEXT(ROW()-1,"00000"))</f>
        <v/>
      </c>
      <c r="B4378" s="3">
        <f>IF(D4378="","",IF(V4378=0,"CONCLUÍDO",IF(D4378&lt;corte,"HISTÓRICO",IF(OR(AND(ISNUMBER(R4378),R4378&lt;TODAY()),AND(OR(N4378="PENDENTE",N4378="PARCIAL"),D4378&lt;TODAY()-1)),"CRÍTICO",IF(OR(AND(P4378&lt;&gt;"",S4378=""),AND(N4378="REALIZADO",M4378="PENDENTE"),AND(ISNUMBER(R4378),R4378=TODAY())),"ATENÇÃO",IF(N(K4378)=0,"PENDENTE","EM ANDAMENTO"))))))</f>
        <v/>
      </c>
      <c r="C4378" s="3">
        <f>IF(D4378="","",IF(V4378=0,"🟢 OK",IF(D4378&lt;corte,"⚪ HISTÓRICO (sem baixa)",IF(AND(ISNUMBER(R4378),R4378&lt;TODAY()),"🔴 PRAZO VENCIDO",IF(AND(OR(N4378="PENDENTE",N4378="PARCIAL"),D4378&lt;TODAY()-1),"🔴 EMBARQUE ATRASADO",IF(AND(N4378="REALIZADO",M4378="PENDENTE"),"🟡 EMBARCADO SEM FATURAR",IF(AND(P4378&lt;&gt;"",S4378="",OR(Q4378="",R4378="")),"🟡 PENDÊNCIA SEM RESPONSÁVEL/PRAZO",IF(AND(ISNUMBER(R4378),R4378=TODAY()),"🟡 VENCE HOJE",IF(AND(P4378&lt;&gt;"",S4378=""),"🟡 PENDÊNCIA ABERTA",IF(AND(N(J4378)&gt;0,N(K4378)&lt;J4378),"🟡 FALTA EXECUTAR",IF(OR(M4378="PENDENTE",M4378="PARCIAL"),"🟡 FATURAMENTO PENDENTE","🟡 EMBARQUE PENDENTE")))))))))))</f>
        <v/>
      </c>
      <c r="D4378" s="4" t="n"/>
      <c r="E4378" s="5" t="n"/>
      <c r="F4378" s="5" t="n"/>
      <c r="G4378" s="5" t="n"/>
      <c r="H4378" s="5" t="n"/>
      <c r="I4378" s="5" t="n"/>
      <c r="J4378" s="6" t="n"/>
      <c r="K4378" s="6" t="n"/>
      <c r="L4378" s="7">
        <f>IF(OR(D4378="",N(J4378)=0),"",MIN(1,N(K4378)/J4378))</f>
        <v/>
      </c>
      <c r="M4378" s="5" t="n"/>
      <c r="N4378" s="5" t="n"/>
      <c r="O4378" s="5" t="n"/>
      <c r="P4378" s="5" t="n"/>
      <c r="Q4378" s="5" t="n"/>
      <c r="R4378" s="4" t="n"/>
      <c r="S4378" s="4" t="n"/>
      <c r="T4378" s="5" t="n"/>
      <c r="U4378" s="8">
        <f>IF(AND(V4378=1,D4378&lt;&gt;""),IF(D4378&gt;=corte,TODAY()-D4378,""),"")</f>
        <v/>
      </c>
      <c r="V4378" s="8">
        <f>IF(D4378="",0,IF(OR(AND(P4378&lt;&gt;"",S4378=""),AND(N(J4378)&gt;0,N(K4378)&lt;J4378),OR(M4378="PENDENTE",M4378="PARCIAL"),OR(N4378="PENDENTE",N4378="PARCIAL")),1,0))</f>
        <v/>
      </c>
      <c r="W4378" s="8">
        <f>IF(AND(V4378=1,D4378&lt;&gt;""),IF(D4378&gt;=corte,(B4378="CRÍTICO")*1E9+(100000-D4378)*10000+10000-ROW(),""),"")</f>
        <v/>
      </c>
      <c r="X4378" s="8">
        <f>IF(AND(V4378=1,D4378=pas_data,E4378=pas_turno),10000-ROW(),"")</f>
        <v/>
      </c>
    </row>
    <row r="4379">
      <c r="A4379" s="3">
        <f>IF(D4379="","","TT-"&amp;TEXT(ROW()-1,"00000"))</f>
        <v/>
      </c>
      <c r="B4379" s="3">
        <f>IF(D4379="","",IF(V4379=0,"CONCLUÍDO",IF(D4379&lt;corte,"HISTÓRICO",IF(OR(AND(ISNUMBER(R4379),R4379&lt;TODAY()),AND(OR(N4379="PENDENTE",N4379="PARCIAL"),D4379&lt;TODAY()-1)),"CRÍTICO",IF(OR(AND(P4379&lt;&gt;"",S4379=""),AND(N4379="REALIZADO",M4379="PENDENTE"),AND(ISNUMBER(R4379),R4379=TODAY())),"ATENÇÃO",IF(N(K4379)=0,"PENDENTE","EM ANDAMENTO"))))))</f>
        <v/>
      </c>
      <c r="C4379" s="3">
        <f>IF(D4379="","",IF(V4379=0,"🟢 OK",IF(D4379&lt;corte,"⚪ HISTÓRICO (sem baixa)",IF(AND(ISNUMBER(R4379),R4379&lt;TODAY()),"🔴 PRAZO VENCIDO",IF(AND(OR(N4379="PENDENTE",N4379="PARCIAL"),D4379&lt;TODAY()-1),"🔴 EMBARQUE ATRASADO",IF(AND(N4379="REALIZADO",M4379="PENDENTE"),"🟡 EMBARCADO SEM FATURAR",IF(AND(P4379&lt;&gt;"",S4379="",OR(Q4379="",R4379="")),"🟡 PENDÊNCIA SEM RESPONSÁVEL/PRAZO",IF(AND(ISNUMBER(R4379),R4379=TODAY()),"🟡 VENCE HOJE",IF(AND(P4379&lt;&gt;"",S4379=""),"🟡 PENDÊNCIA ABERTA",IF(AND(N(J4379)&gt;0,N(K4379)&lt;J4379),"🟡 FALTA EXECUTAR",IF(OR(M4379="PENDENTE",M4379="PARCIAL"),"🟡 FATURAMENTO PENDENTE","🟡 EMBARQUE PENDENTE")))))))))))</f>
        <v/>
      </c>
      <c r="D4379" s="4" t="n"/>
      <c r="E4379" s="5" t="n"/>
      <c r="F4379" s="5" t="n"/>
      <c r="G4379" s="5" t="n"/>
      <c r="H4379" s="5" t="n"/>
      <c r="I4379" s="5" t="n"/>
      <c r="J4379" s="6" t="n"/>
      <c r="K4379" s="6" t="n"/>
      <c r="L4379" s="7">
        <f>IF(OR(D4379="",N(J4379)=0),"",MIN(1,N(K4379)/J4379))</f>
        <v/>
      </c>
      <c r="M4379" s="5" t="n"/>
      <c r="N4379" s="5" t="n"/>
      <c r="O4379" s="5" t="n"/>
      <c r="P4379" s="5" t="n"/>
      <c r="Q4379" s="5" t="n"/>
      <c r="R4379" s="4" t="n"/>
      <c r="S4379" s="4" t="n"/>
      <c r="T4379" s="5" t="n"/>
      <c r="U4379" s="8">
        <f>IF(AND(V4379=1,D4379&lt;&gt;""),IF(D4379&gt;=corte,TODAY()-D4379,""),"")</f>
        <v/>
      </c>
      <c r="V4379" s="8">
        <f>IF(D4379="",0,IF(OR(AND(P4379&lt;&gt;"",S4379=""),AND(N(J4379)&gt;0,N(K4379)&lt;J4379),OR(M4379="PENDENTE",M4379="PARCIAL"),OR(N4379="PENDENTE",N4379="PARCIAL")),1,0))</f>
        <v/>
      </c>
      <c r="W4379" s="8">
        <f>IF(AND(V4379=1,D4379&lt;&gt;""),IF(D4379&gt;=corte,(B4379="CRÍTICO")*1E9+(100000-D4379)*10000+10000-ROW(),""),"")</f>
        <v/>
      </c>
      <c r="X4379" s="8">
        <f>IF(AND(V4379=1,D4379=pas_data,E4379=pas_turno),10000-ROW(),"")</f>
        <v/>
      </c>
    </row>
    <row r="4380">
      <c r="A4380" s="3">
        <f>IF(D4380="","","TT-"&amp;TEXT(ROW()-1,"00000"))</f>
        <v/>
      </c>
      <c r="B4380" s="3">
        <f>IF(D4380="","",IF(V4380=0,"CONCLUÍDO",IF(D4380&lt;corte,"HISTÓRICO",IF(OR(AND(ISNUMBER(R4380),R4380&lt;TODAY()),AND(OR(N4380="PENDENTE",N4380="PARCIAL"),D4380&lt;TODAY()-1)),"CRÍTICO",IF(OR(AND(P4380&lt;&gt;"",S4380=""),AND(N4380="REALIZADO",M4380="PENDENTE"),AND(ISNUMBER(R4380),R4380=TODAY())),"ATENÇÃO",IF(N(K4380)=0,"PENDENTE","EM ANDAMENTO"))))))</f>
        <v/>
      </c>
      <c r="C4380" s="3">
        <f>IF(D4380="","",IF(V4380=0,"🟢 OK",IF(D4380&lt;corte,"⚪ HISTÓRICO (sem baixa)",IF(AND(ISNUMBER(R4380),R4380&lt;TODAY()),"🔴 PRAZO VENCIDO",IF(AND(OR(N4380="PENDENTE",N4380="PARCIAL"),D4380&lt;TODAY()-1),"🔴 EMBARQUE ATRASADO",IF(AND(N4380="REALIZADO",M4380="PENDENTE"),"🟡 EMBARCADO SEM FATURAR",IF(AND(P4380&lt;&gt;"",S4380="",OR(Q4380="",R4380="")),"🟡 PENDÊNCIA SEM RESPONSÁVEL/PRAZO",IF(AND(ISNUMBER(R4380),R4380=TODAY()),"🟡 VENCE HOJE",IF(AND(P4380&lt;&gt;"",S4380=""),"🟡 PENDÊNCIA ABERTA",IF(AND(N(J4380)&gt;0,N(K4380)&lt;J4380),"🟡 FALTA EXECUTAR",IF(OR(M4380="PENDENTE",M4380="PARCIAL"),"🟡 FATURAMENTO PENDENTE","🟡 EMBARQUE PENDENTE")))))))))))</f>
        <v/>
      </c>
      <c r="D4380" s="4" t="n"/>
      <c r="E4380" s="5" t="n"/>
      <c r="F4380" s="5" t="n"/>
      <c r="G4380" s="5" t="n"/>
      <c r="H4380" s="5" t="n"/>
      <c r="I4380" s="5" t="n"/>
      <c r="J4380" s="6" t="n"/>
      <c r="K4380" s="6" t="n"/>
      <c r="L4380" s="7">
        <f>IF(OR(D4380="",N(J4380)=0),"",MIN(1,N(K4380)/J4380))</f>
        <v/>
      </c>
      <c r="M4380" s="5" t="n"/>
      <c r="N4380" s="5" t="n"/>
      <c r="O4380" s="5" t="n"/>
      <c r="P4380" s="5" t="n"/>
      <c r="Q4380" s="5" t="n"/>
      <c r="R4380" s="4" t="n"/>
      <c r="S4380" s="4" t="n"/>
      <c r="T4380" s="5" t="n"/>
      <c r="U4380" s="8">
        <f>IF(AND(V4380=1,D4380&lt;&gt;""),IF(D4380&gt;=corte,TODAY()-D4380,""),"")</f>
        <v/>
      </c>
      <c r="V4380" s="8">
        <f>IF(D4380="",0,IF(OR(AND(P4380&lt;&gt;"",S4380=""),AND(N(J4380)&gt;0,N(K4380)&lt;J4380),OR(M4380="PENDENTE",M4380="PARCIAL"),OR(N4380="PENDENTE",N4380="PARCIAL")),1,0))</f>
        <v/>
      </c>
      <c r="W4380" s="8">
        <f>IF(AND(V4380=1,D4380&lt;&gt;""),IF(D4380&gt;=corte,(B4380="CRÍTICO")*1E9+(100000-D4380)*10000+10000-ROW(),""),"")</f>
        <v/>
      </c>
      <c r="X4380" s="8">
        <f>IF(AND(V4380=1,D4380=pas_data,E4380=pas_turno),10000-ROW(),"")</f>
        <v/>
      </c>
    </row>
    <row r="4381">
      <c r="A4381" s="3">
        <f>IF(D4381="","","TT-"&amp;TEXT(ROW()-1,"00000"))</f>
        <v/>
      </c>
      <c r="B4381" s="3">
        <f>IF(D4381="","",IF(V4381=0,"CONCLUÍDO",IF(D4381&lt;corte,"HISTÓRICO",IF(OR(AND(ISNUMBER(R4381),R4381&lt;TODAY()),AND(OR(N4381="PENDENTE",N4381="PARCIAL"),D4381&lt;TODAY()-1)),"CRÍTICO",IF(OR(AND(P4381&lt;&gt;"",S4381=""),AND(N4381="REALIZADO",M4381="PENDENTE"),AND(ISNUMBER(R4381),R4381=TODAY())),"ATENÇÃO",IF(N(K4381)=0,"PENDENTE","EM ANDAMENTO"))))))</f>
        <v/>
      </c>
      <c r="C4381" s="3">
        <f>IF(D4381="","",IF(V4381=0,"🟢 OK",IF(D4381&lt;corte,"⚪ HISTÓRICO (sem baixa)",IF(AND(ISNUMBER(R4381),R4381&lt;TODAY()),"🔴 PRAZO VENCIDO",IF(AND(OR(N4381="PENDENTE",N4381="PARCIAL"),D4381&lt;TODAY()-1),"🔴 EMBARQUE ATRASADO",IF(AND(N4381="REALIZADO",M4381="PENDENTE"),"🟡 EMBARCADO SEM FATURAR",IF(AND(P4381&lt;&gt;"",S4381="",OR(Q4381="",R4381="")),"🟡 PENDÊNCIA SEM RESPONSÁVEL/PRAZO",IF(AND(ISNUMBER(R4381),R4381=TODAY()),"🟡 VENCE HOJE",IF(AND(P4381&lt;&gt;"",S4381=""),"🟡 PENDÊNCIA ABERTA",IF(AND(N(J4381)&gt;0,N(K4381)&lt;J4381),"🟡 FALTA EXECUTAR",IF(OR(M4381="PENDENTE",M4381="PARCIAL"),"🟡 FATURAMENTO PENDENTE","🟡 EMBARQUE PENDENTE")))))))))))</f>
        <v/>
      </c>
      <c r="D4381" s="4" t="n"/>
      <c r="E4381" s="5" t="n"/>
      <c r="F4381" s="5" t="n"/>
      <c r="G4381" s="5" t="n"/>
      <c r="H4381" s="5" t="n"/>
      <c r="I4381" s="5" t="n"/>
      <c r="J4381" s="6" t="n"/>
      <c r="K4381" s="6" t="n"/>
      <c r="L4381" s="7">
        <f>IF(OR(D4381="",N(J4381)=0),"",MIN(1,N(K4381)/J4381))</f>
        <v/>
      </c>
      <c r="M4381" s="5" t="n"/>
      <c r="N4381" s="5" t="n"/>
      <c r="O4381" s="5" t="n"/>
      <c r="P4381" s="5" t="n"/>
      <c r="Q4381" s="5" t="n"/>
      <c r="R4381" s="4" t="n"/>
      <c r="S4381" s="4" t="n"/>
      <c r="T4381" s="5" t="n"/>
      <c r="U4381" s="8">
        <f>IF(AND(V4381=1,D4381&lt;&gt;""),IF(D4381&gt;=corte,TODAY()-D4381,""),"")</f>
        <v/>
      </c>
      <c r="V4381" s="8">
        <f>IF(D4381="",0,IF(OR(AND(P4381&lt;&gt;"",S4381=""),AND(N(J4381)&gt;0,N(K4381)&lt;J4381),OR(M4381="PENDENTE",M4381="PARCIAL"),OR(N4381="PENDENTE",N4381="PARCIAL")),1,0))</f>
        <v/>
      </c>
      <c r="W4381" s="8">
        <f>IF(AND(V4381=1,D4381&lt;&gt;""),IF(D4381&gt;=corte,(B4381="CRÍTICO")*1E9+(100000-D4381)*10000+10000-ROW(),""),"")</f>
        <v/>
      </c>
      <c r="X4381" s="8">
        <f>IF(AND(V4381=1,D4381=pas_data,E4381=pas_turno),10000-ROW(),"")</f>
        <v/>
      </c>
    </row>
    <row r="4382">
      <c r="A4382" s="3">
        <f>IF(D4382="","","TT-"&amp;TEXT(ROW()-1,"00000"))</f>
        <v/>
      </c>
      <c r="B4382" s="3">
        <f>IF(D4382="","",IF(V4382=0,"CONCLUÍDO",IF(D4382&lt;corte,"HISTÓRICO",IF(OR(AND(ISNUMBER(R4382),R4382&lt;TODAY()),AND(OR(N4382="PENDENTE",N4382="PARCIAL"),D4382&lt;TODAY()-1)),"CRÍTICO",IF(OR(AND(P4382&lt;&gt;"",S4382=""),AND(N4382="REALIZADO",M4382="PENDENTE"),AND(ISNUMBER(R4382),R4382=TODAY())),"ATENÇÃO",IF(N(K4382)=0,"PENDENTE","EM ANDAMENTO"))))))</f>
        <v/>
      </c>
      <c r="C4382" s="3">
        <f>IF(D4382="","",IF(V4382=0,"🟢 OK",IF(D4382&lt;corte,"⚪ HISTÓRICO (sem baixa)",IF(AND(ISNUMBER(R4382),R4382&lt;TODAY()),"🔴 PRAZO VENCIDO",IF(AND(OR(N4382="PENDENTE",N4382="PARCIAL"),D4382&lt;TODAY()-1),"🔴 EMBARQUE ATRASADO",IF(AND(N4382="REALIZADO",M4382="PENDENTE"),"🟡 EMBARCADO SEM FATURAR",IF(AND(P4382&lt;&gt;"",S4382="",OR(Q4382="",R4382="")),"🟡 PENDÊNCIA SEM RESPONSÁVEL/PRAZO",IF(AND(ISNUMBER(R4382),R4382=TODAY()),"🟡 VENCE HOJE",IF(AND(P4382&lt;&gt;"",S4382=""),"🟡 PENDÊNCIA ABERTA",IF(AND(N(J4382)&gt;0,N(K4382)&lt;J4382),"🟡 FALTA EXECUTAR",IF(OR(M4382="PENDENTE",M4382="PARCIAL"),"🟡 FATURAMENTO PENDENTE","🟡 EMBARQUE PENDENTE")))))))))))</f>
        <v/>
      </c>
      <c r="D4382" s="4" t="n"/>
      <c r="E4382" s="5" t="n"/>
      <c r="F4382" s="5" t="n"/>
      <c r="G4382" s="5" t="n"/>
      <c r="H4382" s="5" t="n"/>
      <c r="I4382" s="5" t="n"/>
      <c r="J4382" s="6" t="n"/>
      <c r="K4382" s="6" t="n"/>
      <c r="L4382" s="7">
        <f>IF(OR(D4382="",N(J4382)=0),"",MIN(1,N(K4382)/J4382))</f>
        <v/>
      </c>
      <c r="M4382" s="5" t="n"/>
      <c r="N4382" s="5" t="n"/>
      <c r="O4382" s="5" t="n"/>
      <c r="P4382" s="5" t="n"/>
      <c r="Q4382" s="5" t="n"/>
      <c r="R4382" s="4" t="n"/>
      <c r="S4382" s="4" t="n"/>
      <c r="T4382" s="5" t="n"/>
      <c r="U4382" s="8">
        <f>IF(AND(V4382=1,D4382&lt;&gt;""),IF(D4382&gt;=corte,TODAY()-D4382,""),"")</f>
        <v/>
      </c>
      <c r="V4382" s="8">
        <f>IF(D4382="",0,IF(OR(AND(P4382&lt;&gt;"",S4382=""),AND(N(J4382)&gt;0,N(K4382)&lt;J4382),OR(M4382="PENDENTE",M4382="PARCIAL"),OR(N4382="PENDENTE",N4382="PARCIAL")),1,0))</f>
        <v/>
      </c>
      <c r="W4382" s="8">
        <f>IF(AND(V4382=1,D4382&lt;&gt;""),IF(D4382&gt;=corte,(B4382="CRÍTICO")*1E9+(100000-D4382)*10000+10000-ROW(),""),"")</f>
        <v/>
      </c>
      <c r="X4382" s="8">
        <f>IF(AND(V4382=1,D4382=pas_data,E4382=pas_turno),10000-ROW(),"")</f>
        <v/>
      </c>
    </row>
    <row r="4383">
      <c r="A4383" s="3">
        <f>IF(D4383="","","TT-"&amp;TEXT(ROW()-1,"00000"))</f>
        <v/>
      </c>
      <c r="B4383" s="3">
        <f>IF(D4383="","",IF(V4383=0,"CONCLUÍDO",IF(D4383&lt;corte,"HISTÓRICO",IF(OR(AND(ISNUMBER(R4383),R4383&lt;TODAY()),AND(OR(N4383="PENDENTE",N4383="PARCIAL"),D4383&lt;TODAY()-1)),"CRÍTICO",IF(OR(AND(P4383&lt;&gt;"",S4383=""),AND(N4383="REALIZADO",M4383="PENDENTE"),AND(ISNUMBER(R4383),R4383=TODAY())),"ATENÇÃO",IF(N(K4383)=0,"PENDENTE","EM ANDAMENTO"))))))</f>
        <v/>
      </c>
      <c r="C4383" s="3">
        <f>IF(D4383="","",IF(V4383=0,"🟢 OK",IF(D4383&lt;corte,"⚪ HISTÓRICO (sem baixa)",IF(AND(ISNUMBER(R4383),R4383&lt;TODAY()),"🔴 PRAZO VENCIDO",IF(AND(OR(N4383="PENDENTE",N4383="PARCIAL"),D4383&lt;TODAY()-1),"🔴 EMBARQUE ATRASADO",IF(AND(N4383="REALIZADO",M4383="PENDENTE"),"🟡 EMBARCADO SEM FATURAR",IF(AND(P4383&lt;&gt;"",S4383="",OR(Q4383="",R4383="")),"🟡 PENDÊNCIA SEM RESPONSÁVEL/PRAZO",IF(AND(ISNUMBER(R4383),R4383=TODAY()),"🟡 VENCE HOJE",IF(AND(P4383&lt;&gt;"",S4383=""),"🟡 PENDÊNCIA ABERTA",IF(AND(N(J4383)&gt;0,N(K4383)&lt;J4383),"🟡 FALTA EXECUTAR",IF(OR(M4383="PENDENTE",M4383="PARCIAL"),"🟡 FATURAMENTO PENDENTE","🟡 EMBARQUE PENDENTE")))))))))))</f>
        <v/>
      </c>
      <c r="D4383" s="4" t="n"/>
      <c r="E4383" s="5" t="n"/>
      <c r="F4383" s="5" t="n"/>
      <c r="G4383" s="5" t="n"/>
      <c r="H4383" s="5" t="n"/>
      <c r="I4383" s="5" t="n"/>
      <c r="J4383" s="6" t="n"/>
      <c r="K4383" s="6" t="n"/>
      <c r="L4383" s="7">
        <f>IF(OR(D4383="",N(J4383)=0),"",MIN(1,N(K4383)/J4383))</f>
        <v/>
      </c>
      <c r="M4383" s="5" t="n"/>
      <c r="N4383" s="5" t="n"/>
      <c r="O4383" s="5" t="n"/>
      <c r="P4383" s="5" t="n"/>
      <c r="Q4383" s="5" t="n"/>
      <c r="R4383" s="4" t="n"/>
      <c r="S4383" s="4" t="n"/>
      <c r="T4383" s="5" t="n"/>
      <c r="U4383" s="8">
        <f>IF(AND(V4383=1,D4383&lt;&gt;""),IF(D4383&gt;=corte,TODAY()-D4383,""),"")</f>
        <v/>
      </c>
      <c r="V4383" s="8">
        <f>IF(D4383="",0,IF(OR(AND(P4383&lt;&gt;"",S4383=""),AND(N(J4383)&gt;0,N(K4383)&lt;J4383),OR(M4383="PENDENTE",M4383="PARCIAL"),OR(N4383="PENDENTE",N4383="PARCIAL")),1,0))</f>
        <v/>
      </c>
      <c r="W4383" s="8">
        <f>IF(AND(V4383=1,D4383&lt;&gt;""),IF(D4383&gt;=corte,(B4383="CRÍTICO")*1E9+(100000-D4383)*10000+10000-ROW(),""),"")</f>
        <v/>
      </c>
      <c r="X4383" s="8">
        <f>IF(AND(V4383=1,D4383=pas_data,E4383=pas_turno),10000-ROW(),"")</f>
        <v/>
      </c>
    </row>
    <row r="4384">
      <c r="A4384" s="3">
        <f>IF(D4384="","","TT-"&amp;TEXT(ROW()-1,"00000"))</f>
        <v/>
      </c>
      <c r="B4384" s="3">
        <f>IF(D4384="","",IF(V4384=0,"CONCLUÍDO",IF(D4384&lt;corte,"HISTÓRICO",IF(OR(AND(ISNUMBER(R4384),R4384&lt;TODAY()),AND(OR(N4384="PENDENTE",N4384="PARCIAL"),D4384&lt;TODAY()-1)),"CRÍTICO",IF(OR(AND(P4384&lt;&gt;"",S4384=""),AND(N4384="REALIZADO",M4384="PENDENTE"),AND(ISNUMBER(R4384),R4384=TODAY())),"ATENÇÃO",IF(N(K4384)=0,"PENDENTE","EM ANDAMENTO"))))))</f>
        <v/>
      </c>
      <c r="C4384" s="3">
        <f>IF(D4384="","",IF(V4384=0,"🟢 OK",IF(D4384&lt;corte,"⚪ HISTÓRICO (sem baixa)",IF(AND(ISNUMBER(R4384),R4384&lt;TODAY()),"🔴 PRAZO VENCIDO",IF(AND(OR(N4384="PENDENTE",N4384="PARCIAL"),D4384&lt;TODAY()-1),"🔴 EMBARQUE ATRASADO",IF(AND(N4384="REALIZADO",M4384="PENDENTE"),"🟡 EMBARCADO SEM FATURAR",IF(AND(P4384&lt;&gt;"",S4384="",OR(Q4384="",R4384="")),"🟡 PENDÊNCIA SEM RESPONSÁVEL/PRAZO",IF(AND(ISNUMBER(R4384),R4384=TODAY()),"🟡 VENCE HOJE",IF(AND(P4384&lt;&gt;"",S4384=""),"🟡 PENDÊNCIA ABERTA",IF(AND(N(J4384)&gt;0,N(K4384)&lt;J4384),"🟡 FALTA EXECUTAR",IF(OR(M4384="PENDENTE",M4384="PARCIAL"),"🟡 FATURAMENTO PENDENTE","🟡 EMBARQUE PENDENTE")))))))))))</f>
        <v/>
      </c>
      <c r="D4384" s="4" t="n"/>
      <c r="E4384" s="5" t="n"/>
      <c r="F4384" s="5" t="n"/>
      <c r="G4384" s="5" t="n"/>
      <c r="H4384" s="5" t="n"/>
      <c r="I4384" s="5" t="n"/>
      <c r="J4384" s="6" t="n"/>
      <c r="K4384" s="6" t="n"/>
      <c r="L4384" s="7">
        <f>IF(OR(D4384="",N(J4384)=0),"",MIN(1,N(K4384)/J4384))</f>
        <v/>
      </c>
      <c r="M4384" s="5" t="n"/>
      <c r="N4384" s="5" t="n"/>
      <c r="O4384" s="5" t="n"/>
      <c r="P4384" s="5" t="n"/>
      <c r="Q4384" s="5" t="n"/>
      <c r="R4384" s="4" t="n"/>
      <c r="S4384" s="4" t="n"/>
      <c r="T4384" s="5" t="n"/>
      <c r="U4384" s="8">
        <f>IF(AND(V4384=1,D4384&lt;&gt;""),IF(D4384&gt;=corte,TODAY()-D4384,""),"")</f>
        <v/>
      </c>
      <c r="V4384" s="8">
        <f>IF(D4384="",0,IF(OR(AND(P4384&lt;&gt;"",S4384=""),AND(N(J4384)&gt;0,N(K4384)&lt;J4384),OR(M4384="PENDENTE",M4384="PARCIAL"),OR(N4384="PENDENTE",N4384="PARCIAL")),1,0))</f>
        <v/>
      </c>
      <c r="W4384" s="8">
        <f>IF(AND(V4384=1,D4384&lt;&gt;""),IF(D4384&gt;=corte,(B4384="CRÍTICO")*1E9+(100000-D4384)*10000+10000-ROW(),""),"")</f>
        <v/>
      </c>
      <c r="X4384" s="8">
        <f>IF(AND(V4384=1,D4384=pas_data,E4384=pas_turno),10000-ROW(),"")</f>
        <v/>
      </c>
    </row>
    <row r="4385">
      <c r="A4385" s="3">
        <f>IF(D4385="","","TT-"&amp;TEXT(ROW()-1,"00000"))</f>
        <v/>
      </c>
      <c r="B4385" s="3">
        <f>IF(D4385="","",IF(V4385=0,"CONCLUÍDO",IF(D4385&lt;corte,"HISTÓRICO",IF(OR(AND(ISNUMBER(R4385),R4385&lt;TODAY()),AND(OR(N4385="PENDENTE",N4385="PARCIAL"),D4385&lt;TODAY()-1)),"CRÍTICO",IF(OR(AND(P4385&lt;&gt;"",S4385=""),AND(N4385="REALIZADO",M4385="PENDENTE"),AND(ISNUMBER(R4385),R4385=TODAY())),"ATENÇÃO",IF(N(K4385)=0,"PENDENTE","EM ANDAMENTO"))))))</f>
        <v/>
      </c>
      <c r="C4385" s="3">
        <f>IF(D4385="","",IF(V4385=0,"🟢 OK",IF(D4385&lt;corte,"⚪ HISTÓRICO (sem baixa)",IF(AND(ISNUMBER(R4385),R4385&lt;TODAY()),"🔴 PRAZO VENCIDO",IF(AND(OR(N4385="PENDENTE",N4385="PARCIAL"),D4385&lt;TODAY()-1),"🔴 EMBARQUE ATRASADO",IF(AND(N4385="REALIZADO",M4385="PENDENTE"),"🟡 EMBARCADO SEM FATURAR",IF(AND(P4385&lt;&gt;"",S4385="",OR(Q4385="",R4385="")),"🟡 PENDÊNCIA SEM RESPONSÁVEL/PRAZO",IF(AND(ISNUMBER(R4385),R4385=TODAY()),"🟡 VENCE HOJE",IF(AND(P4385&lt;&gt;"",S4385=""),"🟡 PENDÊNCIA ABERTA",IF(AND(N(J4385)&gt;0,N(K4385)&lt;J4385),"🟡 FALTA EXECUTAR",IF(OR(M4385="PENDENTE",M4385="PARCIAL"),"🟡 FATURAMENTO PENDENTE","🟡 EMBARQUE PENDENTE")))))))))))</f>
        <v/>
      </c>
      <c r="D4385" s="4" t="n"/>
      <c r="E4385" s="5" t="n"/>
      <c r="F4385" s="5" t="n"/>
      <c r="G4385" s="5" t="n"/>
      <c r="H4385" s="5" t="n"/>
      <c r="I4385" s="5" t="n"/>
      <c r="J4385" s="6" t="n"/>
      <c r="K4385" s="6" t="n"/>
      <c r="L4385" s="7">
        <f>IF(OR(D4385="",N(J4385)=0),"",MIN(1,N(K4385)/J4385))</f>
        <v/>
      </c>
      <c r="M4385" s="5" t="n"/>
      <c r="N4385" s="5" t="n"/>
      <c r="O4385" s="5" t="n"/>
      <c r="P4385" s="5" t="n"/>
      <c r="Q4385" s="5" t="n"/>
      <c r="R4385" s="4" t="n"/>
      <c r="S4385" s="4" t="n"/>
      <c r="T4385" s="5" t="n"/>
      <c r="U4385" s="8">
        <f>IF(AND(V4385=1,D4385&lt;&gt;""),IF(D4385&gt;=corte,TODAY()-D4385,""),"")</f>
        <v/>
      </c>
      <c r="V4385" s="8">
        <f>IF(D4385="",0,IF(OR(AND(P4385&lt;&gt;"",S4385=""),AND(N(J4385)&gt;0,N(K4385)&lt;J4385),OR(M4385="PENDENTE",M4385="PARCIAL"),OR(N4385="PENDENTE",N4385="PARCIAL")),1,0))</f>
        <v/>
      </c>
      <c r="W4385" s="8">
        <f>IF(AND(V4385=1,D4385&lt;&gt;""),IF(D4385&gt;=corte,(B4385="CRÍTICO")*1E9+(100000-D4385)*10000+10000-ROW(),""),"")</f>
        <v/>
      </c>
      <c r="X4385" s="8">
        <f>IF(AND(V4385=1,D4385=pas_data,E4385=pas_turno),10000-ROW(),"")</f>
        <v/>
      </c>
    </row>
    <row r="4386">
      <c r="A4386" s="3">
        <f>IF(D4386="","","TT-"&amp;TEXT(ROW()-1,"00000"))</f>
        <v/>
      </c>
      <c r="B4386" s="3">
        <f>IF(D4386="","",IF(V4386=0,"CONCLUÍDO",IF(D4386&lt;corte,"HISTÓRICO",IF(OR(AND(ISNUMBER(R4386),R4386&lt;TODAY()),AND(OR(N4386="PENDENTE",N4386="PARCIAL"),D4386&lt;TODAY()-1)),"CRÍTICO",IF(OR(AND(P4386&lt;&gt;"",S4386=""),AND(N4386="REALIZADO",M4386="PENDENTE"),AND(ISNUMBER(R4386),R4386=TODAY())),"ATENÇÃO",IF(N(K4386)=0,"PENDENTE","EM ANDAMENTO"))))))</f>
        <v/>
      </c>
      <c r="C4386" s="3">
        <f>IF(D4386="","",IF(V4386=0,"🟢 OK",IF(D4386&lt;corte,"⚪ HISTÓRICO (sem baixa)",IF(AND(ISNUMBER(R4386),R4386&lt;TODAY()),"🔴 PRAZO VENCIDO",IF(AND(OR(N4386="PENDENTE",N4386="PARCIAL"),D4386&lt;TODAY()-1),"🔴 EMBARQUE ATRASADO",IF(AND(N4386="REALIZADO",M4386="PENDENTE"),"🟡 EMBARCADO SEM FATURAR",IF(AND(P4386&lt;&gt;"",S4386="",OR(Q4386="",R4386="")),"🟡 PENDÊNCIA SEM RESPONSÁVEL/PRAZO",IF(AND(ISNUMBER(R4386),R4386=TODAY()),"🟡 VENCE HOJE",IF(AND(P4386&lt;&gt;"",S4386=""),"🟡 PENDÊNCIA ABERTA",IF(AND(N(J4386)&gt;0,N(K4386)&lt;J4386),"🟡 FALTA EXECUTAR",IF(OR(M4386="PENDENTE",M4386="PARCIAL"),"🟡 FATURAMENTO PENDENTE","🟡 EMBARQUE PENDENTE")))))))))))</f>
        <v/>
      </c>
      <c r="D4386" s="4" t="n"/>
      <c r="E4386" s="5" t="n"/>
      <c r="F4386" s="5" t="n"/>
      <c r="G4386" s="5" t="n"/>
      <c r="H4386" s="5" t="n"/>
      <c r="I4386" s="5" t="n"/>
      <c r="J4386" s="6" t="n"/>
      <c r="K4386" s="6" t="n"/>
      <c r="L4386" s="7">
        <f>IF(OR(D4386="",N(J4386)=0),"",MIN(1,N(K4386)/J4386))</f>
        <v/>
      </c>
      <c r="M4386" s="5" t="n"/>
      <c r="N4386" s="5" t="n"/>
      <c r="O4386" s="5" t="n"/>
      <c r="P4386" s="5" t="n"/>
      <c r="Q4386" s="5" t="n"/>
      <c r="R4386" s="4" t="n"/>
      <c r="S4386" s="4" t="n"/>
      <c r="T4386" s="5" t="n"/>
      <c r="U4386" s="8">
        <f>IF(AND(V4386=1,D4386&lt;&gt;""),IF(D4386&gt;=corte,TODAY()-D4386,""),"")</f>
        <v/>
      </c>
      <c r="V4386" s="8">
        <f>IF(D4386="",0,IF(OR(AND(P4386&lt;&gt;"",S4386=""),AND(N(J4386)&gt;0,N(K4386)&lt;J4386),OR(M4386="PENDENTE",M4386="PARCIAL"),OR(N4386="PENDENTE",N4386="PARCIAL")),1,0))</f>
        <v/>
      </c>
      <c r="W4386" s="8">
        <f>IF(AND(V4386=1,D4386&lt;&gt;""),IF(D4386&gt;=corte,(B4386="CRÍTICO")*1E9+(100000-D4386)*10000+10000-ROW(),""),"")</f>
        <v/>
      </c>
      <c r="X4386" s="8">
        <f>IF(AND(V4386=1,D4386=pas_data,E4386=pas_turno),10000-ROW(),"")</f>
        <v/>
      </c>
    </row>
    <row r="4387">
      <c r="A4387" s="3">
        <f>IF(D4387="","","TT-"&amp;TEXT(ROW()-1,"00000"))</f>
        <v/>
      </c>
      <c r="B4387" s="3">
        <f>IF(D4387="","",IF(V4387=0,"CONCLUÍDO",IF(D4387&lt;corte,"HISTÓRICO",IF(OR(AND(ISNUMBER(R4387),R4387&lt;TODAY()),AND(OR(N4387="PENDENTE",N4387="PARCIAL"),D4387&lt;TODAY()-1)),"CRÍTICO",IF(OR(AND(P4387&lt;&gt;"",S4387=""),AND(N4387="REALIZADO",M4387="PENDENTE"),AND(ISNUMBER(R4387),R4387=TODAY())),"ATENÇÃO",IF(N(K4387)=0,"PENDENTE","EM ANDAMENTO"))))))</f>
        <v/>
      </c>
      <c r="C4387" s="3">
        <f>IF(D4387="","",IF(V4387=0,"🟢 OK",IF(D4387&lt;corte,"⚪ HISTÓRICO (sem baixa)",IF(AND(ISNUMBER(R4387),R4387&lt;TODAY()),"🔴 PRAZO VENCIDO",IF(AND(OR(N4387="PENDENTE",N4387="PARCIAL"),D4387&lt;TODAY()-1),"🔴 EMBARQUE ATRASADO",IF(AND(N4387="REALIZADO",M4387="PENDENTE"),"🟡 EMBARCADO SEM FATURAR",IF(AND(P4387&lt;&gt;"",S4387="",OR(Q4387="",R4387="")),"🟡 PENDÊNCIA SEM RESPONSÁVEL/PRAZO",IF(AND(ISNUMBER(R4387),R4387=TODAY()),"🟡 VENCE HOJE",IF(AND(P4387&lt;&gt;"",S4387=""),"🟡 PENDÊNCIA ABERTA",IF(AND(N(J4387)&gt;0,N(K4387)&lt;J4387),"🟡 FALTA EXECUTAR",IF(OR(M4387="PENDENTE",M4387="PARCIAL"),"🟡 FATURAMENTO PENDENTE","🟡 EMBARQUE PENDENTE")))))))))))</f>
        <v/>
      </c>
      <c r="D4387" s="4" t="n"/>
      <c r="E4387" s="5" t="n"/>
      <c r="F4387" s="5" t="n"/>
      <c r="G4387" s="5" t="n"/>
      <c r="H4387" s="5" t="n"/>
      <c r="I4387" s="5" t="n"/>
      <c r="J4387" s="6" t="n"/>
      <c r="K4387" s="6" t="n"/>
      <c r="L4387" s="7">
        <f>IF(OR(D4387="",N(J4387)=0),"",MIN(1,N(K4387)/J4387))</f>
        <v/>
      </c>
      <c r="M4387" s="5" t="n"/>
      <c r="N4387" s="5" t="n"/>
      <c r="O4387" s="5" t="n"/>
      <c r="P4387" s="5" t="n"/>
      <c r="Q4387" s="5" t="n"/>
      <c r="R4387" s="4" t="n"/>
      <c r="S4387" s="4" t="n"/>
      <c r="T4387" s="5" t="n"/>
      <c r="U4387" s="8">
        <f>IF(AND(V4387=1,D4387&lt;&gt;""),IF(D4387&gt;=corte,TODAY()-D4387,""),"")</f>
        <v/>
      </c>
      <c r="V4387" s="8">
        <f>IF(D4387="",0,IF(OR(AND(P4387&lt;&gt;"",S4387=""),AND(N(J4387)&gt;0,N(K4387)&lt;J4387),OR(M4387="PENDENTE",M4387="PARCIAL"),OR(N4387="PENDENTE",N4387="PARCIAL")),1,0))</f>
        <v/>
      </c>
      <c r="W4387" s="8">
        <f>IF(AND(V4387=1,D4387&lt;&gt;""),IF(D4387&gt;=corte,(B4387="CRÍTICO")*1E9+(100000-D4387)*10000+10000-ROW(),""),"")</f>
        <v/>
      </c>
      <c r="X4387" s="8">
        <f>IF(AND(V4387=1,D4387=pas_data,E4387=pas_turno),10000-ROW(),"")</f>
        <v/>
      </c>
    </row>
    <row r="4388">
      <c r="A4388" s="3">
        <f>IF(D4388="","","TT-"&amp;TEXT(ROW()-1,"00000"))</f>
        <v/>
      </c>
      <c r="B4388" s="3">
        <f>IF(D4388="","",IF(V4388=0,"CONCLUÍDO",IF(D4388&lt;corte,"HISTÓRICO",IF(OR(AND(ISNUMBER(R4388),R4388&lt;TODAY()),AND(OR(N4388="PENDENTE",N4388="PARCIAL"),D4388&lt;TODAY()-1)),"CRÍTICO",IF(OR(AND(P4388&lt;&gt;"",S4388=""),AND(N4388="REALIZADO",M4388="PENDENTE"),AND(ISNUMBER(R4388),R4388=TODAY())),"ATENÇÃO",IF(N(K4388)=0,"PENDENTE","EM ANDAMENTO"))))))</f>
        <v/>
      </c>
      <c r="C4388" s="3">
        <f>IF(D4388="","",IF(V4388=0,"🟢 OK",IF(D4388&lt;corte,"⚪ HISTÓRICO (sem baixa)",IF(AND(ISNUMBER(R4388),R4388&lt;TODAY()),"🔴 PRAZO VENCIDO",IF(AND(OR(N4388="PENDENTE",N4388="PARCIAL"),D4388&lt;TODAY()-1),"🔴 EMBARQUE ATRASADO",IF(AND(N4388="REALIZADO",M4388="PENDENTE"),"🟡 EMBARCADO SEM FATURAR",IF(AND(P4388&lt;&gt;"",S4388="",OR(Q4388="",R4388="")),"🟡 PENDÊNCIA SEM RESPONSÁVEL/PRAZO",IF(AND(ISNUMBER(R4388),R4388=TODAY()),"🟡 VENCE HOJE",IF(AND(P4388&lt;&gt;"",S4388=""),"🟡 PENDÊNCIA ABERTA",IF(AND(N(J4388)&gt;0,N(K4388)&lt;J4388),"🟡 FALTA EXECUTAR",IF(OR(M4388="PENDENTE",M4388="PARCIAL"),"🟡 FATURAMENTO PENDENTE","🟡 EMBARQUE PENDENTE")))))))))))</f>
        <v/>
      </c>
      <c r="D4388" s="4" t="n"/>
      <c r="E4388" s="5" t="n"/>
      <c r="F4388" s="5" t="n"/>
      <c r="G4388" s="5" t="n"/>
      <c r="H4388" s="5" t="n"/>
      <c r="I4388" s="5" t="n"/>
      <c r="J4388" s="6" t="n"/>
      <c r="K4388" s="6" t="n"/>
      <c r="L4388" s="7">
        <f>IF(OR(D4388="",N(J4388)=0),"",MIN(1,N(K4388)/J4388))</f>
        <v/>
      </c>
      <c r="M4388" s="5" t="n"/>
      <c r="N4388" s="5" t="n"/>
      <c r="O4388" s="5" t="n"/>
      <c r="P4388" s="5" t="n"/>
      <c r="Q4388" s="5" t="n"/>
      <c r="R4388" s="4" t="n"/>
      <c r="S4388" s="4" t="n"/>
      <c r="T4388" s="5" t="n"/>
      <c r="U4388" s="8">
        <f>IF(AND(V4388=1,D4388&lt;&gt;""),IF(D4388&gt;=corte,TODAY()-D4388,""),"")</f>
        <v/>
      </c>
      <c r="V4388" s="8">
        <f>IF(D4388="",0,IF(OR(AND(P4388&lt;&gt;"",S4388=""),AND(N(J4388)&gt;0,N(K4388)&lt;J4388),OR(M4388="PENDENTE",M4388="PARCIAL"),OR(N4388="PENDENTE",N4388="PARCIAL")),1,0))</f>
        <v/>
      </c>
      <c r="W4388" s="8">
        <f>IF(AND(V4388=1,D4388&lt;&gt;""),IF(D4388&gt;=corte,(B4388="CRÍTICO")*1E9+(100000-D4388)*10000+10000-ROW(),""),"")</f>
        <v/>
      </c>
      <c r="X4388" s="8">
        <f>IF(AND(V4388=1,D4388=pas_data,E4388=pas_turno),10000-ROW(),"")</f>
        <v/>
      </c>
    </row>
    <row r="4389">
      <c r="A4389" s="3">
        <f>IF(D4389="","","TT-"&amp;TEXT(ROW()-1,"00000"))</f>
        <v/>
      </c>
      <c r="B4389" s="3">
        <f>IF(D4389="","",IF(V4389=0,"CONCLUÍDO",IF(D4389&lt;corte,"HISTÓRICO",IF(OR(AND(ISNUMBER(R4389),R4389&lt;TODAY()),AND(OR(N4389="PENDENTE",N4389="PARCIAL"),D4389&lt;TODAY()-1)),"CRÍTICO",IF(OR(AND(P4389&lt;&gt;"",S4389=""),AND(N4389="REALIZADO",M4389="PENDENTE"),AND(ISNUMBER(R4389),R4389=TODAY())),"ATENÇÃO",IF(N(K4389)=0,"PENDENTE","EM ANDAMENTO"))))))</f>
        <v/>
      </c>
      <c r="C4389" s="3">
        <f>IF(D4389="","",IF(V4389=0,"🟢 OK",IF(D4389&lt;corte,"⚪ HISTÓRICO (sem baixa)",IF(AND(ISNUMBER(R4389),R4389&lt;TODAY()),"🔴 PRAZO VENCIDO",IF(AND(OR(N4389="PENDENTE",N4389="PARCIAL"),D4389&lt;TODAY()-1),"🔴 EMBARQUE ATRASADO",IF(AND(N4389="REALIZADO",M4389="PENDENTE"),"🟡 EMBARCADO SEM FATURAR",IF(AND(P4389&lt;&gt;"",S4389="",OR(Q4389="",R4389="")),"🟡 PENDÊNCIA SEM RESPONSÁVEL/PRAZO",IF(AND(ISNUMBER(R4389),R4389=TODAY()),"🟡 VENCE HOJE",IF(AND(P4389&lt;&gt;"",S4389=""),"🟡 PENDÊNCIA ABERTA",IF(AND(N(J4389)&gt;0,N(K4389)&lt;J4389),"🟡 FALTA EXECUTAR",IF(OR(M4389="PENDENTE",M4389="PARCIAL"),"🟡 FATURAMENTO PENDENTE","🟡 EMBARQUE PENDENTE")))))))))))</f>
        <v/>
      </c>
      <c r="D4389" s="4" t="n"/>
      <c r="E4389" s="5" t="n"/>
      <c r="F4389" s="5" t="n"/>
      <c r="G4389" s="5" t="n"/>
      <c r="H4389" s="5" t="n"/>
      <c r="I4389" s="5" t="n"/>
      <c r="J4389" s="6" t="n"/>
      <c r="K4389" s="6" t="n"/>
      <c r="L4389" s="7">
        <f>IF(OR(D4389="",N(J4389)=0),"",MIN(1,N(K4389)/J4389))</f>
        <v/>
      </c>
      <c r="M4389" s="5" t="n"/>
      <c r="N4389" s="5" t="n"/>
      <c r="O4389" s="5" t="n"/>
      <c r="P4389" s="5" t="n"/>
      <c r="Q4389" s="5" t="n"/>
      <c r="R4389" s="4" t="n"/>
      <c r="S4389" s="4" t="n"/>
      <c r="T4389" s="5" t="n"/>
      <c r="U4389" s="8">
        <f>IF(AND(V4389=1,D4389&lt;&gt;""),IF(D4389&gt;=corte,TODAY()-D4389,""),"")</f>
        <v/>
      </c>
      <c r="V4389" s="8">
        <f>IF(D4389="",0,IF(OR(AND(P4389&lt;&gt;"",S4389=""),AND(N(J4389)&gt;0,N(K4389)&lt;J4389),OR(M4389="PENDENTE",M4389="PARCIAL"),OR(N4389="PENDENTE",N4389="PARCIAL")),1,0))</f>
        <v/>
      </c>
      <c r="W4389" s="8">
        <f>IF(AND(V4389=1,D4389&lt;&gt;""),IF(D4389&gt;=corte,(B4389="CRÍTICO")*1E9+(100000-D4389)*10000+10000-ROW(),""),"")</f>
        <v/>
      </c>
      <c r="X4389" s="8">
        <f>IF(AND(V4389=1,D4389=pas_data,E4389=pas_turno),10000-ROW(),"")</f>
        <v/>
      </c>
    </row>
    <row r="4390">
      <c r="A4390" s="3">
        <f>IF(D4390="","","TT-"&amp;TEXT(ROW()-1,"00000"))</f>
        <v/>
      </c>
      <c r="B4390" s="3">
        <f>IF(D4390="","",IF(V4390=0,"CONCLUÍDO",IF(D4390&lt;corte,"HISTÓRICO",IF(OR(AND(ISNUMBER(R4390),R4390&lt;TODAY()),AND(OR(N4390="PENDENTE",N4390="PARCIAL"),D4390&lt;TODAY()-1)),"CRÍTICO",IF(OR(AND(P4390&lt;&gt;"",S4390=""),AND(N4390="REALIZADO",M4390="PENDENTE"),AND(ISNUMBER(R4390),R4390=TODAY())),"ATENÇÃO",IF(N(K4390)=0,"PENDENTE","EM ANDAMENTO"))))))</f>
        <v/>
      </c>
      <c r="C4390" s="3">
        <f>IF(D4390="","",IF(V4390=0,"🟢 OK",IF(D4390&lt;corte,"⚪ HISTÓRICO (sem baixa)",IF(AND(ISNUMBER(R4390),R4390&lt;TODAY()),"🔴 PRAZO VENCIDO",IF(AND(OR(N4390="PENDENTE",N4390="PARCIAL"),D4390&lt;TODAY()-1),"🔴 EMBARQUE ATRASADO",IF(AND(N4390="REALIZADO",M4390="PENDENTE"),"🟡 EMBARCADO SEM FATURAR",IF(AND(P4390&lt;&gt;"",S4390="",OR(Q4390="",R4390="")),"🟡 PENDÊNCIA SEM RESPONSÁVEL/PRAZO",IF(AND(ISNUMBER(R4390),R4390=TODAY()),"🟡 VENCE HOJE",IF(AND(P4390&lt;&gt;"",S4390=""),"🟡 PENDÊNCIA ABERTA",IF(AND(N(J4390)&gt;0,N(K4390)&lt;J4390),"🟡 FALTA EXECUTAR",IF(OR(M4390="PENDENTE",M4390="PARCIAL"),"🟡 FATURAMENTO PENDENTE","🟡 EMBARQUE PENDENTE")))))))))))</f>
        <v/>
      </c>
      <c r="D4390" s="4" t="n"/>
      <c r="E4390" s="5" t="n"/>
      <c r="F4390" s="5" t="n"/>
      <c r="G4390" s="5" t="n"/>
      <c r="H4390" s="5" t="n"/>
      <c r="I4390" s="5" t="n"/>
      <c r="J4390" s="6" t="n"/>
      <c r="K4390" s="6" t="n"/>
      <c r="L4390" s="7">
        <f>IF(OR(D4390="",N(J4390)=0),"",MIN(1,N(K4390)/J4390))</f>
        <v/>
      </c>
      <c r="M4390" s="5" t="n"/>
      <c r="N4390" s="5" t="n"/>
      <c r="O4390" s="5" t="n"/>
      <c r="P4390" s="5" t="n"/>
      <c r="Q4390" s="5" t="n"/>
      <c r="R4390" s="4" t="n"/>
      <c r="S4390" s="4" t="n"/>
      <c r="T4390" s="5" t="n"/>
      <c r="U4390" s="8">
        <f>IF(AND(V4390=1,D4390&lt;&gt;""),IF(D4390&gt;=corte,TODAY()-D4390,""),"")</f>
        <v/>
      </c>
      <c r="V4390" s="8">
        <f>IF(D4390="",0,IF(OR(AND(P4390&lt;&gt;"",S4390=""),AND(N(J4390)&gt;0,N(K4390)&lt;J4390),OR(M4390="PENDENTE",M4390="PARCIAL"),OR(N4390="PENDENTE",N4390="PARCIAL")),1,0))</f>
        <v/>
      </c>
      <c r="W4390" s="8">
        <f>IF(AND(V4390=1,D4390&lt;&gt;""),IF(D4390&gt;=corte,(B4390="CRÍTICO")*1E9+(100000-D4390)*10000+10000-ROW(),""),"")</f>
        <v/>
      </c>
      <c r="X4390" s="8">
        <f>IF(AND(V4390=1,D4390=pas_data,E4390=pas_turno),10000-ROW(),"")</f>
        <v/>
      </c>
    </row>
    <row r="4391">
      <c r="A4391" s="3">
        <f>IF(D4391="","","TT-"&amp;TEXT(ROW()-1,"00000"))</f>
        <v/>
      </c>
      <c r="B4391" s="3">
        <f>IF(D4391="","",IF(V4391=0,"CONCLUÍDO",IF(D4391&lt;corte,"HISTÓRICO",IF(OR(AND(ISNUMBER(R4391),R4391&lt;TODAY()),AND(OR(N4391="PENDENTE",N4391="PARCIAL"),D4391&lt;TODAY()-1)),"CRÍTICO",IF(OR(AND(P4391&lt;&gt;"",S4391=""),AND(N4391="REALIZADO",M4391="PENDENTE"),AND(ISNUMBER(R4391),R4391=TODAY())),"ATENÇÃO",IF(N(K4391)=0,"PENDENTE","EM ANDAMENTO"))))))</f>
        <v/>
      </c>
      <c r="C4391" s="3">
        <f>IF(D4391="","",IF(V4391=0,"🟢 OK",IF(D4391&lt;corte,"⚪ HISTÓRICO (sem baixa)",IF(AND(ISNUMBER(R4391),R4391&lt;TODAY()),"🔴 PRAZO VENCIDO",IF(AND(OR(N4391="PENDENTE",N4391="PARCIAL"),D4391&lt;TODAY()-1),"🔴 EMBARQUE ATRASADO",IF(AND(N4391="REALIZADO",M4391="PENDENTE"),"🟡 EMBARCADO SEM FATURAR",IF(AND(P4391&lt;&gt;"",S4391="",OR(Q4391="",R4391="")),"🟡 PENDÊNCIA SEM RESPONSÁVEL/PRAZO",IF(AND(ISNUMBER(R4391),R4391=TODAY()),"🟡 VENCE HOJE",IF(AND(P4391&lt;&gt;"",S4391=""),"🟡 PENDÊNCIA ABERTA",IF(AND(N(J4391)&gt;0,N(K4391)&lt;J4391),"🟡 FALTA EXECUTAR",IF(OR(M4391="PENDENTE",M4391="PARCIAL"),"🟡 FATURAMENTO PENDENTE","🟡 EMBARQUE PENDENTE")))))))))))</f>
        <v/>
      </c>
      <c r="D4391" s="4" t="n"/>
      <c r="E4391" s="5" t="n"/>
      <c r="F4391" s="5" t="n"/>
      <c r="G4391" s="5" t="n"/>
      <c r="H4391" s="5" t="n"/>
      <c r="I4391" s="5" t="n"/>
      <c r="J4391" s="6" t="n"/>
      <c r="K4391" s="6" t="n"/>
      <c r="L4391" s="7">
        <f>IF(OR(D4391="",N(J4391)=0),"",MIN(1,N(K4391)/J4391))</f>
        <v/>
      </c>
      <c r="M4391" s="5" t="n"/>
      <c r="N4391" s="5" t="n"/>
      <c r="O4391" s="5" t="n"/>
      <c r="P4391" s="5" t="n"/>
      <c r="Q4391" s="5" t="n"/>
      <c r="R4391" s="4" t="n"/>
      <c r="S4391" s="4" t="n"/>
      <c r="T4391" s="5" t="n"/>
      <c r="U4391" s="8">
        <f>IF(AND(V4391=1,D4391&lt;&gt;""),IF(D4391&gt;=corte,TODAY()-D4391,""),"")</f>
        <v/>
      </c>
      <c r="V4391" s="8">
        <f>IF(D4391="",0,IF(OR(AND(P4391&lt;&gt;"",S4391=""),AND(N(J4391)&gt;0,N(K4391)&lt;J4391),OR(M4391="PENDENTE",M4391="PARCIAL"),OR(N4391="PENDENTE",N4391="PARCIAL")),1,0))</f>
        <v/>
      </c>
      <c r="W4391" s="8">
        <f>IF(AND(V4391=1,D4391&lt;&gt;""),IF(D4391&gt;=corte,(B4391="CRÍTICO")*1E9+(100000-D4391)*10000+10000-ROW(),""),"")</f>
        <v/>
      </c>
      <c r="X4391" s="8">
        <f>IF(AND(V4391=1,D4391=pas_data,E4391=pas_turno),10000-ROW(),"")</f>
        <v/>
      </c>
    </row>
    <row r="4392">
      <c r="A4392" s="3">
        <f>IF(D4392="","","TT-"&amp;TEXT(ROW()-1,"00000"))</f>
        <v/>
      </c>
      <c r="B4392" s="3">
        <f>IF(D4392="","",IF(V4392=0,"CONCLUÍDO",IF(D4392&lt;corte,"HISTÓRICO",IF(OR(AND(ISNUMBER(R4392),R4392&lt;TODAY()),AND(OR(N4392="PENDENTE",N4392="PARCIAL"),D4392&lt;TODAY()-1)),"CRÍTICO",IF(OR(AND(P4392&lt;&gt;"",S4392=""),AND(N4392="REALIZADO",M4392="PENDENTE"),AND(ISNUMBER(R4392),R4392=TODAY())),"ATENÇÃO",IF(N(K4392)=0,"PENDENTE","EM ANDAMENTO"))))))</f>
        <v/>
      </c>
      <c r="C4392" s="3">
        <f>IF(D4392="","",IF(V4392=0,"🟢 OK",IF(D4392&lt;corte,"⚪ HISTÓRICO (sem baixa)",IF(AND(ISNUMBER(R4392),R4392&lt;TODAY()),"🔴 PRAZO VENCIDO",IF(AND(OR(N4392="PENDENTE",N4392="PARCIAL"),D4392&lt;TODAY()-1),"🔴 EMBARQUE ATRASADO",IF(AND(N4392="REALIZADO",M4392="PENDENTE"),"🟡 EMBARCADO SEM FATURAR",IF(AND(P4392&lt;&gt;"",S4392="",OR(Q4392="",R4392="")),"🟡 PENDÊNCIA SEM RESPONSÁVEL/PRAZO",IF(AND(ISNUMBER(R4392),R4392=TODAY()),"🟡 VENCE HOJE",IF(AND(P4392&lt;&gt;"",S4392=""),"🟡 PENDÊNCIA ABERTA",IF(AND(N(J4392)&gt;0,N(K4392)&lt;J4392),"🟡 FALTA EXECUTAR",IF(OR(M4392="PENDENTE",M4392="PARCIAL"),"🟡 FATURAMENTO PENDENTE","🟡 EMBARQUE PENDENTE")))))))))))</f>
        <v/>
      </c>
      <c r="D4392" s="4" t="n"/>
      <c r="E4392" s="5" t="n"/>
      <c r="F4392" s="5" t="n"/>
      <c r="G4392" s="5" t="n"/>
      <c r="H4392" s="5" t="n"/>
      <c r="I4392" s="5" t="n"/>
      <c r="J4392" s="6" t="n"/>
      <c r="K4392" s="6" t="n"/>
      <c r="L4392" s="7">
        <f>IF(OR(D4392="",N(J4392)=0),"",MIN(1,N(K4392)/J4392))</f>
        <v/>
      </c>
      <c r="M4392" s="5" t="n"/>
      <c r="N4392" s="5" t="n"/>
      <c r="O4392" s="5" t="n"/>
      <c r="P4392" s="5" t="n"/>
      <c r="Q4392" s="5" t="n"/>
      <c r="R4392" s="4" t="n"/>
      <c r="S4392" s="4" t="n"/>
      <c r="T4392" s="5" t="n"/>
      <c r="U4392" s="8">
        <f>IF(AND(V4392=1,D4392&lt;&gt;""),IF(D4392&gt;=corte,TODAY()-D4392,""),"")</f>
        <v/>
      </c>
      <c r="V4392" s="8">
        <f>IF(D4392="",0,IF(OR(AND(P4392&lt;&gt;"",S4392=""),AND(N(J4392)&gt;0,N(K4392)&lt;J4392),OR(M4392="PENDENTE",M4392="PARCIAL"),OR(N4392="PENDENTE",N4392="PARCIAL")),1,0))</f>
        <v/>
      </c>
      <c r="W4392" s="8">
        <f>IF(AND(V4392=1,D4392&lt;&gt;""),IF(D4392&gt;=corte,(B4392="CRÍTICO")*1E9+(100000-D4392)*10000+10000-ROW(),""),"")</f>
        <v/>
      </c>
      <c r="X4392" s="8">
        <f>IF(AND(V4392=1,D4392=pas_data,E4392=pas_turno),10000-ROW(),"")</f>
        <v/>
      </c>
    </row>
    <row r="4393">
      <c r="A4393" s="3">
        <f>IF(D4393="","","TT-"&amp;TEXT(ROW()-1,"00000"))</f>
        <v/>
      </c>
      <c r="B4393" s="3">
        <f>IF(D4393="","",IF(V4393=0,"CONCLUÍDO",IF(D4393&lt;corte,"HISTÓRICO",IF(OR(AND(ISNUMBER(R4393),R4393&lt;TODAY()),AND(OR(N4393="PENDENTE",N4393="PARCIAL"),D4393&lt;TODAY()-1)),"CRÍTICO",IF(OR(AND(P4393&lt;&gt;"",S4393=""),AND(N4393="REALIZADO",M4393="PENDENTE"),AND(ISNUMBER(R4393),R4393=TODAY())),"ATENÇÃO",IF(N(K4393)=0,"PENDENTE","EM ANDAMENTO"))))))</f>
        <v/>
      </c>
      <c r="C4393" s="3">
        <f>IF(D4393="","",IF(V4393=0,"🟢 OK",IF(D4393&lt;corte,"⚪ HISTÓRICO (sem baixa)",IF(AND(ISNUMBER(R4393),R4393&lt;TODAY()),"🔴 PRAZO VENCIDO",IF(AND(OR(N4393="PENDENTE",N4393="PARCIAL"),D4393&lt;TODAY()-1),"🔴 EMBARQUE ATRASADO",IF(AND(N4393="REALIZADO",M4393="PENDENTE"),"🟡 EMBARCADO SEM FATURAR",IF(AND(P4393&lt;&gt;"",S4393="",OR(Q4393="",R4393="")),"🟡 PENDÊNCIA SEM RESPONSÁVEL/PRAZO",IF(AND(ISNUMBER(R4393),R4393=TODAY()),"🟡 VENCE HOJE",IF(AND(P4393&lt;&gt;"",S4393=""),"🟡 PENDÊNCIA ABERTA",IF(AND(N(J4393)&gt;0,N(K4393)&lt;J4393),"🟡 FALTA EXECUTAR",IF(OR(M4393="PENDENTE",M4393="PARCIAL"),"🟡 FATURAMENTO PENDENTE","🟡 EMBARQUE PENDENTE")))))))))))</f>
        <v/>
      </c>
      <c r="D4393" s="4" t="n"/>
      <c r="E4393" s="5" t="n"/>
      <c r="F4393" s="5" t="n"/>
      <c r="G4393" s="5" t="n"/>
      <c r="H4393" s="5" t="n"/>
      <c r="I4393" s="5" t="n"/>
      <c r="J4393" s="6" t="n"/>
      <c r="K4393" s="6" t="n"/>
      <c r="L4393" s="7">
        <f>IF(OR(D4393="",N(J4393)=0),"",MIN(1,N(K4393)/J4393))</f>
        <v/>
      </c>
      <c r="M4393" s="5" t="n"/>
      <c r="N4393" s="5" t="n"/>
      <c r="O4393" s="5" t="n"/>
      <c r="P4393" s="5" t="n"/>
      <c r="Q4393" s="5" t="n"/>
      <c r="R4393" s="4" t="n"/>
      <c r="S4393" s="4" t="n"/>
      <c r="T4393" s="5" t="n"/>
      <c r="U4393" s="8">
        <f>IF(AND(V4393=1,D4393&lt;&gt;""),IF(D4393&gt;=corte,TODAY()-D4393,""),"")</f>
        <v/>
      </c>
      <c r="V4393" s="8">
        <f>IF(D4393="",0,IF(OR(AND(P4393&lt;&gt;"",S4393=""),AND(N(J4393)&gt;0,N(K4393)&lt;J4393),OR(M4393="PENDENTE",M4393="PARCIAL"),OR(N4393="PENDENTE",N4393="PARCIAL")),1,0))</f>
        <v/>
      </c>
      <c r="W4393" s="8">
        <f>IF(AND(V4393=1,D4393&lt;&gt;""),IF(D4393&gt;=corte,(B4393="CRÍTICO")*1E9+(100000-D4393)*10000+10000-ROW(),""),"")</f>
        <v/>
      </c>
      <c r="X4393" s="8">
        <f>IF(AND(V4393=1,D4393=pas_data,E4393=pas_turno),10000-ROW(),"")</f>
        <v/>
      </c>
    </row>
    <row r="4394">
      <c r="A4394" s="3">
        <f>IF(D4394="","","TT-"&amp;TEXT(ROW()-1,"00000"))</f>
        <v/>
      </c>
      <c r="B4394" s="3">
        <f>IF(D4394="","",IF(V4394=0,"CONCLUÍDO",IF(D4394&lt;corte,"HISTÓRICO",IF(OR(AND(ISNUMBER(R4394),R4394&lt;TODAY()),AND(OR(N4394="PENDENTE",N4394="PARCIAL"),D4394&lt;TODAY()-1)),"CRÍTICO",IF(OR(AND(P4394&lt;&gt;"",S4394=""),AND(N4394="REALIZADO",M4394="PENDENTE"),AND(ISNUMBER(R4394),R4394=TODAY())),"ATENÇÃO",IF(N(K4394)=0,"PENDENTE","EM ANDAMENTO"))))))</f>
        <v/>
      </c>
      <c r="C4394" s="3">
        <f>IF(D4394="","",IF(V4394=0,"🟢 OK",IF(D4394&lt;corte,"⚪ HISTÓRICO (sem baixa)",IF(AND(ISNUMBER(R4394),R4394&lt;TODAY()),"🔴 PRAZO VENCIDO",IF(AND(OR(N4394="PENDENTE",N4394="PARCIAL"),D4394&lt;TODAY()-1),"🔴 EMBARQUE ATRASADO",IF(AND(N4394="REALIZADO",M4394="PENDENTE"),"🟡 EMBARCADO SEM FATURAR",IF(AND(P4394&lt;&gt;"",S4394="",OR(Q4394="",R4394="")),"🟡 PENDÊNCIA SEM RESPONSÁVEL/PRAZO",IF(AND(ISNUMBER(R4394),R4394=TODAY()),"🟡 VENCE HOJE",IF(AND(P4394&lt;&gt;"",S4394=""),"🟡 PENDÊNCIA ABERTA",IF(AND(N(J4394)&gt;0,N(K4394)&lt;J4394),"🟡 FALTA EXECUTAR",IF(OR(M4394="PENDENTE",M4394="PARCIAL"),"🟡 FATURAMENTO PENDENTE","🟡 EMBARQUE PENDENTE")))))))))))</f>
        <v/>
      </c>
      <c r="D4394" s="4" t="n"/>
      <c r="E4394" s="5" t="n"/>
      <c r="F4394" s="5" t="n"/>
      <c r="G4394" s="5" t="n"/>
      <c r="H4394" s="5" t="n"/>
      <c r="I4394" s="5" t="n"/>
      <c r="J4394" s="6" t="n"/>
      <c r="K4394" s="6" t="n"/>
      <c r="L4394" s="7">
        <f>IF(OR(D4394="",N(J4394)=0),"",MIN(1,N(K4394)/J4394))</f>
        <v/>
      </c>
      <c r="M4394" s="5" t="n"/>
      <c r="N4394" s="5" t="n"/>
      <c r="O4394" s="5" t="n"/>
      <c r="P4394" s="5" t="n"/>
      <c r="Q4394" s="5" t="n"/>
      <c r="R4394" s="4" t="n"/>
      <c r="S4394" s="4" t="n"/>
      <c r="T4394" s="5" t="n"/>
      <c r="U4394" s="8">
        <f>IF(AND(V4394=1,D4394&lt;&gt;""),IF(D4394&gt;=corte,TODAY()-D4394,""),"")</f>
        <v/>
      </c>
      <c r="V4394" s="8">
        <f>IF(D4394="",0,IF(OR(AND(P4394&lt;&gt;"",S4394=""),AND(N(J4394)&gt;0,N(K4394)&lt;J4394),OR(M4394="PENDENTE",M4394="PARCIAL"),OR(N4394="PENDENTE",N4394="PARCIAL")),1,0))</f>
        <v/>
      </c>
      <c r="W4394" s="8">
        <f>IF(AND(V4394=1,D4394&lt;&gt;""),IF(D4394&gt;=corte,(B4394="CRÍTICO")*1E9+(100000-D4394)*10000+10000-ROW(),""),"")</f>
        <v/>
      </c>
      <c r="X4394" s="8">
        <f>IF(AND(V4394=1,D4394=pas_data,E4394=pas_turno),10000-ROW(),"")</f>
        <v/>
      </c>
    </row>
    <row r="4395">
      <c r="A4395" s="3">
        <f>IF(D4395="","","TT-"&amp;TEXT(ROW()-1,"00000"))</f>
        <v/>
      </c>
      <c r="B4395" s="3">
        <f>IF(D4395="","",IF(V4395=0,"CONCLUÍDO",IF(D4395&lt;corte,"HISTÓRICO",IF(OR(AND(ISNUMBER(R4395),R4395&lt;TODAY()),AND(OR(N4395="PENDENTE",N4395="PARCIAL"),D4395&lt;TODAY()-1)),"CRÍTICO",IF(OR(AND(P4395&lt;&gt;"",S4395=""),AND(N4395="REALIZADO",M4395="PENDENTE"),AND(ISNUMBER(R4395),R4395=TODAY())),"ATENÇÃO",IF(N(K4395)=0,"PENDENTE","EM ANDAMENTO"))))))</f>
        <v/>
      </c>
      <c r="C4395" s="3">
        <f>IF(D4395="","",IF(V4395=0,"🟢 OK",IF(D4395&lt;corte,"⚪ HISTÓRICO (sem baixa)",IF(AND(ISNUMBER(R4395),R4395&lt;TODAY()),"🔴 PRAZO VENCIDO",IF(AND(OR(N4395="PENDENTE",N4395="PARCIAL"),D4395&lt;TODAY()-1),"🔴 EMBARQUE ATRASADO",IF(AND(N4395="REALIZADO",M4395="PENDENTE"),"🟡 EMBARCADO SEM FATURAR",IF(AND(P4395&lt;&gt;"",S4395="",OR(Q4395="",R4395="")),"🟡 PENDÊNCIA SEM RESPONSÁVEL/PRAZO",IF(AND(ISNUMBER(R4395),R4395=TODAY()),"🟡 VENCE HOJE",IF(AND(P4395&lt;&gt;"",S4395=""),"🟡 PENDÊNCIA ABERTA",IF(AND(N(J4395)&gt;0,N(K4395)&lt;J4395),"🟡 FALTA EXECUTAR",IF(OR(M4395="PENDENTE",M4395="PARCIAL"),"🟡 FATURAMENTO PENDENTE","🟡 EMBARQUE PENDENTE")))))))))))</f>
        <v/>
      </c>
      <c r="D4395" s="4" t="n"/>
      <c r="E4395" s="5" t="n"/>
      <c r="F4395" s="5" t="n"/>
      <c r="G4395" s="5" t="n"/>
      <c r="H4395" s="5" t="n"/>
      <c r="I4395" s="5" t="n"/>
      <c r="J4395" s="6" t="n"/>
      <c r="K4395" s="6" t="n"/>
      <c r="L4395" s="7">
        <f>IF(OR(D4395="",N(J4395)=0),"",MIN(1,N(K4395)/J4395))</f>
        <v/>
      </c>
      <c r="M4395" s="5" t="n"/>
      <c r="N4395" s="5" t="n"/>
      <c r="O4395" s="5" t="n"/>
      <c r="P4395" s="5" t="n"/>
      <c r="Q4395" s="5" t="n"/>
      <c r="R4395" s="4" t="n"/>
      <c r="S4395" s="4" t="n"/>
      <c r="T4395" s="5" t="n"/>
      <c r="U4395" s="8">
        <f>IF(AND(V4395=1,D4395&lt;&gt;""),IF(D4395&gt;=corte,TODAY()-D4395,""),"")</f>
        <v/>
      </c>
      <c r="V4395" s="8">
        <f>IF(D4395="",0,IF(OR(AND(P4395&lt;&gt;"",S4395=""),AND(N(J4395)&gt;0,N(K4395)&lt;J4395),OR(M4395="PENDENTE",M4395="PARCIAL"),OR(N4395="PENDENTE",N4395="PARCIAL")),1,0))</f>
        <v/>
      </c>
      <c r="W4395" s="8">
        <f>IF(AND(V4395=1,D4395&lt;&gt;""),IF(D4395&gt;=corte,(B4395="CRÍTICO")*1E9+(100000-D4395)*10000+10000-ROW(),""),"")</f>
        <v/>
      </c>
      <c r="X4395" s="8">
        <f>IF(AND(V4395=1,D4395=pas_data,E4395=pas_turno),10000-ROW(),"")</f>
        <v/>
      </c>
    </row>
    <row r="4396">
      <c r="A4396" s="3">
        <f>IF(D4396="","","TT-"&amp;TEXT(ROW()-1,"00000"))</f>
        <v/>
      </c>
      <c r="B4396" s="3">
        <f>IF(D4396="","",IF(V4396=0,"CONCLUÍDO",IF(D4396&lt;corte,"HISTÓRICO",IF(OR(AND(ISNUMBER(R4396),R4396&lt;TODAY()),AND(OR(N4396="PENDENTE",N4396="PARCIAL"),D4396&lt;TODAY()-1)),"CRÍTICO",IF(OR(AND(P4396&lt;&gt;"",S4396=""),AND(N4396="REALIZADO",M4396="PENDENTE"),AND(ISNUMBER(R4396),R4396=TODAY())),"ATENÇÃO",IF(N(K4396)=0,"PENDENTE","EM ANDAMENTO"))))))</f>
        <v/>
      </c>
      <c r="C4396" s="3">
        <f>IF(D4396="","",IF(V4396=0,"🟢 OK",IF(D4396&lt;corte,"⚪ HISTÓRICO (sem baixa)",IF(AND(ISNUMBER(R4396),R4396&lt;TODAY()),"🔴 PRAZO VENCIDO",IF(AND(OR(N4396="PENDENTE",N4396="PARCIAL"),D4396&lt;TODAY()-1),"🔴 EMBARQUE ATRASADO",IF(AND(N4396="REALIZADO",M4396="PENDENTE"),"🟡 EMBARCADO SEM FATURAR",IF(AND(P4396&lt;&gt;"",S4396="",OR(Q4396="",R4396="")),"🟡 PENDÊNCIA SEM RESPONSÁVEL/PRAZO",IF(AND(ISNUMBER(R4396),R4396=TODAY()),"🟡 VENCE HOJE",IF(AND(P4396&lt;&gt;"",S4396=""),"🟡 PENDÊNCIA ABERTA",IF(AND(N(J4396)&gt;0,N(K4396)&lt;J4396),"🟡 FALTA EXECUTAR",IF(OR(M4396="PENDENTE",M4396="PARCIAL"),"🟡 FATURAMENTO PENDENTE","🟡 EMBARQUE PENDENTE")))))))))))</f>
        <v/>
      </c>
      <c r="D4396" s="4" t="n"/>
      <c r="E4396" s="5" t="n"/>
      <c r="F4396" s="5" t="n"/>
      <c r="G4396" s="5" t="n"/>
      <c r="H4396" s="5" t="n"/>
      <c r="I4396" s="5" t="n"/>
      <c r="J4396" s="6" t="n"/>
      <c r="K4396" s="6" t="n"/>
      <c r="L4396" s="7">
        <f>IF(OR(D4396="",N(J4396)=0),"",MIN(1,N(K4396)/J4396))</f>
        <v/>
      </c>
      <c r="M4396" s="5" t="n"/>
      <c r="N4396" s="5" t="n"/>
      <c r="O4396" s="5" t="n"/>
      <c r="P4396" s="5" t="n"/>
      <c r="Q4396" s="5" t="n"/>
      <c r="R4396" s="4" t="n"/>
      <c r="S4396" s="4" t="n"/>
      <c r="T4396" s="5" t="n"/>
      <c r="U4396" s="8">
        <f>IF(AND(V4396=1,D4396&lt;&gt;""),IF(D4396&gt;=corte,TODAY()-D4396,""),"")</f>
        <v/>
      </c>
      <c r="V4396" s="8">
        <f>IF(D4396="",0,IF(OR(AND(P4396&lt;&gt;"",S4396=""),AND(N(J4396)&gt;0,N(K4396)&lt;J4396),OR(M4396="PENDENTE",M4396="PARCIAL"),OR(N4396="PENDENTE",N4396="PARCIAL")),1,0))</f>
        <v/>
      </c>
      <c r="W4396" s="8">
        <f>IF(AND(V4396=1,D4396&lt;&gt;""),IF(D4396&gt;=corte,(B4396="CRÍTICO")*1E9+(100000-D4396)*10000+10000-ROW(),""),"")</f>
        <v/>
      </c>
      <c r="X4396" s="8">
        <f>IF(AND(V4396=1,D4396=pas_data,E4396=pas_turno),10000-ROW(),"")</f>
        <v/>
      </c>
    </row>
    <row r="4397">
      <c r="A4397" s="3">
        <f>IF(D4397="","","TT-"&amp;TEXT(ROW()-1,"00000"))</f>
        <v/>
      </c>
      <c r="B4397" s="3">
        <f>IF(D4397="","",IF(V4397=0,"CONCLUÍDO",IF(D4397&lt;corte,"HISTÓRICO",IF(OR(AND(ISNUMBER(R4397),R4397&lt;TODAY()),AND(OR(N4397="PENDENTE",N4397="PARCIAL"),D4397&lt;TODAY()-1)),"CRÍTICO",IF(OR(AND(P4397&lt;&gt;"",S4397=""),AND(N4397="REALIZADO",M4397="PENDENTE"),AND(ISNUMBER(R4397),R4397=TODAY())),"ATENÇÃO",IF(N(K4397)=0,"PENDENTE","EM ANDAMENTO"))))))</f>
        <v/>
      </c>
      <c r="C4397" s="3">
        <f>IF(D4397="","",IF(V4397=0,"🟢 OK",IF(D4397&lt;corte,"⚪ HISTÓRICO (sem baixa)",IF(AND(ISNUMBER(R4397),R4397&lt;TODAY()),"🔴 PRAZO VENCIDO",IF(AND(OR(N4397="PENDENTE",N4397="PARCIAL"),D4397&lt;TODAY()-1),"🔴 EMBARQUE ATRASADO",IF(AND(N4397="REALIZADO",M4397="PENDENTE"),"🟡 EMBARCADO SEM FATURAR",IF(AND(P4397&lt;&gt;"",S4397="",OR(Q4397="",R4397="")),"🟡 PENDÊNCIA SEM RESPONSÁVEL/PRAZO",IF(AND(ISNUMBER(R4397),R4397=TODAY()),"🟡 VENCE HOJE",IF(AND(P4397&lt;&gt;"",S4397=""),"🟡 PENDÊNCIA ABERTA",IF(AND(N(J4397)&gt;0,N(K4397)&lt;J4397),"🟡 FALTA EXECUTAR",IF(OR(M4397="PENDENTE",M4397="PARCIAL"),"🟡 FATURAMENTO PENDENTE","🟡 EMBARQUE PENDENTE")))))))))))</f>
        <v/>
      </c>
      <c r="D4397" s="4" t="n"/>
      <c r="E4397" s="5" t="n"/>
      <c r="F4397" s="5" t="n"/>
      <c r="G4397" s="5" t="n"/>
      <c r="H4397" s="5" t="n"/>
      <c r="I4397" s="5" t="n"/>
      <c r="J4397" s="6" t="n"/>
      <c r="K4397" s="6" t="n"/>
      <c r="L4397" s="7">
        <f>IF(OR(D4397="",N(J4397)=0),"",MIN(1,N(K4397)/J4397))</f>
        <v/>
      </c>
      <c r="M4397" s="5" t="n"/>
      <c r="N4397" s="5" t="n"/>
      <c r="O4397" s="5" t="n"/>
      <c r="P4397" s="5" t="n"/>
      <c r="Q4397" s="5" t="n"/>
      <c r="R4397" s="4" t="n"/>
      <c r="S4397" s="4" t="n"/>
      <c r="T4397" s="5" t="n"/>
      <c r="U4397" s="8">
        <f>IF(AND(V4397=1,D4397&lt;&gt;""),IF(D4397&gt;=corte,TODAY()-D4397,""),"")</f>
        <v/>
      </c>
      <c r="V4397" s="8">
        <f>IF(D4397="",0,IF(OR(AND(P4397&lt;&gt;"",S4397=""),AND(N(J4397)&gt;0,N(K4397)&lt;J4397),OR(M4397="PENDENTE",M4397="PARCIAL"),OR(N4397="PENDENTE",N4397="PARCIAL")),1,0))</f>
        <v/>
      </c>
      <c r="W4397" s="8">
        <f>IF(AND(V4397=1,D4397&lt;&gt;""),IF(D4397&gt;=corte,(B4397="CRÍTICO")*1E9+(100000-D4397)*10000+10000-ROW(),""),"")</f>
        <v/>
      </c>
      <c r="X4397" s="8">
        <f>IF(AND(V4397=1,D4397=pas_data,E4397=pas_turno),10000-ROW(),"")</f>
        <v/>
      </c>
    </row>
    <row r="4398">
      <c r="A4398" s="3">
        <f>IF(D4398="","","TT-"&amp;TEXT(ROW()-1,"00000"))</f>
        <v/>
      </c>
      <c r="B4398" s="3">
        <f>IF(D4398="","",IF(V4398=0,"CONCLUÍDO",IF(D4398&lt;corte,"HISTÓRICO",IF(OR(AND(ISNUMBER(R4398),R4398&lt;TODAY()),AND(OR(N4398="PENDENTE",N4398="PARCIAL"),D4398&lt;TODAY()-1)),"CRÍTICO",IF(OR(AND(P4398&lt;&gt;"",S4398=""),AND(N4398="REALIZADO",M4398="PENDENTE"),AND(ISNUMBER(R4398),R4398=TODAY())),"ATENÇÃO",IF(N(K4398)=0,"PENDENTE","EM ANDAMENTO"))))))</f>
        <v/>
      </c>
      <c r="C4398" s="3">
        <f>IF(D4398="","",IF(V4398=0,"🟢 OK",IF(D4398&lt;corte,"⚪ HISTÓRICO (sem baixa)",IF(AND(ISNUMBER(R4398),R4398&lt;TODAY()),"🔴 PRAZO VENCIDO",IF(AND(OR(N4398="PENDENTE",N4398="PARCIAL"),D4398&lt;TODAY()-1),"🔴 EMBARQUE ATRASADO",IF(AND(N4398="REALIZADO",M4398="PENDENTE"),"🟡 EMBARCADO SEM FATURAR",IF(AND(P4398&lt;&gt;"",S4398="",OR(Q4398="",R4398="")),"🟡 PENDÊNCIA SEM RESPONSÁVEL/PRAZO",IF(AND(ISNUMBER(R4398),R4398=TODAY()),"🟡 VENCE HOJE",IF(AND(P4398&lt;&gt;"",S4398=""),"🟡 PENDÊNCIA ABERTA",IF(AND(N(J4398)&gt;0,N(K4398)&lt;J4398),"🟡 FALTA EXECUTAR",IF(OR(M4398="PENDENTE",M4398="PARCIAL"),"🟡 FATURAMENTO PENDENTE","🟡 EMBARQUE PENDENTE")))))))))))</f>
        <v/>
      </c>
      <c r="D4398" s="4" t="n"/>
      <c r="E4398" s="5" t="n"/>
      <c r="F4398" s="5" t="n"/>
      <c r="G4398" s="5" t="n"/>
      <c r="H4398" s="5" t="n"/>
      <c r="I4398" s="5" t="n"/>
      <c r="J4398" s="6" t="n"/>
      <c r="K4398" s="6" t="n"/>
      <c r="L4398" s="7">
        <f>IF(OR(D4398="",N(J4398)=0),"",MIN(1,N(K4398)/J4398))</f>
        <v/>
      </c>
      <c r="M4398" s="5" t="n"/>
      <c r="N4398" s="5" t="n"/>
      <c r="O4398" s="5" t="n"/>
      <c r="P4398" s="5" t="n"/>
      <c r="Q4398" s="5" t="n"/>
      <c r="R4398" s="4" t="n"/>
      <c r="S4398" s="4" t="n"/>
      <c r="T4398" s="5" t="n"/>
      <c r="U4398" s="8">
        <f>IF(AND(V4398=1,D4398&lt;&gt;""),IF(D4398&gt;=corte,TODAY()-D4398,""),"")</f>
        <v/>
      </c>
      <c r="V4398" s="8">
        <f>IF(D4398="",0,IF(OR(AND(P4398&lt;&gt;"",S4398=""),AND(N(J4398)&gt;0,N(K4398)&lt;J4398),OR(M4398="PENDENTE",M4398="PARCIAL"),OR(N4398="PENDENTE",N4398="PARCIAL")),1,0))</f>
        <v/>
      </c>
      <c r="W4398" s="8">
        <f>IF(AND(V4398=1,D4398&lt;&gt;""),IF(D4398&gt;=corte,(B4398="CRÍTICO")*1E9+(100000-D4398)*10000+10000-ROW(),""),"")</f>
        <v/>
      </c>
      <c r="X4398" s="8">
        <f>IF(AND(V4398=1,D4398=pas_data,E4398=pas_turno),10000-ROW(),"")</f>
        <v/>
      </c>
    </row>
    <row r="4399">
      <c r="A4399" s="3">
        <f>IF(D4399="","","TT-"&amp;TEXT(ROW()-1,"00000"))</f>
        <v/>
      </c>
      <c r="B4399" s="3">
        <f>IF(D4399="","",IF(V4399=0,"CONCLUÍDO",IF(D4399&lt;corte,"HISTÓRICO",IF(OR(AND(ISNUMBER(R4399),R4399&lt;TODAY()),AND(OR(N4399="PENDENTE",N4399="PARCIAL"),D4399&lt;TODAY()-1)),"CRÍTICO",IF(OR(AND(P4399&lt;&gt;"",S4399=""),AND(N4399="REALIZADO",M4399="PENDENTE"),AND(ISNUMBER(R4399),R4399=TODAY())),"ATENÇÃO",IF(N(K4399)=0,"PENDENTE","EM ANDAMENTO"))))))</f>
        <v/>
      </c>
      <c r="C4399" s="3">
        <f>IF(D4399="","",IF(V4399=0,"🟢 OK",IF(D4399&lt;corte,"⚪ HISTÓRICO (sem baixa)",IF(AND(ISNUMBER(R4399),R4399&lt;TODAY()),"🔴 PRAZO VENCIDO",IF(AND(OR(N4399="PENDENTE",N4399="PARCIAL"),D4399&lt;TODAY()-1),"🔴 EMBARQUE ATRASADO",IF(AND(N4399="REALIZADO",M4399="PENDENTE"),"🟡 EMBARCADO SEM FATURAR",IF(AND(P4399&lt;&gt;"",S4399="",OR(Q4399="",R4399="")),"🟡 PENDÊNCIA SEM RESPONSÁVEL/PRAZO",IF(AND(ISNUMBER(R4399),R4399=TODAY()),"🟡 VENCE HOJE",IF(AND(P4399&lt;&gt;"",S4399=""),"🟡 PENDÊNCIA ABERTA",IF(AND(N(J4399)&gt;0,N(K4399)&lt;J4399),"🟡 FALTA EXECUTAR",IF(OR(M4399="PENDENTE",M4399="PARCIAL"),"🟡 FATURAMENTO PENDENTE","🟡 EMBARQUE PENDENTE")))))))))))</f>
        <v/>
      </c>
      <c r="D4399" s="4" t="n"/>
      <c r="E4399" s="5" t="n"/>
      <c r="F4399" s="5" t="n"/>
      <c r="G4399" s="5" t="n"/>
      <c r="H4399" s="5" t="n"/>
      <c r="I4399" s="5" t="n"/>
      <c r="J4399" s="6" t="n"/>
      <c r="K4399" s="6" t="n"/>
      <c r="L4399" s="7">
        <f>IF(OR(D4399="",N(J4399)=0),"",MIN(1,N(K4399)/J4399))</f>
        <v/>
      </c>
      <c r="M4399" s="5" t="n"/>
      <c r="N4399" s="5" t="n"/>
      <c r="O4399" s="5" t="n"/>
      <c r="P4399" s="5" t="n"/>
      <c r="Q4399" s="5" t="n"/>
      <c r="R4399" s="4" t="n"/>
      <c r="S4399" s="4" t="n"/>
      <c r="T4399" s="5" t="n"/>
      <c r="U4399" s="8">
        <f>IF(AND(V4399=1,D4399&lt;&gt;""),IF(D4399&gt;=corte,TODAY()-D4399,""),"")</f>
        <v/>
      </c>
      <c r="V4399" s="8">
        <f>IF(D4399="",0,IF(OR(AND(P4399&lt;&gt;"",S4399=""),AND(N(J4399)&gt;0,N(K4399)&lt;J4399),OR(M4399="PENDENTE",M4399="PARCIAL"),OR(N4399="PENDENTE",N4399="PARCIAL")),1,0))</f>
        <v/>
      </c>
      <c r="W4399" s="8">
        <f>IF(AND(V4399=1,D4399&lt;&gt;""),IF(D4399&gt;=corte,(B4399="CRÍTICO")*1E9+(100000-D4399)*10000+10000-ROW(),""),"")</f>
        <v/>
      </c>
      <c r="X4399" s="8">
        <f>IF(AND(V4399=1,D4399=pas_data,E4399=pas_turno),10000-ROW(),"")</f>
        <v/>
      </c>
    </row>
    <row r="4400">
      <c r="A4400" s="3">
        <f>IF(D4400="","","TT-"&amp;TEXT(ROW()-1,"00000"))</f>
        <v/>
      </c>
      <c r="B4400" s="3">
        <f>IF(D4400="","",IF(V4400=0,"CONCLUÍDO",IF(D4400&lt;corte,"HISTÓRICO",IF(OR(AND(ISNUMBER(R4400),R4400&lt;TODAY()),AND(OR(N4400="PENDENTE",N4400="PARCIAL"),D4400&lt;TODAY()-1)),"CRÍTICO",IF(OR(AND(P4400&lt;&gt;"",S4400=""),AND(N4400="REALIZADO",M4400="PENDENTE"),AND(ISNUMBER(R4400),R4400=TODAY())),"ATENÇÃO",IF(N(K4400)=0,"PENDENTE","EM ANDAMENTO"))))))</f>
        <v/>
      </c>
      <c r="C4400" s="3">
        <f>IF(D4400="","",IF(V4400=0,"🟢 OK",IF(D4400&lt;corte,"⚪ HISTÓRICO (sem baixa)",IF(AND(ISNUMBER(R4400),R4400&lt;TODAY()),"🔴 PRAZO VENCIDO",IF(AND(OR(N4400="PENDENTE",N4400="PARCIAL"),D4400&lt;TODAY()-1),"🔴 EMBARQUE ATRASADO",IF(AND(N4400="REALIZADO",M4400="PENDENTE"),"🟡 EMBARCADO SEM FATURAR",IF(AND(P4400&lt;&gt;"",S4400="",OR(Q4400="",R4400="")),"🟡 PENDÊNCIA SEM RESPONSÁVEL/PRAZO",IF(AND(ISNUMBER(R4400),R4400=TODAY()),"🟡 VENCE HOJE",IF(AND(P4400&lt;&gt;"",S4400=""),"🟡 PENDÊNCIA ABERTA",IF(AND(N(J4400)&gt;0,N(K4400)&lt;J4400),"🟡 FALTA EXECUTAR",IF(OR(M4400="PENDENTE",M4400="PARCIAL"),"🟡 FATURAMENTO PENDENTE","🟡 EMBARQUE PENDENTE")))))))))))</f>
        <v/>
      </c>
      <c r="D4400" s="4" t="n"/>
      <c r="E4400" s="5" t="n"/>
      <c r="F4400" s="5" t="n"/>
      <c r="G4400" s="5" t="n"/>
      <c r="H4400" s="5" t="n"/>
      <c r="I4400" s="5" t="n"/>
      <c r="J4400" s="6" t="n"/>
      <c r="K4400" s="6" t="n"/>
      <c r="L4400" s="7">
        <f>IF(OR(D4400="",N(J4400)=0),"",MIN(1,N(K4400)/J4400))</f>
        <v/>
      </c>
      <c r="M4400" s="5" t="n"/>
      <c r="N4400" s="5" t="n"/>
      <c r="O4400" s="5" t="n"/>
      <c r="P4400" s="5" t="n"/>
      <c r="Q4400" s="5" t="n"/>
      <c r="R4400" s="4" t="n"/>
      <c r="S4400" s="4" t="n"/>
      <c r="T4400" s="5" t="n"/>
      <c r="U4400" s="8">
        <f>IF(AND(V4400=1,D4400&lt;&gt;""),IF(D4400&gt;=corte,TODAY()-D4400,""),"")</f>
        <v/>
      </c>
      <c r="V4400" s="8">
        <f>IF(D4400="",0,IF(OR(AND(P4400&lt;&gt;"",S4400=""),AND(N(J4400)&gt;0,N(K4400)&lt;J4400),OR(M4400="PENDENTE",M4400="PARCIAL"),OR(N4400="PENDENTE",N4400="PARCIAL")),1,0))</f>
        <v/>
      </c>
      <c r="W4400" s="8">
        <f>IF(AND(V4400=1,D4400&lt;&gt;""),IF(D4400&gt;=corte,(B4400="CRÍTICO")*1E9+(100000-D4400)*10000+10000-ROW(),""),"")</f>
        <v/>
      </c>
      <c r="X4400" s="8">
        <f>IF(AND(V4400=1,D4400=pas_data,E4400=pas_turno),10000-ROW(),"")</f>
        <v/>
      </c>
    </row>
    <row r="4401">
      <c r="A4401" s="3">
        <f>IF(D4401="","","TT-"&amp;TEXT(ROW()-1,"00000"))</f>
        <v/>
      </c>
      <c r="B4401" s="3">
        <f>IF(D4401="","",IF(V4401=0,"CONCLUÍDO",IF(D4401&lt;corte,"HISTÓRICO",IF(OR(AND(ISNUMBER(R4401),R4401&lt;TODAY()),AND(OR(N4401="PENDENTE",N4401="PARCIAL"),D4401&lt;TODAY()-1)),"CRÍTICO",IF(OR(AND(P4401&lt;&gt;"",S4401=""),AND(N4401="REALIZADO",M4401="PENDENTE"),AND(ISNUMBER(R4401),R4401=TODAY())),"ATENÇÃO",IF(N(K4401)=0,"PENDENTE","EM ANDAMENTO"))))))</f>
        <v/>
      </c>
      <c r="C4401" s="3">
        <f>IF(D4401="","",IF(V4401=0,"🟢 OK",IF(D4401&lt;corte,"⚪ HISTÓRICO (sem baixa)",IF(AND(ISNUMBER(R4401),R4401&lt;TODAY()),"🔴 PRAZO VENCIDO",IF(AND(OR(N4401="PENDENTE",N4401="PARCIAL"),D4401&lt;TODAY()-1),"🔴 EMBARQUE ATRASADO",IF(AND(N4401="REALIZADO",M4401="PENDENTE"),"🟡 EMBARCADO SEM FATURAR",IF(AND(P4401&lt;&gt;"",S4401="",OR(Q4401="",R4401="")),"🟡 PENDÊNCIA SEM RESPONSÁVEL/PRAZO",IF(AND(ISNUMBER(R4401),R4401=TODAY()),"🟡 VENCE HOJE",IF(AND(P4401&lt;&gt;"",S4401=""),"🟡 PENDÊNCIA ABERTA",IF(AND(N(J4401)&gt;0,N(K4401)&lt;J4401),"🟡 FALTA EXECUTAR",IF(OR(M4401="PENDENTE",M4401="PARCIAL"),"🟡 FATURAMENTO PENDENTE","🟡 EMBARQUE PENDENTE")))))))))))</f>
        <v/>
      </c>
      <c r="D4401" s="4" t="n"/>
      <c r="E4401" s="5" t="n"/>
      <c r="F4401" s="5" t="n"/>
      <c r="G4401" s="5" t="n"/>
      <c r="H4401" s="5" t="n"/>
      <c r="I4401" s="5" t="n"/>
      <c r="J4401" s="6" t="n"/>
      <c r="K4401" s="6" t="n"/>
      <c r="L4401" s="7">
        <f>IF(OR(D4401="",N(J4401)=0),"",MIN(1,N(K4401)/J4401))</f>
        <v/>
      </c>
      <c r="M4401" s="5" t="n"/>
      <c r="N4401" s="5" t="n"/>
      <c r="O4401" s="5" t="n"/>
      <c r="P4401" s="5" t="n"/>
      <c r="Q4401" s="5" t="n"/>
      <c r="R4401" s="4" t="n"/>
      <c r="S4401" s="4" t="n"/>
      <c r="T4401" s="5" t="n"/>
      <c r="U4401" s="8">
        <f>IF(AND(V4401=1,D4401&lt;&gt;""),IF(D4401&gt;=corte,TODAY()-D4401,""),"")</f>
        <v/>
      </c>
      <c r="V4401" s="8">
        <f>IF(D4401="",0,IF(OR(AND(P4401&lt;&gt;"",S4401=""),AND(N(J4401)&gt;0,N(K4401)&lt;J4401),OR(M4401="PENDENTE",M4401="PARCIAL"),OR(N4401="PENDENTE",N4401="PARCIAL")),1,0))</f>
        <v/>
      </c>
      <c r="W4401" s="8">
        <f>IF(AND(V4401=1,D4401&lt;&gt;""),IF(D4401&gt;=corte,(B4401="CRÍTICO")*1E9+(100000-D4401)*10000+10000-ROW(),""),"")</f>
        <v/>
      </c>
      <c r="X4401" s="8">
        <f>IF(AND(V4401=1,D4401=pas_data,E4401=pas_turno),10000-ROW(),"")</f>
        <v/>
      </c>
    </row>
    <row r="4402">
      <c r="A4402" s="3">
        <f>IF(D4402="","","TT-"&amp;TEXT(ROW()-1,"00000"))</f>
        <v/>
      </c>
      <c r="B4402" s="3">
        <f>IF(D4402="","",IF(V4402=0,"CONCLUÍDO",IF(D4402&lt;corte,"HISTÓRICO",IF(OR(AND(ISNUMBER(R4402),R4402&lt;TODAY()),AND(OR(N4402="PENDENTE",N4402="PARCIAL"),D4402&lt;TODAY()-1)),"CRÍTICO",IF(OR(AND(P4402&lt;&gt;"",S4402=""),AND(N4402="REALIZADO",M4402="PENDENTE"),AND(ISNUMBER(R4402),R4402=TODAY())),"ATENÇÃO",IF(N(K4402)=0,"PENDENTE","EM ANDAMENTO"))))))</f>
        <v/>
      </c>
      <c r="C4402" s="3">
        <f>IF(D4402="","",IF(V4402=0,"🟢 OK",IF(D4402&lt;corte,"⚪ HISTÓRICO (sem baixa)",IF(AND(ISNUMBER(R4402),R4402&lt;TODAY()),"🔴 PRAZO VENCIDO",IF(AND(OR(N4402="PENDENTE",N4402="PARCIAL"),D4402&lt;TODAY()-1),"🔴 EMBARQUE ATRASADO",IF(AND(N4402="REALIZADO",M4402="PENDENTE"),"🟡 EMBARCADO SEM FATURAR",IF(AND(P4402&lt;&gt;"",S4402="",OR(Q4402="",R4402="")),"🟡 PENDÊNCIA SEM RESPONSÁVEL/PRAZO",IF(AND(ISNUMBER(R4402),R4402=TODAY()),"🟡 VENCE HOJE",IF(AND(P4402&lt;&gt;"",S4402=""),"🟡 PENDÊNCIA ABERTA",IF(AND(N(J4402)&gt;0,N(K4402)&lt;J4402),"🟡 FALTA EXECUTAR",IF(OR(M4402="PENDENTE",M4402="PARCIAL"),"🟡 FATURAMENTO PENDENTE","🟡 EMBARQUE PENDENTE")))))))))))</f>
        <v/>
      </c>
      <c r="D4402" s="4" t="n"/>
      <c r="E4402" s="5" t="n"/>
      <c r="F4402" s="5" t="n"/>
      <c r="G4402" s="5" t="n"/>
      <c r="H4402" s="5" t="n"/>
      <c r="I4402" s="5" t="n"/>
      <c r="J4402" s="6" t="n"/>
      <c r="K4402" s="6" t="n"/>
      <c r="L4402" s="7">
        <f>IF(OR(D4402="",N(J4402)=0),"",MIN(1,N(K4402)/J4402))</f>
        <v/>
      </c>
      <c r="M4402" s="5" t="n"/>
      <c r="N4402" s="5" t="n"/>
      <c r="O4402" s="5" t="n"/>
      <c r="P4402" s="5" t="n"/>
      <c r="Q4402" s="5" t="n"/>
      <c r="R4402" s="4" t="n"/>
      <c r="S4402" s="4" t="n"/>
      <c r="T4402" s="5" t="n"/>
      <c r="U4402" s="8">
        <f>IF(AND(V4402=1,D4402&lt;&gt;""),IF(D4402&gt;=corte,TODAY()-D4402,""),"")</f>
        <v/>
      </c>
      <c r="V4402" s="8">
        <f>IF(D4402="",0,IF(OR(AND(P4402&lt;&gt;"",S4402=""),AND(N(J4402)&gt;0,N(K4402)&lt;J4402),OR(M4402="PENDENTE",M4402="PARCIAL"),OR(N4402="PENDENTE",N4402="PARCIAL")),1,0))</f>
        <v/>
      </c>
      <c r="W4402" s="8">
        <f>IF(AND(V4402=1,D4402&lt;&gt;""),IF(D4402&gt;=corte,(B4402="CRÍTICO")*1E9+(100000-D4402)*10000+10000-ROW(),""),"")</f>
        <v/>
      </c>
      <c r="X4402" s="8">
        <f>IF(AND(V4402=1,D4402=pas_data,E4402=pas_turno),10000-ROW(),"")</f>
        <v/>
      </c>
    </row>
    <row r="4403">
      <c r="A4403" s="3">
        <f>IF(D4403="","","TT-"&amp;TEXT(ROW()-1,"00000"))</f>
        <v/>
      </c>
      <c r="B4403" s="3">
        <f>IF(D4403="","",IF(V4403=0,"CONCLUÍDO",IF(D4403&lt;corte,"HISTÓRICO",IF(OR(AND(ISNUMBER(R4403),R4403&lt;TODAY()),AND(OR(N4403="PENDENTE",N4403="PARCIAL"),D4403&lt;TODAY()-1)),"CRÍTICO",IF(OR(AND(P4403&lt;&gt;"",S4403=""),AND(N4403="REALIZADO",M4403="PENDENTE"),AND(ISNUMBER(R4403),R4403=TODAY())),"ATENÇÃO",IF(N(K4403)=0,"PENDENTE","EM ANDAMENTO"))))))</f>
        <v/>
      </c>
      <c r="C4403" s="3">
        <f>IF(D4403="","",IF(V4403=0,"🟢 OK",IF(D4403&lt;corte,"⚪ HISTÓRICO (sem baixa)",IF(AND(ISNUMBER(R4403),R4403&lt;TODAY()),"🔴 PRAZO VENCIDO",IF(AND(OR(N4403="PENDENTE",N4403="PARCIAL"),D4403&lt;TODAY()-1),"🔴 EMBARQUE ATRASADO",IF(AND(N4403="REALIZADO",M4403="PENDENTE"),"🟡 EMBARCADO SEM FATURAR",IF(AND(P4403&lt;&gt;"",S4403="",OR(Q4403="",R4403="")),"🟡 PENDÊNCIA SEM RESPONSÁVEL/PRAZO",IF(AND(ISNUMBER(R4403),R4403=TODAY()),"🟡 VENCE HOJE",IF(AND(P4403&lt;&gt;"",S4403=""),"🟡 PENDÊNCIA ABERTA",IF(AND(N(J4403)&gt;0,N(K4403)&lt;J4403),"🟡 FALTA EXECUTAR",IF(OR(M4403="PENDENTE",M4403="PARCIAL"),"🟡 FATURAMENTO PENDENTE","🟡 EMBARQUE PENDENTE")))))))))))</f>
        <v/>
      </c>
      <c r="D4403" s="4" t="n"/>
      <c r="E4403" s="5" t="n"/>
      <c r="F4403" s="5" t="n"/>
      <c r="G4403" s="5" t="n"/>
      <c r="H4403" s="5" t="n"/>
      <c r="I4403" s="5" t="n"/>
      <c r="J4403" s="6" t="n"/>
      <c r="K4403" s="6" t="n"/>
      <c r="L4403" s="7">
        <f>IF(OR(D4403="",N(J4403)=0),"",MIN(1,N(K4403)/J4403))</f>
        <v/>
      </c>
      <c r="M4403" s="5" t="n"/>
      <c r="N4403" s="5" t="n"/>
      <c r="O4403" s="5" t="n"/>
      <c r="P4403" s="5" t="n"/>
      <c r="Q4403" s="5" t="n"/>
      <c r="R4403" s="4" t="n"/>
      <c r="S4403" s="4" t="n"/>
      <c r="T4403" s="5" t="n"/>
      <c r="U4403" s="8">
        <f>IF(AND(V4403=1,D4403&lt;&gt;""),IF(D4403&gt;=corte,TODAY()-D4403,""),"")</f>
        <v/>
      </c>
      <c r="V4403" s="8">
        <f>IF(D4403="",0,IF(OR(AND(P4403&lt;&gt;"",S4403=""),AND(N(J4403)&gt;0,N(K4403)&lt;J4403),OR(M4403="PENDENTE",M4403="PARCIAL"),OR(N4403="PENDENTE",N4403="PARCIAL")),1,0))</f>
        <v/>
      </c>
      <c r="W4403" s="8">
        <f>IF(AND(V4403=1,D4403&lt;&gt;""),IF(D4403&gt;=corte,(B4403="CRÍTICO")*1E9+(100000-D4403)*10000+10000-ROW(),""),"")</f>
        <v/>
      </c>
      <c r="X4403" s="8">
        <f>IF(AND(V4403=1,D4403=pas_data,E4403=pas_turno),10000-ROW(),"")</f>
        <v/>
      </c>
    </row>
    <row r="4404">
      <c r="A4404" s="3">
        <f>IF(D4404="","","TT-"&amp;TEXT(ROW()-1,"00000"))</f>
        <v/>
      </c>
      <c r="B4404" s="3">
        <f>IF(D4404="","",IF(V4404=0,"CONCLUÍDO",IF(D4404&lt;corte,"HISTÓRICO",IF(OR(AND(ISNUMBER(R4404),R4404&lt;TODAY()),AND(OR(N4404="PENDENTE",N4404="PARCIAL"),D4404&lt;TODAY()-1)),"CRÍTICO",IF(OR(AND(P4404&lt;&gt;"",S4404=""),AND(N4404="REALIZADO",M4404="PENDENTE"),AND(ISNUMBER(R4404),R4404=TODAY())),"ATENÇÃO",IF(N(K4404)=0,"PENDENTE","EM ANDAMENTO"))))))</f>
        <v/>
      </c>
      <c r="C4404" s="3">
        <f>IF(D4404="","",IF(V4404=0,"🟢 OK",IF(D4404&lt;corte,"⚪ HISTÓRICO (sem baixa)",IF(AND(ISNUMBER(R4404),R4404&lt;TODAY()),"🔴 PRAZO VENCIDO",IF(AND(OR(N4404="PENDENTE",N4404="PARCIAL"),D4404&lt;TODAY()-1),"🔴 EMBARQUE ATRASADO",IF(AND(N4404="REALIZADO",M4404="PENDENTE"),"🟡 EMBARCADO SEM FATURAR",IF(AND(P4404&lt;&gt;"",S4404="",OR(Q4404="",R4404="")),"🟡 PENDÊNCIA SEM RESPONSÁVEL/PRAZO",IF(AND(ISNUMBER(R4404),R4404=TODAY()),"🟡 VENCE HOJE",IF(AND(P4404&lt;&gt;"",S4404=""),"🟡 PENDÊNCIA ABERTA",IF(AND(N(J4404)&gt;0,N(K4404)&lt;J4404),"🟡 FALTA EXECUTAR",IF(OR(M4404="PENDENTE",M4404="PARCIAL"),"🟡 FATURAMENTO PENDENTE","🟡 EMBARQUE PENDENTE")))))))))))</f>
        <v/>
      </c>
      <c r="D4404" s="4" t="n"/>
      <c r="E4404" s="5" t="n"/>
      <c r="F4404" s="5" t="n"/>
      <c r="G4404" s="5" t="n"/>
      <c r="H4404" s="5" t="n"/>
      <c r="I4404" s="5" t="n"/>
      <c r="J4404" s="6" t="n"/>
      <c r="K4404" s="6" t="n"/>
      <c r="L4404" s="7">
        <f>IF(OR(D4404="",N(J4404)=0),"",MIN(1,N(K4404)/J4404))</f>
        <v/>
      </c>
      <c r="M4404" s="5" t="n"/>
      <c r="N4404" s="5" t="n"/>
      <c r="O4404" s="5" t="n"/>
      <c r="P4404" s="5" t="n"/>
      <c r="Q4404" s="5" t="n"/>
      <c r="R4404" s="4" t="n"/>
      <c r="S4404" s="4" t="n"/>
      <c r="T4404" s="5" t="n"/>
      <c r="U4404" s="8">
        <f>IF(AND(V4404=1,D4404&lt;&gt;""),IF(D4404&gt;=corte,TODAY()-D4404,""),"")</f>
        <v/>
      </c>
      <c r="V4404" s="8">
        <f>IF(D4404="",0,IF(OR(AND(P4404&lt;&gt;"",S4404=""),AND(N(J4404)&gt;0,N(K4404)&lt;J4404),OR(M4404="PENDENTE",M4404="PARCIAL"),OR(N4404="PENDENTE",N4404="PARCIAL")),1,0))</f>
        <v/>
      </c>
      <c r="W4404" s="8">
        <f>IF(AND(V4404=1,D4404&lt;&gt;""),IF(D4404&gt;=corte,(B4404="CRÍTICO")*1E9+(100000-D4404)*10000+10000-ROW(),""),"")</f>
        <v/>
      </c>
      <c r="X4404" s="8">
        <f>IF(AND(V4404=1,D4404=pas_data,E4404=pas_turno),10000-ROW(),"")</f>
        <v/>
      </c>
    </row>
    <row r="4405">
      <c r="A4405" s="3">
        <f>IF(D4405="","","TT-"&amp;TEXT(ROW()-1,"00000"))</f>
        <v/>
      </c>
      <c r="B4405" s="3">
        <f>IF(D4405="","",IF(V4405=0,"CONCLUÍDO",IF(D4405&lt;corte,"HISTÓRICO",IF(OR(AND(ISNUMBER(R4405),R4405&lt;TODAY()),AND(OR(N4405="PENDENTE",N4405="PARCIAL"),D4405&lt;TODAY()-1)),"CRÍTICO",IF(OR(AND(P4405&lt;&gt;"",S4405=""),AND(N4405="REALIZADO",M4405="PENDENTE"),AND(ISNUMBER(R4405),R4405=TODAY())),"ATENÇÃO",IF(N(K4405)=0,"PENDENTE","EM ANDAMENTO"))))))</f>
        <v/>
      </c>
      <c r="C4405" s="3">
        <f>IF(D4405="","",IF(V4405=0,"🟢 OK",IF(D4405&lt;corte,"⚪ HISTÓRICO (sem baixa)",IF(AND(ISNUMBER(R4405),R4405&lt;TODAY()),"🔴 PRAZO VENCIDO",IF(AND(OR(N4405="PENDENTE",N4405="PARCIAL"),D4405&lt;TODAY()-1),"🔴 EMBARQUE ATRASADO",IF(AND(N4405="REALIZADO",M4405="PENDENTE"),"🟡 EMBARCADO SEM FATURAR",IF(AND(P4405&lt;&gt;"",S4405="",OR(Q4405="",R4405="")),"🟡 PENDÊNCIA SEM RESPONSÁVEL/PRAZO",IF(AND(ISNUMBER(R4405),R4405=TODAY()),"🟡 VENCE HOJE",IF(AND(P4405&lt;&gt;"",S4405=""),"🟡 PENDÊNCIA ABERTA",IF(AND(N(J4405)&gt;0,N(K4405)&lt;J4405),"🟡 FALTA EXECUTAR",IF(OR(M4405="PENDENTE",M4405="PARCIAL"),"🟡 FATURAMENTO PENDENTE","🟡 EMBARQUE PENDENTE")))))))))))</f>
        <v/>
      </c>
      <c r="D4405" s="4" t="n"/>
      <c r="E4405" s="5" t="n"/>
      <c r="F4405" s="5" t="n"/>
      <c r="G4405" s="5" t="n"/>
      <c r="H4405" s="5" t="n"/>
      <c r="I4405" s="5" t="n"/>
      <c r="J4405" s="6" t="n"/>
      <c r="K4405" s="6" t="n"/>
      <c r="L4405" s="7">
        <f>IF(OR(D4405="",N(J4405)=0),"",MIN(1,N(K4405)/J4405))</f>
        <v/>
      </c>
      <c r="M4405" s="5" t="n"/>
      <c r="N4405" s="5" t="n"/>
      <c r="O4405" s="5" t="n"/>
      <c r="P4405" s="5" t="n"/>
      <c r="Q4405" s="5" t="n"/>
      <c r="R4405" s="4" t="n"/>
      <c r="S4405" s="4" t="n"/>
      <c r="T4405" s="5" t="n"/>
      <c r="U4405" s="8">
        <f>IF(AND(V4405=1,D4405&lt;&gt;""),IF(D4405&gt;=corte,TODAY()-D4405,""),"")</f>
        <v/>
      </c>
      <c r="V4405" s="8">
        <f>IF(D4405="",0,IF(OR(AND(P4405&lt;&gt;"",S4405=""),AND(N(J4405)&gt;0,N(K4405)&lt;J4405),OR(M4405="PENDENTE",M4405="PARCIAL"),OR(N4405="PENDENTE",N4405="PARCIAL")),1,0))</f>
        <v/>
      </c>
      <c r="W4405" s="8">
        <f>IF(AND(V4405=1,D4405&lt;&gt;""),IF(D4405&gt;=corte,(B4405="CRÍTICO")*1E9+(100000-D4405)*10000+10000-ROW(),""),"")</f>
        <v/>
      </c>
      <c r="X4405" s="8">
        <f>IF(AND(V4405=1,D4405=pas_data,E4405=pas_turno),10000-ROW(),"")</f>
        <v/>
      </c>
    </row>
    <row r="4406">
      <c r="A4406" s="3">
        <f>IF(D4406="","","TT-"&amp;TEXT(ROW()-1,"00000"))</f>
        <v/>
      </c>
      <c r="B4406" s="3">
        <f>IF(D4406="","",IF(V4406=0,"CONCLUÍDO",IF(D4406&lt;corte,"HISTÓRICO",IF(OR(AND(ISNUMBER(R4406),R4406&lt;TODAY()),AND(OR(N4406="PENDENTE",N4406="PARCIAL"),D4406&lt;TODAY()-1)),"CRÍTICO",IF(OR(AND(P4406&lt;&gt;"",S4406=""),AND(N4406="REALIZADO",M4406="PENDENTE"),AND(ISNUMBER(R4406),R4406=TODAY())),"ATENÇÃO",IF(N(K4406)=0,"PENDENTE","EM ANDAMENTO"))))))</f>
        <v/>
      </c>
      <c r="C4406" s="3">
        <f>IF(D4406="","",IF(V4406=0,"🟢 OK",IF(D4406&lt;corte,"⚪ HISTÓRICO (sem baixa)",IF(AND(ISNUMBER(R4406),R4406&lt;TODAY()),"🔴 PRAZO VENCIDO",IF(AND(OR(N4406="PENDENTE",N4406="PARCIAL"),D4406&lt;TODAY()-1),"🔴 EMBARQUE ATRASADO",IF(AND(N4406="REALIZADO",M4406="PENDENTE"),"🟡 EMBARCADO SEM FATURAR",IF(AND(P4406&lt;&gt;"",S4406="",OR(Q4406="",R4406="")),"🟡 PENDÊNCIA SEM RESPONSÁVEL/PRAZO",IF(AND(ISNUMBER(R4406),R4406=TODAY()),"🟡 VENCE HOJE",IF(AND(P4406&lt;&gt;"",S4406=""),"🟡 PENDÊNCIA ABERTA",IF(AND(N(J4406)&gt;0,N(K4406)&lt;J4406),"🟡 FALTA EXECUTAR",IF(OR(M4406="PENDENTE",M4406="PARCIAL"),"🟡 FATURAMENTO PENDENTE","🟡 EMBARQUE PENDENTE")))))))))))</f>
        <v/>
      </c>
      <c r="D4406" s="4" t="n"/>
      <c r="E4406" s="5" t="n"/>
      <c r="F4406" s="5" t="n"/>
      <c r="G4406" s="5" t="n"/>
      <c r="H4406" s="5" t="n"/>
      <c r="I4406" s="5" t="n"/>
      <c r="J4406" s="6" t="n"/>
      <c r="K4406" s="6" t="n"/>
      <c r="L4406" s="7">
        <f>IF(OR(D4406="",N(J4406)=0),"",MIN(1,N(K4406)/J4406))</f>
        <v/>
      </c>
      <c r="M4406" s="5" t="n"/>
      <c r="N4406" s="5" t="n"/>
      <c r="O4406" s="5" t="n"/>
      <c r="P4406" s="5" t="n"/>
      <c r="Q4406" s="5" t="n"/>
      <c r="R4406" s="4" t="n"/>
      <c r="S4406" s="4" t="n"/>
      <c r="T4406" s="5" t="n"/>
      <c r="U4406" s="8">
        <f>IF(AND(V4406=1,D4406&lt;&gt;""),IF(D4406&gt;=corte,TODAY()-D4406,""),"")</f>
        <v/>
      </c>
      <c r="V4406" s="8">
        <f>IF(D4406="",0,IF(OR(AND(P4406&lt;&gt;"",S4406=""),AND(N(J4406)&gt;0,N(K4406)&lt;J4406),OR(M4406="PENDENTE",M4406="PARCIAL"),OR(N4406="PENDENTE",N4406="PARCIAL")),1,0))</f>
        <v/>
      </c>
      <c r="W4406" s="8">
        <f>IF(AND(V4406=1,D4406&lt;&gt;""),IF(D4406&gt;=corte,(B4406="CRÍTICO")*1E9+(100000-D4406)*10000+10000-ROW(),""),"")</f>
        <v/>
      </c>
      <c r="X4406" s="8">
        <f>IF(AND(V4406=1,D4406=pas_data,E4406=pas_turno),10000-ROW(),"")</f>
        <v/>
      </c>
    </row>
    <row r="4407">
      <c r="A4407" s="3">
        <f>IF(D4407="","","TT-"&amp;TEXT(ROW()-1,"00000"))</f>
        <v/>
      </c>
      <c r="B4407" s="3">
        <f>IF(D4407="","",IF(V4407=0,"CONCLUÍDO",IF(D4407&lt;corte,"HISTÓRICO",IF(OR(AND(ISNUMBER(R4407),R4407&lt;TODAY()),AND(OR(N4407="PENDENTE",N4407="PARCIAL"),D4407&lt;TODAY()-1)),"CRÍTICO",IF(OR(AND(P4407&lt;&gt;"",S4407=""),AND(N4407="REALIZADO",M4407="PENDENTE"),AND(ISNUMBER(R4407),R4407=TODAY())),"ATENÇÃO",IF(N(K4407)=0,"PENDENTE","EM ANDAMENTO"))))))</f>
        <v/>
      </c>
      <c r="C4407" s="3">
        <f>IF(D4407="","",IF(V4407=0,"🟢 OK",IF(D4407&lt;corte,"⚪ HISTÓRICO (sem baixa)",IF(AND(ISNUMBER(R4407),R4407&lt;TODAY()),"🔴 PRAZO VENCIDO",IF(AND(OR(N4407="PENDENTE",N4407="PARCIAL"),D4407&lt;TODAY()-1),"🔴 EMBARQUE ATRASADO",IF(AND(N4407="REALIZADO",M4407="PENDENTE"),"🟡 EMBARCADO SEM FATURAR",IF(AND(P4407&lt;&gt;"",S4407="",OR(Q4407="",R4407="")),"🟡 PENDÊNCIA SEM RESPONSÁVEL/PRAZO",IF(AND(ISNUMBER(R4407),R4407=TODAY()),"🟡 VENCE HOJE",IF(AND(P4407&lt;&gt;"",S4407=""),"🟡 PENDÊNCIA ABERTA",IF(AND(N(J4407)&gt;0,N(K4407)&lt;J4407),"🟡 FALTA EXECUTAR",IF(OR(M4407="PENDENTE",M4407="PARCIAL"),"🟡 FATURAMENTO PENDENTE","🟡 EMBARQUE PENDENTE")))))))))))</f>
        <v/>
      </c>
      <c r="D4407" s="4" t="n"/>
      <c r="E4407" s="5" t="n"/>
      <c r="F4407" s="5" t="n"/>
      <c r="G4407" s="5" t="n"/>
      <c r="H4407" s="5" t="n"/>
      <c r="I4407" s="5" t="n"/>
      <c r="J4407" s="6" t="n"/>
      <c r="K4407" s="6" t="n"/>
      <c r="L4407" s="7">
        <f>IF(OR(D4407="",N(J4407)=0),"",MIN(1,N(K4407)/J4407))</f>
        <v/>
      </c>
      <c r="M4407" s="5" t="n"/>
      <c r="N4407" s="5" t="n"/>
      <c r="O4407" s="5" t="n"/>
      <c r="P4407" s="5" t="n"/>
      <c r="Q4407" s="5" t="n"/>
      <c r="R4407" s="4" t="n"/>
      <c r="S4407" s="4" t="n"/>
      <c r="T4407" s="5" t="n"/>
      <c r="U4407" s="8">
        <f>IF(AND(V4407=1,D4407&lt;&gt;""),IF(D4407&gt;=corte,TODAY()-D4407,""),"")</f>
        <v/>
      </c>
      <c r="V4407" s="8">
        <f>IF(D4407="",0,IF(OR(AND(P4407&lt;&gt;"",S4407=""),AND(N(J4407)&gt;0,N(K4407)&lt;J4407),OR(M4407="PENDENTE",M4407="PARCIAL"),OR(N4407="PENDENTE",N4407="PARCIAL")),1,0))</f>
        <v/>
      </c>
      <c r="W4407" s="8">
        <f>IF(AND(V4407=1,D4407&lt;&gt;""),IF(D4407&gt;=corte,(B4407="CRÍTICO")*1E9+(100000-D4407)*10000+10000-ROW(),""),"")</f>
        <v/>
      </c>
      <c r="X4407" s="8">
        <f>IF(AND(V4407=1,D4407=pas_data,E4407=pas_turno),10000-ROW(),"")</f>
        <v/>
      </c>
    </row>
    <row r="4408">
      <c r="A4408" s="3">
        <f>IF(D4408="","","TT-"&amp;TEXT(ROW()-1,"00000"))</f>
        <v/>
      </c>
      <c r="B4408" s="3">
        <f>IF(D4408="","",IF(V4408=0,"CONCLUÍDO",IF(D4408&lt;corte,"HISTÓRICO",IF(OR(AND(ISNUMBER(R4408),R4408&lt;TODAY()),AND(OR(N4408="PENDENTE",N4408="PARCIAL"),D4408&lt;TODAY()-1)),"CRÍTICO",IF(OR(AND(P4408&lt;&gt;"",S4408=""),AND(N4408="REALIZADO",M4408="PENDENTE"),AND(ISNUMBER(R4408),R4408=TODAY())),"ATENÇÃO",IF(N(K4408)=0,"PENDENTE","EM ANDAMENTO"))))))</f>
        <v/>
      </c>
      <c r="C4408" s="3">
        <f>IF(D4408="","",IF(V4408=0,"🟢 OK",IF(D4408&lt;corte,"⚪ HISTÓRICO (sem baixa)",IF(AND(ISNUMBER(R4408),R4408&lt;TODAY()),"🔴 PRAZO VENCIDO",IF(AND(OR(N4408="PENDENTE",N4408="PARCIAL"),D4408&lt;TODAY()-1),"🔴 EMBARQUE ATRASADO",IF(AND(N4408="REALIZADO",M4408="PENDENTE"),"🟡 EMBARCADO SEM FATURAR",IF(AND(P4408&lt;&gt;"",S4408="",OR(Q4408="",R4408="")),"🟡 PENDÊNCIA SEM RESPONSÁVEL/PRAZO",IF(AND(ISNUMBER(R4408),R4408=TODAY()),"🟡 VENCE HOJE",IF(AND(P4408&lt;&gt;"",S4408=""),"🟡 PENDÊNCIA ABERTA",IF(AND(N(J4408)&gt;0,N(K4408)&lt;J4408),"🟡 FALTA EXECUTAR",IF(OR(M4408="PENDENTE",M4408="PARCIAL"),"🟡 FATURAMENTO PENDENTE","🟡 EMBARQUE PENDENTE")))))))))))</f>
        <v/>
      </c>
      <c r="D4408" s="4" t="n"/>
      <c r="E4408" s="5" t="n"/>
      <c r="F4408" s="5" t="n"/>
      <c r="G4408" s="5" t="n"/>
      <c r="H4408" s="5" t="n"/>
      <c r="I4408" s="5" t="n"/>
      <c r="J4408" s="6" t="n"/>
      <c r="K4408" s="6" t="n"/>
      <c r="L4408" s="7">
        <f>IF(OR(D4408="",N(J4408)=0),"",MIN(1,N(K4408)/J4408))</f>
        <v/>
      </c>
      <c r="M4408" s="5" t="n"/>
      <c r="N4408" s="5" t="n"/>
      <c r="O4408" s="5" t="n"/>
      <c r="P4408" s="5" t="n"/>
      <c r="Q4408" s="5" t="n"/>
      <c r="R4408" s="4" t="n"/>
      <c r="S4408" s="4" t="n"/>
      <c r="T4408" s="5" t="n"/>
      <c r="U4408" s="8">
        <f>IF(AND(V4408=1,D4408&lt;&gt;""),IF(D4408&gt;=corte,TODAY()-D4408,""),"")</f>
        <v/>
      </c>
      <c r="V4408" s="8">
        <f>IF(D4408="",0,IF(OR(AND(P4408&lt;&gt;"",S4408=""),AND(N(J4408)&gt;0,N(K4408)&lt;J4408),OR(M4408="PENDENTE",M4408="PARCIAL"),OR(N4408="PENDENTE",N4408="PARCIAL")),1,0))</f>
        <v/>
      </c>
      <c r="W4408" s="8">
        <f>IF(AND(V4408=1,D4408&lt;&gt;""),IF(D4408&gt;=corte,(B4408="CRÍTICO")*1E9+(100000-D4408)*10000+10000-ROW(),""),"")</f>
        <v/>
      </c>
      <c r="X4408" s="8">
        <f>IF(AND(V4408=1,D4408=pas_data,E4408=pas_turno),10000-ROW(),"")</f>
        <v/>
      </c>
    </row>
    <row r="4409">
      <c r="A4409" s="3">
        <f>IF(D4409="","","TT-"&amp;TEXT(ROW()-1,"00000"))</f>
        <v/>
      </c>
      <c r="B4409" s="3">
        <f>IF(D4409="","",IF(V4409=0,"CONCLUÍDO",IF(D4409&lt;corte,"HISTÓRICO",IF(OR(AND(ISNUMBER(R4409),R4409&lt;TODAY()),AND(OR(N4409="PENDENTE",N4409="PARCIAL"),D4409&lt;TODAY()-1)),"CRÍTICO",IF(OR(AND(P4409&lt;&gt;"",S4409=""),AND(N4409="REALIZADO",M4409="PENDENTE"),AND(ISNUMBER(R4409),R4409=TODAY())),"ATENÇÃO",IF(N(K4409)=0,"PENDENTE","EM ANDAMENTO"))))))</f>
        <v/>
      </c>
      <c r="C4409" s="3">
        <f>IF(D4409="","",IF(V4409=0,"🟢 OK",IF(D4409&lt;corte,"⚪ HISTÓRICO (sem baixa)",IF(AND(ISNUMBER(R4409),R4409&lt;TODAY()),"🔴 PRAZO VENCIDO",IF(AND(OR(N4409="PENDENTE",N4409="PARCIAL"),D4409&lt;TODAY()-1),"🔴 EMBARQUE ATRASADO",IF(AND(N4409="REALIZADO",M4409="PENDENTE"),"🟡 EMBARCADO SEM FATURAR",IF(AND(P4409&lt;&gt;"",S4409="",OR(Q4409="",R4409="")),"🟡 PENDÊNCIA SEM RESPONSÁVEL/PRAZO",IF(AND(ISNUMBER(R4409),R4409=TODAY()),"🟡 VENCE HOJE",IF(AND(P4409&lt;&gt;"",S4409=""),"🟡 PENDÊNCIA ABERTA",IF(AND(N(J4409)&gt;0,N(K4409)&lt;J4409),"🟡 FALTA EXECUTAR",IF(OR(M4409="PENDENTE",M4409="PARCIAL"),"🟡 FATURAMENTO PENDENTE","🟡 EMBARQUE PENDENTE")))))))))))</f>
        <v/>
      </c>
      <c r="D4409" s="4" t="n"/>
      <c r="E4409" s="5" t="n"/>
      <c r="F4409" s="5" t="n"/>
      <c r="G4409" s="5" t="n"/>
      <c r="H4409" s="5" t="n"/>
      <c r="I4409" s="5" t="n"/>
      <c r="J4409" s="6" t="n"/>
      <c r="K4409" s="6" t="n"/>
      <c r="L4409" s="7">
        <f>IF(OR(D4409="",N(J4409)=0),"",MIN(1,N(K4409)/J4409))</f>
        <v/>
      </c>
      <c r="M4409" s="5" t="n"/>
      <c r="N4409" s="5" t="n"/>
      <c r="O4409" s="5" t="n"/>
      <c r="P4409" s="5" t="n"/>
      <c r="Q4409" s="5" t="n"/>
      <c r="R4409" s="4" t="n"/>
      <c r="S4409" s="4" t="n"/>
      <c r="T4409" s="5" t="n"/>
      <c r="U4409" s="8">
        <f>IF(AND(V4409=1,D4409&lt;&gt;""),IF(D4409&gt;=corte,TODAY()-D4409,""),"")</f>
        <v/>
      </c>
      <c r="V4409" s="8">
        <f>IF(D4409="",0,IF(OR(AND(P4409&lt;&gt;"",S4409=""),AND(N(J4409)&gt;0,N(K4409)&lt;J4409),OR(M4409="PENDENTE",M4409="PARCIAL"),OR(N4409="PENDENTE",N4409="PARCIAL")),1,0))</f>
        <v/>
      </c>
      <c r="W4409" s="8">
        <f>IF(AND(V4409=1,D4409&lt;&gt;""),IF(D4409&gt;=corte,(B4409="CRÍTICO")*1E9+(100000-D4409)*10000+10000-ROW(),""),"")</f>
        <v/>
      </c>
      <c r="X4409" s="8">
        <f>IF(AND(V4409=1,D4409=pas_data,E4409=pas_turno),10000-ROW(),"")</f>
        <v/>
      </c>
    </row>
    <row r="4410">
      <c r="A4410" s="3">
        <f>IF(D4410="","","TT-"&amp;TEXT(ROW()-1,"00000"))</f>
        <v/>
      </c>
      <c r="B4410" s="3">
        <f>IF(D4410="","",IF(V4410=0,"CONCLUÍDO",IF(D4410&lt;corte,"HISTÓRICO",IF(OR(AND(ISNUMBER(R4410),R4410&lt;TODAY()),AND(OR(N4410="PENDENTE",N4410="PARCIAL"),D4410&lt;TODAY()-1)),"CRÍTICO",IF(OR(AND(P4410&lt;&gt;"",S4410=""),AND(N4410="REALIZADO",M4410="PENDENTE"),AND(ISNUMBER(R4410),R4410=TODAY())),"ATENÇÃO",IF(N(K4410)=0,"PENDENTE","EM ANDAMENTO"))))))</f>
        <v/>
      </c>
      <c r="C4410" s="3">
        <f>IF(D4410="","",IF(V4410=0,"🟢 OK",IF(D4410&lt;corte,"⚪ HISTÓRICO (sem baixa)",IF(AND(ISNUMBER(R4410),R4410&lt;TODAY()),"🔴 PRAZO VENCIDO",IF(AND(OR(N4410="PENDENTE",N4410="PARCIAL"),D4410&lt;TODAY()-1),"🔴 EMBARQUE ATRASADO",IF(AND(N4410="REALIZADO",M4410="PENDENTE"),"🟡 EMBARCADO SEM FATURAR",IF(AND(P4410&lt;&gt;"",S4410="",OR(Q4410="",R4410="")),"🟡 PENDÊNCIA SEM RESPONSÁVEL/PRAZO",IF(AND(ISNUMBER(R4410),R4410=TODAY()),"🟡 VENCE HOJE",IF(AND(P4410&lt;&gt;"",S4410=""),"🟡 PENDÊNCIA ABERTA",IF(AND(N(J4410)&gt;0,N(K4410)&lt;J4410),"🟡 FALTA EXECUTAR",IF(OR(M4410="PENDENTE",M4410="PARCIAL"),"🟡 FATURAMENTO PENDENTE","🟡 EMBARQUE PENDENTE")))))))))))</f>
        <v/>
      </c>
      <c r="D4410" s="4" t="n"/>
      <c r="E4410" s="5" t="n"/>
      <c r="F4410" s="5" t="n"/>
      <c r="G4410" s="5" t="n"/>
      <c r="H4410" s="5" t="n"/>
      <c r="I4410" s="5" t="n"/>
      <c r="J4410" s="6" t="n"/>
      <c r="K4410" s="6" t="n"/>
      <c r="L4410" s="7">
        <f>IF(OR(D4410="",N(J4410)=0),"",MIN(1,N(K4410)/J4410))</f>
        <v/>
      </c>
      <c r="M4410" s="5" t="n"/>
      <c r="N4410" s="5" t="n"/>
      <c r="O4410" s="5" t="n"/>
      <c r="P4410" s="5" t="n"/>
      <c r="Q4410" s="5" t="n"/>
      <c r="R4410" s="4" t="n"/>
      <c r="S4410" s="4" t="n"/>
      <c r="T4410" s="5" t="n"/>
      <c r="U4410" s="8">
        <f>IF(AND(V4410=1,D4410&lt;&gt;""),IF(D4410&gt;=corte,TODAY()-D4410,""),"")</f>
        <v/>
      </c>
      <c r="V4410" s="8">
        <f>IF(D4410="",0,IF(OR(AND(P4410&lt;&gt;"",S4410=""),AND(N(J4410)&gt;0,N(K4410)&lt;J4410),OR(M4410="PENDENTE",M4410="PARCIAL"),OR(N4410="PENDENTE",N4410="PARCIAL")),1,0))</f>
        <v/>
      </c>
      <c r="W4410" s="8">
        <f>IF(AND(V4410=1,D4410&lt;&gt;""),IF(D4410&gt;=corte,(B4410="CRÍTICO")*1E9+(100000-D4410)*10000+10000-ROW(),""),"")</f>
        <v/>
      </c>
      <c r="X4410" s="8">
        <f>IF(AND(V4410=1,D4410=pas_data,E4410=pas_turno),10000-ROW(),"")</f>
        <v/>
      </c>
    </row>
    <row r="4411">
      <c r="A4411" s="3">
        <f>IF(D4411="","","TT-"&amp;TEXT(ROW()-1,"00000"))</f>
        <v/>
      </c>
      <c r="B4411" s="3">
        <f>IF(D4411="","",IF(V4411=0,"CONCLUÍDO",IF(D4411&lt;corte,"HISTÓRICO",IF(OR(AND(ISNUMBER(R4411),R4411&lt;TODAY()),AND(OR(N4411="PENDENTE",N4411="PARCIAL"),D4411&lt;TODAY()-1)),"CRÍTICO",IF(OR(AND(P4411&lt;&gt;"",S4411=""),AND(N4411="REALIZADO",M4411="PENDENTE"),AND(ISNUMBER(R4411),R4411=TODAY())),"ATENÇÃO",IF(N(K4411)=0,"PENDENTE","EM ANDAMENTO"))))))</f>
        <v/>
      </c>
      <c r="C4411" s="3">
        <f>IF(D4411="","",IF(V4411=0,"🟢 OK",IF(D4411&lt;corte,"⚪ HISTÓRICO (sem baixa)",IF(AND(ISNUMBER(R4411),R4411&lt;TODAY()),"🔴 PRAZO VENCIDO",IF(AND(OR(N4411="PENDENTE",N4411="PARCIAL"),D4411&lt;TODAY()-1),"🔴 EMBARQUE ATRASADO",IF(AND(N4411="REALIZADO",M4411="PENDENTE"),"🟡 EMBARCADO SEM FATURAR",IF(AND(P4411&lt;&gt;"",S4411="",OR(Q4411="",R4411="")),"🟡 PENDÊNCIA SEM RESPONSÁVEL/PRAZO",IF(AND(ISNUMBER(R4411),R4411=TODAY()),"🟡 VENCE HOJE",IF(AND(P4411&lt;&gt;"",S4411=""),"🟡 PENDÊNCIA ABERTA",IF(AND(N(J4411)&gt;0,N(K4411)&lt;J4411),"🟡 FALTA EXECUTAR",IF(OR(M4411="PENDENTE",M4411="PARCIAL"),"🟡 FATURAMENTO PENDENTE","🟡 EMBARQUE PENDENTE")))))))))))</f>
        <v/>
      </c>
      <c r="D4411" s="4" t="n"/>
      <c r="E4411" s="5" t="n"/>
      <c r="F4411" s="5" t="n"/>
      <c r="G4411" s="5" t="n"/>
      <c r="H4411" s="5" t="n"/>
      <c r="I4411" s="5" t="n"/>
      <c r="J4411" s="6" t="n"/>
      <c r="K4411" s="6" t="n"/>
      <c r="L4411" s="7">
        <f>IF(OR(D4411="",N(J4411)=0),"",MIN(1,N(K4411)/J4411))</f>
        <v/>
      </c>
      <c r="M4411" s="5" t="n"/>
      <c r="N4411" s="5" t="n"/>
      <c r="O4411" s="5" t="n"/>
      <c r="P4411" s="5" t="n"/>
      <c r="Q4411" s="5" t="n"/>
      <c r="R4411" s="4" t="n"/>
      <c r="S4411" s="4" t="n"/>
      <c r="T4411" s="5" t="n"/>
      <c r="U4411" s="8">
        <f>IF(AND(V4411=1,D4411&lt;&gt;""),IF(D4411&gt;=corte,TODAY()-D4411,""),"")</f>
        <v/>
      </c>
      <c r="V4411" s="8">
        <f>IF(D4411="",0,IF(OR(AND(P4411&lt;&gt;"",S4411=""),AND(N(J4411)&gt;0,N(K4411)&lt;J4411),OR(M4411="PENDENTE",M4411="PARCIAL"),OR(N4411="PENDENTE",N4411="PARCIAL")),1,0))</f>
        <v/>
      </c>
      <c r="W4411" s="8">
        <f>IF(AND(V4411=1,D4411&lt;&gt;""),IF(D4411&gt;=corte,(B4411="CRÍTICO")*1E9+(100000-D4411)*10000+10000-ROW(),""),"")</f>
        <v/>
      </c>
      <c r="X4411" s="8">
        <f>IF(AND(V4411=1,D4411=pas_data,E4411=pas_turno),10000-ROW(),"")</f>
        <v/>
      </c>
    </row>
    <row r="4412">
      <c r="A4412" s="3">
        <f>IF(D4412="","","TT-"&amp;TEXT(ROW()-1,"00000"))</f>
        <v/>
      </c>
      <c r="B4412" s="3">
        <f>IF(D4412="","",IF(V4412=0,"CONCLUÍDO",IF(D4412&lt;corte,"HISTÓRICO",IF(OR(AND(ISNUMBER(R4412),R4412&lt;TODAY()),AND(OR(N4412="PENDENTE",N4412="PARCIAL"),D4412&lt;TODAY()-1)),"CRÍTICO",IF(OR(AND(P4412&lt;&gt;"",S4412=""),AND(N4412="REALIZADO",M4412="PENDENTE"),AND(ISNUMBER(R4412),R4412=TODAY())),"ATENÇÃO",IF(N(K4412)=0,"PENDENTE","EM ANDAMENTO"))))))</f>
        <v/>
      </c>
      <c r="C4412" s="3">
        <f>IF(D4412="","",IF(V4412=0,"🟢 OK",IF(D4412&lt;corte,"⚪ HISTÓRICO (sem baixa)",IF(AND(ISNUMBER(R4412),R4412&lt;TODAY()),"🔴 PRAZO VENCIDO",IF(AND(OR(N4412="PENDENTE",N4412="PARCIAL"),D4412&lt;TODAY()-1),"🔴 EMBARQUE ATRASADO",IF(AND(N4412="REALIZADO",M4412="PENDENTE"),"🟡 EMBARCADO SEM FATURAR",IF(AND(P4412&lt;&gt;"",S4412="",OR(Q4412="",R4412="")),"🟡 PENDÊNCIA SEM RESPONSÁVEL/PRAZO",IF(AND(ISNUMBER(R4412),R4412=TODAY()),"🟡 VENCE HOJE",IF(AND(P4412&lt;&gt;"",S4412=""),"🟡 PENDÊNCIA ABERTA",IF(AND(N(J4412)&gt;0,N(K4412)&lt;J4412),"🟡 FALTA EXECUTAR",IF(OR(M4412="PENDENTE",M4412="PARCIAL"),"🟡 FATURAMENTO PENDENTE","🟡 EMBARQUE PENDENTE")))))))))))</f>
        <v/>
      </c>
      <c r="D4412" s="4" t="n"/>
      <c r="E4412" s="5" t="n"/>
      <c r="F4412" s="5" t="n"/>
      <c r="G4412" s="5" t="n"/>
      <c r="H4412" s="5" t="n"/>
      <c r="I4412" s="5" t="n"/>
      <c r="J4412" s="6" t="n"/>
      <c r="K4412" s="6" t="n"/>
      <c r="L4412" s="7">
        <f>IF(OR(D4412="",N(J4412)=0),"",MIN(1,N(K4412)/J4412))</f>
        <v/>
      </c>
      <c r="M4412" s="5" t="n"/>
      <c r="N4412" s="5" t="n"/>
      <c r="O4412" s="5" t="n"/>
      <c r="P4412" s="5" t="n"/>
      <c r="Q4412" s="5" t="n"/>
      <c r="R4412" s="4" t="n"/>
      <c r="S4412" s="4" t="n"/>
      <c r="T4412" s="5" t="n"/>
      <c r="U4412" s="8">
        <f>IF(AND(V4412=1,D4412&lt;&gt;""),IF(D4412&gt;=corte,TODAY()-D4412,""),"")</f>
        <v/>
      </c>
      <c r="V4412" s="8">
        <f>IF(D4412="",0,IF(OR(AND(P4412&lt;&gt;"",S4412=""),AND(N(J4412)&gt;0,N(K4412)&lt;J4412),OR(M4412="PENDENTE",M4412="PARCIAL"),OR(N4412="PENDENTE",N4412="PARCIAL")),1,0))</f>
        <v/>
      </c>
      <c r="W4412" s="8">
        <f>IF(AND(V4412=1,D4412&lt;&gt;""),IF(D4412&gt;=corte,(B4412="CRÍTICO")*1E9+(100000-D4412)*10000+10000-ROW(),""),"")</f>
        <v/>
      </c>
      <c r="X4412" s="8">
        <f>IF(AND(V4412=1,D4412=pas_data,E4412=pas_turno),10000-ROW(),"")</f>
        <v/>
      </c>
    </row>
    <row r="4413">
      <c r="A4413" s="3">
        <f>IF(D4413="","","TT-"&amp;TEXT(ROW()-1,"00000"))</f>
        <v/>
      </c>
      <c r="B4413" s="3">
        <f>IF(D4413="","",IF(V4413=0,"CONCLUÍDO",IF(D4413&lt;corte,"HISTÓRICO",IF(OR(AND(ISNUMBER(R4413),R4413&lt;TODAY()),AND(OR(N4413="PENDENTE",N4413="PARCIAL"),D4413&lt;TODAY()-1)),"CRÍTICO",IF(OR(AND(P4413&lt;&gt;"",S4413=""),AND(N4413="REALIZADO",M4413="PENDENTE"),AND(ISNUMBER(R4413),R4413=TODAY())),"ATENÇÃO",IF(N(K4413)=0,"PENDENTE","EM ANDAMENTO"))))))</f>
        <v/>
      </c>
      <c r="C4413" s="3">
        <f>IF(D4413="","",IF(V4413=0,"🟢 OK",IF(D4413&lt;corte,"⚪ HISTÓRICO (sem baixa)",IF(AND(ISNUMBER(R4413),R4413&lt;TODAY()),"🔴 PRAZO VENCIDO",IF(AND(OR(N4413="PENDENTE",N4413="PARCIAL"),D4413&lt;TODAY()-1),"🔴 EMBARQUE ATRASADO",IF(AND(N4413="REALIZADO",M4413="PENDENTE"),"🟡 EMBARCADO SEM FATURAR",IF(AND(P4413&lt;&gt;"",S4413="",OR(Q4413="",R4413="")),"🟡 PENDÊNCIA SEM RESPONSÁVEL/PRAZO",IF(AND(ISNUMBER(R4413),R4413=TODAY()),"🟡 VENCE HOJE",IF(AND(P4413&lt;&gt;"",S4413=""),"🟡 PENDÊNCIA ABERTA",IF(AND(N(J4413)&gt;0,N(K4413)&lt;J4413),"🟡 FALTA EXECUTAR",IF(OR(M4413="PENDENTE",M4413="PARCIAL"),"🟡 FATURAMENTO PENDENTE","🟡 EMBARQUE PENDENTE")))))))))))</f>
        <v/>
      </c>
      <c r="D4413" s="4" t="n"/>
      <c r="E4413" s="5" t="n"/>
      <c r="F4413" s="5" t="n"/>
      <c r="G4413" s="5" t="n"/>
      <c r="H4413" s="5" t="n"/>
      <c r="I4413" s="5" t="n"/>
      <c r="J4413" s="6" t="n"/>
      <c r="K4413" s="6" t="n"/>
      <c r="L4413" s="7">
        <f>IF(OR(D4413="",N(J4413)=0),"",MIN(1,N(K4413)/J4413))</f>
        <v/>
      </c>
      <c r="M4413" s="5" t="n"/>
      <c r="N4413" s="5" t="n"/>
      <c r="O4413" s="5" t="n"/>
      <c r="P4413" s="5" t="n"/>
      <c r="Q4413" s="5" t="n"/>
      <c r="R4413" s="4" t="n"/>
      <c r="S4413" s="4" t="n"/>
      <c r="T4413" s="5" t="n"/>
      <c r="U4413" s="8">
        <f>IF(AND(V4413=1,D4413&lt;&gt;""),IF(D4413&gt;=corte,TODAY()-D4413,""),"")</f>
        <v/>
      </c>
      <c r="V4413" s="8">
        <f>IF(D4413="",0,IF(OR(AND(P4413&lt;&gt;"",S4413=""),AND(N(J4413)&gt;0,N(K4413)&lt;J4413),OR(M4413="PENDENTE",M4413="PARCIAL"),OR(N4413="PENDENTE",N4413="PARCIAL")),1,0))</f>
        <v/>
      </c>
      <c r="W4413" s="8">
        <f>IF(AND(V4413=1,D4413&lt;&gt;""),IF(D4413&gt;=corte,(B4413="CRÍTICO")*1E9+(100000-D4413)*10000+10000-ROW(),""),"")</f>
        <v/>
      </c>
      <c r="X4413" s="8">
        <f>IF(AND(V4413=1,D4413=pas_data,E4413=pas_turno),10000-ROW(),"")</f>
        <v/>
      </c>
    </row>
    <row r="4414">
      <c r="A4414" s="3">
        <f>IF(D4414="","","TT-"&amp;TEXT(ROW()-1,"00000"))</f>
        <v/>
      </c>
      <c r="B4414" s="3">
        <f>IF(D4414="","",IF(V4414=0,"CONCLUÍDO",IF(D4414&lt;corte,"HISTÓRICO",IF(OR(AND(ISNUMBER(R4414),R4414&lt;TODAY()),AND(OR(N4414="PENDENTE",N4414="PARCIAL"),D4414&lt;TODAY()-1)),"CRÍTICO",IF(OR(AND(P4414&lt;&gt;"",S4414=""),AND(N4414="REALIZADO",M4414="PENDENTE"),AND(ISNUMBER(R4414),R4414=TODAY())),"ATENÇÃO",IF(N(K4414)=0,"PENDENTE","EM ANDAMENTO"))))))</f>
        <v/>
      </c>
      <c r="C4414" s="3">
        <f>IF(D4414="","",IF(V4414=0,"🟢 OK",IF(D4414&lt;corte,"⚪ HISTÓRICO (sem baixa)",IF(AND(ISNUMBER(R4414),R4414&lt;TODAY()),"🔴 PRAZO VENCIDO",IF(AND(OR(N4414="PENDENTE",N4414="PARCIAL"),D4414&lt;TODAY()-1),"🔴 EMBARQUE ATRASADO",IF(AND(N4414="REALIZADO",M4414="PENDENTE"),"🟡 EMBARCADO SEM FATURAR",IF(AND(P4414&lt;&gt;"",S4414="",OR(Q4414="",R4414="")),"🟡 PENDÊNCIA SEM RESPONSÁVEL/PRAZO",IF(AND(ISNUMBER(R4414),R4414=TODAY()),"🟡 VENCE HOJE",IF(AND(P4414&lt;&gt;"",S4414=""),"🟡 PENDÊNCIA ABERTA",IF(AND(N(J4414)&gt;0,N(K4414)&lt;J4414),"🟡 FALTA EXECUTAR",IF(OR(M4414="PENDENTE",M4414="PARCIAL"),"🟡 FATURAMENTO PENDENTE","🟡 EMBARQUE PENDENTE")))))))))))</f>
        <v/>
      </c>
      <c r="D4414" s="4" t="n"/>
      <c r="E4414" s="5" t="n"/>
      <c r="F4414" s="5" t="n"/>
      <c r="G4414" s="5" t="n"/>
      <c r="H4414" s="5" t="n"/>
      <c r="I4414" s="5" t="n"/>
      <c r="J4414" s="6" t="n"/>
      <c r="K4414" s="6" t="n"/>
      <c r="L4414" s="7">
        <f>IF(OR(D4414="",N(J4414)=0),"",MIN(1,N(K4414)/J4414))</f>
        <v/>
      </c>
      <c r="M4414" s="5" t="n"/>
      <c r="N4414" s="5" t="n"/>
      <c r="O4414" s="5" t="n"/>
      <c r="P4414" s="5" t="n"/>
      <c r="Q4414" s="5" t="n"/>
      <c r="R4414" s="4" t="n"/>
      <c r="S4414" s="4" t="n"/>
      <c r="T4414" s="5" t="n"/>
      <c r="U4414" s="8">
        <f>IF(AND(V4414=1,D4414&lt;&gt;""),IF(D4414&gt;=corte,TODAY()-D4414,""),"")</f>
        <v/>
      </c>
      <c r="V4414" s="8">
        <f>IF(D4414="",0,IF(OR(AND(P4414&lt;&gt;"",S4414=""),AND(N(J4414)&gt;0,N(K4414)&lt;J4414),OR(M4414="PENDENTE",M4414="PARCIAL"),OR(N4414="PENDENTE",N4414="PARCIAL")),1,0))</f>
        <v/>
      </c>
      <c r="W4414" s="8">
        <f>IF(AND(V4414=1,D4414&lt;&gt;""),IF(D4414&gt;=corte,(B4414="CRÍTICO")*1E9+(100000-D4414)*10000+10000-ROW(),""),"")</f>
        <v/>
      </c>
      <c r="X4414" s="8">
        <f>IF(AND(V4414=1,D4414=pas_data,E4414=pas_turno),10000-ROW(),"")</f>
        <v/>
      </c>
    </row>
    <row r="4415">
      <c r="A4415" s="3">
        <f>IF(D4415="","","TT-"&amp;TEXT(ROW()-1,"00000"))</f>
        <v/>
      </c>
      <c r="B4415" s="3">
        <f>IF(D4415="","",IF(V4415=0,"CONCLUÍDO",IF(D4415&lt;corte,"HISTÓRICO",IF(OR(AND(ISNUMBER(R4415),R4415&lt;TODAY()),AND(OR(N4415="PENDENTE",N4415="PARCIAL"),D4415&lt;TODAY()-1)),"CRÍTICO",IF(OR(AND(P4415&lt;&gt;"",S4415=""),AND(N4415="REALIZADO",M4415="PENDENTE"),AND(ISNUMBER(R4415),R4415=TODAY())),"ATENÇÃO",IF(N(K4415)=0,"PENDENTE","EM ANDAMENTO"))))))</f>
        <v/>
      </c>
      <c r="C4415" s="3">
        <f>IF(D4415="","",IF(V4415=0,"🟢 OK",IF(D4415&lt;corte,"⚪ HISTÓRICO (sem baixa)",IF(AND(ISNUMBER(R4415),R4415&lt;TODAY()),"🔴 PRAZO VENCIDO",IF(AND(OR(N4415="PENDENTE",N4415="PARCIAL"),D4415&lt;TODAY()-1),"🔴 EMBARQUE ATRASADO",IF(AND(N4415="REALIZADO",M4415="PENDENTE"),"🟡 EMBARCADO SEM FATURAR",IF(AND(P4415&lt;&gt;"",S4415="",OR(Q4415="",R4415="")),"🟡 PENDÊNCIA SEM RESPONSÁVEL/PRAZO",IF(AND(ISNUMBER(R4415),R4415=TODAY()),"🟡 VENCE HOJE",IF(AND(P4415&lt;&gt;"",S4415=""),"🟡 PENDÊNCIA ABERTA",IF(AND(N(J4415)&gt;0,N(K4415)&lt;J4415),"🟡 FALTA EXECUTAR",IF(OR(M4415="PENDENTE",M4415="PARCIAL"),"🟡 FATURAMENTO PENDENTE","🟡 EMBARQUE PENDENTE")))))))))))</f>
        <v/>
      </c>
      <c r="D4415" s="4" t="n"/>
      <c r="E4415" s="5" t="n"/>
      <c r="F4415" s="5" t="n"/>
      <c r="G4415" s="5" t="n"/>
      <c r="H4415" s="5" t="n"/>
      <c r="I4415" s="5" t="n"/>
      <c r="J4415" s="6" t="n"/>
      <c r="K4415" s="6" t="n"/>
      <c r="L4415" s="7">
        <f>IF(OR(D4415="",N(J4415)=0),"",MIN(1,N(K4415)/J4415))</f>
        <v/>
      </c>
      <c r="M4415" s="5" t="n"/>
      <c r="N4415" s="5" t="n"/>
      <c r="O4415" s="5" t="n"/>
      <c r="P4415" s="5" t="n"/>
      <c r="Q4415" s="5" t="n"/>
      <c r="R4415" s="4" t="n"/>
      <c r="S4415" s="4" t="n"/>
      <c r="T4415" s="5" t="n"/>
      <c r="U4415" s="8">
        <f>IF(AND(V4415=1,D4415&lt;&gt;""),IF(D4415&gt;=corte,TODAY()-D4415,""),"")</f>
        <v/>
      </c>
      <c r="V4415" s="8">
        <f>IF(D4415="",0,IF(OR(AND(P4415&lt;&gt;"",S4415=""),AND(N(J4415)&gt;0,N(K4415)&lt;J4415),OR(M4415="PENDENTE",M4415="PARCIAL"),OR(N4415="PENDENTE",N4415="PARCIAL")),1,0))</f>
        <v/>
      </c>
      <c r="W4415" s="8">
        <f>IF(AND(V4415=1,D4415&lt;&gt;""),IF(D4415&gt;=corte,(B4415="CRÍTICO")*1E9+(100000-D4415)*10000+10000-ROW(),""),"")</f>
        <v/>
      </c>
      <c r="X4415" s="8">
        <f>IF(AND(V4415=1,D4415=pas_data,E4415=pas_turno),10000-ROW(),"")</f>
        <v/>
      </c>
    </row>
    <row r="4416">
      <c r="A4416" s="3">
        <f>IF(D4416="","","TT-"&amp;TEXT(ROW()-1,"00000"))</f>
        <v/>
      </c>
      <c r="B4416" s="3">
        <f>IF(D4416="","",IF(V4416=0,"CONCLUÍDO",IF(D4416&lt;corte,"HISTÓRICO",IF(OR(AND(ISNUMBER(R4416),R4416&lt;TODAY()),AND(OR(N4416="PENDENTE",N4416="PARCIAL"),D4416&lt;TODAY()-1)),"CRÍTICO",IF(OR(AND(P4416&lt;&gt;"",S4416=""),AND(N4416="REALIZADO",M4416="PENDENTE"),AND(ISNUMBER(R4416),R4416=TODAY())),"ATENÇÃO",IF(N(K4416)=0,"PENDENTE","EM ANDAMENTO"))))))</f>
        <v/>
      </c>
      <c r="C4416" s="3">
        <f>IF(D4416="","",IF(V4416=0,"🟢 OK",IF(D4416&lt;corte,"⚪ HISTÓRICO (sem baixa)",IF(AND(ISNUMBER(R4416),R4416&lt;TODAY()),"🔴 PRAZO VENCIDO",IF(AND(OR(N4416="PENDENTE",N4416="PARCIAL"),D4416&lt;TODAY()-1),"🔴 EMBARQUE ATRASADO",IF(AND(N4416="REALIZADO",M4416="PENDENTE"),"🟡 EMBARCADO SEM FATURAR",IF(AND(P4416&lt;&gt;"",S4416="",OR(Q4416="",R4416="")),"🟡 PENDÊNCIA SEM RESPONSÁVEL/PRAZO",IF(AND(ISNUMBER(R4416),R4416=TODAY()),"🟡 VENCE HOJE",IF(AND(P4416&lt;&gt;"",S4416=""),"🟡 PENDÊNCIA ABERTA",IF(AND(N(J4416)&gt;0,N(K4416)&lt;J4416),"🟡 FALTA EXECUTAR",IF(OR(M4416="PENDENTE",M4416="PARCIAL"),"🟡 FATURAMENTO PENDENTE","🟡 EMBARQUE PENDENTE")))))))))))</f>
        <v/>
      </c>
      <c r="D4416" s="4" t="n"/>
      <c r="E4416" s="5" t="n"/>
      <c r="F4416" s="5" t="n"/>
      <c r="G4416" s="5" t="n"/>
      <c r="H4416" s="5" t="n"/>
      <c r="I4416" s="5" t="n"/>
      <c r="J4416" s="6" t="n"/>
      <c r="K4416" s="6" t="n"/>
      <c r="L4416" s="7">
        <f>IF(OR(D4416="",N(J4416)=0),"",MIN(1,N(K4416)/J4416))</f>
        <v/>
      </c>
      <c r="M4416" s="5" t="n"/>
      <c r="N4416" s="5" t="n"/>
      <c r="O4416" s="5" t="n"/>
      <c r="P4416" s="5" t="n"/>
      <c r="Q4416" s="5" t="n"/>
      <c r="R4416" s="4" t="n"/>
      <c r="S4416" s="4" t="n"/>
      <c r="T4416" s="5" t="n"/>
      <c r="U4416" s="8">
        <f>IF(AND(V4416=1,D4416&lt;&gt;""),IF(D4416&gt;=corte,TODAY()-D4416,""),"")</f>
        <v/>
      </c>
      <c r="V4416" s="8">
        <f>IF(D4416="",0,IF(OR(AND(P4416&lt;&gt;"",S4416=""),AND(N(J4416)&gt;0,N(K4416)&lt;J4416),OR(M4416="PENDENTE",M4416="PARCIAL"),OR(N4416="PENDENTE",N4416="PARCIAL")),1,0))</f>
        <v/>
      </c>
      <c r="W4416" s="8">
        <f>IF(AND(V4416=1,D4416&lt;&gt;""),IF(D4416&gt;=corte,(B4416="CRÍTICO")*1E9+(100000-D4416)*10000+10000-ROW(),""),"")</f>
        <v/>
      </c>
      <c r="X4416" s="8">
        <f>IF(AND(V4416=1,D4416=pas_data,E4416=pas_turno),10000-ROW(),"")</f>
        <v/>
      </c>
    </row>
    <row r="4417">
      <c r="A4417" s="3">
        <f>IF(D4417="","","TT-"&amp;TEXT(ROW()-1,"00000"))</f>
        <v/>
      </c>
      <c r="B4417" s="3">
        <f>IF(D4417="","",IF(V4417=0,"CONCLUÍDO",IF(D4417&lt;corte,"HISTÓRICO",IF(OR(AND(ISNUMBER(R4417),R4417&lt;TODAY()),AND(OR(N4417="PENDENTE",N4417="PARCIAL"),D4417&lt;TODAY()-1)),"CRÍTICO",IF(OR(AND(P4417&lt;&gt;"",S4417=""),AND(N4417="REALIZADO",M4417="PENDENTE"),AND(ISNUMBER(R4417),R4417=TODAY())),"ATENÇÃO",IF(N(K4417)=0,"PENDENTE","EM ANDAMENTO"))))))</f>
        <v/>
      </c>
      <c r="C4417" s="3">
        <f>IF(D4417="","",IF(V4417=0,"🟢 OK",IF(D4417&lt;corte,"⚪ HISTÓRICO (sem baixa)",IF(AND(ISNUMBER(R4417),R4417&lt;TODAY()),"🔴 PRAZO VENCIDO",IF(AND(OR(N4417="PENDENTE",N4417="PARCIAL"),D4417&lt;TODAY()-1),"🔴 EMBARQUE ATRASADO",IF(AND(N4417="REALIZADO",M4417="PENDENTE"),"🟡 EMBARCADO SEM FATURAR",IF(AND(P4417&lt;&gt;"",S4417="",OR(Q4417="",R4417="")),"🟡 PENDÊNCIA SEM RESPONSÁVEL/PRAZO",IF(AND(ISNUMBER(R4417),R4417=TODAY()),"🟡 VENCE HOJE",IF(AND(P4417&lt;&gt;"",S4417=""),"🟡 PENDÊNCIA ABERTA",IF(AND(N(J4417)&gt;0,N(K4417)&lt;J4417),"🟡 FALTA EXECUTAR",IF(OR(M4417="PENDENTE",M4417="PARCIAL"),"🟡 FATURAMENTO PENDENTE","🟡 EMBARQUE PENDENTE")))))))))))</f>
        <v/>
      </c>
      <c r="D4417" s="4" t="n"/>
      <c r="E4417" s="5" t="n"/>
      <c r="F4417" s="5" t="n"/>
      <c r="G4417" s="5" t="n"/>
      <c r="H4417" s="5" t="n"/>
      <c r="I4417" s="5" t="n"/>
      <c r="J4417" s="6" t="n"/>
      <c r="K4417" s="6" t="n"/>
      <c r="L4417" s="7">
        <f>IF(OR(D4417="",N(J4417)=0),"",MIN(1,N(K4417)/J4417))</f>
        <v/>
      </c>
      <c r="M4417" s="5" t="n"/>
      <c r="N4417" s="5" t="n"/>
      <c r="O4417" s="5" t="n"/>
      <c r="P4417" s="5" t="n"/>
      <c r="Q4417" s="5" t="n"/>
      <c r="R4417" s="4" t="n"/>
      <c r="S4417" s="4" t="n"/>
      <c r="T4417" s="5" t="n"/>
      <c r="U4417" s="8">
        <f>IF(AND(V4417=1,D4417&lt;&gt;""),IF(D4417&gt;=corte,TODAY()-D4417,""),"")</f>
        <v/>
      </c>
      <c r="V4417" s="8">
        <f>IF(D4417="",0,IF(OR(AND(P4417&lt;&gt;"",S4417=""),AND(N(J4417)&gt;0,N(K4417)&lt;J4417),OR(M4417="PENDENTE",M4417="PARCIAL"),OR(N4417="PENDENTE",N4417="PARCIAL")),1,0))</f>
        <v/>
      </c>
      <c r="W4417" s="8">
        <f>IF(AND(V4417=1,D4417&lt;&gt;""),IF(D4417&gt;=corte,(B4417="CRÍTICO")*1E9+(100000-D4417)*10000+10000-ROW(),""),"")</f>
        <v/>
      </c>
      <c r="X4417" s="8">
        <f>IF(AND(V4417=1,D4417=pas_data,E4417=pas_turno),10000-ROW(),"")</f>
        <v/>
      </c>
    </row>
    <row r="4418">
      <c r="A4418" s="3">
        <f>IF(D4418="","","TT-"&amp;TEXT(ROW()-1,"00000"))</f>
        <v/>
      </c>
      <c r="B4418" s="3">
        <f>IF(D4418="","",IF(V4418=0,"CONCLUÍDO",IF(D4418&lt;corte,"HISTÓRICO",IF(OR(AND(ISNUMBER(R4418),R4418&lt;TODAY()),AND(OR(N4418="PENDENTE",N4418="PARCIAL"),D4418&lt;TODAY()-1)),"CRÍTICO",IF(OR(AND(P4418&lt;&gt;"",S4418=""),AND(N4418="REALIZADO",M4418="PENDENTE"),AND(ISNUMBER(R4418),R4418=TODAY())),"ATENÇÃO",IF(N(K4418)=0,"PENDENTE","EM ANDAMENTO"))))))</f>
        <v/>
      </c>
      <c r="C4418" s="3">
        <f>IF(D4418="","",IF(V4418=0,"🟢 OK",IF(D4418&lt;corte,"⚪ HISTÓRICO (sem baixa)",IF(AND(ISNUMBER(R4418),R4418&lt;TODAY()),"🔴 PRAZO VENCIDO",IF(AND(OR(N4418="PENDENTE",N4418="PARCIAL"),D4418&lt;TODAY()-1),"🔴 EMBARQUE ATRASADO",IF(AND(N4418="REALIZADO",M4418="PENDENTE"),"🟡 EMBARCADO SEM FATURAR",IF(AND(P4418&lt;&gt;"",S4418="",OR(Q4418="",R4418="")),"🟡 PENDÊNCIA SEM RESPONSÁVEL/PRAZO",IF(AND(ISNUMBER(R4418),R4418=TODAY()),"🟡 VENCE HOJE",IF(AND(P4418&lt;&gt;"",S4418=""),"🟡 PENDÊNCIA ABERTA",IF(AND(N(J4418)&gt;0,N(K4418)&lt;J4418),"🟡 FALTA EXECUTAR",IF(OR(M4418="PENDENTE",M4418="PARCIAL"),"🟡 FATURAMENTO PENDENTE","🟡 EMBARQUE PENDENTE")))))))))))</f>
        <v/>
      </c>
      <c r="D4418" s="4" t="n"/>
      <c r="E4418" s="5" t="n"/>
      <c r="F4418" s="5" t="n"/>
      <c r="G4418" s="5" t="n"/>
      <c r="H4418" s="5" t="n"/>
      <c r="I4418" s="5" t="n"/>
      <c r="J4418" s="6" t="n"/>
      <c r="K4418" s="6" t="n"/>
      <c r="L4418" s="7">
        <f>IF(OR(D4418="",N(J4418)=0),"",MIN(1,N(K4418)/J4418))</f>
        <v/>
      </c>
      <c r="M4418" s="5" t="n"/>
      <c r="N4418" s="5" t="n"/>
      <c r="O4418" s="5" t="n"/>
      <c r="P4418" s="5" t="n"/>
      <c r="Q4418" s="5" t="n"/>
      <c r="R4418" s="4" t="n"/>
      <c r="S4418" s="4" t="n"/>
      <c r="T4418" s="5" t="n"/>
      <c r="U4418" s="8">
        <f>IF(AND(V4418=1,D4418&lt;&gt;""),IF(D4418&gt;=corte,TODAY()-D4418,""),"")</f>
        <v/>
      </c>
      <c r="V4418" s="8">
        <f>IF(D4418="",0,IF(OR(AND(P4418&lt;&gt;"",S4418=""),AND(N(J4418)&gt;0,N(K4418)&lt;J4418),OR(M4418="PENDENTE",M4418="PARCIAL"),OR(N4418="PENDENTE",N4418="PARCIAL")),1,0))</f>
        <v/>
      </c>
      <c r="W4418" s="8">
        <f>IF(AND(V4418=1,D4418&lt;&gt;""),IF(D4418&gt;=corte,(B4418="CRÍTICO")*1E9+(100000-D4418)*10000+10000-ROW(),""),"")</f>
        <v/>
      </c>
      <c r="X4418" s="8">
        <f>IF(AND(V4418=1,D4418=pas_data,E4418=pas_turno),10000-ROW(),"")</f>
        <v/>
      </c>
    </row>
    <row r="4419">
      <c r="A4419" s="3">
        <f>IF(D4419="","","TT-"&amp;TEXT(ROW()-1,"00000"))</f>
        <v/>
      </c>
      <c r="B4419" s="3">
        <f>IF(D4419="","",IF(V4419=0,"CONCLUÍDO",IF(D4419&lt;corte,"HISTÓRICO",IF(OR(AND(ISNUMBER(R4419),R4419&lt;TODAY()),AND(OR(N4419="PENDENTE",N4419="PARCIAL"),D4419&lt;TODAY()-1)),"CRÍTICO",IF(OR(AND(P4419&lt;&gt;"",S4419=""),AND(N4419="REALIZADO",M4419="PENDENTE"),AND(ISNUMBER(R4419),R4419=TODAY())),"ATENÇÃO",IF(N(K4419)=0,"PENDENTE","EM ANDAMENTO"))))))</f>
        <v/>
      </c>
      <c r="C4419" s="3">
        <f>IF(D4419="","",IF(V4419=0,"🟢 OK",IF(D4419&lt;corte,"⚪ HISTÓRICO (sem baixa)",IF(AND(ISNUMBER(R4419),R4419&lt;TODAY()),"🔴 PRAZO VENCIDO",IF(AND(OR(N4419="PENDENTE",N4419="PARCIAL"),D4419&lt;TODAY()-1),"🔴 EMBARQUE ATRASADO",IF(AND(N4419="REALIZADO",M4419="PENDENTE"),"🟡 EMBARCADO SEM FATURAR",IF(AND(P4419&lt;&gt;"",S4419="",OR(Q4419="",R4419="")),"🟡 PENDÊNCIA SEM RESPONSÁVEL/PRAZO",IF(AND(ISNUMBER(R4419),R4419=TODAY()),"🟡 VENCE HOJE",IF(AND(P4419&lt;&gt;"",S4419=""),"🟡 PENDÊNCIA ABERTA",IF(AND(N(J4419)&gt;0,N(K4419)&lt;J4419),"🟡 FALTA EXECUTAR",IF(OR(M4419="PENDENTE",M4419="PARCIAL"),"🟡 FATURAMENTO PENDENTE","🟡 EMBARQUE PENDENTE")))))))))))</f>
        <v/>
      </c>
      <c r="D4419" s="4" t="n"/>
      <c r="E4419" s="5" t="n"/>
      <c r="F4419" s="5" t="n"/>
      <c r="G4419" s="5" t="n"/>
      <c r="H4419" s="5" t="n"/>
      <c r="I4419" s="5" t="n"/>
      <c r="J4419" s="6" t="n"/>
      <c r="K4419" s="6" t="n"/>
      <c r="L4419" s="7">
        <f>IF(OR(D4419="",N(J4419)=0),"",MIN(1,N(K4419)/J4419))</f>
        <v/>
      </c>
      <c r="M4419" s="5" t="n"/>
      <c r="N4419" s="5" t="n"/>
      <c r="O4419" s="5" t="n"/>
      <c r="P4419" s="5" t="n"/>
      <c r="Q4419" s="5" t="n"/>
      <c r="R4419" s="4" t="n"/>
      <c r="S4419" s="4" t="n"/>
      <c r="T4419" s="5" t="n"/>
      <c r="U4419" s="8">
        <f>IF(AND(V4419=1,D4419&lt;&gt;""),IF(D4419&gt;=corte,TODAY()-D4419,""),"")</f>
        <v/>
      </c>
      <c r="V4419" s="8">
        <f>IF(D4419="",0,IF(OR(AND(P4419&lt;&gt;"",S4419=""),AND(N(J4419)&gt;0,N(K4419)&lt;J4419),OR(M4419="PENDENTE",M4419="PARCIAL"),OR(N4419="PENDENTE",N4419="PARCIAL")),1,0))</f>
        <v/>
      </c>
      <c r="W4419" s="8">
        <f>IF(AND(V4419=1,D4419&lt;&gt;""),IF(D4419&gt;=corte,(B4419="CRÍTICO")*1E9+(100000-D4419)*10000+10000-ROW(),""),"")</f>
        <v/>
      </c>
      <c r="X4419" s="8">
        <f>IF(AND(V4419=1,D4419=pas_data,E4419=pas_turno),10000-ROW(),"")</f>
        <v/>
      </c>
    </row>
    <row r="4420">
      <c r="A4420" s="3">
        <f>IF(D4420="","","TT-"&amp;TEXT(ROW()-1,"00000"))</f>
        <v/>
      </c>
      <c r="B4420" s="3">
        <f>IF(D4420="","",IF(V4420=0,"CONCLUÍDO",IF(D4420&lt;corte,"HISTÓRICO",IF(OR(AND(ISNUMBER(R4420),R4420&lt;TODAY()),AND(OR(N4420="PENDENTE",N4420="PARCIAL"),D4420&lt;TODAY()-1)),"CRÍTICO",IF(OR(AND(P4420&lt;&gt;"",S4420=""),AND(N4420="REALIZADO",M4420="PENDENTE"),AND(ISNUMBER(R4420),R4420=TODAY())),"ATENÇÃO",IF(N(K4420)=0,"PENDENTE","EM ANDAMENTO"))))))</f>
        <v/>
      </c>
      <c r="C4420" s="3">
        <f>IF(D4420="","",IF(V4420=0,"🟢 OK",IF(D4420&lt;corte,"⚪ HISTÓRICO (sem baixa)",IF(AND(ISNUMBER(R4420),R4420&lt;TODAY()),"🔴 PRAZO VENCIDO",IF(AND(OR(N4420="PENDENTE",N4420="PARCIAL"),D4420&lt;TODAY()-1),"🔴 EMBARQUE ATRASADO",IF(AND(N4420="REALIZADO",M4420="PENDENTE"),"🟡 EMBARCADO SEM FATURAR",IF(AND(P4420&lt;&gt;"",S4420="",OR(Q4420="",R4420="")),"🟡 PENDÊNCIA SEM RESPONSÁVEL/PRAZO",IF(AND(ISNUMBER(R4420),R4420=TODAY()),"🟡 VENCE HOJE",IF(AND(P4420&lt;&gt;"",S4420=""),"🟡 PENDÊNCIA ABERTA",IF(AND(N(J4420)&gt;0,N(K4420)&lt;J4420),"🟡 FALTA EXECUTAR",IF(OR(M4420="PENDENTE",M4420="PARCIAL"),"🟡 FATURAMENTO PENDENTE","🟡 EMBARQUE PENDENTE")))))))))))</f>
        <v/>
      </c>
      <c r="D4420" s="4" t="n"/>
      <c r="E4420" s="5" t="n"/>
      <c r="F4420" s="5" t="n"/>
      <c r="G4420" s="5" t="n"/>
      <c r="H4420" s="5" t="n"/>
      <c r="I4420" s="5" t="n"/>
      <c r="J4420" s="6" t="n"/>
      <c r="K4420" s="6" t="n"/>
      <c r="L4420" s="7">
        <f>IF(OR(D4420="",N(J4420)=0),"",MIN(1,N(K4420)/J4420))</f>
        <v/>
      </c>
      <c r="M4420" s="5" t="n"/>
      <c r="N4420" s="5" t="n"/>
      <c r="O4420" s="5" t="n"/>
      <c r="P4420" s="5" t="n"/>
      <c r="Q4420" s="5" t="n"/>
      <c r="R4420" s="4" t="n"/>
      <c r="S4420" s="4" t="n"/>
      <c r="T4420" s="5" t="n"/>
      <c r="U4420" s="8">
        <f>IF(AND(V4420=1,D4420&lt;&gt;""),IF(D4420&gt;=corte,TODAY()-D4420,""),"")</f>
        <v/>
      </c>
      <c r="V4420" s="8">
        <f>IF(D4420="",0,IF(OR(AND(P4420&lt;&gt;"",S4420=""),AND(N(J4420)&gt;0,N(K4420)&lt;J4420),OR(M4420="PENDENTE",M4420="PARCIAL"),OR(N4420="PENDENTE",N4420="PARCIAL")),1,0))</f>
        <v/>
      </c>
      <c r="W4420" s="8">
        <f>IF(AND(V4420=1,D4420&lt;&gt;""),IF(D4420&gt;=corte,(B4420="CRÍTICO")*1E9+(100000-D4420)*10000+10000-ROW(),""),"")</f>
        <v/>
      </c>
      <c r="X4420" s="8">
        <f>IF(AND(V4420=1,D4420=pas_data,E4420=pas_turno),10000-ROW(),"")</f>
        <v/>
      </c>
    </row>
    <row r="4421">
      <c r="A4421" s="3">
        <f>IF(D4421="","","TT-"&amp;TEXT(ROW()-1,"00000"))</f>
        <v/>
      </c>
      <c r="B4421" s="3">
        <f>IF(D4421="","",IF(V4421=0,"CONCLUÍDO",IF(D4421&lt;corte,"HISTÓRICO",IF(OR(AND(ISNUMBER(R4421),R4421&lt;TODAY()),AND(OR(N4421="PENDENTE",N4421="PARCIAL"),D4421&lt;TODAY()-1)),"CRÍTICO",IF(OR(AND(P4421&lt;&gt;"",S4421=""),AND(N4421="REALIZADO",M4421="PENDENTE"),AND(ISNUMBER(R4421),R4421=TODAY())),"ATENÇÃO",IF(N(K4421)=0,"PENDENTE","EM ANDAMENTO"))))))</f>
        <v/>
      </c>
      <c r="C4421" s="3">
        <f>IF(D4421="","",IF(V4421=0,"🟢 OK",IF(D4421&lt;corte,"⚪ HISTÓRICO (sem baixa)",IF(AND(ISNUMBER(R4421),R4421&lt;TODAY()),"🔴 PRAZO VENCIDO",IF(AND(OR(N4421="PENDENTE",N4421="PARCIAL"),D4421&lt;TODAY()-1),"🔴 EMBARQUE ATRASADO",IF(AND(N4421="REALIZADO",M4421="PENDENTE"),"🟡 EMBARCADO SEM FATURAR",IF(AND(P4421&lt;&gt;"",S4421="",OR(Q4421="",R4421="")),"🟡 PENDÊNCIA SEM RESPONSÁVEL/PRAZO",IF(AND(ISNUMBER(R4421),R4421=TODAY()),"🟡 VENCE HOJE",IF(AND(P4421&lt;&gt;"",S4421=""),"🟡 PENDÊNCIA ABERTA",IF(AND(N(J4421)&gt;0,N(K4421)&lt;J4421),"🟡 FALTA EXECUTAR",IF(OR(M4421="PENDENTE",M4421="PARCIAL"),"🟡 FATURAMENTO PENDENTE","🟡 EMBARQUE PENDENTE")))))))))))</f>
        <v/>
      </c>
      <c r="D4421" s="4" t="n"/>
      <c r="E4421" s="5" t="n"/>
      <c r="F4421" s="5" t="n"/>
      <c r="G4421" s="5" t="n"/>
      <c r="H4421" s="5" t="n"/>
      <c r="I4421" s="5" t="n"/>
      <c r="J4421" s="6" t="n"/>
      <c r="K4421" s="6" t="n"/>
      <c r="L4421" s="7">
        <f>IF(OR(D4421="",N(J4421)=0),"",MIN(1,N(K4421)/J4421))</f>
        <v/>
      </c>
      <c r="M4421" s="5" t="n"/>
      <c r="N4421" s="5" t="n"/>
      <c r="O4421" s="5" t="n"/>
      <c r="P4421" s="5" t="n"/>
      <c r="Q4421" s="5" t="n"/>
      <c r="R4421" s="4" t="n"/>
      <c r="S4421" s="4" t="n"/>
      <c r="T4421" s="5" t="n"/>
      <c r="U4421" s="8">
        <f>IF(AND(V4421=1,D4421&lt;&gt;""),IF(D4421&gt;=corte,TODAY()-D4421,""),"")</f>
        <v/>
      </c>
      <c r="V4421" s="8">
        <f>IF(D4421="",0,IF(OR(AND(P4421&lt;&gt;"",S4421=""),AND(N(J4421)&gt;0,N(K4421)&lt;J4421),OR(M4421="PENDENTE",M4421="PARCIAL"),OR(N4421="PENDENTE",N4421="PARCIAL")),1,0))</f>
        <v/>
      </c>
      <c r="W4421" s="8">
        <f>IF(AND(V4421=1,D4421&lt;&gt;""),IF(D4421&gt;=corte,(B4421="CRÍTICO")*1E9+(100000-D4421)*10000+10000-ROW(),""),"")</f>
        <v/>
      </c>
      <c r="X4421" s="8">
        <f>IF(AND(V4421=1,D4421=pas_data,E4421=pas_turno),10000-ROW(),"")</f>
        <v/>
      </c>
    </row>
    <row r="4422">
      <c r="A4422" s="3">
        <f>IF(D4422="","","TT-"&amp;TEXT(ROW()-1,"00000"))</f>
        <v/>
      </c>
      <c r="B4422" s="3">
        <f>IF(D4422="","",IF(V4422=0,"CONCLUÍDO",IF(D4422&lt;corte,"HISTÓRICO",IF(OR(AND(ISNUMBER(R4422),R4422&lt;TODAY()),AND(OR(N4422="PENDENTE",N4422="PARCIAL"),D4422&lt;TODAY()-1)),"CRÍTICO",IF(OR(AND(P4422&lt;&gt;"",S4422=""),AND(N4422="REALIZADO",M4422="PENDENTE"),AND(ISNUMBER(R4422),R4422=TODAY())),"ATENÇÃO",IF(N(K4422)=0,"PENDENTE","EM ANDAMENTO"))))))</f>
        <v/>
      </c>
      <c r="C4422" s="3">
        <f>IF(D4422="","",IF(V4422=0,"🟢 OK",IF(D4422&lt;corte,"⚪ HISTÓRICO (sem baixa)",IF(AND(ISNUMBER(R4422),R4422&lt;TODAY()),"🔴 PRAZO VENCIDO",IF(AND(OR(N4422="PENDENTE",N4422="PARCIAL"),D4422&lt;TODAY()-1),"🔴 EMBARQUE ATRASADO",IF(AND(N4422="REALIZADO",M4422="PENDENTE"),"🟡 EMBARCADO SEM FATURAR",IF(AND(P4422&lt;&gt;"",S4422="",OR(Q4422="",R4422="")),"🟡 PENDÊNCIA SEM RESPONSÁVEL/PRAZO",IF(AND(ISNUMBER(R4422),R4422=TODAY()),"🟡 VENCE HOJE",IF(AND(P4422&lt;&gt;"",S4422=""),"🟡 PENDÊNCIA ABERTA",IF(AND(N(J4422)&gt;0,N(K4422)&lt;J4422),"🟡 FALTA EXECUTAR",IF(OR(M4422="PENDENTE",M4422="PARCIAL"),"🟡 FATURAMENTO PENDENTE","🟡 EMBARQUE PENDENTE")))))))))))</f>
        <v/>
      </c>
      <c r="D4422" s="4" t="n"/>
      <c r="E4422" s="5" t="n"/>
      <c r="F4422" s="5" t="n"/>
      <c r="G4422" s="5" t="n"/>
      <c r="H4422" s="5" t="n"/>
      <c r="I4422" s="5" t="n"/>
      <c r="J4422" s="6" t="n"/>
      <c r="K4422" s="6" t="n"/>
      <c r="L4422" s="7">
        <f>IF(OR(D4422="",N(J4422)=0),"",MIN(1,N(K4422)/J4422))</f>
        <v/>
      </c>
      <c r="M4422" s="5" t="n"/>
      <c r="N4422" s="5" t="n"/>
      <c r="O4422" s="5" t="n"/>
      <c r="P4422" s="5" t="n"/>
      <c r="Q4422" s="5" t="n"/>
      <c r="R4422" s="4" t="n"/>
      <c r="S4422" s="4" t="n"/>
      <c r="T4422" s="5" t="n"/>
      <c r="U4422" s="8">
        <f>IF(AND(V4422=1,D4422&lt;&gt;""),IF(D4422&gt;=corte,TODAY()-D4422,""),"")</f>
        <v/>
      </c>
      <c r="V4422" s="8">
        <f>IF(D4422="",0,IF(OR(AND(P4422&lt;&gt;"",S4422=""),AND(N(J4422)&gt;0,N(K4422)&lt;J4422),OR(M4422="PENDENTE",M4422="PARCIAL"),OR(N4422="PENDENTE",N4422="PARCIAL")),1,0))</f>
        <v/>
      </c>
      <c r="W4422" s="8">
        <f>IF(AND(V4422=1,D4422&lt;&gt;""),IF(D4422&gt;=corte,(B4422="CRÍTICO")*1E9+(100000-D4422)*10000+10000-ROW(),""),"")</f>
        <v/>
      </c>
      <c r="X4422" s="8">
        <f>IF(AND(V4422=1,D4422=pas_data,E4422=pas_turno),10000-ROW(),"")</f>
        <v/>
      </c>
    </row>
    <row r="4423">
      <c r="A4423" s="3">
        <f>IF(D4423="","","TT-"&amp;TEXT(ROW()-1,"00000"))</f>
        <v/>
      </c>
      <c r="B4423" s="3">
        <f>IF(D4423="","",IF(V4423=0,"CONCLUÍDO",IF(D4423&lt;corte,"HISTÓRICO",IF(OR(AND(ISNUMBER(R4423),R4423&lt;TODAY()),AND(OR(N4423="PENDENTE",N4423="PARCIAL"),D4423&lt;TODAY()-1)),"CRÍTICO",IF(OR(AND(P4423&lt;&gt;"",S4423=""),AND(N4423="REALIZADO",M4423="PENDENTE"),AND(ISNUMBER(R4423),R4423=TODAY())),"ATENÇÃO",IF(N(K4423)=0,"PENDENTE","EM ANDAMENTO"))))))</f>
        <v/>
      </c>
      <c r="C4423" s="3">
        <f>IF(D4423="","",IF(V4423=0,"🟢 OK",IF(D4423&lt;corte,"⚪ HISTÓRICO (sem baixa)",IF(AND(ISNUMBER(R4423),R4423&lt;TODAY()),"🔴 PRAZO VENCIDO",IF(AND(OR(N4423="PENDENTE",N4423="PARCIAL"),D4423&lt;TODAY()-1),"🔴 EMBARQUE ATRASADO",IF(AND(N4423="REALIZADO",M4423="PENDENTE"),"🟡 EMBARCADO SEM FATURAR",IF(AND(P4423&lt;&gt;"",S4423="",OR(Q4423="",R4423="")),"🟡 PENDÊNCIA SEM RESPONSÁVEL/PRAZO",IF(AND(ISNUMBER(R4423),R4423=TODAY()),"🟡 VENCE HOJE",IF(AND(P4423&lt;&gt;"",S4423=""),"🟡 PENDÊNCIA ABERTA",IF(AND(N(J4423)&gt;0,N(K4423)&lt;J4423),"🟡 FALTA EXECUTAR",IF(OR(M4423="PENDENTE",M4423="PARCIAL"),"🟡 FATURAMENTO PENDENTE","🟡 EMBARQUE PENDENTE")))))))))))</f>
        <v/>
      </c>
      <c r="D4423" s="4" t="n"/>
      <c r="E4423" s="5" t="n"/>
      <c r="F4423" s="5" t="n"/>
      <c r="G4423" s="5" t="n"/>
      <c r="H4423" s="5" t="n"/>
      <c r="I4423" s="5" t="n"/>
      <c r="J4423" s="6" t="n"/>
      <c r="K4423" s="6" t="n"/>
      <c r="L4423" s="7">
        <f>IF(OR(D4423="",N(J4423)=0),"",MIN(1,N(K4423)/J4423))</f>
        <v/>
      </c>
      <c r="M4423" s="5" t="n"/>
      <c r="N4423" s="5" t="n"/>
      <c r="O4423" s="5" t="n"/>
      <c r="P4423" s="5" t="n"/>
      <c r="Q4423" s="5" t="n"/>
      <c r="R4423" s="4" t="n"/>
      <c r="S4423" s="4" t="n"/>
      <c r="T4423" s="5" t="n"/>
      <c r="U4423" s="8">
        <f>IF(AND(V4423=1,D4423&lt;&gt;""),IF(D4423&gt;=corte,TODAY()-D4423,""),"")</f>
        <v/>
      </c>
      <c r="V4423" s="8">
        <f>IF(D4423="",0,IF(OR(AND(P4423&lt;&gt;"",S4423=""),AND(N(J4423)&gt;0,N(K4423)&lt;J4423),OR(M4423="PENDENTE",M4423="PARCIAL"),OR(N4423="PENDENTE",N4423="PARCIAL")),1,0))</f>
        <v/>
      </c>
      <c r="W4423" s="8">
        <f>IF(AND(V4423=1,D4423&lt;&gt;""),IF(D4423&gt;=corte,(B4423="CRÍTICO")*1E9+(100000-D4423)*10000+10000-ROW(),""),"")</f>
        <v/>
      </c>
      <c r="X4423" s="8">
        <f>IF(AND(V4423=1,D4423=pas_data,E4423=pas_turno),10000-ROW(),"")</f>
        <v/>
      </c>
    </row>
    <row r="4424">
      <c r="A4424" s="3">
        <f>IF(D4424="","","TT-"&amp;TEXT(ROW()-1,"00000"))</f>
        <v/>
      </c>
      <c r="B4424" s="3">
        <f>IF(D4424="","",IF(V4424=0,"CONCLUÍDO",IF(D4424&lt;corte,"HISTÓRICO",IF(OR(AND(ISNUMBER(R4424),R4424&lt;TODAY()),AND(OR(N4424="PENDENTE",N4424="PARCIAL"),D4424&lt;TODAY()-1)),"CRÍTICO",IF(OR(AND(P4424&lt;&gt;"",S4424=""),AND(N4424="REALIZADO",M4424="PENDENTE"),AND(ISNUMBER(R4424),R4424=TODAY())),"ATENÇÃO",IF(N(K4424)=0,"PENDENTE","EM ANDAMENTO"))))))</f>
        <v/>
      </c>
      <c r="C4424" s="3">
        <f>IF(D4424="","",IF(V4424=0,"🟢 OK",IF(D4424&lt;corte,"⚪ HISTÓRICO (sem baixa)",IF(AND(ISNUMBER(R4424),R4424&lt;TODAY()),"🔴 PRAZO VENCIDO",IF(AND(OR(N4424="PENDENTE",N4424="PARCIAL"),D4424&lt;TODAY()-1),"🔴 EMBARQUE ATRASADO",IF(AND(N4424="REALIZADO",M4424="PENDENTE"),"🟡 EMBARCADO SEM FATURAR",IF(AND(P4424&lt;&gt;"",S4424="",OR(Q4424="",R4424="")),"🟡 PENDÊNCIA SEM RESPONSÁVEL/PRAZO",IF(AND(ISNUMBER(R4424),R4424=TODAY()),"🟡 VENCE HOJE",IF(AND(P4424&lt;&gt;"",S4424=""),"🟡 PENDÊNCIA ABERTA",IF(AND(N(J4424)&gt;0,N(K4424)&lt;J4424),"🟡 FALTA EXECUTAR",IF(OR(M4424="PENDENTE",M4424="PARCIAL"),"🟡 FATURAMENTO PENDENTE","🟡 EMBARQUE PENDENTE")))))))))))</f>
        <v/>
      </c>
      <c r="D4424" s="4" t="n"/>
      <c r="E4424" s="5" t="n"/>
      <c r="F4424" s="5" t="n"/>
      <c r="G4424" s="5" t="n"/>
      <c r="H4424" s="5" t="n"/>
      <c r="I4424" s="5" t="n"/>
      <c r="J4424" s="6" t="n"/>
      <c r="K4424" s="6" t="n"/>
      <c r="L4424" s="7">
        <f>IF(OR(D4424="",N(J4424)=0),"",MIN(1,N(K4424)/J4424))</f>
        <v/>
      </c>
      <c r="M4424" s="5" t="n"/>
      <c r="N4424" s="5" t="n"/>
      <c r="O4424" s="5" t="n"/>
      <c r="P4424" s="5" t="n"/>
      <c r="Q4424" s="5" t="n"/>
      <c r="R4424" s="4" t="n"/>
      <c r="S4424" s="4" t="n"/>
      <c r="T4424" s="5" t="n"/>
      <c r="U4424" s="8">
        <f>IF(AND(V4424=1,D4424&lt;&gt;""),IF(D4424&gt;=corte,TODAY()-D4424,""),"")</f>
        <v/>
      </c>
      <c r="V4424" s="8">
        <f>IF(D4424="",0,IF(OR(AND(P4424&lt;&gt;"",S4424=""),AND(N(J4424)&gt;0,N(K4424)&lt;J4424),OR(M4424="PENDENTE",M4424="PARCIAL"),OR(N4424="PENDENTE",N4424="PARCIAL")),1,0))</f>
        <v/>
      </c>
      <c r="W4424" s="8">
        <f>IF(AND(V4424=1,D4424&lt;&gt;""),IF(D4424&gt;=corte,(B4424="CRÍTICO")*1E9+(100000-D4424)*10000+10000-ROW(),""),"")</f>
        <v/>
      </c>
      <c r="X4424" s="8">
        <f>IF(AND(V4424=1,D4424=pas_data,E4424=pas_turno),10000-ROW(),"")</f>
        <v/>
      </c>
    </row>
    <row r="4425">
      <c r="A4425" s="3">
        <f>IF(D4425="","","TT-"&amp;TEXT(ROW()-1,"00000"))</f>
        <v/>
      </c>
      <c r="B4425" s="3">
        <f>IF(D4425="","",IF(V4425=0,"CONCLUÍDO",IF(D4425&lt;corte,"HISTÓRICO",IF(OR(AND(ISNUMBER(R4425),R4425&lt;TODAY()),AND(OR(N4425="PENDENTE",N4425="PARCIAL"),D4425&lt;TODAY()-1)),"CRÍTICO",IF(OR(AND(P4425&lt;&gt;"",S4425=""),AND(N4425="REALIZADO",M4425="PENDENTE"),AND(ISNUMBER(R4425),R4425=TODAY())),"ATENÇÃO",IF(N(K4425)=0,"PENDENTE","EM ANDAMENTO"))))))</f>
        <v/>
      </c>
      <c r="C4425" s="3">
        <f>IF(D4425="","",IF(V4425=0,"🟢 OK",IF(D4425&lt;corte,"⚪ HISTÓRICO (sem baixa)",IF(AND(ISNUMBER(R4425),R4425&lt;TODAY()),"🔴 PRAZO VENCIDO",IF(AND(OR(N4425="PENDENTE",N4425="PARCIAL"),D4425&lt;TODAY()-1),"🔴 EMBARQUE ATRASADO",IF(AND(N4425="REALIZADO",M4425="PENDENTE"),"🟡 EMBARCADO SEM FATURAR",IF(AND(P4425&lt;&gt;"",S4425="",OR(Q4425="",R4425="")),"🟡 PENDÊNCIA SEM RESPONSÁVEL/PRAZO",IF(AND(ISNUMBER(R4425),R4425=TODAY()),"🟡 VENCE HOJE",IF(AND(P4425&lt;&gt;"",S4425=""),"🟡 PENDÊNCIA ABERTA",IF(AND(N(J4425)&gt;0,N(K4425)&lt;J4425),"🟡 FALTA EXECUTAR",IF(OR(M4425="PENDENTE",M4425="PARCIAL"),"🟡 FATURAMENTO PENDENTE","🟡 EMBARQUE PENDENTE")))))))))))</f>
        <v/>
      </c>
      <c r="D4425" s="4" t="n"/>
      <c r="E4425" s="5" t="n"/>
      <c r="F4425" s="5" t="n"/>
      <c r="G4425" s="5" t="n"/>
      <c r="H4425" s="5" t="n"/>
      <c r="I4425" s="5" t="n"/>
      <c r="J4425" s="6" t="n"/>
      <c r="K4425" s="6" t="n"/>
      <c r="L4425" s="7">
        <f>IF(OR(D4425="",N(J4425)=0),"",MIN(1,N(K4425)/J4425))</f>
        <v/>
      </c>
      <c r="M4425" s="5" t="n"/>
      <c r="N4425" s="5" t="n"/>
      <c r="O4425" s="5" t="n"/>
      <c r="P4425" s="5" t="n"/>
      <c r="Q4425" s="5" t="n"/>
      <c r="R4425" s="4" t="n"/>
      <c r="S4425" s="4" t="n"/>
      <c r="T4425" s="5" t="n"/>
      <c r="U4425" s="8">
        <f>IF(AND(V4425=1,D4425&lt;&gt;""),IF(D4425&gt;=corte,TODAY()-D4425,""),"")</f>
        <v/>
      </c>
      <c r="V4425" s="8">
        <f>IF(D4425="",0,IF(OR(AND(P4425&lt;&gt;"",S4425=""),AND(N(J4425)&gt;0,N(K4425)&lt;J4425),OR(M4425="PENDENTE",M4425="PARCIAL"),OR(N4425="PENDENTE",N4425="PARCIAL")),1,0))</f>
        <v/>
      </c>
      <c r="W4425" s="8">
        <f>IF(AND(V4425=1,D4425&lt;&gt;""),IF(D4425&gt;=corte,(B4425="CRÍTICO")*1E9+(100000-D4425)*10000+10000-ROW(),""),"")</f>
        <v/>
      </c>
      <c r="X4425" s="8">
        <f>IF(AND(V4425=1,D4425=pas_data,E4425=pas_turno),10000-ROW(),"")</f>
        <v/>
      </c>
    </row>
    <row r="4426">
      <c r="A4426" s="3">
        <f>IF(D4426="","","TT-"&amp;TEXT(ROW()-1,"00000"))</f>
        <v/>
      </c>
      <c r="B4426" s="3">
        <f>IF(D4426="","",IF(V4426=0,"CONCLUÍDO",IF(D4426&lt;corte,"HISTÓRICO",IF(OR(AND(ISNUMBER(R4426),R4426&lt;TODAY()),AND(OR(N4426="PENDENTE",N4426="PARCIAL"),D4426&lt;TODAY()-1)),"CRÍTICO",IF(OR(AND(P4426&lt;&gt;"",S4426=""),AND(N4426="REALIZADO",M4426="PENDENTE"),AND(ISNUMBER(R4426),R4426=TODAY())),"ATENÇÃO",IF(N(K4426)=0,"PENDENTE","EM ANDAMENTO"))))))</f>
        <v/>
      </c>
      <c r="C4426" s="3">
        <f>IF(D4426="","",IF(V4426=0,"🟢 OK",IF(D4426&lt;corte,"⚪ HISTÓRICO (sem baixa)",IF(AND(ISNUMBER(R4426),R4426&lt;TODAY()),"🔴 PRAZO VENCIDO",IF(AND(OR(N4426="PENDENTE",N4426="PARCIAL"),D4426&lt;TODAY()-1),"🔴 EMBARQUE ATRASADO",IF(AND(N4426="REALIZADO",M4426="PENDENTE"),"🟡 EMBARCADO SEM FATURAR",IF(AND(P4426&lt;&gt;"",S4426="",OR(Q4426="",R4426="")),"🟡 PENDÊNCIA SEM RESPONSÁVEL/PRAZO",IF(AND(ISNUMBER(R4426),R4426=TODAY()),"🟡 VENCE HOJE",IF(AND(P4426&lt;&gt;"",S4426=""),"🟡 PENDÊNCIA ABERTA",IF(AND(N(J4426)&gt;0,N(K4426)&lt;J4426),"🟡 FALTA EXECUTAR",IF(OR(M4426="PENDENTE",M4426="PARCIAL"),"🟡 FATURAMENTO PENDENTE","🟡 EMBARQUE PENDENTE")))))))))))</f>
        <v/>
      </c>
      <c r="D4426" s="4" t="n"/>
      <c r="E4426" s="5" t="n"/>
      <c r="F4426" s="5" t="n"/>
      <c r="G4426" s="5" t="n"/>
      <c r="H4426" s="5" t="n"/>
      <c r="I4426" s="5" t="n"/>
      <c r="J4426" s="6" t="n"/>
      <c r="K4426" s="6" t="n"/>
      <c r="L4426" s="7">
        <f>IF(OR(D4426="",N(J4426)=0),"",MIN(1,N(K4426)/J4426))</f>
        <v/>
      </c>
      <c r="M4426" s="5" t="n"/>
      <c r="N4426" s="5" t="n"/>
      <c r="O4426" s="5" t="n"/>
      <c r="P4426" s="5" t="n"/>
      <c r="Q4426" s="5" t="n"/>
      <c r="R4426" s="4" t="n"/>
      <c r="S4426" s="4" t="n"/>
      <c r="T4426" s="5" t="n"/>
      <c r="U4426" s="8">
        <f>IF(AND(V4426=1,D4426&lt;&gt;""),IF(D4426&gt;=corte,TODAY()-D4426,""),"")</f>
        <v/>
      </c>
      <c r="V4426" s="8">
        <f>IF(D4426="",0,IF(OR(AND(P4426&lt;&gt;"",S4426=""),AND(N(J4426)&gt;0,N(K4426)&lt;J4426),OR(M4426="PENDENTE",M4426="PARCIAL"),OR(N4426="PENDENTE",N4426="PARCIAL")),1,0))</f>
        <v/>
      </c>
      <c r="W4426" s="8">
        <f>IF(AND(V4426=1,D4426&lt;&gt;""),IF(D4426&gt;=corte,(B4426="CRÍTICO")*1E9+(100000-D4426)*10000+10000-ROW(),""),"")</f>
        <v/>
      </c>
      <c r="X4426" s="8">
        <f>IF(AND(V4426=1,D4426=pas_data,E4426=pas_turno),10000-ROW(),"")</f>
        <v/>
      </c>
    </row>
    <row r="4427">
      <c r="A4427" s="3">
        <f>IF(D4427="","","TT-"&amp;TEXT(ROW()-1,"00000"))</f>
        <v/>
      </c>
      <c r="B4427" s="3">
        <f>IF(D4427="","",IF(V4427=0,"CONCLUÍDO",IF(D4427&lt;corte,"HISTÓRICO",IF(OR(AND(ISNUMBER(R4427),R4427&lt;TODAY()),AND(OR(N4427="PENDENTE",N4427="PARCIAL"),D4427&lt;TODAY()-1)),"CRÍTICO",IF(OR(AND(P4427&lt;&gt;"",S4427=""),AND(N4427="REALIZADO",M4427="PENDENTE"),AND(ISNUMBER(R4427),R4427=TODAY())),"ATENÇÃO",IF(N(K4427)=0,"PENDENTE","EM ANDAMENTO"))))))</f>
        <v/>
      </c>
      <c r="C4427" s="3">
        <f>IF(D4427="","",IF(V4427=0,"🟢 OK",IF(D4427&lt;corte,"⚪ HISTÓRICO (sem baixa)",IF(AND(ISNUMBER(R4427),R4427&lt;TODAY()),"🔴 PRAZO VENCIDO",IF(AND(OR(N4427="PENDENTE",N4427="PARCIAL"),D4427&lt;TODAY()-1),"🔴 EMBARQUE ATRASADO",IF(AND(N4427="REALIZADO",M4427="PENDENTE"),"🟡 EMBARCADO SEM FATURAR",IF(AND(P4427&lt;&gt;"",S4427="",OR(Q4427="",R4427="")),"🟡 PENDÊNCIA SEM RESPONSÁVEL/PRAZO",IF(AND(ISNUMBER(R4427),R4427=TODAY()),"🟡 VENCE HOJE",IF(AND(P4427&lt;&gt;"",S4427=""),"🟡 PENDÊNCIA ABERTA",IF(AND(N(J4427)&gt;0,N(K4427)&lt;J4427),"🟡 FALTA EXECUTAR",IF(OR(M4427="PENDENTE",M4427="PARCIAL"),"🟡 FATURAMENTO PENDENTE","🟡 EMBARQUE PENDENTE")))))))))))</f>
        <v/>
      </c>
      <c r="D4427" s="4" t="n"/>
      <c r="E4427" s="5" t="n"/>
      <c r="F4427" s="5" t="n"/>
      <c r="G4427" s="5" t="n"/>
      <c r="H4427" s="5" t="n"/>
      <c r="I4427" s="5" t="n"/>
      <c r="J4427" s="6" t="n"/>
      <c r="K4427" s="6" t="n"/>
      <c r="L4427" s="7">
        <f>IF(OR(D4427="",N(J4427)=0),"",MIN(1,N(K4427)/J4427))</f>
        <v/>
      </c>
      <c r="M4427" s="5" t="n"/>
      <c r="N4427" s="5" t="n"/>
      <c r="O4427" s="5" t="n"/>
      <c r="P4427" s="5" t="n"/>
      <c r="Q4427" s="5" t="n"/>
      <c r="R4427" s="4" t="n"/>
      <c r="S4427" s="4" t="n"/>
      <c r="T4427" s="5" t="n"/>
      <c r="U4427" s="8">
        <f>IF(AND(V4427=1,D4427&lt;&gt;""),IF(D4427&gt;=corte,TODAY()-D4427,""),"")</f>
        <v/>
      </c>
      <c r="V4427" s="8">
        <f>IF(D4427="",0,IF(OR(AND(P4427&lt;&gt;"",S4427=""),AND(N(J4427)&gt;0,N(K4427)&lt;J4427),OR(M4427="PENDENTE",M4427="PARCIAL"),OR(N4427="PENDENTE",N4427="PARCIAL")),1,0))</f>
        <v/>
      </c>
      <c r="W4427" s="8">
        <f>IF(AND(V4427=1,D4427&lt;&gt;""),IF(D4427&gt;=corte,(B4427="CRÍTICO")*1E9+(100000-D4427)*10000+10000-ROW(),""),"")</f>
        <v/>
      </c>
      <c r="X4427" s="8">
        <f>IF(AND(V4427=1,D4427=pas_data,E4427=pas_turno),10000-ROW(),"")</f>
        <v/>
      </c>
    </row>
    <row r="4428">
      <c r="A4428" s="3">
        <f>IF(D4428="","","TT-"&amp;TEXT(ROW()-1,"00000"))</f>
        <v/>
      </c>
      <c r="B4428" s="3">
        <f>IF(D4428="","",IF(V4428=0,"CONCLUÍDO",IF(D4428&lt;corte,"HISTÓRICO",IF(OR(AND(ISNUMBER(R4428),R4428&lt;TODAY()),AND(OR(N4428="PENDENTE",N4428="PARCIAL"),D4428&lt;TODAY()-1)),"CRÍTICO",IF(OR(AND(P4428&lt;&gt;"",S4428=""),AND(N4428="REALIZADO",M4428="PENDENTE"),AND(ISNUMBER(R4428),R4428=TODAY())),"ATENÇÃO",IF(N(K4428)=0,"PENDENTE","EM ANDAMENTO"))))))</f>
        <v/>
      </c>
      <c r="C4428" s="3">
        <f>IF(D4428="","",IF(V4428=0,"🟢 OK",IF(D4428&lt;corte,"⚪ HISTÓRICO (sem baixa)",IF(AND(ISNUMBER(R4428),R4428&lt;TODAY()),"🔴 PRAZO VENCIDO",IF(AND(OR(N4428="PENDENTE",N4428="PARCIAL"),D4428&lt;TODAY()-1),"🔴 EMBARQUE ATRASADO",IF(AND(N4428="REALIZADO",M4428="PENDENTE"),"🟡 EMBARCADO SEM FATURAR",IF(AND(P4428&lt;&gt;"",S4428="",OR(Q4428="",R4428="")),"🟡 PENDÊNCIA SEM RESPONSÁVEL/PRAZO",IF(AND(ISNUMBER(R4428),R4428=TODAY()),"🟡 VENCE HOJE",IF(AND(P4428&lt;&gt;"",S4428=""),"🟡 PENDÊNCIA ABERTA",IF(AND(N(J4428)&gt;0,N(K4428)&lt;J4428),"🟡 FALTA EXECUTAR",IF(OR(M4428="PENDENTE",M4428="PARCIAL"),"🟡 FATURAMENTO PENDENTE","🟡 EMBARQUE PENDENTE")))))))))))</f>
        <v/>
      </c>
      <c r="D4428" s="4" t="n"/>
      <c r="E4428" s="5" t="n"/>
      <c r="F4428" s="5" t="n"/>
      <c r="G4428" s="5" t="n"/>
      <c r="H4428" s="5" t="n"/>
      <c r="I4428" s="5" t="n"/>
      <c r="J4428" s="6" t="n"/>
      <c r="K4428" s="6" t="n"/>
      <c r="L4428" s="7">
        <f>IF(OR(D4428="",N(J4428)=0),"",MIN(1,N(K4428)/J4428))</f>
        <v/>
      </c>
      <c r="M4428" s="5" t="n"/>
      <c r="N4428" s="5" t="n"/>
      <c r="O4428" s="5" t="n"/>
      <c r="P4428" s="5" t="n"/>
      <c r="Q4428" s="5" t="n"/>
      <c r="R4428" s="4" t="n"/>
      <c r="S4428" s="4" t="n"/>
      <c r="T4428" s="5" t="n"/>
      <c r="U4428" s="8">
        <f>IF(AND(V4428=1,D4428&lt;&gt;""),IF(D4428&gt;=corte,TODAY()-D4428,""),"")</f>
        <v/>
      </c>
      <c r="V4428" s="8">
        <f>IF(D4428="",0,IF(OR(AND(P4428&lt;&gt;"",S4428=""),AND(N(J4428)&gt;0,N(K4428)&lt;J4428),OR(M4428="PENDENTE",M4428="PARCIAL"),OR(N4428="PENDENTE",N4428="PARCIAL")),1,0))</f>
        <v/>
      </c>
      <c r="W4428" s="8">
        <f>IF(AND(V4428=1,D4428&lt;&gt;""),IF(D4428&gt;=corte,(B4428="CRÍTICO")*1E9+(100000-D4428)*10000+10000-ROW(),""),"")</f>
        <v/>
      </c>
      <c r="X4428" s="8">
        <f>IF(AND(V4428=1,D4428=pas_data,E4428=pas_turno),10000-ROW(),"")</f>
        <v/>
      </c>
    </row>
    <row r="4429">
      <c r="A4429" s="3">
        <f>IF(D4429="","","TT-"&amp;TEXT(ROW()-1,"00000"))</f>
        <v/>
      </c>
      <c r="B4429" s="3">
        <f>IF(D4429="","",IF(V4429=0,"CONCLUÍDO",IF(D4429&lt;corte,"HISTÓRICO",IF(OR(AND(ISNUMBER(R4429),R4429&lt;TODAY()),AND(OR(N4429="PENDENTE",N4429="PARCIAL"),D4429&lt;TODAY()-1)),"CRÍTICO",IF(OR(AND(P4429&lt;&gt;"",S4429=""),AND(N4429="REALIZADO",M4429="PENDENTE"),AND(ISNUMBER(R4429),R4429=TODAY())),"ATENÇÃO",IF(N(K4429)=0,"PENDENTE","EM ANDAMENTO"))))))</f>
        <v/>
      </c>
      <c r="C4429" s="3">
        <f>IF(D4429="","",IF(V4429=0,"🟢 OK",IF(D4429&lt;corte,"⚪ HISTÓRICO (sem baixa)",IF(AND(ISNUMBER(R4429),R4429&lt;TODAY()),"🔴 PRAZO VENCIDO",IF(AND(OR(N4429="PENDENTE",N4429="PARCIAL"),D4429&lt;TODAY()-1),"🔴 EMBARQUE ATRASADO",IF(AND(N4429="REALIZADO",M4429="PENDENTE"),"🟡 EMBARCADO SEM FATURAR",IF(AND(P4429&lt;&gt;"",S4429="",OR(Q4429="",R4429="")),"🟡 PENDÊNCIA SEM RESPONSÁVEL/PRAZO",IF(AND(ISNUMBER(R4429),R4429=TODAY()),"🟡 VENCE HOJE",IF(AND(P4429&lt;&gt;"",S4429=""),"🟡 PENDÊNCIA ABERTA",IF(AND(N(J4429)&gt;0,N(K4429)&lt;J4429),"🟡 FALTA EXECUTAR",IF(OR(M4429="PENDENTE",M4429="PARCIAL"),"🟡 FATURAMENTO PENDENTE","🟡 EMBARQUE PENDENTE")))))))))))</f>
        <v/>
      </c>
      <c r="D4429" s="4" t="n"/>
      <c r="E4429" s="5" t="n"/>
      <c r="F4429" s="5" t="n"/>
      <c r="G4429" s="5" t="n"/>
      <c r="H4429" s="5" t="n"/>
      <c r="I4429" s="5" t="n"/>
      <c r="J4429" s="6" t="n"/>
      <c r="K4429" s="6" t="n"/>
      <c r="L4429" s="7">
        <f>IF(OR(D4429="",N(J4429)=0),"",MIN(1,N(K4429)/J4429))</f>
        <v/>
      </c>
      <c r="M4429" s="5" t="n"/>
      <c r="N4429" s="5" t="n"/>
      <c r="O4429" s="5" t="n"/>
      <c r="P4429" s="5" t="n"/>
      <c r="Q4429" s="5" t="n"/>
      <c r="R4429" s="4" t="n"/>
      <c r="S4429" s="4" t="n"/>
      <c r="T4429" s="5" t="n"/>
      <c r="U4429" s="8">
        <f>IF(AND(V4429=1,D4429&lt;&gt;""),IF(D4429&gt;=corte,TODAY()-D4429,""),"")</f>
        <v/>
      </c>
      <c r="V4429" s="8">
        <f>IF(D4429="",0,IF(OR(AND(P4429&lt;&gt;"",S4429=""),AND(N(J4429)&gt;0,N(K4429)&lt;J4429),OR(M4429="PENDENTE",M4429="PARCIAL"),OR(N4429="PENDENTE",N4429="PARCIAL")),1,0))</f>
        <v/>
      </c>
      <c r="W4429" s="8">
        <f>IF(AND(V4429=1,D4429&lt;&gt;""),IF(D4429&gt;=corte,(B4429="CRÍTICO")*1E9+(100000-D4429)*10000+10000-ROW(),""),"")</f>
        <v/>
      </c>
      <c r="X4429" s="8">
        <f>IF(AND(V4429=1,D4429=pas_data,E4429=pas_turno),10000-ROW(),"")</f>
        <v/>
      </c>
    </row>
    <row r="4430">
      <c r="A4430" s="3">
        <f>IF(D4430="","","TT-"&amp;TEXT(ROW()-1,"00000"))</f>
        <v/>
      </c>
      <c r="B4430" s="3">
        <f>IF(D4430="","",IF(V4430=0,"CONCLUÍDO",IF(D4430&lt;corte,"HISTÓRICO",IF(OR(AND(ISNUMBER(R4430),R4430&lt;TODAY()),AND(OR(N4430="PENDENTE",N4430="PARCIAL"),D4430&lt;TODAY()-1)),"CRÍTICO",IF(OR(AND(P4430&lt;&gt;"",S4430=""),AND(N4430="REALIZADO",M4430="PENDENTE"),AND(ISNUMBER(R4430),R4430=TODAY())),"ATENÇÃO",IF(N(K4430)=0,"PENDENTE","EM ANDAMENTO"))))))</f>
        <v/>
      </c>
      <c r="C4430" s="3">
        <f>IF(D4430="","",IF(V4430=0,"🟢 OK",IF(D4430&lt;corte,"⚪ HISTÓRICO (sem baixa)",IF(AND(ISNUMBER(R4430),R4430&lt;TODAY()),"🔴 PRAZO VENCIDO",IF(AND(OR(N4430="PENDENTE",N4430="PARCIAL"),D4430&lt;TODAY()-1),"🔴 EMBARQUE ATRASADO",IF(AND(N4430="REALIZADO",M4430="PENDENTE"),"🟡 EMBARCADO SEM FATURAR",IF(AND(P4430&lt;&gt;"",S4430="",OR(Q4430="",R4430="")),"🟡 PENDÊNCIA SEM RESPONSÁVEL/PRAZO",IF(AND(ISNUMBER(R4430),R4430=TODAY()),"🟡 VENCE HOJE",IF(AND(P4430&lt;&gt;"",S4430=""),"🟡 PENDÊNCIA ABERTA",IF(AND(N(J4430)&gt;0,N(K4430)&lt;J4430),"🟡 FALTA EXECUTAR",IF(OR(M4430="PENDENTE",M4430="PARCIAL"),"🟡 FATURAMENTO PENDENTE","🟡 EMBARQUE PENDENTE")))))))))))</f>
        <v/>
      </c>
      <c r="D4430" s="4" t="n"/>
      <c r="E4430" s="5" t="n"/>
      <c r="F4430" s="5" t="n"/>
      <c r="G4430" s="5" t="n"/>
      <c r="H4430" s="5" t="n"/>
      <c r="I4430" s="5" t="n"/>
      <c r="J4430" s="6" t="n"/>
      <c r="K4430" s="6" t="n"/>
      <c r="L4430" s="7">
        <f>IF(OR(D4430="",N(J4430)=0),"",MIN(1,N(K4430)/J4430))</f>
        <v/>
      </c>
      <c r="M4430" s="5" t="n"/>
      <c r="N4430" s="5" t="n"/>
      <c r="O4430" s="5" t="n"/>
      <c r="P4430" s="5" t="n"/>
      <c r="Q4430" s="5" t="n"/>
      <c r="R4430" s="4" t="n"/>
      <c r="S4430" s="4" t="n"/>
      <c r="T4430" s="5" t="n"/>
      <c r="U4430" s="8">
        <f>IF(AND(V4430=1,D4430&lt;&gt;""),IF(D4430&gt;=corte,TODAY()-D4430,""),"")</f>
        <v/>
      </c>
      <c r="V4430" s="8">
        <f>IF(D4430="",0,IF(OR(AND(P4430&lt;&gt;"",S4430=""),AND(N(J4430)&gt;0,N(K4430)&lt;J4430),OR(M4430="PENDENTE",M4430="PARCIAL"),OR(N4430="PENDENTE",N4430="PARCIAL")),1,0))</f>
        <v/>
      </c>
      <c r="W4430" s="8">
        <f>IF(AND(V4430=1,D4430&lt;&gt;""),IF(D4430&gt;=corte,(B4430="CRÍTICO")*1E9+(100000-D4430)*10000+10000-ROW(),""),"")</f>
        <v/>
      </c>
      <c r="X4430" s="8">
        <f>IF(AND(V4430=1,D4430=pas_data,E4430=pas_turno),10000-ROW(),"")</f>
        <v/>
      </c>
    </row>
    <row r="4431">
      <c r="A4431" s="3">
        <f>IF(D4431="","","TT-"&amp;TEXT(ROW()-1,"00000"))</f>
        <v/>
      </c>
      <c r="B4431" s="3">
        <f>IF(D4431="","",IF(V4431=0,"CONCLUÍDO",IF(D4431&lt;corte,"HISTÓRICO",IF(OR(AND(ISNUMBER(R4431),R4431&lt;TODAY()),AND(OR(N4431="PENDENTE",N4431="PARCIAL"),D4431&lt;TODAY()-1)),"CRÍTICO",IF(OR(AND(P4431&lt;&gt;"",S4431=""),AND(N4431="REALIZADO",M4431="PENDENTE"),AND(ISNUMBER(R4431),R4431=TODAY())),"ATENÇÃO",IF(N(K4431)=0,"PENDENTE","EM ANDAMENTO"))))))</f>
        <v/>
      </c>
      <c r="C4431" s="3">
        <f>IF(D4431="","",IF(V4431=0,"🟢 OK",IF(D4431&lt;corte,"⚪ HISTÓRICO (sem baixa)",IF(AND(ISNUMBER(R4431),R4431&lt;TODAY()),"🔴 PRAZO VENCIDO",IF(AND(OR(N4431="PENDENTE",N4431="PARCIAL"),D4431&lt;TODAY()-1),"🔴 EMBARQUE ATRASADO",IF(AND(N4431="REALIZADO",M4431="PENDENTE"),"🟡 EMBARCADO SEM FATURAR",IF(AND(P4431&lt;&gt;"",S4431="",OR(Q4431="",R4431="")),"🟡 PENDÊNCIA SEM RESPONSÁVEL/PRAZO",IF(AND(ISNUMBER(R4431),R4431=TODAY()),"🟡 VENCE HOJE",IF(AND(P4431&lt;&gt;"",S4431=""),"🟡 PENDÊNCIA ABERTA",IF(AND(N(J4431)&gt;0,N(K4431)&lt;J4431),"🟡 FALTA EXECUTAR",IF(OR(M4431="PENDENTE",M4431="PARCIAL"),"🟡 FATURAMENTO PENDENTE","🟡 EMBARQUE PENDENTE")))))))))))</f>
        <v/>
      </c>
      <c r="D4431" s="4" t="n"/>
      <c r="E4431" s="5" t="n"/>
      <c r="F4431" s="5" t="n"/>
      <c r="G4431" s="5" t="n"/>
      <c r="H4431" s="5" t="n"/>
      <c r="I4431" s="5" t="n"/>
      <c r="J4431" s="6" t="n"/>
      <c r="K4431" s="6" t="n"/>
      <c r="L4431" s="7">
        <f>IF(OR(D4431="",N(J4431)=0),"",MIN(1,N(K4431)/J4431))</f>
        <v/>
      </c>
      <c r="M4431" s="5" t="n"/>
      <c r="N4431" s="5" t="n"/>
      <c r="O4431" s="5" t="n"/>
      <c r="P4431" s="5" t="n"/>
      <c r="Q4431" s="5" t="n"/>
      <c r="R4431" s="4" t="n"/>
      <c r="S4431" s="4" t="n"/>
      <c r="T4431" s="5" t="n"/>
      <c r="U4431" s="8">
        <f>IF(AND(V4431=1,D4431&lt;&gt;""),IF(D4431&gt;=corte,TODAY()-D4431,""),"")</f>
        <v/>
      </c>
      <c r="V4431" s="8">
        <f>IF(D4431="",0,IF(OR(AND(P4431&lt;&gt;"",S4431=""),AND(N(J4431)&gt;0,N(K4431)&lt;J4431),OR(M4431="PENDENTE",M4431="PARCIAL"),OR(N4431="PENDENTE",N4431="PARCIAL")),1,0))</f>
        <v/>
      </c>
      <c r="W4431" s="8">
        <f>IF(AND(V4431=1,D4431&lt;&gt;""),IF(D4431&gt;=corte,(B4431="CRÍTICO")*1E9+(100000-D4431)*10000+10000-ROW(),""),"")</f>
        <v/>
      </c>
      <c r="X4431" s="8">
        <f>IF(AND(V4431=1,D4431=pas_data,E4431=pas_turno),10000-ROW(),"")</f>
        <v/>
      </c>
    </row>
    <row r="4432">
      <c r="A4432" s="3">
        <f>IF(D4432="","","TT-"&amp;TEXT(ROW()-1,"00000"))</f>
        <v/>
      </c>
      <c r="B4432" s="3">
        <f>IF(D4432="","",IF(V4432=0,"CONCLUÍDO",IF(D4432&lt;corte,"HISTÓRICO",IF(OR(AND(ISNUMBER(R4432),R4432&lt;TODAY()),AND(OR(N4432="PENDENTE",N4432="PARCIAL"),D4432&lt;TODAY()-1)),"CRÍTICO",IF(OR(AND(P4432&lt;&gt;"",S4432=""),AND(N4432="REALIZADO",M4432="PENDENTE"),AND(ISNUMBER(R4432),R4432=TODAY())),"ATENÇÃO",IF(N(K4432)=0,"PENDENTE","EM ANDAMENTO"))))))</f>
        <v/>
      </c>
      <c r="C4432" s="3">
        <f>IF(D4432="","",IF(V4432=0,"🟢 OK",IF(D4432&lt;corte,"⚪ HISTÓRICO (sem baixa)",IF(AND(ISNUMBER(R4432),R4432&lt;TODAY()),"🔴 PRAZO VENCIDO",IF(AND(OR(N4432="PENDENTE",N4432="PARCIAL"),D4432&lt;TODAY()-1),"🔴 EMBARQUE ATRASADO",IF(AND(N4432="REALIZADO",M4432="PENDENTE"),"🟡 EMBARCADO SEM FATURAR",IF(AND(P4432&lt;&gt;"",S4432="",OR(Q4432="",R4432="")),"🟡 PENDÊNCIA SEM RESPONSÁVEL/PRAZO",IF(AND(ISNUMBER(R4432),R4432=TODAY()),"🟡 VENCE HOJE",IF(AND(P4432&lt;&gt;"",S4432=""),"🟡 PENDÊNCIA ABERTA",IF(AND(N(J4432)&gt;0,N(K4432)&lt;J4432),"🟡 FALTA EXECUTAR",IF(OR(M4432="PENDENTE",M4432="PARCIAL"),"🟡 FATURAMENTO PENDENTE","🟡 EMBARQUE PENDENTE")))))))))))</f>
        <v/>
      </c>
      <c r="D4432" s="4" t="n"/>
      <c r="E4432" s="5" t="n"/>
      <c r="F4432" s="5" t="n"/>
      <c r="G4432" s="5" t="n"/>
      <c r="H4432" s="5" t="n"/>
      <c r="I4432" s="5" t="n"/>
      <c r="J4432" s="6" t="n"/>
      <c r="K4432" s="6" t="n"/>
      <c r="L4432" s="7">
        <f>IF(OR(D4432="",N(J4432)=0),"",MIN(1,N(K4432)/J4432))</f>
        <v/>
      </c>
      <c r="M4432" s="5" t="n"/>
      <c r="N4432" s="5" t="n"/>
      <c r="O4432" s="5" t="n"/>
      <c r="P4432" s="5" t="n"/>
      <c r="Q4432" s="5" t="n"/>
      <c r="R4432" s="4" t="n"/>
      <c r="S4432" s="4" t="n"/>
      <c r="T4432" s="5" t="n"/>
      <c r="U4432" s="8">
        <f>IF(AND(V4432=1,D4432&lt;&gt;""),IF(D4432&gt;=corte,TODAY()-D4432,""),"")</f>
        <v/>
      </c>
      <c r="V4432" s="8">
        <f>IF(D4432="",0,IF(OR(AND(P4432&lt;&gt;"",S4432=""),AND(N(J4432)&gt;0,N(K4432)&lt;J4432),OR(M4432="PENDENTE",M4432="PARCIAL"),OR(N4432="PENDENTE",N4432="PARCIAL")),1,0))</f>
        <v/>
      </c>
      <c r="W4432" s="8">
        <f>IF(AND(V4432=1,D4432&lt;&gt;""),IF(D4432&gt;=corte,(B4432="CRÍTICO")*1E9+(100000-D4432)*10000+10000-ROW(),""),"")</f>
        <v/>
      </c>
      <c r="X4432" s="8">
        <f>IF(AND(V4432=1,D4432=pas_data,E4432=pas_turno),10000-ROW(),"")</f>
        <v/>
      </c>
    </row>
    <row r="4433">
      <c r="A4433" s="3">
        <f>IF(D4433="","","TT-"&amp;TEXT(ROW()-1,"00000"))</f>
        <v/>
      </c>
      <c r="B4433" s="3">
        <f>IF(D4433="","",IF(V4433=0,"CONCLUÍDO",IF(D4433&lt;corte,"HISTÓRICO",IF(OR(AND(ISNUMBER(R4433),R4433&lt;TODAY()),AND(OR(N4433="PENDENTE",N4433="PARCIAL"),D4433&lt;TODAY()-1)),"CRÍTICO",IF(OR(AND(P4433&lt;&gt;"",S4433=""),AND(N4433="REALIZADO",M4433="PENDENTE"),AND(ISNUMBER(R4433),R4433=TODAY())),"ATENÇÃO",IF(N(K4433)=0,"PENDENTE","EM ANDAMENTO"))))))</f>
        <v/>
      </c>
      <c r="C4433" s="3">
        <f>IF(D4433="","",IF(V4433=0,"🟢 OK",IF(D4433&lt;corte,"⚪ HISTÓRICO (sem baixa)",IF(AND(ISNUMBER(R4433),R4433&lt;TODAY()),"🔴 PRAZO VENCIDO",IF(AND(OR(N4433="PENDENTE",N4433="PARCIAL"),D4433&lt;TODAY()-1),"🔴 EMBARQUE ATRASADO",IF(AND(N4433="REALIZADO",M4433="PENDENTE"),"🟡 EMBARCADO SEM FATURAR",IF(AND(P4433&lt;&gt;"",S4433="",OR(Q4433="",R4433="")),"🟡 PENDÊNCIA SEM RESPONSÁVEL/PRAZO",IF(AND(ISNUMBER(R4433),R4433=TODAY()),"🟡 VENCE HOJE",IF(AND(P4433&lt;&gt;"",S4433=""),"🟡 PENDÊNCIA ABERTA",IF(AND(N(J4433)&gt;0,N(K4433)&lt;J4433),"🟡 FALTA EXECUTAR",IF(OR(M4433="PENDENTE",M4433="PARCIAL"),"🟡 FATURAMENTO PENDENTE","🟡 EMBARQUE PENDENTE")))))))))))</f>
        <v/>
      </c>
      <c r="D4433" s="4" t="n"/>
      <c r="E4433" s="5" t="n"/>
      <c r="F4433" s="5" t="n"/>
      <c r="G4433" s="5" t="n"/>
      <c r="H4433" s="5" t="n"/>
      <c r="I4433" s="5" t="n"/>
      <c r="J4433" s="6" t="n"/>
      <c r="K4433" s="6" t="n"/>
      <c r="L4433" s="7">
        <f>IF(OR(D4433="",N(J4433)=0),"",MIN(1,N(K4433)/J4433))</f>
        <v/>
      </c>
      <c r="M4433" s="5" t="n"/>
      <c r="N4433" s="5" t="n"/>
      <c r="O4433" s="5" t="n"/>
      <c r="P4433" s="5" t="n"/>
      <c r="Q4433" s="5" t="n"/>
      <c r="R4433" s="4" t="n"/>
      <c r="S4433" s="4" t="n"/>
      <c r="T4433" s="5" t="n"/>
      <c r="U4433" s="8">
        <f>IF(AND(V4433=1,D4433&lt;&gt;""),IF(D4433&gt;=corte,TODAY()-D4433,""),"")</f>
        <v/>
      </c>
      <c r="V4433" s="8">
        <f>IF(D4433="",0,IF(OR(AND(P4433&lt;&gt;"",S4433=""),AND(N(J4433)&gt;0,N(K4433)&lt;J4433),OR(M4433="PENDENTE",M4433="PARCIAL"),OR(N4433="PENDENTE",N4433="PARCIAL")),1,0))</f>
        <v/>
      </c>
      <c r="W4433" s="8">
        <f>IF(AND(V4433=1,D4433&lt;&gt;""),IF(D4433&gt;=corte,(B4433="CRÍTICO")*1E9+(100000-D4433)*10000+10000-ROW(),""),"")</f>
        <v/>
      </c>
      <c r="X4433" s="8">
        <f>IF(AND(V4433=1,D4433=pas_data,E4433=pas_turno),10000-ROW(),"")</f>
        <v/>
      </c>
    </row>
    <row r="4434">
      <c r="A4434" s="3">
        <f>IF(D4434="","","TT-"&amp;TEXT(ROW()-1,"00000"))</f>
        <v/>
      </c>
      <c r="B4434" s="3">
        <f>IF(D4434="","",IF(V4434=0,"CONCLUÍDO",IF(D4434&lt;corte,"HISTÓRICO",IF(OR(AND(ISNUMBER(R4434),R4434&lt;TODAY()),AND(OR(N4434="PENDENTE",N4434="PARCIAL"),D4434&lt;TODAY()-1)),"CRÍTICO",IF(OR(AND(P4434&lt;&gt;"",S4434=""),AND(N4434="REALIZADO",M4434="PENDENTE"),AND(ISNUMBER(R4434),R4434=TODAY())),"ATENÇÃO",IF(N(K4434)=0,"PENDENTE","EM ANDAMENTO"))))))</f>
        <v/>
      </c>
      <c r="C4434" s="3">
        <f>IF(D4434="","",IF(V4434=0,"🟢 OK",IF(D4434&lt;corte,"⚪ HISTÓRICO (sem baixa)",IF(AND(ISNUMBER(R4434),R4434&lt;TODAY()),"🔴 PRAZO VENCIDO",IF(AND(OR(N4434="PENDENTE",N4434="PARCIAL"),D4434&lt;TODAY()-1),"🔴 EMBARQUE ATRASADO",IF(AND(N4434="REALIZADO",M4434="PENDENTE"),"🟡 EMBARCADO SEM FATURAR",IF(AND(P4434&lt;&gt;"",S4434="",OR(Q4434="",R4434="")),"🟡 PENDÊNCIA SEM RESPONSÁVEL/PRAZO",IF(AND(ISNUMBER(R4434),R4434=TODAY()),"🟡 VENCE HOJE",IF(AND(P4434&lt;&gt;"",S4434=""),"🟡 PENDÊNCIA ABERTA",IF(AND(N(J4434)&gt;0,N(K4434)&lt;J4434),"🟡 FALTA EXECUTAR",IF(OR(M4434="PENDENTE",M4434="PARCIAL"),"🟡 FATURAMENTO PENDENTE","🟡 EMBARQUE PENDENTE")))))))))))</f>
        <v/>
      </c>
      <c r="D4434" s="4" t="n"/>
      <c r="E4434" s="5" t="n"/>
      <c r="F4434" s="5" t="n"/>
      <c r="G4434" s="5" t="n"/>
      <c r="H4434" s="5" t="n"/>
      <c r="I4434" s="5" t="n"/>
      <c r="J4434" s="6" t="n"/>
      <c r="K4434" s="6" t="n"/>
      <c r="L4434" s="7">
        <f>IF(OR(D4434="",N(J4434)=0),"",MIN(1,N(K4434)/J4434))</f>
        <v/>
      </c>
      <c r="M4434" s="5" t="n"/>
      <c r="N4434" s="5" t="n"/>
      <c r="O4434" s="5" t="n"/>
      <c r="P4434" s="5" t="n"/>
      <c r="Q4434" s="5" t="n"/>
      <c r="R4434" s="4" t="n"/>
      <c r="S4434" s="4" t="n"/>
      <c r="T4434" s="5" t="n"/>
      <c r="U4434" s="8">
        <f>IF(AND(V4434=1,D4434&lt;&gt;""),IF(D4434&gt;=corte,TODAY()-D4434,""),"")</f>
        <v/>
      </c>
      <c r="V4434" s="8">
        <f>IF(D4434="",0,IF(OR(AND(P4434&lt;&gt;"",S4434=""),AND(N(J4434)&gt;0,N(K4434)&lt;J4434),OR(M4434="PENDENTE",M4434="PARCIAL"),OR(N4434="PENDENTE",N4434="PARCIAL")),1,0))</f>
        <v/>
      </c>
      <c r="W4434" s="8">
        <f>IF(AND(V4434=1,D4434&lt;&gt;""),IF(D4434&gt;=corte,(B4434="CRÍTICO")*1E9+(100000-D4434)*10000+10000-ROW(),""),"")</f>
        <v/>
      </c>
      <c r="X4434" s="8">
        <f>IF(AND(V4434=1,D4434=pas_data,E4434=pas_turno),10000-ROW(),"")</f>
        <v/>
      </c>
    </row>
    <row r="4435">
      <c r="A4435" s="3">
        <f>IF(D4435="","","TT-"&amp;TEXT(ROW()-1,"00000"))</f>
        <v/>
      </c>
      <c r="B4435" s="3">
        <f>IF(D4435="","",IF(V4435=0,"CONCLUÍDO",IF(D4435&lt;corte,"HISTÓRICO",IF(OR(AND(ISNUMBER(R4435),R4435&lt;TODAY()),AND(OR(N4435="PENDENTE",N4435="PARCIAL"),D4435&lt;TODAY()-1)),"CRÍTICO",IF(OR(AND(P4435&lt;&gt;"",S4435=""),AND(N4435="REALIZADO",M4435="PENDENTE"),AND(ISNUMBER(R4435),R4435=TODAY())),"ATENÇÃO",IF(N(K4435)=0,"PENDENTE","EM ANDAMENTO"))))))</f>
        <v/>
      </c>
      <c r="C4435" s="3">
        <f>IF(D4435="","",IF(V4435=0,"🟢 OK",IF(D4435&lt;corte,"⚪ HISTÓRICO (sem baixa)",IF(AND(ISNUMBER(R4435),R4435&lt;TODAY()),"🔴 PRAZO VENCIDO",IF(AND(OR(N4435="PENDENTE",N4435="PARCIAL"),D4435&lt;TODAY()-1),"🔴 EMBARQUE ATRASADO",IF(AND(N4435="REALIZADO",M4435="PENDENTE"),"🟡 EMBARCADO SEM FATURAR",IF(AND(P4435&lt;&gt;"",S4435="",OR(Q4435="",R4435="")),"🟡 PENDÊNCIA SEM RESPONSÁVEL/PRAZO",IF(AND(ISNUMBER(R4435),R4435=TODAY()),"🟡 VENCE HOJE",IF(AND(P4435&lt;&gt;"",S4435=""),"🟡 PENDÊNCIA ABERTA",IF(AND(N(J4435)&gt;0,N(K4435)&lt;J4435),"🟡 FALTA EXECUTAR",IF(OR(M4435="PENDENTE",M4435="PARCIAL"),"🟡 FATURAMENTO PENDENTE","🟡 EMBARQUE PENDENTE")))))))))))</f>
        <v/>
      </c>
      <c r="D4435" s="4" t="n"/>
      <c r="E4435" s="5" t="n"/>
      <c r="F4435" s="5" t="n"/>
      <c r="G4435" s="5" t="n"/>
      <c r="H4435" s="5" t="n"/>
      <c r="I4435" s="5" t="n"/>
      <c r="J4435" s="6" t="n"/>
      <c r="K4435" s="6" t="n"/>
      <c r="L4435" s="7">
        <f>IF(OR(D4435="",N(J4435)=0),"",MIN(1,N(K4435)/J4435))</f>
        <v/>
      </c>
      <c r="M4435" s="5" t="n"/>
      <c r="N4435" s="5" t="n"/>
      <c r="O4435" s="5" t="n"/>
      <c r="P4435" s="5" t="n"/>
      <c r="Q4435" s="5" t="n"/>
      <c r="R4435" s="4" t="n"/>
      <c r="S4435" s="4" t="n"/>
      <c r="T4435" s="5" t="n"/>
      <c r="U4435" s="8">
        <f>IF(AND(V4435=1,D4435&lt;&gt;""),IF(D4435&gt;=corte,TODAY()-D4435,""),"")</f>
        <v/>
      </c>
      <c r="V4435" s="8">
        <f>IF(D4435="",0,IF(OR(AND(P4435&lt;&gt;"",S4435=""),AND(N(J4435)&gt;0,N(K4435)&lt;J4435),OR(M4435="PENDENTE",M4435="PARCIAL"),OR(N4435="PENDENTE",N4435="PARCIAL")),1,0))</f>
        <v/>
      </c>
      <c r="W4435" s="8">
        <f>IF(AND(V4435=1,D4435&lt;&gt;""),IF(D4435&gt;=corte,(B4435="CRÍTICO")*1E9+(100000-D4435)*10000+10000-ROW(),""),"")</f>
        <v/>
      </c>
      <c r="X4435" s="8">
        <f>IF(AND(V4435=1,D4435=pas_data,E4435=pas_turno),10000-ROW(),"")</f>
        <v/>
      </c>
    </row>
    <row r="4436">
      <c r="A4436" s="3">
        <f>IF(D4436="","","TT-"&amp;TEXT(ROW()-1,"00000"))</f>
        <v/>
      </c>
      <c r="B4436" s="3">
        <f>IF(D4436="","",IF(V4436=0,"CONCLUÍDO",IF(D4436&lt;corte,"HISTÓRICO",IF(OR(AND(ISNUMBER(R4436),R4436&lt;TODAY()),AND(OR(N4436="PENDENTE",N4436="PARCIAL"),D4436&lt;TODAY()-1)),"CRÍTICO",IF(OR(AND(P4436&lt;&gt;"",S4436=""),AND(N4436="REALIZADO",M4436="PENDENTE"),AND(ISNUMBER(R4436),R4436=TODAY())),"ATENÇÃO",IF(N(K4436)=0,"PENDENTE","EM ANDAMENTO"))))))</f>
        <v/>
      </c>
      <c r="C4436" s="3">
        <f>IF(D4436="","",IF(V4436=0,"🟢 OK",IF(D4436&lt;corte,"⚪ HISTÓRICO (sem baixa)",IF(AND(ISNUMBER(R4436),R4436&lt;TODAY()),"🔴 PRAZO VENCIDO",IF(AND(OR(N4436="PENDENTE",N4436="PARCIAL"),D4436&lt;TODAY()-1),"🔴 EMBARQUE ATRASADO",IF(AND(N4436="REALIZADO",M4436="PENDENTE"),"🟡 EMBARCADO SEM FATURAR",IF(AND(P4436&lt;&gt;"",S4436="",OR(Q4436="",R4436="")),"🟡 PENDÊNCIA SEM RESPONSÁVEL/PRAZO",IF(AND(ISNUMBER(R4436),R4436=TODAY()),"🟡 VENCE HOJE",IF(AND(P4436&lt;&gt;"",S4436=""),"🟡 PENDÊNCIA ABERTA",IF(AND(N(J4436)&gt;0,N(K4436)&lt;J4436),"🟡 FALTA EXECUTAR",IF(OR(M4436="PENDENTE",M4436="PARCIAL"),"🟡 FATURAMENTO PENDENTE","🟡 EMBARQUE PENDENTE")))))))))))</f>
        <v/>
      </c>
      <c r="D4436" s="4" t="n"/>
      <c r="E4436" s="5" t="n"/>
      <c r="F4436" s="5" t="n"/>
      <c r="G4436" s="5" t="n"/>
      <c r="H4436" s="5" t="n"/>
      <c r="I4436" s="5" t="n"/>
      <c r="J4436" s="6" t="n"/>
      <c r="K4436" s="6" t="n"/>
      <c r="L4436" s="7">
        <f>IF(OR(D4436="",N(J4436)=0),"",MIN(1,N(K4436)/J4436))</f>
        <v/>
      </c>
      <c r="M4436" s="5" t="n"/>
      <c r="N4436" s="5" t="n"/>
      <c r="O4436" s="5" t="n"/>
      <c r="P4436" s="5" t="n"/>
      <c r="Q4436" s="5" t="n"/>
      <c r="R4436" s="4" t="n"/>
      <c r="S4436" s="4" t="n"/>
      <c r="T4436" s="5" t="n"/>
      <c r="U4436" s="8">
        <f>IF(AND(V4436=1,D4436&lt;&gt;""),IF(D4436&gt;=corte,TODAY()-D4436,""),"")</f>
        <v/>
      </c>
      <c r="V4436" s="8">
        <f>IF(D4436="",0,IF(OR(AND(P4436&lt;&gt;"",S4436=""),AND(N(J4436)&gt;0,N(K4436)&lt;J4436),OR(M4436="PENDENTE",M4436="PARCIAL"),OR(N4436="PENDENTE",N4436="PARCIAL")),1,0))</f>
        <v/>
      </c>
      <c r="W4436" s="8">
        <f>IF(AND(V4436=1,D4436&lt;&gt;""),IF(D4436&gt;=corte,(B4436="CRÍTICO")*1E9+(100000-D4436)*10000+10000-ROW(),""),"")</f>
        <v/>
      </c>
      <c r="X4436" s="8">
        <f>IF(AND(V4436=1,D4436=pas_data,E4436=pas_turno),10000-ROW(),"")</f>
        <v/>
      </c>
    </row>
    <row r="4437">
      <c r="A4437" s="3">
        <f>IF(D4437="","","TT-"&amp;TEXT(ROW()-1,"00000"))</f>
        <v/>
      </c>
      <c r="B4437" s="3">
        <f>IF(D4437="","",IF(V4437=0,"CONCLUÍDO",IF(D4437&lt;corte,"HISTÓRICO",IF(OR(AND(ISNUMBER(R4437),R4437&lt;TODAY()),AND(OR(N4437="PENDENTE",N4437="PARCIAL"),D4437&lt;TODAY()-1)),"CRÍTICO",IF(OR(AND(P4437&lt;&gt;"",S4437=""),AND(N4437="REALIZADO",M4437="PENDENTE"),AND(ISNUMBER(R4437),R4437=TODAY())),"ATENÇÃO",IF(N(K4437)=0,"PENDENTE","EM ANDAMENTO"))))))</f>
        <v/>
      </c>
      <c r="C4437" s="3">
        <f>IF(D4437="","",IF(V4437=0,"🟢 OK",IF(D4437&lt;corte,"⚪ HISTÓRICO (sem baixa)",IF(AND(ISNUMBER(R4437),R4437&lt;TODAY()),"🔴 PRAZO VENCIDO",IF(AND(OR(N4437="PENDENTE",N4437="PARCIAL"),D4437&lt;TODAY()-1),"🔴 EMBARQUE ATRASADO",IF(AND(N4437="REALIZADO",M4437="PENDENTE"),"🟡 EMBARCADO SEM FATURAR",IF(AND(P4437&lt;&gt;"",S4437="",OR(Q4437="",R4437="")),"🟡 PENDÊNCIA SEM RESPONSÁVEL/PRAZO",IF(AND(ISNUMBER(R4437),R4437=TODAY()),"🟡 VENCE HOJE",IF(AND(P4437&lt;&gt;"",S4437=""),"🟡 PENDÊNCIA ABERTA",IF(AND(N(J4437)&gt;0,N(K4437)&lt;J4437),"🟡 FALTA EXECUTAR",IF(OR(M4437="PENDENTE",M4437="PARCIAL"),"🟡 FATURAMENTO PENDENTE","🟡 EMBARQUE PENDENTE")))))))))))</f>
        <v/>
      </c>
      <c r="D4437" s="4" t="n"/>
      <c r="E4437" s="5" t="n"/>
      <c r="F4437" s="5" t="n"/>
      <c r="G4437" s="5" t="n"/>
      <c r="H4437" s="5" t="n"/>
      <c r="I4437" s="5" t="n"/>
      <c r="J4437" s="6" t="n"/>
      <c r="K4437" s="6" t="n"/>
      <c r="L4437" s="7">
        <f>IF(OR(D4437="",N(J4437)=0),"",MIN(1,N(K4437)/J4437))</f>
        <v/>
      </c>
      <c r="M4437" s="5" t="n"/>
      <c r="N4437" s="5" t="n"/>
      <c r="O4437" s="5" t="n"/>
      <c r="P4437" s="5" t="n"/>
      <c r="Q4437" s="5" t="n"/>
      <c r="R4437" s="4" t="n"/>
      <c r="S4437" s="4" t="n"/>
      <c r="T4437" s="5" t="n"/>
      <c r="U4437" s="8">
        <f>IF(AND(V4437=1,D4437&lt;&gt;""),IF(D4437&gt;=corte,TODAY()-D4437,""),"")</f>
        <v/>
      </c>
      <c r="V4437" s="8">
        <f>IF(D4437="",0,IF(OR(AND(P4437&lt;&gt;"",S4437=""),AND(N(J4437)&gt;0,N(K4437)&lt;J4437),OR(M4437="PENDENTE",M4437="PARCIAL"),OR(N4437="PENDENTE",N4437="PARCIAL")),1,0))</f>
        <v/>
      </c>
      <c r="W4437" s="8">
        <f>IF(AND(V4437=1,D4437&lt;&gt;""),IF(D4437&gt;=corte,(B4437="CRÍTICO")*1E9+(100000-D4437)*10000+10000-ROW(),""),"")</f>
        <v/>
      </c>
      <c r="X4437" s="8">
        <f>IF(AND(V4437=1,D4437=pas_data,E4437=pas_turno),10000-ROW(),"")</f>
        <v/>
      </c>
    </row>
    <row r="4438">
      <c r="A4438" s="3">
        <f>IF(D4438="","","TT-"&amp;TEXT(ROW()-1,"00000"))</f>
        <v/>
      </c>
      <c r="B4438" s="3">
        <f>IF(D4438="","",IF(V4438=0,"CONCLUÍDO",IF(D4438&lt;corte,"HISTÓRICO",IF(OR(AND(ISNUMBER(R4438),R4438&lt;TODAY()),AND(OR(N4438="PENDENTE",N4438="PARCIAL"),D4438&lt;TODAY()-1)),"CRÍTICO",IF(OR(AND(P4438&lt;&gt;"",S4438=""),AND(N4438="REALIZADO",M4438="PENDENTE"),AND(ISNUMBER(R4438),R4438=TODAY())),"ATENÇÃO",IF(N(K4438)=0,"PENDENTE","EM ANDAMENTO"))))))</f>
        <v/>
      </c>
      <c r="C4438" s="3">
        <f>IF(D4438="","",IF(V4438=0,"🟢 OK",IF(D4438&lt;corte,"⚪ HISTÓRICO (sem baixa)",IF(AND(ISNUMBER(R4438),R4438&lt;TODAY()),"🔴 PRAZO VENCIDO",IF(AND(OR(N4438="PENDENTE",N4438="PARCIAL"),D4438&lt;TODAY()-1),"🔴 EMBARQUE ATRASADO",IF(AND(N4438="REALIZADO",M4438="PENDENTE"),"🟡 EMBARCADO SEM FATURAR",IF(AND(P4438&lt;&gt;"",S4438="",OR(Q4438="",R4438="")),"🟡 PENDÊNCIA SEM RESPONSÁVEL/PRAZO",IF(AND(ISNUMBER(R4438),R4438=TODAY()),"🟡 VENCE HOJE",IF(AND(P4438&lt;&gt;"",S4438=""),"🟡 PENDÊNCIA ABERTA",IF(AND(N(J4438)&gt;0,N(K4438)&lt;J4438),"🟡 FALTA EXECUTAR",IF(OR(M4438="PENDENTE",M4438="PARCIAL"),"🟡 FATURAMENTO PENDENTE","🟡 EMBARQUE PENDENTE")))))))))))</f>
        <v/>
      </c>
      <c r="D4438" s="4" t="n"/>
      <c r="E4438" s="5" t="n"/>
      <c r="F4438" s="5" t="n"/>
      <c r="G4438" s="5" t="n"/>
      <c r="H4438" s="5" t="n"/>
      <c r="I4438" s="5" t="n"/>
      <c r="J4438" s="6" t="n"/>
      <c r="K4438" s="6" t="n"/>
      <c r="L4438" s="7">
        <f>IF(OR(D4438="",N(J4438)=0),"",MIN(1,N(K4438)/J4438))</f>
        <v/>
      </c>
      <c r="M4438" s="5" t="n"/>
      <c r="N4438" s="5" t="n"/>
      <c r="O4438" s="5" t="n"/>
      <c r="P4438" s="5" t="n"/>
      <c r="Q4438" s="5" t="n"/>
      <c r="R4438" s="4" t="n"/>
      <c r="S4438" s="4" t="n"/>
      <c r="T4438" s="5" t="n"/>
      <c r="U4438" s="8">
        <f>IF(AND(V4438=1,D4438&lt;&gt;""),IF(D4438&gt;=corte,TODAY()-D4438,""),"")</f>
        <v/>
      </c>
      <c r="V4438" s="8">
        <f>IF(D4438="",0,IF(OR(AND(P4438&lt;&gt;"",S4438=""),AND(N(J4438)&gt;0,N(K4438)&lt;J4438),OR(M4438="PENDENTE",M4438="PARCIAL"),OR(N4438="PENDENTE",N4438="PARCIAL")),1,0))</f>
        <v/>
      </c>
      <c r="W4438" s="8">
        <f>IF(AND(V4438=1,D4438&lt;&gt;""),IF(D4438&gt;=corte,(B4438="CRÍTICO")*1E9+(100000-D4438)*10000+10000-ROW(),""),"")</f>
        <v/>
      </c>
      <c r="X4438" s="8">
        <f>IF(AND(V4438=1,D4438=pas_data,E4438=pas_turno),10000-ROW(),"")</f>
        <v/>
      </c>
    </row>
    <row r="4439">
      <c r="A4439" s="3">
        <f>IF(D4439="","","TT-"&amp;TEXT(ROW()-1,"00000"))</f>
        <v/>
      </c>
      <c r="B4439" s="3">
        <f>IF(D4439="","",IF(V4439=0,"CONCLUÍDO",IF(D4439&lt;corte,"HISTÓRICO",IF(OR(AND(ISNUMBER(R4439),R4439&lt;TODAY()),AND(OR(N4439="PENDENTE",N4439="PARCIAL"),D4439&lt;TODAY()-1)),"CRÍTICO",IF(OR(AND(P4439&lt;&gt;"",S4439=""),AND(N4439="REALIZADO",M4439="PENDENTE"),AND(ISNUMBER(R4439),R4439=TODAY())),"ATENÇÃO",IF(N(K4439)=0,"PENDENTE","EM ANDAMENTO"))))))</f>
        <v/>
      </c>
      <c r="C4439" s="3">
        <f>IF(D4439="","",IF(V4439=0,"🟢 OK",IF(D4439&lt;corte,"⚪ HISTÓRICO (sem baixa)",IF(AND(ISNUMBER(R4439),R4439&lt;TODAY()),"🔴 PRAZO VENCIDO",IF(AND(OR(N4439="PENDENTE",N4439="PARCIAL"),D4439&lt;TODAY()-1),"🔴 EMBARQUE ATRASADO",IF(AND(N4439="REALIZADO",M4439="PENDENTE"),"🟡 EMBARCADO SEM FATURAR",IF(AND(P4439&lt;&gt;"",S4439="",OR(Q4439="",R4439="")),"🟡 PENDÊNCIA SEM RESPONSÁVEL/PRAZO",IF(AND(ISNUMBER(R4439),R4439=TODAY()),"🟡 VENCE HOJE",IF(AND(P4439&lt;&gt;"",S4439=""),"🟡 PENDÊNCIA ABERTA",IF(AND(N(J4439)&gt;0,N(K4439)&lt;J4439),"🟡 FALTA EXECUTAR",IF(OR(M4439="PENDENTE",M4439="PARCIAL"),"🟡 FATURAMENTO PENDENTE","🟡 EMBARQUE PENDENTE")))))))))))</f>
        <v/>
      </c>
      <c r="D4439" s="4" t="n"/>
      <c r="E4439" s="5" t="n"/>
      <c r="F4439" s="5" t="n"/>
      <c r="G4439" s="5" t="n"/>
      <c r="H4439" s="5" t="n"/>
      <c r="I4439" s="5" t="n"/>
      <c r="J4439" s="6" t="n"/>
      <c r="K4439" s="6" t="n"/>
      <c r="L4439" s="7">
        <f>IF(OR(D4439="",N(J4439)=0),"",MIN(1,N(K4439)/J4439))</f>
        <v/>
      </c>
      <c r="M4439" s="5" t="n"/>
      <c r="N4439" s="5" t="n"/>
      <c r="O4439" s="5" t="n"/>
      <c r="P4439" s="5" t="n"/>
      <c r="Q4439" s="5" t="n"/>
      <c r="R4439" s="4" t="n"/>
      <c r="S4439" s="4" t="n"/>
      <c r="T4439" s="5" t="n"/>
      <c r="U4439" s="8">
        <f>IF(AND(V4439=1,D4439&lt;&gt;""),IF(D4439&gt;=corte,TODAY()-D4439,""),"")</f>
        <v/>
      </c>
      <c r="V4439" s="8">
        <f>IF(D4439="",0,IF(OR(AND(P4439&lt;&gt;"",S4439=""),AND(N(J4439)&gt;0,N(K4439)&lt;J4439),OR(M4439="PENDENTE",M4439="PARCIAL"),OR(N4439="PENDENTE",N4439="PARCIAL")),1,0))</f>
        <v/>
      </c>
      <c r="W4439" s="8">
        <f>IF(AND(V4439=1,D4439&lt;&gt;""),IF(D4439&gt;=corte,(B4439="CRÍTICO")*1E9+(100000-D4439)*10000+10000-ROW(),""),"")</f>
        <v/>
      </c>
      <c r="X4439" s="8">
        <f>IF(AND(V4439=1,D4439=pas_data,E4439=pas_turno),10000-ROW(),"")</f>
        <v/>
      </c>
    </row>
    <row r="4440">
      <c r="A4440" s="3">
        <f>IF(D4440="","","TT-"&amp;TEXT(ROW()-1,"00000"))</f>
        <v/>
      </c>
      <c r="B4440" s="3">
        <f>IF(D4440="","",IF(V4440=0,"CONCLUÍDO",IF(D4440&lt;corte,"HISTÓRICO",IF(OR(AND(ISNUMBER(R4440),R4440&lt;TODAY()),AND(OR(N4440="PENDENTE",N4440="PARCIAL"),D4440&lt;TODAY()-1)),"CRÍTICO",IF(OR(AND(P4440&lt;&gt;"",S4440=""),AND(N4440="REALIZADO",M4440="PENDENTE"),AND(ISNUMBER(R4440),R4440=TODAY())),"ATENÇÃO",IF(N(K4440)=0,"PENDENTE","EM ANDAMENTO"))))))</f>
        <v/>
      </c>
      <c r="C4440" s="3">
        <f>IF(D4440="","",IF(V4440=0,"🟢 OK",IF(D4440&lt;corte,"⚪ HISTÓRICO (sem baixa)",IF(AND(ISNUMBER(R4440),R4440&lt;TODAY()),"🔴 PRAZO VENCIDO",IF(AND(OR(N4440="PENDENTE",N4440="PARCIAL"),D4440&lt;TODAY()-1),"🔴 EMBARQUE ATRASADO",IF(AND(N4440="REALIZADO",M4440="PENDENTE"),"🟡 EMBARCADO SEM FATURAR",IF(AND(P4440&lt;&gt;"",S4440="",OR(Q4440="",R4440="")),"🟡 PENDÊNCIA SEM RESPONSÁVEL/PRAZO",IF(AND(ISNUMBER(R4440),R4440=TODAY()),"🟡 VENCE HOJE",IF(AND(P4440&lt;&gt;"",S4440=""),"🟡 PENDÊNCIA ABERTA",IF(AND(N(J4440)&gt;0,N(K4440)&lt;J4440),"🟡 FALTA EXECUTAR",IF(OR(M4440="PENDENTE",M4440="PARCIAL"),"🟡 FATURAMENTO PENDENTE","🟡 EMBARQUE PENDENTE")))))))))))</f>
        <v/>
      </c>
      <c r="D4440" s="4" t="n"/>
      <c r="E4440" s="5" t="n"/>
      <c r="F4440" s="5" t="n"/>
      <c r="G4440" s="5" t="n"/>
      <c r="H4440" s="5" t="n"/>
      <c r="I4440" s="5" t="n"/>
      <c r="J4440" s="6" t="n"/>
      <c r="K4440" s="6" t="n"/>
      <c r="L4440" s="7">
        <f>IF(OR(D4440="",N(J4440)=0),"",MIN(1,N(K4440)/J4440))</f>
        <v/>
      </c>
      <c r="M4440" s="5" t="n"/>
      <c r="N4440" s="5" t="n"/>
      <c r="O4440" s="5" t="n"/>
      <c r="P4440" s="5" t="n"/>
      <c r="Q4440" s="5" t="n"/>
      <c r="R4440" s="4" t="n"/>
      <c r="S4440" s="4" t="n"/>
      <c r="T4440" s="5" t="n"/>
      <c r="U4440" s="8">
        <f>IF(AND(V4440=1,D4440&lt;&gt;""),IF(D4440&gt;=corte,TODAY()-D4440,""),"")</f>
        <v/>
      </c>
      <c r="V4440" s="8">
        <f>IF(D4440="",0,IF(OR(AND(P4440&lt;&gt;"",S4440=""),AND(N(J4440)&gt;0,N(K4440)&lt;J4440),OR(M4440="PENDENTE",M4440="PARCIAL"),OR(N4440="PENDENTE",N4440="PARCIAL")),1,0))</f>
        <v/>
      </c>
      <c r="W4440" s="8">
        <f>IF(AND(V4440=1,D4440&lt;&gt;""),IF(D4440&gt;=corte,(B4440="CRÍTICO")*1E9+(100000-D4440)*10000+10000-ROW(),""),"")</f>
        <v/>
      </c>
      <c r="X4440" s="8">
        <f>IF(AND(V4440=1,D4440=pas_data,E4440=pas_turno),10000-ROW(),"")</f>
        <v/>
      </c>
    </row>
    <row r="4441">
      <c r="A4441" s="3">
        <f>IF(D4441="","","TT-"&amp;TEXT(ROW()-1,"00000"))</f>
        <v/>
      </c>
      <c r="B4441" s="3">
        <f>IF(D4441="","",IF(V4441=0,"CONCLUÍDO",IF(D4441&lt;corte,"HISTÓRICO",IF(OR(AND(ISNUMBER(R4441),R4441&lt;TODAY()),AND(OR(N4441="PENDENTE",N4441="PARCIAL"),D4441&lt;TODAY()-1)),"CRÍTICO",IF(OR(AND(P4441&lt;&gt;"",S4441=""),AND(N4441="REALIZADO",M4441="PENDENTE"),AND(ISNUMBER(R4441),R4441=TODAY())),"ATENÇÃO",IF(N(K4441)=0,"PENDENTE","EM ANDAMENTO"))))))</f>
        <v/>
      </c>
      <c r="C4441" s="3">
        <f>IF(D4441="","",IF(V4441=0,"🟢 OK",IF(D4441&lt;corte,"⚪ HISTÓRICO (sem baixa)",IF(AND(ISNUMBER(R4441),R4441&lt;TODAY()),"🔴 PRAZO VENCIDO",IF(AND(OR(N4441="PENDENTE",N4441="PARCIAL"),D4441&lt;TODAY()-1),"🔴 EMBARQUE ATRASADO",IF(AND(N4441="REALIZADO",M4441="PENDENTE"),"🟡 EMBARCADO SEM FATURAR",IF(AND(P4441&lt;&gt;"",S4441="",OR(Q4441="",R4441="")),"🟡 PENDÊNCIA SEM RESPONSÁVEL/PRAZO",IF(AND(ISNUMBER(R4441),R4441=TODAY()),"🟡 VENCE HOJE",IF(AND(P4441&lt;&gt;"",S4441=""),"🟡 PENDÊNCIA ABERTA",IF(AND(N(J4441)&gt;0,N(K4441)&lt;J4441),"🟡 FALTA EXECUTAR",IF(OR(M4441="PENDENTE",M4441="PARCIAL"),"🟡 FATURAMENTO PENDENTE","🟡 EMBARQUE PENDENTE")))))))))))</f>
        <v/>
      </c>
      <c r="D4441" s="4" t="n"/>
      <c r="E4441" s="5" t="n"/>
      <c r="F4441" s="5" t="n"/>
      <c r="G4441" s="5" t="n"/>
      <c r="H4441" s="5" t="n"/>
      <c r="I4441" s="5" t="n"/>
      <c r="J4441" s="6" t="n"/>
      <c r="K4441" s="6" t="n"/>
      <c r="L4441" s="7">
        <f>IF(OR(D4441="",N(J4441)=0),"",MIN(1,N(K4441)/J4441))</f>
        <v/>
      </c>
      <c r="M4441" s="5" t="n"/>
      <c r="N4441" s="5" t="n"/>
      <c r="O4441" s="5" t="n"/>
      <c r="P4441" s="5" t="n"/>
      <c r="Q4441" s="5" t="n"/>
      <c r="R4441" s="4" t="n"/>
      <c r="S4441" s="4" t="n"/>
      <c r="T4441" s="5" t="n"/>
      <c r="U4441" s="8">
        <f>IF(AND(V4441=1,D4441&lt;&gt;""),IF(D4441&gt;=corte,TODAY()-D4441,""),"")</f>
        <v/>
      </c>
      <c r="V4441" s="8">
        <f>IF(D4441="",0,IF(OR(AND(P4441&lt;&gt;"",S4441=""),AND(N(J4441)&gt;0,N(K4441)&lt;J4441),OR(M4441="PENDENTE",M4441="PARCIAL"),OR(N4441="PENDENTE",N4441="PARCIAL")),1,0))</f>
        <v/>
      </c>
      <c r="W4441" s="8">
        <f>IF(AND(V4441=1,D4441&lt;&gt;""),IF(D4441&gt;=corte,(B4441="CRÍTICO")*1E9+(100000-D4441)*10000+10000-ROW(),""),"")</f>
        <v/>
      </c>
      <c r="X4441" s="8">
        <f>IF(AND(V4441=1,D4441=pas_data,E4441=pas_turno),10000-ROW(),"")</f>
        <v/>
      </c>
    </row>
    <row r="4442">
      <c r="A4442" s="3">
        <f>IF(D4442="","","TT-"&amp;TEXT(ROW()-1,"00000"))</f>
        <v/>
      </c>
      <c r="B4442" s="3">
        <f>IF(D4442="","",IF(V4442=0,"CONCLUÍDO",IF(D4442&lt;corte,"HISTÓRICO",IF(OR(AND(ISNUMBER(R4442),R4442&lt;TODAY()),AND(OR(N4442="PENDENTE",N4442="PARCIAL"),D4442&lt;TODAY()-1)),"CRÍTICO",IF(OR(AND(P4442&lt;&gt;"",S4442=""),AND(N4442="REALIZADO",M4442="PENDENTE"),AND(ISNUMBER(R4442),R4442=TODAY())),"ATENÇÃO",IF(N(K4442)=0,"PENDENTE","EM ANDAMENTO"))))))</f>
        <v/>
      </c>
      <c r="C4442" s="3">
        <f>IF(D4442="","",IF(V4442=0,"🟢 OK",IF(D4442&lt;corte,"⚪ HISTÓRICO (sem baixa)",IF(AND(ISNUMBER(R4442),R4442&lt;TODAY()),"🔴 PRAZO VENCIDO",IF(AND(OR(N4442="PENDENTE",N4442="PARCIAL"),D4442&lt;TODAY()-1),"🔴 EMBARQUE ATRASADO",IF(AND(N4442="REALIZADO",M4442="PENDENTE"),"🟡 EMBARCADO SEM FATURAR",IF(AND(P4442&lt;&gt;"",S4442="",OR(Q4442="",R4442="")),"🟡 PENDÊNCIA SEM RESPONSÁVEL/PRAZO",IF(AND(ISNUMBER(R4442),R4442=TODAY()),"🟡 VENCE HOJE",IF(AND(P4442&lt;&gt;"",S4442=""),"🟡 PENDÊNCIA ABERTA",IF(AND(N(J4442)&gt;0,N(K4442)&lt;J4442),"🟡 FALTA EXECUTAR",IF(OR(M4442="PENDENTE",M4442="PARCIAL"),"🟡 FATURAMENTO PENDENTE","🟡 EMBARQUE PENDENTE")))))))))))</f>
        <v/>
      </c>
      <c r="D4442" s="4" t="n"/>
      <c r="E4442" s="5" t="n"/>
      <c r="F4442" s="5" t="n"/>
      <c r="G4442" s="5" t="n"/>
      <c r="H4442" s="5" t="n"/>
      <c r="I4442" s="5" t="n"/>
      <c r="J4442" s="6" t="n"/>
      <c r="K4442" s="6" t="n"/>
      <c r="L4442" s="7">
        <f>IF(OR(D4442="",N(J4442)=0),"",MIN(1,N(K4442)/J4442))</f>
        <v/>
      </c>
      <c r="M4442" s="5" t="n"/>
      <c r="N4442" s="5" t="n"/>
      <c r="O4442" s="5" t="n"/>
      <c r="P4442" s="5" t="n"/>
      <c r="Q4442" s="5" t="n"/>
      <c r="R4442" s="4" t="n"/>
      <c r="S4442" s="4" t="n"/>
      <c r="T4442" s="5" t="n"/>
      <c r="U4442" s="8">
        <f>IF(AND(V4442=1,D4442&lt;&gt;""),IF(D4442&gt;=corte,TODAY()-D4442,""),"")</f>
        <v/>
      </c>
      <c r="V4442" s="8">
        <f>IF(D4442="",0,IF(OR(AND(P4442&lt;&gt;"",S4442=""),AND(N(J4442)&gt;0,N(K4442)&lt;J4442),OR(M4442="PENDENTE",M4442="PARCIAL"),OR(N4442="PENDENTE",N4442="PARCIAL")),1,0))</f>
        <v/>
      </c>
      <c r="W4442" s="8">
        <f>IF(AND(V4442=1,D4442&lt;&gt;""),IF(D4442&gt;=corte,(B4442="CRÍTICO")*1E9+(100000-D4442)*10000+10000-ROW(),""),"")</f>
        <v/>
      </c>
      <c r="X4442" s="8">
        <f>IF(AND(V4442=1,D4442=pas_data,E4442=pas_turno),10000-ROW(),"")</f>
        <v/>
      </c>
    </row>
    <row r="4443">
      <c r="A4443" s="3">
        <f>IF(D4443="","","TT-"&amp;TEXT(ROW()-1,"00000"))</f>
        <v/>
      </c>
      <c r="B4443" s="3">
        <f>IF(D4443="","",IF(V4443=0,"CONCLUÍDO",IF(D4443&lt;corte,"HISTÓRICO",IF(OR(AND(ISNUMBER(R4443),R4443&lt;TODAY()),AND(OR(N4443="PENDENTE",N4443="PARCIAL"),D4443&lt;TODAY()-1)),"CRÍTICO",IF(OR(AND(P4443&lt;&gt;"",S4443=""),AND(N4443="REALIZADO",M4443="PENDENTE"),AND(ISNUMBER(R4443),R4443=TODAY())),"ATENÇÃO",IF(N(K4443)=0,"PENDENTE","EM ANDAMENTO"))))))</f>
        <v/>
      </c>
      <c r="C4443" s="3">
        <f>IF(D4443="","",IF(V4443=0,"🟢 OK",IF(D4443&lt;corte,"⚪ HISTÓRICO (sem baixa)",IF(AND(ISNUMBER(R4443),R4443&lt;TODAY()),"🔴 PRAZO VENCIDO",IF(AND(OR(N4443="PENDENTE",N4443="PARCIAL"),D4443&lt;TODAY()-1),"🔴 EMBARQUE ATRASADO",IF(AND(N4443="REALIZADO",M4443="PENDENTE"),"🟡 EMBARCADO SEM FATURAR",IF(AND(P4443&lt;&gt;"",S4443="",OR(Q4443="",R4443="")),"🟡 PENDÊNCIA SEM RESPONSÁVEL/PRAZO",IF(AND(ISNUMBER(R4443),R4443=TODAY()),"🟡 VENCE HOJE",IF(AND(P4443&lt;&gt;"",S4443=""),"🟡 PENDÊNCIA ABERTA",IF(AND(N(J4443)&gt;0,N(K4443)&lt;J4443),"🟡 FALTA EXECUTAR",IF(OR(M4443="PENDENTE",M4443="PARCIAL"),"🟡 FATURAMENTO PENDENTE","🟡 EMBARQUE PENDENTE")))))))))))</f>
        <v/>
      </c>
      <c r="D4443" s="4" t="n"/>
      <c r="E4443" s="5" t="n"/>
      <c r="F4443" s="5" t="n"/>
      <c r="G4443" s="5" t="n"/>
      <c r="H4443" s="5" t="n"/>
      <c r="I4443" s="5" t="n"/>
      <c r="J4443" s="6" t="n"/>
      <c r="K4443" s="6" t="n"/>
      <c r="L4443" s="7">
        <f>IF(OR(D4443="",N(J4443)=0),"",MIN(1,N(K4443)/J4443))</f>
        <v/>
      </c>
      <c r="M4443" s="5" t="n"/>
      <c r="N4443" s="5" t="n"/>
      <c r="O4443" s="5" t="n"/>
      <c r="P4443" s="5" t="n"/>
      <c r="Q4443" s="5" t="n"/>
      <c r="R4443" s="4" t="n"/>
      <c r="S4443" s="4" t="n"/>
      <c r="T4443" s="5" t="n"/>
      <c r="U4443" s="8">
        <f>IF(AND(V4443=1,D4443&lt;&gt;""),IF(D4443&gt;=corte,TODAY()-D4443,""),"")</f>
        <v/>
      </c>
      <c r="V4443" s="8">
        <f>IF(D4443="",0,IF(OR(AND(P4443&lt;&gt;"",S4443=""),AND(N(J4443)&gt;0,N(K4443)&lt;J4443),OR(M4443="PENDENTE",M4443="PARCIAL"),OR(N4443="PENDENTE",N4443="PARCIAL")),1,0))</f>
        <v/>
      </c>
      <c r="W4443" s="8">
        <f>IF(AND(V4443=1,D4443&lt;&gt;""),IF(D4443&gt;=corte,(B4443="CRÍTICO")*1E9+(100000-D4443)*10000+10000-ROW(),""),"")</f>
        <v/>
      </c>
      <c r="X4443" s="8">
        <f>IF(AND(V4443=1,D4443=pas_data,E4443=pas_turno),10000-ROW(),"")</f>
        <v/>
      </c>
    </row>
    <row r="4444">
      <c r="A4444" s="3">
        <f>IF(D4444="","","TT-"&amp;TEXT(ROW()-1,"00000"))</f>
        <v/>
      </c>
      <c r="B4444" s="3">
        <f>IF(D4444="","",IF(V4444=0,"CONCLUÍDO",IF(D4444&lt;corte,"HISTÓRICO",IF(OR(AND(ISNUMBER(R4444),R4444&lt;TODAY()),AND(OR(N4444="PENDENTE",N4444="PARCIAL"),D4444&lt;TODAY()-1)),"CRÍTICO",IF(OR(AND(P4444&lt;&gt;"",S4444=""),AND(N4444="REALIZADO",M4444="PENDENTE"),AND(ISNUMBER(R4444),R4444=TODAY())),"ATENÇÃO",IF(N(K4444)=0,"PENDENTE","EM ANDAMENTO"))))))</f>
        <v/>
      </c>
      <c r="C4444" s="3">
        <f>IF(D4444="","",IF(V4444=0,"🟢 OK",IF(D4444&lt;corte,"⚪ HISTÓRICO (sem baixa)",IF(AND(ISNUMBER(R4444),R4444&lt;TODAY()),"🔴 PRAZO VENCIDO",IF(AND(OR(N4444="PENDENTE",N4444="PARCIAL"),D4444&lt;TODAY()-1),"🔴 EMBARQUE ATRASADO",IF(AND(N4444="REALIZADO",M4444="PENDENTE"),"🟡 EMBARCADO SEM FATURAR",IF(AND(P4444&lt;&gt;"",S4444="",OR(Q4444="",R4444="")),"🟡 PENDÊNCIA SEM RESPONSÁVEL/PRAZO",IF(AND(ISNUMBER(R4444),R4444=TODAY()),"🟡 VENCE HOJE",IF(AND(P4444&lt;&gt;"",S4444=""),"🟡 PENDÊNCIA ABERTA",IF(AND(N(J4444)&gt;0,N(K4444)&lt;J4444),"🟡 FALTA EXECUTAR",IF(OR(M4444="PENDENTE",M4444="PARCIAL"),"🟡 FATURAMENTO PENDENTE","🟡 EMBARQUE PENDENTE")))))))))))</f>
        <v/>
      </c>
      <c r="D4444" s="4" t="n"/>
      <c r="E4444" s="5" t="n"/>
      <c r="F4444" s="5" t="n"/>
      <c r="G4444" s="5" t="n"/>
      <c r="H4444" s="5" t="n"/>
      <c r="I4444" s="5" t="n"/>
      <c r="J4444" s="6" t="n"/>
      <c r="K4444" s="6" t="n"/>
      <c r="L4444" s="7">
        <f>IF(OR(D4444="",N(J4444)=0),"",MIN(1,N(K4444)/J4444))</f>
        <v/>
      </c>
      <c r="M4444" s="5" t="n"/>
      <c r="N4444" s="5" t="n"/>
      <c r="O4444" s="5" t="n"/>
      <c r="P4444" s="5" t="n"/>
      <c r="Q4444" s="5" t="n"/>
      <c r="R4444" s="4" t="n"/>
      <c r="S4444" s="4" t="n"/>
      <c r="T4444" s="5" t="n"/>
      <c r="U4444" s="8">
        <f>IF(AND(V4444=1,D4444&lt;&gt;""),IF(D4444&gt;=corte,TODAY()-D4444,""),"")</f>
        <v/>
      </c>
      <c r="V4444" s="8">
        <f>IF(D4444="",0,IF(OR(AND(P4444&lt;&gt;"",S4444=""),AND(N(J4444)&gt;0,N(K4444)&lt;J4444),OR(M4444="PENDENTE",M4444="PARCIAL"),OR(N4444="PENDENTE",N4444="PARCIAL")),1,0))</f>
        <v/>
      </c>
      <c r="W4444" s="8">
        <f>IF(AND(V4444=1,D4444&lt;&gt;""),IF(D4444&gt;=corte,(B4444="CRÍTICO")*1E9+(100000-D4444)*10000+10000-ROW(),""),"")</f>
        <v/>
      </c>
      <c r="X4444" s="8">
        <f>IF(AND(V4444=1,D4444=pas_data,E4444=pas_turno),10000-ROW(),"")</f>
        <v/>
      </c>
    </row>
    <row r="4445">
      <c r="A4445" s="3">
        <f>IF(D4445="","","TT-"&amp;TEXT(ROW()-1,"00000"))</f>
        <v/>
      </c>
      <c r="B4445" s="3">
        <f>IF(D4445="","",IF(V4445=0,"CONCLUÍDO",IF(D4445&lt;corte,"HISTÓRICO",IF(OR(AND(ISNUMBER(R4445),R4445&lt;TODAY()),AND(OR(N4445="PENDENTE",N4445="PARCIAL"),D4445&lt;TODAY()-1)),"CRÍTICO",IF(OR(AND(P4445&lt;&gt;"",S4445=""),AND(N4445="REALIZADO",M4445="PENDENTE"),AND(ISNUMBER(R4445),R4445=TODAY())),"ATENÇÃO",IF(N(K4445)=0,"PENDENTE","EM ANDAMENTO"))))))</f>
        <v/>
      </c>
      <c r="C4445" s="3">
        <f>IF(D4445="","",IF(V4445=0,"🟢 OK",IF(D4445&lt;corte,"⚪ HISTÓRICO (sem baixa)",IF(AND(ISNUMBER(R4445),R4445&lt;TODAY()),"🔴 PRAZO VENCIDO",IF(AND(OR(N4445="PENDENTE",N4445="PARCIAL"),D4445&lt;TODAY()-1),"🔴 EMBARQUE ATRASADO",IF(AND(N4445="REALIZADO",M4445="PENDENTE"),"🟡 EMBARCADO SEM FATURAR",IF(AND(P4445&lt;&gt;"",S4445="",OR(Q4445="",R4445="")),"🟡 PENDÊNCIA SEM RESPONSÁVEL/PRAZO",IF(AND(ISNUMBER(R4445),R4445=TODAY()),"🟡 VENCE HOJE",IF(AND(P4445&lt;&gt;"",S4445=""),"🟡 PENDÊNCIA ABERTA",IF(AND(N(J4445)&gt;0,N(K4445)&lt;J4445),"🟡 FALTA EXECUTAR",IF(OR(M4445="PENDENTE",M4445="PARCIAL"),"🟡 FATURAMENTO PENDENTE","🟡 EMBARQUE PENDENTE")))))))))))</f>
        <v/>
      </c>
      <c r="D4445" s="4" t="n"/>
      <c r="E4445" s="5" t="n"/>
      <c r="F4445" s="5" t="n"/>
      <c r="G4445" s="5" t="n"/>
      <c r="H4445" s="5" t="n"/>
      <c r="I4445" s="5" t="n"/>
      <c r="J4445" s="6" t="n"/>
      <c r="K4445" s="6" t="n"/>
      <c r="L4445" s="7">
        <f>IF(OR(D4445="",N(J4445)=0),"",MIN(1,N(K4445)/J4445))</f>
        <v/>
      </c>
      <c r="M4445" s="5" t="n"/>
      <c r="N4445" s="5" t="n"/>
      <c r="O4445" s="5" t="n"/>
      <c r="P4445" s="5" t="n"/>
      <c r="Q4445" s="5" t="n"/>
      <c r="R4445" s="4" t="n"/>
      <c r="S4445" s="4" t="n"/>
      <c r="T4445" s="5" t="n"/>
      <c r="U4445" s="8">
        <f>IF(AND(V4445=1,D4445&lt;&gt;""),IF(D4445&gt;=corte,TODAY()-D4445,""),"")</f>
        <v/>
      </c>
      <c r="V4445" s="8">
        <f>IF(D4445="",0,IF(OR(AND(P4445&lt;&gt;"",S4445=""),AND(N(J4445)&gt;0,N(K4445)&lt;J4445),OR(M4445="PENDENTE",M4445="PARCIAL"),OR(N4445="PENDENTE",N4445="PARCIAL")),1,0))</f>
        <v/>
      </c>
      <c r="W4445" s="8">
        <f>IF(AND(V4445=1,D4445&lt;&gt;""),IF(D4445&gt;=corte,(B4445="CRÍTICO")*1E9+(100000-D4445)*10000+10000-ROW(),""),"")</f>
        <v/>
      </c>
      <c r="X4445" s="8">
        <f>IF(AND(V4445=1,D4445=pas_data,E4445=pas_turno),10000-ROW(),"")</f>
        <v/>
      </c>
    </row>
    <row r="4446">
      <c r="A4446" s="3">
        <f>IF(D4446="","","TT-"&amp;TEXT(ROW()-1,"00000"))</f>
        <v/>
      </c>
      <c r="B4446" s="3">
        <f>IF(D4446="","",IF(V4446=0,"CONCLUÍDO",IF(D4446&lt;corte,"HISTÓRICO",IF(OR(AND(ISNUMBER(R4446),R4446&lt;TODAY()),AND(OR(N4446="PENDENTE",N4446="PARCIAL"),D4446&lt;TODAY()-1)),"CRÍTICO",IF(OR(AND(P4446&lt;&gt;"",S4446=""),AND(N4446="REALIZADO",M4446="PENDENTE"),AND(ISNUMBER(R4446),R4446=TODAY())),"ATENÇÃO",IF(N(K4446)=0,"PENDENTE","EM ANDAMENTO"))))))</f>
        <v/>
      </c>
      <c r="C4446" s="3">
        <f>IF(D4446="","",IF(V4446=0,"🟢 OK",IF(D4446&lt;corte,"⚪ HISTÓRICO (sem baixa)",IF(AND(ISNUMBER(R4446),R4446&lt;TODAY()),"🔴 PRAZO VENCIDO",IF(AND(OR(N4446="PENDENTE",N4446="PARCIAL"),D4446&lt;TODAY()-1),"🔴 EMBARQUE ATRASADO",IF(AND(N4446="REALIZADO",M4446="PENDENTE"),"🟡 EMBARCADO SEM FATURAR",IF(AND(P4446&lt;&gt;"",S4446="",OR(Q4446="",R4446="")),"🟡 PENDÊNCIA SEM RESPONSÁVEL/PRAZO",IF(AND(ISNUMBER(R4446),R4446=TODAY()),"🟡 VENCE HOJE",IF(AND(P4446&lt;&gt;"",S4446=""),"🟡 PENDÊNCIA ABERTA",IF(AND(N(J4446)&gt;0,N(K4446)&lt;J4446),"🟡 FALTA EXECUTAR",IF(OR(M4446="PENDENTE",M4446="PARCIAL"),"🟡 FATURAMENTO PENDENTE","🟡 EMBARQUE PENDENTE")))))))))))</f>
        <v/>
      </c>
      <c r="D4446" s="4" t="n"/>
      <c r="E4446" s="5" t="n"/>
      <c r="F4446" s="5" t="n"/>
      <c r="G4446" s="5" t="n"/>
      <c r="H4446" s="5" t="n"/>
      <c r="I4446" s="5" t="n"/>
      <c r="J4446" s="6" t="n"/>
      <c r="K4446" s="6" t="n"/>
      <c r="L4446" s="7">
        <f>IF(OR(D4446="",N(J4446)=0),"",MIN(1,N(K4446)/J4446))</f>
        <v/>
      </c>
      <c r="M4446" s="5" t="n"/>
      <c r="N4446" s="5" t="n"/>
      <c r="O4446" s="5" t="n"/>
      <c r="P4446" s="5" t="n"/>
      <c r="Q4446" s="5" t="n"/>
      <c r="R4446" s="4" t="n"/>
      <c r="S4446" s="4" t="n"/>
      <c r="T4446" s="5" t="n"/>
      <c r="U4446" s="8">
        <f>IF(AND(V4446=1,D4446&lt;&gt;""),IF(D4446&gt;=corte,TODAY()-D4446,""),"")</f>
        <v/>
      </c>
      <c r="V4446" s="8">
        <f>IF(D4446="",0,IF(OR(AND(P4446&lt;&gt;"",S4446=""),AND(N(J4446)&gt;0,N(K4446)&lt;J4446),OR(M4446="PENDENTE",M4446="PARCIAL"),OR(N4446="PENDENTE",N4446="PARCIAL")),1,0))</f>
        <v/>
      </c>
      <c r="W4446" s="8">
        <f>IF(AND(V4446=1,D4446&lt;&gt;""),IF(D4446&gt;=corte,(B4446="CRÍTICO")*1E9+(100000-D4446)*10000+10000-ROW(),""),"")</f>
        <v/>
      </c>
      <c r="X4446" s="8">
        <f>IF(AND(V4446=1,D4446=pas_data,E4446=pas_turno),10000-ROW(),"")</f>
        <v/>
      </c>
    </row>
    <row r="4447">
      <c r="A4447" s="3">
        <f>IF(D4447="","","TT-"&amp;TEXT(ROW()-1,"00000"))</f>
        <v/>
      </c>
      <c r="B4447" s="3">
        <f>IF(D4447="","",IF(V4447=0,"CONCLUÍDO",IF(D4447&lt;corte,"HISTÓRICO",IF(OR(AND(ISNUMBER(R4447),R4447&lt;TODAY()),AND(OR(N4447="PENDENTE",N4447="PARCIAL"),D4447&lt;TODAY()-1)),"CRÍTICO",IF(OR(AND(P4447&lt;&gt;"",S4447=""),AND(N4447="REALIZADO",M4447="PENDENTE"),AND(ISNUMBER(R4447),R4447=TODAY())),"ATENÇÃO",IF(N(K4447)=0,"PENDENTE","EM ANDAMENTO"))))))</f>
        <v/>
      </c>
      <c r="C4447" s="3">
        <f>IF(D4447="","",IF(V4447=0,"🟢 OK",IF(D4447&lt;corte,"⚪ HISTÓRICO (sem baixa)",IF(AND(ISNUMBER(R4447),R4447&lt;TODAY()),"🔴 PRAZO VENCIDO",IF(AND(OR(N4447="PENDENTE",N4447="PARCIAL"),D4447&lt;TODAY()-1),"🔴 EMBARQUE ATRASADO",IF(AND(N4447="REALIZADO",M4447="PENDENTE"),"🟡 EMBARCADO SEM FATURAR",IF(AND(P4447&lt;&gt;"",S4447="",OR(Q4447="",R4447="")),"🟡 PENDÊNCIA SEM RESPONSÁVEL/PRAZO",IF(AND(ISNUMBER(R4447),R4447=TODAY()),"🟡 VENCE HOJE",IF(AND(P4447&lt;&gt;"",S4447=""),"🟡 PENDÊNCIA ABERTA",IF(AND(N(J4447)&gt;0,N(K4447)&lt;J4447),"🟡 FALTA EXECUTAR",IF(OR(M4447="PENDENTE",M4447="PARCIAL"),"🟡 FATURAMENTO PENDENTE","🟡 EMBARQUE PENDENTE")))))))))))</f>
        <v/>
      </c>
      <c r="D4447" s="4" t="n"/>
      <c r="E4447" s="5" t="n"/>
      <c r="F4447" s="5" t="n"/>
      <c r="G4447" s="5" t="n"/>
      <c r="H4447" s="5" t="n"/>
      <c r="I4447" s="5" t="n"/>
      <c r="J4447" s="6" t="n"/>
      <c r="K4447" s="6" t="n"/>
      <c r="L4447" s="7">
        <f>IF(OR(D4447="",N(J4447)=0),"",MIN(1,N(K4447)/J4447))</f>
        <v/>
      </c>
      <c r="M4447" s="5" t="n"/>
      <c r="N4447" s="5" t="n"/>
      <c r="O4447" s="5" t="n"/>
      <c r="P4447" s="5" t="n"/>
      <c r="Q4447" s="5" t="n"/>
      <c r="R4447" s="4" t="n"/>
      <c r="S4447" s="4" t="n"/>
      <c r="T4447" s="5" t="n"/>
      <c r="U4447" s="8">
        <f>IF(AND(V4447=1,D4447&lt;&gt;""),IF(D4447&gt;=corte,TODAY()-D4447,""),"")</f>
        <v/>
      </c>
      <c r="V4447" s="8">
        <f>IF(D4447="",0,IF(OR(AND(P4447&lt;&gt;"",S4447=""),AND(N(J4447)&gt;0,N(K4447)&lt;J4447),OR(M4447="PENDENTE",M4447="PARCIAL"),OR(N4447="PENDENTE",N4447="PARCIAL")),1,0))</f>
        <v/>
      </c>
      <c r="W4447" s="8">
        <f>IF(AND(V4447=1,D4447&lt;&gt;""),IF(D4447&gt;=corte,(B4447="CRÍTICO")*1E9+(100000-D4447)*10000+10000-ROW(),""),"")</f>
        <v/>
      </c>
      <c r="X4447" s="8">
        <f>IF(AND(V4447=1,D4447=pas_data,E4447=pas_turno),10000-ROW(),"")</f>
        <v/>
      </c>
    </row>
    <row r="4448">
      <c r="A4448" s="3">
        <f>IF(D4448="","","TT-"&amp;TEXT(ROW()-1,"00000"))</f>
        <v/>
      </c>
      <c r="B4448" s="3">
        <f>IF(D4448="","",IF(V4448=0,"CONCLUÍDO",IF(D4448&lt;corte,"HISTÓRICO",IF(OR(AND(ISNUMBER(R4448),R4448&lt;TODAY()),AND(OR(N4448="PENDENTE",N4448="PARCIAL"),D4448&lt;TODAY()-1)),"CRÍTICO",IF(OR(AND(P4448&lt;&gt;"",S4448=""),AND(N4448="REALIZADO",M4448="PENDENTE"),AND(ISNUMBER(R4448),R4448=TODAY())),"ATENÇÃO",IF(N(K4448)=0,"PENDENTE","EM ANDAMENTO"))))))</f>
        <v/>
      </c>
      <c r="C4448" s="3">
        <f>IF(D4448="","",IF(V4448=0,"🟢 OK",IF(D4448&lt;corte,"⚪ HISTÓRICO (sem baixa)",IF(AND(ISNUMBER(R4448),R4448&lt;TODAY()),"🔴 PRAZO VENCIDO",IF(AND(OR(N4448="PENDENTE",N4448="PARCIAL"),D4448&lt;TODAY()-1),"🔴 EMBARQUE ATRASADO",IF(AND(N4448="REALIZADO",M4448="PENDENTE"),"🟡 EMBARCADO SEM FATURAR",IF(AND(P4448&lt;&gt;"",S4448="",OR(Q4448="",R4448="")),"🟡 PENDÊNCIA SEM RESPONSÁVEL/PRAZO",IF(AND(ISNUMBER(R4448),R4448=TODAY()),"🟡 VENCE HOJE",IF(AND(P4448&lt;&gt;"",S4448=""),"🟡 PENDÊNCIA ABERTA",IF(AND(N(J4448)&gt;0,N(K4448)&lt;J4448),"🟡 FALTA EXECUTAR",IF(OR(M4448="PENDENTE",M4448="PARCIAL"),"🟡 FATURAMENTO PENDENTE","🟡 EMBARQUE PENDENTE")))))))))))</f>
        <v/>
      </c>
      <c r="D4448" s="4" t="n"/>
      <c r="E4448" s="5" t="n"/>
      <c r="F4448" s="5" t="n"/>
      <c r="G4448" s="5" t="n"/>
      <c r="H4448" s="5" t="n"/>
      <c r="I4448" s="5" t="n"/>
      <c r="J4448" s="6" t="n"/>
      <c r="K4448" s="6" t="n"/>
      <c r="L4448" s="7">
        <f>IF(OR(D4448="",N(J4448)=0),"",MIN(1,N(K4448)/J4448))</f>
        <v/>
      </c>
      <c r="M4448" s="5" t="n"/>
      <c r="N4448" s="5" t="n"/>
      <c r="O4448" s="5" t="n"/>
      <c r="P4448" s="5" t="n"/>
      <c r="Q4448" s="5" t="n"/>
      <c r="R4448" s="4" t="n"/>
      <c r="S4448" s="4" t="n"/>
      <c r="T4448" s="5" t="n"/>
      <c r="U4448" s="8">
        <f>IF(AND(V4448=1,D4448&lt;&gt;""),IF(D4448&gt;=corte,TODAY()-D4448,""),"")</f>
        <v/>
      </c>
      <c r="V4448" s="8">
        <f>IF(D4448="",0,IF(OR(AND(P4448&lt;&gt;"",S4448=""),AND(N(J4448)&gt;0,N(K4448)&lt;J4448),OR(M4448="PENDENTE",M4448="PARCIAL"),OR(N4448="PENDENTE",N4448="PARCIAL")),1,0))</f>
        <v/>
      </c>
      <c r="W4448" s="8">
        <f>IF(AND(V4448=1,D4448&lt;&gt;""),IF(D4448&gt;=corte,(B4448="CRÍTICO")*1E9+(100000-D4448)*10000+10000-ROW(),""),"")</f>
        <v/>
      </c>
      <c r="X4448" s="8">
        <f>IF(AND(V4448=1,D4448=pas_data,E4448=pas_turno),10000-ROW(),"")</f>
        <v/>
      </c>
    </row>
    <row r="4449">
      <c r="A4449" s="3">
        <f>IF(D4449="","","TT-"&amp;TEXT(ROW()-1,"00000"))</f>
        <v/>
      </c>
      <c r="B4449" s="3">
        <f>IF(D4449="","",IF(V4449=0,"CONCLUÍDO",IF(D4449&lt;corte,"HISTÓRICO",IF(OR(AND(ISNUMBER(R4449),R4449&lt;TODAY()),AND(OR(N4449="PENDENTE",N4449="PARCIAL"),D4449&lt;TODAY()-1)),"CRÍTICO",IF(OR(AND(P4449&lt;&gt;"",S4449=""),AND(N4449="REALIZADO",M4449="PENDENTE"),AND(ISNUMBER(R4449),R4449=TODAY())),"ATENÇÃO",IF(N(K4449)=0,"PENDENTE","EM ANDAMENTO"))))))</f>
        <v/>
      </c>
      <c r="C4449" s="3">
        <f>IF(D4449="","",IF(V4449=0,"🟢 OK",IF(D4449&lt;corte,"⚪ HISTÓRICO (sem baixa)",IF(AND(ISNUMBER(R4449),R4449&lt;TODAY()),"🔴 PRAZO VENCIDO",IF(AND(OR(N4449="PENDENTE",N4449="PARCIAL"),D4449&lt;TODAY()-1),"🔴 EMBARQUE ATRASADO",IF(AND(N4449="REALIZADO",M4449="PENDENTE"),"🟡 EMBARCADO SEM FATURAR",IF(AND(P4449&lt;&gt;"",S4449="",OR(Q4449="",R4449="")),"🟡 PENDÊNCIA SEM RESPONSÁVEL/PRAZO",IF(AND(ISNUMBER(R4449),R4449=TODAY()),"🟡 VENCE HOJE",IF(AND(P4449&lt;&gt;"",S4449=""),"🟡 PENDÊNCIA ABERTA",IF(AND(N(J4449)&gt;0,N(K4449)&lt;J4449),"🟡 FALTA EXECUTAR",IF(OR(M4449="PENDENTE",M4449="PARCIAL"),"🟡 FATURAMENTO PENDENTE","🟡 EMBARQUE PENDENTE")))))))))))</f>
        <v/>
      </c>
      <c r="D4449" s="4" t="n"/>
      <c r="E4449" s="5" t="n"/>
      <c r="F4449" s="5" t="n"/>
      <c r="G4449" s="5" t="n"/>
      <c r="H4449" s="5" t="n"/>
      <c r="I4449" s="5" t="n"/>
      <c r="J4449" s="6" t="n"/>
      <c r="K4449" s="6" t="n"/>
      <c r="L4449" s="7">
        <f>IF(OR(D4449="",N(J4449)=0),"",MIN(1,N(K4449)/J4449))</f>
        <v/>
      </c>
      <c r="M4449" s="5" t="n"/>
      <c r="N4449" s="5" t="n"/>
      <c r="O4449" s="5" t="n"/>
      <c r="P4449" s="5" t="n"/>
      <c r="Q4449" s="5" t="n"/>
      <c r="R4449" s="4" t="n"/>
      <c r="S4449" s="4" t="n"/>
      <c r="T4449" s="5" t="n"/>
      <c r="U4449" s="8">
        <f>IF(AND(V4449=1,D4449&lt;&gt;""),IF(D4449&gt;=corte,TODAY()-D4449,""),"")</f>
        <v/>
      </c>
      <c r="V4449" s="8">
        <f>IF(D4449="",0,IF(OR(AND(P4449&lt;&gt;"",S4449=""),AND(N(J4449)&gt;0,N(K4449)&lt;J4449),OR(M4449="PENDENTE",M4449="PARCIAL"),OR(N4449="PENDENTE",N4449="PARCIAL")),1,0))</f>
        <v/>
      </c>
      <c r="W4449" s="8">
        <f>IF(AND(V4449=1,D4449&lt;&gt;""),IF(D4449&gt;=corte,(B4449="CRÍTICO")*1E9+(100000-D4449)*10000+10000-ROW(),""),"")</f>
        <v/>
      </c>
      <c r="X4449" s="8">
        <f>IF(AND(V4449=1,D4449=pas_data,E4449=pas_turno),10000-ROW(),"")</f>
        <v/>
      </c>
    </row>
    <row r="4450">
      <c r="A4450" s="3">
        <f>IF(D4450="","","TT-"&amp;TEXT(ROW()-1,"00000"))</f>
        <v/>
      </c>
      <c r="B4450" s="3">
        <f>IF(D4450="","",IF(V4450=0,"CONCLUÍDO",IF(D4450&lt;corte,"HISTÓRICO",IF(OR(AND(ISNUMBER(R4450),R4450&lt;TODAY()),AND(OR(N4450="PENDENTE",N4450="PARCIAL"),D4450&lt;TODAY()-1)),"CRÍTICO",IF(OR(AND(P4450&lt;&gt;"",S4450=""),AND(N4450="REALIZADO",M4450="PENDENTE"),AND(ISNUMBER(R4450),R4450=TODAY())),"ATENÇÃO",IF(N(K4450)=0,"PENDENTE","EM ANDAMENTO"))))))</f>
        <v/>
      </c>
      <c r="C4450" s="3">
        <f>IF(D4450="","",IF(V4450=0,"🟢 OK",IF(D4450&lt;corte,"⚪ HISTÓRICO (sem baixa)",IF(AND(ISNUMBER(R4450),R4450&lt;TODAY()),"🔴 PRAZO VENCIDO",IF(AND(OR(N4450="PENDENTE",N4450="PARCIAL"),D4450&lt;TODAY()-1),"🔴 EMBARQUE ATRASADO",IF(AND(N4450="REALIZADO",M4450="PENDENTE"),"🟡 EMBARCADO SEM FATURAR",IF(AND(P4450&lt;&gt;"",S4450="",OR(Q4450="",R4450="")),"🟡 PENDÊNCIA SEM RESPONSÁVEL/PRAZO",IF(AND(ISNUMBER(R4450),R4450=TODAY()),"🟡 VENCE HOJE",IF(AND(P4450&lt;&gt;"",S4450=""),"🟡 PENDÊNCIA ABERTA",IF(AND(N(J4450)&gt;0,N(K4450)&lt;J4450),"🟡 FALTA EXECUTAR",IF(OR(M4450="PENDENTE",M4450="PARCIAL"),"🟡 FATURAMENTO PENDENTE","🟡 EMBARQUE PENDENTE")))))))))))</f>
        <v/>
      </c>
      <c r="D4450" s="4" t="n"/>
      <c r="E4450" s="5" t="n"/>
      <c r="F4450" s="5" t="n"/>
      <c r="G4450" s="5" t="n"/>
      <c r="H4450" s="5" t="n"/>
      <c r="I4450" s="5" t="n"/>
      <c r="J4450" s="6" t="n"/>
      <c r="K4450" s="6" t="n"/>
      <c r="L4450" s="7">
        <f>IF(OR(D4450="",N(J4450)=0),"",MIN(1,N(K4450)/J4450))</f>
        <v/>
      </c>
      <c r="M4450" s="5" t="n"/>
      <c r="N4450" s="5" t="n"/>
      <c r="O4450" s="5" t="n"/>
      <c r="P4450" s="5" t="n"/>
      <c r="Q4450" s="5" t="n"/>
      <c r="R4450" s="4" t="n"/>
      <c r="S4450" s="4" t="n"/>
      <c r="T4450" s="5" t="n"/>
      <c r="U4450" s="8">
        <f>IF(AND(V4450=1,D4450&lt;&gt;""),IF(D4450&gt;=corte,TODAY()-D4450,""),"")</f>
        <v/>
      </c>
      <c r="V4450" s="8">
        <f>IF(D4450="",0,IF(OR(AND(P4450&lt;&gt;"",S4450=""),AND(N(J4450)&gt;0,N(K4450)&lt;J4450),OR(M4450="PENDENTE",M4450="PARCIAL"),OR(N4450="PENDENTE",N4450="PARCIAL")),1,0))</f>
        <v/>
      </c>
      <c r="W4450" s="8">
        <f>IF(AND(V4450=1,D4450&lt;&gt;""),IF(D4450&gt;=corte,(B4450="CRÍTICO")*1E9+(100000-D4450)*10000+10000-ROW(),""),"")</f>
        <v/>
      </c>
      <c r="X4450" s="8">
        <f>IF(AND(V4450=1,D4450=pas_data,E4450=pas_turno),10000-ROW(),"")</f>
        <v/>
      </c>
    </row>
    <row r="4451">
      <c r="A4451" s="3">
        <f>IF(D4451="","","TT-"&amp;TEXT(ROW()-1,"00000"))</f>
        <v/>
      </c>
      <c r="B4451" s="3">
        <f>IF(D4451="","",IF(V4451=0,"CONCLUÍDO",IF(D4451&lt;corte,"HISTÓRICO",IF(OR(AND(ISNUMBER(R4451),R4451&lt;TODAY()),AND(OR(N4451="PENDENTE",N4451="PARCIAL"),D4451&lt;TODAY()-1)),"CRÍTICO",IF(OR(AND(P4451&lt;&gt;"",S4451=""),AND(N4451="REALIZADO",M4451="PENDENTE"),AND(ISNUMBER(R4451),R4451=TODAY())),"ATENÇÃO",IF(N(K4451)=0,"PENDENTE","EM ANDAMENTO"))))))</f>
        <v/>
      </c>
      <c r="C4451" s="3">
        <f>IF(D4451="","",IF(V4451=0,"🟢 OK",IF(D4451&lt;corte,"⚪ HISTÓRICO (sem baixa)",IF(AND(ISNUMBER(R4451),R4451&lt;TODAY()),"🔴 PRAZO VENCIDO",IF(AND(OR(N4451="PENDENTE",N4451="PARCIAL"),D4451&lt;TODAY()-1),"🔴 EMBARQUE ATRASADO",IF(AND(N4451="REALIZADO",M4451="PENDENTE"),"🟡 EMBARCADO SEM FATURAR",IF(AND(P4451&lt;&gt;"",S4451="",OR(Q4451="",R4451="")),"🟡 PENDÊNCIA SEM RESPONSÁVEL/PRAZO",IF(AND(ISNUMBER(R4451),R4451=TODAY()),"🟡 VENCE HOJE",IF(AND(P4451&lt;&gt;"",S4451=""),"🟡 PENDÊNCIA ABERTA",IF(AND(N(J4451)&gt;0,N(K4451)&lt;J4451),"🟡 FALTA EXECUTAR",IF(OR(M4451="PENDENTE",M4451="PARCIAL"),"🟡 FATURAMENTO PENDENTE","🟡 EMBARQUE PENDENTE")))))))))))</f>
        <v/>
      </c>
      <c r="D4451" s="4" t="n"/>
      <c r="E4451" s="5" t="n"/>
      <c r="F4451" s="5" t="n"/>
      <c r="G4451" s="5" t="n"/>
      <c r="H4451" s="5" t="n"/>
      <c r="I4451" s="5" t="n"/>
      <c r="J4451" s="6" t="n"/>
      <c r="K4451" s="6" t="n"/>
      <c r="L4451" s="7">
        <f>IF(OR(D4451="",N(J4451)=0),"",MIN(1,N(K4451)/J4451))</f>
        <v/>
      </c>
      <c r="M4451" s="5" t="n"/>
      <c r="N4451" s="5" t="n"/>
      <c r="O4451" s="5" t="n"/>
      <c r="P4451" s="5" t="n"/>
      <c r="Q4451" s="5" t="n"/>
      <c r="R4451" s="4" t="n"/>
      <c r="S4451" s="4" t="n"/>
      <c r="T4451" s="5" t="n"/>
      <c r="U4451" s="8">
        <f>IF(AND(V4451=1,D4451&lt;&gt;""),IF(D4451&gt;=corte,TODAY()-D4451,""),"")</f>
        <v/>
      </c>
      <c r="V4451" s="8">
        <f>IF(D4451="",0,IF(OR(AND(P4451&lt;&gt;"",S4451=""),AND(N(J4451)&gt;0,N(K4451)&lt;J4451),OR(M4451="PENDENTE",M4451="PARCIAL"),OR(N4451="PENDENTE",N4451="PARCIAL")),1,0))</f>
        <v/>
      </c>
      <c r="W4451" s="8">
        <f>IF(AND(V4451=1,D4451&lt;&gt;""),IF(D4451&gt;=corte,(B4451="CRÍTICO")*1E9+(100000-D4451)*10000+10000-ROW(),""),"")</f>
        <v/>
      </c>
      <c r="X4451" s="8">
        <f>IF(AND(V4451=1,D4451=pas_data,E4451=pas_turno),10000-ROW(),"")</f>
        <v/>
      </c>
    </row>
    <row r="4452">
      <c r="A4452" s="3">
        <f>IF(D4452="","","TT-"&amp;TEXT(ROW()-1,"00000"))</f>
        <v/>
      </c>
      <c r="B4452" s="3">
        <f>IF(D4452="","",IF(V4452=0,"CONCLUÍDO",IF(D4452&lt;corte,"HISTÓRICO",IF(OR(AND(ISNUMBER(R4452),R4452&lt;TODAY()),AND(OR(N4452="PENDENTE",N4452="PARCIAL"),D4452&lt;TODAY()-1)),"CRÍTICO",IF(OR(AND(P4452&lt;&gt;"",S4452=""),AND(N4452="REALIZADO",M4452="PENDENTE"),AND(ISNUMBER(R4452),R4452=TODAY())),"ATENÇÃO",IF(N(K4452)=0,"PENDENTE","EM ANDAMENTO"))))))</f>
        <v/>
      </c>
      <c r="C4452" s="3">
        <f>IF(D4452="","",IF(V4452=0,"🟢 OK",IF(D4452&lt;corte,"⚪ HISTÓRICO (sem baixa)",IF(AND(ISNUMBER(R4452),R4452&lt;TODAY()),"🔴 PRAZO VENCIDO",IF(AND(OR(N4452="PENDENTE",N4452="PARCIAL"),D4452&lt;TODAY()-1),"🔴 EMBARQUE ATRASADO",IF(AND(N4452="REALIZADO",M4452="PENDENTE"),"🟡 EMBARCADO SEM FATURAR",IF(AND(P4452&lt;&gt;"",S4452="",OR(Q4452="",R4452="")),"🟡 PENDÊNCIA SEM RESPONSÁVEL/PRAZO",IF(AND(ISNUMBER(R4452),R4452=TODAY()),"🟡 VENCE HOJE",IF(AND(P4452&lt;&gt;"",S4452=""),"🟡 PENDÊNCIA ABERTA",IF(AND(N(J4452)&gt;0,N(K4452)&lt;J4452),"🟡 FALTA EXECUTAR",IF(OR(M4452="PENDENTE",M4452="PARCIAL"),"🟡 FATURAMENTO PENDENTE","🟡 EMBARQUE PENDENTE")))))))))))</f>
        <v/>
      </c>
      <c r="D4452" s="4" t="n"/>
      <c r="E4452" s="5" t="n"/>
      <c r="F4452" s="5" t="n"/>
      <c r="G4452" s="5" t="n"/>
      <c r="H4452" s="5" t="n"/>
      <c r="I4452" s="5" t="n"/>
      <c r="J4452" s="6" t="n"/>
      <c r="K4452" s="6" t="n"/>
      <c r="L4452" s="7">
        <f>IF(OR(D4452="",N(J4452)=0),"",MIN(1,N(K4452)/J4452))</f>
        <v/>
      </c>
      <c r="M4452" s="5" t="n"/>
      <c r="N4452" s="5" t="n"/>
      <c r="O4452" s="5" t="n"/>
      <c r="P4452" s="5" t="n"/>
      <c r="Q4452" s="5" t="n"/>
      <c r="R4452" s="4" t="n"/>
      <c r="S4452" s="4" t="n"/>
      <c r="T4452" s="5" t="n"/>
      <c r="U4452" s="8">
        <f>IF(AND(V4452=1,D4452&lt;&gt;""),IF(D4452&gt;=corte,TODAY()-D4452,""),"")</f>
        <v/>
      </c>
      <c r="V4452" s="8">
        <f>IF(D4452="",0,IF(OR(AND(P4452&lt;&gt;"",S4452=""),AND(N(J4452)&gt;0,N(K4452)&lt;J4452),OR(M4452="PENDENTE",M4452="PARCIAL"),OR(N4452="PENDENTE",N4452="PARCIAL")),1,0))</f>
        <v/>
      </c>
      <c r="W4452" s="8">
        <f>IF(AND(V4452=1,D4452&lt;&gt;""),IF(D4452&gt;=corte,(B4452="CRÍTICO")*1E9+(100000-D4452)*10000+10000-ROW(),""),"")</f>
        <v/>
      </c>
      <c r="X4452" s="8">
        <f>IF(AND(V4452=1,D4452=pas_data,E4452=pas_turno),10000-ROW(),"")</f>
        <v/>
      </c>
    </row>
    <row r="4453">
      <c r="A4453" s="3">
        <f>IF(D4453="","","TT-"&amp;TEXT(ROW()-1,"00000"))</f>
        <v/>
      </c>
      <c r="B4453" s="3">
        <f>IF(D4453="","",IF(V4453=0,"CONCLUÍDO",IF(D4453&lt;corte,"HISTÓRICO",IF(OR(AND(ISNUMBER(R4453),R4453&lt;TODAY()),AND(OR(N4453="PENDENTE",N4453="PARCIAL"),D4453&lt;TODAY()-1)),"CRÍTICO",IF(OR(AND(P4453&lt;&gt;"",S4453=""),AND(N4453="REALIZADO",M4453="PENDENTE"),AND(ISNUMBER(R4453),R4453=TODAY())),"ATENÇÃO",IF(N(K4453)=0,"PENDENTE","EM ANDAMENTO"))))))</f>
        <v/>
      </c>
      <c r="C4453" s="3">
        <f>IF(D4453="","",IF(V4453=0,"🟢 OK",IF(D4453&lt;corte,"⚪ HISTÓRICO (sem baixa)",IF(AND(ISNUMBER(R4453),R4453&lt;TODAY()),"🔴 PRAZO VENCIDO",IF(AND(OR(N4453="PENDENTE",N4453="PARCIAL"),D4453&lt;TODAY()-1),"🔴 EMBARQUE ATRASADO",IF(AND(N4453="REALIZADO",M4453="PENDENTE"),"🟡 EMBARCADO SEM FATURAR",IF(AND(P4453&lt;&gt;"",S4453="",OR(Q4453="",R4453="")),"🟡 PENDÊNCIA SEM RESPONSÁVEL/PRAZO",IF(AND(ISNUMBER(R4453),R4453=TODAY()),"🟡 VENCE HOJE",IF(AND(P4453&lt;&gt;"",S4453=""),"🟡 PENDÊNCIA ABERTA",IF(AND(N(J4453)&gt;0,N(K4453)&lt;J4453),"🟡 FALTA EXECUTAR",IF(OR(M4453="PENDENTE",M4453="PARCIAL"),"🟡 FATURAMENTO PENDENTE","🟡 EMBARQUE PENDENTE")))))))))))</f>
        <v/>
      </c>
      <c r="D4453" s="4" t="n"/>
      <c r="E4453" s="5" t="n"/>
      <c r="F4453" s="5" t="n"/>
      <c r="G4453" s="5" t="n"/>
      <c r="H4453" s="5" t="n"/>
      <c r="I4453" s="5" t="n"/>
      <c r="J4453" s="6" t="n"/>
      <c r="K4453" s="6" t="n"/>
      <c r="L4453" s="7">
        <f>IF(OR(D4453="",N(J4453)=0),"",MIN(1,N(K4453)/J4453))</f>
        <v/>
      </c>
      <c r="M4453" s="5" t="n"/>
      <c r="N4453" s="5" t="n"/>
      <c r="O4453" s="5" t="n"/>
      <c r="P4453" s="5" t="n"/>
      <c r="Q4453" s="5" t="n"/>
      <c r="R4453" s="4" t="n"/>
      <c r="S4453" s="4" t="n"/>
      <c r="T4453" s="5" t="n"/>
      <c r="U4453" s="8">
        <f>IF(AND(V4453=1,D4453&lt;&gt;""),IF(D4453&gt;=corte,TODAY()-D4453,""),"")</f>
        <v/>
      </c>
      <c r="V4453" s="8">
        <f>IF(D4453="",0,IF(OR(AND(P4453&lt;&gt;"",S4453=""),AND(N(J4453)&gt;0,N(K4453)&lt;J4453),OR(M4453="PENDENTE",M4453="PARCIAL"),OR(N4453="PENDENTE",N4453="PARCIAL")),1,0))</f>
        <v/>
      </c>
      <c r="W4453" s="8">
        <f>IF(AND(V4453=1,D4453&lt;&gt;""),IF(D4453&gt;=corte,(B4453="CRÍTICO")*1E9+(100000-D4453)*10000+10000-ROW(),""),"")</f>
        <v/>
      </c>
      <c r="X4453" s="8">
        <f>IF(AND(V4453=1,D4453=pas_data,E4453=pas_turno),10000-ROW(),"")</f>
        <v/>
      </c>
    </row>
    <row r="4454">
      <c r="A4454" s="3">
        <f>IF(D4454="","","TT-"&amp;TEXT(ROW()-1,"00000"))</f>
        <v/>
      </c>
      <c r="B4454" s="3">
        <f>IF(D4454="","",IF(V4454=0,"CONCLUÍDO",IF(D4454&lt;corte,"HISTÓRICO",IF(OR(AND(ISNUMBER(R4454),R4454&lt;TODAY()),AND(OR(N4454="PENDENTE",N4454="PARCIAL"),D4454&lt;TODAY()-1)),"CRÍTICO",IF(OR(AND(P4454&lt;&gt;"",S4454=""),AND(N4454="REALIZADO",M4454="PENDENTE"),AND(ISNUMBER(R4454),R4454=TODAY())),"ATENÇÃO",IF(N(K4454)=0,"PENDENTE","EM ANDAMENTO"))))))</f>
        <v/>
      </c>
      <c r="C4454" s="3">
        <f>IF(D4454="","",IF(V4454=0,"🟢 OK",IF(D4454&lt;corte,"⚪ HISTÓRICO (sem baixa)",IF(AND(ISNUMBER(R4454),R4454&lt;TODAY()),"🔴 PRAZO VENCIDO",IF(AND(OR(N4454="PENDENTE",N4454="PARCIAL"),D4454&lt;TODAY()-1),"🔴 EMBARQUE ATRASADO",IF(AND(N4454="REALIZADO",M4454="PENDENTE"),"🟡 EMBARCADO SEM FATURAR",IF(AND(P4454&lt;&gt;"",S4454="",OR(Q4454="",R4454="")),"🟡 PENDÊNCIA SEM RESPONSÁVEL/PRAZO",IF(AND(ISNUMBER(R4454),R4454=TODAY()),"🟡 VENCE HOJE",IF(AND(P4454&lt;&gt;"",S4454=""),"🟡 PENDÊNCIA ABERTA",IF(AND(N(J4454)&gt;0,N(K4454)&lt;J4454),"🟡 FALTA EXECUTAR",IF(OR(M4454="PENDENTE",M4454="PARCIAL"),"🟡 FATURAMENTO PENDENTE","🟡 EMBARQUE PENDENTE")))))))))))</f>
        <v/>
      </c>
      <c r="D4454" s="4" t="n"/>
      <c r="E4454" s="5" t="n"/>
      <c r="F4454" s="5" t="n"/>
      <c r="G4454" s="5" t="n"/>
      <c r="H4454" s="5" t="n"/>
      <c r="I4454" s="5" t="n"/>
      <c r="J4454" s="6" t="n"/>
      <c r="K4454" s="6" t="n"/>
      <c r="L4454" s="7">
        <f>IF(OR(D4454="",N(J4454)=0),"",MIN(1,N(K4454)/J4454))</f>
        <v/>
      </c>
      <c r="M4454" s="5" t="n"/>
      <c r="N4454" s="5" t="n"/>
      <c r="O4454" s="5" t="n"/>
      <c r="P4454" s="5" t="n"/>
      <c r="Q4454" s="5" t="n"/>
      <c r="R4454" s="4" t="n"/>
      <c r="S4454" s="4" t="n"/>
      <c r="T4454" s="5" t="n"/>
      <c r="U4454" s="8">
        <f>IF(AND(V4454=1,D4454&lt;&gt;""),IF(D4454&gt;=corte,TODAY()-D4454,""),"")</f>
        <v/>
      </c>
      <c r="V4454" s="8">
        <f>IF(D4454="",0,IF(OR(AND(P4454&lt;&gt;"",S4454=""),AND(N(J4454)&gt;0,N(K4454)&lt;J4454),OR(M4454="PENDENTE",M4454="PARCIAL"),OR(N4454="PENDENTE",N4454="PARCIAL")),1,0))</f>
        <v/>
      </c>
      <c r="W4454" s="8">
        <f>IF(AND(V4454=1,D4454&lt;&gt;""),IF(D4454&gt;=corte,(B4454="CRÍTICO")*1E9+(100000-D4454)*10000+10000-ROW(),""),"")</f>
        <v/>
      </c>
      <c r="X4454" s="8">
        <f>IF(AND(V4454=1,D4454=pas_data,E4454=pas_turno),10000-ROW(),"")</f>
        <v/>
      </c>
    </row>
    <row r="4455">
      <c r="A4455" s="3">
        <f>IF(D4455="","","TT-"&amp;TEXT(ROW()-1,"00000"))</f>
        <v/>
      </c>
      <c r="B4455" s="3">
        <f>IF(D4455="","",IF(V4455=0,"CONCLUÍDO",IF(D4455&lt;corte,"HISTÓRICO",IF(OR(AND(ISNUMBER(R4455),R4455&lt;TODAY()),AND(OR(N4455="PENDENTE",N4455="PARCIAL"),D4455&lt;TODAY()-1)),"CRÍTICO",IF(OR(AND(P4455&lt;&gt;"",S4455=""),AND(N4455="REALIZADO",M4455="PENDENTE"),AND(ISNUMBER(R4455),R4455=TODAY())),"ATENÇÃO",IF(N(K4455)=0,"PENDENTE","EM ANDAMENTO"))))))</f>
        <v/>
      </c>
      <c r="C4455" s="3">
        <f>IF(D4455="","",IF(V4455=0,"🟢 OK",IF(D4455&lt;corte,"⚪ HISTÓRICO (sem baixa)",IF(AND(ISNUMBER(R4455),R4455&lt;TODAY()),"🔴 PRAZO VENCIDO",IF(AND(OR(N4455="PENDENTE",N4455="PARCIAL"),D4455&lt;TODAY()-1),"🔴 EMBARQUE ATRASADO",IF(AND(N4455="REALIZADO",M4455="PENDENTE"),"🟡 EMBARCADO SEM FATURAR",IF(AND(P4455&lt;&gt;"",S4455="",OR(Q4455="",R4455="")),"🟡 PENDÊNCIA SEM RESPONSÁVEL/PRAZO",IF(AND(ISNUMBER(R4455),R4455=TODAY()),"🟡 VENCE HOJE",IF(AND(P4455&lt;&gt;"",S4455=""),"🟡 PENDÊNCIA ABERTA",IF(AND(N(J4455)&gt;0,N(K4455)&lt;J4455),"🟡 FALTA EXECUTAR",IF(OR(M4455="PENDENTE",M4455="PARCIAL"),"🟡 FATURAMENTO PENDENTE","🟡 EMBARQUE PENDENTE")))))))))))</f>
        <v/>
      </c>
      <c r="D4455" s="4" t="n"/>
      <c r="E4455" s="5" t="n"/>
      <c r="F4455" s="5" t="n"/>
      <c r="G4455" s="5" t="n"/>
      <c r="H4455" s="5" t="n"/>
      <c r="I4455" s="5" t="n"/>
      <c r="J4455" s="6" t="n"/>
      <c r="K4455" s="6" t="n"/>
      <c r="L4455" s="7">
        <f>IF(OR(D4455="",N(J4455)=0),"",MIN(1,N(K4455)/J4455))</f>
        <v/>
      </c>
      <c r="M4455" s="5" t="n"/>
      <c r="N4455" s="5" t="n"/>
      <c r="O4455" s="5" t="n"/>
      <c r="P4455" s="5" t="n"/>
      <c r="Q4455" s="5" t="n"/>
      <c r="R4455" s="4" t="n"/>
      <c r="S4455" s="4" t="n"/>
      <c r="T4455" s="5" t="n"/>
      <c r="U4455" s="8">
        <f>IF(AND(V4455=1,D4455&lt;&gt;""),IF(D4455&gt;=corte,TODAY()-D4455,""),"")</f>
        <v/>
      </c>
      <c r="V4455" s="8">
        <f>IF(D4455="",0,IF(OR(AND(P4455&lt;&gt;"",S4455=""),AND(N(J4455)&gt;0,N(K4455)&lt;J4455),OR(M4455="PENDENTE",M4455="PARCIAL"),OR(N4455="PENDENTE",N4455="PARCIAL")),1,0))</f>
        <v/>
      </c>
      <c r="W4455" s="8">
        <f>IF(AND(V4455=1,D4455&lt;&gt;""),IF(D4455&gt;=corte,(B4455="CRÍTICO")*1E9+(100000-D4455)*10000+10000-ROW(),""),"")</f>
        <v/>
      </c>
      <c r="X4455" s="8">
        <f>IF(AND(V4455=1,D4455=pas_data,E4455=pas_turno),10000-ROW(),"")</f>
        <v/>
      </c>
    </row>
    <row r="4456">
      <c r="A4456" s="3">
        <f>IF(D4456="","","TT-"&amp;TEXT(ROW()-1,"00000"))</f>
        <v/>
      </c>
      <c r="B4456" s="3">
        <f>IF(D4456="","",IF(V4456=0,"CONCLUÍDO",IF(D4456&lt;corte,"HISTÓRICO",IF(OR(AND(ISNUMBER(R4456),R4456&lt;TODAY()),AND(OR(N4456="PENDENTE",N4456="PARCIAL"),D4456&lt;TODAY()-1)),"CRÍTICO",IF(OR(AND(P4456&lt;&gt;"",S4456=""),AND(N4456="REALIZADO",M4456="PENDENTE"),AND(ISNUMBER(R4456),R4456=TODAY())),"ATENÇÃO",IF(N(K4456)=0,"PENDENTE","EM ANDAMENTO"))))))</f>
        <v/>
      </c>
      <c r="C4456" s="3">
        <f>IF(D4456="","",IF(V4456=0,"🟢 OK",IF(D4456&lt;corte,"⚪ HISTÓRICO (sem baixa)",IF(AND(ISNUMBER(R4456),R4456&lt;TODAY()),"🔴 PRAZO VENCIDO",IF(AND(OR(N4456="PENDENTE",N4456="PARCIAL"),D4456&lt;TODAY()-1),"🔴 EMBARQUE ATRASADO",IF(AND(N4456="REALIZADO",M4456="PENDENTE"),"🟡 EMBARCADO SEM FATURAR",IF(AND(P4456&lt;&gt;"",S4456="",OR(Q4456="",R4456="")),"🟡 PENDÊNCIA SEM RESPONSÁVEL/PRAZO",IF(AND(ISNUMBER(R4456),R4456=TODAY()),"🟡 VENCE HOJE",IF(AND(P4456&lt;&gt;"",S4456=""),"🟡 PENDÊNCIA ABERTA",IF(AND(N(J4456)&gt;0,N(K4456)&lt;J4456),"🟡 FALTA EXECUTAR",IF(OR(M4456="PENDENTE",M4456="PARCIAL"),"🟡 FATURAMENTO PENDENTE","🟡 EMBARQUE PENDENTE")))))))))))</f>
        <v/>
      </c>
      <c r="D4456" s="4" t="n"/>
      <c r="E4456" s="5" t="n"/>
      <c r="F4456" s="5" t="n"/>
      <c r="G4456" s="5" t="n"/>
      <c r="H4456" s="5" t="n"/>
      <c r="I4456" s="5" t="n"/>
      <c r="J4456" s="6" t="n"/>
      <c r="K4456" s="6" t="n"/>
      <c r="L4456" s="7">
        <f>IF(OR(D4456="",N(J4456)=0),"",MIN(1,N(K4456)/J4456))</f>
        <v/>
      </c>
      <c r="M4456" s="5" t="n"/>
      <c r="N4456" s="5" t="n"/>
      <c r="O4456" s="5" t="n"/>
      <c r="P4456" s="5" t="n"/>
      <c r="Q4456" s="5" t="n"/>
      <c r="R4456" s="4" t="n"/>
      <c r="S4456" s="4" t="n"/>
      <c r="T4456" s="5" t="n"/>
      <c r="U4456" s="8">
        <f>IF(AND(V4456=1,D4456&lt;&gt;""),IF(D4456&gt;=corte,TODAY()-D4456,""),"")</f>
        <v/>
      </c>
      <c r="V4456" s="8">
        <f>IF(D4456="",0,IF(OR(AND(P4456&lt;&gt;"",S4456=""),AND(N(J4456)&gt;0,N(K4456)&lt;J4456),OR(M4456="PENDENTE",M4456="PARCIAL"),OR(N4456="PENDENTE",N4456="PARCIAL")),1,0))</f>
        <v/>
      </c>
      <c r="W4456" s="8">
        <f>IF(AND(V4456=1,D4456&lt;&gt;""),IF(D4456&gt;=corte,(B4456="CRÍTICO")*1E9+(100000-D4456)*10000+10000-ROW(),""),"")</f>
        <v/>
      </c>
      <c r="X4456" s="8">
        <f>IF(AND(V4456=1,D4456=pas_data,E4456=pas_turno),10000-ROW(),"")</f>
        <v/>
      </c>
    </row>
    <row r="4457">
      <c r="A4457" s="3">
        <f>IF(D4457="","","TT-"&amp;TEXT(ROW()-1,"00000"))</f>
        <v/>
      </c>
      <c r="B4457" s="3">
        <f>IF(D4457="","",IF(V4457=0,"CONCLUÍDO",IF(D4457&lt;corte,"HISTÓRICO",IF(OR(AND(ISNUMBER(R4457),R4457&lt;TODAY()),AND(OR(N4457="PENDENTE",N4457="PARCIAL"),D4457&lt;TODAY()-1)),"CRÍTICO",IF(OR(AND(P4457&lt;&gt;"",S4457=""),AND(N4457="REALIZADO",M4457="PENDENTE"),AND(ISNUMBER(R4457),R4457=TODAY())),"ATENÇÃO",IF(N(K4457)=0,"PENDENTE","EM ANDAMENTO"))))))</f>
        <v/>
      </c>
      <c r="C4457" s="3">
        <f>IF(D4457="","",IF(V4457=0,"🟢 OK",IF(D4457&lt;corte,"⚪ HISTÓRICO (sem baixa)",IF(AND(ISNUMBER(R4457),R4457&lt;TODAY()),"🔴 PRAZO VENCIDO",IF(AND(OR(N4457="PENDENTE",N4457="PARCIAL"),D4457&lt;TODAY()-1),"🔴 EMBARQUE ATRASADO",IF(AND(N4457="REALIZADO",M4457="PENDENTE"),"🟡 EMBARCADO SEM FATURAR",IF(AND(P4457&lt;&gt;"",S4457="",OR(Q4457="",R4457="")),"🟡 PENDÊNCIA SEM RESPONSÁVEL/PRAZO",IF(AND(ISNUMBER(R4457),R4457=TODAY()),"🟡 VENCE HOJE",IF(AND(P4457&lt;&gt;"",S4457=""),"🟡 PENDÊNCIA ABERTA",IF(AND(N(J4457)&gt;0,N(K4457)&lt;J4457),"🟡 FALTA EXECUTAR",IF(OR(M4457="PENDENTE",M4457="PARCIAL"),"🟡 FATURAMENTO PENDENTE","🟡 EMBARQUE PENDENTE")))))))))))</f>
        <v/>
      </c>
      <c r="D4457" s="4" t="n"/>
      <c r="E4457" s="5" t="n"/>
      <c r="F4457" s="5" t="n"/>
      <c r="G4457" s="5" t="n"/>
      <c r="H4457" s="5" t="n"/>
      <c r="I4457" s="5" t="n"/>
      <c r="J4457" s="6" t="n"/>
      <c r="K4457" s="6" t="n"/>
      <c r="L4457" s="7">
        <f>IF(OR(D4457="",N(J4457)=0),"",MIN(1,N(K4457)/J4457))</f>
        <v/>
      </c>
      <c r="M4457" s="5" t="n"/>
      <c r="N4457" s="5" t="n"/>
      <c r="O4457" s="5" t="n"/>
      <c r="P4457" s="5" t="n"/>
      <c r="Q4457" s="5" t="n"/>
      <c r="R4457" s="4" t="n"/>
      <c r="S4457" s="4" t="n"/>
      <c r="T4457" s="5" t="n"/>
      <c r="U4457" s="8">
        <f>IF(AND(V4457=1,D4457&lt;&gt;""),IF(D4457&gt;=corte,TODAY()-D4457,""),"")</f>
        <v/>
      </c>
      <c r="V4457" s="8">
        <f>IF(D4457="",0,IF(OR(AND(P4457&lt;&gt;"",S4457=""),AND(N(J4457)&gt;0,N(K4457)&lt;J4457),OR(M4457="PENDENTE",M4457="PARCIAL"),OR(N4457="PENDENTE",N4457="PARCIAL")),1,0))</f>
        <v/>
      </c>
      <c r="W4457" s="8">
        <f>IF(AND(V4457=1,D4457&lt;&gt;""),IF(D4457&gt;=corte,(B4457="CRÍTICO")*1E9+(100000-D4457)*10000+10000-ROW(),""),"")</f>
        <v/>
      </c>
      <c r="X4457" s="8">
        <f>IF(AND(V4457=1,D4457=pas_data,E4457=pas_turno),10000-ROW(),"")</f>
        <v/>
      </c>
    </row>
    <row r="4458">
      <c r="A4458" s="3">
        <f>IF(D4458="","","TT-"&amp;TEXT(ROW()-1,"00000"))</f>
        <v/>
      </c>
      <c r="B4458" s="3">
        <f>IF(D4458="","",IF(V4458=0,"CONCLUÍDO",IF(D4458&lt;corte,"HISTÓRICO",IF(OR(AND(ISNUMBER(R4458),R4458&lt;TODAY()),AND(OR(N4458="PENDENTE",N4458="PARCIAL"),D4458&lt;TODAY()-1)),"CRÍTICO",IF(OR(AND(P4458&lt;&gt;"",S4458=""),AND(N4458="REALIZADO",M4458="PENDENTE"),AND(ISNUMBER(R4458),R4458=TODAY())),"ATENÇÃO",IF(N(K4458)=0,"PENDENTE","EM ANDAMENTO"))))))</f>
        <v/>
      </c>
      <c r="C4458" s="3">
        <f>IF(D4458="","",IF(V4458=0,"🟢 OK",IF(D4458&lt;corte,"⚪ HISTÓRICO (sem baixa)",IF(AND(ISNUMBER(R4458),R4458&lt;TODAY()),"🔴 PRAZO VENCIDO",IF(AND(OR(N4458="PENDENTE",N4458="PARCIAL"),D4458&lt;TODAY()-1),"🔴 EMBARQUE ATRASADO",IF(AND(N4458="REALIZADO",M4458="PENDENTE"),"🟡 EMBARCADO SEM FATURAR",IF(AND(P4458&lt;&gt;"",S4458="",OR(Q4458="",R4458="")),"🟡 PENDÊNCIA SEM RESPONSÁVEL/PRAZO",IF(AND(ISNUMBER(R4458),R4458=TODAY()),"🟡 VENCE HOJE",IF(AND(P4458&lt;&gt;"",S4458=""),"🟡 PENDÊNCIA ABERTA",IF(AND(N(J4458)&gt;0,N(K4458)&lt;J4458),"🟡 FALTA EXECUTAR",IF(OR(M4458="PENDENTE",M4458="PARCIAL"),"🟡 FATURAMENTO PENDENTE","🟡 EMBARQUE PENDENTE")))))))))))</f>
        <v/>
      </c>
      <c r="D4458" s="4" t="n"/>
      <c r="E4458" s="5" t="n"/>
      <c r="F4458" s="5" t="n"/>
      <c r="G4458" s="5" t="n"/>
      <c r="H4458" s="5" t="n"/>
      <c r="I4458" s="5" t="n"/>
      <c r="J4458" s="6" t="n"/>
      <c r="K4458" s="6" t="n"/>
      <c r="L4458" s="7">
        <f>IF(OR(D4458="",N(J4458)=0),"",MIN(1,N(K4458)/J4458))</f>
        <v/>
      </c>
      <c r="M4458" s="5" t="n"/>
      <c r="N4458" s="5" t="n"/>
      <c r="O4458" s="5" t="n"/>
      <c r="P4458" s="5" t="n"/>
      <c r="Q4458" s="5" t="n"/>
      <c r="R4458" s="4" t="n"/>
      <c r="S4458" s="4" t="n"/>
      <c r="T4458" s="5" t="n"/>
      <c r="U4458" s="8">
        <f>IF(AND(V4458=1,D4458&lt;&gt;""),IF(D4458&gt;=corte,TODAY()-D4458,""),"")</f>
        <v/>
      </c>
      <c r="V4458" s="8">
        <f>IF(D4458="",0,IF(OR(AND(P4458&lt;&gt;"",S4458=""),AND(N(J4458)&gt;0,N(K4458)&lt;J4458),OR(M4458="PENDENTE",M4458="PARCIAL"),OR(N4458="PENDENTE",N4458="PARCIAL")),1,0))</f>
        <v/>
      </c>
      <c r="W4458" s="8">
        <f>IF(AND(V4458=1,D4458&lt;&gt;""),IF(D4458&gt;=corte,(B4458="CRÍTICO")*1E9+(100000-D4458)*10000+10000-ROW(),""),"")</f>
        <v/>
      </c>
      <c r="X4458" s="8">
        <f>IF(AND(V4458=1,D4458=pas_data,E4458=pas_turno),10000-ROW(),"")</f>
        <v/>
      </c>
    </row>
    <row r="4459">
      <c r="A4459" s="3">
        <f>IF(D4459="","","TT-"&amp;TEXT(ROW()-1,"00000"))</f>
        <v/>
      </c>
      <c r="B4459" s="3">
        <f>IF(D4459="","",IF(V4459=0,"CONCLUÍDO",IF(D4459&lt;corte,"HISTÓRICO",IF(OR(AND(ISNUMBER(R4459),R4459&lt;TODAY()),AND(OR(N4459="PENDENTE",N4459="PARCIAL"),D4459&lt;TODAY()-1)),"CRÍTICO",IF(OR(AND(P4459&lt;&gt;"",S4459=""),AND(N4459="REALIZADO",M4459="PENDENTE"),AND(ISNUMBER(R4459),R4459=TODAY())),"ATENÇÃO",IF(N(K4459)=0,"PENDENTE","EM ANDAMENTO"))))))</f>
        <v/>
      </c>
      <c r="C4459" s="3">
        <f>IF(D4459="","",IF(V4459=0,"🟢 OK",IF(D4459&lt;corte,"⚪ HISTÓRICO (sem baixa)",IF(AND(ISNUMBER(R4459),R4459&lt;TODAY()),"🔴 PRAZO VENCIDO",IF(AND(OR(N4459="PENDENTE",N4459="PARCIAL"),D4459&lt;TODAY()-1),"🔴 EMBARQUE ATRASADO",IF(AND(N4459="REALIZADO",M4459="PENDENTE"),"🟡 EMBARCADO SEM FATURAR",IF(AND(P4459&lt;&gt;"",S4459="",OR(Q4459="",R4459="")),"🟡 PENDÊNCIA SEM RESPONSÁVEL/PRAZO",IF(AND(ISNUMBER(R4459),R4459=TODAY()),"🟡 VENCE HOJE",IF(AND(P4459&lt;&gt;"",S4459=""),"🟡 PENDÊNCIA ABERTA",IF(AND(N(J4459)&gt;0,N(K4459)&lt;J4459),"🟡 FALTA EXECUTAR",IF(OR(M4459="PENDENTE",M4459="PARCIAL"),"🟡 FATURAMENTO PENDENTE","🟡 EMBARQUE PENDENTE")))))))))))</f>
        <v/>
      </c>
      <c r="D4459" s="4" t="n"/>
      <c r="E4459" s="5" t="n"/>
      <c r="F4459" s="5" t="n"/>
      <c r="G4459" s="5" t="n"/>
      <c r="H4459" s="5" t="n"/>
      <c r="I4459" s="5" t="n"/>
      <c r="J4459" s="6" t="n"/>
      <c r="K4459" s="6" t="n"/>
      <c r="L4459" s="7">
        <f>IF(OR(D4459="",N(J4459)=0),"",MIN(1,N(K4459)/J4459))</f>
        <v/>
      </c>
      <c r="M4459" s="5" t="n"/>
      <c r="N4459" s="5" t="n"/>
      <c r="O4459" s="5" t="n"/>
      <c r="P4459" s="5" t="n"/>
      <c r="Q4459" s="5" t="n"/>
      <c r="R4459" s="4" t="n"/>
      <c r="S4459" s="4" t="n"/>
      <c r="T4459" s="5" t="n"/>
      <c r="U4459" s="8">
        <f>IF(AND(V4459=1,D4459&lt;&gt;""),IF(D4459&gt;=corte,TODAY()-D4459,""),"")</f>
        <v/>
      </c>
      <c r="V4459" s="8">
        <f>IF(D4459="",0,IF(OR(AND(P4459&lt;&gt;"",S4459=""),AND(N(J4459)&gt;0,N(K4459)&lt;J4459),OR(M4459="PENDENTE",M4459="PARCIAL"),OR(N4459="PENDENTE",N4459="PARCIAL")),1,0))</f>
        <v/>
      </c>
      <c r="W4459" s="8">
        <f>IF(AND(V4459=1,D4459&lt;&gt;""),IF(D4459&gt;=corte,(B4459="CRÍTICO")*1E9+(100000-D4459)*10000+10000-ROW(),""),"")</f>
        <v/>
      </c>
      <c r="X4459" s="8">
        <f>IF(AND(V4459=1,D4459=pas_data,E4459=pas_turno),10000-ROW(),"")</f>
        <v/>
      </c>
    </row>
    <row r="4460">
      <c r="A4460" s="3">
        <f>IF(D4460="","","TT-"&amp;TEXT(ROW()-1,"00000"))</f>
        <v/>
      </c>
      <c r="B4460" s="3">
        <f>IF(D4460="","",IF(V4460=0,"CONCLUÍDO",IF(D4460&lt;corte,"HISTÓRICO",IF(OR(AND(ISNUMBER(R4460),R4460&lt;TODAY()),AND(OR(N4460="PENDENTE",N4460="PARCIAL"),D4460&lt;TODAY()-1)),"CRÍTICO",IF(OR(AND(P4460&lt;&gt;"",S4460=""),AND(N4460="REALIZADO",M4460="PENDENTE"),AND(ISNUMBER(R4460),R4460=TODAY())),"ATENÇÃO",IF(N(K4460)=0,"PENDENTE","EM ANDAMENTO"))))))</f>
        <v/>
      </c>
      <c r="C4460" s="3">
        <f>IF(D4460="","",IF(V4460=0,"🟢 OK",IF(D4460&lt;corte,"⚪ HISTÓRICO (sem baixa)",IF(AND(ISNUMBER(R4460),R4460&lt;TODAY()),"🔴 PRAZO VENCIDO",IF(AND(OR(N4460="PENDENTE",N4460="PARCIAL"),D4460&lt;TODAY()-1),"🔴 EMBARQUE ATRASADO",IF(AND(N4460="REALIZADO",M4460="PENDENTE"),"🟡 EMBARCADO SEM FATURAR",IF(AND(P4460&lt;&gt;"",S4460="",OR(Q4460="",R4460="")),"🟡 PENDÊNCIA SEM RESPONSÁVEL/PRAZO",IF(AND(ISNUMBER(R4460),R4460=TODAY()),"🟡 VENCE HOJE",IF(AND(P4460&lt;&gt;"",S4460=""),"🟡 PENDÊNCIA ABERTA",IF(AND(N(J4460)&gt;0,N(K4460)&lt;J4460),"🟡 FALTA EXECUTAR",IF(OR(M4460="PENDENTE",M4460="PARCIAL"),"🟡 FATURAMENTO PENDENTE","🟡 EMBARQUE PENDENTE")))))))))))</f>
        <v/>
      </c>
      <c r="D4460" s="4" t="n"/>
      <c r="E4460" s="5" t="n"/>
      <c r="F4460" s="5" t="n"/>
      <c r="G4460" s="5" t="n"/>
      <c r="H4460" s="5" t="n"/>
      <c r="I4460" s="5" t="n"/>
      <c r="J4460" s="6" t="n"/>
      <c r="K4460" s="6" t="n"/>
      <c r="L4460" s="7">
        <f>IF(OR(D4460="",N(J4460)=0),"",MIN(1,N(K4460)/J4460))</f>
        <v/>
      </c>
      <c r="M4460" s="5" t="n"/>
      <c r="N4460" s="5" t="n"/>
      <c r="O4460" s="5" t="n"/>
      <c r="P4460" s="5" t="n"/>
      <c r="Q4460" s="5" t="n"/>
      <c r="R4460" s="4" t="n"/>
      <c r="S4460" s="4" t="n"/>
      <c r="T4460" s="5" t="n"/>
      <c r="U4460" s="8">
        <f>IF(AND(V4460=1,D4460&lt;&gt;""),IF(D4460&gt;=corte,TODAY()-D4460,""),"")</f>
        <v/>
      </c>
      <c r="V4460" s="8">
        <f>IF(D4460="",0,IF(OR(AND(P4460&lt;&gt;"",S4460=""),AND(N(J4460)&gt;0,N(K4460)&lt;J4460),OR(M4460="PENDENTE",M4460="PARCIAL"),OR(N4460="PENDENTE",N4460="PARCIAL")),1,0))</f>
        <v/>
      </c>
      <c r="W4460" s="8">
        <f>IF(AND(V4460=1,D4460&lt;&gt;""),IF(D4460&gt;=corte,(B4460="CRÍTICO")*1E9+(100000-D4460)*10000+10000-ROW(),""),"")</f>
        <v/>
      </c>
      <c r="X4460" s="8">
        <f>IF(AND(V4460=1,D4460=pas_data,E4460=pas_turno),10000-ROW(),"")</f>
        <v/>
      </c>
    </row>
    <row r="4461">
      <c r="A4461" s="3">
        <f>IF(D4461="","","TT-"&amp;TEXT(ROW()-1,"00000"))</f>
        <v/>
      </c>
      <c r="B4461" s="3">
        <f>IF(D4461="","",IF(V4461=0,"CONCLUÍDO",IF(D4461&lt;corte,"HISTÓRICO",IF(OR(AND(ISNUMBER(R4461),R4461&lt;TODAY()),AND(OR(N4461="PENDENTE",N4461="PARCIAL"),D4461&lt;TODAY()-1)),"CRÍTICO",IF(OR(AND(P4461&lt;&gt;"",S4461=""),AND(N4461="REALIZADO",M4461="PENDENTE"),AND(ISNUMBER(R4461),R4461=TODAY())),"ATENÇÃO",IF(N(K4461)=0,"PENDENTE","EM ANDAMENTO"))))))</f>
        <v/>
      </c>
      <c r="C4461" s="3">
        <f>IF(D4461="","",IF(V4461=0,"🟢 OK",IF(D4461&lt;corte,"⚪ HISTÓRICO (sem baixa)",IF(AND(ISNUMBER(R4461),R4461&lt;TODAY()),"🔴 PRAZO VENCIDO",IF(AND(OR(N4461="PENDENTE",N4461="PARCIAL"),D4461&lt;TODAY()-1),"🔴 EMBARQUE ATRASADO",IF(AND(N4461="REALIZADO",M4461="PENDENTE"),"🟡 EMBARCADO SEM FATURAR",IF(AND(P4461&lt;&gt;"",S4461="",OR(Q4461="",R4461="")),"🟡 PENDÊNCIA SEM RESPONSÁVEL/PRAZO",IF(AND(ISNUMBER(R4461),R4461=TODAY()),"🟡 VENCE HOJE",IF(AND(P4461&lt;&gt;"",S4461=""),"🟡 PENDÊNCIA ABERTA",IF(AND(N(J4461)&gt;0,N(K4461)&lt;J4461),"🟡 FALTA EXECUTAR",IF(OR(M4461="PENDENTE",M4461="PARCIAL"),"🟡 FATURAMENTO PENDENTE","🟡 EMBARQUE PENDENTE")))))))))))</f>
        <v/>
      </c>
      <c r="D4461" s="4" t="n"/>
      <c r="E4461" s="5" t="n"/>
      <c r="F4461" s="5" t="n"/>
      <c r="G4461" s="5" t="n"/>
      <c r="H4461" s="5" t="n"/>
      <c r="I4461" s="5" t="n"/>
      <c r="J4461" s="6" t="n"/>
      <c r="K4461" s="6" t="n"/>
      <c r="L4461" s="7">
        <f>IF(OR(D4461="",N(J4461)=0),"",MIN(1,N(K4461)/J4461))</f>
        <v/>
      </c>
      <c r="M4461" s="5" t="n"/>
      <c r="N4461" s="5" t="n"/>
      <c r="O4461" s="5" t="n"/>
      <c r="P4461" s="5" t="n"/>
      <c r="Q4461" s="5" t="n"/>
      <c r="R4461" s="4" t="n"/>
      <c r="S4461" s="4" t="n"/>
      <c r="T4461" s="5" t="n"/>
      <c r="U4461" s="8">
        <f>IF(AND(V4461=1,D4461&lt;&gt;""),IF(D4461&gt;=corte,TODAY()-D4461,""),"")</f>
        <v/>
      </c>
      <c r="V4461" s="8">
        <f>IF(D4461="",0,IF(OR(AND(P4461&lt;&gt;"",S4461=""),AND(N(J4461)&gt;0,N(K4461)&lt;J4461),OR(M4461="PENDENTE",M4461="PARCIAL"),OR(N4461="PENDENTE",N4461="PARCIAL")),1,0))</f>
        <v/>
      </c>
      <c r="W4461" s="8">
        <f>IF(AND(V4461=1,D4461&lt;&gt;""),IF(D4461&gt;=corte,(B4461="CRÍTICO")*1E9+(100000-D4461)*10000+10000-ROW(),""),"")</f>
        <v/>
      </c>
      <c r="X4461" s="8">
        <f>IF(AND(V4461=1,D4461=pas_data,E4461=pas_turno),10000-ROW(),"")</f>
        <v/>
      </c>
    </row>
    <row r="4462">
      <c r="A4462" s="3">
        <f>IF(D4462="","","TT-"&amp;TEXT(ROW()-1,"00000"))</f>
        <v/>
      </c>
      <c r="B4462" s="3">
        <f>IF(D4462="","",IF(V4462=0,"CONCLUÍDO",IF(D4462&lt;corte,"HISTÓRICO",IF(OR(AND(ISNUMBER(R4462),R4462&lt;TODAY()),AND(OR(N4462="PENDENTE",N4462="PARCIAL"),D4462&lt;TODAY()-1)),"CRÍTICO",IF(OR(AND(P4462&lt;&gt;"",S4462=""),AND(N4462="REALIZADO",M4462="PENDENTE"),AND(ISNUMBER(R4462),R4462=TODAY())),"ATENÇÃO",IF(N(K4462)=0,"PENDENTE","EM ANDAMENTO"))))))</f>
        <v/>
      </c>
      <c r="C4462" s="3">
        <f>IF(D4462="","",IF(V4462=0,"🟢 OK",IF(D4462&lt;corte,"⚪ HISTÓRICO (sem baixa)",IF(AND(ISNUMBER(R4462),R4462&lt;TODAY()),"🔴 PRAZO VENCIDO",IF(AND(OR(N4462="PENDENTE",N4462="PARCIAL"),D4462&lt;TODAY()-1),"🔴 EMBARQUE ATRASADO",IF(AND(N4462="REALIZADO",M4462="PENDENTE"),"🟡 EMBARCADO SEM FATURAR",IF(AND(P4462&lt;&gt;"",S4462="",OR(Q4462="",R4462="")),"🟡 PENDÊNCIA SEM RESPONSÁVEL/PRAZO",IF(AND(ISNUMBER(R4462),R4462=TODAY()),"🟡 VENCE HOJE",IF(AND(P4462&lt;&gt;"",S4462=""),"🟡 PENDÊNCIA ABERTA",IF(AND(N(J4462)&gt;0,N(K4462)&lt;J4462),"🟡 FALTA EXECUTAR",IF(OR(M4462="PENDENTE",M4462="PARCIAL"),"🟡 FATURAMENTO PENDENTE","🟡 EMBARQUE PENDENTE")))))))))))</f>
        <v/>
      </c>
      <c r="D4462" s="4" t="n"/>
      <c r="E4462" s="5" t="n"/>
      <c r="F4462" s="5" t="n"/>
      <c r="G4462" s="5" t="n"/>
      <c r="H4462" s="5" t="n"/>
      <c r="I4462" s="5" t="n"/>
      <c r="J4462" s="6" t="n"/>
      <c r="K4462" s="6" t="n"/>
      <c r="L4462" s="7">
        <f>IF(OR(D4462="",N(J4462)=0),"",MIN(1,N(K4462)/J4462))</f>
        <v/>
      </c>
      <c r="M4462" s="5" t="n"/>
      <c r="N4462" s="5" t="n"/>
      <c r="O4462" s="5" t="n"/>
      <c r="P4462" s="5" t="n"/>
      <c r="Q4462" s="5" t="n"/>
      <c r="R4462" s="4" t="n"/>
      <c r="S4462" s="4" t="n"/>
      <c r="T4462" s="5" t="n"/>
      <c r="U4462" s="8">
        <f>IF(AND(V4462=1,D4462&lt;&gt;""),IF(D4462&gt;=corte,TODAY()-D4462,""),"")</f>
        <v/>
      </c>
      <c r="V4462" s="8">
        <f>IF(D4462="",0,IF(OR(AND(P4462&lt;&gt;"",S4462=""),AND(N(J4462)&gt;0,N(K4462)&lt;J4462),OR(M4462="PENDENTE",M4462="PARCIAL"),OR(N4462="PENDENTE",N4462="PARCIAL")),1,0))</f>
        <v/>
      </c>
      <c r="W4462" s="8">
        <f>IF(AND(V4462=1,D4462&lt;&gt;""),IF(D4462&gt;=corte,(B4462="CRÍTICO")*1E9+(100000-D4462)*10000+10000-ROW(),""),"")</f>
        <v/>
      </c>
      <c r="X4462" s="8">
        <f>IF(AND(V4462=1,D4462=pas_data,E4462=pas_turno),10000-ROW(),"")</f>
        <v/>
      </c>
    </row>
    <row r="4463">
      <c r="A4463" s="3">
        <f>IF(D4463="","","TT-"&amp;TEXT(ROW()-1,"00000"))</f>
        <v/>
      </c>
      <c r="B4463" s="3">
        <f>IF(D4463="","",IF(V4463=0,"CONCLUÍDO",IF(D4463&lt;corte,"HISTÓRICO",IF(OR(AND(ISNUMBER(R4463),R4463&lt;TODAY()),AND(OR(N4463="PENDENTE",N4463="PARCIAL"),D4463&lt;TODAY()-1)),"CRÍTICO",IF(OR(AND(P4463&lt;&gt;"",S4463=""),AND(N4463="REALIZADO",M4463="PENDENTE"),AND(ISNUMBER(R4463),R4463=TODAY())),"ATENÇÃO",IF(N(K4463)=0,"PENDENTE","EM ANDAMENTO"))))))</f>
        <v/>
      </c>
      <c r="C4463" s="3">
        <f>IF(D4463="","",IF(V4463=0,"🟢 OK",IF(D4463&lt;corte,"⚪ HISTÓRICO (sem baixa)",IF(AND(ISNUMBER(R4463),R4463&lt;TODAY()),"🔴 PRAZO VENCIDO",IF(AND(OR(N4463="PENDENTE",N4463="PARCIAL"),D4463&lt;TODAY()-1),"🔴 EMBARQUE ATRASADO",IF(AND(N4463="REALIZADO",M4463="PENDENTE"),"🟡 EMBARCADO SEM FATURAR",IF(AND(P4463&lt;&gt;"",S4463="",OR(Q4463="",R4463="")),"🟡 PENDÊNCIA SEM RESPONSÁVEL/PRAZO",IF(AND(ISNUMBER(R4463),R4463=TODAY()),"🟡 VENCE HOJE",IF(AND(P4463&lt;&gt;"",S4463=""),"🟡 PENDÊNCIA ABERTA",IF(AND(N(J4463)&gt;0,N(K4463)&lt;J4463),"🟡 FALTA EXECUTAR",IF(OR(M4463="PENDENTE",M4463="PARCIAL"),"🟡 FATURAMENTO PENDENTE","🟡 EMBARQUE PENDENTE")))))))))))</f>
        <v/>
      </c>
      <c r="D4463" s="4" t="n"/>
      <c r="E4463" s="5" t="n"/>
      <c r="F4463" s="5" t="n"/>
      <c r="G4463" s="5" t="n"/>
      <c r="H4463" s="5" t="n"/>
      <c r="I4463" s="5" t="n"/>
      <c r="J4463" s="6" t="n"/>
      <c r="K4463" s="6" t="n"/>
      <c r="L4463" s="7">
        <f>IF(OR(D4463="",N(J4463)=0),"",MIN(1,N(K4463)/J4463))</f>
        <v/>
      </c>
      <c r="M4463" s="5" t="n"/>
      <c r="N4463" s="5" t="n"/>
      <c r="O4463" s="5" t="n"/>
      <c r="P4463" s="5" t="n"/>
      <c r="Q4463" s="5" t="n"/>
      <c r="R4463" s="4" t="n"/>
      <c r="S4463" s="4" t="n"/>
      <c r="T4463" s="5" t="n"/>
      <c r="U4463" s="8">
        <f>IF(AND(V4463=1,D4463&lt;&gt;""),IF(D4463&gt;=corte,TODAY()-D4463,""),"")</f>
        <v/>
      </c>
      <c r="V4463" s="8">
        <f>IF(D4463="",0,IF(OR(AND(P4463&lt;&gt;"",S4463=""),AND(N(J4463)&gt;0,N(K4463)&lt;J4463),OR(M4463="PENDENTE",M4463="PARCIAL"),OR(N4463="PENDENTE",N4463="PARCIAL")),1,0))</f>
        <v/>
      </c>
      <c r="W4463" s="8">
        <f>IF(AND(V4463=1,D4463&lt;&gt;""),IF(D4463&gt;=corte,(B4463="CRÍTICO")*1E9+(100000-D4463)*10000+10000-ROW(),""),"")</f>
        <v/>
      </c>
      <c r="X4463" s="8">
        <f>IF(AND(V4463=1,D4463=pas_data,E4463=pas_turno),10000-ROW(),"")</f>
        <v/>
      </c>
    </row>
    <row r="4464">
      <c r="A4464" s="3">
        <f>IF(D4464="","","TT-"&amp;TEXT(ROW()-1,"00000"))</f>
        <v/>
      </c>
      <c r="B4464" s="3">
        <f>IF(D4464="","",IF(V4464=0,"CONCLUÍDO",IF(D4464&lt;corte,"HISTÓRICO",IF(OR(AND(ISNUMBER(R4464),R4464&lt;TODAY()),AND(OR(N4464="PENDENTE",N4464="PARCIAL"),D4464&lt;TODAY()-1)),"CRÍTICO",IF(OR(AND(P4464&lt;&gt;"",S4464=""),AND(N4464="REALIZADO",M4464="PENDENTE"),AND(ISNUMBER(R4464),R4464=TODAY())),"ATENÇÃO",IF(N(K4464)=0,"PENDENTE","EM ANDAMENTO"))))))</f>
        <v/>
      </c>
      <c r="C4464" s="3">
        <f>IF(D4464="","",IF(V4464=0,"🟢 OK",IF(D4464&lt;corte,"⚪ HISTÓRICO (sem baixa)",IF(AND(ISNUMBER(R4464),R4464&lt;TODAY()),"🔴 PRAZO VENCIDO",IF(AND(OR(N4464="PENDENTE",N4464="PARCIAL"),D4464&lt;TODAY()-1),"🔴 EMBARQUE ATRASADO",IF(AND(N4464="REALIZADO",M4464="PENDENTE"),"🟡 EMBARCADO SEM FATURAR",IF(AND(P4464&lt;&gt;"",S4464="",OR(Q4464="",R4464="")),"🟡 PENDÊNCIA SEM RESPONSÁVEL/PRAZO",IF(AND(ISNUMBER(R4464),R4464=TODAY()),"🟡 VENCE HOJE",IF(AND(P4464&lt;&gt;"",S4464=""),"🟡 PENDÊNCIA ABERTA",IF(AND(N(J4464)&gt;0,N(K4464)&lt;J4464),"🟡 FALTA EXECUTAR",IF(OR(M4464="PENDENTE",M4464="PARCIAL"),"🟡 FATURAMENTO PENDENTE","🟡 EMBARQUE PENDENTE")))))))))))</f>
        <v/>
      </c>
      <c r="D4464" s="4" t="n"/>
      <c r="E4464" s="5" t="n"/>
      <c r="F4464" s="5" t="n"/>
      <c r="G4464" s="5" t="n"/>
      <c r="H4464" s="5" t="n"/>
      <c r="I4464" s="5" t="n"/>
      <c r="J4464" s="6" t="n"/>
      <c r="K4464" s="6" t="n"/>
      <c r="L4464" s="7">
        <f>IF(OR(D4464="",N(J4464)=0),"",MIN(1,N(K4464)/J4464))</f>
        <v/>
      </c>
      <c r="M4464" s="5" t="n"/>
      <c r="N4464" s="5" t="n"/>
      <c r="O4464" s="5" t="n"/>
      <c r="P4464" s="5" t="n"/>
      <c r="Q4464" s="5" t="n"/>
      <c r="R4464" s="4" t="n"/>
      <c r="S4464" s="4" t="n"/>
      <c r="T4464" s="5" t="n"/>
      <c r="U4464" s="8">
        <f>IF(AND(V4464=1,D4464&lt;&gt;""),IF(D4464&gt;=corte,TODAY()-D4464,""),"")</f>
        <v/>
      </c>
      <c r="V4464" s="8">
        <f>IF(D4464="",0,IF(OR(AND(P4464&lt;&gt;"",S4464=""),AND(N(J4464)&gt;0,N(K4464)&lt;J4464),OR(M4464="PENDENTE",M4464="PARCIAL"),OR(N4464="PENDENTE",N4464="PARCIAL")),1,0))</f>
        <v/>
      </c>
      <c r="W4464" s="8">
        <f>IF(AND(V4464=1,D4464&lt;&gt;""),IF(D4464&gt;=corte,(B4464="CRÍTICO")*1E9+(100000-D4464)*10000+10000-ROW(),""),"")</f>
        <v/>
      </c>
      <c r="X4464" s="8">
        <f>IF(AND(V4464=1,D4464=pas_data,E4464=pas_turno),10000-ROW(),"")</f>
        <v/>
      </c>
    </row>
    <row r="4465">
      <c r="A4465" s="3">
        <f>IF(D4465="","","TT-"&amp;TEXT(ROW()-1,"00000"))</f>
        <v/>
      </c>
      <c r="B4465" s="3">
        <f>IF(D4465="","",IF(V4465=0,"CONCLUÍDO",IF(D4465&lt;corte,"HISTÓRICO",IF(OR(AND(ISNUMBER(R4465),R4465&lt;TODAY()),AND(OR(N4465="PENDENTE",N4465="PARCIAL"),D4465&lt;TODAY()-1)),"CRÍTICO",IF(OR(AND(P4465&lt;&gt;"",S4465=""),AND(N4465="REALIZADO",M4465="PENDENTE"),AND(ISNUMBER(R4465),R4465=TODAY())),"ATENÇÃO",IF(N(K4465)=0,"PENDENTE","EM ANDAMENTO"))))))</f>
        <v/>
      </c>
      <c r="C4465" s="3">
        <f>IF(D4465="","",IF(V4465=0,"🟢 OK",IF(D4465&lt;corte,"⚪ HISTÓRICO (sem baixa)",IF(AND(ISNUMBER(R4465),R4465&lt;TODAY()),"🔴 PRAZO VENCIDO",IF(AND(OR(N4465="PENDENTE",N4465="PARCIAL"),D4465&lt;TODAY()-1),"🔴 EMBARQUE ATRASADO",IF(AND(N4465="REALIZADO",M4465="PENDENTE"),"🟡 EMBARCADO SEM FATURAR",IF(AND(P4465&lt;&gt;"",S4465="",OR(Q4465="",R4465="")),"🟡 PENDÊNCIA SEM RESPONSÁVEL/PRAZO",IF(AND(ISNUMBER(R4465),R4465=TODAY()),"🟡 VENCE HOJE",IF(AND(P4465&lt;&gt;"",S4465=""),"🟡 PENDÊNCIA ABERTA",IF(AND(N(J4465)&gt;0,N(K4465)&lt;J4465),"🟡 FALTA EXECUTAR",IF(OR(M4465="PENDENTE",M4465="PARCIAL"),"🟡 FATURAMENTO PENDENTE","🟡 EMBARQUE PENDENTE")))))))))))</f>
        <v/>
      </c>
      <c r="D4465" s="4" t="n"/>
      <c r="E4465" s="5" t="n"/>
      <c r="F4465" s="5" t="n"/>
      <c r="G4465" s="5" t="n"/>
      <c r="H4465" s="5" t="n"/>
      <c r="I4465" s="5" t="n"/>
      <c r="J4465" s="6" t="n"/>
      <c r="K4465" s="6" t="n"/>
      <c r="L4465" s="7">
        <f>IF(OR(D4465="",N(J4465)=0),"",MIN(1,N(K4465)/J4465))</f>
        <v/>
      </c>
      <c r="M4465" s="5" t="n"/>
      <c r="N4465" s="5" t="n"/>
      <c r="O4465" s="5" t="n"/>
      <c r="P4465" s="5" t="n"/>
      <c r="Q4465" s="5" t="n"/>
      <c r="R4465" s="4" t="n"/>
      <c r="S4465" s="4" t="n"/>
      <c r="T4465" s="5" t="n"/>
      <c r="U4465" s="8">
        <f>IF(AND(V4465=1,D4465&lt;&gt;""),IF(D4465&gt;=corte,TODAY()-D4465,""),"")</f>
        <v/>
      </c>
      <c r="V4465" s="8">
        <f>IF(D4465="",0,IF(OR(AND(P4465&lt;&gt;"",S4465=""),AND(N(J4465)&gt;0,N(K4465)&lt;J4465),OR(M4465="PENDENTE",M4465="PARCIAL"),OR(N4465="PENDENTE",N4465="PARCIAL")),1,0))</f>
        <v/>
      </c>
      <c r="W4465" s="8">
        <f>IF(AND(V4465=1,D4465&lt;&gt;""),IF(D4465&gt;=corte,(B4465="CRÍTICO")*1E9+(100000-D4465)*10000+10000-ROW(),""),"")</f>
        <v/>
      </c>
      <c r="X4465" s="8">
        <f>IF(AND(V4465=1,D4465=pas_data,E4465=pas_turno),10000-ROW(),"")</f>
        <v/>
      </c>
    </row>
    <row r="4466">
      <c r="A4466" s="3">
        <f>IF(D4466="","","TT-"&amp;TEXT(ROW()-1,"00000"))</f>
        <v/>
      </c>
      <c r="B4466" s="3">
        <f>IF(D4466="","",IF(V4466=0,"CONCLUÍDO",IF(D4466&lt;corte,"HISTÓRICO",IF(OR(AND(ISNUMBER(R4466),R4466&lt;TODAY()),AND(OR(N4466="PENDENTE",N4466="PARCIAL"),D4466&lt;TODAY()-1)),"CRÍTICO",IF(OR(AND(P4466&lt;&gt;"",S4466=""),AND(N4466="REALIZADO",M4466="PENDENTE"),AND(ISNUMBER(R4466),R4466=TODAY())),"ATENÇÃO",IF(N(K4466)=0,"PENDENTE","EM ANDAMENTO"))))))</f>
        <v/>
      </c>
      <c r="C4466" s="3">
        <f>IF(D4466="","",IF(V4466=0,"🟢 OK",IF(D4466&lt;corte,"⚪ HISTÓRICO (sem baixa)",IF(AND(ISNUMBER(R4466),R4466&lt;TODAY()),"🔴 PRAZO VENCIDO",IF(AND(OR(N4466="PENDENTE",N4466="PARCIAL"),D4466&lt;TODAY()-1),"🔴 EMBARQUE ATRASADO",IF(AND(N4466="REALIZADO",M4466="PENDENTE"),"🟡 EMBARCADO SEM FATURAR",IF(AND(P4466&lt;&gt;"",S4466="",OR(Q4466="",R4466="")),"🟡 PENDÊNCIA SEM RESPONSÁVEL/PRAZO",IF(AND(ISNUMBER(R4466),R4466=TODAY()),"🟡 VENCE HOJE",IF(AND(P4466&lt;&gt;"",S4466=""),"🟡 PENDÊNCIA ABERTA",IF(AND(N(J4466)&gt;0,N(K4466)&lt;J4466),"🟡 FALTA EXECUTAR",IF(OR(M4466="PENDENTE",M4466="PARCIAL"),"🟡 FATURAMENTO PENDENTE","🟡 EMBARQUE PENDENTE")))))))))))</f>
        <v/>
      </c>
      <c r="D4466" s="4" t="n"/>
      <c r="E4466" s="5" t="n"/>
      <c r="F4466" s="5" t="n"/>
      <c r="G4466" s="5" t="n"/>
      <c r="H4466" s="5" t="n"/>
      <c r="I4466" s="5" t="n"/>
      <c r="J4466" s="6" t="n"/>
      <c r="K4466" s="6" t="n"/>
      <c r="L4466" s="7">
        <f>IF(OR(D4466="",N(J4466)=0),"",MIN(1,N(K4466)/J4466))</f>
        <v/>
      </c>
      <c r="M4466" s="5" t="n"/>
      <c r="N4466" s="5" t="n"/>
      <c r="O4466" s="5" t="n"/>
      <c r="P4466" s="5" t="n"/>
      <c r="Q4466" s="5" t="n"/>
      <c r="R4466" s="4" t="n"/>
      <c r="S4466" s="4" t="n"/>
      <c r="T4466" s="5" t="n"/>
      <c r="U4466" s="8">
        <f>IF(AND(V4466=1,D4466&lt;&gt;""),IF(D4466&gt;=corte,TODAY()-D4466,""),"")</f>
        <v/>
      </c>
      <c r="V4466" s="8">
        <f>IF(D4466="",0,IF(OR(AND(P4466&lt;&gt;"",S4466=""),AND(N(J4466)&gt;0,N(K4466)&lt;J4466),OR(M4466="PENDENTE",M4466="PARCIAL"),OR(N4466="PENDENTE",N4466="PARCIAL")),1,0))</f>
        <v/>
      </c>
      <c r="W4466" s="8">
        <f>IF(AND(V4466=1,D4466&lt;&gt;""),IF(D4466&gt;=corte,(B4466="CRÍTICO")*1E9+(100000-D4466)*10000+10000-ROW(),""),"")</f>
        <v/>
      </c>
      <c r="X4466" s="8">
        <f>IF(AND(V4466=1,D4466=pas_data,E4466=pas_turno),10000-ROW(),"")</f>
        <v/>
      </c>
    </row>
    <row r="4467">
      <c r="A4467" s="3">
        <f>IF(D4467="","","TT-"&amp;TEXT(ROW()-1,"00000"))</f>
        <v/>
      </c>
      <c r="B4467" s="3">
        <f>IF(D4467="","",IF(V4467=0,"CONCLUÍDO",IF(D4467&lt;corte,"HISTÓRICO",IF(OR(AND(ISNUMBER(R4467),R4467&lt;TODAY()),AND(OR(N4467="PENDENTE",N4467="PARCIAL"),D4467&lt;TODAY()-1)),"CRÍTICO",IF(OR(AND(P4467&lt;&gt;"",S4467=""),AND(N4467="REALIZADO",M4467="PENDENTE"),AND(ISNUMBER(R4467),R4467=TODAY())),"ATENÇÃO",IF(N(K4467)=0,"PENDENTE","EM ANDAMENTO"))))))</f>
        <v/>
      </c>
      <c r="C4467" s="3">
        <f>IF(D4467="","",IF(V4467=0,"🟢 OK",IF(D4467&lt;corte,"⚪ HISTÓRICO (sem baixa)",IF(AND(ISNUMBER(R4467),R4467&lt;TODAY()),"🔴 PRAZO VENCIDO",IF(AND(OR(N4467="PENDENTE",N4467="PARCIAL"),D4467&lt;TODAY()-1),"🔴 EMBARQUE ATRASADO",IF(AND(N4467="REALIZADO",M4467="PENDENTE"),"🟡 EMBARCADO SEM FATURAR",IF(AND(P4467&lt;&gt;"",S4467="",OR(Q4467="",R4467="")),"🟡 PENDÊNCIA SEM RESPONSÁVEL/PRAZO",IF(AND(ISNUMBER(R4467),R4467=TODAY()),"🟡 VENCE HOJE",IF(AND(P4467&lt;&gt;"",S4467=""),"🟡 PENDÊNCIA ABERTA",IF(AND(N(J4467)&gt;0,N(K4467)&lt;J4467),"🟡 FALTA EXECUTAR",IF(OR(M4467="PENDENTE",M4467="PARCIAL"),"🟡 FATURAMENTO PENDENTE","🟡 EMBARQUE PENDENTE")))))))))))</f>
        <v/>
      </c>
      <c r="D4467" s="4" t="n"/>
      <c r="E4467" s="5" t="n"/>
      <c r="F4467" s="5" t="n"/>
      <c r="G4467" s="5" t="n"/>
      <c r="H4467" s="5" t="n"/>
      <c r="I4467" s="5" t="n"/>
      <c r="J4467" s="6" t="n"/>
      <c r="K4467" s="6" t="n"/>
      <c r="L4467" s="7">
        <f>IF(OR(D4467="",N(J4467)=0),"",MIN(1,N(K4467)/J4467))</f>
        <v/>
      </c>
      <c r="M4467" s="5" t="n"/>
      <c r="N4467" s="5" t="n"/>
      <c r="O4467" s="5" t="n"/>
      <c r="P4467" s="5" t="n"/>
      <c r="Q4467" s="5" t="n"/>
      <c r="R4467" s="4" t="n"/>
      <c r="S4467" s="4" t="n"/>
      <c r="T4467" s="5" t="n"/>
      <c r="U4467" s="8">
        <f>IF(AND(V4467=1,D4467&lt;&gt;""),IF(D4467&gt;=corte,TODAY()-D4467,""),"")</f>
        <v/>
      </c>
      <c r="V4467" s="8">
        <f>IF(D4467="",0,IF(OR(AND(P4467&lt;&gt;"",S4467=""),AND(N(J4467)&gt;0,N(K4467)&lt;J4467),OR(M4467="PENDENTE",M4467="PARCIAL"),OR(N4467="PENDENTE",N4467="PARCIAL")),1,0))</f>
        <v/>
      </c>
      <c r="W4467" s="8">
        <f>IF(AND(V4467=1,D4467&lt;&gt;""),IF(D4467&gt;=corte,(B4467="CRÍTICO")*1E9+(100000-D4467)*10000+10000-ROW(),""),"")</f>
        <v/>
      </c>
      <c r="X4467" s="8">
        <f>IF(AND(V4467=1,D4467=pas_data,E4467=pas_turno),10000-ROW(),"")</f>
        <v/>
      </c>
    </row>
    <row r="4468">
      <c r="A4468" s="3">
        <f>IF(D4468="","","TT-"&amp;TEXT(ROW()-1,"00000"))</f>
        <v/>
      </c>
      <c r="B4468" s="3">
        <f>IF(D4468="","",IF(V4468=0,"CONCLUÍDO",IF(D4468&lt;corte,"HISTÓRICO",IF(OR(AND(ISNUMBER(R4468),R4468&lt;TODAY()),AND(OR(N4468="PENDENTE",N4468="PARCIAL"),D4468&lt;TODAY()-1)),"CRÍTICO",IF(OR(AND(P4468&lt;&gt;"",S4468=""),AND(N4468="REALIZADO",M4468="PENDENTE"),AND(ISNUMBER(R4468),R4468=TODAY())),"ATENÇÃO",IF(N(K4468)=0,"PENDENTE","EM ANDAMENTO"))))))</f>
        <v/>
      </c>
      <c r="C4468" s="3">
        <f>IF(D4468="","",IF(V4468=0,"🟢 OK",IF(D4468&lt;corte,"⚪ HISTÓRICO (sem baixa)",IF(AND(ISNUMBER(R4468),R4468&lt;TODAY()),"🔴 PRAZO VENCIDO",IF(AND(OR(N4468="PENDENTE",N4468="PARCIAL"),D4468&lt;TODAY()-1),"🔴 EMBARQUE ATRASADO",IF(AND(N4468="REALIZADO",M4468="PENDENTE"),"🟡 EMBARCADO SEM FATURAR",IF(AND(P4468&lt;&gt;"",S4468="",OR(Q4468="",R4468="")),"🟡 PENDÊNCIA SEM RESPONSÁVEL/PRAZO",IF(AND(ISNUMBER(R4468),R4468=TODAY()),"🟡 VENCE HOJE",IF(AND(P4468&lt;&gt;"",S4468=""),"🟡 PENDÊNCIA ABERTA",IF(AND(N(J4468)&gt;0,N(K4468)&lt;J4468),"🟡 FALTA EXECUTAR",IF(OR(M4468="PENDENTE",M4468="PARCIAL"),"🟡 FATURAMENTO PENDENTE","🟡 EMBARQUE PENDENTE")))))))))))</f>
        <v/>
      </c>
      <c r="D4468" s="4" t="n"/>
      <c r="E4468" s="5" t="n"/>
      <c r="F4468" s="5" t="n"/>
      <c r="G4468" s="5" t="n"/>
      <c r="H4468" s="5" t="n"/>
      <c r="I4468" s="5" t="n"/>
      <c r="J4468" s="6" t="n"/>
      <c r="K4468" s="6" t="n"/>
      <c r="L4468" s="7">
        <f>IF(OR(D4468="",N(J4468)=0),"",MIN(1,N(K4468)/J4468))</f>
        <v/>
      </c>
      <c r="M4468" s="5" t="n"/>
      <c r="N4468" s="5" t="n"/>
      <c r="O4468" s="5" t="n"/>
      <c r="P4468" s="5" t="n"/>
      <c r="Q4468" s="5" t="n"/>
      <c r="R4468" s="4" t="n"/>
      <c r="S4468" s="4" t="n"/>
      <c r="T4468" s="5" t="n"/>
      <c r="U4468" s="8">
        <f>IF(AND(V4468=1,D4468&lt;&gt;""),IF(D4468&gt;=corte,TODAY()-D4468,""),"")</f>
        <v/>
      </c>
      <c r="V4468" s="8">
        <f>IF(D4468="",0,IF(OR(AND(P4468&lt;&gt;"",S4468=""),AND(N(J4468)&gt;0,N(K4468)&lt;J4468),OR(M4468="PENDENTE",M4468="PARCIAL"),OR(N4468="PENDENTE",N4468="PARCIAL")),1,0))</f>
        <v/>
      </c>
      <c r="W4468" s="8">
        <f>IF(AND(V4468=1,D4468&lt;&gt;""),IF(D4468&gt;=corte,(B4468="CRÍTICO")*1E9+(100000-D4468)*10000+10000-ROW(),""),"")</f>
        <v/>
      </c>
      <c r="X4468" s="8">
        <f>IF(AND(V4468=1,D4468=pas_data,E4468=pas_turno),10000-ROW(),"")</f>
        <v/>
      </c>
    </row>
    <row r="4469">
      <c r="A4469" s="3">
        <f>IF(D4469="","","TT-"&amp;TEXT(ROW()-1,"00000"))</f>
        <v/>
      </c>
      <c r="B4469" s="3">
        <f>IF(D4469="","",IF(V4469=0,"CONCLUÍDO",IF(D4469&lt;corte,"HISTÓRICO",IF(OR(AND(ISNUMBER(R4469),R4469&lt;TODAY()),AND(OR(N4469="PENDENTE",N4469="PARCIAL"),D4469&lt;TODAY()-1)),"CRÍTICO",IF(OR(AND(P4469&lt;&gt;"",S4469=""),AND(N4469="REALIZADO",M4469="PENDENTE"),AND(ISNUMBER(R4469),R4469=TODAY())),"ATENÇÃO",IF(N(K4469)=0,"PENDENTE","EM ANDAMENTO"))))))</f>
        <v/>
      </c>
      <c r="C4469" s="3">
        <f>IF(D4469="","",IF(V4469=0,"🟢 OK",IF(D4469&lt;corte,"⚪ HISTÓRICO (sem baixa)",IF(AND(ISNUMBER(R4469),R4469&lt;TODAY()),"🔴 PRAZO VENCIDO",IF(AND(OR(N4469="PENDENTE",N4469="PARCIAL"),D4469&lt;TODAY()-1),"🔴 EMBARQUE ATRASADO",IF(AND(N4469="REALIZADO",M4469="PENDENTE"),"🟡 EMBARCADO SEM FATURAR",IF(AND(P4469&lt;&gt;"",S4469="",OR(Q4469="",R4469="")),"🟡 PENDÊNCIA SEM RESPONSÁVEL/PRAZO",IF(AND(ISNUMBER(R4469),R4469=TODAY()),"🟡 VENCE HOJE",IF(AND(P4469&lt;&gt;"",S4469=""),"🟡 PENDÊNCIA ABERTA",IF(AND(N(J4469)&gt;0,N(K4469)&lt;J4469),"🟡 FALTA EXECUTAR",IF(OR(M4469="PENDENTE",M4469="PARCIAL"),"🟡 FATURAMENTO PENDENTE","🟡 EMBARQUE PENDENTE")))))))))))</f>
        <v/>
      </c>
      <c r="D4469" s="4" t="n"/>
      <c r="E4469" s="5" t="n"/>
      <c r="F4469" s="5" t="n"/>
      <c r="G4469" s="5" t="n"/>
      <c r="H4469" s="5" t="n"/>
      <c r="I4469" s="5" t="n"/>
      <c r="J4469" s="6" t="n"/>
      <c r="K4469" s="6" t="n"/>
      <c r="L4469" s="7">
        <f>IF(OR(D4469="",N(J4469)=0),"",MIN(1,N(K4469)/J4469))</f>
        <v/>
      </c>
      <c r="M4469" s="5" t="n"/>
      <c r="N4469" s="5" t="n"/>
      <c r="O4469" s="5" t="n"/>
      <c r="P4469" s="5" t="n"/>
      <c r="Q4469" s="5" t="n"/>
      <c r="R4469" s="4" t="n"/>
      <c r="S4469" s="4" t="n"/>
      <c r="T4469" s="5" t="n"/>
      <c r="U4469" s="8">
        <f>IF(AND(V4469=1,D4469&lt;&gt;""),IF(D4469&gt;=corte,TODAY()-D4469,""),"")</f>
        <v/>
      </c>
      <c r="V4469" s="8">
        <f>IF(D4469="",0,IF(OR(AND(P4469&lt;&gt;"",S4469=""),AND(N(J4469)&gt;0,N(K4469)&lt;J4469),OR(M4469="PENDENTE",M4469="PARCIAL"),OR(N4469="PENDENTE",N4469="PARCIAL")),1,0))</f>
        <v/>
      </c>
      <c r="W4469" s="8">
        <f>IF(AND(V4469=1,D4469&lt;&gt;""),IF(D4469&gt;=corte,(B4469="CRÍTICO")*1E9+(100000-D4469)*10000+10000-ROW(),""),"")</f>
        <v/>
      </c>
      <c r="X4469" s="8">
        <f>IF(AND(V4469=1,D4469=pas_data,E4469=pas_turno),10000-ROW(),"")</f>
        <v/>
      </c>
    </row>
    <row r="4470">
      <c r="A4470" s="3">
        <f>IF(D4470="","","TT-"&amp;TEXT(ROW()-1,"00000"))</f>
        <v/>
      </c>
      <c r="B4470" s="3">
        <f>IF(D4470="","",IF(V4470=0,"CONCLUÍDO",IF(D4470&lt;corte,"HISTÓRICO",IF(OR(AND(ISNUMBER(R4470),R4470&lt;TODAY()),AND(OR(N4470="PENDENTE",N4470="PARCIAL"),D4470&lt;TODAY()-1)),"CRÍTICO",IF(OR(AND(P4470&lt;&gt;"",S4470=""),AND(N4470="REALIZADO",M4470="PENDENTE"),AND(ISNUMBER(R4470),R4470=TODAY())),"ATENÇÃO",IF(N(K4470)=0,"PENDENTE","EM ANDAMENTO"))))))</f>
        <v/>
      </c>
      <c r="C4470" s="3">
        <f>IF(D4470="","",IF(V4470=0,"🟢 OK",IF(D4470&lt;corte,"⚪ HISTÓRICO (sem baixa)",IF(AND(ISNUMBER(R4470),R4470&lt;TODAY()),"🔴 PRAZO VENCIDO",IF(AND(OR(N4470="PENDENTE",N4470="PARCIAL"),D4470&lt;TODAY()-1),"🔴 EMBARQUE ATRASADO",IF(AND(N4470="REALIZADO",M4470="PENDENTE"),"🟡 EMBARCADO SEM FATURAR",IF(AND(P4470&lt;&gt;"",S4470="",OR(Q4470="",R4470="")),"🟡 PENDÊNCIA SEM RESPONSÁVEL/PRAZO",IF(AND(ISNUMBER(R4470),R4470=TODAY()),"🟡 VENCE HOJE",IF(AND(P4470&lt;&gt;"",S4470=""),"🟡 PENDÊNCIA ABERTA",IF(AND(N(J4470)&gt;0,N(K4470)&lt;J4470),"🟡 FALTA EXECUTAR",IF(OR(M4470="PENDENTE",M4470="PARCIAL"),"🟡 FATURAMENTO PENDENTE","🟡 EMBARQUE PENDENTE")))))))))))</f>
        <v/>
      </c>
      <c r="D4470" s="4" t="n"/>
      <c r="E4470" s="5" t="n"/>
      <c r="F4470" s="5" t="n"/>
      <c r="G4470" s="5" t="n"/>
      <c r="H4470" s="5" t="n"/>
      <c r="I4470" s="5" t="n"/>
      <c r="J4470" s="6" t="n"/>
      <c r="K4470" s="6" t="n"/>
      <c r="L4470" s="7">
        <f>IF(OR(D4470="",N(J4470)=0),"",MIN(1,N(K4470)/J4470))</f>
        <v/>
      </c>
      <c r="M4470" s="5" t="n"/>
      <c r="N4470" s="5" t="n"/>
      <c r="O4470" s="5" t="n"/>
      <c r="P4470" s="5" t="n"/>
      <c r="Q4470" s="5" t="n"/>
      <c r="R4470" s="4" t="n"/>
      <c r="S4470" s="4" t="n"/>
      <c r="T4470" s="5" t="n"/>
      <c r="U4470" s="8">
        <f>IF(AND(V4470=1,D4470&lt;&gt;""),IF(D4470&gt;=corte,TODAY()-D4470,""),"")</f>
        <v/>
      </c>
      <c r="V4470" s="8">
        <f>IF(D4470="",0,IF(OR(AND(P4470&lt;&gt;"",S4470=""),AND(N(J4470)&gt;0,N(K4470)&lt;J4470),OR(M4470="PENDENTE",M4470="PARCIAL"),OR(N4470="PENDENTE",N4470="PARCIAL")),1,0))</f>
        <v/>
      </c>
      <c r="W4470" s="8">
        <f>IF(AND(V4470=1,D4470&lt;&gt;""),IF(D4470&gt;=corte,(B4470="CRÍTICO")*1E9+(100000-D4470)*10000+10000-ROW(),""),"")</f>
        <v/>
      </c>
      <c r="X4470" s="8">
        <f>IF(AND(V4470=1,D4470=pas_data,E4470=pas_turno),10000-ROW(),"")</f>
        <v/>
      </c>
    </row>
    <row r="4471">
      <c r="A4471" s="3">
        <f>IF(D4471="","","TT-"&amp;TEXT(ROW()-1,"00000"))</f>
        <v/>
      </c>
      <c r="B4471" s="3">
        <f>IF(D4471="","",IF(V4471=0,"CONCLUÍDO",IF(D4471&lt;corte,"HISTÓRICO",IF(OR(AND(ISNUMBER(R4471),R4471&lt;TODAY()),AND(OR(N4471="PENDENTE",N4471="PARCIAL"),D4471&lt;TODAY()-1)),"CRÍTICO",IF(OR(AND(P4471&lt;&gt;"",S4471=""),AND(N4471="REALIZADO",M4471="PENDENTE"),AND(ISNUMBER(R4471),R4471=TODAY())),"ATENÇÃO",IF(N(K4471)=0,"PENDENTE","EM ANDAMENTO"))))))</f>
        <v/>
      </c>
      <c r="C4471" s="3">
        <f>IF(D4471="","",IF(V4471=0,"🟢 OK",IF(D4471&lt;corte,"⚪ HISTÓRICO (sem baixa)",IF(AND(ISNUMBER(R4471),R4471&lt;TODAY()),"🔴 PRAZO VENCIDO",IF(AND(OR(N4471="PENDENTE",N4471="PARCIAL"),D4471&lt;TODAY()-1),"🔴 EMBARQUE ATRASADO",IF(AND(N4471="REALIZADO",M4471="PENDENTE"),"🟡 EMBARCADO SEM FATURAR",IF(AND(P4471&lt;&gt;"",S4471="",OR(Q4471="",R4471="")),"🟡 PENDÊNCIA SEM RESPONSÁVEL/PRAZO",IF(AND(ISNUMBER(R4471),R4471=TODAY()),"🟡 VENCE HOJE",IF(AND(P4471&lt;&gt;"",S4471=""),"🟡 PENDÊNCIA ABERTA",IF(AND(N(J4471)&gt;0,N(K4471)&lt;J4471),"🟡 FALTA EXECUTAR",IF(OR(M4471="PENDENTE",M4471="PARCIAL"),"🟡 FATURAMENTO PENDENTE","🟡 EMBARQUE PENDENTE")))))))))))</f>
        <v/>
      </c>
      <c r="D4471" s="4" t="n"/>
      <c r="E4471" s="5" t="n"/>
      <c r="F4471" s="5" t="n"/>
      <c r="G4471" s="5" t="n"/>
      <c r="H4471" s="5" t="n"/>
      <c r="I4471" s="5" t="n"/>
      <c r="J4471" s="6" t="n"/>
      <c r="K4471" s="6" t="n"/>
      <c r="L4471" s="7">
        <f>IF(OR(D4471="",N(J4471)=0),"",MIN(1,N(K4471)/J4471))</f>
        <v/>
      </c>
      <c r="M4471" s="5" t="n"/>
      <c r="N4471" s="5" t="n"/>
      <c r="O4471" s="5" t="n"/>
      <c r="P4471" s="5" t="n"/>
      <c r="Q4471" s="5" t="n"/>
      <c r="R4471" s="4" t="n"/>
      <c r="S4471" s="4" t="n"/>
      <c r="T4471" s="5" t="n"/>
      <c r="U4471" s="8">
        <f>IF(AND(V4471=1,D4471&lt;&gt;""),IF(D4471&gt;=corte,TODAY()-D4471,""),"")</f>
        <v/>
      </c>
      <c r="V4471" s="8">
        <f>IF(D4471="",0,IF(OR(AND(P4471&lt;&gt;"",S4471=""),AND(N(J4471)&gt;0,N(K4471)&lt;J4471),OR(M4471="PENDENTE",M4471="PARCIAL"),OR(N4471="PENDENTE",N4471="PARCIAL")),1,0))</f>
        <v/>
      </c>
      <c r="W4471" s="8">
        <f>IF(AND(V4471=1,D4471&lt;&gt;""),IF(D4471&gt;=corte,(B4471="CRÍTICO")*1E9+(100000-D4471)*10000+10000-ROW(),""),"")</f>
        <v/>
      </c>
      <c r="X4471" s="8">
        <f>IF(AND(V4471=1,D4471=pas_data,E4471=pas_turno),10000-ROW(),"")</f>
        <v/>
      </c>
    </row>
    <row r="4472">
      <c r="A4472" s="3">
        <f>IF(D4472="","","TT-"&amp;TEXT(ROW()-1,"00000"))</f>
        <v/>
      </c>
      <c r="B4472" s="3">
        <f>IF(D4472="","",IF(V4472=0,"CONCLUÍDO",IF(D4472&lt;corte,"HISTÓRICO",IF(OR(AND(ISNUMBER(R4472),R4472&lt;TODAY()),AND(OR(N4472="PENDENTE",N4472="PARCIAL"),D4472&lt;TODAY()-1)),"CRÍTICO",IF(OR(AND(P4472&lt;&gt;"",S4472=""),AND(N4472="REALIZADO",M4472="PENDENTE"),AND(ISNUMBER(R4472),R4472=TODAY())),"ATENÇÃO",IF(N(K4472)=0,"PENDENTE","EM ANDAMENTO"))))))</f>
        <v/>
      </c>
      <c r="C4472" s="3">
        <f>IF(D4472="","",IF(V4472=0,"🟢 OK",IF(D4472&lt;corte,"⚪ HISTÓRICO (sem baixa)",IF(AND(ISNUMBER(R4472),R4472&lt;TODAY()),"🔴 PRAZO VENCIDO",IF(AND(OR(N4472="PENDENTE",N4472="PARCIAL"),D4472&lt;TODAY()-1),"🔴 EMBARQUE ATRASADO",IF(AND(N4472="REALIZADO",M4472="PENDENTE"),"🟡 EMBARCADO SEM FATURAR",IF(AND(P4472&lt;&gt;"",S4472="",OR(Q4472="",R4472="")),"🟡 PENDÊNCIA SEM RESPONSÁVEL/PRAZO",IF(AND(ISNUMBER(R4472),R4472=TODAY()),"🟡 VENCE HOJE",IF(AND(P4472&lt;&gt;"",S4472=""),"🟡 PENDÊNCIA ABERTA",IF(AND(N(J4472)&gt;0,N(K4472)&lt;J4472),"🟡 FALTA EXECUTAR",IF(OR(M4472="PENDENTE",M4472="PARCIAL"),"🟡 FATURAMENTO PENDENTE","🟡 EMBARQUE PENDENTE")))))))))))</f>
        <v/>
      </c>
      <c r="D4472" s="4" t="n"/>
      <c r="E4472" s="5" t="n"/>
      <c r="F4472" s="5" t="n"/>
      <c r="G4472" s="5" t="n"/>
      <c r="H4472" s="5" t="n"/>
      <c r="I4472" s="5" t="n"/>
      <c r="J4472" s="6" t="n"/>
      <c r="K4472" s="6" t="n"/>
      <c r="L4472" s="7">
        <f>IF(OR(D4472="",N(J4472)=0),"",MIN(1,N(K4472)/J4472))</f>
        <v/>
      </c>
      <c r="M4472" s="5" t="n"/>
      <c r="N4472" s="5" t="n"/>
      <c r="O4472" s="5" t="n"/>
      <c r="P4472" s="5" t="n"/>
      <c r="Q4472" s="5" t="n"/>
      <c r="R4472" s="4" t="n"/>
      <c r="S4472" s="4" t="n"/>
      <c r="T4472" s="5" t="n"/>
      <c r="U4472" s="8">
        <f>IF(AND(V4472=1,D4472&lt;&gt;""),IF(D4472&gt;=corte,TODAY()-D4472,""),"")</f>
        <v/>
      </c>
      <c r="V4472" s="8">
        <f>IF(D4472="",0,IF(OR(AND(P4472&lt;&gt;"",S4472=""),AND(N(J4472)&gt;0,N(K4472)&lt;J4472),OR(M4472="PENDENTE",M4472="PARCIAL"),OR(N4472="PENDENTE",N4472="PARCIAL")),1,0))</f>
        <v/>
      </c>
      <c r="W4472" s="8">
        <f>IF(AND(V4472=1,D4472&lt;&gt;""),IF(D4472&gt;=corte,(B4472="CRÍTICO")*1E9+(100000-D4472)*10000+10000-ROW(),""),"")</f>
        <v/>
      </c>
      <c r="X4472" s="8">
        <f>IF(AND(V4472=1,D4472=pas_data,E4472=pas_turno),10000-ROW(),"")</f>
        <v/>
      </c>
    </row>
    <row r="4473">
      <c r="A4473" s="3">
        <f>IF(D4473="","","TT-"&amp;TEXT(ROW()-1,"00000"))</f>
        <v/>
      </c>
      <c r="B4473" s="3">
        <f>IF(D4473="","",IF(V4473=0,"CONCLUÍDO",IF(D4473&lt;corte,"HISTÓRICO",IF(OR(AND(ISNUMBER(R4473),R4473&lt;TODAY()),AND(OR(N4473="PENDENTE",N4473="PARCIAL"),D4473&lt;TODAY()-1)),"CRÍTICO",IF(OR(AND(P4473&lt;&gt;"",S4473=""),AND(N4473="REALIZADO",M4473="PENDENTE"),AND(ISNUMBER(R4473),R4473=TODAY())),"ATENÇÃO",IF(N(K4473)=0,"PENDENTE","EM ANDAMENTO"))))))</f>
        <v/>
      </c>
      <c r="C4473" s="3">
        <f>IF(D4473="","",IF(V4473=0,"🟢 OK",IF(D4473&lt;corte,"⚪ HISTÓRICO (sem baixa)",IF(AND(ISNUMBER(R4473),R4473&lt;TODAY()),"🔴 PRAZO VENCIDO",IF(AND(OR(N4473="PENDENTE",N4473="PARCIAL"),D4473&lt;TODAY()-1),"🔴 EMBARQUE ATRASADO",IF(AND(N4473="REALIZADO",M4473="PENDENTE"),"🟡 EMBARCADO SEM FATURAR",IF(AND(P4473&lt;&gt;"",S4473="",OR(Q4473="",R4473="")),"🟡 PENDÊNCIA SEM RESPONSÁVEL/PRAZO",IF(AND(ISNUMBER(R4473),R4473=TODAY()),"🟡 VENCE HOJE",IF(AND(P4473&lt;&gt;"",S4473=""),"🟡 PENDÊNCIA ABERTA",IF(AND(N(J4473)&gt;0,N(K4473)&lt;J4473),"🟡 FALTA EXECUTAR",IF(OR(M4473="PENDENTE",M4473="PARCIAL"),"🟡 FATURAMENTO PENDENTE","🟡 EMBARQUE PENDENTE")))))))))))</f>
        <v/>
      </c>
      <c r="D4473" s="4" t="n"/>
      <c r="E4473" s="5" t="n"/>
      <c r="F4473" s="5" t="n"/>
      <c r="G4473" s="5" t="n"/>
      <c r="H4473" s="5" t="n"/>
      <c r="I4473" s="5" t="n"/>
      <c r="J4473" s="6" t="n"/>
      <c r="K4473" s="6" t="n"/>
      <c r="L4473" s="7">
        <f>IF(OR(D4473="",N(J4473)=0),"",MIN(1,N(K4473)/J4473))</f>
        <v/>
      </c>
      <c r="M4473" s="5" t="n"/>
      <c r="N4473" s="5" t="n"/>
      <c r="O4473" s="5" t="n"/>
      <c r="P4473" s="5" t="n"/>
      <c r="Q4473" s="5" t="n"/>
      <c r="R4473" s="4" t="n"/>
      <c r="S4473" s="4" t="n"/>
      <c r="T4473" s="5" t="n"/>
      <c r="U4473" s="8">
        <f>IF(AND(V4473=1,D4473&lt;&gt;""),IF(D4473&gt;=corte,TODAY()-D4473,""),"")</f>
        <v/>
      </c>
      <c r="V4473" s="8">
        <f>IF(D4473="",0,IF(OR(AND(P4473&lt;&gt;"",S4473=""),AND(N(J4473)&gt;0,N(K4473)&lt;J4473),OR(M4473="PENDENTE",M4473="PARCIAL"),OR(N4473="PENDENTE",N4473="PARCIAL")),1,0))</f>
        <v/>
      </c>
      <c r="W4473" s="8">
        <f>IF(AND(V4473=1,D4473&lt;&gt;""),IF(D4473&gt;=corte,(B4473="CRÍTICO")*1E9+(100000-D4473)*10000+10000-ROW(),""),"")</f>
        <v/>
      </c>
      <c r="X4473" s="8">
        <f>IF(AND(V4473=1,D4473=pas_data,E4473=pas_turno),10000-ROW(),"")</f>
        <v/>
      </c>
    </row>
    <row r="4474">
      <c r="A4474" s="3">
        <f>IF(D4474="","","TT-"&amp;TEXT(ROW()-1,"00000"))</f>
        <v/>
      </c>
      <c r="B4474" s="3">
        <f>IF(D4474="","",IF(V4474=0,"CONCLUÍDO",IF(D4474&lt;corte,"HISTÓRICO",IF(OR(AND(ISNUMBER(R4474),R4474&lt;TODAY()),AND(OR(N4474="PENDENTE",N4474="PARCIAL"),D4474&lt;TODAY()-1)),"CRÍTICO",IF(OR(AND(P4474&lt;&gt;"",S4474=""),AND(N4474="REALIZADO",M4474="PENDENTE"),AND(ISNUMBER(R4474),R4474=TODAY())),"ATENÇÃO",IF(N(K4474)=0,"PENDENTE","EM ANDAMENTO"))))))</f>
        <v/>
      </c>
      <c r="C4474" s="3">
        <f>IF(D4474="","",IF(V4474=0,"🟢 OK",IF(D4474&lt;corte,"⚪ HISTÓRICO (sem baixa)",IF(AND(ISNUMBER(R4474),R4474&lt;TODAY()),"🔴 PRAZO VENCIDO",IF(AND(OR(N4474="PENDENTE",N4474="PARCIAL"),D4474&lt;TODAY()-1),"🔴 EMBARQUE ATRASADO",IF(AND(N4474="REALIZADO",M4474="PENDENTE"),"🟡 EMBARCADO SEM FATURAR",IF(AND(P4474&lt;&gt;"",S4474="",OR(Q4474="",R4474="")),"🟡 PENDÊNCIA SEM RESPONSÁVEL/PRAZO",IF(AND(ISNUMBER(R4474),R4474=TODAY()),"🟡 VENCE HOJE",IF(AND(P4474&lt;&gt;"",S4474=""),"🟡 PENDÊNCIA ABERTA",IF(AND(N(J4474)&gt;0,N(K4474)&lt;J4474),"🟡 FALTA EXECUTAR",IF(OR(M4474="PENDENTE",M4474="PARCIAL"),"🟡 FATURAMENTO PENDENTE","🟡 EMBARQUE PENDENTE")))))))))))</f>
        <v/>
      </c>
      <c r="D4474" s="4" t="n"/>
      <c r="E4474" s="5" t="n"/>
      <c r="F4474" s="5" t="n"/>
      <c r="G4474" s="5" t="n"/>
      <c r="H4474" s="5" t="n"/>
      <c r="I4474" s="5" t="n"/>
      <c r="J4474" s="6" t="n"/>
      <c r="K4474" s="6" t="n"/>
      <c r="L4474" s="7">
        <f>IF(OR(D4474="",N(J4474)=0),"",MIN(1,N(K4474)/J4474))</f>
        <v/>
      </c>
      <c r="M4474" s="5" t="n"/>
      <c r="N4474" s="5" t="n"/>
      <c r="O4474" s="5" t="n"/>
      <c r="P4474" s="5" t="n"/>
      <c r="Q4474" s="5" t="n"/>
      <c r="R4474" s="4" t="n"/>
      <c r="S4474" s="4" t="n"/>
      <c r="T4474" s="5" t="n"/>
      <c r="U4474" s="8">
        <f>IF(AND(V4474=1,D4474&lt;&gt;""),IF(D4474&gt;=corte,TODAY()-D4474,""),"")</f>
        <v/>
      </c>
      <c r="V4474" s="8">
        <f>IF(D4474="",0,IF(OR(AND(P4474&lt;&gt;"",S4474=""),AND(N(J4474)&gt;0,N(K4474)&lt;J4474),OR(M4474="PENDENTE",M4474="PARCIAL"),OR(N4474="PENDENTE",N4474="PARCIAL")),1,0))</f>
        <v/>
      </c>
      <c r="W4474" s="8">
        <f>IF(AND(V4474=1,D4474&lt;&gt;""),IF(D4474&gt;=corte,(B4474="CRÍTICO")*1E9+(100000-D4474)*10000+10000-ROW(),""),"")</f>
        <v/>
      </c>
      <c r="X4474" s="8">
        <f>IF(AND(V4474=1,D4474=pas_data,E4474=pas_turno),10000-ROW(),"")</f>
        <v/>
      </c>
    </row>
    <row r="4475">
      <c r="A4475" s="3">
        <f>IF(D4475="","","TT-"&amp;TEXT(ROW()-1,"00000"))</f>
        <v/>
      </c>
      <c r="B4475" s="3">
        <f>IF(D4475="","",IF(V4475=0,"CONCLUÍDO",IF(D4475&lt;corte,"HISTÓRICO",IF(OR(AND(ISNUMBER(R4475),R4475&lt;TODAY()),AND(OR(N4475="PENDENTE",N4475="PARCIAL"),D4475&lt;TODAY()-1)),"CRÍTICO",IF(OR(AND(P4475&lt;&gt;"",S4475=""),AND(N4475="REALIZADO",M4475="PENDENTE"),AND(ISNUMBER(R4475),R4475=TODAY())),"ATENÇÃO",IF(N(K4475)=0,"PENDENTE","EM ANDAMENTO"))))))</f>
        <v/>
      </c>
      <c r="C4475" s="3">
        <f>IF(D4475="","",IF(V4475=0,"🟢 OK",IF(D4475&lt;corte,"⚪ HISTÓRICO (sem baixa)",IF(AND(ISNUMBER(R4475),R4475&lt;TODAY()),"🔴 PRAZO VENCIDO",IF(AND(OR(N4475="PENDENTE",N4475="PARCIAL"),D4475&lt;TODAY()-1),"🔴 EMBARQUE ATRASADO",IF(AND(N4475="REALIZADO",M4475="PENDENTE"),"🟡 EMBARCADO SEM FATURAR",IF(AND(P4475&lt;&gt;"",S4475="",OR(Q4475="",R4475="")),"🟡 PENDÊNCIA SEM RESPONSÁVEL/PRAZO",IF(AND(ISNUMBER(R4475),R4475=TODAY()),"🟡 VENCE HOJE",IF(AND(P4475&lt;&gt;"",S4475=""),"🟡 PENDÊNCIA ABERTA",IF(AND(N(J4475)&gt;0,N(K4475)&lt;J4475),"🟡 FALTA EXECUTAR",IF(OR(M4475="PENDENTE",M4475="PARCIAL"),"🟡 FATURAMENTO PENDENTE","🟡 EMBARQUE PENDENTE")))))))))))</f>
        <v/>
      </c>
      <c r="D4475" s="4" t="n"/>
      <c r="E4475" s="5" t="n"/>
      <c r="F4475" s="5" t="n"/>
      <c r="G4475" s="5" t="n"/>
      <c r="H4475" s="5" t="n"/>
      <c r="I4475" s="5" t="n"/>
      <c r="J4475" s="6" t="n"/>
      <c r="K4475" s="6" t="n"/>
      <c r="L4475" s="7">
        <f>IF(OR(D4475="",N(J4475)=0),"",MIN(1,N(K4475)/J4475))</f>
        <v/>
      </c>
      <c r="M4475" s="5" t="n"/>
      <c r="N4475" s="5" t="n"/>
      <c r="O4475" s="5" t="n"/>
      <c r="P4475" s="5" t="n"/>
      <c r="Q4475" s="5" t="n"/>
      <c r="R4475" s="4" t="n"/>
      <c r="S4475" s="4" t="n"/>
      <c r="T4475" s="5" t="n"/>
      <c r="U4475" s="8">
        <f>IF(AND(V4475=1,D4475&lt;&gt;""),IF(D4475&gt;=corte,TODAY()-D4475,""),"")</f>
        <v/>
      </c>
      <c r="V4475" s="8">
        <f>IF(D4475="",0,IF(OR(AND(P4475&lt;&gt;"",S4475=""),AND(N(J4475)&gt;0,N(K4475)&lt;J4475),OR(M4475="PENDENTE",M4475="PARCIAL"),OR(N4475="PENDENTE",N4475="PARCIAL")),1,0))</f>
        <v/>
      </c>
      <c r="W4475" s="8">
        <f>IF(AND(V4475=1,D4475&lt;&gt;""),IF(D4475&gt;=corte,(B4475="CRÍTICO")*1E9+(100000-D4475)*10000+10000-ROW(),""),"")</f>
        <v/>
      </c>
      <c r="X4475" s="8">
        <f>IF(AND(V4475=1,D4475=pas_data,E4475=pas_turno),10000-ROW(),"")</f>
        <v/>
      </c>
    </row>
    <row r="4476">
      <c r="A4476" s="3">
        <f>IF(D4476="","","TT-"&amp;TEXT(ROW()-1,"00000"))</f>
        <v/>
      </c>
      <c r="B4476" s="3">
        <f>IF(D4476="","",IF(V4476=0,"CONCLUÍDO",IF(D4476&lt;corte,"HISTÓRICO",IF(OR(AND(ISNUMBER(R4476),R4476&lt;TODAY()),AND(OR(N4476="PENDENTE",N4476="PARCIAL"),D4476&lt;TODAY()-1)),"CRÍTICO",IF(OR(AND(P4476&lt;&gt;"",S4476=""),AND(N4476="REALIZADO",M4476="PENDENTE"),AND(ISNUMBER(R4476),R4476=TODAY())),"ATENÇÃO",IF(N(K4476)=0,"PENDENTE","EM ANDAMENTO"))))))</f>
        <v/>
      </c>
      <c r="C4476" s="3">
        <f>IF(D4476="","",IF(V4476=0,"🟢 OK",IF(D4476&lt;corte,"⚪ HISTÓRICO (sem baixa)",IF(AND(ISNUMBER(R4476),R4476&lt;TODAY()),"🔴 PRAZO VENCIDO",IF(AND(OR(N4476="PENDENTE",N4476="PARCIAL"),D4476&lt;TODAY()-1),"🔴 EMBARQUE ATRASADO",IF(AND(N4476="REALIZADO",M4476="PENDENTE"),"🟡 EMBARCADO SEM FATURAR",IF(AND(P4476&lt;&gt;"",S4476="",OR(Q4476="",R4476="")),"🟡 PENDÊNCIA SEM RESPONSÁVEL/PRAZO",IF(AND(ISNUMBER(R4476),R4476=TODAY()),"🟡 VENCE HOJE",IF(AND(P4476&lt;&gt;"",S4476=""),"🟡 PENDÊNCIA ABERTA",IF(AND(N(J4476)&gt;0,N(K4476)&lt;J4476),"🟡 FALTA EXECUTAR",IF(OR(M4476="PENDENTE",M4476="PARCIAL"),"🟡 FATURAMENTO PENDENTE","🟡 EMBARQUE PENDENTE")))))))))))</f>
        <v/>
      </c>
      <c r="D4476" s="4" t="n"/>
      <c r="E4476" s="5" t="n"/>
      <c r="F4476" s="5" t="n"/>
      <c r="G4476" s="5" t="n"/>
      <c r="H4476" s="5" t="n"/>
      <c r="I4476" s="5" t="n"/>
      <c r="J4476" s="6" t="n"/>
      <c r="K4476" s="6" t="n"/>
      <c r="L4476" s="7">
        <f>IF(OR(D4476="",N(J4476)=0),"",MIN(1,N(K4476)/J4476))</f>
        <v/>
      </c>
      <c r="M4476" s="5" t="n"/>
      <c r="N4476" s="5" t="n"/>
      <c r="O4476" s="5" t="n"/>
      <c r="P4476" s="5" t="n"/>
      <c r="Q4476" s="5" t="n"/>
      <c r="R4476" s="4" t="n"/>
      <c r="S4476" s="4" t="n"/>
      <c r="T4476" s="5" t="n"/>
      <c r="U4476" s="8">
        <f>IF(AND(V4476=1,D4476&lt;&gt;""),IF(D4476&gt;=corte,TODAY()-D4476,""),"")</f>
        <v/>
      </c>
      <c r="V4476" s="8">
        <f>IF(D4476="",0,IF(OR(AND(P4476&lt;&gt;"",S4476=""),AND(N(J4476)&gt;0,N(K4476)&lt;J4476),OR(M4476="PENDENTE",M4476="PARCIAL"),OR(N4476="PENDENTE",N4476="PARCIAL")),1,0))</f>
        <v/>
      </c>
      <c r="W4476" s="8">
        <f>IF(AND(V4476=1,D4476&lt;&gt;""),IF(D4476&gt;=corte,(B4476="CRÍTICO")*1E9+(100000-D4476)*10000+10000-ROW(),""),"")</f>
        <v/>
      </c>
      <c r="X4476" s="8">
        <f>IF(AND(V4476=1,D4476=pas_data,E4476=pas_turno),10000-ROW(),"")</f>
        <v/>
      </c>
    </row>
    <row r="4477">
      <c r="A4477" s="3">
        <f>IF(D4477="","","TT-"&amp;TEXT(ROW()-1,"00000"))</f>
        <v/>
      </c>
      <c r="B4477" s="3">
        <f>IF(D4477="","",IF(V4477=0,"CONCLUÍDO",IF(D4477&lt;corte,"HISTÓRICO",IF(OR(AND(ISNUMBER(R4477),R4477&lt;TODAY()),AND(OR(N4477="PENDENTE",N4477="PARCIAL"),D4477&lt;TODAY()-1)),"CRÍTICO",IF(OR(AND(P4477&lt;&gt;"",S4477=""),AND(N4477="REALIZADO",M4477="PENDENTE"),AND(ISNUMBER(R4477),R4477=TODAY())),"ATENÇÃO",IF(N(K4477)=0,"PENDENTE","EM ANDAMENTO"))))))</f>
        <v/>
      </c>
      <c r="C4477" s="3">
        <f>IF(D4477="","",IF(V4477=0,"🟢 OK",IF(D4477&lt;corte,"⚪ HISTÓRICO (sem baixa)",IF(AND(ISNUMBER(R4477),R4477&lt;TODAY()),"🔴 PRAZO VENCIDO",IF(AND(OR(N4477="PENDENTE",N4477="PARCIAL"),D4477&lt;TODAY()-1),"🔴 EMBARQUE ATRASADO",IF(AND(N4477="REALIZADO",M4477="PENDENTE"),"🟡 EMBARCADO SEM FATURAR",IF(AND(P4477&lt;&gt;"",S4477="",OR(Q4477="",R4477="")),"🟡 PENDÊNCIA SEM RESPONSÁVEL/PRAZO",IF(AND(ISNUMBER(R4477),R4477=TODAY()),"🟡 VENCE HOJE",IF(AND(P4477&lt;&gt;"",S4477=""),"🟡 PENDÊNCIA ABERTA",IF(AND(N(J4477)&gt;0,N(K4477)&lt;J4477),"🟡 FALTA EXECUTAR",IF(OR(M4477="PENDENTE",M4477="PARCIAL"),"🟡 FATURAMENTO PENDENTE","🟡 EMBARQUE PENDENTE")))))))))))</f>
        <v/>
      </c>
      <c r="D4477" s="4" t="n"/>
      <c r="E4477" s="5" t="n"/>
      <c r="F4477" s="5" t="n"/>
      <c r="G4477" s="5" t="n"/>
      <c r="H4477" s="5" t="n"/>
      <c r="I4477" s="5" t="n"/>
      <c r="J4477" s="6" t="n"/>
      <c r="K4477" s="6" t="n"/>
      <c r="L4477" s="7">
        <f>IF(OR(D4477="",N(J4477)=0),"",MIN(1,N(K4477)/J4477))</f>
        <v/>
      </c>
      <c r="M4477" s="5" t="n"/>
      <c r="N4477" s="5" t="n"/>
      <c r="O4477" s="5" t="n"/>
      <c r="P4477" s="5" t="n"/>
      <c r="Q4477" s="5" t="n"/>
      <c r="R4477" s="4" t="n"/>
      <c r="S4477" s="4" t="n"/>
      <c r="T4477" s="5" t="n"/>
      <c r="U4477" s="8">
        <f>IF(AND(V4477=1,D4477&lt;&gt;""),IF(D4477&gt;=corte,TODAY()-D4477,""),"")</f>
        <v/>
      </c>
      <c r="V4477" s="8">
        <f>IF(D4477="",0,IF(OR(AND(P4477&lt;&gt;"",S4477=""),AND(N(J4477)&gt;0,N(K4477)&lt;J4477),OR(M4477="PENDENTE",M4477="PARCIAL"),OR(N4477="PENDENTE",N4477="PARCIAL")),1,0))</f>
        <v/>
      </c>
      <c r="W4477" s="8">
        <f>IF(AND(V4477=1,D4477&lt;&gt;""),IF(D4477&gt;=corte,(B4477="CRÍTICO")*1E9+(100000-D4477)*10000+10000-ROW(),""),"")</f>
        <v/>
      </c>
      <c r="X4477" s="8">
        <f>IF(AND(V4477=1,D4477=pas_data,E4477=pas_turno),10000-ROW(),"")</f>
        <v/>
      </c>
    </row>
    <row r="4478">
      <c r="A4478" s="3">
        <f>IF(D4478="","","TT-"&amp;TEXT(ROW()-1,"00000"))</f>
        <v/>
      </c>
      <c r="B4478" s="3">
        <f>IF(D4478="","",IF(V4478=0,"CONCLUÍDO",IF(D4478&lt;corte,"HISTÓRICO",IF(OR(AND(ISNUMBER(R4478),R4478&lt;TODAY()),AND(OR(N4478="PENDENTE",N4478="PARCIAL"),D4478&lt;TODAY()-1)),"CRÍTICO",IF(OR(AND(P4478&lt;&gt;"",S4478=""),AND(N4478="REALIZADO",M4478="PENDENTE"),AND(ISNUMBER(R4478),R4478=TODAY())),"ATENÇÃO",IF(N(K4478)=0,"PENDENTE","EM ANDAMENTO"))))))</f>
        <v/>
      </c>
      <c r="C4478" s="3">
        <f>IF(D4478="","",IF(V4478=0,"🟢 OK",IF(D4478&lt;corte,"⚪ HISTÓRICO (sem baixa)",IF(AND(ISNUMBER(R4478),R4478&lt;TODAY()),"🔴 PRAZO VENCIDO",IF(AND(OR(N4478="PENDENTE",N4478="PARCIAL"),D4478&lt;TODAY()-1),"🔴 EMBARQUE ATRASADO",IF(AND(N4478="REALIZADO",M4478="PENDENTE"),"🟡 EMBARCADO SEM FATURAR",IF(AND(P4478&lt;&gt;"",S4478="",OR(Q4478="",R4478="")),"🟡 PENDÊNCIA SEM RESPONSÁVEL/PRAZO",IF(AND(ISNUMBER(R4478),R4478=TODAY()),"🟡 VENCE HOJE",IF(AND(P4478&lt;&gt;"",S4478=""),"🟡 PENDÊNCIA ABERTA",IF(AND(N(J4478)&gt;0,N(K4478)&lt;J4478),"🟡 FALTA EXECUTAR",IF(OR(M4478="PENDENTE",M4478="PARCIAL"),"🟡 FATURAMENTO PENDENTE","🟡 EMBARQUE PENDENTE")))))))))))</f>
        <v/>
      </c>
      <c r="D4478" s="4" t="n"/>
      <c r="E4478" s="5" t="n"/>
      <c r="F4478" s="5" t="n"/>
      <c r="G4478" s="5" t="n"/>
      <c r="H4478" s="5" t="n"/>
      <c r="I4478" s="5" t="n"/>
      <c r="J4478" s="6" t="n"/>
      <c r="K4478" s="6" t="n"/>
      <c r="L4478" s="7">
        <f>IF(OR(D4478="",N(J4478)=0),"",MIN(1,N(K4478)/J4478))</f>
        <v/>
      </c>
      <c r="M4478" s="5" t="n"/>
      <c r="N4478" s="5" t="n"/>
      <c r="O4478" s="5" t="n"/>
      <c r="P4478" s="5" t="n"/>
      <c r="Q4478" s="5" t="n"/>
      <c r="R4478" s="4" t="n"/>
      <c r="S4478" s="4" t="n"/>
      <c r="T4478" s="5" t="n"/>
      <c r="U4478" s="8">
        <f>IF(AND(V4478=1,D4478&lt;&gt;""),IF(D4478&gt;=corte,TODAY()-D4478,""),"")</f>
        <v/>
      </c>
      <c r="V4478" s="8">
        <f>IF(D4478="",0,IF(OR(AND(P4478&lt;&gt;"",S4478=""),AND(N(J4478)&gt;0,N(K4478)&lt;J4478),OR(M4478="PENDENTE",M4478="PARCIAL"),OR(N4478="PENDENTE",N4478="PARCIAL")),1,0))</f>
        <v/>
      </c>
      <c r="W4478" s="8">
        <f>IF(AND(V4478=1,D4478&lt;&gt;""),IF(D4478&gt;=corte,(B4478="CRÍTICO")*1E9+(100000-D4478)*10000+10000-ROW(),""),"")</f>
        <v/>
      </c>
      <c r="X4478" s="8">
        <f>IF(AND(V4478=1,D4478=pas_data,E4478=pas_turno),10000-ROW(),"")</f>
        <v/>
      </c>
    </row>
    <row r="4479">
      <c r="A4479" s="3">
        <f>IF(D4479="","","TT-"&amp;TEXT(ROW()-1,"00000"))</f>
        <v/>
      </c>
      <c r="B4479" s="3">
        <f>IF(D4479="","",IF(V4479=0,"CONCLUÍDO",IF(D4479&lt;corte,"HISTÓRICO",IF(OR(AND(ISNUMBER(R4479),R4479&lt;TODAY()),AND(OR(N4479="PENDENTE",N4479="PARCIAL"),D4479&lt;TODAY()-1)),"CRÍTICO",IF(OR(AND(P4479&lt;&gt;"",S4479=""),AND(N4479="REALIZADO",M4479="PENDENTE"),AND(ISNUMBER(R4479),R4479=TODAY())),"ATENÇÃO",IF(N(K4479)=0,"PENDENTE","EM ANDAMENTO"))))))</f>
        <v/>
      </c>
      <c r="C4479" s="3">
        <f>IF(D4479="","",IF(V4479=0,"🟢 OK",IF(D4479&lt;corte,"⚪ HISTÓRICO (sem baixa)",IF(AND(ISNUMBER(R4479),R4479&lt;TODAY()),"🔴 PRAZO VENCIDO",IF(AND(OR(N4479="PENDENTE",N4479="PARCIAL"),D4479&lt;TODAY()-1),"🔴 EMBARQUE ATRASADO",IF(AND(N4479="REALIZADO",M4479="PENDENTE"),"🟡 EMBARCADO SEM FATURAR",IF(AND(P4479&lt;&gt;"",S4479="",OR(Q4479="",R4479="")),"🟡 PENDÊNCIA SEM RESPONSÁVEL/PRAZO",IF(AND(ISNUMBER(R4479),R4479=TODAY()),"🟡 VENCE HOJE",IF(AND(P4479&lt;&gt;"",S4479=""),"🟡 PENDÊNCIA ABERTA",IF(AND(N(J4479)&gt;0,N(K4479)&lt;J4479),"🟡 FALTA EXECUTAR",IF(OR(M4479="PENDENTE",M4479="PARCIAL"),"🟡 FATURAMENTO PENDENTE","🟡 EMBARQUE PENDENTE")))))))))))</f>
        <v/>
      </c>
      <c r="D4479" s="4" t="n"/>
      <c r="E4479" s="5" t="n"/>
      <c r="F4479" s="5" t="n"/>
      <c r="G4479" s="5" t="n"/>
      <c r="H4479" s="5" t="n"/>
      <c r="I4479" s="5" t="n"/>
      <c r="J4479" s="6" t="n"/>
      <c r="K4479" s="6" t="n"/>
      <c r="L4479" s="7">
        <f>IF(OR(D4479="",N(J4479)=0),"",MIN(1,N(K4479)/J4479))</f>
        <v/>
      </c>
      <c r="M4479" s="5" t="n"/>
      <c r="N4479" s="5" t="n"/>
      <c r="O4479" s="5" t="n"/>
      <c r="P4479" s="5" t="n"/>
      <c r="Q4479" s="5" t="n"/>
      <c r="R4479" s="4" t="n"/>
      <c r="S4479" s="4" t="n"/>
      <c r="T4479" s="5" t="n"/>
      <c r="U4479" s="8">
        <f>IF(AND(V4479=1,D4479&lt;&gt;""),IF(D4479&gt;=corte,TODAY()-D4479,""),"")</f>
        <v/>
      </c>
      <c r="V4479" s="8">
        <f>IF(D4479="",0,IF(OR(AND(P4479&lt;&gt;"",S4479=""),AND(N(J4479)&gt;0,N(K4479)&lt;J4479),OR(M4479="PENDENTE",M4479="PARCIAL"),OR(N4479="PENDENTE",N4479="PARCIAL")),1,0))</f>
        <v/>
      </c>
      <c r="W4479" s="8">
        <f>IF(AND(V4479=1,D4479&lt;&gt;""),IF(D4479&gt;=corte,(B4479="CRÍTICO")*1E9+(100000-D4479)*10000+10000-ROW(),""),"")</f>
        <v/>
      </c>
      <c r="X4479" s="8">
        <f>IF(AND(V4479=1,D4479=pas_data,E4479=pas_turno),10000-ROW(),"")</f>
        <v/>
      </c>
    </row>
    <row r="4480">
      <c r="A4480" s="3">
        <f>IF(D4480="","","TT-"&amp;TEXT(ROW()-1,"00000"))</f>
        <v/>
      </c>
      <c r="B4480" s="3">
        <f>IF(D4480="","",IF(V4480=0,"CONCLUÍDO",IF(D4480&lt;corte,"HISTÓRICO",IF(OR(AND(ISNUMBER(R4480),R4480&lt;TODAY()),AND(OR(N4480="PENDENTE",N4480="PARCIAL"),D4480&lt;TODAY()-1)),"CRÍTICO",IF(OR(AND(P4480&lt;&gt;"",S4480=""),AND(N4480="REALIZADO",M4480="PENDENTE"),AND(ISNUMBER(R4480),R4480=TODAY())),"ATENÇÃO",IF(N(K4480)=0,"PENDENTE","EM ANDAMENTO"))))))</f>
        <v/>
      </c>
      <c r="C4480" s="3">
        <f>IF(D4480="","",IF(V4480=0,"🟢 OK",IF(D4480&lt;corte,"⚪ HISTÓRICO (sem baixa)",IF(AND(ISNUMBER(R4480),R4480&lt;TODAY()),"🔴 PRAZO VENCIDO",IF(AND(OR(N4480="PENDENTE",N4480="PARCIAL"),D4480&lt;TODAY()-1),"🔴 EMBARQUE ATRASADO",IF(AND(N4480="REALIZADO",M4480="PENDENTE"),"🟡 EMBARCADO SEM FATURAR",IF(AND(P4480&lt;&gt;"",S4480="",OR(Q4480="",R4480="")),"🟡 PENDÊNCIA SEM RESPONSÁVEL/PRAZO",IF(AND(ISNUMBER(R4480),R4480=TODAY()),"🟡 VENCE HOJE",IF(AND(P4480&lt;&gt;"",S4480=""),"🟡 PENDÊNCIA ABERTA",IF(AND(N(J4480)&gt;0,N(K4480)&lt;J4480),"🟡 FALTA EXECUTAR",IF(OR(M4480="PENDENTE",M4480="PARCIAL"),"🟡 FATURAMENTO PENDENTE","🟡 EMBARQUE PENDENTE")))))))))))</f>
        <v/>
      </c>
      <c r="D4480" s="4" t="n"/>
      <c r="E4480" s="5" t="n"/>
      <c r="F4480" s="5" t="n"/>
      <c r="G4480" s="5" t="n"/>
      <c r="H4480" s="5" t="n"/>
      <c r="I4480" s="5" t="n"/>
      <c r="J4480" s="6" t="n"/>
      <c r="K4480" s="6" t="n"/>
      <c r="L4480" s="7">
        <f>IF(OR(D4480="",N(J4480)=0),"",MIN(1,N(K4480)/J4480))</f>
        <v/>
      </c>
      <c r="M4480" s="5" t="n"/>
      <c r="N4480" s="5" t="n"/>
      <c r="O4480" s="5" t="n"/>
      <c r="P4480" s="5" t="n"/>
      <c r="Q4480" s="5" t="n"/>
      <c r="R4480" s="4" t="n"/>
      <c r="S4480" s="4" t="n"/>
      <c r="T4480" s="5" t="n"/>
      <c r="U4480" s="8">
        <f>IF(AND(V4480=1,D4480&lt;&gt;""),IF(D4480&gt;=corte,TODAY()-D4480,""),"")</f>
        <v/>
      </c>
      <c r="V4480" s="8">
        <f>IF(D4480="",0,IF(OR(AND(P4480&lt;&gt;"",S4480=""),AND(N(J4480)&gt;0,N(K4480)&lt;J4480),OR(M4480="PENDENTE",M4480="PARCIAL"),OR(N4480="PENDENTE",N4480="PARCIAL")),1,0))</f>
        <v/>
      </c>
      <c r="W4480" s="8">
        <f>IF(AND(V4480=1,D4480&lt;&gt;""),IF(D4480&gt;=corte,(B4480="CRÍTICO")*1E9+(100000-D4480)*10000+10000-ROW(),""),"")</f>
        <v/>
      </c>
      <c r="X4480" s="8">
        <f>IF(AND(V4480=1,D4480=pas_data,E4480=pas_turno),10000-ROW(),"")</f>
        <v/>
      </c>
    </row>
    <row r="4481">
      <c r="A4481" s="3">
        <f>IF(D4481="","","TT-"&amp;TEXT(ROW()-1,"00000"))</f>
        <v/>
      </c>
      <c r="B4481" s="3">
        <f>IF(D4481="","",IF(V4481=0,"CONCLUÍDO",IF(D4481&lt;corte,"HISTÓRICO",IF(OR(AND(ISNUMBER(R4481),R4481&lt;TODAY()),AND(OR(N4481="PENDENTE",N4481="PARCIAL"),D4481&lt;TODAY()-1)),"CRÍTICO",IF(OR(AND(P4481&lt;&gt;"",S4481=""),AND(N4481="REALIZADO",M4481="PENDENTE"),AND(ISNUMBER(R4481),R4481=TODAY())),"ATENÇÃO",IF(N(K4481)=0,"PENDENTE","EM ANDAMENTO"))))))</f>
        <v/>
      </c>
      <c r="C4481" s="3">
        <f>IF(D4481="","",IF(V4481=0,"🟢 OK",IF(D4481&lt;corte,"⚪ HISTÓRICO (sem baixa)",IF(AND(ISNUMBER(R4481),R4481&lt;TODAY()),"🔴 PRAZO VENCIDO",IF(AND(OR(N4481="PENDENTE",N4481="PARCIAL"),D4481&lt;TODAY()-1),"🔴 EMBARQUE ATRASADO",IF(AND(N4481="REALIZADO",M4481="PENDENTE"),"🟡 EMBARCADO SEM FATURAR",IF(AND(P4481&lt;&gt;"",S4481="",OR(Q4481="",R4481="")),"🟡 PENDÊNCIA SEM RESPONSÁVEL/PRAZO",IF(AND(ISNUMBER(R4481),R4481=TODAY()),"🟡 VENCE HOJE",IF(AND(P4481&lt;&gt;"",S4481=""),"🟡 PENDÊNCIA ABERTA",IF(AND(N(J4481)&gt;0,N(K4481)&lt;J4481),"🟡 FALTA EXECUTAR",IF(OR(M4481="PENDENTE",M4481="PARCIAL"),"🟡 FATURAMENTO PENDENTE","🟡 EMBARQUE PENDENTE")))))))))))</f>
        <v/>
      </c>
      <c r="D4481" s="4" t="n"/>
      <c r="E4481" s="5" t="n"/>
      <c r="F4481" s="5" t="n"/>
      <c r="G4481" s="5" t="n"/>
      <c r="H4481" s="5" t="n"/>
      <c r="I4481" s="5" t="n"/>
      <c r="J4481" s="6" t="n"/>
      <c r="K4481" s="6" t="n"/>
      <c r="L4481" s="7">
        <f>IF(OR(D4481="",N(J4481)=0),"",MIN(1,N(K4481)/J4481))</f>
        <v/>
      </c>
      <c r="M4481" s="5" t="n"/>
      <c r="N4481" s="5" t="n"/>
      <c r="O4481" s="5" t="n"/>
      <c r="P4481" s="5" t="n"/>
      <c r="Q4481" s="5" t="n"/>
      <c r="R4481" s="4" t="n"/>
      <c r="S4481" s="4" t="n"/>
      <c r="T4481" s="5" t="n"/>
      <c r="U4481" s="8">
        <f>IF(AND(V4481=1,D4481&lt;&gt;""),IF(D4481&gt;=corte,TODAY()-D4481,""),"")</f>
        <v/>
      </c>
      <c r="V4481" s="8">
        <f>IF(D4481="",0,IF(OR(AND(P4481&lt;&gt;"",S4481=""),AND(N(J4481)&gt;0,N(K4481)&lt;J4481),OR(M4481="PENDENTE",M4481="PARCIAL"),OR(N4481="PENDENTE",N4481="PARCIAL")),1,0))</f>
        <v/>
      </c>
      <c r="W4481" s="8">
        <f>IF(AND(V4481=1,D4481&lt;&gt;""),IF(D4481&gt;=corte,(B4481="CRÍTICO")*1E9+(100000-D4481)*10000+10000-ROW(),""),"")</f>
        <v/>
      </c>
      <c r="X4481" s="8">
        <f>IF(AND(V4481=1,D4481=pas_data,E4481=pas_turno),10000-ROW(),"")</f>
        <v/>
      </c>
    </row>
    <row r="4482">
      <c r="A4482" s="3">
        <f>IF(D4482="","","TT-"&amp;TEXT(ROW()-1,"00000"))</f>
        <v/>
      </c>
      <c r="B4482" s="3">
        <f>IF(D4482="","",IF(V4482=0,"CONCLUÍDO",IF(D4482&lt;corte,"HISTÓRICO",IF(OR(AND(ISNUMBER(R4482),R4482&lt;TODAY()),AND(OR(N4482="PENDENTE",N4482="PARCIAL"),D4482&lt;TODAY()-1)),"CRÍTICO",IF(OR(AND(P4482&lt;&gt;"",S4482=""),AND(N4482="REALIZADO",M4482="PENDENTE"),AND(ISNUMBER(R4482),R4482=TODAY())),"ATENÇÃO",IF(N(K4482)=0,"PENDENTE","EM ANDAMENTO"))))))</f>
        <v/>
      </c>
      <c r="C4482" s="3">
        <f>IF(D4482="","",IF(V4482=0,"🟢 OK",IF(D4482&lt;corte,"⚪ HISTÓRICO (sem baixa)",IF(AND(ISNUMBER(R4482),R4482&lt;TODAY()),"🔴 PRAZO VENCIDO",IF(AND(OR(N4482="PENDENTE",N4482="PARCIAL"),D4482&lt;TODAY()-1),"🔴 EMBARQUE ATRASADO",IF(AND(N4482="REALIZADO",M4482="PENDENTE"),"🟡 EMBARCADO SEM FATURAR",IF(AND(P4482&lt;&gt;"",S4482="",OR(Q4482="",R4482="")),"🟡 PENDÊNCIA SEM RESPONSÁVEL/PRAZO",IF(AND(ISNUMBER(R4482),R4482=TODAY()),"🟡 VENCE HOJE",IF(AND(P4482&lt;&gt;"",S4482=""),"🟡 PENDÊNCIA ABERTA",IF(AND(N(J4482)&gt;0,N(K4482)&lt;J4482),"🟡 FALTA EXECUTAR",IF(OR(M4482="PENDENTE",M4482="PARCIAL"),"🟡 FATURAMENTO PENDENTE","🟡 EMBARQUE PENDENTE")))))))))))</f>
        <v/>
      </c>
      <c r="D4482" s="4" t="n"/>
      <c r="E4482" s="5" t="n"/>
      <c r="F4482" s="5" t="n"/>
      <c r="G4482" s="5" t="n"/>
      <c r="H4482" s="5" t="n"/>
      <c r="I4482" s="5" t="n"/>
      <c r="J4482" s="6" t="n"/>
      <c r="K4482" s="6" t="n"/>
      <c r="L4482" s="7">
        <f>IF(OR(D4482="",N(J4482)=0),"",MIN(1,N(K4482)/J4482))</f>
        <v/>
      </c>
      <c r="M4482" s="5" t="n"/>
      <c r="N4482" s="5" t="n"/>
      <c r="O4482" s="5" t="n"/>
      <c r="P4482" s="5" t="n"/>
      <c r="Q4482" s="5" t="n"/>
      <c r="R4482" s="4" t="n"/>
      <c r="S4482" s="4" t="n"/>
      <c r="T4482" s="5" t="n"/>
      <c r="U4482" s="8">
        <f>IF(AND(V4482=1,D4482&lt;&gt;""),IF(D4482&gt;=corte,TODAY()-D4482,""),"")</f>
        <v/>
      </c>
      <c r="V4482" s="8">
        <f>IF(D4482="",0,IF(OR(AND(P4482&lt;&gt;"",S4482=""),AND(N(J4482)&gt;0,N(K4482)&lt;J4482),OR(M4482="PENDENTE",M4482="PARCIAL"),OR(N4482="PENDENTE",N4482="PARCIAL")),1,0))</f>
        <v/>
      </c>
      <c r="W4482" s="8">
        <f>IF(AND(V4482=1,D4482&lt;&gt;""),IF(D4482&gt;=corte,(B4482="CRÍTICO")*1E9+(100000-D4482)*10000+10000-ROW(),""),"")</f>
        <v/>
      </c>
      <c r="X4482" s="8">
        <f>IF(AND(V4482=1,D4482=pas_data,E4482=pas_turno),10000-ROW(),"")</f>
        <v/>
      </c>
    </row>
    <row r="4483">
      <c r="A4483" s="3">
        <f>IF(D4483="","","TT-"&amp;TEXT(ROW()-1,"00000"))</f>
        <v/>
      </c>
      <c r="B4483" s="3">
        <f>IF(D4483="","",IF(V4483=0,"CONCLUÍDO",IF(D4483&lt;corte,"HISTÓRICO",IF(OR(AND(ISNUMBER(R4483),R4483&lt;TODAY()),AND(OR(N4483="PENDENTE",N4483="PARCIAL"),D4483&lt;TODAY()-1)),"CRÍTICO",IF(OR(AND(P4483&lt;&gt;"",S4483=""),AND(N4483="REALIZADO",M4483="PENDENTE"),AND(ISNUMBER(R4483),R4483=TODAY())),"ATENÇÃO",IF(N(K4483)=0,"PENDENTE","EM ANDAMENTO"))))))</f>
        <v/>
      </c>
      <c r="C4483" s="3">
        <f>IF(D4483="","",IF(V4483=0,"🟢 OK",IF(D4483&lt;corte,"⚪ HISTÓRICO (sem baixa)",IF(AND(ISNUMBER(R4483),R4483&lt;TODAY()),"🔴 PRAZO VENCIDO",IF(AND(OR(N4483="PENDENTE",N4483="PARCIAL"),D4483&lt;TODAY()-1),"🔴 EMBARQUE ATRASADO",IF(AND(N4483="REALIZADO",M4483="PENDENTE"),"🟡 EMBARCADO SEM FATURAR",IF(AND(P4483&lt;&gt;"",S4483="",OR(Q4483="",R4483="")),"🟡 PENDÊNCIA SEM RESPONSÁVEL/PRAZO",IF(AND(ISNUMBER(R4483),R4483=TODAY()),"🟡 VENCE HOJE",IF(AND(P4483&lt;&gt;"",S4483=""),"🟡 PENDÊNCIA ABERTA",IF(AND(N(J4483)&gt;0,N(K4483)&lt;J4483),"🟡 FALTA EXECUTAR",IF(OR(M4483="PENDENTE",M4483="PARCIAL"),"🟡 FATURAMENTO PENDENTE","🟡 EMBARQUE PENDENTE")))))))))))</f>
        <v/>
      </c>
      <c r="D4483" s="4" t="n"/>
      <c r="E4483" s="5" t="n"/>
      <c r="F4483" s="5" t="n"/>
      <c r="G4483" s="5" t="n"/>
      <c r="H4483" s="5" t="n"/>
      <c r="I4483" s="5" t="n"/>
      <c r="J4483" s="6" t="n"/>
      <c r="K4483" s="6" t="n"/>
      <c r="L4483" s="7">
        <f>IF(OR(D4483="",N(J4483)=0),"",MIN(1,N(K4483)/J4483))</f>
        <v/>
      </c>
      <c r="M4483" s="5" t="n"/>
      <c r="N4483" s="5" t="n"/>
      <c r="O4483" s="5" t="n"/>
      <c r="P4483" s="5" t="n"/>
      <c r="Q4483" s="5" t="n"/>
      <c r="R4483" s="4" t="n"/>
      <c r="S4483" s="4" t="n"/>
      <c r="T4483" s="5" t="n"/>
      <c r="U4483" s="8">
        <f>IF(AND(V4483=1,D4483&lt;&gt;""),IF(D4483&gt;=corte,TODAY()-D4483,""),"")</f>
        <v/>
      </c>
      <c r="V4483" s="8">
        <f>IF(D4483="",0,IF(OR(AND(P4483&lt;&gt;"",S4483=""),AND(N(J4483)&gt;0,N(K4483)&lt;J4483),OR(M4483="PENDENTE",M4483="PARCIAL"),OR(N4483="PENDENTE",N4483="PARCIAL")),1,0))</f>
        <v/>
      </c>
      <c r="W4483" s="8">
        <f>IF(AND(V4483=1,D4483&lt;&gt;""),IF(D4483&gt;=corte,(B4483="CRÍTICO")*1E9+(100000-D4483)*10000+10000-ROW(),""),"")</f>
        <v/>
      </c>
      <c r="X4483" s="8">
        <f>IF(AND(V4483=1,D4483=pas_data,E4483=pas_turno),10000-ROW(),"")</f>
        <v/>
      </c>
    </row>
    <row r="4484">
      <c r="A4484" s="3">
        <f>IF(D4484="","","TT-"&amp;TEXT(ROW()-1,"00000"))</f>
        <v/>
      </c>
      <c r="B4484" s="3">
        <f>IF(D4484="","",IF(V4484=0,"CONCLUÍDO",IF(D4484&lt;corte,"HISTÓRICO",IF(OR(AND(ISNUMBER(R4484),R4484&lt;TODAY()),AND(OR(N4484="PENDENTE",N4484="PARCIAL"),D4484&lt;TODAY()-1)),"CRÍTICO",IF(OR(AND(P4484&lt;&gt;"",S4484=""),AND(N4484="REALIZADO",M4484="PENDENTE"),AND(ISNUMBER(R4484),R4484=TODAY())),"ATENÇÃO",IF(N(K4484)=0,"PENDENTE","EM ANDAMENTO"))))))</f>
        <v/>
      </c>
      <c r="C4484" s="3">
        <f>IF(D4484="","",IF(V4484=0,"🟢 OK",IF(D4484&lt;corte,"⚪ HISTÓRICO (sem baixa)",IF(AND(ISNUMBER(R4484),R4484&lt;TODAY()),"🔴 PRAZO VENCIDO",IF(AND(OR(N4484="PENDENTE",N4484="PARCIAL"),D4484&lt;TODAY()-1),"🔴 EMBARQUE ATRASADO",IF(AND(N4484="REALIZADO",M4484="PENDENTE"),"🟡 EMBARCADO SEM FATURAR",IF(AND(P4484&lt;&gt;"",S4484="",OR(Q4484="",R4484="")),"🟡 PENDÊNCIA SEM RESPONSÁVEL/PRAZO",IF(AND(ISNUMBER(R4484),R4484=TODAY()),"🟡 VENCE HOJE",IF(AND(P4484&lt;&gt;"",S4484=""),"🟡 PENDÊNCIA ABERTA",IF(AND(N(J4484)&gt;0,N(K4484)&lt;J4484),"🟡 FALTA EXECUTAR",IF(OR(M4484="PENDENTE",M4484="PARCIAL"),"🟡 FATURAMENTO PENDENTE","🟡 EMBARQUE PENDENTE")))))))))))</f>
        <v/>
      </c>
      <c r="D4484" s="4" t="n"/>
      <c r="E4484" s="5" t="n"/>
      <c r="F4484" s="5" t="n"/>
      <c r="G4484" s="5" t="n"/>
      <c r="H4484" s="5" t="n"/>
      <c r="I4484" s="5" t="n"/>
      <c r="J4484" s="6" t="n"/>
      <c r="K4484" s="6" t="n"/>
      <c r="L4484" s="7">
        <f>IF(OR(D4484="",N(J4484)=0),"",MIN(1,N(K4484)/J4484))</f>
        <v/>
      </c>
      <c r="M4484" s="5" t="n"/>
      <c r="N4484" s="5" t="n"/>
      <c r="O4484" s="5" t="n"/>
      <c r="P4484" s="5" t="n"/>
      <c r="Q4484" s="5" t="n"/>
      <c r="R4484" s="4" t="n"/>
      <c r="S4484" s="4" t="n"/>
      <c r="T4484" s="5" t="n"/>
      <c r="U4484" s="8">
        <f>IF(AND(V4484=1,D4484&lt;&gt;""),IF(D4484&gt;=corte,TODAY()-D4484,""),"")</f>
        <v/>
      </c>
      <c r="V4484" s="8">
        <f>IF(D4484="",0,IF(OR(AND(P4484&lt;&gt;"",S4484=""),AND(N(J4484)&gt;0,N(K4484)&lt;J4484),OR(M4484="PENDENTE",M4484="PARCIAL"),OR(N4484="PENDENTE",N4484="PARCIAL")),1,0))</f>
        <v/>
      </c>
      <c r="W4484" s="8">
        <f>IF(AND(V4484=1,D4484&lt;&gt;""),IF(D4484&gt;=corte,(B4484="CRÍTICO")*1E9+(100000-D4484)*10000+10000-ROW(),""),"")</f>
        <v/>
      </c>
      <c r="X4484" s="8">
        <f>IF(AND(V4484=1,D4484=pas_data,E4484=pas_turno),10000-ROW(),"")</f>
        <v/>
      </c>
    </row>
    <row r="4485">
      <c r="A4485" s="3">
        <f>IF(D4485="","","TT-"&amp;TEXT(ROW()-1,"00000"))</f>
        <v/>
      </c>
      <c r="B4485" s="3">
        <f>IF(D4485="","",IF(V4485=0,"CONCLUÍDO",IF(D4485&lt;corte,"HISTÓRICO",IF(OR(AND(ISNUMBER(R4485),R4485&lt;TODAY()),AND(OR(N4485="PENDENTE",N4485="PARCIAL"),D4485&lt;TODAY()-1)),"CRÍTICO",IF(OR(AND(P4485&lt;&gt;"",S4485=""),AND(N4485="REALIZADO",M4485="PENDENTE"),AND(ISNUMBER(R4485),R4485=TODAY())),"ATENÇÃO",IF(N(K4485)=0,"PENDENTE","EM ANDAMENTO"))))))</f>
        <v/>
      </c>
      <c r="C4485" s="3">
        <f>IF(D4485="","",IF(V4485=0,"🟢 OK",IF(D4485&lt;corte,"⚪ HISTÓRICO (sem baixa)",IF(AND(ISNUMBER(R4485),R4485&lt;TODAY()),"🔴 PRAZO VENCIDO",IF(AND(OR(N4485="PENDENTE",N4485="PARCIAL"),D4485&lt;TODAY()-1),"🔴 EMBARQUE ATRASADO",IF(AND(N4485="REALIZADO",M4485="PENDENTE"),"🟡 EMBARCADO SEM FATURAR",IF(AND(P4485&lt;&gt;"",S4485="",OR(Q4485="",R4485="")),"🟡 PENDÊNCIA SEM RESPONSÁVEL/PRAZO",IF(AND(ISNUMBER(R4485),R4485=TODAY()),"🟡 VENCE HOJE",IF(AND(P4485&lt;&gt;"",S4485=""),"🟡 PENDÊNCIA ABERTA",IF(AND(N(J4485)&gt;0,N(K4485)&lt;J4485),"🟡 FALTA EXECUTAR",IF(OR(M4485="PENDENTE",M4485="PARCIAL"),"🟡 FATURAMENTO PENDENTE","🟡 EMBARQUE PENDENTE")))))))))))</f>
        <v/>
      </c>
      <c r="D4485" s="4" t="n"/>
      <c r="E4485" s="5" t="n"/>
      <c r="F4485" s="5" t="n"/>
      <c r="G4485" s="5" t="n"/>
      <c r="H4485" s="5" t="n"/>
      <c r="I4485" s="5" t="n"/>
      <c r="J4485" s="6" t="n"/>
      <c r="K4485" s="6" t="n"/>
      <c r="L4485" s="7">
        <f>IF(OR(D4485="",N(J4485)=0),"",MIN(1,N(K4485)/J4485))</f>
        <v/>
      </c>
      <c r="M4485" s="5" t="n"/>
      <c r="N4485" s="5" t="n"/>
      <c r="O4485" s="5" t="n"/>
      <c r="P4485" s="5" t="n"/>
      <c r="Q4485" s="5" t="n"/>
      <c r="R4485" s="4" t="n"/>
      <c r="S4485" s="4" t="n"/>
      <c r="T4485" s="5" t="n"/>
      <c r="U4485" s="8">
        <f>IF(AND(V4485=1,D4485&lt;&gt;""),IF(D4485&gt;=corte,TODAY()-D4485,""),"")</f>
        <v/>
      </c>
      <c r="V4485" s="8">
        <f>IF(D4485="",0,IF(OR(AND(P4485&lt;&gt;"",S4485=""),AND(N(J4485)&gt;0,N(K4485)&lt;J4485),OR(M4485="PENDENTE",M4485="PARCIAL"),OR(N4485="PENDENTE",N4485="PARCIAL")),1,0))</f>
        <v/>
      </c>
      <c r="W4485" s="8">
        <f>IF(AND(V4485=1,D4485&lt;&gt;""),IF(D4485&gt;=corte,(B4485="CRÍTICO")*1E9+(100000-D4485)*10000+10000-ROW(),""),"")</f>
        <v/>
      </c>
      <c r="X4485" s="8">
        <f>IF(AND(V4485=1,D4485=pas_data,E4485=pas_turno),10000-ROW(),"")</f>
        <v/>
      </c>
    </row>
    <row r="4486">
      <c r="A4486" s="3">
        <f>IF(D4486="","","TT-"&amp;TEXT(ROW()-1,"00000"))</f>
        <v/>
      </c>
      <c r="B4486" s="3">
        <f>IF(D4486="","",IF(V4486=0,"CONCLUÍDO",IF(D4486&lt;corte,"HISTÓRICO",IF(OR(AND(ISNUMBER(R4486),R4486&lt;TODAY()),AND(OR(N4486="PENDENTE",N4486="PARCIAL"),D4486&lt;TODAY()-1)),"CRÍTICO",IF(OR(AND(P4486&lt;&gt;"",S4486=""),AND(N4486="REALIZADO",M4486="PENDENTE"),AND(ISNUMBER(R4486),R4486=TODAY())),"ATENÇÃO",IF(N(K4486)=0,"PENDENTE","EM ANDAMENTO"))))))</f>
        <v/>
      </c>
      <c r="C4486" s="3">
        <f>IF(D4486="","",IF(V4486=0,"🟢 OK",IF(D4486&lt;corte,"⚪ HISTÓRICO (sem baixa)",IF(AND(ISNUMBER(R4486),R4486&lt;TODAY()),"🔴 PRAZO VENCIDO",IF(AND(OR(N4486="PENDENTE",N4486="PARCIAL"),D4486&lt;TODAY()-1),"🔴 EMBARQUE ATRASADO",IF(AND(N4486="REALIZADO",M4486="PENDENTE"),"🟡 EMBARCADO SEM FATURAR",IF(AND(P4486&lt;&gt;"",S4486="",OR(Q4486="",R4486="")),"🟡 PENDÊNCIA SEM RESPONSÁVEL/PRAZO",IF(AND(ISNUMBER(R4486),R4486=TODAY()),"🟡 VENCE HOJE",IF(AND(P4486&lt;&gt;"",S4486=""),"🟡 PENDÊNCIA ABERTA",IF(AND(N(J4486)&gt;0,N(K4486)&lt;J4486),"🟡 FALTA EXECUTAR",IF(OR(M4486="PENDENTE",M4486="PARCIAL"),"🟡 FATURAMENTO PENDENTE","🟡 EMBARQUE PENDENTE")))))))))))</f>
        <v/>
      </c>
      <c r="D4486" s="4" t="n"/>
      <c r="E4486" s="5" t="n"/>
      <c r="F4486" s="5" t="n"/>
      <c r="G4486" s="5" t="n"/>
      <c r="H4486" s="5" t="n"/>
      <c r="I4486" s="5" t="n"/>
      <c r="J4486" s="6" t="n"/>
      <c r="K4486" s="6" t="n"/>
      <c r="L4486" s="7">
        <f>IF(OR(D4486="",N(J4486)=0),"",MIN(1,N(K4486)/J4486))</f>
        <v/>
      </c>
      <c r="M4486" s="5" t="n"/>
      <c r="N4486" s="5" t="n"/>
      <c r="O4486" s="5" t="n"/>
      <c r="P4486" s="5" t="n"/>
      <c r="Q4486" s="5" t="n"/>
      <c r="R4486" s="4" t="n"/>
      <c r="S4486" s="4" t="n"/>
      <c r="T4486" s="5" t="n"/>
      <c r="U4486" s="8">
        <f>IF(AND(V4486=1,D4486&lt;&gt;""),IF(D4486&gt;=corte,TODAY()-D4486,""),"")</f>
        <v/>
      </c>
      <c r="V4486" s="8">
        <f>IF(D4486="",0,IF(OR(AND(P4486&lt;&gt;"",S4486=""),AND(N(J4486)&gt;0,N(K4486)&lt;J4486),OR(M4486="PENDENTE",M4486="PARCIAL"),OR(N4486="PENDENTE",N4486="PARCIAL")),1,0))</f>
        <v/>
      </c>
      <c r="W4486" s="8">
        <f>IF(AND(V4486=1,D4486&lt;&gt;""),IF(D4486&gt;=corte,(B4486="CRÍTICO")*1E9+(100000-D4486)*10000+10000-ROW(),""),"")</f>
        <v/>
      </c>
      <c r="X4486" s="8">
        <f>IF(AND(V4486=1,D4486=pas_data,E4486=pas_turno),10000-ROW(),"")</f>
        <v/>
      </c>
    </row>
    <row r="4487">
      <c r="A4487" s="3">
        <f>IF(D4487="","","TT-"&amp;TEXT(ROW()-1,"00000"))</f>
        <v/>
      </c>
      <c r="B4487" s="3">
        <f>IF(D4487="","",IF(V4487=0,"CONCLUÍDO",IF(D4487&lt;corte,"HISTÓRICO",IF(OR(AND(ISNUMBER(R4487),R4487&lt;TODAY()),AND(OR(N4487="PENDENTE",N4487="PARCIAL"),D4487&lt;TODAY()-1)),"CRÍTICO",IF(OR(AND(P4487&lt;&gt;"",S4487=""),AND(N4487="REALIZADO",M4487="PENDENTE"),AND(ISNUMBER(R4487),R4487=TODAY())),"ATENÇÃO",IF(N(K4487)=0,"PENDENTE","EM ANDAMENTO"))))))</f>
        <v/>
      </c>
      <c r="C4487" s="3">
        <f>IF(D4487="","",IF(V4487=0,"🟢 OK",IF(D4487&lt;corte,"⚪ HISTÓRICO (sem baixa)",IF(AND(ISNUMBER(R4487),R4487&lt;TODAY()),"🔴 PRAZO VENCIDO",IF(AND(OR(N4487="PENDENTE",N4487="PARCIAL"),D4487&lt;TODAY()-1),"🔴 EMBARQUE ATRASADO",IF(AND(N4487="REALIZADO",M4487="PENDENTE"),"🟡 EMBARCADO SEM FATURAR",IF(AND(P4487&lt;&gt;"",S4487="",OR(Q4487="",R4487="")),"🟡 PENDÊNCIA SEM RESPONSÁVEL/PRAZO",IF(AND(ISNUMBER(R4487),R4487=TODAY()),"🟡 VENCE HOJE",IF(AND(P4487&lt;&gt;"",S4487=""),"🟡 PENDÊNCIA ABERTA",IF(AND(N(J4487)&gt;0,N(K4487)&lt;J4487),"🟡 FALTA EXECUTAR",IF(OR(M4487="PENDENTE",M4487="PARCIAL"),"🟡 FATURAMENTO PENDENTE","🟡 EMBARQUE PENDENTE")))))))))))</f>
        <v/>
      </c>
      <c r="D4487" s="4" t="n"/>
      <c r="E4487" s="5" t="n"/>
      <c r="F4487" s="5" t="n"/>
      <c r="G4487" s="5" t="n"/>
      <c r="H4487" s="5" t="n"/>
      <c r="I4487" s="5" t="n"/>
      <c r="J4487" s="6" t="n"/>
      <c r="K4487" s="6" t="n"/>
      <c r="L4487" s="7">
        <f>IF(OR(D4487="",N(J4487)=0),"",MIN(1,N(K4487)/J4487))</f>
        <v/>
      </c>
      <c r="M4487" s="5" t="n"/>
      <c r="N4487" s="5" t="n"/>
      <c r="O4487" s="5" t="n"/>
      <c r="P4487" s="5" t="n"/>
      <c r="Q4487" s="5" t="n"/>
      <c r="R4487" s="4" t="n"/>
      <c r="S4487" s="4" t="n"/>
      <c r="T4487" s="5" t="n"/>
      <c r="U4487" s="8">
        <f>IF(AND(V4487=1,D4487&lt;&gt;""),IF(D4487&gt;=corte,TODAY()-D4487,""),"")</f>
        <v/>
      </c>
      <c r="V4487" s="8">
        <f>IF(D4487="",0,IF(OR(AND(P4487&lt;&gt;"",S4487=""),AND(N(J4487)&gt;0,N(K4487)&lt;J4487),OR(M4487="PENDENTE",M4487="PARCIAL"),OR(N4487="PENDENTE",N4487="PARCIAL")),1,0))</f>
        <v/>
      </c>
      <c r="W4487" s="8">
        <f>IF(AND(V4487=1,D4487&lt;&gt;""),IF(D4487&gt;=corte,(B4487="CRÍTICO")*1E9+(100000-D4487)*10000+10000-ROW(),""),"")</f>
        <v/>
      </c>
      <c r="X4487" s="8">
        <f>IF(AND(V4487=1,D4487=pas_data,E4487=pas_turno),10000-ROW(),"")</f>
        <v/>
      </c>
    </row>
    <row r="4488">
      <c r="A4488" s="3">
        <f>IF(D4488="","","TT-"&amp;TEXT(ROW()-1,"00000"))</f>
        <v/>
      </c>
      <c r="B4488" s="3">
        <f>IF(D4488="","",IF(V4488=0,"CONCLUÍDO",IF(D4488&lt;corte,"HISTÓRICO",IF(OR(AND(ISNUMBER(R4488),R4488&lt;TODAY()),AND(OR(N4488="PENDENTE",N4488="PARCIAL"),D4488&lt;TODAY()-1)),"CRÍTICO",IF(OR(AND(P4488&lt;&gt;"",S4488=""),AND(N4488="REALIZADO",M4488="PENDENTE"),AND(ISNUMBER(R4488),R4488=TODAY())),"ATENÇÃO",IF(N(K4488)=0,"PENDENTE","EM ANDAMENTO"))))))</f>
        <v/>
      </c>
      <c r="C4488" s="3">
        <f>IF(D4488="","",IF(V4488=0,"🟢 OK",IF(D4488&lt;corte,"⚪ HISTÓRICO (sem baixa)",IF(AND(ISNUMBER(R4488),R4488&lt;TODAY()),"🔴 PRAZO VENCIDO",IF(AND(OR(N4488="PENDENTE",N4488="PARCIAL"),D4488&lt;TODAY()-1),"🔴 EMBARQUE ATRASADO",IF(AND(N4488="REALIZADO",M4488="PENDENTE"),"🟡 EMBARCADO SEM FATURAR",IF(AND(P4488&lt;&gt;"",S4488="",OR(Q4488="",R4488="")),"🟡 PENDÊNCIA SEM RESPONSÁVEL/PRAZO",IF(AND(ISNUMBER(R4488),R4488=TODAY()),"🟡 VENCE HOJE",IF(AND(P4488&lt;&gt;"",S4488=""),"🟡 PENDÊNCIA ABERTA",IF(AND(N(J4488)&gt;0,N(K4488)&lt;J4488),"🟡 FALTA EXECUTAR",IF(OR(M4488="PENDENTE",M4488="PARCIAL"),"🟡 FATURAMENTO PENDENTE","🟡 EMBARQUE PENDENTE")))))))))))</f>
        <v/>
      </c>
      <c r="D4488" s="4" t="n"/>
      <c r="E4488" s="5" t="n"/>
      <c r="F4488" s="5" t="n"/>
      <c r="G4488" s="5" t="n"/>
      <c r="H4488" s="5" t="n"/>
      <c r="I4488" s="5" t="n"/>
      <c r="J4488" s="6" t="n"/>
      <c r="K4488" s="6" t="n"/>
      <c r="L4488" s="7">
        <f>IF(OR(D4488="",N(J4488)=0),"",MIN(1,N(K4488)/J4488))</f>
        <v/>
      </c>
      <c r="M4488" s="5" t="n"/>
      <c r="N4488" s="5" t="n"/>
      <c r="O4488" s="5" t="n"/>
      <c r="P4488" s="5" t="n"/>
      <c r="Q4488" s="5" t="n"/>
      <c r="R4488" s="4" t="n"/>
      <c r="S4488" s="4" t="n"/>
      <c r="T4488" s="5" t="n"/>
      <c r="U4488" s="8">
        <f>IF(AND(V4488=1,D4488&lt;&gt;""),IF(D4488&gt;=corte,TODAY()-D4488,""),"")</f>
        <v/>
      </c>
      <c r="V4488" s="8">
        <f>IF(D4488="",0,IF(OR(AND(P4488&lt;&gt;"",S4488=""),AND(N(J4488)&gt;0,N(K4488)&lt;J4488),OR(M4488="PENDENTE",M4488="PARCIAL"),OR(N4488="PENDENTE",N4488="PARCIAL")),1,0))</f>
        <v/>
      </c>
      <c r="W4488" s="8">
        <f>IF(AND(V4488=1,D4488&lt;&gt;""),IF(D4488&gt;=corte,(B4488="CRÍTICO")*1E9+(100000-D4488)*10000+10000-ROW(),""),"")</f>
        <v/>
      </c>
      <c r="X4488" s="8">
        <f>IF(AND(V4488=1,D4488=pas_data,E4488=pas_turno),10000-ROW(),"")</f>
        <v/>
      </c>
    </row>
    <row r="4489">
      <c r="A4489" s="3">
        <f>IF(D4489="","","TT-"&amp;TEXT(ROW()-1,"00000"))</f>
        <v/>
      </c>
      <c r="B4489" s="3">
        <f>IF(D4489="","",IF(V4489=0,"CONCLUÍDO",IF(D4489&lt;corte,"HISTÓRICO",IF(OR(AND(ISNUMBER(R4489),R4489&lt;TODAY()),AND(OR(N4489="PENDENTE",N4489="PARCIAL"),D4489&lt;TODAY()-1)),"CRÍTICO",IF(OR(AND(P4489&lt;&gt;"",S4489=""),AND(N4489="REALIZADO",M4489="PENDENTE"),AND(ISNUMBER(R4489),R4489=TODAY())),"ATENÇÃO",IF(N(K4489)=0,"PENDENTE","EM ANDAMENTO"))))))</f>
        <v/>
      </c>
      <c r="C4489" s="3">
        <f>IF(D4489="","",IF(V4489=0,"🟢 OK",IF(D4489&lt;corte,"⚪ HISTÓRICO (sem baixa)",IF(AND(ISNUMBER(R4489),R4489&lt;TODAY()),"🔴 PRAZO VENCIDO",IF(AND(OR(N4489="PENDENTE",N4489="PARCIAL"),D4489&lt;TODAY()-1),"🔴 EMBARQUE ATRASADO",IF(AND(N4489="REALIZADO",M4489="PENDENTE"),"🟡 EMBARCADO SEM FATURAR",IF(AND(P4489&lt;&gt;"",S4489="",OR(Q4489="",R4489="")),"🟡 PENDÊNCIA SEM RESPONSÁVEL/PRAZO",IF(AND(ISNUMBER(R4489),R4489=TODAY()),"🟡 VENCE HOJE",IF(AND(P4489&lt;&gt;"",S4489=""),"🟡 PENDÊNCIA ABERTA",IF(AND(N(J4489)&gt;0,N(K4489)&lt;J4489),"🟡 FALTA EXECUTAR",IF(OR(M4489="PENDENTE",M4489="PARCIAL"),"🟡 FATURAMENTO PENDENTE","🟡 EMBARQUE PENDENTE")))))))))))</f>
        <v/>
      </c>
      <c r="D4489" s="4" t="n"/>
      <c r="E4489" s="5" t="n"/>
      <c r="F4489" s="5" t="n"/>
      <c r="G4489" s="5" t="n"/>
      <c r="H4489" s="5" t="n"/>
      <c r="I4489" s="5" t="n"/>
      <c r="J4489" s="6" t="n"/>
      <c r="K4489" s="6" t="n"/>
      <c r="L4489" s="7">
        <f>IF(OR(D4489="",N(J4489)=0),"",MIN(1,N(K4489)/J4489))</f>
        <v/>
      </c>
      <c r="M4489" s="5" t="n"/>
      <c r="N4489" s="5" t="n"/>
      <c r="O4489" s="5" t="n"/>
      <c r="P4489" s="5" t="n"/>
      <c r="Q4489" s="5" t="n"/>
      <c r="R4489" s="4" t="n"/>
      <c r="S4489" s="4" t="n"/>
      <c r="T4489" s="5" t="n"/>
      <c r="U4489" s="8">
        <f>IF(AND(V4489=1,D4489&lt;&gt;""),IF(D4489&gt;=corte,TODAY()-D4489,""),"")</f>
        <v/>
      </c>
      <c r="V4489" s="8">
        <f>IF(D4489="",0,IF(OR(AND(P4489&lt;&gt;"",S4489=""),AND(N(J4489)&gt;0,N(K4489)&lt;J4489),OR(M4489="PENDENTE",M4489="PARCIAL"),OR(N4489="PENDENTE",N4489="PARCIAL")),1,0))</f>
        <v/>
      </c>
      <c r="W4489" s="8">
        <f>IF(AND(V4489=1,D4489&lt;&gt;""),IF(D4489&gt;=corte,(B4489="CRÍTICO")*1E9+(100000-D4489)*10000+10000-ROW(),""),"")</f>
        <v/>
      </c>
      <c r="X4489" s="8">
        <f>IF(AND(V4489=1,D4489=pas_data,E4489=pas_turno),10000-ROW(),"")</f>
        <v/>
      </c>
    </row>
    <row r="4490">
      <c r="A4490" s="3">
        <f>IF(D4490="","","TT-"&amp;TEXT(ROW()-1,"00000"))</f>
        <v/>
      </c>
      <c r="B4490" s="3">
        <f>IF(D4490="","",IF(V4490=0,"CONCLUÍDO",IF(D4490&lt;corte,"HISTÓRICO",IF(OR(AND(ISNUMBER(R4490),R4490&lt;TODAY()),AND(OR(N4490="PENDENTE",N4490="PARCIAL"),D4490&lt;TODAY()-1)),"CRÍTICO",IF(OR(AND(P4490&lt;&gt;"",S4490=""),AND(N4490="REALIZADO",M4490="PENDENTE"),AND(ISNUMBER(R4490),R4490=TODAY())),"ATENÇÃO",IF(N(K4490)=0,"PENDENTE","EM ANDAMENTO"))))))</f>
        <v/>
      </c>
      <c r="C4490" s="3">
        <f>IF(D4490="","",IF(V4490=0,"🟢 OK",IF(D4490&lt;corte,"⚪ HISTÓRICO (sem baixa)",IF(AND(ISNUMBER(R4490),R4490&lt;TODAY()),"🔴 PRAZO VENCIDO",IF(AND(OR(N4490="PENDENTE",N4490="PARCIAL"),D4490&lt;TODAY()-1),"🔴 EMBARQUE ATRASADO",IF(AND(N4490="REALIZADO",M4490="PENDENTE"),"🟡 EMBARCADO SEM FATURAR",IF(AND(P4490&lt;&gt;"",S4490="",OR(Q4490="",R4490="")),"🟡 PENDÊNCIA SEM RESPONSÁVEL/PRAZO",IF(AND(ISNUMBER(R4490),R4490=TODAY()),"🟡 VENCE HOJE",IF(AND(P4490&lt;&gt;"",S4490=""),"🟡 PENDÊNCIA ABERTA",IF(AND(N(J4490)&gt;0,N(K4490)&lt;J4490),"🟡 FALTA EXECUTAR",IF(OR(M4490="PENDENTE",M4490="PARCIAL"),"🟡 FATURAMENTO PENDENTE","🟡 EMBARQUE PENDENTE")))))))))))</f>
        <v/>
      </c>
      <c r="D4490" s="4" t="n"/>
      <c r="E4490" s="5" t="n"/>
      <c r="F4490" s="5" t="n"/>
      <c r="G4490" s="5" t="n"/>
      <c r="H4490" s="5" t="n"/>
      <c r="I4490" s="5" t="n"/>
      <c r="J4490" s="6" t="n"/>
      <c r="K4490" s="6" t="n"/>
      <c r="L4490" s="7">
        <f>IF(OR(D4490="",N(J4490)=0),"",MIN(1,N(K4490)/J4490))</f>
        <v/>
      </c>
      <c r="M4490" s="5" t="n"/>
      <c r="N4490" s="5" t="n"/>
      <c r="O4490" s="5" t="n"/>
      <c r="P4490" s="5" t="n"/>
      <c r="Q4490" s="5" t="n"/>
      <c r="R4490" s="4" t="n"/>
      <c r="S4490" s="4" t="n"/>
      <c r="T4490" s="5" t="n"/>
      <c r="U4490" s="8">
        <f>IF(AND(V4490=1,D4490&lt;&gt;""),IF(D4490&gt;=corte,TODAY()-D4490,""),"")</f>
        <v/>
      </c>
      <c r="V4490" s="8">
        <f>IF(D4490="",0,IF(OR(AND(P4490&lt;&gt;"",S4490=""),AND(N(J4490)&gt;0,N(K4490)&lt;J4490),OR(M4490="PENDENTE",M4490="PARCIAL"),OR(N4490="PENDENTE",N4490="PARCIAL")),1,0))</f>
        <v/>
      </c>
      <c r="W4490" s="8">
        <f>IF(AND(V4490=1,D4490&lt;&gt;""),IF(D4490&gt;=corte,(B4490="CRÍTICO")*1E9+(100000-D4490)*10000+10000-ROW(),""),"")</f>
        <v/>
      </c>
      <c r="X4490" s="8">
        <f>IF(AND(V4490=1,D4490=pas_data,E4490=pas_turno),10000-ROW(),"")</f>
        <v/>
      </c>
    </row>
    <row r="4491">
      <c r="A4491" s="3">
        <f>IF(D4491="","","TT-"&amp;TEXT(ROW()-1,"00000"))</f>
        <v/>
      </c>
      <c r="B4491" s="3">
        <f>IF(D4491="","",IF(V4491=0,"CONCLUÍDO",IF(D4491&lt;corte,"HISTÓRICO",IF(OR(AND(ISNUMBER(R4491),R4491&lt;TODAY()),AND(OR(N4491="PENDENTE",N4491="PARCIAL"),D4491&lt;TODAY()-1)),"CRÍTICO",IF(OR(AND(P4491&lt;&gt;"",S4491=""),AND(N4491="REALIZADO",M4491="PENDENTE"),AND(ISNUMBER(R4491),R4491=TODAY())),"ATENÇÃO",IF(N(K4491)=0,"PENDENTE","EM ANDAMENTO"))))))</f>
        <v/>
      </c>
      <c r="C4491" s="3">
        <f>IF(D4491="","",IF(V4491=0,"🟢 OK",IF(D4491&lt;corte,"⚪ HISTÓRICO (sem baixa)",IF(AND(ISNUMBER(R4491),R4491&lt;TODAY()),"🔴 PRAZO VENCIDO",IF(AND(OR(N4491="PENDENTE",N4491="PARCIAL"),D4491&lt;TODAY()-1),"🔴 EMBARQUE ATRASADO",IF(AND(N4491="REALIZADO",M4491="PENDENTE"),"🟡 EMBARCADO SEM FATURAR",IF(AND(P4491&lt;&gt;"",S4491="",OR(Q4491="",R4491="")),"🟡 PENDÊNCIA SEM RESPONSÁVEL/PRAZO",IF(AND(ISNUMBER(R4491),R4491=TODAY()),"🟡 VENCE HOJE",IF(AND(P4491&lt;&gt;"",S4491=""),"🟡 PENDÊNCIA ABERTA",IF(AND(N(J4491)&gt;0,N(K4491)&lt;J4491),"🟡 FALTA EXECUTAR",IF(OR(M4491="PENDENTE",M4491="PARCIAL"),"🟡 FATURAMENTO PENDENTE","🟡 EMBARQUE PENDENTE")))))))))))</f>
        <v/>
      </c>
      <c r="D4491" s="4" t="n"/>
      <c r="E4491" s="5" t="n"/>
      <c r="F4491" s="5" t="n"/>
      <c r="G4491" s="5" t="n"/>
      <c r="H4491" s="5" t="n"/>
      <c r="I4491" s="5" t="n"/>
      <c r="J4491" s="6" t="n"/>
      <c r="K4491" s="6" t="n"/>
      <c r="L4491" s="7">
        <f>IF(OR(D4491="",N(J4491)=0),"",MIN(1,N(K4491)/J4491))</f>
        <v/>
      </c>
      <c r="M4491" s="5" t="n"/>
      <c r="N4491" s="5" t="n"/>
      <c r="O4491" s="5" t="n"/>
      <c r="P4491" s="5" t="n"/>
      <c r="Q4491" s="5" t="n"/>
      <c r="R4491" s="4" t="n"/>
      <c r="S4491" s="4" t="n"/>
      <c r="T4491" s="5" t="n"/>
      <c r="U4491" s="8">
        <f>IF(AND(V4491=1,D4491&lt;&gt;""),IF(D4491&gt;=corte,TODAY()-D4491,""),"")</f>
        <v/>
      </c>
      <c r="V4491" s="8">
        <f>IF(D4491="",0,IF(OR(AND(P4491&lt;&gt;"",S4491=""),AND(N(J4491)&gt;0,N(K4491)&lt;J4491),OR(M4491="PENDENTE",M4491="PARCIAL"),OR(N4491="PENDENTE",N4491="PARCIAL")),1,0))</f>
        <v/>
      </c>
      <c r="W4491" s="8">
        <f>IF(AND(V4491=1,D4491&lt;&gt;""),IF(D4491&gt;=corte,(B4491="CRÍTICO")*1E9+(100000-D4491)*10000+10000-ROW(),""),"")</f>
        <v/>
      </c>
      <c r="X4491" s="8">
        <f>IF(AND(V4491=1,D4491=pas_data,E4491=pas_turno),10000-ROW(),"")</f>
        <v/>
      </c>
    </row>
    <row r="4492">
      <c r="A4492" s="3">
        <f>IF(D4492="","","TT-"&amp;TEXT(ROW()-1,"00000"))</f>
        <v/>
      </c>
      <c r="B4492" s="3">
        <f>IF(D4492="","",IF(V4492=0,"CONCLUÍDO",IF(D4492&lt;corte,"HISTÓRICO",IF(OR(AND(ISNUMBER(R4492),R4492&lt;TODAY()),AND(OR(N4492="PENDENTE",N4492="PARCIAL"),D4492&lt;TODAY()-1)),"CRÍTICO",IF(OR(AND(P4492&lt;&gt;"",S4492=""),AND(N4492="REALIZADO",M4492="PENDENTE"),AND(ISNUMBER(R4492),R4492=TODAY())),"ATENÇÃO",IF(N(K4492)=0,"PENDENTE","EM ANDAMENTO"))))))</f>
        <v/>
      </c>
      <c r="C4492" s="3">
        <f>IF(D4492="","",IF(V4492=0,"🟢 OK",IF(D4492&lt;corte,"⚪ HISTÓRICO (sem baixa)",IF(AND(ISNUMBER(R4492),R4492&lt;TODAY()),"🔴 PRAZO VENCIDO",IF(AND(OR(N4492="PENDENTE",N4492="PARCIAL"),D4492&lt;TODAY()-1),"🔴 EMBARQUE ATRASADO",IF(AND(N4492="REALIZADO",M4492="PENDENTE"),"🟡 EMBARCADO SEM FATURAR",IF(AND(P4492&lt;&gt;"",S4492="",OR(Q4492="",R4492="")),"🟡 PENDÊNCIA SEM RESPONSÁVEL/PRAZO",IF(AND(ISNUMBER(R4492),R4492=TODAY()),"🟡 VENCE HOJE",IF(AND(P4492&lt;&gt;"",S4492=""),"🟡 PENDÊNCIA ABERTA",IF(AND(N(J4492)&gt;0,N(K4492)&lt;J4492),"🟡 FALTA EXECUTAR",IF(OR(M4492="PENDENTE",M4492="PARCIAL"),"🟡 FATURAMENTO PENDENTE","🟡 EMBARQUE PENDENTE")))))))))))</f>
        <v/>
      </c>
      <c r="D4492" s="4" t="n"/>
      <c r="E4492" s="5" t="n"/>
      <c r="F4492" s="5" t="n"/>
      <c r="G4492" s="5" t="n"/>
      <c r="H4492" s="5" t="n"/>
      <c r="I4492" s="5" t="n"/>
      <c r="J4492" s="6" t="n"/>
      <c r="K4492" s="6" t="n"/>
      <c r="L4492" s="7">
        <f>IF(OR(D4492="",N(J4492)=0),"",MIN(1,N(K4492)/J4492))</f>
        <v/>
      </c>
      <c r="M4492" s="5" t="n"/>
      <c r="N4492" s="5" t="n"/>
      <c r="O4492" s="5" t="n"/>
      <c r="P4492" s="5" t="n"/>
      <c r="Q4492" s="5" t="n"/>
      <c r="R4492" s="4" t="n"/>
      <c r="S4492" s="4" t="n"/>
      <c r="T4492" s="5" t="n"/>
      <c r="U4492" s="8">
        <f>IF(AND(V4492=1,D4492&lt;&gt;""),IF(D4492&gt;=corte,TODAY()-D4492,""),"")</f>
        <v/>
      </c>
      <c r="V4492" s="8">
        <f>IF(D4492="",0,IF(OR(AND(P4492&lt;&gt;"",S4492=""),AND(N(J4492)&gt;0,N(K4492)&lt;J4492),OR(M4492="PENDENTE",M4492="PARCIAL"),OR(N4492="PENDENTE",N4492="PARCIAL")),1,0))</f>
        <v/>
      </c>
      <c r="W4492" s="8">
        <f>IF(AND(V4492=1,D4492&lt;&gt;""),IF(D4492&gt;=corte,(B4492="CRÍTICO")*1E9+(100000-D4492)*10000+10000-ROW(),""),"")</f>
        <v/>
      </c>
      <c r="X4492" s="8">
        <f>IF(AND(V4492=1,D4492=pas_data,E4492=pas_turno),10000-ROW(),"")</f>
        <v/>
      </c>
    </row>
    <row r="4493">
      <c r="A4493" s="3">
        <f>IF(D4493="","","TT-"&amp;TEXT(ROW()-1,"00000"))</f>
        <v/>
      </c>
      <c r="B4493" s="3">
        <f>IF(D4493="","",IF(V4493=0,"CONCLUÍDO",IF(D4493&lt;corte,"HISTÓRICO",IF(OR(AND(ISNUMBER(R4493),R4493&lt;TODAY()),AND(OR(N4493="PENDENTE",N4493="PARCIAL"),D4493&lt;TODAY()-1)),"CRÍTICO",IF(OR(AND(P4493&lt;&gt;"",S4493=""),AND(N4493="REALIZADO",M4493="PENDENTE"),AND(ISNUMBER(R4493),R4493=TODAY())),"ATENÇÃO",IF(N(K4493)=0,"PENDENTE","EM ANDAMENTO"))))))</f>
        <v/>
      </c>
      <c r="C4493" s="3">
        <f>IF(D4493="","",IF(V4493=0,"🟢 OK",IF(D4493&lt;corte,"⚪ HISTÓRICO (sem baixa)",IF(AND(ISNUMBER(R4493),R4493&lt;TODAY()),"🔴 PRAZO VENCIDO",IF(AND(OR(N4493="PENDENTE",N4493="PARCIAL"),D4493&lt;TODAY()-1),"🔴 EMBARQUE ATRASADO",IF(AND(N4493="REALIZADO",M4493="PENDENTE"),"🟡 EMBARCADO SEM FATURAR",IF(AND(P4493&lt;&gt;"",S4493="",OR(Q4493="",R4493="")),"🟡 PENDÊNCIA SEM RESPONSÁVEL/PRAZO",IF(AND(ISNUMBER(R4493),R4493=TODAY()),"🟡 VENCE HOJE",IF(AND(P4493&lt;&gt;"",S4493=""),"🟡 PENDÊNCIA ABERTA",IF(AND(N(J4493)&gt;0,N(K4493)&lt;J4493),"🟡 FALTA EXECUTAR",IF(OR(M4493="PENDENTE",M4493="PARCIAL"),"🟡 FATURAMENTO PENDENTE","🟡 EMBARQUE PENDENTE")))))))))))</f>
        <v/>
      </c>
      <c r="D4493" s="4" t="n"/>
      <c r="E4493" s="5" t="n"/>
      <c r="F4493" s="5" t="n"/>
      <c r="G4493" s="5" t="n"/>
      <c r="H4493" s="5" t="n"/>
      <c r="I4493" s="5" t="n"/>
      <c r="J4493" s="6" t="n"/>
      <c r="K4493" s="6" t="n"/>
      <c r="L4493" s="7">
        <f>IF(OR(D4493="",N(J4493)=0),"",MIN(1,N(K4493)/J4493))</f>
        <v/>
      </c>
      <c r="M4493" s="5" t="n"/>
      <c r="N4493" s="5" t="n"/>
      <c r="O4493" s="5" t="n"/>
      <c r="P4493" s="5" t="n"/>
      <c r="Q4493" s="5" t="n"/>
      <c r="R4493" s="4" t="n"/>
      <c r="S4493" s="4" t="n"/>
      <c r="T4493" s="5" t="n"/>
      <c r="U4493" s="8">
        <f>IF(AND(V4493=1,D4493&lt;&gt;""),IF(D4493&gt;=corte,TODAY()-D4493,""),"")</f>
        <v/>
      </c>
      <c r="V4493" s="8">
        <f>IF(D4493="",0,IF(OR(AND(P4493&lt;&gt;"",S4493=""),AND(N(J4493)&gt;0,N(K4493)&lt;J4493),OR(M4493="PENDENTE",M4493="PARCIAL"),OR(N4493="PENDENTE",N4493="PARCIAL")),1,0))</f>
        <v/>
      </c>
      <c r="W4493" s="8">
        <f>IF(AND(V4493=1,D4493&lt;&gt;""),IF(D4493&gt;=corte,(B4493="CRÍTICO")*1E9+(100000-D4493)*10000+10000-ROW(),""),"")</f>
        <v/>
      </c>
      <c r="X4493" s="8">
        <f>IF(AND(V4493=1,D4493=pas_data,E4493=pas_turno),10000-ROW(),"")</f>
        <v/>
      </c>
    </row>
    <row r="4494">
      <c r="A4494" s="3">
        <f>IF(D4494="","","TT-"&amp;TEXT(ROW()-1,"00000"))</f>
        <v/>
      </c>
      <c r="B4494" s="3">
        <f>IF(D4494="","",IF(V4494=0,"CONCLUÍDO",IF(D4494&lt;corte,"HISTÓRICO",IF(OR(AND(ISNUMBER(R4494),R4494&lt;TODAY()),AND(OR(N4494="PENDENTE",N4494="PARCIAL"),D4494&lt;TODAY()-1)),"CRÍTICO",IF(OR(AND(P4494&lt;&gt;"",S4494=""),AND(N4494="REALIZADO",M4494="PENDENTE"),AND(ISNUMBER(R4494),R4494=TODAY())),"ATENÇÃO",IF(N(K4494)=0,"PENDENTE","EM ANDAMENTO"))))))</f>
        <v/>
      </c>
      <c r="C4494" s="3">
        <f>IF(D4494="","",IF(V4494=0,"🟢 OK",IF(D4494&lt;corte,"⚪ HISTÓRICO (sem baixa)",IF(AND(ISNUMBER(R4494),R4494&lt;TODAY()),"🔴 PRAZO VENCIDO",IF(AND(OR(N4494="PENDENTE",N4494="PARCIAL"),D4494&lt;TODAY()-1),"🔴 EMBARQUE ATRASADO",IF(AND(N4494="REALIZADO",M4494="PENDENTE"),"🟡 EMBARCADO SEM FATURAR",IF(AND(P4494&lt;&gt;"",S4494="",OR(Q4494="",R4494="")),"🟡 PENDÊNCIA SEM RESPONSÁVEL/PRAZO",IF(AND(ISNUMBER(R4494),R4494=TODAY()),"🟡 VENCE HOJE",IF(AND(P4494&lt;&gt;"",S4494=""),"🟡 PENDÊNCIA ABERTA",IF(AND(N(J4494)&gt;0,N(K4494)&lt;J4494),"🟡 FALTA EXECUTAR",IF(OR(M4494="PENDENTE",M4494="PARCIAL"),"🟡 FATURAMENTO PENDENTE","🟡 EMBARQUE PENDENTE")))))))))))</f>
        <v/>
      </c>
      <c r="D4494" s="4" t="n"/>
      <c r="E4494" s="5" t="n"/>
      <c r="F4494" s="5" t="n"/>
      <c r="G4494" s="5" t="n"/>
      <c r="H4494" s="5" t="n"/>
      <c r="I4494" s="5" t="n"/>
      <c r="J4494" s="6" t="n"/>
      <c r="K4494" s="6" t="n"/>
      <c r="L4494" s="7">
        <f>IF(OR(D4494="",N(J4494)=0),"",MIN(1,N(K4494)/J4494))</f>
        <v/>
      </c>
      <c r="M4494" s="5" t="n"/>
      <c r="N4494" s="5" t="n"/>
      <c r="O4494" s="5" t="n"/>
      <c r="P4494" s="5" t="n"/>
      <c r="Q4494" s="5" t="n"/>
      <c r="R4494" s="4" t="n"/>
      <c r="S4494" s="4" t="n"/>
      <c r="T4494" s="5" t="n"/>
      <c r="U4494" s="8">
        <f>IF(AND(V4494=1,D4494&lt;&gt;""),IF(D4494&gt;=corte,TODAY()-D4494,""),"")</f>
        <v/>
      </c>
      <c r="V4494" s="8">
        <f>IF(D4494="",0,IF(OR(AND(P4494&lt;&gt;"",S4494=""),AND(N(J4494)&gt;0,N(K4494)&lt;J4494),OR(M4494="PENDENTE",M4494="PARCIAL"),OR(N4494="PENDENTE",N4494="PARCIAL")),1,0))</f>
        <v/>
      </c>
      <c r="W4494" s="8">
        <f>IF(AND(V4494=1,D4494&lt;&gt;""),IF(D4494&gt;=corte,(B4494="CRÍTICO")*1E9+(100000-D4494)*10000+10000-ROW(),""),"")</f>
        <v/>
      </c>
      <c r="X4494" s="8">
        <f>IF(AND(V4494=1,D4494=pas_data,E4494=pas_turno),10000-ROW(),"")</f>
        <v/>
      </c>
    </row>
    <row r="4495">
      <c r="A4495" s="3">
        <f>IF(D4495="","","TT-"&amp;TEXT(ROW()-1,"00000"))</f>
        <v/>
      </c>
      <c r="B4495" s="3">
        <f>IF(D4495="","",IF(V4495=0,"CONCLUÍDO",IF(D4495&lt;corte,"HISTÓRICO",IF(OR(AND(ISNUMBER(R4495),R4495&lt;TODAY()),AND(OR(N4495="PENDENTE",N4495="PARCIAL"),D4495&lt;TODAY()-1)),"CRÍTICO",IF(OR(AND(P4495&lt;&gt;"",S4495=""),AND(N4495="REALIZADO",M4495="PENDENTE"),AND(ISNUMBER(R4495),R4495=TODAY())),"ATENÇÃO",IF(N(K4495)=0,"PENDENTE","EM ANDAMENTO"))))))</f>
        <v/>
      </c>
      <c r="C4495" s="3">
        <f>IF(D4495="","",IF(V4495=0,"🟢 OK",IF(D4495&lt;corte,"⚪ HISTÓRICO (sem baixa)",IF(AND(ISNUMBER(R4495),R4495&lt;TODAY()),"🔴 PRAZO VENCIDO",IF(AND(OR(N4495="PENDENTE",N4495="PARCIAL"),D4495&lt;TODAY()-1),"🔴 EMBARQUE ATRASADO",IF(AND(N4495="REALIZADO",M4495="PENDENTE"),"🟡 EMBARCADO SEM FATURAR",IF(AND(P4495&lt;&gt;"",S4495="",OR(Q4495="",R4495="")),"🟡 PENDÊNCIA SEM RESPONSÁVEL/PRAZO",IF(AND(ISNUMBER(R4495),R4495=TODAY()),"🟡 VENCE HOJE",IF(AND(P4495&lt;&gt;"",S4495=""),"🟡 PENDÊNCIA ABERTA",IF(AND(N(J4495)&gt;0,N(K4495)&lt;J4495),"🟡 FALTA EXECUTAR",IF(OR(M4495="PENDENTE",M4495="PARCIAL"),"🟡 FATURAMENTO PENDENTE","🟡 EMBARQUE PENDENTE")))))))))))</f>
        <v/>
      </c>
      <c r="D4495" s="4" t="n"/>
      <c r="E4495" s="5" t="n"/>
      <c r="F4495" s="5" t="n"/>
      <c r="G4495" s="5" t="n"/>
      <c r="H4495" s="5" t="n"/>
      <c r="I4495" s="5" t="n"/>
      <c r="J4495" s="6" t="n"/>
      <c r="K4495" s="6" t="n"/>
      <c r="L4495" s="7">
        <f>IF(OR(D4495="",N(J4495)=0),"",MIN(1,N(K4495)/J4495))</f>
        <v/>
      </c>
      <c r="M4495" s="5" t="n"/>
      <c r="N4495" s="5" t="n"/>
      <c r="O4495" s="5" t="n"/>
      <c r="P4495" s="5" t="n"/>
      <c r="Q4495" s="5" t="n"/>
      <c r="R4495" s="4" t="n"/>
      <c r="S4495" s="4" t="n"/>
      <c r="T4495" s="5" t="n"/>
      <c r="U4495" s="8">
        <f>IF(AND(V4495=1,D4495&lt;&gt;""),IF(D4495&gt;=corte,TODAY()-D4495,""),"")</f>
        <v/>
      </c>
      <c r="V4495" s="8">
        <f>IF(D4495="",0,IF(OR(AND(P4495&lt;&gt;"",S4495=""),AND(N(J4495)&gt;0,N(K4495)&lt;J4495),OR(M4495="PENDENTE",M4495="PARCIAL"),OR(N4495="PENDENTE",N4495="PARCIAL")),1,0))</f>
        <v/>
      </c>
      <c r="W4495" s="8">
        <f>IF(AND(V4495=1,D4495&lt;&gt;""),IF(D4495&gt;=corte,(B4495="CRÍTICO")*1E9+(100000-D4495)*10000+10000-ROW(),""),"")</f>
        <v/>
      </c>
      <c r="X4495" s="8">
        <f>IF(AND(V4495=1,D4495=pas_data,E4495=pas_turno),10000-ROW(),"")</f>
        <v/>
      </c>
    </row>
    <row r="4496">
      <c r="A4496" s="3">
        <f>IF(D4496="","","TT-"&amp;TEXT(ROW()-1,"00000"))</f>
        <v/>
      </c>
      <c r="B4496" s="3">
        <f>IF(D4496="","",IF(V4496=0,"CONCLUÍDO",IF(D4496&lt;corte,"HISTÓRICO",IF(OR(AND(ISNUMBER(R4496),R4496&lt;TODAY()),AND(OR(N4496="PENDENTE",N4496="PARCIAL"),D4496&lt;TODAY()-1)),"CRÍTICO",IF(OR(AND(P4496&lt;&gt;"",S4496=""),AND(N4496="REALIZADO",M4496="PENDENTE"),AND(ISNUMBER(R4496),R4496=TODAY())),"ATENÇÃO",IF(N(K4496)=0,"PENDENTE","EM ANDAMENTO"))))))</f>
        <v/>
      </c>
      <c r="C4496" s="3">
        <f>IF(D4496="","",IF(V4496=0,"🟢 OK",IF(D4496&lt;corte,"⚪ HISTÓRICO (sem baixa)",IF(AND(ISNUMBER(R4496),R4496&lt;TODAY()),"🔴 PRAZO VENCIDO",IF(AND(OR(N4496="PENDENTE",N4496="PARCIAL"),D4496&lt;TODAY()-1),"🔴 EMBARQUE ATRASADO",IF(AND(N4496="REALIZADO",M4496="PENDENTE"),"🟡 EMBARCADO SEM FATURAR",IF(AND(P4496&lt;&gt;"",S4496="",OR(Q4496="",R4496="")),"🟡 PENDÊNCIA SEM RESPONSÁVEL/PRAZO",IF(AND(ISNUMBER(R4496),R4496=TODAY()),"🟡 VENCE HOJE",IF(AND(P4496&lt;&gt;"",S4496=""),"🟡 PENDÊNCIA ABERTA",IF(AND(N(J4496)&gt;0,N(K4496)&lt;J4496),"🟡 FALTA EXECUTAR",IF(OR(M4496="PENDENTE",M4496="PARCIAL"),"🟡 FATURAMENTO PENDENTE","🟡 EMBARQUE PENDENTE")))))))))))</f>
        <v/>
      </c>
      <c r="D4496" s="4" t="n"/>
      <c r="E4496" s="5" t="n"/>
      <c r="F4496" s="5" t="n"/>
      <c r="G4496" s="5" t="n"/>
      <c r="H4496" s="5" t="n"/>
      <c r="I4496" s="5" t="n"/>
      <c r="J4496" s="6" t="n"/>
      <c r="K4496" s="6" t="n"/>
      <c r="L4496" s="7">
        <f>IF(OR(D4496="",N(J4496)=0),"",MIN(1,N(K4496)/J4496))</f>
        <v/>
      </c>
      <c r="M4496" s="5" t="n"/>
      <c r="N4496" s="5" t="n"/>
      <c r="O4496" s="5" t="n"/>
      <c r="P4496" s="5" t="n"/>
      <c r="Q4496" s="5" t="n"/>
      <c r="R4496" s="4" t="n"/>
      <c r="S4496" s="4" t="n"/>
      <c r="T4496" s="5" t="n"/>
      <c r="U4496" s="8">
        <f>IF(AND(V4496=1,D4496&lt;&gt;""),IF(D4496&gt;=corte,TODAY()-D4496,""),"")</f>
        <v/>
      </c>
      <c r="V4496" s="8">
        <f>IF(D4496="",0,IF(OR(AND(P4496&lt;&gt;"",S4496=""),AND(N(J4496)&gt;0,N(K4496)&lt;J4496),OR(M4496="PENDENTE",M4496="PARCIAL"),OR(N4496="PENDENTE",N4496="PARCIAL")),1,0))</f>
        <v/>
      </c>
      <c r="W4496" s="8">
        <f>IF(AND(V4496=1,D4496&lt;&gt;""),IF(D4496&gt;=corte,(B4496="CRÍTICO")*1E9+(100000-D4496)*10000+10000-ROW(),""),"")</f>
        <v/>
      </c>
      <c r="X4496" s="8">
        <f>IF(AND(V4496=1,D4496=pas_data,E4496=pas_turno),10000-ROW(),"")</f>
        <v/>
      </c>
    </row>
    <row r="4497">
      <c r="A4497" s="3">
        <f>IF(D4497="","","TT-"&amp;TEXT(ROW()-1,"00000"))</f>
        <v/>
      </c>
      <c r="B4497" s="3">
        <f>IF(D4497="","",IF(V4497=0,"CONCLUÍDO",IF(D4497&lt;corte,"HISTÓRICO",IF(OR(AND(ISNUMBER(R4497),R4497&lt;TODAY()),AND(OR(N4497="PENDENTE",N4497="PARCIAL"),D4497&lt;TODAY()-1)),"CRÍTICO",IF(OR(AND(P4497&lt;&gt;"",S4497=""),AND(N4497="REALIZADO",M4497="PENDENTE"),AND(ISNUMBER(R4497),R4497=TODAY())),"ATENÇÃO",IF(N(K4497)=0,"PENDENTE","EM ANDAMENTO"))))))</f>
        <v/>
      </c>
      <c r="C4497" s="3">
        <f>IF(D4497="","",IF(V4497=0,"🟢 OK",IF(D4497&lt;corte,"⚪ HISTÓRICO (sem baixa)",IF(AND(ISNUMBER(R4497),R4497&lt;TODAY()),"🔴 PRAZO VENCIDO",IF(AND(OR(N4497="PENDENTE",N4497="PARCIAL"),D4497&lt;TODAY()-1),"🔴 EMBARQUE ATRASADO",IF(AND(N4497="REALIZADO",M4497="PENDENTE"),"🟡 EMBARCADO SEM FATURAR",IF(AND(P4497&lt;&gt;"",S4497="",OR(Q4497="",R4497="")),"🟡 PENDÊNCIA SEM RESPONSÁVEL/PRAZO",IF(AND(ISNUMBER(R4497),R4497=TODAY()),"🟡 VENCE HOJE",IF(AND(P4497&lt;&gt;"",S4497=""),"🟡 PENDÊNCIA ABERTA",IF(AND(N(J4497)&gt;0,N(K4497)&lt;J4497),"🟡 FALTA EXECUTAR",IF(OR(M4497="PENDENTE",M4497="PARCIAL"),"🟡 FATURAMENTO PENDENTE","🟡 EMBARQUE PENDENTE")))))))))))</f>
        <v/>
      </c>
      <c r="D4497" s="4" t="n"/>
      <c r="E4497" s="5" t="n"/>
      <c r="F4497" s="5" t="n"/>
      <c r="G4497" s="5" t="n"/>
      <c r="H4497" s="5" t="n"/>
      <c r="I4497" s="5" t="n"/>
      <c r="J4497" s="6" t="n"/>
      <c r="K4497" s="6" t="n"/>
      <c r="L4497" s="7">
        <f>IF(OR(D4497="",N(J4497)=0),"",MIN(1,N(K4497)/J4497))</f>
        <v/>
      </c>
      <c r="M4497" s="5" t="n"/>
      <c r="N4497" s="5" t="n"/>
      <c r="O4497" s="5" t="n"/>
      <c r="P4497" s="5" t="n"/>
      <c r="Q4497" s="5" t="n"/>
      <c r="R4497" s="4" t="n"/>
      <c r="S4497" s="4" t="n"/>
      <c r="T4497" s="5" t="n"/>
      <c r="U4497" s="8">
        <f>IF(AND(V4497=1,D4497&lt;&gt;""),IF(D4497&gt;=corte,TODAY()-D4497,""),"")</f>
        <v/>
      </c>
      <c r="V4497" s="8">
        <f>IF(D4497="",0,IF(OR(AND(P4497&lt;&gt;"",S4497=""),AND(N(J4497)&gt;0,N(K4497)&lt;J4497),OR(M4497="PENDENTE",M4497="PARCIAL"),OR(N4497="PENDENTE",N4497="PARCIAL")),1,0))</f>
        <v/>
      </c>
      <c r="W4497" s="8">
        <f>IF(AND(V4497=1,D4497&lt;&gt;""),IF(D4497&gt;=corte,(B4497="CRÍTICO")*1E9+(100000-D4497)*10000+10000-ROW(),""),"")</f>
        <v/>
      </c>
      <c r="X4497" s="8">
        <f>IF(AND(V4497=1,D4497=pas_data,E4497=pas_turno),10000-ROW(),"")</f>
        <v/>
      </c>
    </row>
    <row r="4498">
      <c r="A4498" s="3">
        <f>IF(D4498="","","TT-"&amp;TEXT(ROW()-1,"00000"))</f>
        <v/>
      </c>
      <c r="B4498" s="3">
        <f>IF(D4498="","",IF(V4498=0,"CONCLUÍDO",IF(D4498&lt;corte,"HISTÓRICO",IF(OR(AND(ISNUMBER(R4498),R4498&lt;TODAY()),AND(OR(N4498="PENDENTE",N4498="PARCIAL"),D4498&lt;TODAY()-1)),"CRÍTICO",IF(OR(AND(P4498&lt;&gt;"",S4498=""),AND(N4498="REALIZADO",M4498="PENDENTE"),AND(ISNUMBER(R4498),R4498=TODAY())),"ATENÇÃO",IF(N(K4498)=0,"PENDENTE","EM ANDAMENTO"))))))</f>
        <v/>
      </c>
      <c r="C4498" s="3">
        <f>IF(D4498="","",IF(V4498=0,"🟢 OK",IF(D4498&lt;corte,"⚪ HISTÓRICO (sem baixa)",IF(AND(ISNUMBER(R4498),R4498&lt;TODAY()),"🔴 PRAZO VENCIDO",IF(AND(OR(N4498="PENDENTE",N4498="PARCIAL"),D4498&lt;TODAY()-1),"🔴 EMBARQUE ATRASADO",IF(AND(N4498="REALIZADO",M4498="PENDENTE"),"🟡 EMBARCADO SEM FATURAR",IF(AND(P4498&lt;&gt;"",S4498="",OR(Q4498="",R4498="")),"🟡 PENDÊNCIA SEM RESPONSÁVEL/PRAZO",IF(AND(ISNUMBER(R4498),R4498=TODAY()),"🟡 VENCE HOJE",IF(AND(P4498&lt;&gt;"",S4498=""),"🟡 PENDÊNCIA ABERTA",IF(AND(N(J4498)&gt;0,N(K4498)&lt;J4498),"🟡 FALTA EXECUTAR",IF(OR(M4498="PENDENTE",M4498="PARCIAL"),"🟡 FATURAMENTO PENDENTE","🟡 EMBARQUE PENDENTE")))))))))))</f>
        <v/>
      </c>
      <c r="D4498" s="4" t="n"/>
      <c r="E4498" s="5" t="n"/>
      <c r="F4498" s="5" t="n"/>
      <c r="G4498" s="5" t="n"/>
      <c r="H4498" s="5" t="n"/>
      <c r="I4498" s="5" t="n"/>
      <c r="J4498" s="6" t="n"/>
      <c r="K4498" s="6" t="n"/>
      <c r="L4498" s="7">
        <f>IF(OR(D4498="",N(J4498)=0),"",MIN(1,N(K4498)/J4498))</f>
        <v/>
      </c>
      <c r="M4498" s="5" t="n"/>
      <c r="N4498" s="5" t="n"/>
      <c r="O4498" s="5" t="n"/>
      <c r="P4498" s="5" t="n"/>
      <c r="Q4498" s="5" t="n"/>
      <c r="R4498" s="4" t="n"/>
      <c r="S4498" s="4" t="n"/>
      <c r="T4498" s="5" t="n"/>
      <c r="U4498" s="8">
        <f>IF(AND(V4498=1,D4498&lt;&gt;""),IF(D4498&gt;=corte,TODAY()-D4498,""),"")</f>
        <v/>
      </c>
      <c r="V4498" s="8">
        <f>IF(D4498="",0,IF(OR(AND(P4498&lt;&gt;"",S4498=""),AND(N(J4498)&gt;0,N(K4498)&lt;J4498),OR(M4498="PENDENTE",M4498="PARCIAL"),OR(N4498="PENDENTE",N4498="PARCIAL")),1,0))</f>
        <v/>
      </c>
      <c r="W4498" s="8">
        <f>IF(AND(V4498=1,D4498&lt;&gt;""),IF(D4498&gt;=corte,(B4498="CRÍTICO")*1E9+(100000-D4498)*10000+10000-ROW(),""),"")</f>
        <v/>
      </c>
      <c r="X4498" s="8">
        <f>IF(AND(V4498=1,D4498=pas_data,E4498=pas_turno),10000-ROW(),"")</f>
        <v/>
      </c>
    </row>
    <row r="4499">
      <c r="A4499" s="3">
        <f>IF(D4499="","","TT-"&amp;TEXT(ROW()-1,"00000"))</f>
        <v/>
      </c>
      <c r="B4499" s="3">
        <f>IF(D4499="","",IF(V4499=0,"CONCLUÍDO",IF(D4499&lt;corte,"HISTÓRICO",IF(OR(AND(ISNUMBER(R4499),R4499&lt;TODAY()),AND(OR(N4499="PENDENTE",N4499="PARCIAL"),D4499&lt;TODAY()-1)),"CRÍTICO",IF(OR(AND(P4499&lt;&gt;"",S4499=""),AND(N4499="REALIZADO",M4499="PENDENTE"),AND(ISNUMBER(R4499),R4499=TODAY())),"ATENÇÃO",IF(N(K4499)=0,"PENDENTE","EM ANDAMENTO"))))))</f>
        <v/>
      </c>
      <c r="C4499" s="3">
        <f>IF(D4499="","",IF(V4499=0,"🟢 OK",IF(D4499&lt;corte,"⚪ HISTÓRICO (sem baixa)",IF(AND(ISNUMBER(R4499),R4499&lt;TODAY()),"🔴 PRAZO VENCIDO",IF(AND(OR(N4499="PENDENTE",N4499="PARCIAL"),D4499&lt;TODAY()-1),"🔴 EMBARQUE ATRASADO",IF(AND(N4499="REALIZADO",M4499="PENDENTE"),"🟡 EMBARCADO SEM FATURAR",IF(AND(P4499&lt;&gt;"",S4499="",OR(Q4499="",R4499="")),"🟡 PENDÊNCIA SEM RESPONSÁVEL/PRAZO",IF(AND(ISNUMBER(R4499),R4499=TODAY()),"🟡 VENCE HOJE",IF(AND(P4499&lt;&gt;"",S4499=""),"🟡 PENDÊNCIA ABERTA",IF(AND(N(J4499)&gt;0,N(K4499)&lt;J4499),"🟡 FALTA EXECUTAR",IF(OR(M4499="PENDENTE",M4499="PARCIAL"),"🟡 FATURAMENTO PENDENTE","🟡 EMBARQUE PENDENTE")))))))))))</f>
        <v/>
      </c>
      <c r="D4499" s="4" t="n"/>
      <c r="E4499" s="5" t="n"/>
      <c r="F4499" s="5" t="n"/>
      <c r="G4499" s="5" t="n"/>
      <c r="H4499" s="5" t="n"/>
      <c r="I4499" s="5" t="n"/>
      <c r="J4499" s="6" t="n"/>
      <c r="K4499" s="6" t="n"/>
      <c r="L4499" s="7">
        <f>IF(OR(D4499="",N(J4499)=0),"",MIN(1,N(K4499)/J4499))</f>
        <v/>
      </c>
      <c r="M4499" s="5" t="n"/>
      <c r="N4499" s="5" t="n"/>
      <c r="O4499" s="5" t="n"/>
      <c r="P4499" s="5" t="n"/>
      <c r="Q4499" s="5" t="n"/>
      <c r="R4499" s="4" t="n"/>
      <c r="S4499" s="4" t="n"/>
      <c r="T4499" s="5" t="n"/>
      <c r="U4499" s="8">
        <f>IF(AND(V4499=1,D4499&lt;&gt;""),IF(D4499&gt;=corte,TODAY()-D4499,""),"")</f>
        <v/>
      </c>
      <c r="V4499" s="8">
        <f>IF(D4499="",0,IF(OR(AND(P4499&lt;&gt;"",S4499=""),AND(N(J4499)&gt;0,N(K4499)&lt;J4499),OR(M4499="PENDENTE",M4499="PARCIAL"),OR(N4499="PENDENTE",N4499="PARCIAL")),1,0))</f>
        <v/>
      </c>
      <c r="W4499" s="8">
        <f>IF(AND(V4499=1,D4499&lt;&gt;""),IF(D4499&gt;=corte,(B4499="CRÍTICO")*1E9+(100000-D4499)*10000+10000-ROW(),""),"")</f>
        <v/>
      </c>
      <c r="X4499" s="8">
        <f>IF(AND(V4499=1,D4499=pas_data,E4499=pas_turno),10000-ROW(),"")</f>
        <v/>
      </c>
    </row>
    <row r="4500">
      <c r="A4500" s="3">
        <f>IF(D4500="","","TT-"&amp;TEXT(ROW()-1,"00000"))</f>
        <v/>
      </c>
      <c r="B4500" s="3">
        <f>IF(D4500="","",IF(V4500=0,"CONCLUÍDO",IF(D4500&lt;corte,"HISTÓRICO",IF(OR(AND(ISNUMBER(R4500),R4500&lt;TODAY()),AND(OR(N4500="PENDENTE",N4500="PARCIAL"),D4500&lt;TODAY()-1)),"CRÍTICO",IF(OR(AND(P4500&lt;&gt;"",S4500=""),AND(N4500="REALIZADO",M4500="PENDENTE"),AND(ISNUMBER(R4500),R4500=TODAY())),"ATENÇÃO",IF(N(K4500)=0,"PENDENTE","EM ANDAMENTO"))))))</f>
        <v/>
      </c>
      <c r="C4500" s="3">
        <f>IF(D4500="","",IF(V4500=0,"🟢 OK",IF(D4500&lt;corte,"⚪ HISTÓRICO (sem baixa)",IF(AND(ISNUMBER(R4500),R4500&lt;TODAY()),"🔴 PRAZO VENCIDO",IF(AND(OR(N4500="PENDENTE",N4500="PARCIAL"),D4500&lt;TODAY()-1),"🔴 EMBARQUE ATRASADO",IF(AND(N4500="REALIZADO",M4500="PENDENTE"),"🟡 EMBARCADO SEM FATURAR",IF(AND(P4500&lt;&gt;"",S4500="",OR(Q4500="",R4500="")),"🟡 PENDÊNCIA SEM RESPONSÁVEL/PRAZO",IF(AND(ISNUMBER(R4500),R4500=TODAY()),"🟡 VENCE HOJE",IF(AND(P4500&lt;&gt;"",S4500=""),"🟡 PENDÊNCIA ABERTA",IF(AND(N(J4500)&gt;0,N(K4500)&lt;J4500),"🟡 FALTA EXECUTAR",IF(OR(M4500="PENDENTE",M4500="PARCIAL"),"🟡 FATURAMENTO PENDENTE","🟡 EMBARQUE PENDENTE")))))))))))</f>
        <v/>
      </c>
      <c r="D4500" s="4" t="n"/>
      <c r="E4500" s="5" t="n"/>
      <c r="F4500" s="5" t="n"/>
      <c r="G4500" s="5" t="n"/>
      <c r="H4500" s="5" t="n"/>
      <c r="I4500" s="5" t="n"/>
      <c r="J4500" s="6" t="n"/>
      <c r="K4500" s="6" t="n"/>
      <c r="L4500" s="7">
        <f>IF(OR(D4500="",N(J4500)=0),"",MIN(1,N(K4500)/J4500))</f>
        <v/>
      </c>
      <c r="M4500" s="5" t="n"/>
      <c r="N4500" s="5" t="n"/>
      <c r="O4500" s="5" t="n"/>
      <c r="P4500" s="5" t="n"/>
      <c r="Q4500" s="5" t="n"/>
      <c r="R4500" s="4" t="n"/>
      <c r="S4500" s="4" t="n"/>
      <c r="T4500" s="5" t="n"/>
      <c r="U4500" s="8">
        <f>IF(AND(V4500=1,D4500&lt;&gt;""),IF(D4500&gt;=corte,TODAY()-D4500,""),"")</f>
        <v/>
      </c>
      <c r="V4500" s="8">
        <f>IF(D4500="",0,IF(OR(AND(P4500&lt;&gt;"",S4500=""),AND(N(J4500)&gt;0,N(K4500)&lt;J4500),OR(M4500="PENDENTE",M4500="PARCIAL"),OR(N4500="PENDENTE",N4500="PARCIAL")),1,0))</f>
        <v/>
      </c>
      <c r="W4500" s="8">
        <f>IF(AND(V4500=1,D4500&lt;&gt;""),IF(D4500&gt;=corte,(B4500="CRÍTICO")*1E9+(100000-D4500)*10000+10000-ROW(),""),"")</f>
        <v/>
      </c>
      <c r="X4500" s="8">
        <f>IF(AND(V4500=1,D4500=pas_data,E4500=pas_turno),10000-ROW(),"")</f>
        <v/>
      </c>
    </row>
    <row r="4501">
      <c r="A4501" s="3">
        <f>IF(D4501="","","TT-"&amp;TEXT(ROW()-1,"00000"))</f>
        <v/>
      </c>
      <c r="B4501" s="3">
        <f>IF(D4501="","",IF(V4501=0,"CONCLUÍDO",IF(D4501&lt;corte,"HISTÓRICO",IF(OR(AND(ISNUMBER(R4501),R4501&lt;TODAY()),AND(OR(N4501="PENDENTE",N4501="PARCIAL"),D4501&lt;TODAY()-1)),"CRÍTICO",IF(OR(AND(P4501&lt;&gt;"",S4501=""),AND(N4501="REALIZADO",M4501="PENDENTE"),AND(ISNUMBER(R4501),R4501=TODAY())),"ATENÇÃO",IF(N(K4501)=0,"PENDENTE","EM ANDAMENTO"))))))</f>
        <v/>
      </c>
      <c r="C4501" s="3">
        <f>IF(D4501="","",IF(V4501=0,"🟢 OK",IF(D4501&lt;corte,"⚪ HISTÓRICO (sem baixa)",IF(AND(ISNUMBER(R4501),R4501&lt;TODAY()),"🔴 PRAZO VENCIDO",IF(AND(OR(N4501="PENDENTE",N4501="PARCIAL"),D4501&lt;TODAY()-1),"🔴 EMBARQUE ATRASADO",IF(AND(N4501="REALIZADO",M4501="PENDENTE"),"🟡 EMBARCADO SEM FATURAR",IF(AND(P4501&lt;&gt;"",S4501="",OR(Q4501="",R4501="")),"🟡 PENDÊNCIA SEM RESPONSÁVEL/PRAZO",IF(AND(ISNUMBER(R4501),R4501=TODAY()),"🟡 VENCE HOJE",IF(AND(P4501&lt;&gt;"",S4501=""),"🟡 PENDÊNCIA ABERTA",IF(AND(N(J4501)&gt;0,N(K4501)&lt;J4501),"🟡 FALTA EXECUTAR",IF(OR(M4501="PENDENTE",M4501="PARCIAL"),"🟡 FATURAMENTO PENDENTE","🟡 EMBARQUE PENDENTE")))))))))))</f>
        <v/>
      </c>
      <c r="D4501" s="4" t="n"/>
      <c r="E4501" s="5" t="n"/>
      <c r="F4501" s="5" t="n"/>
      <c r="G4501" s="5" t="n"/>
      <c r="H4501" s="5" t="n"/>
      <c r="I4501" s="5" t="n"/>
      <c r="J4501" s="6" t="n"/>
      <c r="K4501" s="6" t="n"/>
      <c r="L4501" s="7">
        <f>IF(OR(D4501="",N(J4501)=0),"",MIN(1,N(K4501)/J4501))</f>
        <v/>
      </c>
      <c r="M4501" s="5" t="n"/>
      <c r="N4501" s="5" t="n"/>
      <c r="O4501" s="5" t="n"/>
      <c r="P4501" s="5" t="n"/>
      <c r="Q4501" s="5" t="n"/>
      <c r="R4501" s="4" t="n"/>
      <c r="S4501" s="4" t="n"/>
      <c r="T4501" s="5" t="n"/>
      <c r="U4501" s="8">
        <f>IF(AND(V4501=1,D4501&lt;&gt;""),IF(D4501&gt;=corte,TODAY()-D4501,""),"")</f>
        <v/>
      </c>
      <c r="V4501" s="8">
        <f>IF(D4501="",0,IF(OR(AND(P4501&lt;&gt;"",S4501=""),AND(N(J4501)&gt;0,N(K4501)&lt;J4501),OR(M4501="PENDENTE",M4501="PARCIAL"),OR(N4501="PENDENTE",N4501="PARCIAL")),1,0))</f>
        <v/>
      </c>
      <c r="W4501" s="8">
        <f>IF(AND(V4501=1,D4501&lt;&gt;""),IF(D4501&gt;=corte,(B4501="CRÍTICO")*1E9+(100000-D4501)*10000+10000-ROW(),""),"")</f>
        <v/>
      </c>
      <c r="X4501" s="8">
        <f>IF(AND(V4501=1,D4501=pas_data,E4501=pas_turno),10000-ROW(),"")</f>
        <v/>
      </c>
    </row>
    <row r="4502">
      <c r="A4502" s="3">
        <f>IF(D4502="","","TT-"&amp;TEXT(ROW()-1,"00000"))</f>
        <v/>
      </c>
      <c r="B4502" s="3">
        <f>IF(D4502="","",IF(V4502=0,"CONCLUÍDO",IF(D4502&lt;corte,"HISTÓRICO",IF(OR(AND(ISNUMBER(R4502),R4502&lt;TODAY()),AND(OR(N4502="PENDENTE",N4502="PARCIAL"),D4502&lt;TODAY()-1)),"CRÍTICO",IF(OR(AND(P4502&lt;&gt;"",S4502=""),AND(N4502="REALIZADO",M4502="PENDENTE"),AND(ISNUMBER(R4502),R4502=TODAY())),"ATENÇÃO",IF(N(K4502)=0,"PENDENTE","EM ANDAMENTO"))))))</f>
        <v/>
      </c>
      <c r="C4502" s="3">
        <f>IF(D4502="","",IF(V4502=0,"🟢 OK",IF(D4502&lt;corte,"⚪ HISTÓRICO (sem baixa)",IF(AND(ISNUMBER(R4502),R4502&lt;TODAY()),"🔴 PRAZO VENCIDO",IF(AND(OR(N4502="PENDENTE",N4502="PARCIAL"),D4502&lt;TODAY()-1),"🔴 EMBARQUE ATRASADO",IF(AND(N4502="REALIZADO",M4502="PENDENTE"),"🟡 EMBARCADO SEM FATURAR",IF(AND(P4502&lt;&gt;"",S4502="",OR(Q4502="",R4502="")),"🟡 PENDÊNCIA SEM RESPONSÁVEL/PRAZO",IF(AND(ISNUMBER(R4502),R4502=TODAY()),"🟡 VENCE HOJE",IF(AND(P4502&lt;&gt;"",S4502=""),"🟡 PENDÊNCIA ABERTA",IF(AND(N(J4502)&gt;0,N(K4502)&lt;J4502),"🟡 FALTA EXECUTAR",IF(OR(M4502="PENDENTE",M4502="PARCIAL"),"🟡 FATURAMENTO PENDENTE","🟡 EMBARQUE PENDENTE")))))))))))</f>
        <v/>
      </c>
      <c r="D4502" s="4" t="n"/>
      <c r="E4502" s="5" t="n"/>
      <c r="F4502" s="5" t="n"/>
      <c r="G4502" s="5" t="n"/>
      <c r="H4502" s="5" t="n"/>
      <c r="I4502" s="5" t="n"/>
      <c r="J4502" s="6" t="n"/>
      <c r="K4502" s="6" t="n"/>
      <c r="L4502" s="7">
        <f>IF(OR(D4502="",N(J4502)=0),"",MIN(1,N(K4502)/J4502))</f>
        <v/>
      </c>
      <c r="M4502" s="5" t="n"/>
      <c r="N4502" s="5" t="n"/>
      <c r="O4502" s="5" t="n"/>
      <c r="P4502" s="5" t="n"/>
      <c r="Q4502" s="5" t="n"/>
      <c r="R4502" s="4" t="n"/>
      <c r="S4502" s="4" t="n"/>
      <c r="T4502" s="5" t="n"/>
      <c r="U4502" s="8">
        <f>IF(AND(V4502=1,D4502&lt;&gt;""),IF(D4502&gt;=corte,TODAY()-D4502,""),"")</f>
        <v/>
      </c>
      <c r="V4502" s="8">
        <f>IF(D4502="",0,IF(OR(AND(P4502&lt;&gt;"",S4502=""),AND(N(J4502)&gt;0,N(K4502)&lt;J4502),OR(M4502="PENDENTE",M4502="PARCIAL"),OR(N4502="PENDENTE",N4502="PARCIAL")),1,0))</f>
        <v/>
      </c>
      <c r="W4502" s="8">
        <f>IF(AND(V4502=1,D4502&lt;&gt;""),IF(D4502&gt;=corte,(B4502="CRÍTICO")*1E9+(100000-D4502)*10000+10000-ROW(),""),"")</f>
        <v/>
      </c>
      <c r="X4502" s="8">
        <f>IF(AND(V4502=1,D4502=pas_data,E4502=pas_turno),10000-ROW(),"")</f>
        <v/>
      </c>
    </row>
    <row r="4503">
      <c r="A4503" s="3">
        <f>IF(D4503="","","TT-"&amp;TEXT(ROW()-1,"00000"))</f>
        <v/>
      </c>
      <c r="B4503" s="3">
        <f>IF(D4503="","",IF(V4503=0,"CONCLUÍDO",IF(D4503&lt;corte,"HISTÓRICO",IF(OR(AND(ISNUMBER(R4503),R4503&lt;TODAY()),AND(OR(N4503="PENDENTE",N4503="PARCIAL"),D4503&lt;TODAY()-1)),"CRÍTICO",IF(OR(AND(P4503&lt;&gt;"",S4503=""),AND(N4503="REALIZADO",M4503="PENDENTE"),AND(ISNUMBER(R4503),R4503=TODAY())),"ATENÇÃO",IF(N(K4503)=0,"PENDENTE","EM ANDAMENTO"))))))</f>
        <v/>
      </c>
      <c r="C4503" s="3">
        <f>IF(D4503="","",IF(V4503=0,"🟢 OK",IF(D4503&lt;corte,"⚪ HISTÓRICO (sem baixa)",IF(AND(ISNUMBER(R4503),R4503&lt;TODAY()),"🔴 PRAZO VENCIDO",IF(AND(OR(N4503="PENDENTE",N4503="PARCIAL"),D4503&lt;TODAY()-1),"🔴 EMBARQUE ATRASADO",IF(AND(N4503="REALIZADO",M4503="PENDENTE"),"🟡 EMBARCADO SEM FATURAR",IF(AND(P4503&lt;&gt;"",S4503="",OR(Q4503="",R4503="")),"🟡 PENDÊNCIA SEM RESPONSÁVEL/PRAZO",IF(AND(ISNUMBER(R4503),R4503=TODAY()),"🟡 VENCE HOJE",IF(AND(P4503&lt;&gt;"",S4503=""),"🟡 PENDÊNCIA ABERTA",IF(AND(N(J4503)&gt;0,N(K4503)&lt;J4503),"🟡 FALTA EXECUTAR",IF(OR(M4503="PENDENTE",M4503="PARCIAL"),"🟡 FATURAMENTO PENDENTE","🟡 EMBARQUE PENDENTE")))))))))))</f>
        <v/>
      </c>
      <c r="D4503" s="4" t="n"/>
      <c r="E4503" s="5" t="n"/>
      <c r="F4503" s="5" t="n"/>
      <c r="G4503" s="5" t="n"/>
      <c r="H4503" s="5" t="n"/>
      <c r="I4503" s="5" t="n"/>
      <c r="J4503" s="6" t="n"/>
      <c r="K4503" s="6" t="n"/>
      <c r="L4503" s="7">
        <f>IF(OR(D4503="",N(J4503)=0),"",MIN(1,N(K4503)/J4503))</f>
        <v/>
      </c>
      <c r="M4503" s="5" t="n"/>
      <c r="N4503" s="5" t="n"/>
      <c r="O4503" s="5" t="n"/>
      <c r="P4503" s="5" t="n"/>
      <c r="Q4503" s="5" t="n"/>
      <c r="R4503" s="4" t="n"/>
      <c r="S4503" s="4" t="n"/>
      <c r="T4503" s="5" t="n"/>
      <c r="U4503" s="8">
        <f>IF(AND(V4503=1,D4503&lt;&gt;""),IF(D4503&gt;=corte,TODAY()-D4503,""),"")</f>
        <v/>
      </c>
      <c r="V4503" s="8">
        <f>IF(D4503="",0,IF(OR(AND(P4503&lt;&gt;"",S4503=""),AND(N(J4503)&gt;0,N(K4503)&lt;J4503),OR(M4503="PENDENTE",M4503="PARCIAL"),OR(N4503="PENDENTE",N4503="PARCIAL")),1,0))</f>
        <v/>
      </c>
      <c r="W4503" s="8">
        <f>IF(AND(V4503=1,D4503&lt;&gt;""),IF(D4503&gt;=corte,(B4503="CRÍTICO")*1E9+(100000-D4503)*10000+10000-ROW(),""),"")</f>
        <v/>
      </c>
      <c r="X4503" s="8">
        <f>IF(AND(V4503=1,D4503=pas_data,E4503=pas_turno),10000-ROW(),"")</f>
        <v/>
      </c>
    </row>
    <row r="4504">
      <c r="A4504" s="3">
        <f>IF(D4504="","","TT-"&amp;TEXT(ROW()-1,"00000"))</f>
        <v/>
      </c>
      <c r="B4504" s="3">
        <f>IF(D4504="","",IF(V4504=0,"CONCLUÍDO",IF(D4504&lt;corte,"HISTÓRICO",IF(OR(AND(ISNUMBER(R4504),R4504&lt;TODAY()),AND(OR(N4504="PENDENTE",N4504="PARCIAL"),D4504&lt;TODAY()-1)),"CRÍTICO",IF(OR(AND(P4504&lt;&gt;"",S4504=""),AND(N4504="REALIZADO",M4504="PENDENTE"),AND(ISNUMBER(R4504),R4504=TODAY())),"ATENÇÃO",IF(N(K4504)=0,"PENDENTE","EM ANDAMENTO"))))))</f>
        <v/>
      </c>
      <c r="C4504" s="3">
        <f>IF(D4504="","",IF(V4504=0,"🟢 OK",IF(D4504&lt;corte,"⚪ HISTÓRICO (sem baixa)",IF(AND(ISNUMBER(R4504),R4504&lt;TODAY()),"🔴 PRAZO VENCIDO",IF(AND(OR(N4504="PENDENTE",N4504="PARCIAL"),D4504&lt;TODAY()-1),"🔴 EMBARQUE ATRASADO",IF(AND(N4504="REALIZADO",M4504="PENDENTE"),"🟡 EMBARCADO SEM FATURAR",IF(AND(P4504&lt;&gt;"",S4504="",OR(Q4504="",R4504="")),"🟡 PENDÊNCIA SEM RESPONSÁVEL/PRAZO",IF(AND(ISNUMBER(R4504),R4504=TODAY()),"🟡 VENCE HOJE",IF(AND(P4504&lt;&gt;"",S4504=""),"🟡 PENDÊNCIA ABERTA",IF(AND(N(J4504)&gt;0,N(K4504)&lt;J4504),"🟡 FALTA EXECUTAR",IF(OR(M4504="PENDENTE",M4504="PARCIAL"),"🟡 FATURAMENTO PENDENTE","🟡 EMBARQUE PENDENTE")))))))))))</f>
        <v/>
      </c>
      <c r="D4504" s="4" t="n"/>
      <c r="E4504" s="5" t="n"/>
      <c r="F4504" s="5" t="n"/>
      <c r="G4504" s="5" t="n"/>
      <c r="H4504" s="5" t="n"/>
      <c r="I4504" s="5" t="n"/>
      <c r="J4504" s="6" t="n"/>
      <c r="K4504" s="6" t="n"/>
      <c r="L4504" s="7">
        <f>IF(OR(D4504="",N(J4504)=0),"",MIN(1,N(K4504)/J4504))</f>
        <v/>
      </c>
      <c r="M4504" s="5" t="n"/>
      <c r="N4504" s="5" t="n"/>
      <c r="O4504" s="5" t="n"/>
      <c r="P4504" s="5" t="n"/>
      <c r="Q4504" s="5" t="n"/>
      <c r="R4504" s="4" t="n"/>
      <c r="S4504" s="4" t="n"/>
      <c r="T4504" s="5" t="n"/>
      <c r="U4504" s="8">
        <f>IF(AND(V4504=1,D4504&lt;&gt;""),IF(D4504&gt;=corte,TODAY()-D4504,""),"")</f>
        <v/>
      </c>
      <c r="V4504" s="8">
        <f>IF(D4504="",0,IF(OR(AND(P4504&lt;&gt;"",S4504=""),AND(N(J4504)&gt;0,N(K4504)&lt;J4504),OR(M4504="PENDENTE",M4504="PARCIAL"),OR(N4504="PENDENTE",N4504="PARCIAL")),1,0))</f>
        <v/>
      </c>
      <c r="W4504" s="8">
        <f>IF(AND(V4504=1,D4504&lt;&gt;""),IF(D4504&gt;=corte,(B4504="CRÍTICO")*1E9+(100000-D4504)*10000+10000-ROW(),""),"")</f>
        <v/>
      </c>
      <c r="X4504" s="8">
        <f>IF(AND(V4504=1,D4504=pas_data,E4504=pas_turno),10000-ROW(),"")</f>
        <v/>
      </c>
    </row>
    <row r="4505">
      <c r="A4505" s="3">
        <f>IF(D4505="","","TT-"&amp;TEXT(ROW()-1,"00000"))</f>
        <v/>
      </c>
      <c r="B4505" s="3">
        <f>IF(D4505="","",IF(V4505=0,"CONCLUÍDO",IF(D4505&lt;corte,"HISTÓRICO",IF(OR(AND(ISNUMBER(R4505),R4505&lt;TODAY()),AND(OR(N4505="PENDENTE",N4505="PARCIAL"),D4505&lt;TODAY()-1)),"CRÍTICO",IF(OR(AND(P4505&lt;&gt;"",S4505=""),AND(N4505="REALIZADO",M4505="PENDENTE"),AND(ISNUMBER(R4505),R4505=TODAY())),"ATENÇÃO",IF(N(K4505)=0,"PENDENTE","EM ANDAMENTO"))))))</f>
        <v/>
      </c>
      <c r="C4505" s="3">
        <f>IF(D4505="","",IF(V4505=0,"🟢 OK",IF(D4505&lt;corte,"⚪ HISTÓRICO (sem baixa)",IF(AND(ISNUMBER(R4505),R4505&lt;TODAY()),"🔴 PRAZO VENCIDO",IF(AND(OR(N4505="PENDENTE",N4505="PARCIAL"),D4505&lt;TODAY()-1),"🔴 EMBARQUE ATRASADO",IF(AND(N4505="REALIZADO",M4505="PENDENTE"),"🟡 EMBARCADO SEM FATURAR",IF(AND(P4505&lt;&gt;"",S4505="",OR(Q4505="",R4505="")),"🟡 PENDÊNCIA SEM RESPONSÁVEL/PRAZO",IF(AND(ISNUMBER(R4505),R4505=TODAY()),"🟡 VENCE HOJE",IF(AND(P4505&lt;&gt;"",S4505=""),"🟡 PENDÊNCIA ABERTA",IF(AND(N(J4505)&gt;0,N(K4505)&lt;J4505),"🟡 FALTA EXECUTAR",IF(OR(M4505="PENDENTE",M4505="PARCIAL"),"🟡 FATURAMENTO PENDENTE","🟡 EMBARQUE PENDENTE")))))))))))</f>
        <v/>
      </c>
      <c r="D4505" s="4" t="n"/>
      <c r="E4505" s="5" t="n"/>
      <c r="F4505" s="5" t="n"/>
      <c r="G4505" s="5" t="n"/>
      <c r="H4505" s="5" t="n"/>
      <c r="I4505" s="5" t="n"/>
      <c r="J4505" s="6" t="n"/>
      <c r="K4505" s="6" t="n"/>
      <c r="L4505" s="7">
        <f>IF(OR(D4505="",N(J4505)=0),"",MIN(1,N(K4505)/J4505))</f>
        <v/>
      </c>
      <c r="M4505" s="5" t="n"/>
      <c r="N4505" s="5" t="n"/>
      <c r="O4505" s="5" t="n"/>
      <c r="P4505" s="5" t="n"/>
      <c r="Q4505" s="5" t="n"/>
      <c r="R4505" s="4" t="n"/>
      <c r="S4505" s="4" t="n"/>
      <c r="T4505" s="5" t="n"/>
      <c r="U4505" s="8">
        <f>IF(AND(V4505=1,D4505&lt;&gt;""),IF(D4505&gt;=corte,TODAY()-D4505,""),"")</f>
        <v/>
      </c>
      <c r="V4505" s="8">
        <f>IF(D4505="",0,IF(OR(AND(P4505&lt;&gt;"",S4505=""),AND(N(J4505)&gt;0,N(K4505)&lt;J4505),OR(M4505="PENDENTE",M4505="PARCIAL"),OR(N4505="PENDENTE",N4505="PARCIAL")),1,0))</f>
        <v/>
      </c>
      <c r="W4505" s="8">
        <f>IF(AND(V4505=1,D4505&lt;&gt;""),IF(D4505&gt;=corte,(B4505="CRÍTICO")*1E9+(100000-D4505)*10000+10000-ROW(),""),"")</f>
        <v/>
      </c>
      <c r="X4505" s="8">
        <f>IF(AND(V4505=1,D4505=pas_data,E4505=pas_turno),10000-ROW(),"")</f>
        <v/>
      </c>
    </row>
    <row r="4506">
      <c r="A4506" s="3">
        <f>IF(D4506="","","TT-"&amp;TEXT(ROW()-1,"00000"))</f>
        <v/>
      </c>
      <c r="B4506" s="3">
        <f>IF(D4506="","",IF(V4506=0,"CONCLUÍDO",IF(D4506&lt;corte,"HISTÓRICO",IF(OR(AND(ISNUMBER(R4506),R4506&lt;TODAY()),AND(OR(N4506="PENDENTE",N4506="PARCIAL"),D4506&lt;TODAY()-1)),"CRÍTICO",IF(OR(AND(P4506&lt;&gt;"",S4506=""),AND(N4506="REALIZADO",M4506="PENDENTE"),AND(ISNUMBER(R4506),R4506=TODAY())),"ATENÇÃO",IF(N(K4506)=0,"PENDENTE","EM ANDAMENTO"))))))</f>
        <v/>
      </c>
      <c r="C4506" s="3">
        <f>IF(D4506="","",IF(V4506=0,"🟢 OK",IF(D4506&lt;corte,"⚪ HISTÓRICO (sem baixa)",IF(AND(ISNUMBER(R4506),R4506&lt;TODAY()),"🔴 PRAZO VENCIDO",IF(AND(OR(N4506="PENDENTE",N4506="PARCIAL"),D4506&lt;TODAY()-1),"🔴 EMBARQUE ATRASADO",IF(AND(N4506="REALIZADO",M4506="PENDENTE"),"🟡 EMBARCADO SEM FATURAR",IF(AND(P4506&lt;&gt;"",S4506="",OR(Q4506="",R4506="")),"🟡 PENDÊNCIA SEM RESPONSÁVEL/PRAZO",IF(AND(ISNUMBER(R4506),R4506=TODAY()),"🟡 VENCE HOJE",IF(AND(P4506&lt;&gt;"",S4506=""),"🟡 PENDÊNCIA ABERTA",IF(AND(N(J4506)&gt;0,N(K4506)&lt;J4506),"🟡 FALTA EXECUTAR",IF(OR(M4506="PENDENTE",M4506="PARCIAL"),"🟡 FATURAMENTO PENDENTE","🟡 EMBARQUE PENDENTE")))))))))))</f>
        <v/>
      </c>
      <c r="D4506" s="4" t="n"/>
      <c r="E4506" s="5" t="n"/>
      <c r="F4506" s="5" t="n"/>
      <c r="G4506" s="5" t="n"/>
      <c r="H4506" s="5" t="n"/>
      <c r="I4506" s="5" t="n"/>
      <c r="J4506" s="6" t="n"/>
      <c r="K4506" s="6" t="n"/>
      <c r="L4506" s="7">
        <f>IF(OR(D4506="",N(J4506)=0),"",MIN(1,N(K4506)/J4506))</f>
        <v/>
      </c>
      <c r="M4506" s="5" t="n"/>
      <c r="N4506" s="5" t="n"/>
      <c r="O4506" s="5" t="n"/>
      <c r="P4506" s="5" t="n"/>
      <c r="Q4506" s="5" t="n"/>
      <c r="R4506" s="4" t="n"/>
      <c r="S4506" s="4" t="n"/>
      <c r="T4506" s="5" t="n"/>
      <c r="U4506" s="8">
        <f>IF(AND(V4506=1,D4506&lt;&gt;""),IF(D4506&gt;=corte,TODAY()-D4506,""),"")</f>
        <v/>
      </c>
      <c r="V4506" s="8">
        <f>IF(D4506="",0,IF(OR(AND(P4506&lt;&gt;"",S4506=""),AND(N(J4506)&gt;0,N(K4506)&lt;J4506),OR(M4506="PENDENTE",M4506="PARCIAL"),OR(N4506="PENDENTE",N4506="PARCIAL")),1,0))</f>
        <v/>
      </c>
      <c r="W4506" s="8">
        <f>IF(AND(V4506=1,D4506&lt;&gt;""),IF(D4506&gt;=corte,(B4506="CRÍTICO")*1E9+(100000-D4506)*10000+10000-ROW(),""),"")</f>
        <v/>
      </c>
      <c r="X4506" s="8">
        <f>IF(AND(V4506=1,D4506=pas_data,E4506=pas_turno),10000-ROW(),"")</f>
        <v/>
      </c>
    </row>
    <row r="4507">
      <c r="A4507" s="3">
        <f>IF(D4507="","","TT-"&amp;TEXT(ROW()-1,"00000"))</f>
        <v/>
      </c>
      <c r="B4507" s="3">
        <f>IF(D4507="","",IF(V4507=0,"CONCLUÍDO",IF(D4507&lt;corte,"HISTÓRICO",IF(OR(AND(ISNUMBER(R4507),R4507&lt;TODAY()),AND(OR(N4507="PENDENTE",N4507="PARCIAL"),D4507&lt;TODAY()-1)),"CRÍTICO",IF(OR(AND(P4507&lt;&gt;"",S4507=""),AND(N4507="REALIZADO",M4507="PENDENTE"),AND(ISNUMBER(R4507),R4507=TODAY())),"ATENÇÃO",IF(N(K4507)=0,"PENDENTE","EM ANDAMENTO"))))))</f>
        <v/>
      </c>
      <c r="C4507" s="3">
        <f>IF(D4507="","",IF(V4507=0,"🟢 OK",IF(D4507&lt;corte,"⚪ HISTÓRICO (sem baixa)",IF(AND(ISNUMBER(R4507),R4507&lt;TODAY()),"🔴 PRAZO VENCIDO",IF(AND(OR(N4507="PENDENTE",N4507="PARCIAL"),D4507&lt;TODAY()-1),"🔴 EMBARQUE ATRASADO",IF(AND(N4507="REALIZADO",M4507="PENDENTE"),"🟡 EMBARCADO SEM FATURAR",IF(AND(P4507&lt;&gt;"",S4507="",OR(Q4507="",R4507="")),"🟡 PENDÊNCIA SEM RESPONSÁVEL/PRAZO",IF(AND(ISNUMBER(R4507),R4507=TODAY()),"🟡 VENCE HOJE",IF(AND(P4507&lt;&gt;"",S4507=""),"🟡 PENDÊNCIA ABERTA",IF(AND(N(J4507)&gt;0,N(K4507)&lt;J4507),"🟡 FALTA EXECUTAR",IF(OR(M4507="PENDENTE",M4507="PARCIAL"),"🟡 FATURAMENTO PENDENTE","🟡 EMBARQUE PENDENTE")))))))))))</f>
        <v/>
      </c>
      <c r="D4507" s="4" t="n"/>
      <c r="E4507" s="5" t="n"/>
      <c r="F4507" s="5" t="n"/>
      <c r="G4507" s="5" t="n"/>
      <c r="H4507" s="5" t="n"/>
      <c r="I4507" s="5" t="n"/>
      <c r="J4507" s="6" t="n"/>
      <c r="K4507" s="6" t="n"/>
      <c r="L4507" s="7">
        <f>IF(OR(D4507="",N(J4507)=0),"",MIN(1,N(K4507)/J4507))</f>
        <v/>
      </c>
      <c r="M4507" s="5" t="n"/>
      <c r="N4507" s="5" t="n"/>
      <c r="O4507" s="5" t="n"/>
      <c r="P4507" s="5" t="n"/>
      <c r="Q4507" s="5" t="n"/>
      <c r="R4507" s="4" t="n"/>
      <c r="S4507" s="4" t="n"/>
      <c r="T4507" s="5" t="n"/>
      <c r="U4507" s="8">
        <f>IF(AND(V4507=1,D4507&lt;&gt;""),IF(D4507&gt;=corte,TODAY()-D4507,""),"")</f>
        <v/>
      </c>
      <c r="V4507" s="8">
        <f>IF(D4507="",0,IF(OR(AND(P4507&lt;&gt;"",S4507=""),AND(N(J4507)&gt;0,N(K4507)&lt;J4507),OR(M4507="PENDENTE",M4507="PARCIAL"),OR(N4507="PENDENTE",N4507="PARCIAL")),1,0))</f>
        <v/>
      </c>
      <c r="W4507" s="8">
        <f>IF(AND(V4507=1,D4507&lt;&gt;""),IF(D4507&gt;=corte,(B4507="CRÍTICO")*1E9+(100000-D4507)*10000+10000-ROW(),""),"")</f>
        <v/>
      </c>
      <c r="X4507" s="8">
        <f>IF(AND(V4507=1,D4507=pas_data,E4507=pas_turno),10000-ROW(),"")</f>
        <v/>
      </c>
    </row>
    <row r="4508">
      <c r="A4508" s="3">
        <f>IF(D4508="","","TT-"&amp;TEXT(ROW()-1,"00000"))</f>
        <v/>
      </c>
      <c r="B4508" s="3">
        <f>IF(D4508="","",IF(V4508=0,"CONCLUÍDO",IF(D4508&lt;corte,"HISTÓRICO",IF(OR(AND(ISNUMBER(R4508),R4508&lt;TODAY()),AND(OR(N4508="PENDENTE",N4508="PARCIAL"),D4508&lt;TODAY()-1)),"CRÍTICO",IF(OR(AND(P4508&lt;&gt;"",S4508=""),AND(N4508="REALIZADO",M4508="PENDENTE"),AND(ISNUMBER(R4508),R4508=TODAY())),"ATENÇÃO",IF(N(K4508)=0,"PENDENTE","EM ANDAMENTO"))))))</f>
        <v/>
      </c>
      <c r="C4508" s="3">
        <f>IF(D4508="","",IF(V4508=0,"🟢 OK",IF(D4508&lt;corte,"⚪ HISTÓRICO (sem baixa)",IF(AND(ISNUMBER(R4508),R4508&lt;TODAY()),"🔴 PRAZO VENCIDO",IF(AND(OR(N4508="PENDENTE",N4508="PARCIAL"),D4508&lt;TODAY()-1),"🔴 EMBARQUE ATRASADO",IF(AND(N4508="REALIZADO",M4508="PENDENTE"),"🟡 EMBARCADO SEM FATURAR",IF(AND(P4508&lt;&gt;"",S4508="",OR(Q4508="",R4508="")),"🟡 PENDÊNCIA SEM RESPONSÁVEL/PRAZO",IF(AND(ISNUMBER(R4508),R4508=TODAY()),"🟡 VENCE HOJE",IF(AND(P4508&lt;&gt;"",S4508=""),"🟡 PENDÊNCIA ABERTA",IF(AND(N(J4508)&gt;0,N(K4508)&lt;J4508),"🟡 FALTA EXECUTAR",IF(OR(M4508="PENDENTE",M4508="PARCIAL"),"🟡 FATURAMENTO PENDENTE","🟡 EMBARQUE PENDENTE")))))))))))</f>
        <v/>
      </c>
      <c r="D4508" s="4" t="n"/>
      <c r="E4508" s="5" t="n"/>
      <c r="F4508" s="5" t="n"/>
      <c r="G4508" s="5" t="n"/>
      <c r="H4508" s="5" t="n"/>
      <c r="I4508" s="5" t="n"/>
      <c r="J4508" s="6" t="n"/>
      <c r="K4508" s="6" t="n"/>
      <c r="L4508" s="7">
        <f>IF(OR(D4508="",N(J4508)=0),"",MIN(1,N(K4508)/J4508))</f>
        <v/>
      </c>
      <c r="M4508" s="5" t="n"/>
      <c r="N4508" s="5" t="n"/>
      <c r="O4508" s="5" t="n"/>
      <c r="P4508" s="5" t="n"/>
      <c r="Q4508" s="5" t="n"/>
      <c r="R4508" s="4" t="n"/>
      <c r="S4508" s="4" t="n"/>
      <c r="T4508" s="5" t="n"/>
      <c r="U4508" s="8">
        <f>IF(AND(V4508=1,D4508&lt;&gt;""),IF(D4508&gt;=corte,TODAY()-D4508,""),"")</f>
        <v/>
      </c>
      <c r="V4508" s="8">
        <f>IF(D4508="",0,IF(OR(AND(P4508&lt;&gt;"",S4508=""),AND(N(J4508)&gt;0,N(K4508)&lt;J4508),OR(M4508="PENDENTE",M4508="PARCIAL"),OR(N4508="PENDENTE",N4508="PARCIAL")),1,0))</f>
        <v/>
      </c>
      <c r="W4508" s="8">
        <f>IF(AND(V4508=1,D4508&lt;&gt;""),IF(D4508&gt;=corte,(B4508="CRÍTICO")*1E9+(100000-D4508)*10000+10000-ROW(),""),"")</f>
        <v/>
      </c>
      <c r="X4508" s="8">
        <f>IF(AND(V4508=1,D4508=pas_data,E4508=pas_turno),10000-ROW(),"")</f>
        <v/>
      </c>
    </row>
    <row r="4509">
      <c r="A4509" s="3">
        <f>IF(D4509="","","TT-"&amp;TEXT(ROW()-1,"00000"))</f>
        <v/>
      </c>
      <c r="B4509" s="3">
        <f>IF(D4509="","",IF(V4509=0,"CONCLUÍDO",IF(D4509&lt;corte,"HISTÓRICO",IF(OR(AND(ISNUMBER(R4509),R4509&lt;TODAY()),AND(OR(N4509="PENDENTE",N4509="PARCIAL"),D4509&lt;TODAY()-1)),"CRÍTICO",IF(OR(AND(P4509&lt;&gt;"",S4509=""),AND(N4509="REALIZADO",M4509="PENDENTE"),AND(ISNUMBER(R4509),R4509=TODAY())),"ATENÇÃO",IF(N(K4509)=0,"PENDENTE","EM ANDAMENTO"))))))</f>
        <v/>
      </c>
      <c r="C4509" s="3">
        <f>IF(D4509="","",IF(V4509=0,"🟢 OK",IF(D4509&lt;corte,"⚪ HISTÓRICO (sem baixa)",IF(AND(ISNUMBER(R4509),R4509&lt;TODAY()),"🔴 PRAZO VENCIDO",IF(AND(OR(N4509="PENDENTE",N4509="PARCIAL"),D4509&lt;TODAY()-1),"🔴 EMBARQUE ATRASADO",IF(AND(N4509="REALIZADO",M4509="PENDENTE"),"🟡 EMBARCADO SEM FATURAR",IF(AND(P4509&lt;&gt;"",S4509="",OR(Q4509="",R4509="")),"🟡 PENDÊNCIA SEM RESPONSÁVEL/PRAZO",IF(AND(ISNUMBER(R4509),R4509=TODAY()),"🟡 VENCE HOJE",IF(AND(P4509&lt;&gt;"",S4509=""),"🟡 PENDÊNCIA ABERTA",IF(AND(N(J4509)&gt;0,N(K4509)&lt;J4509),"🟡 FALTA EXECUTAR",IF(OR(M4509="PENDENTE",M4509="PARCIAL"),"🟡 FATURAMENTO PENDENTE","🟡 EMBARQUE PENDENTE")))))))))))</f>
        <v/>
      </c>
      <c r="D4509" s="4" t="n"/>
      <c r="E4509" s="5" t="n"/>
      <c r="F4509" s="5" t="n"/>
      <c r="G4509" s="5" t="n"/>
      <c r="H4509" s="5" t="n"/>
      <c r="I4509" s="5" t="n"/>
      <c r="J4509" s="6" t="n"/>
      <c r="K4509" s="6" t="n"/>
      <c r="L4509" s="7">
        <f>IF(OR(D4509="",N(J4509)=0),"",MIN(1,N(K4509)/J4509))</f>
        <v/>
      </c>
      <c r="M4509" s="5" t="n"/>
      <c r="N4509" s="5" t="n"/>
      <c r="O4509" s="5" t="n"/>
      <c r="P4509" s="5" t="n"/>
      <c r="Q4509" s="5" t="n"/>
      <c r="R4509" s="4" t="n"/>
      <c r="S4509" s="4" t="n"/>
      <c r="T4509" s="5" t="n"/>
      <c r="U4509" s="8">
        <f>IF(AND(V4509=1,D4509&lt;&gt;""),IF(D4509&gt;=corte,TODAY()-D4509,""),"")</f>
        <v/>
      </c>
      <c r="V4509" s="8">
        <f>IF(D4509="",0,IF(OR(AND(P4509&lt;&gt;"",S4509=""),AND(N(J4509)&gt;0,N(K4509)&lt;J4509),OR(M4509="PENDENTE",M4509="PARCIAL"),OR(N4509="PENDENTE",N4509="PARCIAL")),1,0))</f>
        <v/>
      </c>
      <c r="W4509" s="8">
        <f>IF(AND(V4509=1,D4509&lt;&gt;""),IF(D4509&gt;=corte,(B4509="CRÍTICO")*1E9+(100000-D4509)*10000+10000-ROW(),""),"")</f>
        <v/>
      </c>
      <c r="X4509" s="8">
        <f>IF(AND(V4509=1,D4509=pas_data,E4509=pas_turno),10000-ROW(),"")</f>
        <v/>
      </c>
    </row>
    <row r="4510">
      <c r="A4510" s="3">
        <f>IF(D4510="","","TT-"&amp;TEXT(ROW()-1,"00000"))</f>
        <v/>
      </c>
      <c r="B4510" s="3">
        <f>IF(D4510="","",IF(V4510=0,"CONCLUÍDO",IF(D4510&lt;corte,"HISTÓRICO",IF(OR(AND(ISNUMBER(R4510),R4510&lt;TODAY()),AND(OR(N4510="PENDENTE",N4510="PARCIAL"),D4510&lt;TODAY()-1)),"CRÍTICO",IF(OR(AND(P4510&lt;&gt;"",S4510=""),AND(N4510="REALIZADO",M4510="PENDENTE"),AND(ISNUMBER(R4510),R4510=TODAY())),"ATENÇÃO",IF(N(K4510)=0,"PENDENTE","EM ANDAMENTO"))))))</f>
        <v/>
      </c>
      <c r="C4510" s="3">
        <f>IF(D4510="","",IF(V4510=0,"🟢 OK",IF(D4510&lt;corte,"⚪ HISTÓRICO (sem baixa)",IF(AND(ISNUMBER(R4510),R4510&lt;TODAY()),"🔴 PRAZO VENCIDO",IF(AND(OR(N4510="PENDENTE",N4510="PARCIAL"),D4510&lt;TODAY()-1),"🔴 EMBARQUE ATRASADO",IF(AND(N4510="REALIZADO",M4510="PENDENTE"),"🟡 EMBARCADO SEM FATURAR",IF(AND(P4510&lt;&gt;"",S4510="",OR(Q4510="",R4510="")),"🟡 PENDÊNCIA SEM RESPONSÁVEL/PRAZO",IF(AND(ISNUMBER(R4510),R4510=TODAY()),"🟡 VENCE HOJE",IF(AND(P4510&lt;&gt;"",S4510=""),"🟡 PENDÊNCIA ABERTA",IF(AND(N(J4510)&gt;0,N(K4510)&lt;J4510),"🟡 FALTA EXECUTAR",IF(OR(M4510="PENDENTE",M4510="PARCIAL"),"🟡 FATURAMENTO PENDENTE","🟡 EMBARQUE PENDENTE")))))))))))</f>
        <v/>
      </c>
      <c r="D4510" s="4" t="n"/>
      <c r="E4510" s="5" t="n"/>
      <c r="F4510" s="5" t="n"/>
      <c r="G4510" s="5" t="n"/>
      <c r="H4510" s="5" t="n"/>
      <c r="I4510" s="5" t="n"/>
      <c r="J4510" s="6" t="n"/>
      <c r="K4510" s="6" t="n"/>
      <c r="L4510" s="7">
        <f>IF(OR(D4510="",N(J4510)=0),"",MIN(1,N(K4510)/J4510))</f>
        <v/>
      </c>
      <c r="M4510" s="5" t="n"/>
      <c r="N4510" s="5" t="n"/>
      <c r="O4510" s="5" t="n"/>
      <c r="P4510" s="5" t="n"/>
      <c r="Q4510" s="5" t="n"/>
      <c r="R4510" s="4" t="n"/>
      <c r="S4510" s="4" t="n"/>
      <c r="T4510" s="5" t="n"/>
      <c r="U4510" s="8">
        <f>IF(AND(V4510=1,D4510&lt;&gt;""),IF(D4510&gt;=corte,TODAY()-D4510,""),"")</f>
        <v/>
      </c>
      <c r="V4510" s="8">
        <f>IF(D4510="",0,IF(OR(AND(P4510&lt;&gt;"",S4510=""),AND(N(J4510)&gt;0,N(K4510)&lt;J4510),OR(M4510="PENDENTE",M4510="PARCIAL"),OR(N4510="PENDENTE",N4510="PARCIAL")),1,0))</f>
        <v/>
      </c>
      <c r="W4510" s="8">
        <f>IF(AND(V4510=1,D4510&lt;&gt;""),IF(D4510&gt;=corte,(B4510="CRÍTICO")*1E9+(100000-D4510)*10000+10000-ROW(),""),"")</f>
        <v/>
      </c>
      <c r="X4510" s="8">
        <f>IF(AND(V4510=1,D4510=pas_data,E4510=pas_turno),10000-ROW(),"")</f>
        <v/>
      </c>
    </row>
    <row r="4511">
      <c r="A4511" s="3">
        <f>IF(D4511="","","TT-"&amp;TEXT(ROW()-1,"00000"))</f>
        <v/>
      </c>
      <c r="B4511" s="3">
        <f>IF(D4511="","",IF(V4511=0,"CONCLUÍDO",IF(D4511&lt;corte,"HISTÓRICO",IF(OR(AND(ISNUMBER(R4511),R4511&lt;TODAY()),AND(OR(N4511="PENDENTE",N4511="PARCIAL"),D4511&lt;TODAY()-1)),"CRÍTICO",IF(OR(AND(P4511&lt;&gt;"",S4511=""),AND(N4511="REALIZADO",M4511="PENDENTE"),AND(ISNUMBER(R4511),R4511=TODAY())),"ATENÇÃO",IF(N(K4511)=0,"PENDENTE","EM ANDAMENTO"))))))</f>
        <v/>
      </c>
      <c r="C4511" s="3">
        <f>IF(D4511="","",IF(V4511=0,"🟢 OK",IF(D4511&lt;corte,"⚪ HISTÓRICO (sem baixa)",IF(AND(ISNUMBER(R4511),R4511&lt;TODAY()),"🔴 PRAZO VENCIDO",IF(AND(OR(N4511="PENDENTE",N4511="PARCIAL"),D4511&lt;TODAY()-1),"🔴 EMBARQUE ATRASADO",IF(AND(N4511="REALIZADO",M4511="PENDENTE"),"🟡 EMBARCADO SEM FATURAR",IF(AND(P4511&lt;&gt;"",S4511="",OR(Q4511="",R4511="")),"🟡 PENDÊNCIA SEM RESPONSÁVEL/PRAZO",IF(AND(ISNUMBER(R4511),R4511=TODAY()),"🟡 VENCE HOJE",IF(AND(P4511&lt;&gt;"",S4511=""),"🟡 PENDÊNCIA ABERTA",IF(AND(N(J4511)&gt;0,N(K4511)&lt;J4511),"🟡 FALTA EXECUTAR",IF(OR(M4511="PENDENTE",M4511="PARCIAL"),"🟡 FATURAMENTO PENDENTE","🟡 EMBARQUE PENDENTE")))))))))))</f>
        <v/>
      </c>
      <c r="D4511" s="4" t="n"/>
      <c r="E4511" s="5" t="n"/>
      <c r="F4511" s="5" t="n"/>
      <c r="G4511" s="5" t="n"/>
      <c r="H4511" s="5" t="n"/>
      <c r="I4511" s="5" t="n"/>
      <c r="J4511" s="6" t="n"/>
      <c r="K4511" s="6" t="n"/>
      <c r="L4511" s="7">
        <f>IF(OR(D4511="",N(J4511)=0),"",MIN(1,N(K4511)/J4511))</f>
        <v/>
      </c>
      <c r="M4511" s="5" t="n"/>
      <c r="N4511" s="5" t="n"/>
      <c r="O4511" s="5" t="n"/>
      <c r="P4511" s="5" t="n"/>
      <c r="Q4511" s="5" t="n"/>
      <c r="R4511" s="4" t="n"/>
      <c r="S4511" s="4" t="n"/>
      <c r="T4511" s="5" t="n"/>
      <c r="U4511" s="8">
        <f>IF(AND(V4511=1,D4511&lt;&gt;""),IF(D4511&gt;=corte,TODAY()-D4511,""),"")</f>
        <v/>
      </c>
      <c r="V4511" s="8">
        <f>IF(D4511="",0,IF(OR(AND(P4511&lt;&gt;"",S4511=""),AND(N(J4511)&gt;0,N(K4511)&lt;J4511),OR(M4511="PENDENTE",M4511="PARCIAL"),OR(N4511="PENDENTE",N4511="PARCIAL")),1,0))</f>
        <v/>
      </c>
      <c r="W4511" s="8">
        <f>IF(AND(V4511=1,D4511&lt;&gt;""),IF(D4511&gt;=corte,(B4511="CRÍTICO")*1E9+(100000-D4511)*10000+10000-ROW(),""),"")</f>
        <v/>
      </c>
      <c r="X4511" s="8">
        <f>IF(AND(V4511=1,D4511=pas_data,E4511=pas_turno),10000-ROW(),"")</f>
        <v/>
      </c>
    </row>
    <row r="4512">
      <c r="A4512" s="3">
        <f>IF(D4512="","","TT-"&amp;TEXT(ROW()-1,"00000"))</f>
        <v/>
      </c>
      <c r="B4512" s="3">
        <f>IF(D4512="","",IF(V4512=0,"CONCLUÍDO",IF(D4512&lt;corte,"HISTÓRICO",IF(OR(AND(ISNUMBER(R4512),R4512&lt;TODAY()),AND(OR(N4512="PENDENTE",N4512="PARCIAL"),D4512&lt;TODAY()-1)),"CRÍTICO",IF(OR(AND(P4512&lt;&gt;"",S4512=""),AND(N4512="REALIZADO",M4512="PENDENTE"),AND(ISNUMBER(R4512),R4512=TODAY())),"ATENÇÃO",IF(N(K4512)=0,"PENDENTE","EM ANDAMENTO"))))))</f>
        <v/>
      </c>
      <c r="C4512" s="3">
        <f>IF(D4512="","",IF(V4512=0,"🟢 OK",IF(D4512&lt;corte,"⚪ HISTÓRICO (sem baixa)",IF(AND(ISNUMBER(R4512),R4512&lt;TODAY()),"🔴 PRAZO VENCIDO",IF(AND(OR(N4512="PENDENTE",N4512="PARCIAL"),D4512&lt;TODAY()-1),"🔴 EMBARQUE ATRASADO",IF(AND(N4512="REALIZADO",M4512="PENDENTE"),"🟡 EMBARCADO SEM FATURAR",IF(AND(P4512&lt;&gt;"",S4512="",OR(Q4512="",R4512="")),"🟡 PENDÊNCIA SEM RESPONSÁVEL/PRAZO",IF(AND(ISNUMBER(R4512),R4512=TODAY()),"🟡 VENCE HOJE",IF(AND(P4512&lt;&gt;"",S4512=""),"🟡 PENDÊNCIA ABERTA",IF(AND(N(J4512)&gt;0,N(K4512)&lt;J4512),"🟡 FALTA EXECUTAR",IF(OR(M4512="PENDENTE",M4512="PARCIAL"),"🟡 FATURAMENTO PENDENTE","🟡 EMBARQUE PENDENTE")))))))))))</f>
        <v/>
      </c>
      <c r="D4512" s="4" t="n"/>
      <c r="E4512" s="5" t="n"/>
      <c r="F4512" s="5" t="n"/>
      <c r="G4512" s="5" t="n"/>
      <c r="H4512" s="5" t="n"/>
      <c r="I4512" s="5" t="n"/>
      <c r="J4512" s="6" t="n"/>
      <c r="K4512" s="6" t="n"/>
      <c r="L4512" s="7">
        <f>IF(OR(D4512="",N(J4512)=0),"",MIN(1,N(K4512)/J4512))</f>
        <v/>
      </c>
      <c r="M4512" s="5" t="n"/>
      <c r="N4512" s="5" t="n"/>
      <c r="O4512" s="5" t="n"/>
      <c r="P4512" s="5" t="n"/>
      <c r="Q4512" s="5" t="n"/>
      <c r="R4512" s="4" t="n"/>
      <c r="S4512" s="4" t="n"/>
      <c r="T4512" s="5" t="n"/>
      <c r="U4512" s="8">
        <f>IF(AND(V4512=1,D4512&lt;&gt;""),IF(D4512&gt;=corte,TODAY()-D4512,""),"")</f>
        <v/>
      </c>
      <c r="V4512" s="8">
        <f>IF(D4512="",0,IF(OR(AND(P4512&lt;&gt;"",S4512=""),AND(N(J4512)&gt;0,N(K4512)&lt;J4512),OR(M4512="PENDENTE",M4512="PARCIAL"),OR(N4512="PENDENTE",N4512="PARCIAL")),1,0))</f>
        <v/>
      </c>
      <c r="W4512" s="8">
        <f>IF(AND(V4512=1,D4512&lt;&gt;""),IF(D4512&gt;=corte,(B4512="CRÍTICO")*1E9+(100000-D4512)*10000+10000-ROW(),""),"")</f>
        <v/>
      </c>
      <c r="X4512" s="8">
        <f>IF(AND(V4512=1,D4512=pas_data,E4512=pas_turno),10000-ROW(),"")</f>
        <v/>
      </c>
    </row>
    <row r="4513">
      <c r="A4513" s="3">
        <f>IF(D4513="","","TT-"&amp;TEXT(ROW()-1,"00000"))</f>
        <v/>
      </c>
      <c r="B4513" s="3">
        <f>IF(D4513="","",IF(V4513=0,"CONCLUÍDO",IF(D4513&lt;corte,"HISTÓRICO",IF(OR(AND(ISNUMBER(R4513),R4513&lt;TODAY()),AND(OR(N4513="PENDENTE",N4513="PARCIAL"),D4513&lt;TODAY()-1)),"CRÍTICO",IF(OR(AND(P4513&lt;&gt;"",S4513=""),AND(N4513="REALIZADO",M4513="PENDENTE"),AND(ISNUMBER(R4513),R4513=TODAY())),"ATENÇÃO",IF(N(K4513)=0,"PENDENTE","EM ANDAMENTO"))))))</f>
        <v/>
      </c>
      <c r="C4513" s="3">
        <f>IF(D4513="","",IF(V4513=0,"🟢 OK",IF(D4513&lt;corte,"⚪ HISTÓRICO (sem baixa)",IF(AND(ISNUMBER(R4513),R4513&lt;TODAY()),"🔴 PRAZO VENCIDO",IF(AND(OR(N4513="PENDENTE",N4513="PARCIAL"),D4513&lt;TODAY()-1),"🔴 EMBARQUE ATRASADO",IF(AND(N4513="REALIZADO",M4513="PENDENTE"),"🟡 EMBARCADO SEM FATURAR",IF(AND(P4513&lt;&gt;"",S4513="",OR(Q4513="",R4513="")),"🟡 PENDÊNCIA SEM RESPONSÁVEL/PRAZO",IF(AND(ISNUMBER(R4513),R4513=TODAY()),"🟡 VENCE HOJE",IF(AND(P4513&lt;&gt;"",S4513=""),"🟡 PENDÊNCIA ABERTA",IF(AND(N(J4513)&gt;0,N(K4513)&lt;J4513),"🟡 FALTA EXECUTAR",IF(OR(M4513="PENDENTE",M4513="PARCIAL"),"🟡 FATURAMENTO PENDENTE","🟡 EMBARQUE PENDENTE")))))))))))</f>
        <v/>
      </c>
      <c r="D4513" s="4" t="n"/>
      <c r="E4513" s="5" t="n"/>
      <c r="F4513" s="5" t="n"/>
      <c r="G4513" s="5" t="n"/>
      <c r="H4513" s="5" t="n"/>
      <c r="I4513" s="5" t="n"/>
      <c r="J4513" s="6" t="n"/>
      <c r="K4513" s="6" t="n"/>
      <c r="L4513" s="7">
        <f>IF(OR(D4513="",N(J4513)=0),"",MIN(1,N(K4513)/J4513))</f>
        <v/>
      </c>
      <c r="M4513" s="5" t="n"/>
      <c r="N4513" s="5" t="n"/>
      <c r="O4513" s="5" t="n"/>
      <c r="P4513" s="5" t="n"/>
      <c r="Q4513" s="5" t="n"/>
      <c r="R4513" s="4" t="n"/>
      <c r="S4513" s="4" t="n"/>
      <c r="T4513" s="5" t="n"/>
      <c r="U4513" s="8">
        <f>IF(AND(V4513=1,D4513&lt;&gt;""),IF(D4513&gt;=corte,TODAY()-D4513,""),"")</f>
        <v/>
      </c>
      <c r="V4513" s="8">
        <f>IF(D4513="",0,IF(OR(AND(P4513&lt;&gt;"",S4513=""),AND(N(J4513)&gt;0,N(K4513)&lt;J4513),OR(M4513="PENDENTE",M4513="PARCIAL"),OR(N4513="PENDENTE",N4513="PARCIAL")),1,0))</f>
        <v/>
      </c>
      <c r="W4513" s="8">
        <f>IF(AND(V4513=1,D4513&lt;&gt;""),IF(D4513&gt;=corte,(B4513="CRÍTICO")*1E9+(100000-D4513)*10000+10000-ROW(),""),"")</f>
        <v/>
      </c>
      <c r="X4513" s="8">
        <f>IF(AND(V4513=1,D4513=pas_data,E4513=pas_turno),10000-ROW(),"")</f>
        <v/>
      </c>
    </row>
    <row r="4514">
      <c r="A4514" s="3">
        <f>IF(D4514="","","TT-"&amp;TEXT(ROW()-1,"00000"))</f>
        <v/>
      </c>
      <c r="B4514" s="3">
        <f>IF(D4514="","",IF(V4514=0,"CONCLUÍDO",IF(D4514&lt;corte,"HISTÓRICO",IF(OR(AND(ISNUMBER(R4514),R4514&lt;TODAY()),AND(OR(N4514="PENDENTE",N4514="PARCIAL"),D4514&lt;TODAY()-1)),"CRÍTICO",IF(OR(AND(P4514&lt;&gt;"",S4514=""),AND(N4514="REALIZADO",M4514="PENDENTE"),AND(ISNUMBER(R4514),R4514=TODAY())),"ATENÇÃO",IF(N(K4514)=0,"PENDENTE","EM ANDAMENTO"))))))</f>
        <v/>
      </c>
      <c r="C4514" s="3">
        <f>IF(D4514="","",IF(V4514=0,"🟢 OK",IF(D4514&lt;corte,"⚪ HISTÓRICO (sem baixa)",IF(AND(ISNUMBER(R4514),R4514&lt;TODAY()),"🔴 PRAZO VENCIDO",IF(AND(OR(N4514="PENDENTE",N4514="PARCIAL"),D4514&lt;TODAY()-1),"🔴 EMBARQUE ATRASADO",IF(AND(N4514="REALIZADO",M4514="PENDENTE"),"🟡 EMBARCADO SEM FATURAR",IF(AND(P4514&lt;&gt;"",S4514="",OR(Q4514="",R4514="")),"🟡 PENDÊNCIA SEM RESPONSÁVEL/PRAZO",IF(AND(ISNUMBER(R4514),R4514=TODAY()),"🟡 VENCE HOJE",IF(AND(P4514&lt;&gt;"",S4514=""),"🟡 PENDÊNCIA ABERTA",IF(AND(N(J4514)&gt;0,N(K4514)&lt;J4514),"🟡 FALTA EXECUTAR",IF(OR(M4514="PENDENTE",M4514="PARCIAL"),"🟡 FATURAMENTO PENDENTE","🟡 EMBARQUE PENDENTE")))))))))))</f>
        <v/>
      </c>
      <c r="D4514" s="4" t="n"/>
      <c r="E4514" s="5" t="n"/>
      <c r="F4514" s="5" t="n"/>
      <c r="G4514" s="5" t="n"/>
      <c r="H4514" s="5" t="n"/>
      <c r="I4514" s="5" t="n"/>
      <c r="J4514" s="6" t="n"/>
      <c r="K4514" s="6" t="n"/>
      <c r="L4514" s="7">
        <f>IF(OR(D4514="",N(J4514)=0),"",MIN(1,N(K4514)/J4514))</f>
        <v/>
      </c>
      <c r="M4514" s="5" t="n"/>
      <c r="N4514" s="5" t="n"/>
      <c r="O4514" s="5" t="n"/>
      <c r="P4514" s="5" t="n"/>
      <c r="Q4514" s="5" t="n"/>
      <c r="R4514" s="4" t="n"/>
      <c r="S4514" s="4" t="n"/>
      <c r="T4514" s="5" t="n"/>
      <c r="U4514" s="8">
        <f>IF(AND(V4514=1,D4514&lt;&gt;""),IF(D4514&gt;=corte,TODAY()-D4514,""),"")</f>
        <v/>
      </c>
      <c r="V4514" s="8">
        <f>IF(D4514="",0,IF(OR(AND(P4514&lt;&gt;"",S4514=""),AND(N(J4514)&gt;0,N(K4514)&lt;J4514),OR(M4514="PENDENTE",M4514="PARCIAL"),OR(N4514="PENDENTE",N4514="PARCIAL")),1,0))</f>
        <v/>
      </c>
      <c r="W4514" s="8">
        <f>IF(AND(V4514=1,D4514&lt;&gt;""),IF(D4514&gt;=corte,(B4514="CRÍTICO")*1E9+(100000-D4514)*10000+10000-ROW(),""),"")</f>
        <v/>
      </c>
      <c r="X4514" s="8">
        <f>IF(AND(V4514=1,D4514=pas_data,E4514=pas_turno),10000-ROW(),"")</f>
        <v/>
      </c>
    </row>
    <row r="4515">
      <c r="A4515" s="3">
        <f>IF(D4515="","","TT-"&amp;TEXT(ROW()-1,"00000"))</f>
        <v/>
      </c>
      <c r="B4515" s="3">
        <f>IF(D4515="","",IF(V4515=0,"CONCLUÍDO",IF(D4515&lt;corte,"HISTÓRICO",IF(OR(AND(ISNUMBER(R4515),R4515&lt;TODAY()),AND(OR(N4515="PENDENTE",N4515="PARCIAL"),D4515&lt;TODAY()-1)),"CRÍTICO",IF(OR(AND(P4515&lt;&gt;"",S4515=""),AND(N4515="REALIZADO",M4515="PENDENTE"),AND(ISNUMBER(R4515),R4515=TODAY())),"ATENÇÃO",IF(N(K4515)=0,"PENDENTE","EM ANDAMENTO"))))))</f>
        <v/>
      </c>
      <c r="C4515" s="3">
        <f>IF(D4515="","",IF(V4515=0,"🟢 OK",IF(D4515&lt;corte,"⚪ HISTÓRICO (sem baixa)",IF(AND(ISNUMBER(R4515),R4515&lt;TODAY()),"🔴 PRAZO VENCIDO",IF(AND(OR(N4515="PENDENTE",N4515="PARCIAL"),D4515&lt;TODAY()-1),"🔴 EMBARQUE ATRASADO",IF(AND(N4515="REALIZADO",M4515="PENDENTE"),"🟡 EMBARCADO SEM FATURAR",IF(AND(P4515&lt;&gt;"",S4515="",OR(Q4515="",R4515="")),"🟡 PENDÊNCIA SEM RESPONSÁVEL/PRAZO",IF(AND(ISNUMBER(R4515),R4515=TODAY()),"🟡 VENCE HOJE",IF(AND(P4515&lt;&gt;"",S4515=""),"🟡 PENDÊNCIA ABERTA",IF(AND(N(J4515)&gt;0,N(K4515)&lt;J4515),"🟡 FALTA EXECUTAR",IF(OR(M4515="PENDENTE",M4515="PARCIAL"),"🟡 FATURAMENTO PENDENTE","🟡 EMBARQUE PENDENTE")))))))))))</f>
        <v/>
      </c>
      <c r="D4515" s="4" t="n"/>
      <c r="E4515" s="5" t="n"/>
      <c r="F4515" s="5" t="n"/>
      <c r="G4515" s="5" t="n"/>
      <c r="H4515" s="5" t="n"/>
      <c r="I4515" s="5" t="n"/>
      <c r="J4515" s="6" t="n"/>
      <c r="K4515" s="6" t="n"/>
      <c r="L4515" s="7">
        <f>IF(OR(D4515="",N(J4515)=0),"",MIN(1,N(K4515)/J4515))</f>
        <v/>
      </c>
      <c r="M4515" s="5" t="n"/>
      <c r="N4515" s="5" t="n"/>
      <c r="O4515" s="5" t="n"/>
      <c r="P4515" s="5" t="n"/>
      <c r="Q4515" s="5" t="n"/>
      <c r="R4515" s="4" t="n"/>
      <c r="S4515" s="4" t="n"/>
      <c r="T4515" s="5" t="n"/>
      <c r="U4515" s="8">
        <f>IF(AND(V4515=1,D4515&lt;&gt;""),IF(D4515&gt;=corte,TODAY()-D4515,""),"")</f>
        <v/>
      </c>
      <c r="V4515" s="8">
        <f>IF(D4515="",0,IF(OR(AND(P4515&lt;&gt;"",S4515=""),AND(N(J4515)&gt;0,N(K4515)&lt;J4515),OR(M4515="PENDENTE",M4515="PARCIAL"),OR(N4515="PENDENTE",N4515="PARCIAL")),1,0))</f>
        <v/>
      </c>
      <c r="W4515" s="8">
        <f>IF(AND(V4515=1,D4515&lt;&gt;""),IF(D4515&gt;=corte,(B4515="CRÍTICO")*1E9+(100000-D4515)*10000+10000-ROW(),""),"")</f>
        <v/>
      </c>
      <c r="X4515" s="8">
        <f>IF(AND(V4515=1,D4515=pas_data,E4515=pas_turno),10000-ROW(),"")</f>
        <v/>
      </c>
    </row>
    <row r="4516">
      <c r="A4516" s="3">
        <f>IF(D4516="","","TT-"&amp;TEXT(ROW()-1,"00000"))</f>
        <v/>
      </c>
      <c r="B4516" s="3">
        <f>IF(D4516="","",IF(V4516=0,"CONCLUÍDO",IF(D4516&lt;corte,"HISTÓRICO",IF(OR(AND(ISNUMBER(R4516),R4516&lt;TODAY()),AND(OR(N4516="PENDENTE",N4516="PARCIAL"),D4516&lt;TODAY()-1)),"CRÍTICO",IF(OR(AND(P4516&lt;&gt;"",S4516=""),AND(N4516="REALIZADO",M4516="PENDENTE"),AND(ISNUMBER(R4516),R4516=TODAY())),"ATENÇÃO",IF(N(K4516)=0,"PENDENTE","EM ANDAMENTO"))))))</f>
        <v/>
      </c>
      <c r="C4516" s="3">
        <f>IF(D4516="","",IF(V4516=0,"🟢 OK",IF(D4516&lt;corte,"⚪ HISTÓRICO (sem baixa)",IF(AND(ISNUMBER(R4516),R4516&lt;TODAY()),"🔴 PRAZO VENCIDO",IF(AND(OR(N4516="PENDENTE",N4516="PARCIAL"),D4516&lt;TODAY()-1),"🔴 EMBARQUE ATRASADO",IF(AND(N4516="REALIZADO",M4516="PENDENTE"),"🟡 EMBARCADO SEM FATURAR",IF(AND(P4516&lt;&gt;"",S4516="",OR(Q4516="",R4516="")),"🟡 PENDÊNCIA SEM RESPONSÁVEL/PRAZO",IF(AND(ISNUMBER(R4516),R4516=TODAY()),"🟡 VENCE HOJE",IF(AND(P4516&lt;&gt;"",S4516=""),"🟡 PENDÊNCIA ABERTA",IF(AND(N(J4516)&gt;0,N(K4516)&lt;J4516),"🟡 FALTA EXECUTAR",IF(OR(M4516="PENDENTE",M4516="PARCIAL"),"🟡 FATURAMENTO PENDENTE","🟡 EMBARQUE PENDENTE")))))))))))</f>
        <v/>
      </c>
      <c r="D4516" s="4" t="n"/>
      <c r="E4516" s="5" t="n"/>
      <c r="F4516" s="5" t="n"/>
      <c r="G4516" s="5" t="n"/>
      <c r="H4516" s="5" t="n"/>
      <c r="I4516" s="5" t="n"/>
      <c r="J4516" s="6" t="n"/>
      <c r="K4516" s="6" t="n"/>
      <c r="L4516" s="7">
        <f>IF(OR(D4516="",N(J4516)=0),"",MIN(1,N(K4516)/J4516))</f>
        <v/>
      </c>
      <c r="M4516" s="5" t="n"/>
      <c r="N4516" s="5" t="n"/>
      <c r="O4516" s="5" t="n"/>
      <c r="P4516" s="5" t="n"/>
      <c r="Q4516" s="5" t="n"/>
      <c r="R4516" s="4" t="n"/>
      <c r="S4516" s="4" t="n"/>
      <c r="T4516" s="5" t="n"/>
      <c r="U4516" s="8">
        <f>IF(AND(V4516=1,D4516&lt;&gt;""),IF(D4516&gt;=corte,TODAY()-D4516,""),"")</f>
        <v/>
      </c>
      <c r="V4516" s="8">
        <f>IF(D4516="",0,IF(OR(AND(P4516&lt;&gt;"",S4516=""),AND(N(J4516)&gt;0,N(K4516)&lt;J4516),OR(M4516="PENDENTE",M4516="PARCIAL"),OR(N4516="PENDENTE",N4516="PARCIAL")),1,0))</f>
        <v/>
      </c>
      <c r="W4516" s="8">
        <f>IF(AND(V4516=1,D4516&lt;&gt;""),IF(D4516&gt;=corte,(B4516="CRÍTICO")*1E9+(100000-D4516)*10000+10000-ROW(),""),"")</f>
        <v/>
      </c>
      <c r="X4516" s="8">
        <f>IF(AND(V4516=1,D4516=pas_data,E4516=pas_turno),10000-ROW(),"")</f>
        <v/>
      </c>
    </row>
    <row r="4517">
      <c r="A4517" s="3">
        <f>IF(D4517="","","TT-"&amp;TEXT(ROW()-1,"00000"))</f>
        <v/>
      </c>
      <c r="B4517" s="3">
        <f>IF(D4517="","",IF(V4517=0,"CONCLUÍDO",IF(D4517&lt;corte,"HISTÓRICO",IF(OR(AND(ISNUMBER(R4517),R4517&lt;TODAY()),AND(OR(N4517="PENDENTE",N4517="PARCIAL"),D4517&lt;TODAY()-1)),"CRÍTICO",IF(OR(AND(P4517&lt;&gt;"",S4517=""),AND(N4517="REALIZADO",M4517="PENDENTE"),AND(ISNUMBER(R4517),R4517=TODAY())),"ATENÇÃO",IF(N(K4517)=0,"PENDENTE","EM ANDAMENTO"))))))</f>
        <v/>
      </c>
      <c r="C4517" s="3">
        <f>IF(D4517="","",IF(V4517=0,"🟢 OK",IF(D4517&lt;corte,"⚪ HISTÓRICO (sem baixa)",IF(AND(ISNUMBER(R4517),R4517&lt;TODAY()),"🔴 PRAZO VENCIDO",IF(AND(OR(N4517="PENDENTE",N4517="PARCIAL"),D4517&lt;TODAY()-1),"🔴 EMBARQUE ATRASADO",IF(AND(N4517="REALIZADO",M4517="PENDENTE"),"🟡 EMBARCADO SEM FATURAR",IF(AND(P4517&lt;&gt;"",S4517="",OR(Q4517="",R4517="")),"🟡 PENDÊNCIA SEM RESPONSÁVEL/PRAZO",IF(AND(ISNUMBER(R4517),R4517=TODAY()),"🟡 VENCE HOJE",IF(AND(P4517&lt;&gt;"",S4517=""),"🟡 PENDÊNCIA ABERTA",IF(AND(N(J4517)&gt;0,N(K4517)&lt;J4517),"🟡 FALTA EXECUTAR",IF(OR(M4517="PENDENTE",M4517="PARCIAL"),"🟡 FATURAMENTO PENDENTE","🟡 EMBARQUE PENDENTE")))))))))))</f>
        <v/>
      </c>
      <c r="D4517" s="4" t="n"/>
      <c r="E4517" s="5" t="n"/>
      <c r="F4517" s="5" t="n"/>
      <c r="G4517" s="5" t="n"/>
      <c r="H4517" s="5" t="n"/>
      <c r="I4517" s="5" t="n"/>
      <c r="J4517" s="6" t="n"/>
      <c r="K4517" s="6" t="n"/>
      <c r="L4517" s="7">
        <f>IF(OR(D4517="",N(J4517)=0),"",MIN(1,N(K4517)/J4517))</f>
        <v/>
      </c>
      <c r="M4517" s="5" t="n"/>
      <c r="N4517" s="5" t="n"/>
      <c r="O4517" s="5" t="n"/>
      <c r="P4517" s="5" t="n"/>
      <c r="Q4517" s="5" t="n"/>
      <c r="R4517" s="4" t="n"/>
      <c r="S4517" s="4" t="n"/>
      <c r="T4517" s="5" t="n"/>
      <c r="U4517" s="8">
        <f>IF(AND(V4517=1,D4517&lt;&gt;""),IF(D4517&gt;=corte,TODAY()-D4517,""),"")</f>
        <v/>
      </c>
      <c r="V4517" s="8">
        <f>IF(D4517="",0,IF(OR(AND(P4517&lt;&gt;"",S4517=""),AND(N(J4517)&gt;0,N(K4517)&lt;J4517),OR(M4517="PENDENTE",M4517="PARCIAL"),OR(N4517="PENDENTE",N4517="PARCIAL")),1,0))</f>
        <v/>
      </c>
      <c r="W4517" s="8">
        <f>IF(AND(V4517=1,D4517&lt;&gt;""),IF(D4517&gt;=corte,(B4517="CRÍTICO")*1E9+(100000-D4517)*10000+10000-ROW(),""),"")</f>
        <v/>
      </c>
      <c r="X4517" s="8">
        <f>IF(AND(V4517=1,D4517=pas_data,E4517=pas_turno),10000-ROW(),"")</f>
        <v/>
      </c>
    </row>
    <row r="4518">
      <c r="A4518" s="3">
        <f>IF(D4518="","","TT-"&amp;TEXT(ROW()-1,"00000"))</f>
        <v/>
      </c>
      <c r="B4518" s="3">
        <f>IF(D4518="","",IF(V4518=0,"CONCLUÍDO",IF(D4518&lt;corte,"HISTÓRICO",IF(OR(AND(ISNUMBER(R4518),R4518&lt;TODAY()),AND(OR(N4518="PENDENTE",N4518="PARCIAL"),D4518&lt;TODAY()-1)),"CRÍTICO",IF(OR(AND(P4518&lt;&gt;"",S4518=""),AND(N4518="REALIZADO",M4518="PENDENTE"),AND(ISNUMBER(R4518),R4518=TODAY())),"ATENÇÃO",IF(N(K4518)=0,"PENDENTE","EM ANDAMENTO"))))))</f>
        <v/>
      </c>
      <c r="C4518" s="3">
        <f>IF(D4518="","",IF(V4518=0,"🟢 OK",IF(D4518&lt;corte,"⚪ HISTÓRICO (sem baixa)",IF(AND(ISNUMBER(R4518),R4518&lt;TODAY()),"🔴 PRAZO VENCIDO",IF(AND(OR(N4518="PENDENTE",N4518="PARCIAL"),D4518&lt;TODAY()-1),"🔴 EMBARQUE ATRASADO",IF(AND(N4518="REALIZADO",M4518="PENDENTE"),"🟡 EMBARCADO SEM FATURAR",IF(AND(P4518&lt;&gt;"",S4518="",OR(Q4518="",R4518="")),"🟡 PENDÊNCIA SEM RESPONSÁVEL/PRAZO",IF(AND(ISNUMBER(R4518),R4518=TODAY()),"🟡 VENCE HOJE",IF(AND(P4518&lt;&gt;"",S4518=""),"🟡 PENDÊNCIA ABERTA",IF(AND(N(J4518)&gt;0,N(K4518)&lt;J4518),"🟡 FALTA EXECUTAR",IF(OR(M4518="PENDENTE",M4518="PARCIAL"),"🟡 FATURAMENTO PENDENTE","🟡 EMBARQUE PENDENTE")))))))))))</f>
        <v/>
      </c>
      <c r="D4518" s="4" t="n"/>
      <c r="E4518" s="5" t="n"/>
      <c r="F4518" s="5" t="n"/>
      <c r="G4518" s="5" t="n"/>
      <c r="H4518" s="5" t="n"/>
      <c r="I4518" s="5" t="n"/>
      <c r="J4518" s="6" t="n"/>
      <c r="K4518" s="6" t="n"/>
      <c r="L4518" s="7">
        <f>IF(OR(D4518="",N(J4518)=0),"",MIN(1,N(K4518)/J4518))</f>
        <v/>
      </c>
      <c r="M4518" s="5" t="n"/>
      <c r="N4518" s="5" t="n"/>
      <c r="O4518" s="5" t="n"/>
      <c r="P4518" s="5" t="n"/>
      <c r="Q4518" s="5" t="n"/>
      <c r="R4518" s="4" t="n"/>
      <c r="S4518" s="4" t="n"/>
      <c r="T4518" s="5" t="n"/>
      <c r="U4518" s="8">
        <f>IF(AND(V4518=1,D4518&lt;&gt;""),IF(D4518&gt;=corte,TODAY()-D4518,""),"")</f>
        <v/>
      </c>
      <c r="V4518" s="8">
        <f>IF(D4518="",0,IF(OR(AND(P4518&lt;&gt;"",S4518=""),AND(N(J4518)&gt;0,N(K4518)&lt;J4518),OR(M4518="PENDENTE",M4518="PARCIAL"),OR(N4518="PENDENTE",N4518="PARCIAL")),1,0))</f>
        <v/>
      </c>
      <c r="W4518" s="8">
        <f>IF(AND(V4518=1,D4518&lt;&gt;""),IF(D4518&gt;=corte,(B4518="CRÍTICO")*1E9+(100000-D4518)*10000+10000-ROW(),""),"")</f>
        <v/>
      </c>
      <c r="X4518" s="8">
        <f>IF(AND(V4518=1,D4518=pas_data,E4518=pas_turno),10000-ROW(),"")</f>
        <v/>
      </c>
    </row>
    <row r="4519">
      <c r="A4519" s="3">
        <f>IF(D4519="","","TT-"&amp;TEXT(ROW()-1,"00000"))</f>
        <v/>
      </c>
      <c r="B4519" s="3">
        <f>IF(D4519="","",IF(V4519=0,"CONCLUÍDO",IF(D4519&lt;corte,"HISTÓRICO",IF(OR(AND(ISNUMBER(R4519),R4519&lt;TODAY()),AND(OR(N4519="PENDENTE",N4519="PARCIAL"),D4519&lt;TODAY()-1)),"CRÍTICO",IF(OR(AND(P4519&lt;&gt;"",S4519=""),AND(N4519="REALIZADO",M4519="PENDENTE"),AND(ISNUMBER(R4519),R4519=TODAY())),"ATENÇÃO",IF(N(K4519)=0,"PENDENTE","EM ANDAMENTO"))))))</f>
        <v/>
      </c>
      <c r="C4519" s="3">
        <f>IF(D4519="","",IF(V4519=0,"🟢 OK",IF(D4519&lt;corte,"⚪ HISTÓRICO (sem baixa)",IF(AND(ISNUMBER(R4519),R4519&lt;TODAY()),"🔴 PRAZO VENCIDO",IF(AND(OR(N4519="PENDENTE",N4519="PARCIAL"),D4519&lt;TODAY()-1),"🔴 EMBARQUE ATRASADO",IF(AND(N4519="REALIZADO",M4519="PENDENTE"),"🟡 EMBARCADO SEM FATURAR",IF(AND(P4519&lt;&gt;"",S4519="",OR(Q4519="",R4519="")),"🟡 PENDÊNCIA SEM RESPONSÁVEL/PRAZO",IF(AND(ISNUMBER(R4519),R4519=TODAY()),"🟡 VENCE HOJE",IF(AND(P4519&lt;&gt;"",S4519=""),"🟡 PENDÊNCIA ABERTA",IF(AND(N(J4519)&gt;0,N(K4519)&lt;J4519),"🟡 FALTA EXECUTAR",IF(OR(M4519="PENDENTE",M4519="PARCIAL"),"🟡 FATURAMENTO PENDENTE","🟡 EMBARQUE PENDENTE")))))))))))</f>
        <v/>
      </c>
      <c r="D4519" s="4" t="n"/>
      <c r="E4519" s="5" t="n"/>
      <c r="F4519" s="5" t="n"/>
      <c r="G4519" s="5" t="n"/>
      <c r="H4519" s="5" t="n"/>
      <c r="I4519" s="5" t="n"/>
      <c r="J4519" s="6" t="n"/>
      <c r="K4519" s="6" t="n"/>
      <c r="L4519" s="7">
        <f>IF(OR(D4519="",N(J4519)=0),"",MIN(1,N(K4519)/J4519))</f>
        <v/>
      </c>
      <c r="M4519" s="5" t="n"/>
      <c r="N4519" s="5" t="n"/>
      <c r="O4519" s="5" t="n"/>
      <c r="P4519" s="5" t="n"/>
      <c r="Q4519" s="5" t="n"/>
      <c r="R4519" s="4" t="n"/>
      <c r="S4519" s="4" t="n"/>
      <c r="T4519" s="5" t="n"/>
      <c r="U4519" s="8">
        <f>IF(AND(V4519=1,D4519&lt;&gt;""),IF(D4519&gt;=corte,TODAY()-D4519,""),"")</f>
        <v/>
      </c>
      <c r="V4519" s="8">
        <f>IF(D4519="",0,IF(OR(AND(P4519&lt;&gt;"",S4519=""),AND(N(J4519)&gt;0,N(K4519)&lt;J4519),OR(M4519="PENDENTE",M4519="PARCIAL"),OR(N4519="PENDENTE",N4519="PARCIAL")),1,0))</f>
        <v/>
      </c>
      <c r="W4519" s="8">
        <f>IF(AND(V4519=1,D4519&lt;&gt;""),IF(D4519&gt;=corte,(B4519="CRÍTICO")*1E9+(100000-D4519)*10000+10000-ROW(),""),"")</f>
        <v/>
      </c>
      <c r="X4519" s="8">
        <f>IF(AND(V4519=1,D4519=pas_data,E4519=pas_turno),10000-ROW(),"")</f>
        <v/>
      </c>
    </row>
    <row r="4520">
      <c r="A4520" s="3">
        <f>IF(D4520="","","TT-"&amp;TEXT(ROW()-1,"00000"))</f>
        <v/>
      </c>
      <c r="B4520" s="3">
        <f>IF(D4520="","",IF(V4520=0,"CONCLUÍDO",IF(D4520&lt;corte,"HISTÓRICO",IF(OR(AND(ISNUMBER(R4520),R4520&lt;TODAY()),AND(OR(N4520="PENDENTE",N4520="PARCIAL"),D4520&lt;TODAY()-1)),"CRÍTICO",IF(OR(AND(P4520&lt;&gt;"",S4520=""),AND(N4520="REALIZADO",M4520="PENDENTE"),AND(ISNUMBER(R4520),R4520=TODAY())),"ATENÇÃO",IF(N(K4520)=0,"PENDENTE","EM ANDAMENTO"))))))</f>
        <v/>
      </c>
      <c r="C4520" s="3">
        <f>IF(D4520="","",IF(V4520=0,"🟢 OK",IF(D4520&lt;corte,"⚪ HISTÓRICO (sem baixa)",IF(AND(ISNUMBER(R4520),R4520&lt;TODAY()),"🔴 PRAZO VENCIDO",IF(AND(OR(N4520="PENDENTE",N4520="PARCIAL"),D4520&lt;TODAY()-1),"🔴 EMBARQUE ATRASADO",IF(AND(N4520="REALIZADO",M4520="PENDENTE"),"🟡 EMBARCADO SEM FATURAR",IF(AND(P4520&lt;&gt;"",S4520="",OR(Q4520="",R4520="")),"🟡 PENDÊNCIA SEM RESPONSÁVEL/PRAZO",IF(AND(ISNUMBER(R4520),R4520=TODAY()),"🟡 VENCE HOJE",IF(AND(P4520&lt;&gt;"",S4520=""),"🟡 PENDÊNCIA ABERTA",IF(AND(N(J4520)&gt;0,N(K4520)&lt;J4520),"🟡 FALTA EXECUTAR",IF(OR(M4520="PENDENTE",M4520="PARCIAL"),"🟡 FATURAMENTO PENDENTE","🟡 EMBARQUE PENDENTE")))))))))))</f>
        <v/>
      </c>
      <c r="D4520" s="4" t="n"/>
      <c r="E4520" s="5" t="n"/>
      <c r="F4520" s="5" t="n"/>
      <c r="G4520" s="5" t="n"/>
      <c r="H4520" s="5" t="n"/>
      <c r="I4520" s="5" t="n"/>
      <c r="J4520" s="6" t="n"/>
      <c r="K4520" s="6" t="n"/>
      <c r="L4520" s="7">
        <f>IF(OR(D4520="",N(J4520)=0),"",MIN(1,N(K4520)/J4520))</f>
        <v/>
      </c>
      <c r="M4520" s="5" t="n"/>
      <c r="N4520" s="5" t="n"/>
      <c r="O4520" s="5" t="n"/>
      <c r="P4520" s="5" t="n"/>
      <c r="Q4520" s="5" t="n"/>
      <c r="R4520" s="4" t="n"/>
      <c r="S4520" s="4" t="n"/>
      <c r="T4520" s="5" t="n"/>
      <c r="U4520" s="8">
        <f>IF(AND(V4520=1,D4520&lt;&gt;""),IF(D4520&gt;=corte,TODAY()-D4520,""),"")</f>
        <v/>
      </c>
      <c r="V4520" s="8">
        <f>IF(D4520="",0,IF(OR(AND(P4520&lt;&gt;"",S4520=""),AND(N(J4520)&gt;0,N(K4520)&lt;J4520),OR(M4520="PENDENTE",M4520="PARCIAL"),OR(N4520="PENDENTE",N4520="PARCIAL")),1,0))</f>
        <v/>
      </c>
      <c r="W4520" s="8">
        <f>IF(AND(V4520=1,D4520&lt;&gt;""),IF(D4520&gt;=corte,(B4520="CRÍTICO")*1E9+(100000-D4520)*10000+10000-ROW(),""),"")</f>
        <v/>
      </c>
      <c r="X4520" s="8">
        <f>IF(AND(V4520=1,D4520=pas_data,E4520=pas_turno),10000-ROW(),"")</f>
        <v/>
      </c>
    </row>
    <row r="4521">
      <c r="A4521" s="3">
        <f>IF(D4521="","","TT-"&amp;TEXT(ROW()-1,"00000"))</f>
        <v/>
      </c>
      <c r="B4521" s="3">
        <f>IF(D4521="","",IF(V4521=0,"CONCLUÍDO",IF(D4521&lt;corte,"HISTÓRICO",IF(OR(AND(ISNUMBER(R4521),R4521&lt;TODAY()),AND(OR(N4521="PENDENTE",N4521="PARCIAL"),D4521&lt;TODAY()-1)),"CRÍTICO",IF(OR(AND(P4521&lt;&gt;"",S4521=""),AND(N4521="REALIZADO",M4521="PENDENTE"),AND(ISNUMBER(R4521),R4521=TODAY())),"ATENÇÃO",IF(N(K4521)=0,"PENDENTE","EM ANDAMENTO"))))))</f>
        <v/>
      </c>
      <c r="C4521" s="3">
        <f>IF(D4521="","",IF(V4521=0,"🟢 OK",IF(D4521&lt;corte,"⚪ HISTÓRICO (sem baixa)",IF(AND(ISNUMBER(R4521),R4521&lt;TODAY()),"🔴 PRAZO VENCIDO",IF(AND(OR(N4521="PENDENTE",N4521="PARCIAL"),D4521&lt;TODAY()-1),"🔴 EMBARQUE ATRASADO",IF(AND(N4521="REALIZADO",M4521="PENDENTE"),"🟡 EMBARCADO SEM FATURAR",IF(AND(P4521&lt;&gt;"",S4521="",OR(Q4521="",R4521="")),"🟡 PENDÊNCIA SEM RESPONSÁVEL/PRAZO",IF(AND(ISNUMBER(R4521),R4521=TODAY()),"🟡 VENCE HOJE",IF(AND(P4521&lt;&gt;"",S4521=""),"🟡 PENDÊNCIA ABERTA",IF(AND(N(J4521)&gt;0,N(K4521)&lt;J4521),"🟡 FALTA EXECUTAR",IF(OR(M4521="PENDENTE",M4521="PARCIAL"),"🟡 FATURAMENTO PENDENTE","🟡 EMBARQUE PENDENTE")))))))))))</f>
        <v/>
      </c>
      <c r="D4521" s="4" t="n"/>
      <c r="E4521" s="5" t="n"/>
      <c r="F4521" s="5" t="n"/>
      <c r="G4521" s="5" t="n"/>
      <c r="H4521" s="5" t="n"/>
      <c r="I4521" s="5" t="n"/>
      <c r="J4521" s="6" t="n"/>
      <c r="K4521" s="6" t="n"/>
      <c r="L4521" s="7">
        <f>IF(OR(D4521="",N(J4521)=0),"",MIN(1,N(K4521)/J4521))</f>
        <v/>
      </c>
      <c r="M4521" s="5" t="n"/>
      <c r="N4521" s="5" t="n"/>
      <c r="O4521" s="5" t="n"/>
      <c r="P4521" s="5" t="n"/>
      <c r="Q4521" s="5" t="n"/>
      <c r="R4521" s="4" t="n"/>
      <c r="S4521" s="4" t="n"/>
      <c r="T4521" s="5" t="n"/>
      <c r="U4521" s="8">
        <f>IF(AND(V4521=1,D4521&lt;&gt;""),IF(D4521&gt;=corte,TODAY()-D4521,""),"")</f>
        <v/>
      </c>
      <c r="V4521" s="8">
        <f>IF(D4521="",0,IF(OR(AND(P4521&lt;&gt;"",S4521=""),AND(N(J4521)&gt;0,N(K4521)&lt;J4521),OR(M4521="PENDENTE",M4521="PARCIAL"),OR(N4521="PENDENTE",N4521="PARCIAL")),1,0))</f>
        <v/>
      </c>
      <c r="W4521" s="8">
        <f>IF(AND(V4521=1,D4521&lt;&gt;""),IF(D4521&gt;=corte,(B4521="CRÍTICO")*1E9+(100000-D4521)*10000+10000-ROW(),""),"")</f>
        <v/>
      </c>
      <c r="X4521" s="8">
        <f>IF(AND(V4521=1,D4521=pas_data,E4521=pas_turno),10000-ROW(),"")</f>
        <v/>
      </c>
    </row>
    <row r="4522">
      <c r="A4522" s="3">
        <f>IF(D4522="","","TT-"&amp;TEXT(ROW()-1,"00000"))</f>
        <v/>
      </c>
      <c r="B4522" s="3">
        <f>IF(D4522="","",IF(V4522=0,"CONCLUÍDO",IF(D4522&lt;corte,"HISTÓRICO",IF(OR(AND(ISNUMBER(R4522),R4522&lt;TODAY()),AND(OR(N4522="PENDENTE",N4522="PARCIAL"),D4522&lt;TODAY()-1)),"CRÍTICO",IF(OR(AND(P4522&lt;&gt;"",S4522=""),AND(N4522="REALIZADO",M4522="PENDENTE"),AND(ISNUMBER(R4522),R4522=TODAY())),"ATENÇÃO",IF(N(K4522)=0,"PENDENTE","EM ANDAMENTO"))))))</f>
        <v/>
      </c>
      <c r="C4522" s="3">
        <f>IF(D4522="","",IF(V4522=0,"🟢 OK",IF(D4522&lt;corte,"⚪ HISTÓRICO (sem baixa)",IF(AND(ISNUMBER(R4522),R4522&lt;TODAY()),"🔴 PRAZO VENCIDO",IF(AND(OR(N4522="PENDENTE",N4522="PARCIAL"),D4522&lt;TODAY()-1),"🔴 EMBARQUE ATRASADO",IF(AND(N4522="REALIZADO",M4522="PENDENTE"),"🟡 EMBARCADO SEM FATURAR",IF(AND(P4522&lt;&gt;"",S4522="",OR(Q4522="",R4522="")),"🟡 PENDÊNCIA SEM RESPONSÁVEL/PRAZO",IF(AND(ISNUMBER(R4522),R4522=TODAY()),"🟡 VENCE HOJE",IF(AND(P4522&lt;&gt;"",S4522=""),"🟡 PENDÊNCIA ABERTA",IF(AND(N(J4522)&gt;0,N(K4522)&lt;J4522),"🟡 FALTA EXECUTAR",IF(OR(M4522="PENDENTE",M4522="PARCIAL"),"🟡 FATURAMENTO PENDENTE","🟡 EMBARQUE PENDENTE")))))))))))</f>
        <v/>
      </c>
      <c r="D4522" s="4" t="n"/>
      <c r="E4522" s="5" t="n"/>
      <c r="F4522" s="5" t="n"/>
      <c r="G4522" s="5" t="n"/>
      <c r="H4522" s="5" t="n"/>
      <c r="I4522" s="5" t="n"/>
      <c r="J4522" s="6" t="n"/>
      <c r="K4522" s="6" t="n"/>
      <c r="L4522" s="7">
        <f>IF(OR(D4522="",N(J4522)=0),"",MIN(1,N(K4522)/J4522))</f>
        <v/>
      </c>
      <c r="M4522" s="5" t="n"/>
      <c r="N4522" s="5" t="n"/>
      <c r="O4522" s="5" t="n"/>
      <c r="P4522" s="5" t="n"/>
      <c r="Q4522" s="5" t="n"/>
      <c r="R4522" s="4" t="n"/>
      <c r="S4522" s="4" t="n"/>
      <c r="T4522" s="5" t="n"/>
      <c r="U4522" s="8">
        <f>IF(AND(V4522=1,D4522&lt;&gt;""),IF(D4522&gt;=corte,TODAY()-D4522,""),"")</f>
        <v/>
      </c>
      <c r="V4522" s="8">
        <f>IF(D4522="",0,IF(OR(AND(P4522&lt;&gt;"",S4522=""),AND(N(J4522)&gt;0,N(K4522)&lt;J4522),OR(M4522="PENDENTE",M4522="PARCIAL"),OR(N4522="PENDENTE",N4522="PARCIAL")),1,0))</f>
        <v/>
      </c>
      <c r="W4522" s="8">
        <f>IF(AND(V4522=1,D4522&lt;&gt;""),IF(D4522&gt;=corte,(B4522="CRÍTICO")*1E9+(100000-D4522)*10000+10000-ROW(),""),"")</f>
        <v/>
      </c>
      <c r="X4522" s="8">
        <f>IF(AND(V4522=1,D4522=pas_data,E4522=pas_turno),10000-ROW(),"")</f>
        <v/>
      </c>
    </row>
    <row r="4523">
      <c r="A4523" s="3">
        <f>IF(D4523="","","TT-"&amp;TEXT(ROW()-1,"00000"))</f>
        <v/>
      </c>
      <c r="B4523" s="3">
        <f>IF(D4523="","",IF(V4523=0,"CONCLUÍDO",IF(D4523&lt;corte,"HISTÓRICO",IF(OR(AND(ISNUMBER(R4523),R4523&lt;TODAY()),AND(OR(N4523="PENDENTE",N4523="PARCIAL"),D4523&lt;TODAY()-1)),"CRÍTICO",IF(OR(AND(P4523&lt;&gt;"",S4523=""),AND(N4523="REALIZADO",M4523="PENDENTE"),AND(ISNUMBER(R4523),R4523=TODAY())),"ATENÇÃO",IF(N(K4523)=0,"PENDENTE","EM ANDAMENTO"))))))</f>
        <v/>
      </c>
      <c r="C4523" s="3">
        <f>IF(D4523="","",IF(V4523=0,"🟢 OK",IF(D4523&lt;corte,"⚪ HISTÓRICO (sem baixa)",IF(AND(ISNUMBER(R4523),R4523&lt;TODAY()),"🔴 PRAZO VENCIDO",IF(AND(OR(N4523="PENDENTE",N4523="PARCIAL"),D4523&lt;TODAY()-1),"🔴 EMBARQUE ATRASADO",IF(AND(N4523="REALIZADO",M4523="PENDENTE"),"🟡 EMBARCADO SEM FATURAR",IF(AND(P4523&lt;&gt;"",S4523="",OR(Q4523="",R4523="")),"🟡 PENDÊNCIA SEM RESPONSÁVEL/PRAZO",IF(AND(ISNUMBER(R4523),R4523=TODAY()),"🟡 VENCE HOJE",IF(AND(P4523&lt;&gt;"",S4523=""),"🟡 PENDÊNCIA ABERTA",IF(AND(N(J4523)&gt;0,N(K4523)&lt;J4523),"🟡 FALTA EXECUTAR",IF(OR(M4523="PENDENTE",M4523="PARCIAL"),"🟡 FATURAMENTO PENDENTE","🟡 EMBARQUE PENDENTE")))))))))))</f>
        <v/>
      </c>
      <c r="D4523" s="4" t="n"/>
      <c r="E4523" s="5" t="n"/>
      <c r="F4523" s="5" t="n"/>
      <c r="G4523" s="5" t="n"/>
      <c r="H4523" s="5" t="n"/>
      <c r="I4523" s="5" t="n"/>
      <c r="J4523" s="6" t="n"/>
      <c r="K4523" s="6" t="n"/>
      <c r="L4523" s="7">
        <f>IF(OR(D4523="",N(J4523)=0),"",MIN(1,N(K4523)/J4523))</f>
        <v/>
      </c>
      <c r="M4523" s="5" t="n"/>
      <c r="N4523" s="5" t="n"/>
      <c r="O4523" s="5" t="n"/>
      <c r="P4523" s="5" t="n"/>
      <c r="Q4523" s="5" t="n"/>
      <c r="R4523" s="4" t="n"/>
      <c r="S4523" s="4" t="n"/>
      <c r="T4523" s="5" t="n"/>
      <c r="U4523" s="8">
        <f>IF(AND(V4523=1,D4523&lt;&gt;""),IF(D4523&gt;=corte,TODAY()-D4523,""),"")</f>
        <v/>
      </c>
      <c r="V4523" s="8">
        <f>IF(D4523="",0,IF(OR(AND(P4523&lt;&gt;"",S4523=""),AND(N(J4523)&gt;0,N(K4523)&lt;J4523),OR(M4523="PENDENTE",M4523="PARCIAL"),OR(N4523="PENDENTE",N4523="PARCIAL")),1,0))</f>
        <v/>
      </c>
      <c r="W4523" s="8">
        <f>IF(AND(V4523=1,D4523&lt;&gt;""),IF(D4523&gt;=corte,(B4523="CRÍTICO")*1E9+(100000-D4523)*10000+10000-ROW(),""),"")</f>
        <v/>
      </c>
      <c r="X4523" s="8">
        <f>IF(AND(V4523=1,D4523=pas_data,E4523=pas_turno),10000-ROW(),"")</f>
        <v/>
      </c>
    </row>
    <row r="4524">
      <c r="A4524" s="3">
        <f>IF(D4524="","","TT-"&amp;TEXT(ROW()-1,"00000"))</f>
        <v/>
      </c>
      <c r="B4524" s="3">
        <f>IF(D4524="","",IF(V4524=0,"CONCLUÍDO",IF(D4524&lt;corte,"HISTÓRICO",IF(OR(AND(ISNUMBER(R4524),R4524&lt;TODAY()),AND(OR(N4524="PENDENTE",N4524="PARCIAL"),D4524&lt;TODAY()-1)),"CRÍTICO",IF(OR(AND(P4524&lt;&gt;"",S4524=""),AND(N4524="REALIZADO",M4524="PENDENTE"),AND(ISNUMBER(R4524),R4524=TODAY())),"ATENÇÃO",IF(N(K4524)=0,"PENDENTE","EM ANDAMENTO"))))))</f>
        <v/>
      </c>
      <c r="C4524" s="3">
        <f>IF(D4524="","",IF(V4524=0,"🟢 OK",IF(D4524&lt;corte,"⚪ HISTÓRICO (sem baixa)",IF(AND(ISNUMBER(R4524),R4524&lt;TODAY()),"🔴 PRAZO VENCIDO",IF(AND(OR(N4524="PENDENTE",N4524="PARCIAL"),D4524&lt;TODAY()-1),"🔴 EMBARQUE ATRASADO",IF(AND(N4524="REALIZADO",M4524="PENDENTE"),"🟡 EMBARCADO SEM FATURAR",IF(AND(P4524&lt;&gt;"",S4524="",OR(Q4524="",R4524="")),"🟡 PENDÊNCIA SEM RESPONSÁVEL/PRAZO",IF(AND(ISNUMBER(R4524),R4524=TODAY()),"🟡 VENCE HOJE",IF(AND(P4524&lt;&gt;"",S4524=""),"🟡 PENDÊNCIA ABERTA",IF(AND(N(J4524)&gt;0,N(K4524)&lt;J4524),"🟡 FALTA EXECUTAR",IF(OR(M4524="PENDENTE",M4524="PARCIAL"),"🟡 FATURAMENTO PENDENTE","🟡 EMBARQUE PENDENTE")))))))))))</f>
        <v/>
      </c>
      <c r="D4524" s="4" t="n"/>
      <c r="E4524" s="5" t="n"/>
      <c r="F4524" s="5" t="n"/>
      <c r="G4524" s="5" t="n"/>
      <c r="H4524" s="5" t="n"/>
      <c r="I4524" s="5" t="n"/>
      <c r="J4524" s="6" t="n"/>
      <c r="K4524" s="6" t="n"/>
      <c r="L4524" s="7">
        <f>IF(OR(D4524="",N(J4524)=0),"",MIN(1,N(K4524)/J4524))</f>
        <v/>
      </c>
      <c r="M4524" s="5" t="n"/>
      <c r="N4524" s="5" t="n"/>
      <c r="O4524" s="5" t="n"/>
      <c r="P4524" s="5" t="n"/>
      <c r="Q4524" s="5" t="n"/>
      <c r="R4524" s="4" t="n"/>
      <c r="S4524" s="4" t="n"/>
      <c r="T4524" s="5" t="n"/>
      <c r="U4524" s="8">
        <f>IF(AND(V4524=1,D4524&lt;&gt;""),IF(D4524&gt;=corte,TODAY()-D4524,""),"")</f>
        <v/>
      </c>
      <c r="V4524" s="8">
        <f>IF(D4524="",0,IF(OR(AND(P4524&lt;&gt;"",S4524=""),AND(N(J4524)&gt;0,N(K4524)&lt;J4524),OR(M4524="PENDENTE",M4524="PARCIAL"),OR(N4524="PENDENTE",N4524="PARCIAL")),1,0))</f>
        <v/>
      </c>
      <c r="W4524" s="8">
        <f>IF(AND(V4524=1,D4524&lt;&gt;""),IF(D4524&gt;=corte,(B4524="CRÍTICO")*1E9+(100000-D4524)*10000+10000-ROW(),""),"")</f>
        <v/>
      </c>
      <c r="X4524" s="8">
        <f>IF(AND(V4524=1,D4524=pas_data,E4524=pas_turno),10000-ROW(),"")</f>
        <v/>
      </c>
    </row>
    <row r="4525">
      <c r="A4525" s="3">
        <f>IF(D4525="","","TT-"&amp;TEXT(ROW()-1,"00000"))</f>
        <v/>
      </c>
      <c r="B4525" s="3">
        <f>IF(D4525="","",IF(V4525=0,"CONCLUÍDO",IF(D4525&lt;corte,"HISTÓRICO",IF(OR(AND(ISNUMBER(R4525),R4525&lt;TODAY()),AND(OR(N4525="PENDENTE",N4525="PARCIAL"),D4525&lt;TODAY()-1)),"CRÍTICO",IF(OR(AND(P4525&lt;&gt;"",S4525=""),AND(N4525="REALIZADO",M4525="PENDENTE"),AND(ISNUMBER(R4525),R4525=TODAY())),"ATENÇÃO",IF(N(K4525)=0,"PENDENTE","EM ANDAMENTO"))))))</f>
        <v/>
      </c>
      <c r="C4525" s="3">
        <f>IF(D4525="","",IF(V4525=0,"🟢 OK",IF(D4525&lt;corte,"⚪ HISTÓRICO (sem baixa)",IF(AND(ISNUMBER(R4525),R4525&lt;TODAY()),"🔴 PRAZO VENCIDO",IF(AND(OR(N4525="PENDENTE",N4525="PARCIAL"),D4525&lt;TODAY()-1),"🔴 EMBARQUE ATRASADO",IF(AND(N4525="REALIZADO",M4525="PENDENTE"),"🟡 EMBARCADO SEM FATURAR",IF(AND(P4525&lt;&gt;"",S4525="",OR(Q4525="",R4525="")),"🟡 PENDÊNCIA SEM RESPONSÁVEL/PRAZO",IF(AND(ISNUMBER(R4525),R4525=TODAY()),"🟡 VENCE HOJE",IF(AND(P4525&lt;&gt;"",S4525=""),"🟡 PENDÊNCIA ABERTA",IF(AND(N(J4525)&gt;0,N(K4525)&lt;J4525),"🟡 FALTA EXECUTAR",IF(OR(M4525="PENDENTE",M4525="PARCIAL"),"🟡 FATURAMENTO PENDENTE","🟡 EMBARQUE PENDENTE")))))))))))</f>
        <v/>
      </c>
      <c r="D4525" s="4" t="n"/>
      <c r="E4525" s="5" t="n"/>
      <c r="F4525" s="5" t="n"/>
      <c r="G4525" s="5" t="n"/>
      <c r="H4525" s="5" t="n"/>
      <c r="I4525" s="5" t="n"/>
      <c r="J4525" s="6" t="n"/>
      <c r="K4525" s="6" t="n"/>
      <c r="L4525" s="7">
        <f>IF(OR(D4525="",N(J4525)=0),"",MIN(1,N(K4525)/J4525))</f>
        <v/>
      </c>
      <c r="M4525" s="5" t="n"/>
      <c r="N4525" s="5" t="n"/>
      <c r="O4525" s="5" t="n"/>
      <c r="P4525" s="5" t="n"/>
      <c r="Q4525" s="5" t="n"/>
      <c r="R4525" s="4" t="n"/>
      <c r="S4525" s="4" t="n"/>
      <c r="T4525" s="5" t="n"/>
      <c r="U4525" s="8">
        <f>IF(AND(V4525=1,D4525&lt;&gt;""),IF(D4525&gt;=corte,TODAY()-D4525,""),"")</f>
        <v/>
      </c>
      <c r="V4525" s="8">
        <f>IF(D4525="",0,IF(OR(AND(P4525&lt;&gt;"",S4525=""),AND(N(J4525)&gt;0,N(K4525)&lt;J4525),OR(M4525="PENDENTE",M4525="PARCIAL"),OR(N4525="PENDENTE",N4525="PARCIAL")),1,0))</f>
        <v/>
      </c>
      <c r="W4525" s="8">
        <f>IF(AND(V4525=1,D4525&lt;&gt;""),IF(D4525&gt;=corte,(B4525="CRÍTICO")*1E9+(100000-D4525)*10000+10000-ROW(),""),"")</f>
        <v/>
      </c>
      <c r="X4525" s="8">
        <f>IF(AND(V4525=1,D4525=pas_data,E4525=pas_turno),10000-ROW(),"")</f>
        <v/>
      </c>
    </row>
    <row r="4526">
      <c r="A4526" s="3">
        <f>IF(D4526="","","TT-"&amp;TEXT(ROW()-1,"00000"))</f>
        <v/>
      </c>
      <c r="B4526" s="3">
        <f>IF(D4526="","",IF(V4526=0,"CONCLUÍDO",IF(D4526&lt;corte,"HISTÓRICO",IF(OR(AND(ISNUMBER(R4526),R4526&lt;TODAY()),AND(OR(N4526="PENDENTE",N4526="PARCIAL"),D4526&lt;TODAY()-1)),"CRÍTICO",IF(OR(AND(P4526&lt;&gt;"",S4526=""),AND(N4526="REALIZADO",M4526="PENDENTE"),AND(ISNUMBER(R4526),R4526=TODAY())),"ATENÇÃO",IF(N(K4526)=0,"PENDENTE","EM ANDAMENTO"))))))</f>
        <v/>
      </c>
      <c r="C4526" s="3">
        <f>IF(D4526="","",IF(V4526=0,"🟢 OK",IF(D4526&lt;corte,"⚪ HISTÓRICO (sem baixa)",IF(AND(ISNUMBER(R4526),R4526&lt;TODAY()),"🔴 PRAZO VENCIDO",IF(AND(OR(N4526="PENDENTE",N4526="PARCIAL"),D4526&lt;TODAY()-1),"🔴 EMBARQUE ATRASADO",IF(AND(N4526="REALIZADO",M4526="PENDENTE"),"🟡 EMBARCADO SEM FATURAR",IF(AND(P4526&lt;&gt;"",S4526="",OR(Q4526="",R4526="")),"🟡 PENDÊNCIA SEM RESPONSÁVEL/PRAZO",IF(AND(ISNUMBER(R4526),R4526=TODAY()),"🟡 VENCE HOJE",IF(AND(P4526&lt;&gt;"",S4526=""),"🟡 PENDÊNCIA ABERTA",IF(AND(N(J4526)&gt;0,N(K4526)&lt;J4526),"🟡 FALTA EXECUTAR",IF(OR(M4526="PENDENTE",M4526="PARCIAL"),"🟡 FATURAMENTO PENDENTE","🟡 EMBARQUE PENDENTE")))))))))))</f>
        <v/>
      </c>
      <c r="D4526" s="4" t="n"/>
      <c r="E4526" s="5" t="n"/>
      <c r="F4526" s="5" t="n"/>
      <c r="G4526" s="5" t="n"/>
      <c r="H4526" s="5" t="n"/>
      <c r="I4526" s="5" t="n"/>
      <c r="J4526" s="6" t="n"/>
      <c r="K4526" s="6" t="n"/>
      <c r="L4526" s="7">
        <f>IF(OR(D4526="",N(J4526)=0),"",MIN(1,N(K4526)/J4526))</f>
        <v/>
      </c>
      <c r="M4526" s="5" t="n"/>
      <c r="N4526" s="5" t="n"/>
      <c r="O4526" s="5" t="n"/>
      <c r="P4526" s="5" t="n"/>
      <c r="Q4526" s="5" t="n"/>
      <c r="R4526" s="4" t="n"/>
      <c r="S4526" s="4" t="n"/>
      <c r="T4526" s="5" t="n"/>
      <c r="U4526" s="8">
        <f>IF(AND(V4526=1,D4526&lt;&gt;""),IF(D4526&gt;=corte,TODAY()-D4526,""),"")</f>
        <v/>
      </c>
      <c r="V4526" s="8">
        <f>IF(D4526="",0,IF(OR(AND(P4526&lt;&gt;"",S4526=""),AND(N(J4526)&gt;0,N(K4526)&lt;J4526),OR(M4526="PENDENTE",M4526="PARCIAL"),OR(N4526="PENDENTE",N4526="PARCIAL")),1,0))</f>
        <v/>
      </c>
      <c r="W4526" s="8">
        <f>IF(AND(V4526=1,D4526&lt;&gt;""),IF(D4526&gt;=corte,(B4526="CRÍTICO")*1E9+(100000-D4526)*10000+10000-ROW(),""),"")</f>
        <v/>
      </c>
      <c r="X4526" s="8">
        <f>IF(AND(V4526=1,D4526=pas_data,E4526=pas_turno),10000-ROW(),"")</f>
        <v/>
      </c>
    </row>
    <row r="4527">
      <c r="A4527" s="3">
        <f>IF(D4527="","","TT-"&amp;TEXT(ROW()-1,"00000"))</f>
        <v/>
      </c>
      <c r="B4527" s="3">
        <f>IF(D4527="","",IF(V4527=0,"CONCLUÍDO",IF(D4527&lt;corte,"HISTÓRICO",IF(OR(AND(ISNUMBER(R4527),R4527&lt;TODAY()),AND(OR(N4527="PENDENTE",N4527="PARCIAL"),D4527&lt;TODAY()-1)),"CRÍTICO",IF(OR(AND(P4527&lt;&gt;"",S4527=""),AND(N4527="REALIZADO",M4527="PENDENTE"),AND(ISNUMBER(R4527),R4527=TODAY())),"ATENÇÃO",IF(N(K4527)=0,"PENDENTE","EM ANDAMENTO"))))))</f>
        <v/>
      </c>
      <c r="C4527" s="3">
        <f>IF(D4527="","",IF(V4527=0,"🟢 OK",IF(D4527&lt;corte,"⚪ HISTÓRICO (sem baixa)",IF(AND(ISNUMBER(R4527),R4527&lt;TODAY()),"🔴 PRAZO VENCIDO",IF(AND(OR(N4527="PENDENTE",N4527="PARCIAL"),D4527&lt;TODAY()-1),"🔴 EMBARQUE ATRASADO",IF(AND(N4527="REALIZADO",M4527="PENDENTE"),"🟡 EMBARCADO SEM FATURAR",IF(AND(P4527&lt;&gt;"",S4527="",OR(Q4527="",R4527="")),"🟡 PENDÊNCIA SEM RESPONSÁVEL/PRAZO",IF(AND(ISNUMBER(R4527),R4527=TODAY()),"🟡 VENCE HOJE",IF(AND(P4527&lt;&gt;"",S4527=""),"🟡 PENDÊNCIA ABERTA",IF(AND(N(J4527)&gt;0,N(K4527)&lt;J4527),"🟡 FALTA EXECUTAR",IF(OR(M4527="PENDENTE",M4527="PARCIAL"),"🟡 FATURAMENTO PENDENTE","🟡 EMBARQUE PENDENTE")))))))))))</f>
        <v/>
      </c>
      <c r="D4527" s="4" t="n"/>
      <c r="E4527" s="5" t="n"/>
      <c r="F4527" s="5" t="n"/>
      <c r="G4527" s="5" t="n"/>
      <c r="H4527" s="5" t="n"/>
      <c r="I4527" s="5" t="n"/>
      <c r="J4527" s="6" t="n"/>
      <c r="K4527" s="6" t="n"/>
      <c r="L4527" s="7">
        <f>IF(OR(D4527="",N(J4527)=0),"",MIN(1,N(K4527)/J4527))</f>
        <v/>
      </c>
      <c r="M4527" s="5" t="n"/>
      <c r="N4527" s="5" t="n"/>
      <c r="O4527" s="5" t="n"/>
      <c r="P4527" s="5" t="n"/>
      <c r="Q4527" s="5" t="n"/>
      <c r="R4527" s="4" t="n"/>
      <c r="S4527" s="4" t="n"/>
      <c r="T4527" s="5" t="n"/>
      <c r="U4527" s="8">
        <f>IF(AND(V4527=1,D4527&lt;&gt;""),IF(D4527&gt;=corte,TODAY()-D4527,""),"")</f>
        <v/>
      </c>
      <c r="V4527" s="8">
        <f>IF(D4527="",0,IF(OR(AND(P4527&lt;&gt;"",S4527=""),AND(N(J4527)&gt;0,N(K4527)&lt;J4527),OR(M4527="PENDENTE",M4527="PARCIAL"),OR(N4527="PENDENTE",N4527="PARCIAL")),1,0))</f>
        <v/>
      </c>
      <c r="W4527" s="8">
        <f>IF(AND(V4527=1,D4527&lt;&gt;""),IF(D4527&gt;=corte,(B4527="CRÍTICO")*1E9+(100000-D4527)*10000+10000-ROW(),""),"")</f>
        <v/>
      </c>
      <c r="X4527" s="8">
        <f>IF(AND(V4527=1,D4527=pas_data,E4527=pas_turno),10000-ROW(),"")</f>
        <v/>
      </c>
    </row>
    <row r="4528">
      <c r="A4528" s="3">
        <f>IF(D4528="","","TT-"&amp;TEXT(ROW()-1,"00000"))</f>
        <v/>
      </c>
      <c r="B4528" s="3">
        <f>IF(D4528="","",IF(V4528=0,"CONCLUÍDO",IF(D4528&lt;corte,"HISTÓRICO",IF(OR(AND(ISNUMBER(R4528),R4528&lt;TODAY()),AND(OR(N4528="PENDENTE",N4528="PARCIAL"),D4528&lt;TODAY()-1)),"CRÍTICO",IF(OR(AND(P4528&lt;&gt;"",S4528=""),AND(N4528="REALIZADO",M4528="PENDENTE"),AND(ISNUMBER(R4528),R4528=TODAY())),"ATENÇÃO",IF(N(K4528)=0,"PENDENTE","EM ANDAMENTO"))))))</f>
        <v/>
      </c>
      <c r="C4528" s="3">
        <f>IF(D4528="","",IF(V4528=0,"🟢 OK",IF(D4528&lt;corte,"⚪ HISTÓRICO (sem baixa)",IF(AND(ISNUMBER(R4528),R4528&lt;TODAY()),"🔴 PRAZO VENCIDO",IF(AND(OR(N4528="PENDENTE",N4528="PARCIAL"),D4528&lt;TODAY()-1),"🔴 EMBARQUE ATRASADO",IF(AND(N4528="REALIZADO",M4528="PENDENTE"),"🟡 EMBARCADO SEM FATURAR",IF(AND(P4528&lt;&gt;"",S4528="",OR(Q4528="",R4528="")),"🟡 PENDÊNCIA SEM RESPONSÁVEL/PRAZO",IF(AND(ISNUMBER(R4528),R4528=TODAY()),"🟡 VENCE HOJE",IF(AND(P4528&lt;&gt;"",S4528=""),"🟡 PENDÊNCIA ABERTA",IF(AND(N(J4528)&gt;0,N(K4528)&lt;J4528),"🟡 FALTA EXECUTAR",IF(OR(M4528="PENDENTE",M4528="PARCIAL"),"🟡 FATURAMENTO PENDENTE","🟡 EMBARQUE PENDENTE")))))))))))</f>
        <v/>
      </c>
      <c r="D4528" s="4" t="n"/>
      <c r="E4528" s="5" t="n"/>
      <c r="F4528" s="5" t="n"/>
      <c r="G4528" s="5" t="n"/>
      <c r="H4528" s="5" t="n"/>
      <c r="I4528" s="5" t="n"/>
      <c r="J4528" s="6" t="n"/>
      <c r="K4528" s="6" t="n"/>
      <c r="L4528" s="7">
        <f>IF(OR(D4528="",N(J4528)=0),"",MIN(1,N(K4528)/J4528))</f>
        <v/>
      </c>
      <c r="M4528" s="5" t="n"/>
      <c r="N4528" s="5" t="n"/>
      <c r="O4528" s="5" t="n"/>
      <c r="P4528" s="5" t="n"/>
      <c r="Q4528" s="5" t="n"/>
      <c r="R4528" s="4" t="n"/>
      <c r="S4528" s="4" t="n"/>
      <c r="T4528" s="5" t="n"/>
      <c r="U4528" s="8">
        <f>IF(AND(V4528=1,D4528&lt;&gt;""),IF(D4528&gt;=corte,TODAY()-D4528,""),"")</f>
        <v/>
      </c>
      <c r="V4528" s="8">
        <f>IF(D4528="",0,IF(OR(AND(P4528&lt;&gt;"",S4528=""),AND(N(J4528)&gt;0,N(K4528)&lt;J4528),OR(M4528="PENDENTE",M4528="PARCIAL"),OR(N4528="PENDENTE",N4528="PARCIAL")),1,0))</f>
        <v/>
      </c>
      <c r="W4528" s="8">
        <f>IF(AND(V4528=1,D4528&lt;&gt;""),IF(D4528&gt;=corte,(B4528="CRÍTICO")*1E9+(100000-D4528)*10000+10000-ROW(),""),"")</f>
        <v/>
      </c>
      <c r="X4528" s="8">
        <f>IF(AND(V4528=1,D4528=pas_data,E4528=pas_turno),10000-ROW(),"")</f>
        <v/>
      </c>
    </row>
    <row r="4529">
      <c r="A4529" s="3">
        <f>IF(D4529="","","TT-"&amp;TEXT(ROW()-1,"00000"))</f>
        <v/>
      </c>
      <c r="B4529" s="3">
        <f>IF(D4529="","",IF(V4529=0,"CONCLUÍDO",IF(D4529&lt;corte,"HISTÓRICO",IF(OR(AND(ISNUMBER(R4529),R4529&lt;TODAY()),AND(OR(N4529="PENDENTE",N4529="PARCIAL"),D4529&lt;TODAY()-1)),"CRÍTICO",IF(OR(AND(P4529&lt;&gt;"",S4529=""),AND(N4529="REALIZADO",M4529="PENDENTE"),AND(ISNUMBER(R4529),R4529=TODAY())),"ATENÇÃO",IF(N(K4529)=0,"PENDENTE","EM ANDAMENTO"))))))</f>
        <v/>
      </c>
      <c r="C4529" s="3">
        <f>IF(D4529="","",IF(V4529=0,"🟢 OK",IF(D4529&lt;corte,"⚪ HISTÓRICO (sem baixa)",IF(AND(ISNUMBER(R4529),R4529&lt;TODAY()),"🔴 PRAZO VENCIDO",IF(AND(OR(N4529="PENDENTE",N4529="PARCIAL"),D4529&lt;TODAY()-1),"🔴 EMBARQUE ATRASADO",IF(AND(N4529="REALIZADO",M4529="PENDENTE"),"🟡 EMBARCADO SEM FATURAR",IF(AND(P4529&lt;&gt;"",S4529="",OR(Q4529="",R4529="")),"🟡 PENDÊNCIA SEM RESPONSÁVEL/PRAZO",IF(AND(ISNUMBER(R4529),R4529=TODAY()),"🟡 VENCE HOJE",IF(AND(P4529&lt;&gt;"",S4529=""),"🟡 PENDÊNCIA ABERTA",IF(AND(N(J4529)&gt;0,N(K4529)&lt;J4529),"🟡 FALTA EXECUTAR",IF(OR(M4529="PENDENTE",M4529="PARCIAL"),"🟡 FATURAMENTO PENDENTE","🟡 EMBARQUE PENDENTE")))))))))))</f>
        <v/>
      </c>
      <c r="D4529" s="4" t="n"/>
      <c r="E4529" s="5" t="n"/>
      <c r="F4529" s="5" t="n"/>
      <c r="G4529" s="5" t="n"/>
      <c r="H4529" s="5" t="n"/>
      <c r="I4529" s="5" t="n"/>
      <c r="J4529" s="6" t="n"/>
      <c r="K4529" s="6" t="n"/>
      <c r="L4529" s="7">
        <f>IF(OR(D4529="",N(J4529)=0),"",MIN(1,N(K4529)/J4529))</f>
        <v/>
      </c>
      <c r="M4529" s="5" t="n"/>
      <c r="N4529" s="5" t="n"/>
      <c r="O4529" s="5" t="n"/>
      <c r="P4529" s="5" t="n"/>
      <c r="Q4529" s="5" t="n"/>
      <c r="R4529" s="4" t="n"/>
      <c r="S4529" s="4" t="n"/>
      <c r="T4529" s="5" t="n"/>
      <c r="U4529" s="8">
        <f>IF(AND(V4529=1,D4529&lt;&gt;""),IF(D4529&gt;=corte,TODAY()-D4529,""),"")</f>
        <v/>
      </c>
      <c r="V4529" s="8">
        <f>IF(D4529="",0,IF(OR(AND(P4529&lt;&gt;"",S4529=""),AND(N(J4529)&gt;0,N(K4529)&lt;J4529),OR(M4529="PENDENTE",M4529="PARCIAL"),OR(N4529="PENDENTE",N4529="PARCIAL")),1,0))</f>
        <v/>
      </c>
      <c r="W4529" s="8">
        <f>IF(AND(V4529=1,D4529&lt;&gt;""),IF(D4529&gt;=corte,(B4529="CRÍTICO")*1E9+(100000-D4529)*10000+10000-ROW(),""),"")</f>
        <v/>
      </c>
      <c r="X4529" s="8">
        <f>IF(AND(V4529=1,D4529=pas_data,E4529=pas_turno),10000-ROW(),"")</f>
        <v/>
      </c>
    </row>
    <row r="4530">
      <c r="A4530" s="3">
        <f>IF(D4530="","","TT-"&amp;TEXT(ROW()-1,"00000"))</f>
        <v/>
      </c>
      <c r="B4530" s="3">
        <f>IF(D4530="","",IF(V4530=0,"CONCLUÍDO",IF(D4530&lt;corte,"HISTÓRICO",IF(OR(AND(ISNUMBER(R4530),R4530&lt;TODAY()),AND(OR(N4530="PENDENTE",N4530="PARCIAL"),D4530&lt;TODAY()-1)),"CRÍTICO",IF(OR(AND(P4530&lt;&gt;"",S4530=""),AND(N4530="REALIZADO",M4530="PENDENTE"),AND(ISNUMBER(R4530),R4530=TODAY())),"ATENÇÃO",IF(N(K4530)=0,"PENDENTE","EM ANDAMENTO"))))))</f>
        <v/>
      </c>
      <c r="C4530" s="3">
        <f>IF(D4530="","",IF(V4530=0,"🟢 OK",IF(D4530&lt;corte,"⚪ HISTÓRICO (sem baixa)",IF(AND(ISNUMBER(R4530),R4530&lt;TODAY()),"🔴 PRAZO VENCIDO",IF(AND(OR(N4530="PENDENTE",N4530="PARCIAL"),D4530&lt;TODAY()-1),"🔴 EMBARQUE ATRASADO",IF(AND(N4530="REALIZADO",M4530="PENDENTE"),"🟡 EMBARCADO SEM FATURAR",IF(AND(P4530&lt;&gt;"",S4530="",OR(Q4530="",R4530="")),"🟡 PENDÊNCIA SEM RESPONSÁVEL/PRAZO",IF(AND(ISNUMBER(R4530),R4530=TODAY()),"🟡 VENCE HOJE",IF(AND(P4530&lt;&gt;"",S4530=""),"🟡 PENDÊNCIA ABERTA",IF(AND(N(J4530)&gt;0,N(K4530)&lt;J4530),"🟡 FALTA EXECUTAR",IF(OR(M4530="PENDENTE",M4530="PARCIAL"),"🟡 FATURAMENTO PENDENTE","🟡 EMBARQUE PENDENTE")))))))))))</f>
        <v/>
      </c>
      <c r="D4530" s="4" t="n"/>
      <c r="E4530" s="5" t="n"/>
      <c r="F4530" s="5" t="n"/>
      <c r="G4530" s="5" t="n"/>
      <c r="H4530" s="5" t="n"/>
      <c r="I4530" s="5" t="n"/>
      <c r="J4530" s="6" t="n"/>
      <c r="K4530" s="6" t="n"/>
      <c r="L4530" s="7">
        <f>IF(OR(D4530="",N(J4530)=0),"",MIN(1,N(K4530)/J4530))</f>
        <v/>
      </c>
      <c r="M4530" s="5" t="n"/>
      <c r="N4530" s="5" t="n"/>
      <c r="O4530" s="5" t="n"/>
      <c r="P4530" s="5" t="n"/>
      <c r="Q4530" s="5" t="n"/>
      <c r="R4530" s="4" t="n"/>
      <c r="S4530" s="4" t="n"/>
      <c r="T4530" s="5" t="n"/>
      <c r="U4530" s="8">
        <f>IF(AND(V4530=1,D4530&lt;&gt;""),IF(D4530&gt;=corte,TODAY()-D4530,""),"")</f>
        <v/>
      </c>
      <c r="V4530" s="8">
        <f>IF(D4530="",0,IF(OR(AND(P4530&lt;&gt;"",S4530=""),AND(N(J4530)&gt;0,N(K4530)&lt;J4530),OR(M4530="PENDENTE",M4530="PARCIAL"),OR(N4530="PENDENTE",N4530="PARCIAL")),1,0))</f>
        <v/>
      </c>
      <c r="W4530" s="8">
        <f>IF(AND(V4530=1,D4530&lt;&gt;""),IF(D4530&gt;=corte,(B4530="CRÍTICO")*1E9+(100000-D4530)*10000+10000-ROW(),""),"")</f>
        <v/>
      </c>
      <c r="X4530" s="8">
        <f>IF(AND(V4530=1,D4530=pas_data,E4530=pas_turno),10000-ROW(),"")</f>
        <v/>
      </c>
    </row>
    <row r="4531">
      <c r="A4531" s="3">
        <f>IF(D4531="","","TT-"&amp;TEXT(ROW()-1,"00000"))</f>
        <v/>
      </c>
      <c r="B4531" s="3">
        <f>IF(D4531="","",IF(V4531=0,"CONCLUÍDO",IF(D4531&lt;corte,"HISTÓRICO",IF(OR(AND(ISNUMBER(R4531),R4531&lt;TODAY()),AND(OR(N4531="PENDENTE",N4531="PARCIAL"),D4531&lt;TODAY()-1)),"CRÍTICO",IF(OR(AND(P4531&lt;&gt;"",S4531=""),AND(N4531="REALIZADO",M4531="PENDENTE"),AND(ISNUMBER(R4531),R4531=TODAY())),"ATENÇÃO",IF(N(K4531)=0,"PENDENTE","EM ANDAMENTO"))))))</f>
        <v/>
      </c>
      <c r="C4531" s="3">
        <f>IF(D4531="","",IF(V4531=0,"🟢 OK",IF(D4531&lt;corte,"⚪ HISTÓRICO (sem baixa)",IF(AND(ISNUMBER(R4531),R4531&lt;TODAY()),"🔴 PRAZO VENCIDO",IF(AND(OR(N4531="PENDENTE",N4531="PARCIAL"),D4531&lt;TODAY()-1),"🔴 EMBARQUE ATRASADO",IF(AND(N4531="REALIZADO",M4531="PENDENTE"),"🟡 EMBARCADO SEM FATURAR",IF(AND(P4531&lt;&gt;"",S4531="",OR(Q4531="",R4531="")),"🟡 PENDÊNCIA SEM RESPONSÁVEL/PRAZO",IF(AND(ISNUMBER(R4531),R4531=TODAY()),"🟡 VENCE HOJE",IF(AND(P4531&lt;&gt;"",S4531=""),"🟡 PENDÊNCIA ABERTA",IF(AND(N(J4531)&gt;0,N(K4531)&lt;J4531),"🟡 FALTA EXECUTAR",IF(OR(M4531="PENDENTE",M4531="PARCIAL"),"🟡 FATURAMENTO PENDENTE","🟡 EMBARQUE PENDENTE")))))))))))</f>
        <v/>
      </c>
      <c r="D4531" s="4" t="n"/>
      <c r="E4531" s="5" t="n"/>
      <c r="F4531" s="5" t="n"/>
      <c r="G4531" s="5" t="n"/>
      <c r="H4531" s="5" t="n"/>
      <c r="I4531" s="5" t="n"/>
      <c r="J4531" s="6" t="n"/>
      <c r="K4531" s="6" t="n"/>
      <c r="L4531" s="7">
        <f>IF(OR(D4531="",N(J4531)=0),"",MIN(1,N(K4531)/J4531))</f>
        <v/>
      </c>
      <c r="M4531" s="5" t="n"/>
      <c r="N4531" s="5" t="n"/>
      <c r="O4531" s="5" t="n"/>
      <c r="P4531" s="5" t="n"/>
      <c r="Q4531" s="5" t="n"/>
      <c r="R4531" s="4" t="n"/>
      <c r="S4531" s="4" t="n"/>
      <c r="T4531" s="5" t="n"/>
      <c r="U4531" s="8">
        <f>IF(AND(V4531=1,D4531&lt;&gt;""),IF(D4531&gt;=corte,TODAY()-D4531,""),"")</f>
        <v/>
      </c>
      <c r="V4531" s="8">
        <f>IF(D4531="",0,IF(OR(AND(P4531&lt;&gt;"",S4531=""),AND(N(J4531)&gt;0,N(K4531)&lt;J4531),OR(M4531="PENDENTE",M4531="PARCIAL"),OR(N4531="PENDENTE",N4531="PARCIAL")),1,0))</f>
        <v/>
      </c>
      <c r="W4531" s="8">
        <f>IF(AND(V4531=1,D4531&lt;&gt;""),IF(D4531&gt;=corte,(B4531="CRÍTICO")*1E9+(100000-D4531)*10000+10000-ROW(),""),"")</f>
        <v/>
      </c>
      <c r="X4531" s="8">
        <f>IF(AND(V4531=1,D4531=pas_data,E4531=pas_turno),10000-ROW(),"")</f>
        <v/>
      </c>
    </row>
    <row r="4532">
      <c r="A4532" s="3">
        <f>IF(D4532="","","TT-"&amp;TEXT(ROW()-1,"00000"))</f>
        <v/>
      </c>
      <c r="B4532" s="3">
        <f>IF(D4532="","",IF(V4532=0,"CONCLUÍDO",IF(D4532&lt;corte,"HISTÓRICO",IF(OR(AND(ISNUMBER(R4532),R4532&lt;TODAY()),AND(OR(N4532="PENDENTE",N4532="PARCIAL"),D4532&lt;TODAY()-1)),"CRÍTICO",IF(OR(AND(P4532&lt;&gt;"",S4532=""),AND(N4532="REALIZADO",M4532="PENDENTE"),AND(ISNUMBER(R4532),R4532=TODAY())),"ATENÇÃO",IF(N(K4532)=0,"PENDENTE","EM ANDAMENTO"))))))</f>
        <v/>
      </c>
      <c r="C4532" s="3">
        <f>IF(D4532="","",IF(V4532=0,"🟢 OK",IF(D4532&lt;corte,"⚪ HISTÓRICO (sem baixa)",IF(AND(ISNUMBER(R4532),R4532&lt;TODAY()),"🔴 PRAZO VENCIDO",IF(AND(OR(N4532="PENDENTE",N4532="PARCIAL"),D4532&lt;TODAY()-1),"🔴 EMBARQUE ATRASADO",IF(AND(N4532="REALIZADO",M4532="PENDENTE"),"🟡 EMBARCADO SEM FATURAR",IF(AND(P4532&lt;&gt;"",S4532="",OR(Q4532="",R4532="")),"🟡 PENDÊNCIA SEM RESPONSÁVEL/PRAZO",IF(AND(ISNUMBER(R4532),R4532=TODAY()),"🟡 VENCE HOJE",IF(AND(P4532&lt;&gt;"",S4532=""),"🟡 PENDÊNCIA ABERTA",IF(AND(N(J4532)&gt;0,N(K4532)&lt;J4532),"🟡 FALTA EXECUTAR",IF(OR(M4532="PENDENTE",M4532="PARCIAL"),"🟡 FATURAMENTO PENDENTE","🟡 EMBARQUE PENDENTE")))))))))))</f>
        <v/>
      </c>
      <c r="D4532" s="4" t="n"/>
      <c r="E4532" s="5" t="n"/>
      <c r="F4532" s="5" t="n"/>
      <c r="G4532" s="5" t="n"/>
      <c r="H4532" s="5" t="n"/>
      <c r="I4532" s="5" t="n"/>
      <c r="J4532" s="6" t="n"/>
      <c r="K4532" s="6" t="n"/>
      <c r="L4532" s="7">
        <f>IF(OR(D4532="",N(J4532)=0),"",MIN(1,N(K4532)/J4532))</f>
        <v/>
      </c>
      <c r="M4532" s="5" t="n"/>
      <c r="N4532" s="5" t="n"/>
      <c r="O4532" s="5" t="n"/>
      <c r="P4532" s="5" t="n"/>
      <c r="Q4532" s="5" t="n"/>
      <c r="R4532" s="4" t="n"/>
      <c r="S4532" s="4" t="n"/>
      <c r="T4532" s="5" t="n"/>
      <c r="U4532" s="8">
        <f>IF(AND(V4532=1,D4532&lt;&gt;""),IF(D4532&gt;=corte,TODAY()-D4532,""),"")</f>
        <v/>
      </c>
      <c r="V4532" s="8">
        <f>IF(D4532="",0,IF(OR(AND(P4532&lt;&gt;"",S4532=""),AND(N(J4532)&gt;0,N(K4532)&lt;J4532),OR(M4532="PENDENTE",M4532="PARCIAL"),OR(N4532="PENDENTE",N4532="PARCIAL")),1,0))</f>
        <v/>
      </c>
      <c r="W4532" s="8">
        <f>IF(AND(V4532=1,D4532&lt;&gt;""),IF(D4532&gt;=corte,(B4532="CRÍTICO")*1E9+(100000-D4532)*10000+10000-ROW(),""),"")</f>
        <v/>
      </c>
      <c r="X4532" s="8">
        <f>IF(AND(V4532=1,D4532=pas_data,E4532=pas_turno),10000-ROW(),"")</f>
        <v/>
      </c>
    </row>
    <row r="4533">
      <c r="A4533" s="3">
        <f>IF(D4533="","","TT-"&amp;TEXT(ROW()-1,"00000"))</f>
        <v/>
      </c>
      <c r="B4533" s="3">
        <f>IF(D4533="","",IF(V4533=0,"CONCLUÍDO",IF(D4533&lt;corte,"HISTÓRICO",IF(OR(AND(ISNUMBER(R4533),R4533&lt;TODAY()),AND(OR(N4533="PENDENTE",N4533="PARCIAL"),D4533&lt;TODAY()-1)),"CRÍTICO",IF(OR(AND(P4533&lt;&gt;"",S4533=""),AND(N4533="REALIZADO",M4533="PENDENTE"),AND(ISNUMBER(R4533),R4533=TODAY())),"ATENÇÃO",IF(N(K4533)=0,"PENDENTE","EM ANDAMENTO"))))))</f>
        <v/>
      </c>
      <c r="C4533" s="3">
        <f>IF(D4533="","",IF(V4533=0,"🟢 OK",IF(D4533&lt;corte,"⚪ HISTÓRICO (sem baixa)",IF(AND(ISNUMBER(R4533),R4533&lt;TODAY()),"🔴 PRAZO VENCIDO",IF(AND(OR(N4533="PENDENTE",N4533="PARCIAL"),D4533&lt;TODAY()-1),"🔴 EMBARQUE ATRASADO",IF(AND(N4533="REALIZADO",M4533="PENDENTE"),"🟡 EMBARCADO SEM FATURAR",IF(AND(P4533&lt;&gt;"",S4533="",OR(Q4533="",R4533="")),"🟡 PENDÊNCIA SEM RESPONSÁVEL/PRAZO",IF(AND(ISNUMBER(R4533),R4533=TODAY()),"🟡 VENCE HOJE",IF(AND(P4533&lt;&gt;"",S4533=""),"🟡 PENDÊNCIA ABERTA",IF(AND(N(J4533)&gt;0,N(K4533)&lt;J4533),"🟡 FALTA EXECUTAR",IF(OR(M4533="PENDENTE",M4533="PARCIAL"),"🟡 FATURAMENTO PENDENTE","🟡 EMBARQUE PENDENTE")))))))))))</f>
        <v/>
      </c>
      <c r="D4533" s="4" t="n"/>
      <c r="E4533" s="5" t="n"/>
      <c r="F4533" s="5" t="n"/>
      <c r="G4533" s="5" t="n"/>
      <c r="H4533" s="5" t="n"/>
      <c r="I4533" s="5" t="n"/>
      <c r="J4533" s="6" t="n"/>
      <c r="K4533" s="6" t="n"/>
      <c r="L4533" s="7">
        <f>IF(OR(D4533="",N(J4533)=0),"",MIN(1,N(K4533)/J4533))</f>
        <v/>
      </c>
      <c r="M4533" s="5" t="n"/>
      <c r="N4533" s="5" t="n"/>
      <c r="O4533" s="5" t="n"/>
      <c r="P4533" s="5" t="n"/>
      <c r="Q4533" s="5" t="n"/>
      <c r="R4533" s="4" t="n"/>
      <c r="S4533" s="4" t="n"/>
      <c r="T4533" s="5" t="n"/>
      <c r="U4533" s="8">
        <f>IF(AND(V4533=1,D4533&lt;&gt;""),IF(D4533&gt;=corte,TODAY()-D4533,""),"")</f>
        <v/>
      </c>
      <c r="V4533" s="8">
        <f>IF(D4533="",0,IF(OR(AND(P4533&lt;&gt;"",S4533=""),AND(N(J4533)&gt;0,N(K4533)&lt;J4533),OR(M4533="PENDENTE",M4533="PARCIAL"),OR(N4533="PENDENTE",N4533="PARCIAL")),1,0))</f>
        <v/>
      </c>
      <c r="W4533" s="8">
        <f>IF(AND(V4533=1,D4533&lt;&gt;""),IF(D4533&gt;=corte,(B4533="CRÍTICO")*1E9+(100000-D4533)*10000+10000-ROW(),""),"")</f>
        <v/>
      </c>
      <c r="X4533" s="8">
        <f>IF(AND(V4533=1,D4533=pas_data,E4533=pas_turno),10000-ROW(),"")</f>
        <v/>
      </c>
    </row>
    <row r="4534">
      <c r="A4534" s="3">
        <f>IF(D4534="","","TT-"&amp;TEXT(ROW()-1,"00000"))</f>
        <v/>
      </c>
      <c r="B4534" s="3">
        <f>IF(D4534="","",IF(V4534=0,"CONCLUÍDO",IF(D4534&lt;corte,"HISTÓRICO",IF(OR(AND(ISNUMBER(R4534),R4534&lt;TODAY()),AND(OR(N4534="PENDENTE",N4534="PARCIAL"),D4534&lt;TODAY()-1)),"CRÍTICO",IF(OR(AND(P4534&lt;&gt;"",S4534=""),AND(N4534="REALIZADO",M4534="PENDENTE"),AND(ISNUMBER(R4534),R4534=TODAY())),"ATENÇÃO",IF(N(K4534)=0,"PENDENTE","EM ANDAMENTO"))))))</f>
        <v/>
      </c>
      <c r="C4534" s="3">
        <f>IF(D4534="","",IF(V4534=0,"🟢 OK",IF(D4534&lt;corte,"⚪ HISTÓRICO (sem baixa)",IF(AND(ISNUMBER(R4534),R4534&lt;TODAY()),"🔴 PRAZO VENCIDO",IF(AND(OR(N4534="PENDENTE",N4534="PARCIAL"),D4534&lt;TODAY()-1),"🔴 EMBARQUE ATRASADO",IF(AND(N4534="REALIZADO",M4534="PENDENTE"),"🟡 EMBARCADO SEM FATURAR",IF(AND(P4534&lt;&gt;"",S4534="",OR(Q4534="",R4534="")),"🟡 PENDÊNCIA SEM RESPONSÁVEL/PRAZO",IF(AND(ISNUMBER(R4534),R4534=TODAY()),"🟡 VENCE HOJE",IF(AND(P4534&lt;&gt;"",S4534=""),"🟡 PENDÊNCIA ABERTA",IF(AND(N(J4534)&gt;0,N(K4534)&lt;J4534),"🟡 FALTA EXECUTAR",IF(OR(M4534="PENDENTE",M4534="PARCIAL"),"🟡 FATURAMENTO PENDENTE","🟡 EMBARQUE PENDENTE")))))))))))</f>
        <v/>
      </c>
      <c r="D4534" s="4" t="n"/>
      <c r="E4534" s="5" t="n"/>
      <c r="F4534" s="5" t="n"/>
      <c r="G4534" s="5" t="n"/>
      <c r="H4534" s="5" t="n"/>
      <c r="I4534" s="5" t="n"/>
      <c r="J4534" s="6" t="n"/>
      <c r="K4534" s="6" t="n"/>
      <c r="L4534" s="7">
        <f>IF(OR(D4534="",N(J4534)=0),"",MIN(1,N(K4534)/J4534))</f>
        <v/>
      </c>
      <c r="M4534" s="5" t="n"/>
      <c r="N4534" s="5" t="n"/>
      <c r="O4534" s="5" t="n"/>
      <c r="P4534" s="5" t="n"/>
      <c r="Q4534" s="5" t="n"/>
      <c r="R4534" s="4" t="n"/>
      <c r="S4534" s="4" t="n"/>
      <c r="T4534" s="5" t="n"/>
      <c r="U4534" s="8">
        <f>IF(AND(V4534=1,D4534&lt;&gt;""),IF(D4534&gt;=corte,TODAY()-D4534,""),"")</f>
        <v/>
      </c>
      <c r="V4534" s="8">
        <f>IF(D4534="",0,IF(OR(AND(P4534&lt;&gt;"",S4534=""),AND(N(J4534)&gt;0,N(K4534)&lt;J4534),OR(M4534="PENDENTE",M4534="PARCIAL"),OR(N4534="PENDENTE",N4534="PARCIAL")),1,0))</f>
        <v/>
      </c>
      <c r="W4534" s="8">
        <f>IF(AND(V4534=1,D4534&lt;&gt;""),IF(D4534&gt;=corte,(B4534="CRÍTICO")*1E9+(100000-D4534)*10000+10000-ROW(),""),"")</f>
        <v/>
      </c>
      <c r="X4534" s="8">
        <f>IF(AND(V4534=1,D4534=pas_data,E4534=pas_turno),10000-ROW(),"")</f>
        <v/>
      </c>
    </row>
    <row r="4535">
      <c r="A4535" s="3">
        <f>IF(D4535="","","TT-"&amp;TEXT(ROW()-1,"00000"))</f>
        <v/>
      </c>
      <c r="B4535" s="3">
        <f>IF(D4535="","",IF(V4535=0,"CONCLUÍDO",IF(D4535&lt;corte,"HISTÓRICO",IF(OR(AND(ISNUMBER(R4535),R4535&lt;TODAY()),AND(OR(N4535="PENDENTE",N4535="PARCIAL"),D4535&lt;TODAY()-1)),"CRÍTICO",IF(OR(AND(P4535&lt;&gt;"",S4535=""),AND(N4535="REALIZADO",M4535="PENDENTE"),AND(ISNUMBER(R4535),R4535=TODAY())),"ATENÇÃO",IF(N(K4535)=0,"PENDENTE","EM ANDAMENTO"))))))</f>
        <v/>
      </c>
      <c r="C4535" s="3">
        <f>IF(D4535="","",IF(V4535=0,"🟢 OK",IF(D4535&lt;corte,"⚪ HISTÓRICO (sem baixa)",IF(AND(ISNUMBER(R4535),R4535&lt;TODAY()),"🔴 PRAZO VENCIDO",IF(AND(OR(N4535="PENDENTE",N4535="PARCIAL"),D4535&lt;TODAY()-1),"🔴 EMBARQUE ATRASADO",IF(AND(N4535="REALIZADO",M4535="PENDENTE"),"🟡 EMBARCADO SEM FATURAR",IF(AND(P4535&lt;&gt;"",S4535="",OR(Q4535="",R4535="")),"🟡 PENDÊNCIA SEM RESPONSÁVEL/PRAZO",IF(AND(ISNUMBER(R4535),R4535=TODAY()),"🟡 VENCE HOJE",IF(AND(P4535&lt;&gt;"",S4535=""),"🟡 PENDÊNCIA ABERTA",IF(AND(N(J4535)&gt;0,N(K4535)&lt;J4535),"🟡 FALTA EXECUTAR",IF(OR(M4535="PENDENTE",M4535="PARCIAL"),"🟡 FATURAMENTO PENDENTE","🟡 EMBARQUE PENDENTE")))))))))))</f>
        <v/>
      </c>
      <c r="D4535" s="4" t="n"/>
      <c r="E4535" s="5" t="n"/>
      <c r="F4535" s="5" t="n"/>
      <c r="G4535" s="5" t="n"/>
      <c r="H4535" s="5" t="n"/>
      <c r="I4535" s="5" t="n"/>
      <c r="J4535" s="6" t="n"/>
      <c r="K4535" s="6" t="n"/>
      <c r="L4535" s="7">
        <f>IF(OR(D4535="",N(J4535)=0),"",MIN(1,N(K4535)/J4535))</f>
        <v/>
      </c>
      <c r="M4535" s="5" t="n"/>
      <c r="N4535" s="5" t="n"/>
      <c r="O4535" s="5" t="n"/>
      <c r="P4535" s="5" t="n"/>
      <c r="Q4535" s="5" t="n"/>
      <c r="R4535" s="4" t="n"/>
      <c r="S4535" s="4" t="n"/>
      <c r="T4535" s="5" t="n"/>
      <c r="U4535" s="8">
        <f>IF(AND(V4535=1,D4535&lt;&gt;""),IF(D4535&gt;=corte,TODAY()-D4535,""),"")</f>
        <v/>
      </c>
      <c r="V4535" s="8">
        <f>IF(D4535="",0,IF(OR(AND(P4535&lt;&gt;"",S4535=""),AND(N(J4535)&gt;0,N(K4535)&lt;J4535),OR(M4535="PENDENTE",M4535="PARCIAL"),OR(N4535="PENDENTE",N4535="PARCIAL")),1,0))</f>
        <v/>
      </c>
      <c r="W4535" s="8">
        <f>IF(AND(V4535=1,D4535&lt;&gt;""),IF(D4535&gt;=corte,(B4535="CRÍTICO")*1E9+(100000-D4535)*10000+10000-ROW(),""),"")</f>
        <v/>
      </c>
      <c r="X4535" s="8">
        <f>IF(AND(V4535=1,D4535=pas_data,E4535=pas_turno),10000-ROW(),"")</f>
        <v/>
      </c>
    </row>
    <row r="4536">
      <c r="A4536" s="3">
        <f>IF(D4536="","","TT-"&amp;TEXT(ROW()-1,"00000"))</f>
        <v/>
      </c>
      <c r="B4536" s="3">
        <f>IF(D4536="","",IF(V4536=0,"CONCLUÍDO",IF(D4536&lt;corte,"HISTÓRICO",IF(OR(AND(ISNUMBER(R4536),R4536&lt;TODAY()),AND(OR(N4536="PENDENTE",N4536="PARCIAL"),D4536&lt;TODAY()-1)),"CRÍTICO",IF(OR(AND(P4536&lt;&gt;"",S4536=""),AND(N4536="REALIZADO",M4536="PENDENTE"),AND(ISNUMBER(R4536),R4536=TODAY())),"ATENÇÃO",IF(N(K4536)=0,"PENDENTE","EM ANDAMENTO"))))))</f>
        <v/>
      </c>
      <c r="C4536" s="3">
        <f>IF(D4536="","",IF(V4536=0,"🟢 OK",IF(D4536&lt;corte,"⚪ HISTÓRICO (sem baixa)",IF(AND(ISNUMBER(R4536),R4536&lt;TODAY()),"🔴 PRAZO VENCIDO",IF(AND(OR(N4536="PENDENTE",N4536="PARCIAL"),D4536&lt;TODAY()-1),"🔴 EMBARQUE ATRASADO",IF(AND(N4536="REALIZADO",M4536="PENDENTE"),"🟡 EMBARCADO SEM FATURAR",IF(AND(P4536&lt;&gt;"",S4536="",OR(Q4536="",R4536="")),"🟡 PENDÊNCIA SEM RESPONSÁVEL/PRAZO",IF(AND(ISNUMBER(R4536),R4536=TODAY()),"🟡 VENCE HOJE",IF(AND(P4536&lt;&gt;"",S4536=""),"🟡 PENDÊNCIA ABERTA",IF(AND(N(J4536)&gt;0,N(K4536)&lt;J4536),"🟡 FALTA EXECUTAR",IF(OR(M4536="PENDENTE",M4536="PARCIAL"),"🟡 FATURAMENTO PENDENTE","🟡 EMBARQUE PENDENTE")))))))))))</f>
        <v/>
      </c>
      <c r="D4536" s="4" t="n"/>
      <c r="E4536" s="5" t="n"/>
      <c r="F4536" s="5" t="n"/>
      <c r="G4536" s="5" t="n"/>
      <c r="H4536" s="5" t="n"/>
      <c r="I4536" s="5" t="n"/>
      <c r="J4536" s="6" t="n"/>
      <c r="K4536" s="6" t="n"/>
      <c r="L4536" s="7">
        <f>IF(OR(D4536="",N(J4536)=0),"",MIN(1,N(K4536)/J4536))</f>
        <v/>
      </c>
      <c r="M4536" s="5" t="n"/>
      <c r="N4536" s="5" t="n"/>
      <c r="O4536" s="5" t="n"/>
      <c r="P4536" s="5" t="n"/>
      <c r="Q4536" s="5" t="n"/>
      <c r="R4536" s="4" t="n"/>
      <c r="S4536" s="4" t="n"/>
      <c r="T4536" s="5" t="n"/>
      <c r="U4536" s="8">
        <f>IF(AND(V4536=1,D4536&lt;&gt;""),IF(D4536&gt;=corte,TODAY()-D4536,""),"")</f>
        <v/>
      </c>
      <c r="V4536" s="8">
        <f>IF(D4536="",0,IF(OR(AND(P4536&lt;&gt;"",S4536=""),AND(N(J4536)&gt;0,N(K4536)&lt;J4536),OR(M4536="PENDENTE",M4536="PARCIAL"),OR(N4536="PENDENTE",N4536="PARCIAL")),1,0))</f>
        <v/>
      </c>
      <c r="W4536" s="8">
        <f>IF(AND(V4536=1,D4536&lt;&gt;""),IF(D4536&gt;=corte,(B4536="CRÍTICO")*1E9+(100000-D4536)*10000+10000-ROW(),""),"")</f>
        <v/>
      </c>
      <c r="X4536" s="8">
        <f>IF(AND(V4536=1,D4536=pas_data,E4536=pas_turno),10000-ROW(),"")</f>
        <v/>
      </c>
    </row>
    <row r="4537">
      <c r="A4537" s="3">
        <f>IF(D4537="","","TT-"&amp;TEXT(ROW()-1,"00000"))</f>
        <v/>
      </c>
      <c r="B4537" s="3">
        <f>IF(D4537="","",IF(V4537=0,"CONCLUÍDO",IF(D4537&lt;corte,"HISTÓRICO",IF(OR(AND(ISNUMBER(R4537),R4537&lt;TODAY()),AND(OR(N4537="PENDENTE",N4537="PARCIAL"),D4537&lt;TODAY()-1)),"CRÍTICO",IF(OR(AND(P4537&lt;&gt;"",S4537=""),AND(N4537="REALIZADO",M4537="PENDENTE"),AND(ISNUMBER(R4537),R4537=TODAY())),"ATENÇÃO",IF(N(K4537)=0,"PENDENTE","EM ANDAMENTO"))))))</f>
        <v/>
      </c>
      <c r="C4537" s="3">
        <f>IF(D4537="","",IF(V4537=0,"🟢 OK",IF(D4537&lt;corte,"⚪ HISTÓRICO (sem baixa)",IF(AND(ISNUMBER(R4537),R4537&lt;TODAY()),"🔴 PRAZO VENCIDO",IF(AND(OR(N4537="PENDENTE",N4537="PARCIAL"),D4537&lt;TODAY()-1),"🔴 EMBARQUE ATRASADO",IF(AND(N4537="REALIZADO",M4537="PENDENTE"),"🟡 EMBARCADO SEM FATURAR",IF(AND(P4537&lt;&gt;"",S4537="",OR(Q4537="",R4537="")),"🟡 PENDÊNCIA SEM RESPONSÁVEL/PRAZO",IF(AND(ISNUMBER(R4537),R4537=TODAY()),"🟡 VENCE HOJE",IF(AND(P4537&lt;&gt;"",S4537=""),"🟡 PENDÊNCIA ABERTA",IF(AND(N(J4537)&gt;0,N(K4537)&lt;J4537),"🟡 FALTA EXECUTAR",IF(OR(M4537="PENDENTE",M4537="PARCIAL"),"🟡 FATURAMENTO PENDENTE","🟡 EMBARQUE PENDENTE")))))))))))</f>
        <v/>
      </c>
      <c r="D4537" s="4" t="n"/>
      <c r="E4537" s="5" t="n"/>
      <c r="F4537" s="5" t="n"/>
      <c r="G4537" s="5" t="n"/>
      <c r="H4537" s="5" t="n"/>
      <c r="I4537" s="5" t="n"/>
      <c r="J4537" s="6" t="n"/>
      <c r="K4537" s="6" t="n"/>
      <c r="L4537" s="7">
        <f>IF(OR(D4537="",N(J4537)=0),"",MIN(1,N(K4537)/J4537))</f>
        <v/>
      </c>
      <c r="M4537" s="5" t="n"/>
      <c r="N4537" s="5" t="n"/>
      <c r="O4537" s="5" t="n"/>
      <c r="P4537" s="5" t="n"/>
      <c r="Q4537" s="5" t="n"/>
      <c r="R4537" s="4" t="n"/>
      <c r="S4537" s="4" t="n"/>
      <c r="T4537" s="5" t="n"/>
      <c r="U4537" s="8">
        <f>IF(AND(V4537=1,D4537&lt;&gt;""),IF(D4537&gt;=corte,TODAY()-D4537,""),"")</f>
        <v/>
      </c>
      <c r="V4537" s="8">
        <f>IF(D4537="",0,IF(OR(AND(P4537&lt;&gt;"",S4537=""),AND(N(J4537)&gt;0,N(K4537)&lt;J4537),OR(M4537="PENDENTE",M4537="PARCIAL"),OR(N4537="PENDENTE",N4537="PARCIAL")),1,0))</f>
        <v/>
      </c>
      <c r="W4537" s="8">
        <f>IF(AND(V4537=1,D4537&lt;&gt;""),IF(D4537&gt;=corte,(B4537="CRÍTICO")*1E9+(100000-D4537)*10000+10000-ROW(),""),"")</f>
        <v/>
      </c>
      <c r="X4537" s="8">
        <f>IF(AND(V4537=1,D4537=pas_data,E4537=pas_turno),10000-ROW(),"")</f>
        <v/>
      </c>
    </row>
    <row r="4538">
      <c r="A4538" s="3">
        <f>IF(D4538="","","TT-"&amp;TEXT(ROW()-1,"00000"))</f>
        <v/>
      </c>
      <c r="B4538" s="3">
        <f>IF(D4538="","",IF(V4538=0,"CONCLUÍDO",IF(D4538&lt;corte,"HISTÓRICO",IF(OR(AND(ISNUMBER(R4538),R4538&lt;TODAY()),AND(OR(N4538="PENDENTE",N4538="PARCIAL"),D4538&lt;TODAY()-1)),"CRÍTICO",IF(OR(AND(P4538&lt;&gt;"",S4538=""),AND(N4538="REALIZADO",M4538="PENDENTE"),AND(ISNUMBER(R4538),R4538=TODAY())),"ATENÇÃO",IF(N(K4538)=0,"PENDENTE","EM ANDAMENTO"))))))</f>
        <v/>
      </c>
      <c r="C4538" s="3">
        <f>IF(D4538="","",IF(V4538=0,"🟢 OK",IF(D4538&lt;corte,"⚪ HISTÓRICO (sem baixa)",IF(AND(ISNUMBER(R4538),R4538&lt;TODAY()),"🔴 PRAZO VENCIDO",IF(AND(OR(N4538="PENDENTE",N4538="PARCIAL"),D4538&lt;TODAY()-1),"🔴 EMBARQUE ATRASADO",IF(AND(N4538="REALIZADO",M4538="PENDENTE"),"🟡 EMBARCADO SEM FATURAR",IF(AND(P4538&lt;&gt;"",S4538="",OR(Q4538="",R4538="")),"🟡 PENDÊNCIA SEM RESPONSÁVEL/PRAZO",IF(AND(ISNUMBER(R4538),R4538=TODAY()),"🟡 VENCE HOJE",IF(AND(P4538&lt;&gt;"",S4538=""),"🟡 PENDÊNCIA ABERTA",IF(AND(N(J4538)&gt;0,N(K4538)&lt;J4538),"🟡 FALTA EXECUTAR",IF(OR(M4538="PENDENTE",M4538="PARCIAL"),"🟡 FATURAMENTO PENDENTE","🟡 EMBARQUE PENDENTE")))))))))))</f>
        <v/>
      </c>
      <c r="D4538" s="4" t="n"/>
      <c r="E4538" s="5" t="n"/>
      <c r="F4538" s="5" t="n"/>
      <c r="G4538" s="5" t="n"/>
      <c r="H4538" s="5" t="n"/>
      <c r="I4538" s="5" t="n"/>
      <c r="J4538" s="6" t="n"/>
      <c r="K4538" s="6" t="n"/>
      <c r="L4538" s="7">
        <f>IF(OR(D4538="",N(J4538)=0),"",MIN(1,N(K4538)/J4538))</f>
        <v/>
      </c>
      <c r="M4538" s="5" t="n"/>
      <c r="N4538" s="5" t="n"/>
      <c r="O4538" s="5" t="n"/>
      <c r="P4538" s="5" t="n"/>
      <c r="Q4538" s="5" t="n"/>
      <c r="R4538" s="4" t="n"/>
      <c r="S4538" s="4" t="n"/>
      <c r="T4538" s="5" t="n"/>
      <c r="U4538" s="8">
        <f>IF(AND(V4538=1,D4538&lt;&gt;""),IF(D4538&gt;=corte,TODAY()-D4538,""),"")</f>
        <v/>
      </c>
      <c r="V4538" s="8">
        <f>IF(D4538="",0,IF(OR(AND(P4538&lt;&gt;"",S4538=""),AND(N(J4538)&gt;0,N(K4538)&lt;J4538),OR(M4538="PENDENTE",M4538="PARCIAL"),OR(N4538="PENDENTE",N4538="PARCIAL")),1,0))</f>
        <v/>
      </c>
      <c r="W4538" s="8">
        <f>IF(AND(V4538=1,D4538&lt;&gt;""),IF(D4538&gt;=corte,(B4538="CRÍTICO")*1E9+(100000-D4538)*10000+10000-ROW(),""),"")</f>
        <v/>
      </c>
      <c r="X4538" s="8">
        <f>IF(AND(V4538=1,D4538=pas_data,E4538=pas_turno),10000-ROW(),"")</f>
        <v/>
      </c>
    </row>
    <row r="4539">
      <c r="A4539" s="3">
        <f>IF(D4539="","","TT-"&amp;TEXT(ROW()-1,"00000"))</f>
        <v/>
      </c>
      <c r="B4539" s="3">
        <f>IF(D4539="","",IF(V4539=0,"CONCLUÍDO",IF(D4539&lt;corte,"HISTÓRICO",IF(OR(AND(ISNUMBER(R4539),R4539&lt;TODAY()),AND(OR(N4539="PENDENTE",N4539="PARCIAL"),D4539&lt;TODAY()-1)),"CRÍTICO",IF(OR(AND(P4539&lt;&gt;"",S4539=""),AND(N4539="REALIZADO",M4539="PENDENTE"),AND(ISNUMBER(R4539),R4539=TODAY())),"ATENÇÃO",IF(N(K4539)=0,"PENDENTE","EM ANDAMENTO"))))))</f>
        <v/>
      </c>
      <c r="C4539" s="3">
        <f>IF(D4539="","",IF(V4539=0,"🟢 OK",IF(D4539&lt;corte,"⚪ HISTÓRICO (sem baixa)",IF(AND(ISNUMBER(R4539),R4539&lt;TODAY()),"🔴 PRAZO VENCIDO",IF(AND(OR(N4539="PENDENTE",N4539="PARCIAL"),D4539&lt;TODAY()-1),"🔴 EMBARQUE ATRASADO",IF(AND(N4539="REALIZADO",M4539="PENDENTE"),"🟡 EMBARCADO SEM FATURAR",IF(AND(P4539&lt;&gt;"",S4539="",OR(Q4539="",R4539="")),"🟡 PENDÊNCIA SEM RESPONSÁVEL/PRAZO",IF(AND(ISNUMBER(R4539),R4539=TODAY()),"🟡 VENCE HOJE",IF(AND(P4539&lt;&gt;"",S4539=""),"🟡 PENDÊNCIA ABERTA",IF(AND(N(J4539)&gt;0,N(K4539)&lt;J4539),"🟡 FALTA EXECUTAR",IF(OR(M4539="PENDENTE",M4539="PARCIAL"),"🟡 FATURAMENTO PENDENTE","🟡 EMBARQUE PENDENTE")))))))))))</f>
        <v/>
      </c>
      <c r="D4539" s="4" t="n"/>
      <c r="E4539" s="5" t="n"/>
      <c r="F4539" s="5" t="n"/>
      <c r="G4539" s="5" t="n"/>
      <c r="H4539" s="5" t="n"/>
      <c r="I4539" s="5" t="n"/>
      <c r="J4539" s="6" t="n"/>
      <c r="K4539" s="6" t="n"/>
      <c r="L4539" s="7">
        <f>IF(OR(D4539="",N(J4539)=0),"",MIN(1,N(K4539)/J4539))</f>
        <v/>
      </c>
      <c r="M4539" s="5" t="n"/>
      <c r="N4539" s="5" t="n"/>
      <c r="O4539" s="5" t="n"/>
      <c r="P4539" s="5" t="n"/>
      <c r="Q4539" s="5" t="n"/>
      <c r="R4539" s="4" t="n"/>
      <c r="S4539" s="4" t="n"/>
      <c r="T4539" s="5" t="n"/>
      <c r="U4539" s="8">
        <f>IF(AND(V4539=1,D4539&lt;&gt;""),IF(D4539&gt;=corte,TODAY()-D4539,""),"")</f>
        <v/>
      </c>
      <c r="V4539" s="8">
        <f>IF(D4539="",0,IF(OR(AND(P4539&lt;&gt;"",S4539=""),AND(N(J4539)&gt;0,N(K4539)&lt;J4539),OR(M4539="PENDENTE",M4539="PARCIAL"),OR(N4539="PENDENTE",N4539="PARCIAL")),1,0))</f>
        <v/>
      </c>
      <c r="W4539" s="8">
        <f>IF(AND(V4539=1,D4539&lt;&gt;""),IF(D4539&gt;=corte,(B4539="CRÍTICO")*1E9+(100000-D4539)*10000+10000-ROW(),""),"")</f>
        <v/>
      </c>
      <c r="X4539" s="8">
        <f>IF(AND(V4539=1,D4539=pas_data,E4539=pas_turno),10000-ROW(),"")</f>
        <v/>
      </c>
    </row>
    <row r="4540">
      <c r="A4540" s="3">
        <f>IF(D4540="","","TT-"&amp;TEXT(ROW()-1,"00000"))</f>
        <v/>
      </c>
      <c r="B4540" s="3">
        <f>IF(D4540="","",IF(V4540=0,"CONCLUÍDO",IF(D4540&lt;corte,"HISTÓRICO",IF(OR(AND(ISNUMBER(R4540),R4540&lt;TODAY()),AND(OR(N4540="PENDENTE",N4540="PARCIAL"),D4540&lt;TODAY()-1)),"CRÍTICO",IF(OR(AND(P4540&lt;&gt;"",S4540=""),AND(N4540="REALIZADO",M4540="PENDENTE"),AND(ISNUMBER(R4540),R4540=TODAY())),"ATENÇÃO",IF(N(K4540)=0,"PENDENTE","EM ANDAMENTO"))))))</f>
        <v/>
      </c>
      <c r="C4540" s="3">
        <f>IF(D4540="","",IF(V4540=0,"🟢 OK",IF(D4540&lt;corte,"⚪ HISTÓRICO (sem baixa)",IF(AND(ISNUMBER(R4540),R4540&lt;TODAY()),"🔴 PRAZO VENCIDO",IF(AND(OR(N4540="PENDENTE",N4540="PARCIAL"),D4540&lt;TODAY()-1),"🔴 EMBARQUE ATRASADO",IF(AND(N4540="REALIZADO",M4540="PENDENTE"),"🟡 EMBARCADO SEM FATURAR",IF(AND(P4540&lt;&gt;"",S4540="",OR(Q4540="",R4540="")),"🟡 PENDÊNCIA SEM RESPONSÁVEL/PRAZO",IF(AND(ISNUMBER(R4540),R4540=TODAY()),"🟡 VENCE HOJE",IF(AND(P4540&lt;&gt;"",S4540=""),"🟡 PENDÊNCIA ABERTA",IF(AND(N(J4540)&gt;0,N(K4540)&lt;J4540),"🟡 FALTA EXECUTAR",IF(OR(M4540="PENDENTE",M4540="PARCIAL"),"🟡 FATURAMENTO PENDENTE","🟡 EMBARQUE PENDENTE")))))))))))</f>
        <v/>
      </c>
      <c r="D4540" s="4" t="n"/>
      <c r="E4540" s="5" t="n"/>
      <c r="F4540" s="5" t="n"/>
      <c r="G4540" s="5" t="n"/>
      <c r="H4540" s="5" t="n"/>
      <c r="I4540" s="5" t="n"/>
      <c r="J4540" s="6" t="n"/>
      <c r="K4540" s="6" t="n"/>
      <c r="L4540" s="7">
        <f>IF(OR(D4540="",N(J4540)=0),"",MIN(1,N(K4540)/J4540))</f>
        <v/>
      </c>
      <c r="M4540" s="5" t="n"/>
      <c r="N4540" s="5" t="n"/>
      <c r="O4540" s="5" t="n"/>
      <c r="P4540" s="5" t="n"/>
      <c r="Q4540" s="5" t="n"/>
      <c r="R4540" s="4" t="n"/>
      <c r="S4540" s="4" t="n"/>
      <c r="T4540" s="5" t="n"/>
      <c r="U4540" s="8">
        <f>IF(AND(V4540=1,D4540&lt;&gt;""),IF(D4540&gt;=corte,TODAY()-D4540,""),"")</f>
        <v/>
      </c>
      <c r="V4540" s="8">
        <f>IF(D4540="",0,IF(OR(AND(P4540&lt;&gt;"",S4540=""),AND(N(J4540)&gt;0,N(K4540)&lt;J4540),OR(M4540="PENDENTE",M4540="PARCIAL"),OR(N4540="PENDENTE",N4540="PARCIAL")),1,0))</f>
        <v/>
      </c>
      <c r="W4540" s="8">
        <f>IF(AND(V4540=1,D4540&lt;&gt;""),IF(D4540&gt;=corte,(B4540="CRÍTICO")*1E9+(100000-D4540)*10000+10000-ROW(),""),"")</f>
        <v/>
      </c>
      <c r="X4540" s="8">
        <f>IF(AND(V4540=1,D4540=pas_data,E4540=pas_turno),10000-ROW(),"")</f>
        <v/>
      </c>
    </row>
    <row r="4541">
      <c r="A4541" s="3">
        <f>IF(D4541="","","TT-"&amp;TEXT(ROW()-1,"00000"))</f>
        <v/>
      </c>
      <c r="B4541" s="3">
        <f>IF(D4541="","",IF(V4541=0,"CONCLUÍDO",IF(D4541&lt;corte,"HISTÓRICO",IF(OR(AND(ISNUMBER(R4541),R4541&lt;TODAY()),AND(OR(N4541="PENDENTE",N4541="PARCIAL"),D4541&lt;TODAY()-1)),"CRÍTICO",IF(OR(AND(P4541&lt;&gt;"",S4541=""),AND(N4541="REALIZADO",M4541="PENDENTE"),AND(ISNUMBER(R4541),R4541=TODAY())),"ATENÇÃO",IF(N(K4541)=0,"PENDENTE","EM ANDAMENTO"))))))</f>
        <v/>
      </c>
      <c r="C4541" s="3">
        <f>IF(D4541="","",IF(V4541=0,"🟢 OK",IF(D4541&lt;corte,"⚪ HISTÓRICO (sem baixa)",IF(AND(ISNUMBER(R4541),R4541&lt;TODAY()),"🔴 PRAZO VENCIDO",IF(AND(OR(N4541="PENDENTE",N4541="PARCIAL"),D4541&lt;TODAY()-1),"🔴 EMBARQUE ATRASADO",IF(AND(N4541="REALIZADO",M4541="PENDENTE"),"🟡 EMBARCADO SEM FATURAR",IF(AND(P4541&lt;&gt;"",S4541="",OR(Q4541="",R4541="")),"🟡 PENDÊNCIA SEM RESPONSÁVEL/PRAZO",IF(AND(ISNUMBER(R4541),R4541=TODAY()),"🟡 VENCE HOJE",IF(AND(P4541&lt;&gt;"",S4541=""),"🟡 PENDÊNCIA ABERTA",IF(AND(N(J4541)&gt;0,N(K4541)&lt;J4541),"🟡 FALTA EXECUTAR",IF(OR(M4541="PENDENTE",M4541="PARCIAL"),"🟡 FATURAMENTO PENDENTE","🟡 EMBARQUE PENDENTE")))))))))))</f>
        <v/>
      </c>
      <c r="D4541" s="4" t="n"/>
      <c r="E4541" s="5" t="n"/>
      <c r="F4541" s="5" t="n"/>
      <c r="G4541" s="5" t="n"/>
      <c r="H4541" s="5" t="n"/>
      <c r="I4541" s="5" t="n"/>
      <c r="J4541" s="6" t="n"/>
      <c r="K4541" s="6" t="n"/>
      <c r="L4541" s="7">
        <f>IF(OR(D4541="",N(J4541)=0),"",MIN(1,N(K4541)/J4541))</f>
        <v/>
      </c>
      <c r="M4541" s="5" t="n"/>
      <c r="N4541" s="5" t="n"/>
      <c r="O4541" s="5" t="n"/>
      <c r="P4541" s="5" t="n"/>
      <c r="Q4541" s="5" t="n"/>
      <c r="R4541" s="4" t="n"/>
      <c r="S4541" s="4" t="n"/>
      <c r="T4541" s="5" t="n"/>
      <c r="U4541" s="8">
        <f>IF(AND(V4541=1,D4541&lt;&gt;""),IF(D4541&gt;=corte,TODAY()-D4541,""),"")</f>
        <v/>
      </c>
      <c r="V4541" s="8">
        <f>IF(D4541="",0,IF(OR(AND(P4541&lt;&gt;"",S4541=""),AND(N(J4541)&gt;0,N(K4541)&lt;J4541),OR(M4541="PENDENTE",M4541="PARCIAL"),OR(N4541="PENDENTE",N4541="PARCIAL")),1,0))</f>
        <v/>
      </c>
      <c r="W4541" s="8">
        <f>IF(AND(V4541=1,D4541&lt;&gt;""),IF(D4541&gt;=corte,(B4541="CRÍTICO")*1E9+(100000-D4541)*10000+10000-ROW(),""),"")</f>
        <v/>
      </c>
      <c r="X4541" s="8">
        <f>IF(AND(V4541=1,D4541=pas_data,E4541=pas_turno),10000-ROW(),"")</f>
        <v/>
      </c>
    </row>
    <row r="4542">
      <c r="A4542" s="3">
        <f>IF(D4542="","","TT-"&amp;TEXT(ROW()-1,"00000"))</f>
        <v/>
      </c>
      <c r="B4542" s="3">
        <f>IF(D4542="","",IF(V4542=0,"CONCLUÍDO",IF(D4542&lt;corte,"HISTÓRICO",IF(OR(AND(ISNUMBER(R4542),R4542&lt;TODAY()),AND(OR(N4542="PENDENTE",N4542="PARCIAL"),D4542&lt;TODAY()-1)),"CRÍTICO",IF(OR(AND(P4542&lt;&gt;"",S4542=""),AND(N4542="REALIZADO",M4542="PENDENTE"),AND(ISNUMBER(R4542),R4542=TODAY())),"ATENÇÃO",IF(N(K4542)=0,"PENDENTE","EM ANDAMENTO"))))))</f>
        <v/>
      </c>
      <c r="C4542" s="3">
        <f>IF(D4542="","",IF(V4542=0,"🟢 OK",IF(D4542&lt;corte,"⚪ HISTÓRICO (sem baixa)",IF(AND(ISNUMBER(R4542),R4542&lt;TODAY()),"🔴 PRAZO VENCIDO",IF(AND(OR(N4542="PENDENTE",N4542="PARCIAL"),D4542&lt;TODAY()-1),"🔴 EMBARQUE ATRASADO",IF(AND(N4542="REALIZADO",M4542="PENDENTE"),"🟡 EMBARCADO SEM FATURAR",IF(AND(P4542&lt;&gt;"",S4542="",OR(Q4542="",R4542="")),"🟡 PENDÊNCIA SEM RESPONSÁVEL/PRAZO",IF(AND(ISNUMBER(R4542),R4542=TODAY()),"🟡 VENCE HOJE",IF(AND(P4542&lt;&gt;"",S4542=""),"🟡 PENDÊNCIA ABERTA",IF(AND(N(J4542)&gt;0,N(K4542)&lt;J4542),"🟡 FALTA EXECUTAR",IF(OR(M4542="PENDENTE",M4542="PARCIAL"),"🟡 FATURAMENTO PENDENTE","🟡 EMBARQUE PENDENTE")))))))))))</f>
        <v/>
      </c>
      <c r="D4542" s="4" t="n"/>
      <c r="E4542" s="5" t="n"/>
      <c r="F4542" s="5" t="n"/>
      <c r="G4542" s="5" t="n"/>
      <c r="H4542" s="5" t="n"/>
      <c r="I4542" s="5" t="n"/>
      <c r="J4542" s="6" t="n"/>
      <c r="K4542" s="6" t="n"/>
      <c r="L4542" s="7">
        <f>IF(OR(D4542="",N(J4542)=0),"",MIN(1,N(K4542)/J4542))</f>
        <v/>
      </c>
      <c r="M4542" s="5" t="n"/>
      <c r="N4542" s="5" t="n"/>
      <c r="O4542" s="5" t="n"/>
      <c r="P4542" s="5" t="n"/>
      <c r="Q4542" s="5" t="n"/>
      <c r="R4542" s="4" t="n"/>
      <c r="S4542" s="4" t="n"/>
      <c r="T4542" s="5" t="n"/>
      <c r="U4542" s="8">
        <f>IF(AND(V4542=1,D4542&lt;&gt;""),IF(D4542&gt;=corte,TODAY()-D4542,""),"")</f>
        <v/>
      </c>
      <c r="V4542" s="8">
        <f>IF(D4542="",0,IF(OR(AND(P4542&lt;&gt;"",S4542=""),AND(N(J4542)&gt;0,N(K4542)&lt;J4542),OR(M4542="PENDENTE",M4542="PARCIAL"),OR(N4542="PENDENTE",N4542="PARCIAL")),1,0))</f>
        <v/>
      </c>
      <c r="W4542" s="8">
        <f>IF(AND(V4542=1,D4542&lt;&gt;""),IF(D4542&gt;=corte,(B4542="CRÍTICO")*1E9+(100000-D4542)*10000+10000-ROW(),""),"")</f>
        <v/>
      </c>
      <c r="X4542" s="8">
        <f>IF(AND(V4542=1,D4542=pas_data,E4542=pas_turno),10000-ROW(),"")</f>
        <v/>
      </c>
    </row>
    <row r="4543">
      <c r="A4543" s="3">
        <f>IF(D4543="","","TT-"&amp;TEXT(ROW()-1,"00000"))</f>
        <v/>
      </c>
      <c r="B4543" s="3">
        <f>IF(D4543="","",IF(V4543=0,"CONCLUÍDO",IF(D4543&lt;corte,"HISTÓRICO",IF(OR(AND(ISNUMBER(R4543),R4543&lt;TODAY()),AND(OR(N4543="PENDENTE",N4543="PARCIAL"),D4543&lt;TODAY()-1)),"CRÍTICO",IF(OR(AND(P4543&lt;&gt;"",S4543=""),AND(N4543="REALIZADO",M4543="PENDENTE"),AND(ISNUMBER(R4543),R4543=TODAY())),"ATENÇÃO",IF(N(K4543)=0,"PENDENTE","EM ANDAMENTO"))))))</f>
        <v/>
      </c>
      <c r="C4543" s="3">
        <f>IF(D4543="","",IF(V4543=0,"🟢 OK",IF(D4543&lt;corte,"⚪ HISTÓRICO (sem baixa)",IF(AND(ISNUMBER(R4543),R4543&lt;TODAY()),"🔴 PRAZO VENCIDO",IF(AND(OR(N4543="PENDENTE",N4543="PARCIAL"),D4543&lt;TODAY()-1),"🔴 EMBARQUE ATRASADO",IF(AND(N4543="REALIZADO",M4543="PENDENTE"),"🟡 EMBARCADO SEM FATURAR",IF(AND(P4543&lt;&gt;"",S4543="",OR(Q4543="",R4543="")),"🟡 PENDÊNCIA SEM RESPONSÁVEL/PRAZO",IF(AND(ISNUMBER(R4543),R4543=TODAY()),"🟡 VENCE HOJE",IF(AND(P4543&lt;&gt;"",S4543=""),"🟡 PENDÊNCIA ABERTA",IF(AND(N(J4543)&gt;0,N(K4543)&lt;J4543),"🟡 FALTA EXECUTAR",IF(OR(M4543="PENDENTE",M4543="PARCIAL"),"🟡 FATURAMENTO PENDENTE","🟡 EMBARQUE PENDENTE")))))))))))</f>
        <v/>
      </c>
      <c r="D4543" s="4" t="n"/>
      <c r="E4543" s="5" t="n"/>
      <c r="F4543" s="5" t="n"/>
      <c r="G4543" s="5" t="n"/>
      <c r="H4543" s="5" t="n"/>
      <c r="I4543" s="5" t="n"/>
      <c r="J4543" s="6" t="n"/>
      <c r="K4543" s="6" t="n"/>
      <c r="L4543" s="7">
        <f>IF(OR(D4543="",N(J4543)=0),"",MIN(1,N(K4543)/J4543))</f>
        <v/>
      </c>
      <c r="M4543" s="5" t="n"/>
      <c r="N4543" s="5" t="n"/>
      <c r="O4543" s="5" t="n"/>
      <c r="P4543" s="5" t="n"/>
      <c r="Q4543" s="5" t="n"/>
      <c r="R4543" s="4" t="n"/>
      <c r="S4543" s="4" t="n"/>
      <c r="T4543" s="5" t="n"/>
      <c r="U4543" s="8">
        <f>IF(AND(V4543=1,D4543&lt;&gt;""),IF(D4543&gt;=corte,TODAY()-D4543,""),"")</f>
        <v/>
      </c>
      <c r="V4543" s="8">
        <f>IF(D4543="",0,IF(OR(AND(P4543&lt;&gt;"",S4543=""),AND(N(J4543)&gt;0,N(K4543)&lt;J4543),OR(M4543="PENDENTE",M4543="PARCIAL"),OR(N4543="PENDENTE",N4543="PARCIAL")),1,0))</f>
        <v/>
      </c>
      <c r="W4543" s="8">
        <f>IF(AND(V4543=1,D4543&lt;&gt;""),IF(D4543&gt;=corte,(B4543="CRÍTICO")*1E9+(100000-D4543)*10000+10000-ROW(),""),"")</f>
        <v/>
      </c>
      <c r="X4543" s="8">
        <f>IF(AND(V4543=1,D4543=pas_data,E4543=pas_turno),10000-ROW(),"")</f>
        <v/>
      </c>
    </row>
    <row r="4544">
      <c r="A4544" s="3">
        <f>IF(D4544="","","TT-"&amp;TEXT(ROW()-1,"00000"))</f>
        <v/>
      </c>
      <c r="B4544" s="3">
        <f>IF(D4544="","",IF(V4544=0,"CONCLUÍDO",IF(D4544&lt;corte,"HISTÓRICO",IF(OR(AND(ISNUMBER(R4544),R4544&lt;TODAY()),AND(OR(N4544="PENDENTE",N4544="PARCIAL"),D4544&lt;TODAY()-1)),"CRÍTICO",IF(OR(AND(P4544&lt;&gt;"",S4544=""),AND(N4544="REALIZADO",M4544="PENDENTE"),AND(ISNUMBER(R4544),R4544=TODAY())),"ATENÇÃO",IF(N(K4544)=0,"PENDENTE","EM ANDAMENTO"))))))</f>
        <v/>
      </c>
      <c r="C4544" s="3">
        <f>IF(D4544="","",IF(V4544=0,"🟢 OK",IF(D4544&lt;corte,"⚪ HISTÓRICO (sem baixa)",IF(AND(ISNUMBER(R4544),R4544&lt;TODAY()),"🔴 PRAZO VENCIDO",IF(AND(OR(N4544="PENDENTE",N4544="PARCIAL"),D4544&lt;TODAY()-1),"🔴 EMBARQUE ATRASADO",IF(AND(N4544="REALIZADO",M4544="PENDENTE"),"🟡 EMBARCADO SEM FATURAR",IF(AND(P4544&lt;&gt;"",S4544="",OR(Q4544="",R4544="")),"🟡 PENDÊNCIA SEM RESPONSÁVEL/PRAZO",IF(AND(ISNUMBER(R4544),R4544=TODAY()),"🟡 VENCE HOJE",IF(AND(P4544&lt;&gt;"",S4544=""),"🟡 PENDÊNCIA ABERTA",IF(AND(N(J4544)&gt;0,N(K4544)&lt;J4544),"🟡 FALTA EXECUTAR",IF(OR(M4544="PENDENTE",M4544="PARCIAL"),"🟡 FATURAMENTO PENDENTE","🟡 EMBARQUE PENDENTE")))))))))))</f>
        <v/>
      </c>
      <c r="D4544" s="4" t="n"/>
      <c r="E4544" s="5" t="n"/>
      <c r="F4544" s="5" t="n"/>
      <c r="G4544" s="5" t="n"/>
      <c r="H4544" s="5" t="n"/>
      <c r="I4544" s="5" t="n"/>
      <c r="J4544" s="6" t="n"/>
      <c r="K4544" s="6" t="n"/>
      <c r="L4544" s="7">
        <f>IF(OR(D4544="",N(J4544)=0),"",MIN(1,N(K4544)/J4544))</f>
        <v/>
      </c>
      <c r="M4544" s="5" t="n"/>
      <c r="N4544" s="5" t="n"/>
      <c r="O4544" s="5" t="n"/>
      <c r="P4544" s="5" t="n"/>
      <c r="Q4544" s="5" t="n"/>
      <c r="R4544" s="4" t="n"/>
      <c r="S4544" s="4" t="n"/>
      <c r="T4544" s="5" t="n"/>
      <c r="U4544" s="8">
        <f>IF(AND(V4544=1,D4544&lt;&gt;""),IF(D4544&gt;=corte,TODAY()-D4544,""),"")</f>
        <v/>
      </c>
      <c r="V4544" s="8">
        <f>IF(D4544="",0,IF(OR(AND(P4544&lt;&gt;"",S4544=""),AND(N(J4544)&gt;0,N(K4544)&lt;J4544),OR(M4544="PENDENTE",M4544="PARCIAL"),OR(N4544="PENDENTE",N4544="PARCIAL")),1,0))</f>
        <v/>
      </c>
      <c r="W4544" s="8">
        <f>IF(AND(V4544=1,D4544&lt;&gt;""),IF(D4544&gt;=corte,(B4544="CRÍTICO")*1E9+(100000-D4544)*10000+10000-ROW(),""),"")</f>
        <v/>
      </c>
      <c r="X4544" s="8">
        <f>IF(AND(V4544=1,D4544=pas_data,E4544=pas_turno),10000-ROW(),"")</f>
        <v/>
      </c>
    </row>
    <row r="4545">
      <c r="A4545" s="3">
        <f>IF(D4545="","","TT-"&amp;TEXT(ROW()-1,"00000"))</f>
        <v/>
      </c>
      <c r="B4545" s="3">
        <f>IF(D4545="","",IF(V4545=0,"CONCLUÍDO",IF(D4545&lt;corte,"HISTÓRICO",IF(OR(AND(ISNUMBER(R4545),R4545&lt;TODAY()),AND(OR(N4545="PENDENTE",N4545="PARCIAL"),D4545&lt;TODAY()-1)),"CRÍTICO",IF(OR(AND(P4545&lt;&gt;"",S4545=""),AND(N4545="REALIZADO",M4545="PENDENTE"),AND(ISNUMBER(R4545),R4545=TODAY())),"ATENÇÃO",IF(N(K4545)=0,"PENDENTE","EM ANDAMENTO"))))))</f>
        <v/>
      </c>
      <c r="C4545" s="3">
        <f>IF(D4545="","",IF(V4545=0,"🟢 OK",IF(D4545&lt;corte,"⚪ HISTÓRICO (sem baixa)",IF(AND(ISNUMBER(R4545),R4545&lt;TODAY()),"🔴 PRAZO VENCIDO",IF(AND(OR(N4545="PENDENTE",N4545="PARCIAL"),D4545&lt;TODAY()-1),"🔴 EMBARQUE ATRASADO",IF(AND(N4545="REALIZADO",M4545="PENDENTE"),"🟡 EMBARCADO SEM FATURAR",IF(AND(P4545&lt;&gt;"",S4545="",OR(Q4545="",R4545="")),"🟡 PENDÊNCIA SEM RESPONSÁVEL/PRAZO",IF(AND(ISNUMBER(R4545),R4545=TODAY()),"🟡 VENCE HOJE",IF(AND(P4545&lt;&gt;"",S4545=""),"🟡 PENDÊNCIA ABERTA",IF(AND(N(J4545)&gt;0,N(K4545)&lt;J4545),"🟡 FALTA EXECUTAR",IF(OR(M4545="PENDENTE",M4545="PARCIAL"),"🟡 FATURAMENTO PENDENTE","🟡 EMBARQUE PENDENTE")))))))))))</f>
        <v/>
      </c>
      <c r="D4545" s="4" t="n"/>
      <c r="E4545" s="5" t="n"/>
      <c r="F4545" s="5" t="n"/>
      <c r="G4545" s="5" t="n"/>
      <c r="H4545" s="5" t="n"/>
      <c r="I4545" s="5" t="n"/>
      <c r="J4545" s="6" t="n"/>
      <c r="K4545" s="6" t="n"/>
      <c r="L4545" s="7">
        <f>IF(OR(D4545="",N(J4545)=0),"",MIN(1,N(K4545)/J4545))</f>
        <v/>
      </c>
      <c r="M4545" s="5" t="n"/>
      <c r="N4545" s="5" t="n"/>
      <c r="O4545" s="5" t="n"/>
      <c r="P4545" s="5" t="n"/>
      <c r="Q4545" s="5" t="n"/>
      <c r="R4545" s="4" t="n"/>
      <c r="S4545" s="4" t="n"/>
      <c r="T4545" s="5" t="n"/>
      <c r="U4545" s="8">
        <f>IF(AND(V4545=1,D4545&lt;&gt;""),IF(D4545&gt;=corte,TODAY()-D4545,""),"")</f>
        <v/>
      </c>
      <c r="V4545" s="8">
        <f>IF(D4545="",0,IF(OR(AND(P4545&lt;&gt;"",S4545=""),AND(N(J4545)&gt;0,N(K4545)&lt;J4545),OR(M4545="PENDENTE",M4545="PARCIAL"),OR(N4545="PENDENTE",N4545="PARCIAL")),1,0))</f>
        <v/>
      </c>
      <c r="W4545" s="8">
        <f>IF(AND(V4545=1,D4545&lt;&gt;""),IF(D4545&gt;=corte,(B4545="CRÍTICO")*1E9+(100000-D4545)*10000+10000-ROW(),""),"")</f>
        <v/>
      </c>
      <c r="X4545" s="8">
        <f>IF(AND(V4545=1,D4545=pas_data,E4545=pas_turno),10000-ROW(),"")</f>
        <v/>
      </c>
    </row>
    <row r="4546">
      <c r="A4546" s="3">
        <f>IF(D4546="","","TT-"&amp;TEXT(ROW()-1,"00000"))</f>
        <v/>
      </c>
      <c r="B4546" s="3">
        <f>IF(D4546="","",IF(V4546=0,"CONCLUÍDO",IF(D4546&lt;corte,"HISTÓRICO",IF(OR(AND(ISNUMBER(R4546),R4546&lt;TODAY()),AND(OR(N4546="PENDENTE",N4546="PARCIAL"),D4546&lt;TODAY()-1)),"CRÍTICO",IF(OR(AND(P4546&lt;&gt;"",S4546=""),AND(N4546="REALIZADO",M4546="PENDENTE"),AND(ISNUMBER(R4546),R4546=TODAY())),"ATENÇÃO",IF(N(K4546)=0,"PENDENTE","EM ANDAMENTO"))))))</f>
        <v/>
      </c>
      <c r="C4546" s="3">
        <f>IF(D4546="","",IF(V4546=0,"🟢 OK",IF(D4546&lt;corte,"⚪ HISTÓRICO (sem baixa)",IF(AND(ISNUMBER(R4546),R4546&lt;TODAY()),"🔴 PRAZO VENCIDO",IF(AND(OR(N4546="PENDENTE",N4546="PARCIAL"),D4546&lt;TODAY()-1),"🔴 EMBARQUE ATRASADO",IF(AND(N4546="REALIZADO",M4546="PENDENTE"),"🟡 EMBARCADO SEM FATURAR",IF(AND(P4546&lt;&gt;"",S4546="",OR(Q4546="",R4546="")),"🟡 PENDÊNCIA SEM RESPONSÁVEL/PRAZO",IF(AND(ISNUMBER(R4546),R4546=TODAY()),"🟡 VENCE HOJE",IF(AND(P4546&lt;&gt;"",S4546=""),"🟡 PENDÊNCIA ABERTA",IF(AND(N(J4546)&gt;0,N(K4546)&lt;J4546),"🟡 FALTA EXECUTAR",IF(OR(M4546="PENDENTE",M4546="PARCIAL"),"🟡 FATURAMENTO PENDENTE","🟡 EMBARQUE PENDENTE")))))))))))</f>
        <v/>
      </c>
      <c r="D4546" s="4" t="n"/>
      <c r="E4546" s="5" t="n"/>
      <c r="F4546" s="5" t="n"/>
      <c r="G4546" s="5" t="n"/>
      <c r="H4546" s="5" t="n"/>
      <c r="I4546" s="5" t="n"/>
      <c r="J4546" s="6" t="n"/>
      <c r="K4546" s="6" t="n"/>
      <c r="L4546" s="7">
        <f>IF(OR(D4546="",N(J4546)=0),"",MIN(1,N(K4546)/J4546))</f>
        <v/>
      </c>
      <c r="M4546" s="5" t="n"/>
      <c r="N4546" s="5" t="n"/>
      <c r="O4546" s="5" t="n"/>
      <c r="P4546" s="5" t="n"/>
      <c r="Q4546" s="5" t="n"/>
      <c r="R4546" s="4" t="n"/>
      <c r="S4546" s="4" t="n"/>
      <c r="T4546" s="5" t="n"/>
      <c r="U4546" s="8">
        <f>IF(AND(V4546=1,D4546&lt;&gt;""),IF(D4546&gt;=corte,TODAY()-D4546,""),"")</f>
        <v/>
      </c>
      <c r="V4546" s="8">
        <f>IF(D4546="",0,IF(OR(AND(P4546&lt;&gt;"",S4546=""),AND(N(J4546)&gt;0,N(K4546)&lt;J4546),OR(M4546="PENDENTE",M4546="PARCIAL"),OR(N4546="PENDENTE",N4546="PARCIAL")),1,0))</f>
        <v/>
      </c>
      <c r="W4546" s="8">
        <f>IF(AND(V4546=1,D4546&lt;&gt;""),IF(D4546&gt;=corte,(B4546="CRÍTICO")*1E9+(100000-D4546)*10000+10000-ROW(),""),"")</f>
        <v/>
      </c>
      <c r="X4546" s="8">
        <f>IF(AND(V4546=1,D4546=pas_data,E4546=pas_turno),10000-ROW(),"")</f>
        <v/>
      </c>
    </row>
    <row r="4547">
      <c r="A4547" s="3">
        <f>IF(D4547="","","TT-"&amp;TEXT(ROW()-1,"00000"))</f>
        <v/>
      </c>
      <c r="B4547" s="3">
        <f>IF(D4547="","",IF(V4547=0,"CONCLUÍDO",IF(D4547&lt;corte,"HISTÓRICO",IF(OR(AND(ISNUMBER(R4547),R4547&lt;TODAY()),AND(OR(N4547="PENDENTE",N4547="PARCIAL"),D4547&lt;TODAY()-1)),"CRÍTICO",IF(OR(AND(P4547&lt;&gt;"",S4547=""),AND(N4547="REALIZADO",M4547="PENDENTE"),AND(ISNUMBER(R4547),R4547=TODAY())),"ATENÇÃO",IF(N(K4547)=0,"PENDENTE","EM ANDAMENTO"))))))</f>
        <v/>
      </c>
      <c r="C4547" s="3">
        <f>IF(D4547="","",IF(V4547=0,"🟢 OK",IF(D4547&lt;corte,"⚪ HISTÓRICO (sem baixa)",IF(AND(ISNUMBER(R4547),R4547&lt;TODAY()),"🔴 PRAZO VENCIDO",IF(AND(OR(N4547="PENDENTE",N4547="PARCIAL"),D4547&lt;TODAY()-1),"🔴 EMBARQUE ATRASADO",IF(AND(N4547="REALIZADO",M4547="PENDENTE"),"🟡 EMBARCADO SEM FATURAR",IF(AND(P4547&lt;&gt;"",S4547="",OR(Q4547="",R4547="")),"🟡 PENDÊNCIA SEM RESPONSÁVEL/PRAZO",IF(AND(ISNUMBER(R4547),R4547=TODAY()),"🟡 VENCE HOJE",IF(AND(P4547&lt;&gt;"",S4547=""),"🟡 PENDÊNCIA ABERTA",IF(AND(N(J4547)&gt;0,N(K4547)&lt;J4547),"🟡 FALTA EXECUTAR",IF(OR(M4547="PENDENTE",M4547="PARCIAL"),"🟡 FATURAMENTO PENDENTE","🟡 EMBARQUE PENDENTE")))))))))))</f>
        <v/>
      </c>
      <c r="D4547" s="4" t="n"/>
      <c r="E4547" s="5" t="n"/>
      <c r="F4547" s="5" t="n"/>
      <c r="G4547" s="5" t="n"/>
      <c r="H4547" s="5" t="n"/>
      <c r="I4547" s="5" t="n"/>
      <c r="J4547" s="6" t="n"/>
      <c r="K4547" s="6" t="n"/>
      <c r="L4547" s="7">
        <f>IF(OR(D4547="",N(J4547)=0),"",MIN(1,N(K4547)/J4547))</f>
        <v/>
      </c>
      <c r="M4547" s="5" t="n"/>
      <c r="N4547" s="5" t="n"/>
      <c r="O4547" s="5" t="n"/>
      <c r="P4547" s="5" t="n"/>
      <c r="Q4547" s="5" t="n"/>
      <c r="R4547" s="4" t="n"/>
      <c r="S4547" s="4" t="n"/>
      <c r="T4547" s="5" t="n"/>
      <c r="U4547" s="8">
        <f>IF(AND(V4547=1,D4547&lt;&gt;""),IF(D4547&gt;=corte,TODAY()-D4547,""),"")</f>
        <v/>
      </c>
      <c r="V4547" s="8">
        <f>IF(D4547="",0,IF(OR(AND(P4547&lt;&gt;"",S4547=""),AND(N(J4547)&gt;0,N(K4547)&lt;J4547),OR(M4547="PENDENTE",M4547="PARCIAL"),OR(N4547="PENDENTE",N4547="PARCIAL")),1,0))</f>
        <v/>
      </c>
      <c r="W4547" s="8">
        <f>IF(AND(V4547=1,D4547&lt;&gt;""),IF(D4547&gt;=corte,(B4547="CRÍTICO")*1E9+(100000-D4547)*10000+10000-ROW(),""),"")</f>
        <v/>
      </c>
      <c r="X4547" s="8">
        <f>IF(AND(V4547=1,D4547=pas_data,E4547=pas_turno),10000-ROW(),"")</f>
        <v/>
      </c>
    </row>
    <row r="4548">
      <c r="A4548" s="3">
        <f>IF(D4548="","","TT-"&amp;TEXT(ROW()-1,"00000"))</f>
        <v/>
      </c>
      <c r="B4548" s="3">
        <f>IF(D4548="","",IF(V4548=0,"CONCLUÍDO",IF(D4548&lt;corte,"HISTÓRICO",IF(OR(AND(ISNUMBER(R4548),R4548&lt;TODAY()),AND(OR(N4548="PENDENTE",N4548="PARCIAL"),D4548&lt;TODAY()-1)),"CRÍTICO",IF(OR(AND(P4548&lt;&gt;"",S4548=""),AND(N4548="REALIZADO",M4548="PENDENTE"),AND(ISNUMBER(R4548),R4548=TODAY())),"ATENÇÃO",IF(N(K4548)=0,"PENDENTE","EM ANDAMENTO"))))))</f>
        <v/>
      </c>
      <c r="C4548" s="3">
        <f>IF(D4548="","",IF(V4548=0,"🟢 OK",IF(D4548&lt;corte,"⚪ HISTÓRICO (sem baixa)",IF(AND(ISNUMBER(R4548),R4548&lt;TODAY()),"🔴 PRAZO VENCIDO",IF(AND(OR(N4548="PENDENTE",N4548="PARCIAL"),D4548&lt;TODAY()-1),"🔴 EMBARQUE ATRASADO",IF(AND(N4548="REALIZADO",M4548="PENDENTE"),"🟡 EMBARCADO SEM FATURAR",IF(AND(P4548&lt;&gt;"",S4548="",OR(Q4548="",R4548="")),"🟡 PENDÊNCIA SEM RESPONSÁVEL/PRAZO",IF(AND(ISNUMBER(R4548),R4548=TODAY()),"🟡 VENCE HOJE",IF(AND(P4548&lt;&gt;"",S4548=""),"🟡 PENDÊNCIA ABERTA",IF(AND(N(J4548)&gt;0,N(K4548)&lt;J4548),"🟡 FALTA EXECUTAR",IF(OR(M4548="PENDENTE",M4548="PARCIAL"),"🟡 FATURAMENTO PENDENTE","🟡 EMBARQUE PENDENTE")))))))))))</f>
        <v/>
      </c>
      <c r="D4548" s="4" t="n"/>
      <c r="E4548" s="5" t="n"/>
      <c r="F4548" s="5" t="n"/>
      <c r="G4548" s="5" t="n"/>
      <c r="H4548" s="5" t="n"/>
      <c r="I4548" s="5" t="n"/>
      <c r="J4548" s="6" t="n"/>
      <c r="K4548" s="6" t="n"/>
      <c r="L4548" s="7">
        <f>IF(OR(D4548="",N(J4548)=0),"",MIN(1,N(K4548)/J4548))</f>
        <v/>
      </c>
      <c r="M4548" s="5" t="n"/>
      <c r="N4548" s="5" t="n"/>
      <c r="O4548" s="5" t="n"/>
      <c r="P4548" s="5" t="n"/>
      <c r="Q4548" s="5" t="n"/>
      <c r="R4548" s="4" t="n"/>
      <c r="S4548" s="4" t="n"/>
      <c r="T4548" s="5" t="n"/>
      <c r="U4548" s="8">
        <f>IF(AND(V4548=1,D4548&lt;&gt;""),IF(D4548&gt;=corte,TODAY()-D4548,""),"")</f>
        <v/>
      </c>
      <c r="V4548" s="8">
        <f>IF(D4548="",0,IF(OR(AND(P4548&lt;&gt;"",S4548=""),AND(N(J4548)&gt;0,N(K4548)&lt;J4548),OR(M4548="PENDENTE",M4548="PARCIAL"),OR(N4548="PENDENTE",N4548="PARCIAL")),1,0))</f>
        <v/>
      </c>
      <c r="W4548" s="8">
        <f>IF(AND(V4548=1,D4548&lt;&gt;""),IF(D4548&gt;=corte,(B4548="CRÍTICO")*1E9+(100000-D4548)*10000+10000-ROW(),""),"")</f>
        <v/>
      </c>
      <c r="X4548" s="8">
        <f>IF(AND(V4548=1,D4548=pas_data,E4548=pas_turno),10000-ROW(),"")</f>
        <v/>
      </c>
    </row>
    <row r="4549">
      <c r="A4549" s="3">
        <f>IF(D4549="","","TT-"&amp;TEXT(ROW()-1,"00000"))</f>
        <v/>
      </c>
      <c r="B4549" s="3">
        <f>IF(D4549="","",IF(V4549=0,"CONCLUÍDO",IF(D4549&lt;corte,"HISTÓRICO",IF(OR(AND(ISNUMBER(R4549),R4549&lt;TODAY()),AND(OR(N4549="PENDENTE",N4549="PARCIAL"),D4549&lt;TODAY()-1)),"CRÍTICO",IF(OR(AND(P4549&lt;&gt;"",S4549=""),AND(N4549="REALIZADO",M4549="PENDENTE"),AND(ISNUMBER(R4549),R4549=TODAY())),"ATENÇÃO",IF(N(K4549)=0,"PENDENTE","EM ANDAMENTO"))))))</f>
        <v/>
      </c>
      <c r="C4549" s="3">
        <f>IF(D4549="","",IF(V4549=0,"🟢 OK",IF(D4549&lt;corte,"⚪ HISTÓRICO (sem baixa)",IF(AND(ISNUMBER(R4549),R4549&lt;TODAY()),"🔴 PRAZO VENCIDO",IF(AND(OR(N4549="PENDENTE",N4549="PARCIAL"),D4549&lt;TODAY()-1),"🔴 EMBARQUE ATRASADO",IF(AND(N4549="REALIZADO",M4549="PENDENTE"),"🟡 EMBARCADO SEM FATURAR",IF(AND(P4549&lt;&gt;"",S4549="",OR(Q4549="",R4549="")),"🟡 PENDÊNCIA SEM RESPONSÁVEL/PRAZO",IF(AND(ISNUMBER(R4549),R4549=TODAY()),"🟡 VENCE HOJE",IF(AND(P4549&lt;&gt;"",S4549=""),"🟡 PENDÊNCIA ABERTA",IF(AND(N(J4549)&gt;0,N(K4549)&lt;J4549),"🟡 FALTA EXECUTAR",IF(OR(M4549="PENDENTE",M4549="PARCIAL"),"🟡 FATURAMENTO PENDENTE","🟡 EMBARQUE PENDENTE")))))))))))</f>
        <v/>
      </c>
      <c r="D4549" s="4" t="n"/>
      <c r="E4549" s="5" t="n"/>
      <c r="F4549" s="5" t="n"/>
      <c r="G4549" s="5" t="n"/>
      <c r="H4549" s="5" t="n"/>
      <c r="I4549" s="5" t="n"/>
      <c r="J4549" s="6" t="n"/>
      <c r="K4549" s="6" t="n"/>
      <c r="L4549" s="7">
        <f>IF(OR(D4549="",N(J4549)=0),"",MIN(1,N(K4549)/J4549))</f>
        <v/>
      </c>
      <c r="M4549" s="5" t="n"/>
      <c r="N4549" s="5" t="n"/>
      <c r="O4549" s="5" t="n"/>
      <c r="P4549" s="5" t="n"/>
      <c r="Q4549" s="5" t="n"/>
      <c r="R4549" s="4" t="n"/>
      <c r="S4549" s="4" t="n"/>
      <c r="T4549" s="5" t="n"/>
      <c r="U4549" s="8">
        <f>IF(AND(V4549=1,D4549&lt;&gt;""),IF(D4549&gt;=corte,TODAY()-D4549,""),"")</f>
        <v/>
      </c>
      <c r="V4549" s="8">
        <f>IF(D4549="",0,IF(OR(AND(P4549&lt;&gt;"",S4549=""),AND(N(J4549)&gt;0,N(K4549)&lt;J4549),OR(M4549="PENDENTE",M4549="PARCIAL"),OR(N4549="PENDENTE",N4549="PARCIAL")),1,0))</f>
        <v/>
      </c>
      <c r="W4549" s="8">
        <f>IF(AND(V4549=1,D4549&lt;&gt;""),IF(D4549&gt;=corte,(B4549="CRÍTICO")*1E9+(100000-D4549)*10000+10000-ROW(),""),"")</f>
        <v/>
      </c>
      <c r="X4549" s="8">
        <f>IF(AND(V4549=1,D4549=pas_data,E4549=pas_turno),10000-ROW(),"")</f>
        <v/>
      </c>
    </row>
    <row r="4550">
      <c r="A4550" s="3">
        <f>IF(D4550="","","TT-"&amp;TEXT(ROW()-1,"00000"))</f>
        <v/>
      </c>
      <c r="B4550" s="3">
        <f>IF(D4550="","",IF(V4550=0,"CONCLUÍDO",IF(D4550&lt;corte,"HISTÓRICO",IF(OR(AND(ISNUMBER(R4550),R4550&lt;TODAY()),AND(OR(N4550="PENDENTE",N4550="PARCIAL"),D4550&lt;TODAY()-1)),"CRÍTICO",IF(OR(AND(P4550&lt;&gt;"",S4550=""),AND(N4550="REALIZADO",M4550="PENDENTE"),AND(ISNUMBER(R4550),R4550=TODAY())),"ATENÇÃO",IF(N(K4550)=0,"PENDENTE","EM ANDAMENTO"))))))</f>
        <v/>
      </c>
      <c r="C4550" s="3">
        <f>IF(D4550="","",IF(V4550=0,"🟢 OK",IF(D4550&lt;corte,"⚪ HISTÓRICO (sem baixa)",IF(AND(ISNUMBER(R4550),R4550&lt;TODAY()),"🔴 PRAZO VENCIDO",IF(AND(OR(N4550="PENDENTE",N4550="PARCIAL"),D4550&lt;TODAY()-1),"🔴 EMBARQUE ATRASADO",IF(AND(N4550="REALIZADO",M4550="PENDENTE"),"🟡 EMBARCADO SEM FATURAR",IF(AND(P4550&lt;&gt;"",S4550="",OR(Q4550="",R4550="")),"🟡 PENDÊNCIA SEM RESPONSÁVEL/PRAZO",IF(AND(ISNUMBER(R4550),R4550=TODAY()),"🟡 VENCE HOJE",IF(AND(P4550&lt;&gt;"",S4550=""),"🟡 PENDÊNCIA ABERTA",IF(AND(N(J4550)&gt;0,N(K4550)&lt;J4550),"🟡 FALTA EXECUTAR",IF(OR(M4550="PENDENTE",M4550="PARCIAL"),"🟡 FATURAMENTO PENDENTE","🟡 EMBARQUE PENDENTE")))))))))))</f>
        <v/>
      </c>
      <c r="D4550" s="4" t="n"/>
      <c r="E4550" s="5" t="n"/>
      <c r="F4550" s="5" t="n"/>
      <c r="G4550" s="5" t="n"/>
      <c r="H4550" s="5" t="n"/>
      <c r="I4550" s="5" t="n"/>
      <c r="J4550" s="6" t="n"/>
      <c r="K4550" s="6" t="n"/>
      <c r="L4550" s="7">
        <f>IF(OR(D4550="",N(J4550)=0),"",MIN(1,N(K4550)/J4550))</f>
        <v/>
      </c>
      <c r="M4550" s="5" t="n"/>
      <c r="N4550" s="5" t="n"/>
      <c r="O4550" s="5" t="n"/>
      <c r="P4550" s="5" t="n"/>
      <c r="Q4550" s="5" t="n"/>
      <c r="R4550" s="4" t="n"/>
      <c r="S4550" s="4" t="n"/>
      <c r="T4550" s="5" t="n"/>
      <c r="U4550" s="8">
        <f>IF(AND(V4550=1,D4550&lt;&gt;""),IF(D4550&gt;=corte,TODAY()-D4550,""),"")</f>
        <v/>
      </c>
      <c r="V4550" s="8">
        <f>IF(D4550="",0,IF(OR(AND(P4550&lt;&gt;"",S4550=""),AND(N(J4550)&gt;0,N(K4550)&lt;J4550),OR(M4550="PENDENTE",M4550="PARCIAL"),OR(N4550="PENDENTE",N4550="PARCIAL")),1,0))</f>
        <v/>
      </c>
      <c r="W4550" s="8">
        <f>IF(AND(V4550=1,D4550&lt;&gt;""),IF(D4550&gt;=corte,(B4550="CRÍTICO")*1E9+(100000-D4550)*10000+10000-ROW(),""),"")</f>
        <v/>
      </c>
      <c r="X4550" s="8">
        <f>IF(AND(V4550=1,D4550=pas_data,E4550=pas_turno),10000-ROW(),"")</f>
        <v/>
      </c>
    </row>
    <row r="4551">
      <c r="A4551" s="3">
        <f>IF(D4551="","","TT-"&amp;TEXT(ROW()-1,"00000"))</f>
        <v/>
      </c>
      <c r="B4551" s="3">
        <f>IF(D4551="","",IF(V4551=0,"CONCLUÍDO",IF(D4551&lt;corte,"HISTÓRICO",IF(OR(AND(ISNUMBER(R4551),R4551&lt;TODAY()),AND(OR(N4551="PENDENTE",N4551="PARCIAL"),D4551&lt;TODAY()-1)),"CRÍTICO",IF(OR(AND(P4551&lt;&gt;"",S4551=""),AND(N4551="REALIZADO",M4551="PENDENTE"),AND(ISNUMBER(R4551),R4551=TODAY())),"ATENÇÃO",IF(N(K4551)=0,"PENDENTE","EM ANDAMENTO"))))))</f>
        <v/>
      </c>
      <c r="C4551" s="3">
        <f>IF(D4551="","",IF(V4551=0,"🟢 OK",IF(D4551&lt;corte,"⚪ HISTÓRICO (sem baixa)",IF(AND(ISNUMBER(R4551),R4551&lt;TODAY()),"🔴 PRAZO VENCIDO",IF(AND(OR(N4551="PENDENTE",N4551="PARCIAL"),D4551&lt;TODAY()-1),"🔴 EMBARQUE ATRASADO",IF(AND(N4551="REALIZADO",M4551="PENDENTE"),"🟡 EMBARCADO SEM FATURAR",IF(AND(P4551&lt;&gt;"",S4551="",OR(Q4551="",R4551="")),"🟡 PENDÊNCIA SEM RESPONSÁVEL/PRAZO",IF(AND(ISNUMBER(R4551),R4551=TODAY()),"🟡 VENCE HOJE",IF(AND(P4551&lt;&gt;"",S4551=""),"🟡 PENDÊNCIA ABERTA",IF(AND(N(J4551)&gt;0,N(K4551)&lt;J4551),"🟡 FALTA EXECUTAR",IF(OR(M4551="PENDENTE",M4551="PARCIAL"),"🟡 FATURAMENTO PENDENTE","🟡 EMBARQUE PENDENTE")))))))))))</f>
        <v/>
      </c>
      <c r="D4551" s="4" t="n"/>
      <c r="E4551" s="5" t="n"/>
      <c r="F4551" s="5" t="n"/>
      <c r="G4551" s="5" t="n"/>
      <c r="H4551" s="5" t="n"/>
      <c r="I4551" s="5" t="n"/>
      <c r="J4551" s="6" t="n"/>
      <c r="K4551" s="6" t="n"/>
      <c r="L4551" s="7">
        <f>IF(OR(D4551="",N(J4551)=0),"",MIN(1,N(K4551)/J4551))</f>
        <v/>
      </c>
      <c r="M4551" s="5" t="n"/>
      <c r="N4551" s="5" t="n"/>
      <c r="O4551" s="5" t="n"/>
      <c r="P4551" s="5" t="n"/>
      <c r="Q4551" s="5" t="n"/>
      <c r="R4551" s="4" t="n"/>
      <c r="S4551" s="4" t="n"/>
      <c r="T4551" s="5" t="n"/>
      <c r="U4551" s="8">
        <f>IF(AND(V4551=1,D4551&lt;&gt;""),IF(D4551&gt;=corte,TODAY()-D4551,""),"")</f>
        <v/>
      </c>
      <c r="V4551" s="8">
        <f>IF(D4551="",0,IF(OR(AND(P4551&lt;&gt;"",S4551=""),AND(N(J4551)&gt;0,N(K4551)&lt;J4551),OR(M4551="PENDENTE",M4551="PARCIAL"),OR(N4551="PENDENTE",N4551="PARCIAL")),1,0))</f>
        <v/>
      </c>
      <c r="W4551" s="8">
        <f>IF(AND(V4551=1,D4551&lt;&gt;""),IF(D4551&gt;=corte,(B4551="CRÍTICO")*1E9+(100000-D4551)*10000+10000-ROW(),""),"")</f>
        <v/>
      </c>
      <c r="X4551" s="8">
        <f>IF(AND(V4551=1,D4551=pas_data,E4551=pas_turno),10000-ROW(),"")</f>
        <v/>
      </c>
    </row>
    <row r="4552">
      <c r="A4552" s="3">
        <f>IF(D4552="","","TT-"&amp;TEXT(ROW()-1,"00000"))</f>
        <v/>
      </c>
      <c r="B4552" s="3">
        <f>IF(D4552="","",IF(V4552=0,"CONCLUÍDO",IF(D4552&lt;corte,"HISTÓRICO",IF(OR(AND(ISNUMBER(R4552),R4552&lt;TODAY()),AND(OR(N4552="PENDENTE",N4552="PARCIAL"),D4552&lt;TODAY()-1)),"CRÍTICO",IF(OR(AND(P4552&lt;&gt;"",S4552=""),AND(N4552="REALIZADO",M4552="PENDENTE"),AND(ISNUMBER(R4552),R4552=TODAY())),"ATENÇÃO",IF(N(K4552)=0,"PENDENTE","EM ANDAMENTO"))))))</f>
        <v/>
      </c>
      <c r="C4552" s="3">
        <f>IF(D4552="","",IF(V4552=0,"🟢 OK",IF(D4552&lt;corte,"⚪ HISTÓRICO (sem baixa)",IF(AND(ISNUMBER(R4552),R4552&lt;TODAY()),"🔴 PRAZO VENCIDO",IF(AND(OR(N4552="PENDENTE",N4552="PARCIAL"),D4552&lt;TODAY()-1),"🔴 EMBARQUE ATRASADO",IF(AND(N4552="REALIZADO",M4552="PENDENTE"),"🟡 EMBARCADO SEM FATURAR",IF(AND(P4552&lt;&gt;"",S4552="",OR(Q4552="",R4552="")),"🟡 PENDÊNCIA SEM RESPONSÁVEL/PRAZO",IF(AND(ISNUMBER(R4552),R4552=TODAY()),"🟡 VENCE HOJE",IF(AND(P4552&lt;&gt;"",S4552=""),"🟡 PENDÊNCIA ABERTA",IF(AND(N(J4552)&gt;0,N(K4552)&lt;J4552),"🟡 FALTA EXECUTAR",IF(OR(M4552="PENDENTE",M4552="PARCIAL"),"🟡 FATURAMENTO PENDENTE","🟡 EMBARQUE PENDENTE")))))))))))</f>
        <v/>
      </c>
      <c r="D4552" s="4" t="n"/>
      <c r="E4552" s="5" t="n"/>
      <c r="F4552" s="5" t="n"/>
      <c r="G4552" s="5" t="n"/>
      <c r="H4552" s="5" t="n"/>
      <c r="I4552" s="5" t="n"/>
      <c r="J4552" s="6" t="n"/>
      <c r="K4552" s="6" t="n"/>
      <c r="L4552" s="7">
        <f>IF(OR(D4552="",N(J4552)=0),"",MIN(1,N(K4552)/J4552))</f>
        <v/>
      </c>
      <c r="M4552" s="5" t="n"/>
      <c r="N4552" s="5" t="n"/>
      <c r="O4552" s="5" t="n"/>
      <c r="P4552" s="5" t="n"/>
      <c r="Q4552" s="5" t="n"/>
      <c r="R4552" s="4" t="n"/>
      <c r="S4552" s="4" t="n"/>
      <c r="T4552" s="5" t="n"/>
      <c r="U4552" s="8">
        <f>IF(AND(V4552=1,D4552&lt;&gt;""),IF(D4552&gt;=corte,TODAY()-D4552,""),"")</f>
        <v/>
      </c>
      <c r="V4552" s="8">
        <f>IF(D4552="",0,IF(OR(AND(P4552&lt;&gt;"",S4552=""),AND(N(J4552)&gt;0,N(K4552)&lt;J4552),OR(M4552="PENDENTE",M4552="PARCIAL"),OR(N4552="PENDENTE",N4552="PARCIAL")),1,0))</f>
        <v/>
      </c>
      <c r="W4552" s="8">
        <f>IF(AND(V4552=1,D4552&lt;&gt;""),IF(D4552&gt;=corte,(B4552="CRÍTICO")*1E9+(100000-D4552)*10000+10000-ROW(),""),"")</f>
        <v/>
      </c>
      <c r="X4552" s="8">
        <f>IF(AND(V4552=1,D4552=pas_data,E4552=pas_turno),10000-ROW(),"")</f>
        <v/>
      </c>
    </row>
    <row r="4553">
      <c r="A4553" s="3">
        <f>IF(D4553="","","TT-"&amp;TEXT(ROW()-1,"00000"))</f>
        <v/>
      </c>
      <c r="B4553" s="3">
        <f>IF(D4553="","",IF(V4553=0,"CONCLUÍDO",IF(D4553&lt;corte,"HISTÓRICO",IF(OR(AND(ISNUMBER(R4553),R4553&lt;TODAY()),AND(OR(N4553="PENDENTE",N4553="PARCIAL"),D4553&lt;TODAY()-1)),"CRÍTICO",IF(OR(AND(P4553&lt;&gt;"",S4553=""),AND(N4553="REALIZADO",M4553="PENDENTE"),AND(ISNUMBER(R4553),R4553=TODAY())),"ATENÇÃO",IF(N(K4553)=0,"PENDENTE","EM ANDAMENTO"))))))</f>
        <v/>
      </c>
      <c r="C4553" s="3">
        <f>IF(D4553="","",IF(V4553=0,"🟢 OK",IF(D4553&lt;corte,"⚪ HISTÓRICO (sem baixa)",IF(AND(ISNUMBER(R4553),R4553&lt;TODAY()),"🔴 PRAZO VENCIDO",IF(AND(OR(N4553="PENDENTE",N4553="PARCIAL"),D4553&lt;TODAY()-1),"🔴 EMBARQUE ATRASADO",IF(AND(N4553="REALIZADO",M4553="PENDENTE"),"🟡 EMBARCADO SEM FATURAR",IF(AND(P4553&lt;&gt;"",S4553="",OR(Q4553="",R4553="")),"🟡 PENDÊNCIA SEM RESPONSÁVEL/PRAZO",IF(AND(ISNUMBER(R4553),R4553=TODAY()),"🟡 VENCE HOJE",IF(AND(P4553&lt;&gt;"",S4553=""),"🟡 PENDÊNCIA ABERTA",IF(AND(N(J4553)&gt;0,N(K4553)&lt;J4553),"🟡 FALTA EXECUTAR",IF(OR(M4553="PENDENTE",M4553="PARCIAL"),"🟡 FATURAMENTO PENDENTE","🟡 EMBARQUE PENDENTE")))))))))))</f>
        <v/>
      </c>
      <c r="D4553" s="4" t="n"/>
      <c r="E4553" s="5" t="n"/>
      <c r="F4553" s="5" t="n"/>
      <c r="G4553" s="5" t="n"/>
      <c r="H4553" s="5" t="n"/>
      <c r="I4553" s="5" t="n"/>
      <c r="J4553" s="6" t="n"/>
      <c r="K4553" s="6" t="n"/>
      <c r="L4553" s="7">
        <f>IF(OR(D4553="",N(J4553)=0),"",MIN(1,N(K4553)/J4553))</f>
        <v/>
      </c>
      <c r="M4553" s="5" t="n"/>
      <c r="N4553" s="5" t="n"/>
      <c r="O4553" s="5" t="n"/>
      <c r="P4553" s="5" t="n"/>
      <c r="Q4553" s="5" t="n"/>
      <c r="R4553" s="4" t="n"/>
      <c r="S4553" s="4" t="n"/>
      <c r="T4553" s="5" t="n"/>
      <c r="U4553" s="8">
        <f>IF(AND(V4553=1,D4553&lt;&gt;""),IF(D4553&gt;=corte,TODAY()-D4553,""),"")</f>
        <v/>
      </c>
      <c r="V4553" s="8">
        <f>IF(D4553="",0,IF(OR(AND(P4553&lt;&gt;"",S4553=""),AND(N(J4553)&gt;0,N(K4553)&lt;J4553),OR(M4553="PENDENTE",M4553="PARCIAL"),OR(N4553="PENDENTE",N4553="PARCIAL")),1,0))</f>
        <v/>
      </c>
      <c r="W4553" s="8">
        <f>IF(AND(V4553=1,D4553&lt;&gt;""),IF(D4553&gt;=corte,(B4553="CRÍTICO")*1E9+(100000-D4553)*10000+10000-ROW(),""),"")</f>
        <v/>
      </c>
      <c r="X4553" s="8">
        <f>IF(AND(V4553=1,D4553=pas_data,E4553=pas_turno),10000-ROW(),"")</f>
        <v/>
      </c>
    </row>
    <row r="4554">
      <c r="A4554" s="3">
        <f>IF(D4554="","","TT-"&amp;TEXT(ROW()-1,"00000"))</f>
        <v/>
      </c>
      <c r="B4554" s="3">
        <f>IF(D4554="","",IF(V4554=0,"CONCLUÍDO",IF(D4554&lt;corte,"HISTÓRICO",IF(OR(AND(ISNUMBER(R4554),R4554&lt;TODAY()),AND(OR(N4554="PENDENTE",N4554="PARCIAL"),D4554&lt;TODAY()-1)),"CRÍTICO",IF(OR(AND(P4554&lt;&gt;"",S4554=""),AND(N4554="REALIZADO",M4554="PENDENTE"),AND(ISNUMBER(R4554),R4554=TODAY())),"ATENÇÃO",IF(N(K4554)=0,"PENDENTE","EM ANDAMENTO"))))))</f>
        <v/>
      </c>
      <c r="C4554" s="3">
        <f>IF(D4554="","",IF(V4554=0,"🟢 OK",IF(D4554&lt;corte,"⚪ HISTÓRICO (sem baixa)",IF(AND(ISNUMBER(R4554),R4554&lt;TODAY()),"🔴 PRAZO VENCIDO",IF(AND(OR(N4554="PENDENTE",N4554="PARCIAL"),D4554&lt;TODAY()-1),"🔴 EMBARQUE ATRASADO",IF(AND(N4554="REALIZADO",M4554="PENDENTE"),"🟡 EMBARCADO SEM FATURAR",IF(AND(P4554&lt;&gt;"",S4554="",OR(Q4554="",R4554="")),"🟡 PENDÊNCIA SEM RESPONSÁVEL/PRAZO",IF(AND(ISNUMBER(R4554),R4554=TODAY()),"🟡 VENCE HOJE",IF(AND(P4554&lt;&gt;"",S4554=""),"🟡 PENDÊNCIA ABERTA",IF(AND(N(J4554)&gt;0,N(K4554)&lt;J4554),"🟡 FALTA EXECUTAR",IF(OR(M4554="PENDENTE",M4554="PARCIAL"),"🟡 FATURAMENTO PENDENTE","🟡 EMBARQUE PENDENTE")))))))))))</f>
        <v/>
      </c>
      <c r="D4554" s="4" t="n"/>
      <c r="E4554" s="5" t="n"/>
      <c r="F4554" s="5" t="n"/>
      <c r="G4554" s="5" t="n"/>
      <c r="H4554" s="5" t="n"/>
      <c r="I4554" s="5" t="n"/>
      <c r="J4554" s="6" t="n"/>
      <c r="K4554" s="6" t="n"/>
      <c r="L4554" s="7">
        <f>IF(OR(D4554="",N(J4554)=0),"",MIN(1,N(K4554)/J4554))</f>
        <v/>
      </c>
      <c r="M4554" s="5" t="n"/>
      <c r="N4554" s="5" t="n"/>
      <c r="O4554" s="5" t="n"/>
      <c r="P4554" s="5" t="n"/>
      <c r="Q4554" s="5" t="n"/>
      <c r="R4554" s="4" t="n"/>
      <c r="S4554" s="4" t="n"/>
      <c r="T4554" s="5" t="n"/>
      <c r="U4554" s="8">
        <f>IF(AND(V4554=1,D4554&lt;&gt;""),IF(D4554&gt;=corte,TODAY()-D4554,""),"")</f>
        <v/>
      </c>
      <c r="V4554" s="8">
        <f>IF(D4554="",0,IF(OR(AND(P4554&lt;&gt;"",S4554=""),AND(N(J4554)&gt;0,N(K4554)&lt;J4554),OR(M4554="PENDENTE",M4554="PARCIAL"),OR(N4554="PENDENTE",N4554="PARCIAL")),1,0))</f>
        <v/>
      </c>
      <c r="W4554" s="8">
        <f>IF(AND(V4554=1,D4554&lt;&gt;""),IF(D4554&gt;=corte,(B4554="CRÍTICO")*1E9+(100000-D4554)*10000+10000-ROW(),""),"")</f>
        <v/>
      </c>
      <c r="X4554" s="8">
        <f>IF(AND(V4554=1,D4554=pas_data,E4554=pas_turno),10000-ROW(),"")</f>
        <v/>
      </c>
    </row>
    <row r="4555">
      <c r="A4555" s="3">
        <f>IF(D4555="","","TT-"&amp;TEXT(ROW()-1,"00000"))</f>
        <v/>
      </c>
      <c r="B4555" s="3">
        <f>IF(D4555="","",IF(V4555=0,"CONCLUÍDO",IF(D4555&lt;corte,"HISTÓRICO",IF(OR(AND(ISNUMBER(R4555),R4555&lt;TODAY()),AND(OR(N4555="PENDENTE",N4555="PARCIAL"),D4555&lt;TODAY()-1)),"CRÍTICO",IF(OR(AND(P4555&lt;&gt;"",S4555=""),AND(N4555="REALIZADO",M4555="PENDENTE"),AND(ISNUMBER(R4555),R4555=TODAY())),"ATENÇÃO",IF(N(K4555)=0,"PENDENTE","EM ANDAMENTO"))))))</f>
        <v/>
      </c>
      <c r="C4555" s="3">
        <f>IF(D4555="","",IF(V4555=0,"🟢 OK",IF(D4555&lt;corte,"⚪ HISTÓRICO (sem baixa)",IF(AND(ISNUMBER(R4555),R4555&lt;TODAY()),"🔴 PRAZO VENCIDO",IF(AND(OR(N4555="PENDENTE",N4555="PARCIAL"),D4555&lt;TODAY()-1),"🔴 EMBARQUE ATRASADO",IF(AND(N4555="REALIZADO",M4555="PENDENTE"),"🟡 EMBARCADO SEM FATURAR",IF(AND(P4555&lt;&gt;"",S4555="",OR(Q4555="",R4555="")),"🟡 PENDÊNCIA SEM RESPONSÁVEL/PRAZO",IF(AND(ISNUMBER(R4555),R4555=TODAY()),"🟡 VENCE HOJE",IF(AND(P4555&lt;&gt;"",S4555=""),"🟡 PENDÊNCIA ABERTA",IF(AND(N(J4555)&gt;0,N(K4555)&lt;J4555),"🟡 FALTA EXECUTAR",IF(OR(M4555="PENDENTE",M4555="PARCIAL"),"🟡 FATURAMENTO PENDENTE","🟡 EMBARQUE PENDENTE")))))))))))</f>
        <v/>
      </c>
      <c r="D4555" s="4" t="n"/>
      <c r="E4555" s="5" t="n"/>
      <c r="F4555" s="5" t="n"/>
      <c r="G4555" s="5" t="n"/>
      <c r="H4555" s="5" t="n"/>
      <c r="I4555" s="5" t="n"/>
      <c r="J4555" s="6" t="n"/>
      <c r="K4555" s="6" t="n"/>
      <c r="L4555" s="7">
        <f>IF(OR(D4555="",N(J4555)=0),"",MIN(1,N(K4555)/J4555))</f>
        <v/>
      </c>
      <c r="M4555" s="5" t="n"/>
      <c r="N4555" s="5" t="n"/>
      <c r="O4555" s="5" t="n"/>
      <c r="P4555" s="5" t="n"/>
      <c r="Q4555" s="5" t="n"/>
      <c r="R4555" s="4" t="n"/>
      <c r="S4555" s="4" t="n"/>
      <c r="T4555" s="5" t="n"/>
      <c r="U4555" s="8">
        <f>IF(AND(V4555=1,D4555&lt;&gt;""),IF(D4555&gt;=corte,TODAY()-D4555,""),"")</f>
        <v/>
      </c>
      <c r="V4555" s="8">
        <f>IF(D4555="",0,IF(OR(AND(P4555&lt;&gt;"",S4555=""),AND(N(J4555)&gt;0,N(K4555)&lt;J4555),OR(M4555="PENDENTE",M4555="PARCIAL"),OR(N4555="PENDENTE",N4555="PARCIAL")),1,0))</f>
        <v/>
      </c>
      <c r="W4555" s="8">
        <f>IF(AND(V4555=1,D4555&lt;&gt;""),IF(D4555&gt;=corte,(B4555="CRÍTICO")*1E9+(100000-D4555)*10000+10000-ROW(),""),"")</f>
        <v/>
      </c>
      <c r="X4555" s="8">
        <f>IF(AND(V4555=1,D4555=pas_data,E4555=pas_turno),10000-ROW(),"")</f>
        <v/>
      </c>
    </row>
    <row r="4556">
      <c r="A4556" s="3">
        <f>IF(D4556="","","TT-"&amp;TEXT(ROW()-1,"00000"))</f>
        <v/>
      </c>
      <c r="B4556" s="3">
        <f>IF(D4556="","",IF(V4556=0,"CONCLUÍDO",IF(D4556&lt;corte,"HISTÓRICO",IF(OR(AND(ISNUMBER(R4556),R4556&lt;TODAY()),AND(OR(N4556="PENDENTE",N4556="PARCIAL"),D4556&lt;TODAY()-1)),"CRÍTICO",IF(OR(AND(P4556&lt;&gt;"",S4556=""),AND(N4556="REALIZADO",M4556="PENDENTE"),AND(ISNUMBER(R4556),R4556=TODAY())),"ATENÇÃO",IF(N(K4556)=0,"PENDENTE","EM ANDAMENTO"))))))</f>
        <v/>
      </c>
      <c r="C4556" s="3">
        <f>IF(D4556="","",IF(V4556=0,"🟢 OK",IF(D4556&lt;corte,"⚪ HISTÓRICO (sem baixa)",IF(AND(ISNUMBER(R4556),R4556&lt;TODAY()),"🔴 PRAZO VENCIDO",IF(AND(OR(N4556="PENDENTE",N4556="PARCIAL"),D4556&lt;TODAY()-1),"🔴 EMBARQUE ATRASADO",IF(AND(N4556="REALIZADO",M4556="PENDENTE"),"🟡 EMBARCADO SEM FATURAR",IF(AND(P4556&lt;&gt;"",S4556="",OR(Q4556="",R4556="")),"🟡 PENDÊNCIA SEM RESPONSÁVEL/PRAZO",IF(AND(ISNUMBER(R4556),R4556=TODAY()),"🟡 VENCE HOJE",IF(AND(P4556&lt;&gt;"",S4556=""),"🟡 PENDÊNCIA ABERTA",IF(AND(N(J4556)&gt;0,N(K4556)&lt;J4556),"🟡 FALTA EXECUTAR",IF(OR(M4556="PENDENTE",M4556="PARCIAL"),"🟡 FATURAMENTO PENDENTE","🟡 EMBARQUE PENDENTE")))))))))))</f>
        <v/>
      </c>
      <c r="D4556" s="4" t="n"/>
      <c r="E4556" s="5" t="n"/>
      <c r="F4556" s="5" t="n"/>
      <c r="G4556" s="5" t="n"/>
      <c r="H4556" s="5" t="n"/>
      <c r="I4556" s="5" t="n"/>
      <c r="J4556" s="6" t="n"/>
      <c r="K4556" s="6" t="n"/>
      <c r="L4556" s="7">
        <f>IF(OR(D4556="",N(J4556)=0),"",MIN(1,N(K4556)/J4556))</f>
        <v/>
      </c>
      <c r="M4556" s="5" t="n"/>
      <c r="N4556" s="5" t="n"/>
      <c r="O4556" s="5" t="n"/>
      <c r="P4556" s="5" t="n"/>
      <c r="Q4556" s="5" t="n"/>
      <c r="R4556" s="4" t="n"/>
      <c r="S4556" s="4" t="n"/>
      <c r="T4556" s="5" t="n"/>
      <c r="U4556" s="8">
        <f>IF(AND(V4556=1,D4556&lt;&gt;""),IF(D4556&gt;=corte,TODAY()-D4556,""),"")</f>
        <v/>
      </c>
      <c r="V4556" s="8">
        <f>IF(D4556="",0,IF(OR(AND(P4556&lt;&gt;"",S4556=""),AND(N(J4556)&gt;0,N(K4556)&lt;J4556),OR(M4556="PENDENTE",M4556="PARCIAL"),OR(N4556="PENDENTE",N4556="PARCIAL")),1,0))</f>
        <v/>
      </c>
      <c r="W4556" s="8">
        <f>IF(AND(V4556=1,D4556&lt;&gt;""),IF(D4556&gt;=corte,(B4556="CRÍTICO")*1E9+(100000-D4556)*10000+10000-ROW(),""),"")</f>
        <v/>
      </c>
      <c r="X4556" s="8">
        <f>IF(AND(V4556=1,D4556=pas_data,E4556=pas_turno),10000-ROW(),"")</f>
        <v/>
      </c>
    </row>
    <row r="4557">
      <c r="A4557" s="3">
        <f>IF(D4557="","","TT-"&amp;TEXT(ROW()-1,"00000"))</f>
        <v/>
      </c>
      <c r="B4557" s="3">
        <f>IF(D4557="","",IF(V4557=0,"CONCLUÍDO",IF(D4557&lt;corte,"HISTÓRICO",IF(OR(AND(ISNUMBER(R4557),R4557&lt;TODAY()),AND(OR(N4557="PENDENTE",N4557="PARCIAL"),D4557&lt;TODAY()-1)),"CRÍTICO",IF(OR(AND(P4557&lt;&gt;"",S4557=""),AND(N4557="REALIZADO",M4557="PENDENTE"),AND(ISNUMBER(R4557),R4557=TODAY())),"ATENÇÃO",IF(N(K4557)=0,"PENDENTE","EM ANDAMENTO"))))))</f>
        <v/>
      </c>
      <c r="C4557" s="3">
        <f>IF(D4557="","",IF(V4557=0,"🟢 OK",IF(D4557&lt;corte,"⚪ HISTÓRICO (sem baixa)",IF(AND(ISNUMBER(R4557),R4557&lt;TODAY()),"🔴 PRAZO VENCIDO",IF(AND(OR(N4557="PENDENTE",N4557="PARCIAL"),D4557&lt;TODAY()-1),"🔴 EMBARQUE ATRASADO",IF(AND(N4557="REALIZADO",M4557="PENDENTE"),"🟡 EMBARCADO SEM FATURAR",IF(AND(P4557&lt;&gt;"",S4557="",OR(Q4557="",R4557="")),"🟡 PENDÊNCIA SEM RESPONSÁVEL/PRAZO",IF(AND(ISNUMBER(R4557),R4557=TODAY()),"🟡 VENCE HOJE",IF(AND(P4557&lt;&gt;"",S4557=""),"🟡 PENDÊNCIA ABERTA",IF(AND(N(J4557)&gt;0,N(K4557)&lt;J4557),"🟡 FALTA EXECUTAR",IF(OR(M4557="PENDENTE",M4557="PARCIAL"),"🟡 FATURAMENTO PENDENTE","🟡 EMBARQUE PENDENTE")))))))))))</f>
        <v/>
      </c>
      <c r="D4557" s="4" t="n"/>
      <c r="E4557" s="5" t="n"/>
      <c r="F4557" s="5" t="n"/>
      <c r="G4557" s="5" t="n"/>
      <c r="H4557" s="5" t="n"/>
      <c r="I4557" s="5" t="n"/>
      <c r="J4557" s="6" t="n"/>
      <c r="K4557" s="6" t="n"/>
      <c r="L4557" s="7">
        <f>IF(OR(D4557="",N(J4557)=0),"",MIN(1,N(K4557)/J4557))</f>
        <v/>
      </c>
      <c r="M4557" s="5" t="n"/>
      <c r="N4557" s="5" t="n"/>
      <c r="O4557" s="5" t="n"/>
      <c r="P4557" s="5" t="n"/>
      <c r="Q4557" s="5" t="n"/>
      <c r="R4557" s="4" t="n"/>
      <c r="S4557" s="4" t="n"/>
      <c r="T4557" s="5" t="n"/>
      <c r="U4557" s="8">
        <f>IF(AND(V4557=1,D4557&lt;&gt;""),IF(D4557&gt;=corte,TODAY()-D4557,""),"")</f>
        <v/>
      </c>
      <c r="V4557" s="8">
        <f>IF(D4557="",0,IF(OR(AND(P4557&lt;&gt;"",S4557=""),AND(N(J4557)&gt;0,N(K4557)&lt;J4557),OR(M4557="PENDENTE",M4557="PARCIAL"),OR(N4557="PENDENTE",N4557="PARCIAL")),1,0))</f>
        <v/>
      </c>
      <c r="W4557" s="8">
        <f>IF(AND(V4557=1,D4557&lt;&gt;""),IF(D4557&gt;=corte,(B4557="CRÍTICO")*1E9+(100000-D4557)*10000+10000-ROW(),""),"")</f>
        <v/>
      </c>
      <c r="X4557" s="8">
        <f>IF(AND(V4557=1,D4557=pas_data,E4557=pas_turno),10000-ROW(),"")</f>
        <v/>
      </c>
    </row>
    <row r="4558">
      <c r="A4558" s="3">
        <f>IF(D4558="","","TT-"&amp;TEXT(ROW()-1,"00000"))</f>
        <v/>
      </c>
      <c r="B4558" s="3">
        <f>IF(D4558="","",IF(V4558=0,"CONCLUÍDO",IF(D4558&lt;corte,"HISTÓRICO",IF(OR(AND(ISNUMBER(R4558),R4558&lt;TODAY()),AND(OR(N4558="PENDENTE",N4558="PARCIAL"),D4558&lt;TODAY()-1)),"CRÍTICO",IF(OR(AND(P4558&lt;&gt;"",S4558=""),AND(N4558="REALIZADO",M4558="PENDENTE"),AND(ISNUMBER(R4558),R4558=TODAY())),"ATENÇÃO",IF(N(K4558)=0,"PENDENTE","EM ANDAMENTO"))))))</f>
        <v/>
      </c>
      <c r="C4558" s="3">
        <f>IF(D4558="","",IF(V4558=0,"🟢 OK",IF(D4558&lt;corte,"⚪ HISTÓRICO (sem baixa)",IF(AND(ISNUMBER(R4558),R4558&lt;TODAY()),"🔴 PRAZO VENCIDO",IF(AND(OR(N4558="PENDENTE",N4558="PARCIAL"),D4558&lt;TODAY()-1),"🔴 EMBARQUE ATRASADO",IF(AND(N4558="REALIZADO",M4558="PENDENTE"),"🟡 EMBARCADO SEM FATURAR",IF(AND(P4558&lt;&gt;"",S4558="",OR(Q4558="",R4558="")),"🟡 PENDÊNCIA SEM RESPONSÁVEL/PRAZO",IF(AND(ISNUMBER(R4558),R4558=TODAY()),"🟡 VENCE HOJE",IF(AND(P4558&lt;&gt;"",S4558=""),"🟡 PENDÊNCIA ABERTA",IF(AND(N(J4558)&gt;0,N(K4558)&lt;J4558),"🟡 FALTA EXECUTAR",IF(OR(M4558="PENDENTE",M4558="PARCIAL"),"🟡 FATURAMENTO PENDENTE","🟡 EMBARQUE PENDENTE")))))))))))</f>
        <v/>
      </c>
      <c r="D4558" s="4" t="n"/>
      <c r="E4558" s="5" t="n"/>
      <c r="F4558" s="5" t="n"/>
      <c r="G4558" s="5" t="n"/>
      <c r="H4558" s="5" t="n"/>
      <c r="I4558" s="5" t="n"/>
      <c r="J4558" s="6" t="n"/>
      <c r="K4558" s="6" t="n"/>
      <c r="L4558" s="7">
        <f>IF(OR(D4558="",N(J4558)=0),"",MIN(1,N(K4558)/J4558))</f>
        <v/>
      </c>
      <c r="M4558" s="5" t="n"/>
      <c r="N4558" s="5" t="n"/>
      <c r="O4558" s="5" t="n"/>
      <c r="P4558" s="5" t="n"/>
      <c r="Q4558" s="5" t="n"/>
      <c r="R4558" s="4" t="n"/>
      <c r="S4558" s="4" t="n"/>
      <c r="T4558" s="5" t="n"/>
      <c r="U4558" s="8">
        <f>IF(AND(V4558=1,D4558&lt;&gt;""),IF(D4558&gt;=corte,TODAY()-D4558,""),"")</f>
        <v/>
      </c>
      <c r="V4558" s="8">
        <f>IF(D4558="",0,IF(OR(AND(P4558&lt;&gt;"",S4558=""),AND(N(J4558)&gt;0,N(K4558)&lt;J4558),OR(M4558="PENDENTE",M4558="PARCIAL"),OR(N4558="PENDENTE",N4558="PARCIAL")),1,0))</f>
        <v/>
      </c>
      <c r="W4558" s="8">
        <f>IF(AND(V4558=1,D4558&lt;&gt;""),IF(D4558&gt;=corte,(B4558="CRÍTICO")*1E9+(100000-D4558)*10000+10000-ROW(),""),"")</f>
        <v/>
      </c>
      <c r="X4558" s="8">
        <f>IF(AND(V4558=1,D4558=pas_data,E4558=pas_turno),10000-ROW(),"")</f>
        <v/>
      </c>
    </row>
    <row r="4559">
      <c r="A4559" s="3">
        <f>IF(D4559="","","TT-"&amp;TEXT(ROW()-1,"00000"))</f>
        <v/>
      </c>
      <c r="B4559" s="3">
        <f>IF(D4559="","",IF(V4559=0,"CONCLUÍDO",IF(D4559&lt;corte,"HISTÓRICO",IF(OR(AND(ISNUMBER(R4559),R4559&lt;TODAY()),AND(OR(N4559="PENDENTE",N4559="PARCIAL"),D4559&lt;TODAY()-1)),"CRÍTICO",IF(OR(AND(P4559&lt;&gt;"",S4559=""),AND(N4559="REALIZADO",M4559="PENDENTE"),AND(ISNUMBER(R4559),R4559=TODAY())),"ATENÇÃO",IF(N(K4559)=0,"PENDENTE","EM ANDAMENTO"))))))</f>
        <v/>
      </c>
      <c r="C4559" s="3">
        <f>IF(D4559="","",IF(V4559=0,"🟢 OK",IF(D4559&lt;corte,"⚪ HISTÓRICO (sem baixa)",IF(AND(ISNUMBER(R4559),R4559&lt;TODAY()),"🔴 PRAZO VENCIDO",IF(AND(OR(N4559="PENDENTE",N4559="PARCIAL"),D4559&lt;TODAY()-1),"🔴 EMBARQUE ATRASADO",IF(AND(N4559="REALIZADO",M4559="PENDENTE"),"🟡 EMBARCADO SEM FATURAR",IF(AND(P4559&lt;&gt;"",S4559="",OR(Q4559="",R4559="")),"🟡 PENDÊNCIA SEM RESPONSÁVEL/PRAZO",IF(AND(ISNUMBER(R4559),R4559=TODAY()),"🟡 VENCE HOJE",IF(AND(P4559&lt;&gt;"",S4559=""),"🟡 PENDÊNCIA ABERTA",IF(AND(N(J4559)&gt;0,N(K4559)&lt;J4559),"🟡 FALTA EXECUTAR",IF(OR(M4559="PENDENTE",M4559="PARCIAL"),"🟡 FATURAMENTO PENDENTE","🟡 EMBARQUE PENDENTE")))))))))))</f>
        <v/>
      </c>
      <c r="D4559" s="4" t="n"/>
      <c r="E4559" s="5" t="n"/>
      <c r="F4559" s="5" t="n"/>
      <c r="G4559" s="5" t="n"/>
      <c r="H4559" s="5" t="n"/>
      <c r="I4559" s="5" t="n"/>
      <c r="J4559" s="6" t="n"/>
      <c r="K4559" s="6" t="n"/>
      <c r="L4559" s="7">
        <f>IF(OR(D4559="",N(J4559)=0),"",MIN(1,N(K4559)/J4559))</f>
        <v/>
      </c>
      <c r="M4559" s="5" t="n"/>
      <c r="N4559" s="5" t="n"/>
      <c r="O4559" s="5" t="n"/>
      <c r="P4559" s="5" t="n"/>
      <c r="Q4559" s="5" t="n"/>
      <c r="R4559" s="4" t="n"/>
      <c r="S4559" s="4" t="n"/>
      <c r="T4559" s="5" t="n"/>
      <c r="U4559" s="8">
        <f>IF(AND(V4559=1,D4559&lt;&gt;""),IF(D4559&gt;=corte,TODAY()-D4559,""),"")</f>
        <v/>
      </c>
      <c r="V4559" s="8">
        <f>IF(D4559="",0,IF(OR(AND(P4559&lt;&gt;"",S4559=""),AND(N(J4559)&gt;0,N(K4559)&lt;J4559),OR(M4559="PENDENTE",M4559="PARCIAL"),OR(N4559="PENDENTE",N4559="PARCIAL")),1,0))</f>
        <v/>
      </c>
      <c r="W4559" s="8">
        <f>IF(AND(V4559=1,D4559&lt;&gt;""),IF(D4559&gt;=corte,(B4559="CRÍTICO")*1E9+(100000-D4559)*10000+10000-ROW(),""),"")</f>
        <v/>
      </c>
      <c r="X4559" s="8">
        <f>IF(AND(V4559=1,D4559=pas_data,E4559=pas_turno),10000-ROW(),"")</f>
        <v/>
      </c>
    </row>
    <row r="4560">
      <c r="A4560" s="3">
        <f>IF(D4560="","","TT-"&amp;TEXT(ROW()-1,"00000"))</f>
        <v/>
      </c>
      <c r="B4560" s="3">
        <f>IF(D4560="","",IF(V4560=0,"CONCLUÍDO",IF(D4560&lt;corte,"HISTÓRICO",IF(OR(AND(ISNUMBER(R4560),R4560&lt;TODAY()),AND(OR(N4560="PENDENTE",N4560="PARCIAL"),D4560&lt;TODAY()-1)),"CRÍTICO",IF(OR(AND(P4560&lt;&gt;"",S4560=""),AND(N4560="REALIZADO",M4560="PENDENTE"),AND(ISNUMBER(R4560),R4560=TODAY())),"ATENÇÃO",IF(N(K4560)=0,"PENDENTE","EM ANDAMENTO"))))))</f>
        <v/>
      </c>
      <c r="C4560" s="3">
        <f>IF(D4560="","",IF(V4560=0,"🟢 OK",IF(D4560&lt;corte,"⚪ HISTÓRICO (sem baixa)",IF(AND(ISNUMBER(R4560),R4560&lt;TODAY()),"🔴 PRAZO VENCIDO",IF(AND(OR(N4560="PENDENTE",N4560="PARCIAL"),D4560&lt;TODAY()-1),"🔴 EMBARQUE ATRASADO",IF(AND(N4560="REALIZADO",M4560="PENDENTE"),"🟡 EMBARCADO SEM FATURAR",IF(AND(P4560&lt;&gt;"",S4560="",OR(Q4560="",R4560="")),"🟡 PENDÊNCIA SEM RESPONSÁVEL/PRAZO",IF(AND(ISNUMBER(R4560),R4560=TODAY()),"🟡 VENCE HOJE",IF(AND(P4560&lt;&gt;"",S4560=""),"🟡 PENDÊNCIA ABERTA",IF(AND(N(J4560)&gt;0,N(K4560)&lt;J4560),"🟡 FALTA EXECUTAR",IF(OR(M4560="PENDENTE",M4560="PARCIAL"),"🟡 FATURAMENTO PENDENTE","🟡 EMBARQUE PENDENTE")))))))))))</f>
        <v/>
      </c>
      <c r="D4560" s="4" t="n"/>
      <c r="E4560" s="5" t="n"/>
      <c r="F4560" s="5" t="n"/>
      <c r="G4560" s="5" t="n"/>
      <c r="H4560" s="5" t="n"/>
      <c r="I4560" s="5" t="n"/>
      <c r="J4560" s="6" t="n"/>
      <c r="K4560" s="6" t="n"/>
      <c r="L4560" s="7">
        <f>IF(OR(D4560="",N(J4560)=0),"",MIN(1,N(K4560)/J4560))</f>
        <v/>
      </c>
      <c r="M4560" s="5" t="n"/>
      <c r="N4560" s="5" t="n"/>
      <c r="O4560" s="5" t="n"/>
      <c r="P4560" s="5" t="n"/>
      <c r="Q4560" s="5" t="n"/>
      <c r="R4560" s="4" t="n"/>
      <c r="S4560" s="4" t="n"/>
      <c r="T4560" s="5" t="n"/>
      <c r="U4560" s="8">
        <f>IF(AND(V4560=1,D4560&lt;&gt;""),IF(D4560&gt;=corte,TODAY()-D4560,""),"")</f>
        <v/>
      </c>
      <c r="V4560" s="8">
        <f>IF(D4560="",0,IF(OR(AND(P4560&lt;&gt;"",S4560=""),AND(N(J4560)&gt;0,N(K4560)&lt;J4560),OR(M4560="PENDENTE",M4560="PARCIAL"),OR(N4560="PENDENTE",N4560="PARCIAL")),1,0))</f>
        <v/>
      </c>
      <c r="W4560" s="8">
        <f>IF(AND(V4560=1,D4560&lt;&gt;""),IF(D4560&gt;=corte,(B4560="CRÍTICO")*1E9+(100000-D4560)*10000+10000-ROW(),""),"")</f>
        <v/>
      </c>
      <c r="X4560" s="8">
        <f>IF(AND(V4560=1,D4560=pas_data,E4560=pas_turno),10000-ROW(),"")</f>
        <v/>
      </c>
    </row>
    <row r="4561">
      <c r="A4561" s="3">
        <f>IF(D4561="","","TT-"&amp;TEXT(ROW()-1,"00000"))</f>
        <v/>
      </c>
      <c r="B4561" s="3">
        <f>IF(D4561="","",IF(V4561=0,"CONCLUÍDO",IF(D4561&lt;corte,"HISTÓRICO",IF(OR(AND(ISNUMBER(R4561),R4561&lt;TODAY()),AND(OR(N4561="PENDENTE",N4561="PARCIAL"),D4561&lt;TODAY()-1)),"CRÍTICO",IF(OR(AND(P4561&lt;&gt;"",S4561=""),AND(N4561="REALIZADO",M4561="PENDENTE"),AND(ISNUMBER(R4561),R4561=TODAY())),"ATENÇÃO",IF(N(K4561)=0,"PENDENTE","EM ANDAMENTO"))))))</f>
        <v/>
      </c>
      <c r="C4561" s="3">
        <f>IF(D4561="","",IF(V4561=0,"🟢 OK",IF(D4561&lt;corte,"⚪ HISTÓRICO (sem baixa)",IF(AND(ISNUMBER(R4561),R4561&lt;TODAY()),"🔴 PRAZO VENCIDO",IF(AND(OR(N4561="PENDENTE",N4561="PARCIAL"),D4561&lt;TODAY()-1),"🔴 EMBARQUE ATRASADO",IF(AND(N4561="REALIZADO",M4561="PENDENTE"),"🟡 EMBARCADO SEM FATURAR",IF(AND(P4561&lt;&gt;"",S4561="",OR(Q4561="",R4561="")),"🟡 PENDÊNCIA SEM RESPONSÁVEL/PRAZO",IF(AND(ISNUMBER(R4561),R4561=TODAY()),"🟡 VENCE HOJE",IF(AND(P4561&lt;&gt;"",S4561=""),"🟡 PENDÊNCIA ABERTA",IF(AND(N(J4561)&gt;0,N(K4561)&lt;J4561),"🟡 FALTA EXECUTAR",IF(OR(M4561="PENDENTE",M4561="PARCIAL"),"🟡 FATURAMENTO PENDENTE","🟡 EMBARQUE PENDENTE")))))))))))</f>
        <v/>
      </c>
      <c r="D4561" s="4" t="n"/>
      <c r="E4561" s="5" t="n"/>
      <c r="F4561" s="5" t="n"/>
      <c r="G4561" s="5" t="n"/>
      <c r="H4561" s="5" t="n"/>
      <c r="I4561" s="5" t="n"/>
      <c r="J4561" s="6" t="n"/>
      <c r="K4561" s="6" t="n"/>
      <c r="L4561" s="7">
        <f>IF(OR(D4561="",N(J4561)=0),"",MIN(1,N(K4561)/J4561))</f>
        <v/>
      </c>
      <c r="M4561" s="5" t="n"/>
      <c r="N4561" s="5" t="n"/>
      <c r="O4561" s="5" t="n"/>
      <c r="P4561" s="5" t="n"/>
      <c r="Q4561" s="5" t="n"/>
      <c r="R4561" s="4" t="n"/>
      <c r="S4561" s="4" t="n"/>
      <c r="T4561" s="5" t="n"/>
      <c r="U4561" s="8">
        <f>IF(AND(V4561=1,D4561&lt;&gt;""),IF(D4561&gt;=corte,TODAY()-D4561,""),"")</f>
        <v/>
      </c>
      <c r="V4561" s="8">
        <f>IF(D4561="",0,IF(OR(AND(P4561&lt;&gt;"",S4561=""),AND(N(J4561)&gt;0,N(K4561)&lt;J4561),OR(M4561="PENDENTE",M4561="PARCIAL"),OR(N4561="PENDENTE",N4561="PARCIAL")),1,0))</f>
        <v/>
      </c>
      <c r="W4561" s="8">
        <f>IF(AND(V4561=1,D4561&lt;&gt;""),IF(D4561&gt;=corte,(B4561="CRÍTICO")*1E9+(100000-D4561)*10000+10000-ROW(),""),"")</f>
        <v/>
      </c>
      <c r="X4561" s="8">
        <f>IF(AND(V4561=1,D4561=pas_data,E4561=pas_turno),10000-ROW(),"")</f>
        <v/>
      </c>
    </row>
    <row r="4562">
      <c r="A4562" s="3">
        <f>IF(D4562="","","TT-"&amp;TEXT(ROW()-1,"00000"))</f>
        <v/>
      </c>
      <c r="B4562" s="3">
        <f>IF(D4562="","",IF(V4562=0,"CONCLUÍDO",IF(D4562&lt;corte,"HISTÓRICO",IF(OR(AND(ISNUMBER(R4562),R4562&lt;TODAY()),AND(OR(N4562="PENDENTE",N4562="PARCIAL"),D4562&lt;TODAY()-1)),"CRÍTICO",IF(OR(AND(P4562&lt;&gt;"",S4562=""),AND(N4562="REALIZADO",M4562="PENDENTE"),AND(ISNUMBER(R4562),R4562=TODAY())),"ATENÇÃO",IF(N(K4562)=0,"PENDENTE","EM ANDAMENTO"))))))</f>
        <v/>
      </c>
      <c r="C4562" s="3">
        <f>IF(D4562="","",IF(V4562=0,"🟢 OK",IF(D4562&lt;corte,"⚪ HISTÓRICO (sem baixa)",IF(AND(ISNUMBER(R4562),R4562&lt;TODAY()),"🔴 PRAZO VENCIDO",IF(AND(OR(N4562="PENDENTE",N4562="PARCIAL"),D4562&lt;TODAY()-1),"🔴 EMBARQUE ATRASADO",IF(AND(N4562="REALIZADO",M4562="PENDENTE"),"🟡 EMBARCADO SEM FATURAR",IF(AND(P4562&lt;&gt;"",S4562="",OR(Q4562="",R4562="")),"🟡 PENDÊNCIA SEM RESPONSÁVEL/PRAZO",IF(AND(ISNUMBER(R4562),R4562=TODAY()),"🟡 VENCE HOJE",IF(AND(P4562&lt;&gt;"",S4562=""),"🟡 PENDÊNCIA ABERTA",IF(AND(N(J4562)&gt;0,N(K4562)&lt;J4562),"🟡 FALTA EXECUTAR",IF(OR(M4562="PENDENTE",M4562="PARCIAL"),"🟡 FATURAMENTO PENDENTE","🟡 EMBARQUE PENDENTE")))))))))))</f>
        <v/>
      </c>
      <c r="D4562" s="4" t="n"/>
      <c r="E4562" s="5" t="n"/>
      <c r="F4562" s="5" t="n"/>
      <c r="G4562" s="5" t="n"/>
      <c r="H4562" s="5" t="n"/>
      <c r="I4562" s="5" t="n"/>
      <c r="J4562" s="6" t="n"/>
      <c r="K4562" s="6" t="n"/>
      <c r="L4562" s="7">
        <f>IF(OR(D4562="",N(J4562)=0),"",MIN(1,N(K4562)/J4562))</f>
        <v/>
      </c>
      <c r="M4562" s="5" t="n"/>
      <c r="N4562" s="5" t="n"/>
      <c r="O4562" s="5" t="n"/>
      <c r="P4562" s="5" t="n"/>
      <c r="Q4562" s="5" t="n"/>
      <c r="R4562" s="4" t="n"/>
      <c r="S4562" s="4" t="n"/>
      <c r="T4562" s="5" t="n"/>
      <c r="U4562" s="8">
        <f>IF(AND(V4562=1,D4562&lt;&gt;""),IF(D4562&gt;=corte,TODAY()-D4562,""),"")</f>
        <v/>
      </c>
      <c r="V4562" s="8">
        <f>IF(D4562="",0,IF(OR(AND(P4562&lt;&gt;"",S4562=""),AND(N(J4562)&gt;0,N(K4562)&lt;J4562),OR(M4562="PENDENTE",M4562="PARCIAL"),OR(N4562="PENDENTE",N4562="PARCIAL")),1,0))</f>
        <v/>
      </c>
      <c r="W4562" s="8">
        <f>IF(AND(V4562=1,D4562&lt;&gt;""),IF(D4562&gt;=corte,(B4562="CRÍTICO")*1E9+(100000-D4562)*10000+10000-ROW(),""),"")</f>
        <v/>
      </c>
      <c r="X4562" s="8">
        <f>IF(AND(V4562=1,D4562=pas_data,E4562=pas_turno),10000-ROW(),"")</f>
        <v/>
      </c>
    </row>
    <row r="4563">
      <c r="A4563" s="3">
        <f>IF(D4563="","","TT-"&amp;TEXT(ROW()-1,"00000"))</f>
        <v/>
      </c>
      <c r="B4563" s="3">
        <f>IF(D4563="","",IF(V4563=0,"CONCLUÍDO",IF(D4563&lt;corte,"HISTÓRICO",IF(OR(AND(ISNUMBER(R4563),R4563&lt;TODAY()),AND(OR(N4563="PENDENTE",N4563="PARCIAL"),D4563&lt;TODAY()-1)),"CRÍTICO",IF(OR(AND(P4563&lt;&gt;"",S4563=""),AND(N4563="REALIZADO",M4563="PENDENTE"),AND(ISNUMBER(R4563),R4563=TODAY())),"ATENÇÃO",IF(N(K4563)=0,"PENDENTE","EM ANDAMENTO"))))))</f>
        <v/>
      </c>
      <c r="C4563" s="3">
        <f>IF(D4563="","",IF(V4563=0,"🟢 OK",IF(D4563&lt;corte,"⚪ HISTÓRICO (sem baixa)",IF(AND(ISNUMBER(R4563),R4563&lt;TODAY()),"🔴 PRAZO VENCIDO",IF(AND(OR(N4563="PENDENTE",N4563="PARCIAL"),D4563&lt;TODAY()-1),"🔴 EMBARQUE ATRASADO",IF(AND(N4563="REALIZADO",M4563="PENDENTE"),"🟡 EMBARCADO SEM FATURAR",IF(AND(P4563&lt;&gt;"",S4563="",OR(Q4563="",R4563="")),"🟡 PENDÊNCIA SEM RESPONSÁVEL/PRAZO",IF(AND(ISNUMBER(R4563),R4563=TODAY()),"🟡 VENCE HOJE",IF(AND(P4563&lt;&gt;"",S4563=""),"🟡 PENDÊNCIA ABERTA",IF(AND(N(J4563)&gt;0,N(K4563)&lt;J4563),"🟡 FALTA EXECUTAR",IF(OR(M4563="PENDENTE",M4563="PARCIAL"),"🟡 FATURAMENTO PENDENTE","🟡 EMBARQUE PENDENTE")))))))))))</f>
        <v/>
      </c>
      <c r="D4563" s="4" t="n"/>
      <c r="E4563" s="5" t="n"/>
      <c r="F4563" s="5" t="n"/>
      <c r="G4563" s="5" t="n"/>
      <c r="H4563" s="5" t="n"/>
      <c r="I4563" s="5" t="n"/>
      <c r="J4563" s="6" t="n"/>
      <c r="K4563" s="6" t="n"/>
      <c r="L4563" s="7">
        <f>IF(OR(D4563="",N(J4563)=0),"",MIN(1,N(K4563)/J4563))</f>
        <v/>
      </c>
      <c r="M4563" s="5" t="n"/>
      <c r="N4563" s="5" t="n"/>
      <c r="O4563" s="5" t="n"/>
      <c r="P4563" s="5" t="n"/>
      <c r="Q4563" s="5" t="n"/>
      <c r="R4563" s="4" t="n"/>
      <c r="S4563" s="4" t="n"/>
      <c r="T4563" s="5" t="n"/>
      <c r="U4563" s="8">
        <f>IF(AND(V4563=1,D4563&lt;&gt;""),IF(D4563&gt;=corte,TODAY()-D4563,""),"")</f>
        <v/>
      </c>
      <c r="V4563" s="8">
        <f>IF(D4563="",0,IF(OR(AND(P4563&lt;&gt;"",S4563=""),AND(N(J4563)&gt;0,N(K4563)&lt;J4563),OR(M4563="PENDENTE",M4563="PARCIAL"),OR(N4563="PENDENTE",N4563="PARCIAL")),1,0))</f>
        <v/>
      </c>
      <c r="W4563" s="8">
        <f>IF(AND(V4563=1,D4563&lt;&gt;""),IF(D4563&gt;=corte,(B4563="CRÍTICO")*1E9+(100000-D4563)*10000+10000-ROW(),""),"")</f>
        <v/>
      </c>
      <c r="X4563" s="8">
        <f>IF(AND(V4563=1,D4563=pas_data,E4563=pas_turno),10000-ROW(),"")</f>
        <v/>
      </c>
    </row>
    <row r="4564">
      <c r="A4564" s="3">
        <f>IF(D4564="","","TT-"&amp;TEXT(ROW()-1,"00000"))</f>
        <v/>
      </c>
      <c r="B4564" s="3">
        <f>IF(D4564="","",IF(V4564=0,"CONCLUÍDO",IF(D4564&lt;corte,"HISTÓRICO",IF(OR(AND(ISNUMBER(R4564),R4564&lt;TODAY()),AND(OR(N4564="PENDENTE",N4564="PARCIAL"),D4564&lt;TODAY()-1)),"CRÍTICO",IF(OR(AND(P4564&lt;&gt;"",S4564=""),AND(N4564="REALIZADO",M4564="PENDENTE"),AND(ISNUMBER(R4564),R4564=TODAY())),"ATENÇÃO",IF(N(K4564)=0,"PENDENTE","EM ANDAMENTO"))))))</f>
        <v/>
      </c>
      <c r="C4564" s="3">
        <f>IF(D4564="","",IF(V4564=0,"🟢 OK",IF(D4564&lt;corte,"⚪ HISTÓRICO (sem baixa)",IF(AND(ISNUMBER(R4564),R4564&lt;TODAY()),"🔴 PRAZO VENCIDO",IF(AND(OR(N4564="PENDENTE",N4564="PARCIAL"),D4564&lt;TODAY()-1),"🔴 EMBARQUE ATRASADO",IF(AND(N4564="REALIZADO",M4564="PENDENTE"),"🟡 EMBARCADO SEM FATURAR",IF(AND(P4564&lt;&gt;"",S4564="",OR(Q4564="",R4564="")),"🟡 PENDÊNCIA SEM RESPONSÁVEL/PRAZO",IF(AND(ISNUMBER(R4564),R4564=TODAY()),"🟡 VENCE HOJE",IF(AND(P4564&lt;&gt;"",S4564=""),"🟡 PENDÊNCIA ABERTA",IF(AND(N(J4564)&gt;0,N(K4564)&lt;J4564),"🟡 FALTA EXECUTAR",IF(OR(M4564="PENDENTE",M4564="PARCIAL"),"🟡 FATURAMENTO PENDENTE","🟡 EMBARQUE PENDENTE")))))))))))</f>
        <v/>
      </c>
      <c r="D4564" s="4" t="n"/>
      <c r="E4564" s="5" t="n"/>
      <c r="F4564" s="5" t="n"/>
      <c r="G4564" s="5" t="n"/>
      <c r="H4564" s="5" t="n"/>
      <c r="I4564" s="5" t="n"/>
      <c r="J4564" s="6" t="n"/>
      <c r="K4564" s="6" t="n"/>
      <c r="L4564" s="7">
        <f>IF(OR(D4564="",N(J4564)=0),"",MIN(1,N(K4564)/J4564))</f>
        <v/>
      </c>
      <c r="M4564" s="5" t="n"/>
      <c r="N4564" s="5" t="n"/>
      <c r="O4564" s="5" t="n"/>
      <c r="P4564" s="5" t="n"/>
      <c r="Q4564" s="5" t="n"/>
      <c r="R4564" s="4" t="n"/>
      <c r="S4564" s="4" t="n"/>
      <c r="T4564" s="5" t="n"/>
      <c r="U4564" s="8">
        <f>IF(AND(V4564=1,D4564&lt;&gt;""),IF(D4564&gt;=corte,TODAY()-D4564,""),"")</f>
        <v/>
      </c>
      <c r="V4564" s="8">
        <f>IF(D4564="",0,IF(OR(AND(P4564&lt;&gt;"",S4564=""),AND(N(J4564)&gt;0,N(K4564)&lt;J4564),OR(M4564="PENDENTE",M4564="PARCIAL"),OR(N4564="PENDENTE",N4564="PARCIAL")),1,0))</f>
        <v/>
      </c>
      <c r="W4564" s="8">
        <f>IF(AND(V4564=1,D4564&lt;&gt;""),IF(D4564&gt;=corte,(B4564="CRÍTICO")*1E9+(100000-D4564)*10000+10000-ROW(),""),"")</f>
        <v/>
      </c>
      <c r="X4564" s="8">
        <f>IF(AND(V4564=1,D4564=pas_data,E4564=pas_turno),10000-ROW(),"")</f>
        <v/>
      </c>
    </row>
    <row r="4565">
      <c r="A4565" s="3">
        <f>IF(D4565="","","TT-"&amp;TEXT(ROW()-1,"00000"))</f>
        <v/>
      </c>
      <c r="B4565" s="3">
        <f>IF(D4565="","",IF(V4565=0,"CONCLUÍDO",IF(D4565&lt;corte,"HISTÓRICO",IF(OR(AND(ISNUMBER(R4565),R4565&lt;TODAY()),AND(OR(N4565="PENDENTE",N4565="PARCIAL"),D4565&lt;TODAY()-1)),"CRÍTICO",IF(OR(AND(P4565&lt;&gt;"",S4565=""),AND(N4565="REALIZADO",M4565="PENDENTE"),AND(ISNUMBER(R4565),R4565=TODAY())),"ATENÇÃO",IF(N(K4565)=0,"PENDENTE","EM ANDAMENTO"))))))</f>
        <v/>
      </c>
      <c r="C4565" s="3">
        <f>IF(D4565="","",IF(V4565=0,"🟢 OK",IF(D4565&lt;corte,"⚪ HISTÓRICO (sem baixa)",IF(AND(ISNUMBER(R4565),R4565&lt;TODAY()),"🔴 PRAZO VENCIDO",IF(AND(OR(N4565="PENDENTE",N4565="PARCIAL"),D4565&lt;TODAY()-1),"🔴 EMBARQUE ATRASADO",IF(AND(N4565="REALIZADO",M4565="PENDENTE"),"🟡 EMBARCADO SEM FATURAR",IF(AND(P4565&lt;&gt;"",S4565="",OR(Q4565="",R4565="")),"🟡 PENDÊNCIA SEM RESPONSÁVEL/PRAZO",IF(AND(ISNUMBER(R4565),R4565=TODAY()),"🟡 VENCE HOJE",IF(AND(P4565&lt;&gt;"",S4565=""),"🟡 PENDÊNCIA ABERTA",IF(AND(N(J4565)&gt;0,N(K4565)&lt;J4565),"🟡 FALTA EXECUTAR",IF(OR(M4565="PENDENTE",M4565="PARCIAL"),"🟡 FATURAMENTO PENDENTE","🟡 EMBARQUE PENDENTE")))))))))))</f>
        <v/>
      </c>
      <c r="D4565" s="4" t="n"/>
      <c r="E4565" s="5" t="n"/>
      <c r="F4565" s="5" t="n"/>
      <c r="G4565" s="5" t="n"/>
      <c r="H4565" s="5" t="n"/>
      <c r="I4565" s="5" t="n"/>
      <c r="J4565" s="6" t="n"/>
      <c r="K4565" s="6" t="n"/>
      <c r="L4565" s="7">
        <f>IF(OR(D4565="",N(J4565)=0),"",MIN(1,N(K4565)/J4565))</f>
        <v/>
      </c>
      <c r="M4565" s="5" t="n"/>
      <c r="N4565" s="5" t="n"/>
      <c r="O4565" s="5" t="n"/>
      <c r="P4565" s="5" t="n"/>
      <c r="Q4565" s="5" t="n"/>
      <c r="R4565" s="4" t="n"/>
      <c r="S4565" s="4" t="n"/>
      <c r="T4565" s="5" t="n"/>
      <c r="U4565" s="8">
        <f>IF(AND(V4565=1,D4565&lt;&gt;""),IF(D4565&gt;=corte,TODAY()-D4565,""),"")</f>
        <v/>
      </c>
      <c r="V4565" s="8">
        <f>IF(D4565="",0,IF(OR(AND(P4565&lt;&gt;"",S4565=""),AND(N(J4565)&gt;0,N(K4565)&lt;J4565),OR(M4565="PENDENTE",M4565="PARCIAL"),OR(N4565="PENDENTE",N4565="PARCIAL")),1,0))</f>
        <v/>
      </c>
      <c r="W4565" s="8">
        <f>IF(AND(V4565=1,D4565&lt;&gt;""),IF(D4565&gt;=corte,(B4565="CRÍTICO")*1E9+(100000-D4565)*10000+10000-ROW(),""),"")</f>
        <v/>
      </c>
      <c r="X4565" s="8">
        <f>IF(AND(V4565=1,D4565=pas_data,E4565=pas_turno),10000-ROW(),"")</f>
        <v/>
      </c>
    </row>
    <row r="4566">
      <c r="A4566" s="3">
        <f>IF(D4566="","","TT-"&amp;TEXT(ROW()-1,"00000"))</f>
        <v/>
      </c>
      <c r="B4566" s="3">
        <f>IF(D4566="","",IF(V4566=0,"CONCLUÍDO",IF(D4566&lt;corte,"HISTÓRICO",IF(OR(AND(ISNUMBER(R4566),R4566&lt;TODAY()),AND(OR(N4566="PENDENTE",N4566="PARCIAL"),D4566&lt;TODAY()-1)),"CRÍTICO",IF(OR(AND(P4566&lt;&gt;"",S4566=""),AND(N4566="REALIZADO",M4566="PENDENTE"),AND(ISNUMBER(R4566),R4566=TODAY())),"ATENÇÃO",IF(N(K4566)=0,"PENDENTE","EM ANDAMENTO"))))))</f>
        <v/>
      </c>
      <c r="C4566" s="3">
        <f>IF(D4566="","",IF(V4566=0,"🟢 OK",IF(D4566&lt;corte,"⚪ HISTÓRICO (sem baixa)",IF(AND(ISNUMBER(R4566),R4566&lt;TODAY()),"🔴 PRAZO VENCIDO",IF(AND(OR(N4566="PENDENTE",N4566="PARCIAL"),D4566&lt;TODAY()-1),"🔴 EMBARQUE ATRASADO",IF(AND(N4566="REALIZADO",M4566="PENDENTE"),"🟡 EMBARCADO SEM FATURAR",IF(AND(P4566&lt;&gt;"",S4566="",OR(Q4566="",R4566="")),"🟡 PENDÊNCIA SEM RESPONSÁVEL/PRAZO",IF(AND(ISNUMBER(R4566),R4566=TODAY()),"🟡 VENCE HOJE",IF(AND(P4566&lt;&gt;"",S4566=""),"🟡 PENDÊNCIA ABERTA",IF(AND(N(J4566)&gt;0,N(K4566)&lt;J4566),"🟡 FALTA EXECUTAR",IF(OR(M4566="PENDENTE",M4566="PARCIAL"),"🟡 FATURAMENTO PENDENTE","🟡 EMBARQUE PENDENTE")))))))))))</f>
        <v/>
      </c>
      <c r="D4566" s="4" t="n"/>
      <c r="E4566" s="5" t="n"/>
      <c r="F4566" s="5" t="n"/>
      <c r="G4566" s="5" t="n"/>
      <c r="H4566" s="5" t="n"/>
      <c r="I4566" s="5" t="n"/>
      <c r="J4566" s="6" t="n"/>
      <c r="K4566" s="6" t="n"/>
      <c r="L4566" s="7">
        <f>IF(OR(D4566="",N(J4566)=0),"",MIN(1,N(K4566)/J4566))</f>
        <v/>
      </c>
      <c r="M4566" s="5" t="n"/>
      <c r="N4566" s="5" t="n"/>
      <c r="O4566" s="5" t="n"/>
      <c r="P4566" s="5" t="n"/>
      <c r="Q4566" s="5" t="n"/>
      <c r="R4566" s="4" t="n"/>
      <c r="S4566" s="4" t="n"/>
      <c r="T4566" s="5" t="n"/>
      <c r="U4566" s="8">
        <f>IF(AND(V4566=1,D4566&lt;&gt;""),IF(D4566&gt;=corte,TODAY()-D4566,""),"")</f>
        <v/>
      </c>
      <c r="V4566" s="8">
        <f>IF(D4566="",0,IF(OR(AND(P4566&lt;&gt;"",S4566=""),AND(N(J4566)&gt;0,N(K4566)&lt;J4566),OR(M4566="PENDENTE",M4566="PARCIAL"),OR(N4566="PENDENTE",N4566="PARCIAL")),1,0))</f>
        <v/>
      </c>
      <c r="W4566" s="8">
        <f>IF(AND(V4566=1,D4566&lt;&gt;""),IF(D4566&gt;=corte,(B4566="CRÍTICO")*1E9+(100000-D4566)*10000+10000-ROW(),""),"")</f>
        <v/>
      </c>
      <c r="X4566" s="8">
        <f>IF(AND(V4566=1,D4566=pas_data,E4566=pas_turno),10000-ROW(),"")</f>
        <v/>
      </c>
    </row>
    <row r="4567">
      <c r="A4567" s="3">
        <f>IF(D4567="","","TT-"&amp;TEXT(ROW()-1,"00000"))</f>
        <v/>
      </c>
      <c r="B4567" s="3">
        <f>IF(D4567="","",IF(V4567=0,"CONCLUÍDO",IF(D4567&lt;corte,"HISTÓRICO",IF(OR(AND(ISNUMBER(R4567),R4567&lt;TODAY()),AND(OR(N4567="PENDENTE",N4567="PARCIAL"),D4567&lt;TODAY()-1)),"CRÍTICO",IF(OR(AND(P4567&lt;&gt;"",S4567=""),AND(N4567="REALIZADO",M4567="PENDENTE"),AND(ISNUMBER(R4567),R4567=TODAY())),"ATENÇÃO",IF(N(K4567)=0,"PENDENTE","EM ANDAMENTO"))))))</f>
        <v/>
      </c>
      <c r="C4567" s="3">
        <f>IF(D4567="","",IF(V4567=0,"🟢 OK",IF(D4567&lt;corte,"⚪ HISTÓRICO (sem baixa)",IF(AND(ISNUMBER(R4567),R4567&lt;TODAY()),"🔴 PRAZO VENCIDO",IF(AND(OR(N4567="PENDENTE",N4567="PARCIAL"),D4567&lt;TODAY()-1),"🔴 EMBARQUE ATRASADO",IF(AND(N4567="REALIZADO",M4567="PENDENTE"),"🟡 EMBARCADO SEM FATURAR",IF(AND(P4567&lt;&gt;"",S4567="",OR(Q4567="",R4567="")),"🟡 PENDÊNCIA SEM RESPONSÁVEL/PRAZO",IF(AND(ISNUMBER(R4567),R4567=TODAY()),"🟡 VENCE HOJE",IF(AND(P4567&lt;&gt;"",S4567=""),"🟡 PENDÊNCIA ABERTA",IF(AND(N(J4567)&gt;0,N(K4567)&lt;J4567),"🟡 FALTA EXECUTAR",IF(OR(M4567="PENDENTE",M4567="PARCIAL"),"🟡 FATURAMENTO PENDENTE","🟡 EMBARQUE PENDENTE")))))))))))</f>
        <v/>
      </c>
      <c r="D4567" s="4" t="n"/>
      <c r="E4567" s="5" t="n"/>
      <c r="F4567" s="5" t="n"/>
      <c r="G4567" s="5" t="n"/>
      <c r="H4567" s="5" t="n"/>
      <c r="I4567" s="5" t="n"/>
      <c r="J4567" s="6" t="n"/>
      <c r="K4567" s="6" t="n"/>
      <c r="L4567" s="7">
        <f>IF(OR(D4567="",N(J4567)=0),"",MIN(1,N(K4567)/J4567))</f>
        <v/>
      </c>
      <c r="M4567" s="5" t="n"/>
      <c r="N4567" s="5" t="n"/>
      <c r="O4567" s="5" t="n"/>
      <c r="P4567" s="5" t="n"/>
      <c r="Q4567" s="5" t="n"/>
      <c r="R4567" s="4" t="n"/>
      <c r="S4567" s="4" t="n"/>
      <c r="T4567" s="5" t="n"/>
      <c r="U4567" s="8">
        <f>IF(AND(V4567=1,D4567&lt;&gt;""),IF(D4567&gt;=corte,TODAY()-D4567,""),"")</f>
        <v/>
      </c>
      <c r="V4567" s="8">
        <f>IF(D4567="",0,IF(OR(AND(P4567&lt;&gt;"",S4567=""),AND(N(J4567)&gt;0,N(K4567)&lt;J4567),OR(M4567="PENDENTE",M4567="PARCIAL"),OR(N4567="PENDENTE",N4567="PARCIAL")),1,0))</f>
        <v/>
      </c>
      <c r="W4567" s="8">
        <f>IF(AND(V4567=1,D4567&lt;&gt;""),IF(D4567&gt;=corte,(B4567="CRÍTICO")*1E9+(100000-D4567)*10000+10000-ROW(),""),"")</f>
        <v/>
      </c>
      <c r="X4567" s="8">
        <f>IF(AND(V4567=1,D4567=pas_data,E4567=pas_turno),10000-ROW(),"")</f>
        <v/>
      </c>
    </row>
    <row r="4568">
      <c r="A4568" s="3">
        <f>IF(D4568="","","TT-"&amp;TEXT(ROW()-1,"00000"))</f>
        <v/>
      </c>
      <c r="B4568" s="3">
        <f>IF(D4568="","",IF(V4568=0,"CONCLUÍDO",IF(D4568&lt;corte,"HISTÓRICO",IF(OR(AND(ISNUMBER(R4568),R4568&lt;TODAY()),AND(OR(N4568="PENDENTE",N4568="PARCIAL"),D4568&lt;TODAY()-1)),"CRÍTICO",IF(OR(AND(P4568&lt;&gt;"",S4568=""),AND(N4568="REALIZADO",M4568="PENDENTE"),AND(ISNUMBER(R4568),R4568=TODAY())),"ATENÇÃO",IF(N(K4568)=0,"PENDENTE","EM ANDAMENTO"))))))</f>
        <v/>
      </c>
      <c r="C4568" s="3">
        <f>IF(D4568="","",IF(V4568=0,"🟢 OK",IF(D4568&lt;corte,"⚪ HISTÓRICO (sem baixa)",IF(AND(ISNUMBER(R4568),R4568&lt;TODAY()),"🔴 PRAZO VENCIDO",IF(AND(OR(N4568="PENDENTE",N4568="PARCIAL"),D4568&lt;TODAY()-1),"🔴 EMBARQUE ATRASADO",IF(AND(N4568="REALIZADO",M4568="PENDENTE"),"🟡 EMBARCADO SEM FATURAR",IF(AND(P4568&lt;&gt;"",S4568="",OR(Q4568="",R4568="")),"🟡 PENDÊNCIA SEM RESPONSÁVEL/PRAZO",IF(AND(ISNUMBER(R4568),R4568=TODAY()),"🟡 VENCE HOJE",IF(AND(P4568&lt;&gt;"",S4568=""),"🟡 PENDÊNCIA ABERTA",IF(AND(N(J4568)&gt;0,N(K4568)&lt;J4568),"🟡 FALTA EXECUTAR",IF(OR(M4568="PENDENTE",M4568="PARCIAL"),"🟡 FATURAMENTO PENDENTE","🟡 EMBARQUE PENDENTE")))))))))))</f>
        <v/>
      </c>
      <c r="D4568" s="4" t="n"/>
      <c r="E4568" s="5" t="n"/>
      <c r="F4568" s="5" t="n"/>
      <c r="G4568" s="5" t="n"/>
      <c r="H4568" s="5" t="n"/>
      <c r="I4568" s="5" t="n"/>
      <c r="J4568" s="6" t="n"/>
      <c r="K4568" s="6" t="n"/>
      <c r="L4568" s="7">
        <f>IF(OR(D4568="",N(J4568)=0),"",MIN(1,N(K4568)/J4568))</f>
        <v/>
      </c>
      <c r="M4568" s="5" t="n"/>
      <c r="N4568" s="5" t="n"/>
      <c r="O4568" s="5" t="n"/>
      <c r="P4568" s="5" t="n"/>
      <c r="Q4568" s="5" t="n"/>
      <c r="R4568" s="4" t="n"/>
      <c r="S4568" s="4" t="n"/>
      <c r="T4568" s="5" t="n"/>
      <c r="U4568" s="8">
        <f>IF(AND(V4568=1,D4568&lt;&gt;""),IF(D4568&gt;=corte,TODAY()-D4568,""),"")</f>
        <v/>
      </c>
      <c r="V4568" s="8">
        <f>IF(D4568="",0,IF(OR(AND(P4568&lt;&gt;"",S4568=""),AND(N(J4568)&gt;0,N(K4568)&lt;J4568),OR(M4568="PENDENTE",M4568="PARCIAL"),OR(N4568="PENDENTE",N4568="PARCIAL")),1,0))</f>
        <v/>
      </c>
      <c r="W4568" s="8">
        <f>IF(AND(V4568=1,D4568&lt;&gt;""),IF(D4568&gt;=corte,(B4568="CRÍTICO")*1E9+(100000-D4568)*10000+10000-ROW(),""),"")</f>
        <v/>
      </c>
      <c r="X4568" s="8">
        <f>IF(AND(V4568=1,D4568=pas_data,E4568=pas_turno),10000-ROW(),"")</f>
        <v/>
      </c>
    </row>
    <row r="4569">
      <c r="A4569" s="3">
        <f>IF(D4569="","","TT-"&amp;TEXT(ROW()-1,"00000"))</f>
        <v/>
      </c>
      <c r="B4569" s="3">
        <f>IF(D4569="","",IF(V4569=0,"CONCLUÍDO",IF(D4569&lt;corte,"HISTÓRICO",IF(OR(AND(ISNUMBER(R4569),R4569&lt;TODAY()),AND(OR(N4569="PENDENTE",N4569="PARCIAL"),D4569&lt;TODAY()-1)),"CRÍTICO",IF(OR(AND(P4569&lt;&gt;"",S4569=""),AND(N4569="REALIZADO",M4569="PENDENTE"),AND(ISNUMBER(R4569),R4569=TODAY())),"ATENÇÃO",IF(N(K4569)=0,"PENDENTE","EM ANDAMENTO"))))))</f>
        <v/>
      </c>
      <c r="C4569" s="3">
        <f>IF(D4569="","",IF(V4569=0,"🟢 OK",IF(D4569&lt;corte,"⚪ HISTÓRICO (sem baixa)",IF(AND(ISNUMBER(R4569),R4569&lt;TODAY()),"🔴 PRAZO VENCIDO",IF(AND(OR(N4569="PENDENTE",N4569="PARCIAL"),D4569&lt;TODAY()-1),"🔴 EMBARQUE ATRASADO",IF(AND(N4569="REALIZADO",M4569="PENDENTE"),"🟡 EMBARCADO SEM FATURAR",IF(AND(P4569&lt;&gt;"",S4569="",OR(Q4569="",R4569="")),"🟡 PENDÊNCIA SEM RESPONSÁVEL/PRAZO",IF(AND(ISNUMBER(R4569),R4569=TODAY()),"🟡 VENCE HOJE",IF(AND(P4569&lt;&gt;"",S4569=""),"🟡 PENDÊNCIA ABERTA",IF(AND(N(J4569)&gt;0,N(K4569)&lt;J4569),"🟡 FALTA EXECUTAR",IF(OR(M4569="PENDENTE",M4569="PARCIAL"),"🟡 FATURAMENTO PENDENTE","🟡 EMBARQUE PENDENTE")))))))))))</f>
        <v/>
      </c>
      <c r="D4569" s="4" t="n"/>
      <c r="E4569" s="5" t="n"/>
      <c r="F4569" s="5" t="n"/>
      <c r="G4569" s="5" t="n"/>
      <c r="H4569" s="5" t="n"/>
      <c r="I4569" s="5" t="n"/>
      <c r="J4569" s="6" t="n"/>
      <c r="K4569" s="6" t="n"/>
      <c r="L4569" s="7">
        <f>IF(OR(D4569="",N(J4569)=0),"",MIN(1,N(K4569)/J4569))</f>
        <v/>
      </c>
      <c r="M4569" s="5" t="n"/>
      <c r="N4569" s="5" t="n"/>
      <c r="O4569" s="5" t="n"/>
      <c r="P4569" s="5" t="n"/>
      <c r="Q4569" s="5" t="n"/>
      <c r="R4569" s="4" t="n"/>
      <c r="S4569" s="4" t="n"/>
      <c r="T4569" s="5" t="n"/>
      <c r="U4569" s="8">
        <f>IF(AND(V4569=1,D4569&lt;&gt;""),IF(D4569&gt;=corte,TODAY()-D4569,""),"")</f>
        <v/>
      </c>
      <c r="V4569" s="8">
        <f>IF(D4569="",0,IF(OR(AND(P4569&lt;&gt;"",S4569=""),AND(N(J4569)&gt;0,N(K4569)&lt;J4569),OR(M4569="PENDENTE",M4569="PARCIAL"),OR(N4569="PENDENTE",N4569="PARCIAL")),1,0))</f>
        <v/>
      </c>
      <c r="W4569" s="8">
        <f>IF(AND(V4569=1,D4569&lt;&gt;""),IF(D4569&gt;=corte,(B4569="CRÍTICO")*1E9+(100000-D4569)*10000+10000-ROW(),""),"")</f>
        <v/>
      </c>
      <c r="X4569" s="8">
        <f>IF(AND(V4569=1,D4569=pas_data,E4569=pas_turno),10000-ROW(),"")</f>
        <v/>
      </c>
    </row>
    <row r="4570">
      <c r="A4570" s="3">
        <f>IF(D4570="","","TT-"&amp;TEXT(ROW()-1,"00000"))</f>
        <v/>
      </c>
      <c r="B4570" s="3">
        <f>IF(D4570="","",IF(V4570=0,"CONCLUÍDO",IF(D4570&lt;corte,"HISTÓRICO",IF(OR(AND(ISNUMBER(R4570),R4570&lt;TODAY()),AND(OR(N4570="PENDENTE",N4570="PARCIAL"),D4570&lt;TODAY()-1)),"CRÍTICO",IF(OR(AND(P4570&lt;&gt;"",S4570=""),AND(N4570="REALIZADO",M4570="PENDENTE"),AND(ISNUMBER(R4570),R4570=TODAY())),"ATENÇÃO",IF(N(K4570)=0,"PENDENTE","EM ANDAMENTO"))))))</f>
        <v/>
      </c>
      <c r="C4570" s="3">
        <f>IF(D4570="","",IF(V4570=0,"🟢 OK",IF(D4570&lt;corte,"⚪ HISTÓRICO (sem baixa)",IF(AND(ISNUMBER(R4570),R4570&lt;TODAY()),"🔴 PRAZO VENCIDO",IF(AND(OR(N4570="PENDENTE",N4570="PARCIAL"),D4570&lt;TODAY()-1),"🔴 EMBARQUE ATRASADO",IF(AND(N4570="REALIZADO",M4570="PENDENTE"),"🟡 EMBARCADO SEM FATURAR",IF(AND(P4570&lt;&gt;"",S4570="",OR(Q4570="",R4570="")),"🟡 PENDÊNCIA SEM RESPONSÁVEL/PRAZO",IF(AND(ISNUMBER(R4570),R4570=TODAY()),"🟡 VENCE HOJE",IF(AND(P4570&lt;&gt;"",S4570=""),"🟡 PENDÊNCIA ABERTA",IF(AND(N(J4570)&gt;0,N(K4570)&lt;J4570),"🟡 FALTA EXECUTAR",IF(OR(M4570="PENDENTE",M4570="PARCIAL"),"🟡 FATURAMENTO PENDENTE","🟡 EMBARQUE PENDENTE")))))))))))</f>
        <v/>
      </c>
      <c r="D4570" s="4" t="n"/>
      <c r="E4570" s="5" t="n"/>
      <c r="F4570" s="5" t="n"/>
      <c r="G4570" s="5" t="n"/>
      <c r="H4570" s="5" t="n"/>
      <c r="I4570" s="5" t="n"/>
      <c r="J4570" s="6" t="n"/>
      <c r="K4570" s="6" t="n"/>
      <c r="L4570" s="7">
        <f>IF(OR(D4570="",N(J4570)=0),"",MIN(1,N(K4570)/J4570))</f>
        <v/>
      </c>
      <c r="M4570" s="5" t="n"/>
      <c r="N4570" s="5" t="n"/>
      <c r="O4570" s="5" t="n"/>
      <c r="P4570" s="5" t="n"/>
      <c r="Q4570" s="5" t="n"/>
      <c r="R4570" s="4" t="n"/>
      <c r="S4570" s="4" t="n"/>
      <c r="T4570" s="5" t="n"/>
      <c r="U4570" s="8">
        <f>IF(AND(V4570=1,D4570&lt;&gt;""),IF(D4570&gt;=corte,TODAY()-D4570,""),"")</f>
        <v/>
      </c>
      <c r="V4570" s="8">
        <f>IF(D4570="",0,IF(OR(AND(P4570&lt;&gt;"",S4570=""),AND(N(J4570)&gt;0,N(K4570)&lt;J4570),OR(M4570="PENDENTE",M4570="PARCIAL"),OR(N4570="PENDENTE",N4570="PARCIAL")),1,0))</f>
        <v/>
      </c>
      <c r="W4570" s="8">
        <f>IF(AND(V4570=1,D4570&lt;&gt;""),IF(D4570&gt;=corte,(B4570="CRÍTICO")*1E9+(100000-D4570)*10000+10000-ROW(),""),"")</f>
        <v/>
      </c>
      <c r="X4570" s="8">
        <f>IF(AND(V4570=1,D4570=pas_data,E4570=pas_turno),10000-ROW(),"")</f>
        <v/>
      </c>
    </row>
    <row r="4571">
      <c r="A4571" s="3">
        <f>IF(D4571="","","TT-"&amp;TEXT(ROW()-1,"00000"))</f>
        <v/>
      </c>
      <c r="B4571" s="3">
        <f>IF(D4571="","",IF(V4571=0,"CONCLUÍDO",IF(D4571&lt;corte,"HISTÓRICO",IF(OR(AND(ISNUMBER(R4571),R4571&lt;TODAY()),AND(OR(N4571="PENDENTE",N4571="PARCIAL"),D4571&lt;TODAY()-1)),"CRÍTICO",IF(OR(AND(P4571&lt;&gt;"",S4571=""),AND(N4571="REALIZADO",M4571="PENDENTE"),AND(ISNUMBER(R4571),R4571=TODAY())),"ATENÇÃO",IF(N(K4571)=0,"PENDENTE","EM ANDAMENTO"))))))</f>
        <v/>
      </c>
      <c r="C4571" s="3">
        <f>IF(D4571="","",IF(V4571=0,"🟢 OK",IF(D4571&lt;corte,"⚪ HISTÓRICO (sem baixa)",IF(AND(ISNUMBER(R4571),R4571&lt;TODAY()),"🔴 PRAZO VENCIDO",IF(AND(OR(N4571="PENDENTE",N4571="PARCIAL"),D4571&lt;TODAY()-1),"🔴 EMBARQUE ATRASADO",IF(AND(N4571="REALIZADO",M4571="PENDENTE"),"🟡 EMBARCADO SEM FATURAR",IF(AND(P4571&lt;&gt;"",S4571="",OR(Q4571="",R4571="")),"🟡 PENDÊNCIA SEM RESPONSÁVEL/PRAZO",IF(AND(ISNUMBER(R4571),R4571=TODAY()),"🟡 VENCE HOJE",IF(AND(P4571&lt;&gt;"",S4571=""),"🟡 PENDÊNCIA ABERTA",IF(AND(N(J4571)&gt;0,N(K4571)&lt;J4571),"🟡 FALTA EXECUTAR",IF(OR(M4571="PENDENTE",M4571="PARCIAL"),"🟡 FATURAMENTO PENDENTE","🟡 EMBARQUE PENDENTE")))))))))))</f>
        <v/>
      </c>
      <c r="D4571" s="4" t="n"/>
      <c r="E4571" s="5" t="n"/>
      <c r="F4571" s="5" t="n"/>
      <c r="G4571" s="5" t="n"/>
      <c r="H4571" s="5" t="n"/>
      <c r="I4571" s="5" t="n"/>
      <c r="J4571" s="6" t="n"/>
      <c r="K4571" s="6" t="n"/>
      <c r="L4571" s="7">
        <f>IF(OR(D4571="",N(J4571)=0),"",MIN(1,N(K4571)/J4571))</f>
        <v/>
      </c>
      <c r="M4571" s="5" t="n"/>
      <c r="N4571" s="5" t="n"/>
      <c r="O4571" s="5" t="n"/>
      <c r="P4571" s="5" t="n"/>
      <c r="Q4571" s="5" t="n"/>
      <c r="R4571" s="4" t="n"/>
      <c r="S4571" s="4" t="n"/>
      <c r="T4571" s="5" t="n"/>
      <c r="U4571" s="8">
        <f>IF(AND(V4571=1,D4571&lt;&gt;""),IF(D4571&gt;=corte,TODAY()-D4571,""),"")</f>
        <v/>
      </c>
      <c r="V4571" s="8">
        <f>IF(D4571="",0,IF(OR(AND(P4571&lt;&gt;"",S4571=""),AND(N(J4571)&gt;0,N(K4571)&lt;J4571),OR(M4571="PENDENTE",M4571="PARCIAL"),OR(N4571="PENDENTE",N4571="PARCIAL")),1,0))</f>
        <v/>
      </c>
      <c r="W4571" s="8">
        <f>IF(AND(V4571=1,D4571&lt;&gt;""),IF(D4571&gt;=corte,(B4571="CRÍTICO")*1E9+(100000-D4571)*10000+10000-ROW(),""),"")</f>
        <v/>
      </c>
      <c r="X4571" s="8">
        <f>IF(AND(V4571=1,D4571=pas_data,E4571=pas_turno),10000-ROW(),"")</f>
        <v/>
      </c>
    </row>
    <row r="4572">
      <c r="A4572" s="3">
        <f>IF(D4572="","","TT-"&amp;TEXT(ROW()-1,"00000"))</f>
        <v/>
      </c>
      <c r="B4572" s="3">
        <f>IF(D4572="","",IF(V4572=0,"CONCLUÍDO",IF(D4572&lt;corte,"HISTÓRICO",IF(OR(AND(ISNUMBER(R4572),R4572&lt;TODAY()),AND(OR(N4572="PENDENTE",N4572="PARCIAL"),D4572&lt;TODAY()-1)),"CRÍTICO",IF(OR(AND(P4572&lt;&gt;"",S4572=""),AND(N4572="REALIZADO",M4572="PENDENTE"),AND(ISNUMBER(R4572),R4572=TODAY())),"ATENÇÃO",IF(N(K4572)=0,"PENDENTE","EM ANDAMENTO"))))))</f>
        <v/>
      </c>
      <c r="C4572" s="3">
        <f>IF(D4572="","",IF(V4572=0,"🟢 OK",IF(D4572&lt;corte,"⚪ HISTÓRICO (sem baixa)",IF(AND(ISNUMBER(R4572),R4572&lt;TODAY()),"🔴 PRAZO VENCIDO",IF(AND(OR(N4572="PENDENTE",N4572="PARCIAL"),D4572&lt;TODAY()-1),"🔴 EMBARQUE ATRASADO",IF(AND(N4572="REALIZADO",M4572="PENDENTE"),"🟡 EMBARCADO SEM FATURAR",IF(AND(P4572&lt;&gt;"",S4572="",OR(Q4572="",R4572="")),"🟡 PENDÊNCIA SEM RESPONSÁVEL/PRAZO",IF(AND(ISNUMBER(R4572),R4572=TODAY()),"🟡 VENCE HOJE",IF(AND(P4572&lt;&gt;"",S4572=""),"🟡 PENDÊNCIA ABERTA",IF(AND(N(J4572)&gt;0,N(K4572)&lt;J4572),"🟡 FALTA EXECUTAR",IF(OR(M4572="PENDENTE",M4572="PARCIAL"),"🟡 FATURAMENTO PENDENTE","🟡 EMBARQUE PENDENTE")))))))))))</f>
        <v/>
      </c>
      <c r="D4572" s="4" t="n"/>
      <c r="E4572" s="5" t="n"/>
      <c r="F4572" s="5" t="n"/>
      <c r="G4572" s="5" t="n"/>
      <c r="H4572" s="5" t="n"/>
      <c r="I4572" s="5" t="n"/>
      <c r="J4572" s="6" t="n"/>
      <c r="K4572" s="6" t="n"/>
      <c r="L4572" s="7">
        <f>IF(OR(D4572="",N(J4572)=0),"",MIN(1,N(K4572)/J4572))</f>
        <v/>
      </c>
      <c r="M4572" s="5" t="n"/>
      <c r="N4572" s="5" t="n"/>
      <c r="O4572" s="5" t="n"/>
      <c r="P4572" s="5" t="n"/>
      <c r="Q4572" s="5" t="n"/>
      <c r="R4572" s="4" t="n"/>
      <c r="S4572" s="4" t="n"/>
      <c r="T4572" s="5" t="n"/>
      <c r="U4572" s="8">
        <f>IF(AND(V4572=1,D4572&lt;&gt;""),IF(D4572&gt;=corte,TODAY()-D4572,""),"")</f>
        <v/>
      </c>
      <c r="V4572" s="8">
        <f>IF(D4572="",0,IF(OR(AND(P4572&lt;&gt;"",S4572=""),AND(N(J4572)&gt;0,N(K4572)&lt;J4572),OR(M4572="PENDENTE",M4572="PARCIAL"),OR(N4572="PENDENTE",N4572="PARCIAL")),1,0))</f>
        <v/>
      </c>
      <c r="W4572" s="8">
        <f>IF(AND(V4572=1,D4572&lt;&gt;""),IF(D4572&gt;=corte,(B4572="CRÍTICO")*1E9+(100000-D4572)*10000+10000-ROW(),""),"")</f>
        <v/>
      </c>
      <c r="X4572" s="8">
        <f>IF(AND(V4572=1,D4572=pas_data,E4572=pas_turno),10000-ROW(),"")</f>
        <v/>
      </c>
    </row>
    <row r="4573">
      <c r="A4573" s="3">
        <f>IF(D4573="","","TT-"&amp;TEXT(ROW()-1,"00000"))</f>
        <v/>
      </c>
      <c r="B4573" s="3">
        <f>IF(D4573="","",IF(V4573=0,"CONCLUÍDO",IF(D4573&lt;corte,"HISTÓRICO",IF(OR(AND(ISNUMBER(R4573),R4573&lt;TODAY()),AND(OR(N4573="PENDENTE",N4573="PARCIAL"),D4573&lt;TODAY()-1)),"CRÍTICO",IF(OR(AND(P4573&lt;&gt;"",S4573=""),AND(N4573="REALIZADO",M4573="PENDENTE"),AND(ISNUMBER(R4573),R4573=TODAY())),"ATENÇÃO",IF(N(K4573)=0,"PENDENTE","EM ANDAMENTO"))))))</f>
        <v/>
      </c>
      <c r="C4573" s="3">
        <f>IF(D4573="","",IF(V4573=0,"🟢 OK",IF(D4573&lt;corte,"⚪ HISTÓRICO (sem baixa)",IF(AND(ISNUMBER(R4573),R4573&lt;TODAY()),"🔴 PRAZO VENCIDO",IF(AND(OR(N4573="PENDENTE",N4573="PARCIAL"),D4573&lt;TODAY()-1),"🔴 EMBARQUE ATRASADO",IF(AND(N4573="REALIZADO",M4573="PENDENTE"),"🟡 EMBARCADO SEM FATURAR",IF(AND(P4573&lt;&gt;"",S4573="",OR(Q4573="",R4573="")),"🟡 PENDÊNCIA SEM RESPONSÁVEL/PRAZO",IF(AND(ISNUMBER(R4573),R4573=TODAY()),"🟡 VENCE HOJE",IF(AND(P4573&lt;&gt;"",S4573=""),"🟡 PENDÊNCIA ABERTA",IF(AND(N(J4573)&gt;0,N(K4573)&lt;J4573),"🟡 FALTA EXECUTAR",IF(OR(M4573="PENDENTE",M4573="PARCIAL"),"🟡 FATURAMENTO PENDENTE","🟡 EMBARQUE PENDENTE")))))))))))</f>
        <v/>
      </c>
      <c r="D4573" s="4" t="n"/>
      <c r="E4573" s="5" t="n"/>
      <c r="F4573" s="5" t="n"/>
      <c r="G4573" s="5" t="n"/>
      <c r="H4573" s="5" t="n"/>
      <c r="I4573" s="5" t="n"/>
      <c r="J4573" s="6" t="n"/>
      <c r="K4573" s="6" t="n"/>
      <c r="L4573" s="7">
        <f>IF(OR(D4573="",N(J4573)=0),"",MIN(1,N(K4573)/J4573))</f>
        <v/>
      </c>
      <c r="M4573" s="5" t="n"/>
      <c r="N4573" s="5" t="n"/>
      <c r="O4573" s="5" t="n"/>
      <c r="P4573" s="5" t="n"/>
      <c r="Q4573" s="5" t="n"/>
      <c r="R4573" s="4" t="n"/>
      <c r="S4573" s="4" t="n"/>
      <c r="T4573" s="5" t="n"/>
      <c r="U4573" s="8">
        <f>IF(AND(V4573=1,D4573&lt;&gt;""),IF(D4573&gt;=corte,TODAY()-D4573,""),"")</f>
        <v/>
      </c>
      <c r="V4573" s="8">
        <f>IF(D4573="",0,IF(OR(AND(P4573&lt;&gt;"",S4573=""),AND(N(J4573)&gt;0,N(K4573)&lt;J4573),OR(M4573="PENDENTE",M4573="PARCIAL"),OR(N4573="PENDENTE",N4573="PARCIAL")),1,0))</f>
        <v/>
      </c>
      <c r="W4573" s="8">
        <f>IF(AND(V4573=1,D4573&lt;&gt;""),IF(D4573&gt;=corte,(B4573="CRÍTICO")*1E9+(100000-D4573)*10000+10000-ROW(),""),"")</f>
        <v/>
      </c>
      <c r="X4573" s="8">
        <f>IF(AND(V4573=1,D4573=pas_data,E4573=pas_turno),10000-ROW(),"")</f>
        <v/>
      </c>
    </row>
    <row r="4574">
      <c r="A4574" s="3">
        <f>IF(D4574="","","TT-"&amp;TEXT(ROW()-1,"00000"))</f>
        <v/>
      </c>
      <c r="B4574" s="3">
        <f>IF(D4574="","",IF(V4574=0,"CONCLUÍDO",IF(D4574&lt;corte,"HISTÓRICO",IF(OR(AND(ISNUMBER(R4574),R4574&lt;TODAY()),AND(OR(N4574="PENDENTE",N4574="PARCIAL"),D4574&lt;TODAY()-1)),"CRÍTICO",IF(OR(AND(P4574&lt;&gt;"",S4574=""),AND(N4574="REALIZADO",M4574="PENDENTE"),AND(ISNUMBER(R4574),R4574=TODAY())),"ATENÇÃO",IF(N(K4574)=0,"PENDENTE","EM ANDAMENTO"))))))</f>
        <v/>
      </c>
      <c r="C4574" s="3">
        <f>IF(D4574="","",IF(V4574=0,"🟢 OK",IF(D4574&lt;corte,"⚪ HISTÓRICO (sem baixa)",IF(AND(ISNUMBER(R4574),R4574&lt;TODAY()),"🔴 PRAZO VENCIDO",IF(AND(OR(N4574="PENDENTE",N4574="PARCIAL"),D4574&lt;TODAY()-1),"🔴 EMBARQUE ATRASADO",IF(AND(N4574="REALIZADO",M4574="PENDENTE"),"🟡 EMBARCADO SEM FATURAR",IF(AND(P4574&lt;&gt;"",S4574="",OR(Q4574="",R4574="")),"🟡 PENDÊNCIA SEM RESPONSÁVEL/PRAZO",IF(AND(ISNUMBER(R4574),R4574=TODAY()),"🟡 VENCE HOJE",IF(AND(P4574&lt;&gt;"",S4574=""),"🟡 PENDÊNCIA ABERTA",IF(AND(N(J4574)&gt;0,N(K4574)&lt;J4574),"🟡 FALTA EXECUTAR",IF(OR(M4574="PENDENTE",M4574="PARCIAL"),"🟡 FATURAMENTO PENDENTE","🟡 EMBARQUE PENDENTE")))))))))))</f>
        <v/>
      </c>
      <c r="D4574" s="4" t="n"/>
      <c r="E4574" s="5" t="n"/>
      <c r="F4574" s="5" t="n"/>
      <c r="G4574" s="5" t="n"/>
      <c r="H4574" s="5" t="n"/>
      <c r="I4574" s="5" t="n"/>
      <c r="J4574" s="6" t="n"/>
      <c r="K4574" s="6" t="n"/>
      <c r="L4574" s="7">
        <f>IF(OR(D4574="",N(J4574)=0),"",MIN(1,N(K4574)/J4574))</f>
        <v/>
      </c>
      <c r="M4574" s="5" t="n"/>
      <c r="N4574" s="5" t="n"/>
      <c r="O4574" s="5" t="n"/>
      <c r="P4574" s="5" t="n"/>
      <c r="Q4574" s="5" t="n"/>
      <c r="R4574" s="4" t="n"/>
      <c r="S4574" s="4" t="n"/>
      <c r="T4574" s="5" t="n"/>
      <c r="U4574" s="8">
        <f>IF(AND(V4574=1,D4574&lt;&gt;""),IF(D4574&gt;=corte,TODAY()-D4574,""),"")</f>
        <v/>
      </c>
      <c r="V4574" s="8">
        <f>IF(D4574="",0,IF(OR(AND(P4574&lt;&gt;"",S4574=""),AND(N(J4574)&gt;0,N(K4574)&lt;J4574),OR(M4574="PENDENTE",M4574="PARCIAL"),OR(N4574="PENDENTE",N4574="PARCIAL")),1,0))</f>
        <v/>
      </c>
      <c r="W4574" s="8">
        <f>IF(AND(V4574=1,D4574&lt;&gt;""),IF(D4574&gt;=corte,(B4574="CRÍTICO")*1E9+(100000-D4574)*10000+10000-ROW(),""),"")</f>
        <v/>
      </c>
      <c r="X4574" s="8">
        <f>IF(AND(V4574=1,D4574=pas_data,E4574=pas_turno),10000-ROW(),"")</f>
        <v/>
      </c>
    </row>
    <row r="4575">
      <c r="A4575" s="3">
        <f>IF(D4575="","","TT-"&amp;TEXT(ROW()-1,"00000"))</f>
        <v/>
      </c>
      <c r="B4575" s="3">
        <f>IF(D4575="","",IF(V4575=0,"CONCLUÍDO",IF(D4575&lt;corte,"HISTÓRICO",IF(OR(AND(ISNUMBER(R4575),R4575&lt;TODAY()),AND(OR(N4575="PENDENTE",N4575="PARCIAL"),D4575&lt;TODAY()-1)),"CRÍTICO",IF(OR(AND(P4575&lt;&gt;"",S4575=""),AND(N4575="REALIZADO",M4575="PENDENTE"),AND(ISNUMBER(R4575),R4575=TODAY())),"ATENÇÃO",IF(N(K4575)=0,"PENDENTE","EM ANDAMENTO"))))))</f>
        <v/>
      </c>
      <c r="C4575" s="3">
        <f>IF(D4575="","",IF(V4575=0,"🟢 OK",IF(D4575&lt;corte,"⚪ HISTÓRICO (sem baixa)",IF(AND(ISNUMBER(R4575),R4575&lt;TODAY()),"🔴 PRAZO VENCIDO",IF(AND(OR(N4575="PENDENTE",N4575="PARCIAL"),D4575&lt;TODAY()-1),"🔴 EMBARQUE ATRASADO",IF(AND(N4575="REALIZADO",M4575="PENDENTE"),"🟡 EMBARCADO SEM FATURAR",IF(AND(P4575&lt;&gt;"",S4575="",OR(Q4575="",R4575="")),"🟡 PENDÊNCIA SEM RESPONSÁVEL/PRAZO",IF(AND(ISNUMBER(R4575),R4575=TODAY()),"🟡 VENCE HOJE",IF(AND(P4575&lt;&gt;"",S4575=""),"🟡 PENDÊNCIA ABERTA",IF(AND(N(J4575)&gt;0,N(K4575)&lt;J4575),"🟡 FALTA EXECUTAR",IF(OR(M4575="PENDENTE",M4575="PARCIAL"),"🟡 FATURAMENTO PENDENTE","🟡 EMBARQUE PENDENTE")))))))))))</f>
        <v/>
      </c>
      <c r="D4575" s="4" t="n"/>
      <c r="E4575" s="5" t="n"/>
      <c r="F4575" s="5" t="n"/>
      <c r="G4575" s="5" t="n"/>
      <c r="H4575" s="5" t="n"/>
      <c r="I4575" s="5" t="n"/>
      <c r="J4575" s="6" t="n"/>
      <c r="K4575" s="6" t="n"/>
      <c r="L4575" s="7">
        <f>IF(OR(D4575="",N(J4575)=0),"",MIN(1,N(K4575)/J4575))</f>
        <v/>
      </c>
      <c r="M4575" s="5" t="n"/>
      <c r="N4575" s="5" t="n"/>
      <c r="O4575" s="5" t="n"/>
      <c r="P4575" s="5" t="n"/>
      <c r="Q4575" s="5" t="n"/>
      <c r="R4575" s="4" t="n"/>
      <c r="S4575" s="4" t="n"/>
      <c r="T4575" s="5" t="n"/>
      <c r="U4575" s="8">
        <f>IF(AND(V4575=1,D4575&lt;&gt;""),IF(D4575&gt;=corte,TODAY()-D4575,""),"")</f>
        <v/>
      </c>
      <c r="V4575" s="8">
        <f>IF(D4575="",0,IF(OR(AND(P4575&lt;&gt;"",S4575=""),AND(N(J4575)&gt;0,N(K4575)&lt;J4575),OR(M4575="PENDENTE",M4575="PARCIAL"),OR(N4575="PENDENTE",N4575="PARCIAL")),1,0))</f>
        <v/>
      </c>
      <c r="W4575" s="8">
        <f>IF(AND(V4575=1,D4575&lt;&gt;""),IF(D4575&gt;=corte,(B4575="CRÍTICO")*1E9+(100000-D4575)*10000+10000-ROW(),""),"")</f>
        <v/>
      </c>
      <c r="X4575" s="8">
        <f>IF(AND(V4575=1,D4575=pas_data,E4575=pas_turno),10000-ROW(),"")</f>
        <v/>
      </c>
    </row>
    <row r="4576">
      <c r="A4576" s="3">
        <f>IF(D4576="","","TT-"&amp;TEXT(ROW()-1,"00000"))</f>
        <v/>
      </c>
      <c r="B4576" s="3">
        <f>IF(D4576="","",IF(V4576=0,"CONCLUÍDO",IF(D4576&lt;corte,"HISTÓRICO",IF(OR(AND(ISNUMBER(R4576),R4576&lt;TODAY()),AND(OR(N4576="PENDENTE",N4576="PARCIAL"),D4576&lt;TODAY()-1)),"CRÍTICO",IF(OR(AND(P4576&lt;&gt;"",S4576=""),AND(N4576="REALIZADO",M4576="PENDENTE"),AND(ISNUMBER(R4576),R4576=TODAY())),"ATENÇÃO",IF(N(K4576)=0,"PENDENTE","EM ANDAMENTO"))))))</f>
        <v/>
      </c>
      <c r="C4576" s="3">
        <f>IF(D4576="","",IF(V4576=0,"🟢 OK",IF(D4576&lt;corte,"⚪ HISTÓRICO (sem baixa)",IF(AND(ISNUMBER(R4576),R4576&lt;TODAY()),"🔴 PRAZO VENCIDO",IF(AND(OR(N4576="PENDENTE",N4576="PARCIAL"),D4576&lt;TODAY()-1),"🔴 EMBARQUE ATRASADO",IF(AND(N4576="REALIZADO",M4576="PENDENTE"),"🟡 EMBARCADO SEM FATURAR",IF(AND(P4576&lt;&gt;"",S4576="",OR(Q4576="",R4576="")),"🟡 PENDÊNCIA SEM RESPONSÁVEL/PRAZO",IF(AND(ISNUMBER(R4576),R4576=TODAY()),"🟡 VENCE HOJE",IF(AND(P4576&lt;&gt;"",S4576=""),"🟡 PENDÊNCIA ABERTA",IF(AND(N(J4576)&gt;0,N(K4576)&lt;J4576),"🟡 FALTA EXECUTAR",IF(OR(M4576="PENDENTE",M4576="PARCIAL"),"🟡 FATURAMENTO PENDENTE","🟡 EMBARQUE PENDENTE")))))))))))</f>
        <v/>
      </c>
      <c r="D4576" s="4" t="n"/>
      <c r="E4576" s="5" t="n"/>
      <c r="F4576" s="5" t="n"/>
      <c r="G4576" s="5" t="n"/>
      <c r="H4576" s="5" t="n"/>
      <c r="I4576" s="5" t="n"/>
      <c r="J4576" s="6" t="n"/>
      <c r="K4576" s="6" t="n"/>
      <c r="L4576" s="7">
        <f>IF(OR(D4576="",N(J4576)=0),"",MIN(1,N(K4576)/J4576))</f>
        <v/>
      </c>
      <c r="M4576" s="5" t="n"/>
      <c r="N4576" s="5" t="n"/>
      <c r="O4576" s="5" t="n"/>
      <c r="P4576" s="5" t="n"/>
      <c r="Q4576" s="5" t="n"/>
      <c r="R4576" s="4" t="n"/>
      <c r="S4576" s="4" t="n"/>
      <c r="T4576" s="5" t="n"/>
      <c r="U4576" s="8">
        <f>IF(AND(V4576=1,D4576&lt;&gt;""),IF(D4576&gt;=corte,TODAY()-D4576,""),"")</f>
        <v/>
      </c>
      <c r="V4576" s="8">
        <f>IF(D4576="",0,IF(OR(AND(P4576&lt;&gt;"",S4576=""),AND(N(J4576)&gt;0,N(K4576)&lt;J4576),OR(M4576="PENDENTE",M4576="PARCIAL"),OR(N4576="PENDENTE",N4576="PARCIAL")),1,0))</f>
        <v/>
      </c>
      <c r="W4576" s="8">
        <f>IF(AND(V4576=1,D4576&lt;&gt;""),IF(D4576&gt;=corte,(B4576="CRÍTICO")*1E9+(100000-D4576)*10000+10000-ROW(),""),"")</f>
        <v/>
      </c>
      <c r="X4576" s="8">
        <f>IF(AND(V4576=1,D4576=pas_data,E4576=pas_turno),10000-ROW(),"")</f>
        <v/>
      </c>
    </row>
    <row r="4577">
      <c r="A4577" s="3">
        <f>IF(D4577="","","TT-"&amp;TEXT(ROW()-1,"00000"))</f>
        <v/>
      </c>
      <c r="B4577" s="3">
        <f>IF(D4577="","",IF(V4577=0,"CONCLUÍDO",IF(D4577&lt;corte,"HISTÓRICO",IF(OR(AND(ISNUMBER(R4577),R4577&lt;TODAY()),AND(OR(N4577="PENDENTE",N4577="PARCIAL"),D4577&lt;TODAY()-1)),"CRÍTICO",IF(OR(AND(P4577&lt;&gt;"",S4577=""),AND(N4577="REALIZADO",M4577="PENDENTE"),AND(ISNUMBER(R4577),R4577=TODAY())),"ATENÇÃO",IF(N(K4577)=0,"PENDENTE","EM ANDAMENTO"))))))</f>
        <v/>
      </c>
      <c r="C4577" s="3">
        <f>IF(D4577="","",IF(V4577=0,"🟢 OK",IF(D4577&lt;corte,"⚪ HISTÓRICO (sem baixa)",IF(AND(ISNUMBER(R4577),R4577&lt;TODAY()),"🔴 PRAZO VENCIDO",IF(AND(OR(N4577="PENDENTE",N4577="PARCIAL"),D4577&lt;TODAY()-1),"🔴 EMBARQUE ATRASADO",IF(AND(N4577="REALIZADO",M4577="PENDENTE"),"🟡 EMBARCADO SEM FATURAR",IF(AND(P4577&lt;&gt;"",S4577="",OR(Q4577="",R4577="")),"🟡 PENDÊNCIA SEM RESPONSÁVEL/PRAZO",IF(AND(ISNUMBER(R4577),R4577=TODAY()),"🟡 VENCE HOJE",IF(AND(P4577&lt;&gt;"",S4577=""),"🟡 PENDÊNCIA ABERTA",IF(AND(N(J4577)&gt;0,N(K4577)&lt;J4577),"🟡 FALTA EXECUTAR",IF(OR(M4577="PENDENTE",M4577="PARCIAL"),"🟡 FATURAMENTO PENDENTE","🟡 EMBARQUE PENDENTE")))))))))))</f>
        <v/>
      </c>
      <c r="D4577" s="4" t="n"/>
      <c r="E4577" s="5" t="n"/>
      <c r="F4577" s="5" t="n"/>
      <c r="G4577" s="5" t="n"/>
      <c r="H4577" s="5" t="n"/>
      <c r="I4577" s="5" t="n"/>
      <c r="J4577" s="6" t="n"/>
      <c r="K4577" s="6" t="n"/>
      <c r="L4577" s="7">
        <f>IF(OR(D4577="",N(J4577)=0),"",MIN(1,N(K4577)/J4577))</f>
        <v/>
      </c>
      <c r="M4577" s="5" t="n"/>
      <c r="N4577" s="5" t="n"/>
      <c r="O4577" s="5" t="n"/>
      <c r="P4577" s="5" t="n"/>
      <c r="Q4577" s="5" t="n"/>
      <c r="R4577" s="4" t="n"/>
      <c r="S4577" s="4" t="n"/>
      <c r="T4577" s="5" t="n"/>
      <c r="U4577" s="8">
        <f>IF(AND(V4577=1,D4577&lt;&gt;""),IF(D4577&gt;=corte,TODAY()-D4577,""),"")</f>
        <v/>
      </c>
      <c r="V4577" s="8">
        <f>IF(D4577="",0,IF(OR(AND(P4577&lt;&gt;"",S4577=""),AND(N(J4577)&gt;0,N(K4577)&lt;J4577),OR(M4577="PENDENTE",M4577="PARCIAL"),OR(N4577="PENDENTE",N4577="PARCIAL")),1,0))</f>
        <v/>
      </c>
      <c r="W4577" s="8">
        <f>IF(AND(V4577=1,D4577&lt;&gt;""),IF(D4577&gt;=corte,(B4577="CRÍTICO")*1E9+(100000-D4577)*10000+10000-ROW(),""),"")</f>
        <v/>
      </c>
      <c r="X4577" s="8">
        <f>IF(AND(V4577=1,D4577=pas_data,E4577=pas_turno),10000-ROW(),"")</f>
        <v/>
      </c>
    </row>
    <row r="4578">
      <c r="A4578" s="3">
        <f>IF(D4578="","","TT-"&amp;TEXT(ROW()-1,"00000"))</f>
        <v/>
      </c>
      <c r="B4578" s="3">
        <f>IF(D4578="","",IF(V4578=0,"CONCLUÍDO",IF(D4578&lt;corte,"HISTÓRICO",IF(OR(AND(ISNUMBER(R4578),R4578&lt;TODAY()),AND(OR(N4578="PENDENTE",N4578="PARCIAL"),D4578&lt;TODAY()-1)),"CRÍTICO",IF(OR(AND(P4578&lt;&gt;"",S4578=""),AND(N4578="REALIZADO",M4578="PENDENTE"),AND(ISNUMBER(R4578),R4578=TODAY())),"ATENÇÃO",IF(N(K4578)=0,"PENDENTE","EM ANDAMENTO"))))))</f>
        <v/>
      </c>
      <c r="C4578" s="3">
        <f>IF(D4578="","",IF(V4578=0,"🟢 OK",IF(D4578&lt;corte,"⚪ HISTÓRICO (sem baixa)",IF(AND(ISNUMBER(R4578),R4578&lt;TODAY()),"🔴 PRAZO VENCIDO",IF(AND(OR(N4578="PENDENTE",N4578="PARCIAL"),D4578&lt;TODAY()-1),"🔴 EMBARQUE ATRASADO",IF(AND(N4578="REALIZADO",M4578="PENDENTE"),"🟡 EMBARCADO SEM FATURAR",IF(AND(P4578&lt;&gt;"",S4578="",OR(Q4578="",R4578="")),"🟡 PENDÊNCIA SEM RESPONSÁVEL/PRAZO",IF(AND(ISNUMBER(R4578),R4578=TODAY()),"🟡 VENCE HOJE",IF(AND(P4578&lt;&gt;"",S4578=""),"🟡 PENDÊNCIA ABERTA",IF(AND(N(J4578)&gt;0,N(K4578)&lt;J4578),"🟡 FALTA EXECUTAR",IF(OR(M4578="PENDENTE",M4578="PARCIAL"),"🟡 FATURAMENTO PENDENTE","🟡 EMBARQUE PENDENTE")))))))))))</f>
        <v/>
      </c>
      <c r="D4578" s="4" t="n"/>
      <c r="E4578" s="5" t="n"/>
      <c r="F4578" s="5" t="n"/>
      <c r="G4578" s="5" t="n"/>
      <c r="H4578" s="5" t="n"/>
      <c r="I4578" s="5" t="n"/>
      <c r="J4578" s="6" t="n"/>
      <c r="K4578" s="6" t="n"/>
      <c r="L4578" s="7">
        <f>IF(OR(D4578="",N(J4578)=0),"",MIN(1,N(K4578)/J4578))</f>
        <v/>
      </c>
      <c r="M4578" s="5" t="n"/>
      <c r="N4578" s="5" t="n"/>
      <c r="O4578" s="5" t="n"/>
      <c r="P4578" s="5" t="n"/>
      <c r="Q4578" s="5" t="n"/>
      <c r="R4578" s="4" t="n"/>
      <c r="S4578" s="4" t="n"/>
      <c r="T4578" s="5" t="n"/>
      <c r="U4578" s="8">
        <f>IF(AND(V4578=1,D4578&lt;&gt;""),IF(D4578&gt;=corte,TODAY()-D4578,""),"")</f>
        <v/>
      </c>
      <c r="V4578" s="8">
        <f>IF(D4578="",0,IF(OR(AND(P4578&lt;&gt;"",S4578=""),AND(N(J4578)&gt;0,N(K4578)&lt;J4578),OR(M4578="PENDENTE",M4578="PARCIAL"),OR(N4578="PENDENTE",N4578="PARCIAL")),1,0))</f>
        <v/>
      </c>
      <c r="W4578" s="8">
        <f>IF(AND(V4578=1,D4578&lt;&gt;""),IF(D4578&gt;=corte,(B4578="CRÍTICO")*1E9+(100000-D4578)*10000+10000-ROW(),""),"")</f>
        <v/>
      </c>
      <c r="X4578" s="8">
        <f>IF(AND(V4578=1,D4578=pas_data,E4578=pas_turno),10000-ROW(),"")</f>
        <v/>
      </c>
    </row>
    <row r="4579">
      <c r="A4579" s="3">
        <f>IF(D4579="","","TT-"&amp;TEXT(ROW()-1,"00000"))</f>
        <v/>
      </c>
      <c r="B4579" s="3">
        <f>IF(D4579="","",IF(V4579=0,"CONCLUÍDO",IF(D4579&lt;corte,"HISTÓRICO",IF(OR(AND(ISNUMBER(R4579),R4579&lt;TODAY()),AND(OR(N4579="PENDENTE",N4579="PARCIAL"),D4579&lt;TODAY()-1)),"CRÍTICO",IF(OR(AND(P4579&lt;&gt;"",S4579=""),AND(N4579="REALIZADO",M4579="PENDENTE"),AND(ISNUMBER(R4579),R4579=TODAY())),"ATENÇÃO",IF(N(K4579)=0,"PENDENTE","EM ANDAMENTO"))))))</f>
        <v/>
      </c>
      <c r="C4579" s="3">
        <f>IF(D4579="","",IF(V4579=0,"🟢 OK",IF(D4579&lt;corte,"⚪ HISTÓRICO (sem baixa)",IF(AND(ISNUMBER(R4579),R4579&lt;TODAY()),"🔴 PRAZO VENCIDO",IF(AND(OR(N4579="PENDENTE",N4579="PARCIAL"),D4579&lt;TODAY()-1),"🔴 EMBARQUE ATRASADO",IF(AND(N4579="REALIZADO",M4579="PENDENTE"),"🟡 EMBARCADO SEM FATURAR",IF(AND(P4579&lt;&gt;"",S4579="",OR(Q4579="",R4579="")),"🟡 PENDÊNCIA SEM RESPONSÁVEL/PRAZO",IF(AND(ISNUMBER(R4579),R4579=TODAY()),"🟡 VENCE HOJE",IF(AND(P4579&lt;&gt;"",S4579=""),"🟡 PENDÊNCIA ABERTA",IF(AND(N(J4579)&gt;0,N(K4579)&lt;J4579),"🟡 FALTA EXECUTAR",IF(OR(M4579="PENDENTE",M4579="PARCIAL"),"🟡 FATURAMENTO PENDENTE","🟡 EMBARQUE PENDENTE")))))))))))</f>
        <v/>
      </c>
      <c r="D4579" s="4" t="n"/>
      <c r="E4579" s="5" t="n"/>
      <c r="F4579" s="5" t="n"/>
      <c r="G4579" s="5" t="n"/>
      <c r="H4579" s="5" t="n"/>
      <c r="I4579" s="5" t="n"/>
      <c r="J4579" s="6" t="n"/>
      <c r="K4579" s="6" t="n"/>
      <c r="L4579" s="7">
        <f>IF(OR(D4579="",N(J4579)=0),"",MIN(1,N(K4579)/J4579))</f>
        <v/>
      </c>
      <c r="M4579" s="5" t="n"/>
      <c r="N4579" s="5" t="n"/>
      <c r="O4579" s="5" t="n"/>
      <c r="P4579" s="5" t="n"/>
      <c r="Q4579" s="5" t="n"/>
      <c r="R4579" s="4" t="n"/>
      <c r="S4579" s="4" t="n"/>
      <c r="T4579" s="5" t="n"/>
      <c r="U4579" s="8">
        <f>IF(AND(V4579=1,D4579&lt;&gt;""),IF(D4579&gt;=corte,TODAY()-D4579,""),"")</f>
        <v/>
      </c>
      <c r="V4579" s="8">
        <f>IF(D4579="",0,IF(OR(AND(P4579&lt;&gt;"",S4579=""),AND(N(J4579)&gt;0,N(K4579)&lt;J4579),OR(M4579="PENDENTE",M4579="PARCIAL"),OR(N4579="PENDENTE",N4579="PARCIAL")),1,0))</f>
        <v/>
      </c>
      <c r="W4579" s="8">
        <f>IF(AND(V4579=1,D4579&lt;&gt;""),IF(D4579&gt;=corte,(B4579="CRÍTICO")*1E9+(100000-D4579)*10000+10000-ROW(),""),"")</f>
        <v/>
      </c>
      <c r="X4579" s="8">
        <f>IF(AND(V4579=1,D4579=pas_data,E4579=pas_turno),10000-ROW(),"")</f>
        <v/>
      </c>
    </row>
    <row r="4580">
      <c r="A4580" s="3">
        <f>IF(D4580="","","TT-"&amp;TEXT(ROW()-1,"00000"))</f>
        <v/>
      </c>
      <c r="B4580" s="3">
        <f>IF(D4580="","",IF(V4580=0,"CONCLUÍDO",IF(D4580&lt;corte,"HISTÓRICO",IF(OR(AND(ISNUMBER(R4580),R4580&lt;TODAY()),AND(OR(N4580="PENDENTE",N4580="PARCIAL"),D4580&lt;TODAY()-1)),"CRÍTICO",IF(OR(AND(P4580&lt;&gt;"",S4580=""),AND(N4580="REALIZADO",M4580="PENDENTE"),AND(ISNUMBER(R4580),R4580=TODAY())),"ATENÇÃO",IF(N(K4580)=0,"PENDENTE","EM ANDAMENTO"))))))</f>
        <v/>
      </c>
      <c r="C4580" s="3">
        <f>IF(D4580="","",IF(V4580=0,"🟢 OK",IF(D4580&lt;corte,"⚪ HISTÓRICO (sem baixa)",IF(AND(ISNUMBER(R4580),R4580&lt;TODAY()),"🔴 PRAZO VENCIDO",IF(AND(OR(N4580="PENDENTE",N4580="PARCIAL"),D4580&lt;TODAY()-1),"🔴 EMBARQUE ATRASADO",IF(AND(N4580="REALIZADO",M4580="PENDENTE"),"🟡 EMBARCADO SEM FATURAR",IF(AND(P4580&lt;&gt;"",S4580="",OR(Q4580="",R4580="")),"🟡 PENDÊNCIA SEM RESPONSÁVEL/PRAZO",IF(AND(ISNUMBER(R4580),R4580=TODAY()),"🟡 VENCE HOJE",IF(AND(P4580&lt;&gt;"",S4580=""),"🟡 PENDÊNCIA ABERTA",IF(AND(N(J4580)&gt;0,N(K4580)&lt;J4580),"🟡 FALTA EXECUTAR",IF(OR(M4580="PENDENTE",M4580="PARCIAL"),"🟡 FATURAMENTO PENDENTE","🟡 EMBARQUE PENDENTE")))))))))))</f>
        <v/>
      </c>
      <c r="D4580" s="4" t="n"/>
      <c r="E4580" s="5" t="n"/>
      <c r="F4580" s="5" t="n"/>
      <c r="G4580" s="5" t="n"/>
      <c r="H4580" s="5" t="n"/>
      <c r="I4580" s="5" t="n"/>
      <c r="J4580" s="6" t="n"/>
      <c r="K4580" s="6" t="n"/>
      <c r="L4580" s="7">
        <f>IF(OR(D4580="",N(J4580)=0),"",MIN(1,N(K4580)/J4580))</f>
        <v/>
      </c>
      <c r="M4580" s="5" t="n"/>
      <c r="N4580" s="5" t="n"/>
      <c r="O4580" s="5" t="n"/>
      <c r="P4580" s="5" t="n"/>
      <c r="Q4580" s="5" t="n"/>
      <c r="R4580" s="4" t="n"/>
      <c r="S4580" s="4" t="n"/>
      <c r="T4580" s="5" t="n"/>
      <c r="U4580" s="8">
        <f>IF(AND(V4580=1,D4580&lt;&gt;""),IF(D4580&gt;=corte,TODAY()-D4580,""),"")</f>
        <v/>
      </c>
      <c r="V4580" s="8">
        <f>IF(D4580="",0,IF(OR(AND(P4580&lt;&gt;"",S4580=""),AND(N(J4580)&gt;0,N(K4580)&lt;J4580),OR(M4580="PENDENTE",M4580="PARCIAL"),OR(N4580="PENDENTE",N4580="PARCIAL")),1,0))</f>
        <v/>
      </c>
      <c r="W4580" s="8">
        <f>IF(AND(V4580=1,D4580&lt;&gt;""),IF(D4580&gt;=corte,(B4580="CRÍTICO")*1E9+(100000-D4580)*10000+10000-ROW(),""),"")</f>
        <v/>
      </c>
      <c r="X4580" s="8">
        <f>IF(AND(V4580=1,D4580=pas_data,E4580=pas_turno),10000-ROW(),"")</f>
        <v/>
      </c>
    </row>
    <row r="4581">
      <c r="A4581" s="3">
        <f>IF(D4581="","","TT-"&amp;TEXT(ROW()-1,"00000"))</f>
        <v/>
      </c>
      <c r="B4581" s="3">
        <f>IF(D4581="","",IF(V4581=0,"CONCLUÍDO",IF(D4581&lt;corte,"HISTÓRICO",IF(OR(AND(ISNUMBER(R4581),R4581&lt;TODAY()),AND(OR(N4581="PENDENTE",N4581="PARCIAL"),D4581&lt;TODAY()-1)),"CRÍTICO",IF(OR(AND(P4581&lt;&gt;"",S4581=""),AND(N4581="REALIZADO",M4581="PENDENTE"),AND(ISNUMBER(R4581),R4581=TODAY())),"ATENÇÃO",IF(N(K4581)=0,"PENDENTE","EM ANDAMENTO"))))))</f>
        <v/>
      </c>
      <c r="C4581" s="3">
        <f>IF(D4581="","",IF(V4581=0,"🟢 OK",IF(D4581&lt;corte,"⚪ HISTÓRICO (sem baixa)",IF(AND(ISNUMBER(R4581),R4581&lt;TODAY()),"🔴 PRAZO VENCIDO",IF(AND(OR(N4581="PENDENTE",N4581="PARCIAL"),D4581&lt;TODAY()-1),"🔴 EMBARQUE ATRASADO",IF(AND(N4581="REALIZADO",M4581="PENDENTE"),"🟡 EMBARCADO SEM FATURAR",IF(AND(P4581&lt;&gt;"",S4581="",OR(Q4581="",R4581="")),"🟡 PENDÊNCIA SEM RESPONSÁVEL/PRAZO",IF(AND(ISNUMBER(R4581),R4581=TODAY()),"🟡 VENCE HOJE",IF(AND(P4581&lt;&gt;"",S4581=""),"🟡 PENDÊNCIA ABERTA",IF(AND(N(J4581)&gt;0,N(K4581)&lt;J4581),"🟡 FALTA EXECUTAR",IF(OR(M4581="PENDENTE",M4581="PARCIAL"),"🟡 FATURAMENTO PENDENTE","🟡 EMBARQUE PENDENTE")))))))))))</f>
        <v/>
      </c>
      <c r="D4581" s="4" t="n"/>
      <c r="E4581" s="5" t="n"/>
      <c r="F4581" s="5" t="n"/>
      <c r="G4581" s="5" t="n"/>
      <c r="H4581" s="5" t="n"/>
      <c r="I4581" s="5" t="n"/>
      <c r="J4581" s="6" t="n"/>
      <c r="K4581" s="6" t="n"/>
      <c r="L4581" s="7">
        <f>IF(OR(D4581="",N(J4581)=0),"",MIN(1,N(K4581)/J4581))</f>
        <v/>
      </c>
      <c r="M4581" s="5" t="n"/>
      <c r="N4581" s="5" t="n"/>
      <c r="O4581" s="5" t="n"/>
      <c r="P4581" s="5" t="n"/>
      <c r="Q4581" s="5" t="n"/>
      <c r="R4581" s="4" t="n"/>
      <c r="S4581" s="4" t="n"/>
      <c r="T4581" s="5" t="n"/>
      <c r="U4581" s="8">
        <f>IF(AND(V4581=1,D4581&lt;&gt;""),IF(D4581&gt;=corte,TODAY()-D4581,""),"")</f>
        <v/>
      </c>
      <c r="V4581" s="8">
        <f>IF(D4581="",0,IF(OR(AND(P4581&lt;&gt;"",S4581=""),AND(N(J4581)&gt;0,N(K4581)&lt;J4581),OR(M4581="PENDENTE",M4581="PARCIAL"),OR(N4581="PENDENTE",N4581="PARCIAL")),1,0))</f>
        <v/>
      </c>
      <c r="W4581" s="8">
        <f>IF(AND(V4581=1,D4581&lt;&gt;""),IF(D4581&gt;=corte,(B4581="CRÍTICO")*1E9+(100000-D4581)*10000+10000-ROW(),""),"")</f>
        <v/>
      </c>
      <c r="X4581" s="8">
        <f>IF(AND(V4581=1,D4581=pas_data,E4581=pas_turno),10000-ROW(),"")</f>
        <v/>
      </c>
    </row>
    <row r="4582">
      <c r="A4582" s="3">
        <f>IF(D4582="","","TT-"&amp;TEXT(ROW()-1,"00000"))</f>
        <v/>
      </c>
      <c r="B4582" s="3">
        <f>IF(D4582="","",IF(V4582=0,"CONCLUÍDO",IF(D4582&lt;corte,"HISTÓRICO",IF(OR(AND(ISNUMBER(R4582),R4582&lt;TODAY()),AND(OR(N4582="PENDENTE",N4582="PARCIAL"),D4582&lt;TODAY()-1)),"CRÍTICO",IF(OR(AND(P4582&lt;&gt;"",S4582=""),AND(N4582="REALIZADO",M4582="PENDENTE"),AND(ISNUMBER(R4582),R4582=TODAY())),"ATENÇÃO",IF(N(K4582)=0,"PENDENTE","EM ANDAMENTO"))))))</f>
        <v/>
      </c>
      <c r="C4582" s="3">
        <f>IF(D4582="","",IF(V4582=0,"🟢 OK",IF(D4582&lt;corte,"⚪ HISTÓRICO (sem baixa)",IF(AND(ISNUMBER(R4582),R4582&lt;TODAY()),"🔴 PRAZO VENCIDO",IF(AND(OR(N4582="PENDENTE",N4582="PARCIAL"),D4582&lt;TODAY()-1),"🔴 EMBARQUE ATRASADO",IF(AND(N4582="REALIZADO",M4582="PENDENTE"),"🟡 EMBARCADO SEM FATURAR",IF(AND(P4582&lt;&gt;"",S4582="",OR(Q4582="",R4582="")),"🟡 PENDÊNCIA SEM RESPONSÁVEL/PRAZO",IF(AND(ISNUMBER(R4582),R4582=TODAY()),"🟡 VENCE HOJE",IF(AND(P4582&lt;&gt;"",S4582=""),"🟡 PENDÊNCIA ABERTA",IF(AND(N(J4582)&gt;0,N(K4582)&lt;J4582),"🟡 FALTA EXECUTAR",IF(OR(M4582="PENDENTE",M4582="PARCIAL"),"🟡 FATURAMENTO PENDENTE","🟡 EMBARQUE PENDENTE")))))))))))</f>
        <v/>
      </c>
      <c r="D4582" s="4" t="n"/>
      <c r="E4582" s="5" t="n"/>
      <c r="F4582" s="5" t="n"/>
      <c r="G4582" s="5" t="n"/>
      <c r="H4582" s="5" t="n"/>
      <c r="I4582" s="5" t="n"/>
      <c r="J4582" s="6" t="n"/>
      <c r="K4582" s="6" t="n"/>
      <c r="L4582" s="7">
        <f>IF(OR(D4582="",N(J4582)=0),"",MIN(1,N(K4582)/J4582))</f>
        <v/>
      </c>
      <c r="M4582" s="5" t="n"/>
      <c r="N4582" s="5" t="n"/>
      <c r="O4582" s="5" t="n"/>
      <c r="P4582" s="5" t="n"/>
      <c r="Q4582" s="5" t="n"/>
      <c r="R4582" s="4" t="n"/>
      <c r="S4582" s="4" t="n"/>
      <c r="T4582" s="5" t="n"/>
      <c r="U4582" s="8">
        <f>IF(AND(V4582=1,D4582&lt;&gt;""),IF(D4582&gt;=corte,TODAY()-D4582,""),"")</f>
        <v/>
      </c>
      <c r="V4582" s="8">
        <f>IF(D4582="",0,IF(OR(AND(P4582&lt;&gt;"",S4582=""),AND(N(J4582)&gt;0,N(K4582)&lt;J4582),OR(M4582="PENDENTE",M4582="PARCIAL"),OR(N4582="PENDENTE",N4582="PARCIAL")),1,0))</f>
        <v/>
      </c>
      <c r="W4582" s="8">
        <f>IF(AND(V4582=1,D4582&lt;&gt;""),IF(D4582&gt;=corte,(B4582="CRÍTICO")*1E9+(100000-D4582)*10000+10000-ROW(),""),"")</f>
        <v/>
      </c>
      <c r="X4582" s="8">
        <f>IF(AND(V4582=1,D4582=pas_data,E4582=pas_turno),10000-ROW(),"")</f>
        <v/>
      </c>
    </row>
    <row r="4583">
      <c r="A4583" s="3">
        <f>IF(D4583="","","TT-"&amp;TEXT(ROW()-1,"00000"))</f>
        <v/>
      </c>
      <c r="B4583" s="3">
        <f>IF(D4583="","",IF(V4583=0,"CONCLUÍDO",IF(D4583&lt;corte,"HISTÓRICO",IF(OR(AND(ISNUMBER(R4583),R4583&lt;TODAY()),AND(OR(N4583="PENDENTE",N4583="PARCIAL"),D4583&lt;TODAY()-1)),"CRÍTICO",IF(OR(AND(P4583&lt;&gt;"",S4583=""),AND(N4583="REALIZADO",M4583="PENDENTE"),AND(ISNUMBER(R4583),R4583=TODAY())),"ATENÇÃO",IF(N(K4583)=0,"PENDENTE","EM ANDAMENTO"))))))</f>
        <v/>
      </c>
      <c r="C4583" s="3">
        <f>IF(D4583="","",IF(V4583=0,"🟢 OK",IF(D4583&lt;corte,"⚪ HISTÓRICO (sem baixa)",IF(AND(ISNUMBER(R4583),R4583&lt;TODAY()),"🔴 PRAZO VENCIDO",IF(AND(OR(N4583="PENDENTE",N4583="PARCIAL"),D4583&lt;TODAY()-1),"🔴 EMBARQUE ATRASADO",IF(AND(N4583="REALIZADO",M4583="PENDENTE"),"🟡 EMBARCADO SEM FATURAR",IF(AND(P4583&lt;&gt;"",S4583="",OR(Q4583="",R4583="")),"🟡 PENDÊNCIA SEM RESPONSÁVEL/PRAZO",IF(AND(ISNUMBER(R4583),R4583=TODAY()),"🟡 VENCE HOJE",IF(AND(P4583&lt;&gt;"",S4583=""),"🟡 PENDÊNCIA ABERTA",IF(AND(N(J4583)&gt;0,N(K4583)&lt;J4583),"🟡 FALTA EXECUTAR",IF(OR(M4583="PENDENTE",M4583="PARCIAL"),"🟡 FATURAMENTO PENDENTE","🟡 EMBARQUE PENDENTE")))))))))))</f>
        <v/>
      </c>
      <c r="D4583" s="4" t="n"/>
      <c r="E4583" s="5" t="n"/>
      <c r="F4583" s="5" t="n"/>
      <c r="G4583" s="5" t="n"/>
      <c r="H4583" s="5" t="n"/>
      <c r="I4583" s="5" t="n"/>
      <c r="J4583" s="6" t="n"/>
      <c r="K4583" s="6" t="n"/>
      <c r="L4583" s="7">
        <f>IF(OR(D4583="",N(J4583)=0),"",MIN(1,N(K4583)/J4583))</f>
        <v/>
      </c>
      <c r="M4583" s="5" t="n"/>
      <c r="N4583" s="5" t="n"/>
      <c r="O4583" s="5" t="n"/>
      <c r="P4583" s="5" t="n"/>
      <c r="Q4583" s="5" t="n"/>
      <c r="R4583" s="4" t="n"/>
      <c r="S4583" s="4" t="n"/>
      <c r="T4583" s="5" t="n"/>
      <c r="U4583" s="8">
        <f>IF(AND(V4583=1,D4583&lt;&gt;""),IF(D4583&gt;=corte,TODAY()-D4583,""),"")</f>
        <v/>
      </c>
      <c r="V4583" s="8">
        <f>IF(D4583="",0,IF(OR(AND(P4583&lt;&gt;"",S4583=""),AND(N(J4583)&gt;0,N(K4583)&lt;J4583),OR(M4583="PENDENTE",M4583="PARCIAL"),OR(N4583="PENDENTE",N4583="PARCIAL")),1,0))</f>
        <v/>
      </c>
      <c r="W4583" s="8">
        <f>IF(AND(V4583=1,D4583&lt;&gt;""),IF(D4583&gt;=corte,(B4583="CRÍTICO")*1E9+(100000-D4583)*10000+10000-ROW(),""),"")</f>
        <v/>
      </c>
      <c r="X4583" s="8">
        <f>IF(AND(V4583=1,D4583=pas_data,E4583=pas_turno),10000-ROW(),"")</f>
        <v/>
      </c>
    </row>
    <row r="4584">
      <c r="A4584" s="3">
        <f>IF(D4584="","","TT-"&amp;TEXT(ROW()-1,"00000"))</f>
        <v/>
      </c>
      <c r="B4584" s="3">
        <f>IF(D4584="","",IF(V4584=0,"CONCLUÍDO",IF(D4584&lt;corte,"HISTÓRICO",IF(OR(AND(ISNUMBER(R4584),R4584&lt;TODAY()),AND(OR(N4584="PENDENTE",N4584="PARCIAL"),D4584&lt;TODAY()-1)),"CRÍTICO",IF(OR(AND(P4584&lt;&gt;"",S4584=""),AND(N4584="REALIZADO",M4584="PENDENTE"),AND(ISNUMBER(R4584),R4584=TODAY())),"ATENÇÃO",IF(N(K4584)=0,"PENDENTE","EM ANDAMENTO"))))))</f>
        <v/>
      </c>
      <c r="C4584" s="3">
        <f>IF(D4584="","",IF(V4584=0,"🟢 OK",IF(D4584&lt;corte,"⚪ HISTÓRICO (sem baixa)",IF(AND(ISNUMBER(R4584),R4584&lt;TODAY()),"🔴 PRAZO VENCIDO",IF(AND(OR(N4584="PENDENTE",N4584="PARCIAL"),D4584&lt;TODAY()-1),"🔴 EMBARQUE ATRASADO",IF(AND(N4584="REALIZADO",M4584="PENDENTE"),"🟡 EMBARCADO SEM FATURAR",IF(AND(P4584&lt;&gt;"",S4584="",OR(Q4584="",R4584="")),"🟡 PENDÊNCIA SEM RESPONSÁVEL/PRAZO",IF(AND(ISNUMBER(R4584),R4584=TODAY()),"🟡 VENCE HOJE",IF(AND(P4584&lt;&gt;"",S4584=""),"🟡 PENDÊNCIA ABERTA",IF(AND(N(J4584)&gt;0,N(K4584)&lt;J4584),"🟡 FALTA EXECUTAR",IF(OR(M4584="PENDENTE",M4584="PARCIAL"),"🟡 FATURAMENTO PENDENTE","🟡 EMBARQUE PENDENTE")))))))))))</f>
        <v/>
      </c>
      <c r="D4584" s="4" t="n"/>
      <c r="E4584" s="5" t="n"/>
      <c r="F4584" s="5" t="n"/>
      <c r="G4584" s="5" t="n"/>
      <c r="H4584" s="5" t="n"/>
      <c r="I4584" s="5" t="n"/>
      <c r="J4584" s="6" t="n"/>
      <c r="K4584" s="6" t="n"/>
      <c r="L4584" s="7">
        <f>IF(OR(D4584="",N(J4584)=0),"",MIN(1,N(K4584)/J4584))</f>
        <v/>
      </c>
      <c r="M4584" s="5" t="n"/>
      <c r="N4584" s="5" t="n"/>
      <c r="O4584" s="5" t="n"/>
      <c r="P4584" s="5" t="n"/>
      <c r="Q4584" s="5" t="n"/>
      <c r="R4584" s="4" t="n"/>
      <c r="S4584" s="4" t="n"/>
      <c r="T4584" s="5" t="n"/>
      <c r="U4584" s="8">
        <f>IF(AND(V4584=1,D4584&lt;&gt;""),IF(D4584&gt;=corte,TODAY()-D4584,""),"")</f>
        <v/>
      </c>
      <c r="V4584" s="8">
        <f>IF(D4584="",0,IF(OR(AND(P4584&lt;&gt;"",S4584=""),AND(N(J4584)&gt;0,N(K4584)&lt;J4584),OR(M4584="PENDENTE",M4584="PARCIAL"),OR(N4584="PENDENTE",N4584="PARCIAL")),1,0))</f>
        <v/>
      </c>
      <c r="W4584" s="8">
        <f>IF(AND(V4584=1,D4584&lt;&gt;""),IF(D4584&gt;=corte,(B4584="CRÍTICO")*1E9+(100000-D4584)*10000+10000-ROW(),""),"")</f>
        <v/>
      </c>
      <c r="X4584" s="8">
        <f>IF(AND(V4584=1,D4584=pas_data,E4584=pas_turno),10000-ROW(),"")</f>
        <v/>
      </c>
    </row>
    <row r="4585">
      <c r="A4585" s="3">
        <f>IF(D4585="","","TT-"&amp;TEXT(ROW()-1,"00000"))</f>
        <v/>
      </c>
      <c r="B4585" s="3">
        <f>IF(D4585="","",IF(V4585=0,"CONCLUÍDO",IF(D4585&lt;corte,"HISTÓRICO",IF(OR(AND(ISNUMBER(R4585),R4585&lt;TODAY()),AND(OR(N4585="PENDENTE",N4585="PARCIAL"),D4585&lt;TODAY()-1)),"CRÍTICO",IF(OR(AND(P4585&lt;&gt;"",S4585=""),AND(N4585="REALIZADO",M4585="PENDENTE"),AND(ISNUMBER(R4585),R4585=TODAY())),"ATENÇÃO",IF(N(K4585)=0,"PENDENTE","EM ANDAMENTO"))))))</f>
        <v/>
      </c>
      <c r="C4585" s="3">
        <f>IF(D4585="","",IF(V4585=0,"🟢 OK",IF(D4585&lt;corte,"⚪ HISTÓRICO (sem baixa)",IF(AND(ISNUMBER(R4585),R4585&lt;TODAY()),"🔴 PRAZO VENCIDO",IF(AND(OR(N4585="PENDENTE",N4585="PARCIAL"),D4585&lt;TODAY()-1),"🔴 EMBARQUE ATRASADO",IF(AND(N4585="REALIZADO",M4585="PENDENTE"),"🟡 EMBARCADO SEM FATURAR",IF(AND(P4585&lt;&gt;"",S4585="",OR(Q4585="",R4585="")),"🟡 PENDÊNCIA SEM RESPONSÁVEL/PRAZO",IF(AND(ISNUMBER(R4585),R4585=TODAY()),"🟡 VENCE HOJE",IF(AND(P4585&lt;&gt;"",S4585=""),"🟡 PENDÊNCIA ABERTA",IF(AND(N(J4585)&gt;0,N(K4585)&lt;J4585),"🟡 FALTA EXECUTAR",IF(OR(M4585="PENDENTE",M4585="PARCIAL"),"🟡 FATURAMENTO PENDENTE","🟡 EMBARQUE PENDENTE")))))))))))</f>
        <v/>
      </c>
      <c r="D4585" s="4" t="n"/>
      <c r="E4585" s="5" t="n"/>
      <c r="F4585" s="5" t="n"/>
      <c r="G4585" s="5" t="n"/>
      <c r="H4585" s="5" t="n"/>
      <c r="I4585" s="5" t="n"/>
      <c r="J4585" s="6" t="n"/>
      <c r="K4585" s="6" t="n"/>
      <c r="L4585" s="7">
        <f>IF(OR(D4585="",N(J4585)=0),"",MIN(1,N(K4585)/J4585))</f>
        <v/>
      </c>
      <c r="M4585" s="5" t="n"/>
      <c r="N4585" s="5" t="n"/>
      <c r="O4585" s="5" t="n"/>
      <c r="P4585" s="5" t="n"/>
      <c r="Q4585" s="5" t="n"/>
      <c r="R4585" s="4" t="n"/>
      <c r="S4585" s="4" t="n"/>
      <c r="T4585" s="5" t="n"/>
      <c r="U4585" s="8">
        <f>IF(AND(V4585=1,D4585&lt;&gt;""),IF(D4585&gt;=corte,TODAY()-D4585,""),"")</f>
        <v/>
      </c>
      <c r="V4585" s="8">
        <f>IF(D4585="",0,IF(OR(AND(P4585&lt;&gt;"",S4585=""),AND(N(J4585)&gt;0,N(K4585)&lt;J4585),OR(M4585="PENDENTE",M4585="PARCIAL"),OR(N4585="PENDENTE",N4585="PARCIAL")),1,0))</f>
        <v/>
      </c>
      <c r="W4585" s="8">
        <f>IF(AND(V4585=1,D4585&lt;&gt;""),IF(D4585&gt;=corte,(B4585="CRÍTICO")*1E9+(100000-D4585)*10000+10000-ROW(),""),"")</f>
        <v/>
      </c>
      <c r="X4585" s="8">
        <f>IF(AND(V4585=1,D4585=pas_data,E4585=pas_turno),10000-ROW(),"")</f>
        <v/>
      </c>
    </row>
    <row r="4586">
      <c r="A4586" s="3">
        <f>IF(D4586="","","TT-"&amp;TEXT(ROW()-1,"00000"))</f>
        <v/>
      </c>
      <c r="B4586" s="3">
        <f>IF(D4586="","",IF(V4586=0,"CONCLUÍDO",IF(D4586&lt;corte,"HISTÓRICO",IF(OR(AND(ISNUMBER(R4586),R4586&lt;TODAY()),AND(OR(N4586="PENDENTE",N4586="PARCIAL"),D4586&lt;TODAY()-1)),"CRÍTICO",IF(OR(AND(P4586&lt;&gt;"",S4586=""),AND(N4586="REALIZADO",M4586="PENDENTE"),AND(ISNUMBER(R4586),R4586=TODAY())),"ATENÇÃO",IF(N(K4586)=0,"PENDENTE","EM ANDAMENTO"))))))</f>
        <v/>
      </c>
      <c r="C4586" s="3">
        <f>IF(D4586="","",IF(V4586=0,"🟢 OK",IF(D4586&lt;corte,"⚪ HISTÓRICO (sem baixa)",IF(AND(ISNUMBER(R4586),R4586&lt;TODAY()),"🔴 PRAZO VENCIDO",IF(AND(OR(N4586="PENDENTE",N4586="PARCIAL"),D4586&lt;TODAY()-1),"🔴 EMBARQUE ATRASADO",IF(AND(N4586="REALIZADO",M4586="PENDENTE"),"🟡 EMBARCADO SEM FATURAR",IF(AND(P4586&lt;&gt;"",S4586="",OR(Q4586="",R4586="")),"🟡 PENDÊNCIA SEM RESPONSÁVEL/PRAZO",IF(AND(ISNUMBER(R4586),R4586=TODAY()),"🟡 VENCE HOJE",IF(AND(P4586&lt;&gt;"",S4586=""),"🟡 PENDÊNCIA ABERTA",IF(AND(N(J4586)&gt;0,N(K4586)&lt;J4586),"🟡 FALTA EXECUTAR",IF(OR(M4586="PENDENTE",M4586="PARCIAL"),"🟡 FATURAMENTO PENDENTE","🟡 EMBARQUE PENDENTE")))))))))))</f>
        <v/>
      </c>
      <c r="D4586" s="4" t="n"/>
      <c r="E4586" s="5" t="n"/>
      <c r="F4586" s="5" t="n"/>
      <c r="G4586" s="5" t="n"/>
      <c r="H4586" s="5" t="n"/>
      <c r="I4586" s="5" t="n"/>
      <c r="J4586" s="6" t="n"/>
      <c r="K4586" s="6" t="n"/>
      <c r="L4586" s="7">
        <f>IF(OR(D4586="",N(J4586)=0),"",MIN(1,N(K4586)/J4586))</f>
        <v/>
      </c>
      <c r="M4586" s="5" t="n"/>
      <c r="N4586" s="5" t="n"/>
      <c r="O4586" s="5" t="n"/>
      <c r="P4586" s="5" t="n"/>
      <c r="Q4586" s="5" t="n"/>
      <c r="R4586" s="4" t="n"/>
      <c r="S4586" s="4" t="n"/>
      <c r="T4586" s="5" t="n"/>
      <c r="U4586" s="8">
        <f>IF(AND(V4586=1,D4586&lt;&gt;""),IF(D4586&gt;=corte,TODAY()-D4586,""),"")</f>
        <v/>
      </c>
      <c r="V4586" s="8">
        <f>IF(D4586="",0,IF(OR(AND(P4586&lt;&gt;"",S4586=""),AND(N(J4586)&gt;0,N(K4586)&lt;J4586),OR(M4586="PENDENTE",M4586="PARCIAL"),OR(N4586="PENDENTE",N4586="PARCIAL")),1,0))</f>
        <v/>
      </c>
      <c r="W4586" s="8">
        <f>IF(AND(V4586=1,D4586&lt;&gt;""),IF(D4586&gt;=corte,(B4586="CRÍTICO")*1E9+(100000-D4586)*10000+10000-ROW(),""),"")</f>
        <v/>
      </c>
      <c r="X4586" s="8">
        <f>IF(AND(V4586=1,D4586=pas_data,E4586=pas_turno),10000-ROW(),"")</f>
        <v/>
      </c>
    </row>
    <row r="4587">
      <c r="A4587" s="3">
        <f>IF(D4587="","","TT-"&amp;TEXT(ROW()-1,"00000"))</f>
        <v/>
      </c>
      <c r="B4587" s="3">
        <f>IF(D4587="","",IF(V4587=0,"CONCLUÍDO",IF(D4587&lt;corte,"HISTÓRICO",IF(OR(AND(ISNUMBER(R4587),R4587&lt;TODAY()),AND(OR(N4587="PENDENTE",N4587="PARCIAL"),D4587&lt;TODAY()-1)),"CRÍTICO",IF(OR(AND(P4587&lt;&gt;"",S4587=""),AND(N4587="REALIZADO",M4587="PENDENTE"),AND(ISNUMBER(R4587),R4587=TODAY())),"ATENÇÃO",IF(N(K4587)=0,"PENDENTE","EM ANDAMENTO"))))))</f>
        <v/>
      </c>
      <c r="C4587" s="3">
        <f>IF(D4587="","",IF(V4587=0,"🟢 OK",IF(D4587&lt;corte,"⚪ HISTÓRICO (sem baixa)",IF(AND(ISNUMBER(R4587),R4587&lt;TODAY()),"🔴 PRAZO VENCIDO",IF(AND(OR(N4587="PENDENTE",N4587="PARCIAL"),D4587&lt;TODAY()-1),"🔴 EMBARQUE ATRASADO",IF(AND(N4587="REALIZADO",M4587="PENDENTE"),"🟡 EMBARCADO SEM FATURAR",IF(AND(P4587&lt;&gt;"",S4587="",OR(Q4587="",R4587="")),"🟡 PENDÊNCIA SEM RESPONSÁVEL/PRAZO",IF(AND(ISNUMBER(R4587),R4587=TODAY()),"🟡 VENCE HOJE",IF(AND(P4587&lt;&gt;"",S4587=""),"🟡 PENDÊNCIA ABERTA",IF(AND(N(J4587)&gt;0,N(K4587)&lt;J4587),"🟡 FALTA EXECUTAR",IF(OR(M4587="PENDENTE",M4587="PARCIAL"),"🟡 FATURAMENTO PENDENTE","🟡 EMBARQUE PENDENTE")))))))))))</f>
        <v/>
      </c>
      <c r="D4587" s="4" t="n"/>
      <c r="E4587" s="5" t="n"/>
      <c r="F4587" s="5" t="n"/>
      <c r="G4587" s="5" t="n"/>
      <c r="H4587" s="5" t="n"/>
      <c r="I4587" s="5" t="n"/>
      <c r="J4587" s="6" t="n"/>
      <c r="K4587" s="6" t="n"/>
      <c r="L4587" s="7">
        <f>IF(OR(D4587="",N(J4587)=0),"",MIN(1,N(K4587)/J4587))</f>
        <v/>
      </c>
      <c r="M4587" s="5" t="n"/>
      <c r="N4587" s="5" t="n"/>
      <c r="O4587" s="5" t="n"/>
      <c r="P4587" s="5" t="n"/>
      <c r="Q4587" s="5" t="n"/>
      <c r="R4587" s="4" t="n"/>
      <c r="S4587" s="4" t="n"/>
      <c r="T4587" s="5" t="n"/>
      <c r="U4587" s="8">
        <f>IF(AND(V4587=1,D4587&lt;&gt;""),IF(D4587&gt;=corte,TODAY()-D4587,""),"")</f>
        <v/>
      </c>
      <c r="V4587" s="8">
        <f>IF(D4587="",0,IF(OR(AND(P4587&lt;&gt;"",S4587=""),AND(N(J4587)&gt;0,N(K4587)&lt;J4587),OR(M4587="PENDENTE",M4587="PARCIAL"),OR(N4587="PENDENTE",N4587="PARCIAL")),1,0))</f>
        <v/>
      </c>
      <c r="W4587" s="8">
        <f>IF(AND(V4587=1,D4587&lt;&gt;""),IF(D4587&gt;=corte,(B4587="CRÍTICO")*1E9+(100000-D4587)*10000+10000-ROW(),""),"")</f>
        <v/>
      </c>
      <c r="X4587" s="8">
        <f>IF(AND(V4587=1,D4587=pas_data,E4587=pas_turno),10000-ROW(),"")</f>
        <v/>
      </c>
    </row>
    <row r="4588">
      <c r="A4588" s="3">
        <f>IF(D4588="","","TT-"&amp;TEXT(ROW()-1,"00000"))</f>
        <v/>
      </c>
      <c r="B4588" s="3">
        <f>IF(D4588="","",IF(V4588=0,"CONCLUÍDO",IF(D4588&lt;corte,"HISTÓRICO",IF(OR(AND(ISNUMBER(R4588),R4588&lt;TODAY()),AND(OR(N4588="PENDENTE",N4588="PARCIAL"),D4588&lt;TODAY()-1)),"CRÍTICO",IF(OR(AND(P4588&lt;&gt;"",S4588=""),AND(N4588="REALIZADO",M4588="PENDENTE"),AND(ISNUMBER(R4588),R4588=TODAY())),"ATENÇÃO",IF(N(K4588)=0,"PENDENTE","EM ANDAMENTO"))))))</f>
        <v/>
      </c>
      <c r="C4588" s="3">
        <f>IF(D4588="","",IF(V4588=0,"🟢 OK",IF(D4588&lt;corte,"⚪ HISTÓRICO (sem baixa)",IF(AND(ISNUMBER(R4588),R4588&lt;TODAY()),"🔴 PRAZO VENCIDO",IF(AND(OR(N4588="PENDENTE",N4588="PARCIAL"),D4588&lt;TODAY()-1),"🔴 EMBARQUE ATRASADO",IF(AND(N4588="REALIZADO",M4588="PENDENTE"),"🟡 EMBARCADO SEM FATURAR",IF(AND(P4588&lt;&gt;"",S4588="",OR(Q4588="",R4588="")),"🟡 PENDÊNCIA SEM RESPONSÁVEL/PRAZO",IF(AND(ISNUMBER(R4588),R4588=TODAY()),"🟡 VENCE HOJE",IF(AND(P4588&lt;&gt;"",S4588=""),"🟡 PENDÊNCIA ABERTA",IF(AND(N(J4588)&gt;0,N(K4588)&lt;J4588),"🟡 FALTA EXECUTAR",IF(OR(M4588="PENDENTE",M4588="PARCIAL"),"🟡 FATURAMENTO PENDENTE","🟡 EMBARQUE PENDENTE")))))))))))</f>
        <v/>
      </c>
      <c r="D4588" s="4" t="n"/>
      <c r="E4588" s="5" t="n"/>
      <c r="F4588" s="5" t="n"/>
      <c r="G4588" s="5" t="n"/>
      <c r="H4588" s="5" t="n"/>
      <c r="I4588" s="5" t="n"/>
      <c r="J4588" s="6" t="n"/>
      <c r="K4588" s="6" t="n"/>
      <c r="L4588" s="7">
        <f>IF(OR(D4588="",N(J4588)=0),"",MIN(1,N(K4588)/J4588))</f>
        <v/>
      </c>
      <c r="M4588" s="5" t="n"/>
      <c r="N4588" s="5" t="n"/>
      <c r="O4588" s="5" t="n"/>
      <c r="P4588" s="5" t="n"/>
      <c r="Q4588" s="5" t="n"/>
      <c r="R4588" s="4" t="n"/>
      <c r="S4588" s="4" t="n"/>
      <c r="T4588" s="5" t="n"/>
      <c r="U4588" s="8">
        <f>IF(AND(V4588=1,D4588&lt;&gt;""),IF(D4588&gt;=corte,TODAY()-D4588,""),"")</f>
        <v/>
      </c>
      <c r="V4588" s="8">
        <f>IF(D4588="",0,IF(OR(AND(P4588&lt;&gt;"",S4588=""),AND(N(J4588)&gt;0,N(K4588)&lt;J4588),OR(M4588="PENDENTE",M4588="PARCIAL"),OR(N4588="PENDENTE",N4588="PARCIAL")),1,0))</f>
        <v/>
      </c>
      <c r="W4588" s="8">
        <f>IF(AND(V4588=1,D4588&lt;&gt;""),IF(D4588&gt;=corte,(B4588="CRÍTICO")*1E9+(100000-D4588)*10000+10000-ROW(),""),"")</f>
        <v/>
      </c>
      <c r="X4588" s="8">
        <f>IF(AND(V4588=1,D4588=pas_data,E4588=pas_turno),10000-ROW(),"")</f>
        <v/>
      </c>
    </row>
    <row r="4589">
      <c r="A4589" s="3">
        <f>IF(D4589="","","TT-"&amp;TEXT(ROW()-1,"00000"))</f>
        <v/>
      </c>
      <c r="B4589" s="3">
        <f>IF(D4589="","",IF(V4589=0,"CONCLUÍDO",IF(D4589&lt;corte,"HISTÓRICO",IF(OR(AND(ISNUMBER(R4589),R4589&lt;TODAY()),AND(OR(N4589="PENDENTE",N4589="PARCIAL"),D4589&lt;TODAY()-1)),"CRÍTICO",IF(OR(AND(P4589&lt;&gt;"",S4589=""),AND(N4589="REALIZADO",M4589="PENDENTE"),AND(ISNUMBER(R4589),R4589=TODAY())),"ATENÇÃO",IF(N(K4589)=0,"PENDENTE","EM ANDAMENTO"))))))</f>
        <v/>
      </c>
      <c r="C4589" s="3">
        <f>IF(D4589="","",IF(V4589=0,"🟢 OK",IF(D4589&lt;corte,"⚪ HISTÓRICO (sem baixa)",IF(AND(ISNUMBER(R4589),R4589&lt;TODAY()),"🔴 PRAZO VENCIDO",IF(AND(OR(N4589="PENDENTE",N4589="PARCIAL"),D4589&lt;TODAY()-1),"🔴 EMBARQUE ATRASADO",IF(AND(N4589="REALIZADO",M4589="PENDENTE"),"🟡 EMBARCADO SEM FATURAR",IF(AND(P4589&lt;&gt;"",S4589="",OR(Q4589="",R4589="")),"🟡 PENDÊNCIA SEM RESPONSÁVEL/PRAZO",IF(AND(ISNUMBER(R4589),R4589=TODAY()),"🟡 VENCE HOJE",IF(AND(P4589&lt;&gt;"",S4589=""),"🟡 PENDÊNCIA ABERTA",IF(AND(N(J4589)&gt;0,N(K4589)&lt;J4589),"🟡 FALTA EXECUTAR",IF(OR(M4589="PENDENTE",M4589="PARCIAL"),"🟡 FATURAMENTO PENDENTE","🟡 EMBARQUE PENDENTE")))))))))))</f>
        <v/>
      </c>
      <c r="D4589" s="4" t="n"/>
      <c r="E4589" s="5" t="n"/>
      <c r="F4589" s="5" t="n"/>
      <c r="G4589" s="5" t="n"/>
      <c r="H4589" s="5" t="n"/>
      <c r="I4589" s="5" t="n"/>
      <c r="J4589" s="6" t="n"/>
      <c r="K4589" s="6" t="n"/>
      <c r="L4589" s="7">
        <f>IF(OR(D4589="",N(J4589)=0),"",MIN(1,N(K4589)/J4589))</f>
        <v/>
      </c>
      <c r="M4589" s="5" t="n"/>
      <c r="N4589" s="5" t="n"/>
      <c r="O4589" s="5" t="n"/>
      <c r="P4589" s="5" t="n"/>
      <c r="Q4589" s="5" t="n"/>
      <c r="R4589" s="4" t="n"/>
      <c r="S4589" s="4" t="n"/>
      <c r="T4589" s="5" t="n"/>
      <c r="U4589" s="8">
        <f>IF(AND(V4589=1,D4589&lt;&gt;""),IF(D4589&gt;=corte,TODAY()-D4589,""),"")</f>
        <v/>
      </c>
      <c r="V4589" s="8">
        <f>IF(D4589="",0,IF(OR(AND(P4589&lt;&gt;"",S4589=""),AND(N(J4589)&gt;0,N(K4589)&lt;J4589),OR(M4589="PENDENTE",M4589="PARCIAL"),OR(N4589="PENDENTE",N4589="PARCIAL")),1,0))</f>
        <v/>
      </c>
      <c r="W4589" s="8">
        <f>IF(AND(V4589=1,D4589&lt;&gt;""),IF(D4589&gt;=corte,(B4589="CRÍTICO")*1E9+(100000-D4589)*10000+10000-ROW(),""),"")</f>
        <v/>
      </c>
      <c r="X4589" s="8">
        <f>IF(AND(V4589=1,D4589=pas_data,E4589=pas_turno),10000-ROW(),"")</f>
        <v/>
      </c>
    </row>
    <row r="4590">
      <c r="A4590" s="3">
        <f>IF(D4590="","","TT-"&amp;TEXT(ROW()-1,"00000"))</f>
        <v/>
      </c>
      <c r="B4590" s="3">
        <f>IF(D4590="","",IF(V4590=0,"CONCLUÍDO",IF(D4590&lt;corte,"HISTÓRICO",IF(OR(AND(ISNUMBER(R4590),R4590&lt;TODAY()),AND(OR(N4590="PENDENTE",N4590="PARCIAL"),D4590&lt;TODAY()-1)),"CRÍTICO",IF(OR(AND(P4590&lt;&gt;"",S4590=""),AND(N4590="REALIZADO",M4590="PENDENTE"),AND(ISNUMBER(R4590),R4590=TODAY())),"ATENÇÃO",IF(N(K4590)=0,"PENDENTE","EM ANDAMENTO"))))))</f>
        <v/>
      </c>
      <c r="C4590" s="3">
        <f>IF(D4590="","",IF(V4590=0,"🟢 OK",IF(D4590&lt;corte,"⚪ HISTÓRICO (sem baixa)",IF(AND(ISNUMBER(R4590),R4590&lt;TODAY()),"🔴 PRAZO VENCIDO",IF(AND(OR(N4590="PENDENTE",N4590="PARCIAL"),D4590&lt;TODAY()-1),"🔴 EMBARQUE ATRASADO",IF(AND(N4590="REALIZADO",M4590="PENDENTE"),"🟡 EMBARCADO SEM FATURAR",IF(AND(P4590&lt;&gt;"",S4590="",OR(Q4590="",R4590="")),"🟡 PENDÊNCIA SEM RESPONSÁVEL/PRAZO",IF(AND(ISNUMBER(R4590),R4590=TODAY()),"🟡 VENCE HOJE",IF(AND(P4590&lt;&gt;"",S4590=""),"🟡 PENDÊNCIA ABERTA",IF(AND(N(J4590)&gt;0,N(K4590)&lt;J4590),"🟡 FALTA EXECUTAR",IF(OR(M4590="PENDENTE",M4590="PARCIAL"),"🟡 FATURAMENTO PENDENTE","🟡 EMBARQUE PENDENTE")))))))))))</f>
        <v/>
      </c>
      <c r="D4590" s="4" t="n"/>
      <c r="E4590" s="5" t="n"/>
      <c r="F4590" s="5" t="n"/>
      <c r="G4590" s="5" t="n"/>
      <c r="H4590" s="5" t="n"/>
      <c r="I4590" s="5" t="n"/>
      <c r="J4590" s="6" t="n"/>
      <c r="K4590" s="6" t="n"/>
      <c r="L4590" s="7">
        <f>IF(OR(D4590="",N(J4590)=0),"",MIN(1,N(K4590)/J4590))</f>
        <v/>
      </c>
      <c r="M4590" s="5" t="n"/>
      <c r="N4590" s="5" t="n"/>
      <c r="O4590" s="5" t="n"/>
      <c r="P4590" s="5" t="n"/>
      <c r="Q4590" s="5" t="n"/>
      <c r="R4590" s="4" t="n"/>
      <c r="S4590" s="4" t="n"/>
      <c r="T4590" s="5" t="n"/>
      <c r="U4590" s="8">
        <f>IF(AND(V4590=1,D4590&lt;&gt;""),IF(D4590&gt;=corte,TODAY()-D4590,""),"")</f>
        <v/>
      </c>
      <c r="V4590" s="8">
        <f>IF(D4590="",0,IF(OR(AND(P4590&lt;&gt;"",S4590=""),AND(N(J4590)&gt;0,N(K4590)&lt;J4590),OR(M4590="PENDENTE",M4590="PARCIAL"),OR(N4590="PENDENTE",N4590="PARCIAL")),1,0))</f>
        <v/>
      </c>
      <c r="W4590" s="8">
        <f>IF(AND(V4590=1,D4590&lt;&gt;""),IF(D4590&gt;=corte,(B4590="CRÍTICO")*1E9+(100000-D4590)*10000+10000-ROW(),""),"")</f>
        <v/>
      </c>
      <c r="X4590" s="8">
        <f>IF(AND(V4590=1,D4590=pas_data,E4590=pas_turno),10000-ROW(),"")</f>
        <v/>
      </c>
    </row>
    <row r="4591">
      <c r="A4591" s="3">
        <f>IF(D4591="","","TT-"&amp;TEXT(ROW()-1,"00000"))</f>
        <v/>
      </c>
      <c r="B4591" s="3">
        <f>IF(D4591="","",IF(V4591=0,"CONCLUÍDO",IF(D4591&lt;corte,"HISTÓRICO",IF(OR(AND(ISNUMBER(R4591),R4591&lt;TODAY()),AND(OR(N4591="PENDENTE",N4591="PARCIAL"),D4591&lt;TODAY()-1)),"CRÍTICO",IF(OR(AND(P4591&lt;&gt;"",S4591=""),AND(N4591="REALIZADO",M4591="PENDENTE"),AND(ISNUMBER(R4591),R4591=TODAY())),"ATENÇÃO",IF(N(K4591)=0,"PENDENTE","EM ANDAMENTO"))))))</f>
        <v/>
      </c>
      <c r="C4591" s="3">
        <f>IF(D4591="","",IF(V4591=0,"🟢 OK",IF(D4591&lt;corte,"⚪ HISTÓRICO (sem baixa)",IF(AND(ISNUMBER(R4591),R4591&lt;TODAY()),"🔴 PRAZO VENCIDO",IF(AND(OR(N4591="PENDENTE",N4591="PARCIAL"),D4591&lt;TODAY()-1),"🔴 EMBARQUE ATRASADO",IF(AND(N4591="REALIZADO",M4591="PENDENTE"),"🟡 EMBARCADO SEM FATURAR",IF(AND(P4591&lt;&gt;"",S4591="",OR(Q4591="",R4591="")),"🟡 PENDÊNCIA SEM RESPONSÁVEL/PRAZO",IF(AND(ISNUMBER(R4591),R4591=TODAY()),"🟡 VENCE HOJE",IF(AND(P4591&lt;&gt;"",S4591=""),"🟡 PENDÊNCIA ABERTA",IF(AND(N(J4591)&gt;0,N(K4591)&lt;J4591),"🟡 FALTA EXECUTAR",IF(OR(M4591="PENDENTE",M4591="PARCIAL"),"🟡 FATURAMENTO PENDENTE","🟡 EMBARQUE PENDENTE")))))))))))</f>
        <v/>
      </c>
      <c r="D4591" s="4" t="n"/>
      <c r="E4591" s="5" t="n"/>
      <c r="F4591" s="5" t="n"/>
      <c r="G4591" s="5" t="n"/>
      <c r="H4591" s="5" t="n"/>
      <c r="I4591" s="5" t="n"/>
      <c r="J4591" s="6" t="n"/>
      <c r="K4591" s="6" t="n"/>
      <c r="L4591" s="7">
        <f>IF(OR(D4591="",N(J4591)=0),"",MIN(1,N(K4591)/J4591))</f>
        <v/>
      </c>
      <c r="M4591" s="5" t="n"/>
      <c r="N4591" s="5" t="n"/>
      <c r="O4591" s="5" t="n"/>
      <c r="P4591" s="5" t="n"/>
      <c r="Q4591" s="5" t="n"/>
      <c r="R4591" s="4" t="n"/>
      <c r="S4591" s="4" t="n"/>
      <c r="T4591" s="5" t="n"/>
      <c r="U4591" s="8">
        <f>IF(AND(V4591=1,D4591&lt;&gt;""),IF(D4591&gt;=corte,TODAY()-D4591,""),"")</f>
        <v/>
      </c>
      <c r="V4591" s="8">
        <f>IF(D4591="",0,IF(OR(AND(P4591&lt;&gt;"",S4591=""),AND(N(J4591)&gt;0,N(K4591)&lt;J4591),OR(M4591="PENDENTE",M4591="PARCIAL"),OR(N4591="PENDENTE",N4591="PARCIAL")),1,0))</f>
        <v/>
      </c>
      <c r="W4591" s="8">
        <f>IF(AND(V4591=1,D4591&lt;&gt;""),IF(D4591&gt;=corte,(B4591="CRÍTICO")*1E9+(100000-D4591)*10000+10000-ROW(),""),"")</f>
        <v/>
      </c>
      <c r="X4591" s="8">
        <f>IF(AND(V4591=1,D4591=pas_data,E4591=pas_turno),10000-ROW(),"")</f>
        <v/>
      </c>
    </row>
    <row r="4592">
      <c r="A4592" s="3">
        <f>IF(D4592="","","TT-"&amp;TEXT(ROW()-1,"00000"))</f>
        <v/>
      </c>
      <c r="B4592" s="3">
        <f>IF(D4592="","",IF(V4592=0,"CONCLUÍDO",IF(D4592&lt;corte,"HISTÓRICO",IF(OR(AND(ISNUMBER(R4592),R4592&lt;TODAY()),AND(OR(N4592="PENDENTE",N4592="PARCIAL"),D4592&lt;TODAY()-1)),"CRÍTICO",IF(OR(AND(P4592&lt;&gt;"",S4592=""),AND(N4592="REALIZADO",M4592="PENDENTE"),AND(ISNUMBER(R4592),R4592=TODAY())),"ATENÇÃO",IF(N(K4592)=0,"PENDENTE","EM ANDAMENTO"))))))</f>
        <v/>
      </c>
      <c r="C4592" s="3">
        <f>IF(D4592="","",IF(V4592=0,"🟢 OK",IF(D4592&lt;corte,"⚪ HISTÓRICO (sem baixa)",IF(AND(ISNUMBER(R4592),R4592&lt;TODAY()),"🔴 PRAZO VENCIDO",IF(AND(OR(N4592="PENDENTE",N4592="PARCIAL"),D4592&lt;TODAY()-1),"🔴 EMBARQUE ATRASADO",IF(AND(N4592="REALIZADO",M4592="PENDENTE"),"🟡 EMBARCADO SEM FATURAR",IF(AND(P4592&lt;&gt;"",S4592="",OR(Q4592="",R4592="")),"🟡 PENDÊNCIA SEM RESPONSÁVEL/PRAZO",IF(AND(ISNUMBER(R4592),R4592=TODAY()),"🟡 VENCE HOJE",IF(AND(P4592&lt;&gt;"",S4592=""),"🟡 PENDÊNCIA ABERTA",IF(AND(N(J4592)&gt;0,N(K4592)&lt;J4592),"🟡 FALTA EXECUTAR",IF(OR(M4592="PENDENTE",M4592="PARCIAL"),"🟡 FATURAMENTO PENDENTE","🟡 EMBARQUE PENDENTE")))))))))))</f>
        <v/>
      </c>
      <c r="D4592" s="4" t="n"/>
      <c r="E4592" s="5" t="n"/>
      <c r="F4592" s="5" t="n"/>
      <c r="G4592" s="5" t="n"/>
      <c r="H4592" s="5" t="n"/>
      <c r="I4592" s="5" t="n"/>
      <c r="J4592" s="6" t="n"/>
      <c r="K4592" s="6" t="n"/>
      <c r="L4592" s="7">
        <f>IF(OR(D4592="",N(J4592)=0),"",MIN(1,N(K4592)/J4592))</f>
        <v/>
      </c>
      <c r="M4592" s="5" t="n"/>
      <c r="N4592" s="5" t="n"/>
      <c r="O4592" s="5" t="n"/>
      <c r="P4592" s="5" t="n"/>
      <c r="Q4592" s="5" t="n"/>
      <c r="R4592" s="4" t="n"/>
      <c r="S4592" s="4" t="n"/>
      <c r="T4592" s="5" t="n"/>
      <c r="U4592" s="8">
        <f>IF(AND(V4592=1,D4592&lt;&gt;""),IF(D4592&gt;=corte,TODAY()-D4592,""),"")</f>
        <v/>
      </c>
      <c r="V4592" s="8">
        <f>IF(D4592="",0,IF(OR(AND(P4592&lt;&gt;"",S4592=""),AND(N(J4592)&gt;0,N(K4592)&lt;J4592),OR(M4592="PENDENTE",M4592="PARCIAL"),OR(N4592="PENDENTE",N4592="PARCIAL")),1,0))</f>
        <v/>
      </c>
      <c r="W4592" s="8">
        <f>IF(AND(V4592=1,D4592&lt;&gt;""),IF(D4592&gt;=corte,(B4592="CRÍTICO")*1E9+(100000-D4592)*10000+10000-ROW(),""),"")</f>
        <v/>
      </c>
      <c r="X4592" s="8">
        <f>IF(AND(V4592=1,D4592=pas_data,E4592=pas_turno),10000-ROW(),"")</f>
        <v/>
      </c>
    </row>
    <row r="4593">
      <c r="A4593" s="3">
        <f>IF(D4593="","","TT-"&amp;TEXT(ROW()-1,"00000"))</f>
        <v/>
      </c>
      <c r="B4593" s="3">
        <f>IF(D4593="","",IF(V4593=0,"CONCLUÍDO",IF(D4593&lt;corte,"HISTÓRICO",IF(OR(AND(ISNUMBER(R4593),R4593&lt;TODAY()),AND(OR(N4593="PENDENTE",N4593="PARCIAL"),D4593&lt;TODAY()-1)),"CRÍTICO",IF(OR(AND(P4593&lt;&gt;"",S4593=""),AND(N4593="REALIZADO",M4593="PENDENTE"),AND(ISNUMBER(R4593),R4593=TODAY())),"ATENÇÃO",IF(N(K4593)=0,"PENDENTE","EM ANDAMENTO"))))))</f>
        <v/>
      </c>
      <c r="C4593" s="3">
        <f>IF(D4593="","",IF(V4593=0,"🟢 OK",IF(D4593&lt;corte,"⚪ HISTÓRICO (sem baixa)",IF(AND(ISNUMBER(R4593),R4593&lt;TODAY()),"🔴 PRAZO VENCIDO",IF(AND(OR(N4593="PENDENTE",N4593="PARCIAL"),D4593&lt;TODAY()-1),"🔴 EMBARQUE ATRASADO",IF(AND(N4593="REALIZADO",M4593="PENDENTE"),"🟡 EMBARCADO SEM FATURAR",IF(AND(P4593&lt;&gt;"",S4593="",OR(Q4593="",R4593="")),"🟡 PENDÊNCIA SEM RESPONSÁVEL/PRAZO",IF(AND(ISNUMBER(R4593),R4593=TODAY()),"🟡 VENCE HOJE",IF(AND(P4593&lt;&gt;"",S4593=""),"🟡 PENDÊNCIA ABERTA",IF(AND(N(J4593)&gt;0,N(K4593)&lt;J4593),"🟡 FALTA EXECUTAR",IF(OR(M4593="PENDENTE",M4593="PARCIAL"),"🟡 FATURAMENTO PENDENTE","🟡 EMBARQUE PENDENTE")))))))))))</f>
        <v/>
      </c>
      <c r="D4593" s="4" t="n"/>
      <c r="E4593" s="5" t="n"/>
      <c r="F4593" s="5" t="n"/>
      <c r="G4593" s="5" t="n"/>
      <c r="H4593" s="5" t="n"/>
      <c r="I4593" s="5" t="n"/>
      <c r="J4593" s="6" t="n"/>
      <c r="K4593" s="6" t="n"/>
      <c r="L4593" s="7">
        <f>IF(OR(D4593="",N(J4593)=0),"",MIN(1,N(K4593)/J4593))</f>
        <v/>
      </c>
      <c r="M4593" s="5" t="n"/>
      <c r="N4593" s="5" t="n"/>
      <c r="O4593" s="5" t="n"/>
      <c r="P4593" s="5" t="n"/>
      <c r="Q4593" s="5" t="n"/>
      <c r="R4593" s="4" t="n"/>
      <c r="S4593" s="4" t="n"/>
      <c r="T4593" s="5" t="n"/>
      <c r="U4593" s="8">
        <f>IF(AND(V4593=1,D4593&lt;&gt;""),IF(D4593&gt;=corte,TODAY()-D4593,""),"")</f>
        <v/>
      </c>
      <c r="V4593" s="8">
        <f>IF(D4593="",0,IF(OR(AND(P4593&lt;&gt;"",S4593=""),AND(N(J4593)&gt;0,N(K4593)&lt;J4593),OR(M4593="PENDENTE",M4593="PARCIAL"),OR(N4593="PENDENTE",N4593="PARCIAL")),1,0))</f>
        <v/>
      </c>
      <c r="W4593" s="8">
        <f>IF(AND(V4593=1,D4593&lt;&gt;""),IF(D4593&gt;=corte,(B4593="CRÍTICO")*1E9+(100000-D4593)*10000+10000-ROW(),""),"")</f>
        <v/>
      </c>
      <c r="X4593" s="8">
        <f>IF(AND(V4593=1,D4593=pas_data,E4593=pas_turno),10000-ROW(),"")</f>
        <v/>
      </c>
    </row>
    <row r="4594">
      <c r="A4594" s="3">
        <f>IF(D4594="","","TT-"&amp;TEXT(ROW()-1,"00000"))</f>
        <v/>
      </c>
      <c r="B4594" s="3">
        <f>IF(D4594="","",IF(V4594=0,"CONCLUÍDO",IF(D4594&lt;corte,"HISTÓRICO",IF(OR(AND(ISNUMBER(R4594),R4594&lt;TODAY()),AND(OR(N4594="PENDENTE",N4594="PARCIAL"),D4594&lt;TODAY()-1)),"CRÍTICO",IF(OR(AND(P4594&lt;&gt;"",S4594=""),AND(N4594="REALIZADO",M4594="PENDENTE"),AND(ISNUMBER(R4594),R4594=TODAY())),"ATENÇÃO",IF(N(K4594)=0,"PENDENTE","EM ANDAMENTO"))))))</f>
        <v/>
      </c>
      <c r="C4594" s="3">
        <f>IF(D4594="","",IF(V4594=0,"🟢 OK",IF(D4594&lt;corte,"⚪ HISTÓRICO (sem baixa)",IF(AND(ISNUMBER(R4594),R4594&lt;TODAY()),"🔴 PRAZO VENCIDO",IF(AND(OR(N4594="PENDENTE",N4594="PARCIAL"),D4594&lt;TODAY()-1),"🔴 EMBARQUE ATRASADO",IF(AND(N4594="REALIZADO",M4594="PENDENTE"),"🟡 EMBARCADO SEM FATURAR",IF(AND(P4594&lt;&gt;"",S4594="",OR(Q4594="",R4594="")),"🟡 PENDÊNCIA SEM RESPONSÁVEL/PRAZO",IF(AND(ISNUMBER(R4594),R4594=TODAY()),"🟡 VENCE HOJE",IF(AND(P4594&lt;&gt;"",S4594=""),"🟡 PENDÊNCIA ABERTA",IF(AND(N(J4594)&gt;0,N(K4594)&lt;J4594),"🟡 FALTA EXECUTAR",IF(OR(M4594="PENDENTE",M4594="PARCIAL"),"🟡 FATURAMENTO PENDENTE","🟡 EMBARQUE PENDENTE")))))))))))</f>
        <v/>
      </c>
      <c r="D4594" s="4" t="n"/>
      <c r="E4594" s="5" t="n"/>
      <c r="F4594" s="5" t="n"/>
      <c r="G4594" s="5" t="n"/>
      <c r="H4594" s="5" t="n"/>
      <c r="I4594" s="5" t="n"/>
      <c r="J4594" s="6" t="n"/>
      <c r="K4594" s="6" t="n"/>
      <c r="L4594" s="7">
        <f>IF(OR(D4594="",N(J4594)=0),"",MIN(1,N(K4594)/J4594))</f>
        <v/>
      </c>
      <c r="M4594" s="5" t="n"/>
      <c r="N4594" s="5" t="n"/>
      <c r="O4594" s="5" t="n"/>
      <c r="P4594" s="5" t="n"/>
      <c r="Q4594" s="5" t="n"/>
      <c r="R4594" s="4" t="n"/>
      <c r="S4594" s="4" t="n"/>
      <c r="T4594" s="5" t="n"/>
      <c r="U4594" s="8">
        <f>IF(AND(V4594=1,D4594&lt;&gt;""),IF(D4594&gt;=corte,TODAY()-D4594,""),"")</f>
        <v/>
      </c>
      <c r="V4594" s="8">
        <f>IF(D4594="",0,IF(OR(AND(P4594&lt;&gt;"",S4594=""),AND(N(J4594)&gt;0,N(K4594)&lt;J4594),OR(M4594="PENDENTE",M4594="PARCIAL"),OR(N4594="PENDENTE",N4594="PARCIAL")),1,0))</f>
        <v/>
      </c>
      <c r="W4594" s="8">
        <f>IF(AND(V4594=1,D4594&lt;&gt;""),IF(D4594&gt;=corte,(B4594="CRÍTICO")*1E9+(100000-D4594)*10000+10000-ROW(),""),"")</f>
        <v/>
      </c>
      <c r="X4594" s="8">
        <f>IF(AND(V4594=1,D4594=pas_data,E4594=pas_turno),10000-ROW(),"")</f>
        <v/>
      </c>
    </row>
    <row r="4595">
      <c r="A4595" s="3">
        <f>IF(D4595="","","TT-"&amp;TEXT(ROW()-1,"00000"))</f>
        <v/>
      </c>
      <c r="B4595" s="3">
        <f>IF(D4595="","",IF(V4595=0,"CONCLUÍDO",IF(D4595&lt;corte,"HISTÓRICO",IF(OR(AND(ISNUMBER(R4595),R4595&lt;TODAY()),AND(OR(N4595="PENDENTE",N4595="PARCIAL"),D4595&lt;TODAY()-1)),"CRÍTICO",IF(OR(AND(P4595&lt;&gt;"",S4595=""),AND(N4595="REALIZADO",M4595="PENDENTE"),AND(ISNUMBER(R4595),R4595=TODAY())),"ATENÇÃO",IF(N(K4595)=0,"PENDENTE","EM ANDAMENTO"))))))</f>
        <v/>
      </c>
      <c r="C4595" s="3">
        <f>IF(D4595="","",IF(V4595=0,"🟢 OK",IF(D4595&lt;corte,"⚪ HISTÓRICO (sem baixa)",IF(AND(ISNUMBER(R4595),R4595&lt;TODAY()),"🔴 PRAZO VENCIDO",IF(AND(OR(N4595="PENDENTE",N4595="PARCIAL"),D4595&lt;TODAY()-1),"🔴 EMBARQUE ATRASADO",IF(AND(N4595="REALIZADO",M4595="PENDENTE"),"🟡 EMBARCADO SEM FATURAR",IF(AND(P4595&lt;&gt;"",S4595="",OR(Q4595="",R4595="")),"🟡 PENDÊNCIA SEM RESPONSÁVEL/PRAZO",IF(AND(ISNUMBER(R4595),R4595=TODAY()),"🟡 VENCE HOJE",IF(AND(P4595&lt;&gt;"",S4595=""),"🟡 PENDÊNCIA ABERTA",IF(AND(N(J4595)&gt;0,N(K4595)&lt;J4595),"🟡 FALTA EXECUTAR",IF(OR(M4595="PENDENTE",M4595="PARCIAL"),"🟡 FATURAMENTO PENDENTE","🟡 EMBARQUE PENDENTE")))))))))))</f>
        <v/>
      </c>
      <c r="D4595" s="4" t="n"/>
      <c r="E4595" s="5" t="n"/>
      <c r="F4595" s="5" t="n"/>
      <c r="G4595" s="5" t="n"/>
      <c r="H4595" s="5" t="n"/>
      <c r="I4595" s="5" t="n"/>
      <c r="J4595" s="6" t="n"/>
      <c r="K4595" s="6" t="n"/>
      <c r="L4595" s="7">
        <f>IF(OR(D4595="",N(J4595)=0),"",MIN(1,N(K4595)/J4595))</f>
        <v/>
      </c>
      <c r="M4595" s="5" t="n"/>
      <c r="N4595" s="5" t="n"/>
      <c r="O4595" s="5" t="n"/>
      <c r="P4595" s="5" t="n"/>
      <c r="Q4595" s="5" t="n"/>
      <c r="R4595" s="4" t="n"/>
      <c r="S4595" s="4" t="n"/>
      <c r="T4595" s="5" t="n"/>
      <c r="U4595" s="8">
        <f>IF(AND(V4595=1,D4595&lt;&gt;""),IF(D4595&gt;=corte,TODAY()-D4595,""),"")</f>
        <v/>
      </c>
      <c r="V4595" s="8">
        <f>IF(D4595="",0,IF(OR(AND(P4595&lt;&gt;"",S4595=""),AND(N(J4595)&gt;0,N(K4595)&lt;J4595),OR(M4595="PENDENTE",M4595="PARCIAL"),OR(N4595="PENDENTE",N4595="PARCIAL")),1,0))</f>
        <v/>
      </c>
      <c r="W4595" s="8">
        <f>IF(AND(V4595=1,D4595&lt;&gt;""),IF(D4595&gt;=corte,(B4595="CRÍTICO")*1E9+(100000-D4595)*10000+10000-ROW(),""),"")</f>
        <v/>
      </c>
      <c r="X4595" s="8">
        <f>IF(AND(V4595=1,D4595=pas_data,E4595=pas_turno),10000-ROW(),"")</f>
        <v/>
      </c>
    </row>
    <row r="4596">
      <c r="A4596" s="3">
        <f>IF(D4596="","","TT-"&amp;TEXT(ROW()-1,"00000"))</f>
        <v/>
      </c>
      <c r="B4596" s="3">
        <f>IF(D4596="","",IF(V4596=0,"CONCLUÍDO",IF(D4596&lt;corte,"HISTÓRICO",IF(OR(AND(ISNUMBER(R4596),R4596&lt;TODAY()),AND(OR(N4596="PENDENTE",N4596="PARCIAL"),D4596&lt;TODAY()-1)),"CRÍTICO",IF(OR(AND(P4596&lt;&gt;"",S4596=""),AND(N4596="REALIZADO",M4596="PENDENTE"),AND(ISNUMBER(R4596),R4596=TODAY())),"ATENÇÃO",IF(N(K4596)=0,"PENDENTE","EM ANDAMENTO"))))))</f>
        <v/>
      </c>
      <c r="C4596" s="3">
        <f>IF(D4596="","",IF(V4596=0,"🟢 OK",IF(D4596&lt;corte,"⚪ HISTÓRICO (sem baixa)",IF(AND(ISNUMBER(R4596),R4596&lt;TODAY()),"🔴 PRAZO VENCIDO",IF(AND(OR(N4596="PENDENTE",N4596="PARCIAL"),D4596&lt;TODAY()-1),"🔴 EMBARQUE ATRASADO",IF(AND(N4596="REALIZADO",M4596="PENDENTE"),"🟡 EMBARCADO SEM FATURAR",IF(AND(P4596&lt;&gt;"",S4596="",OR(Q4596="",R4596="")),"🟡 PENDÊNCIA SEM RESPONSÁVEL/PRAZO",IF(AND(ISNUMBER(R4596),R4596=TODAY()),"🟡 VENCE HOJE",IF(AND(P4596&lt;&gt;"",S4596=""),"🟡 PENDÊNCIA ABERTA",IF(AND(N(J4596)&gt;0,N(K4596)&lt;J4596),"🟡 FALTA EXECUTAR",IF(OR(M4596="PENDENTE",M4596="PARCIAL"),"🟡 FATURAMENTO PENDENTE","🟡 EMBARQUE PENDENTE")))))))))))</f>
        <v/>
      </c>
      <c r="D4596" s="4" t="n"/>
      <c r="E4596" s="5" t="n"/>
      <c r="F4596" s="5" t="n"/>
      <c r="G4596" s="5" t="n"/>
      <c r="H4596" s="5" t="n"/>
      <c r="I4596" s="5" t="n"/>
      <c r="J4596" s="6" t="n"/>
      <c r="K4596" s="6" t="n"/>
      <c r="L4596" s="7">
        <f>IF(OR(D4596="",N(J4596)=0),"",MIN(1,N(K4596)/J4596))</f>
        <v/>
      </c>
      <c r="M4596" s="5" t="n"/>
      <c r="N4596" s="5" t="n"/>
      <c r="O4596" s="5" t="n"/>
      <c r="P4596" s="5" t="n"/>
      <c r="Q4596" s="5" t="n"/>
      <c r="R4596" s="4" t="n"/>
      <c r="S4596" s="4" t="n"/>
      <c r="T4596" s="5" t="n"/>
      <c r="U4596" s="8">
        <f>IF(AND(V4596=1,D4596&lt;&gt;""),IF(D4596&gt;=corte,TODAY()-D4596,""),"")</f>
        <v/>
      </c>
      <c r="V4596" s="8">
        <f>IF(D4596="",0,IF(OR(AND(P4596&lt;&gt;"",S4596=""),AND(N(J4596)&gt;0,N(K4596)&lt;J4596),OR(M4596="PENDENTE",M4596="PARCIAL"),OR(N4596="PENDENTE",N4596="PARCIAL")),1,0))</f>
        <v/>
      </c>
      <c r="W4596" s="8">
        <f>IF(AND(V4596=1,D4596&lt;&gt;""),IF(D4596&gt;=corte,(B4596="CRÍTICO")*1E9+(100000-D4596)*10000+10000-ROW(),""),"")</f>
        <v/>
      </c>
      <c r="X4596" s="8">
        <f>IF(AND(V4596=1,D4596=pas_data,E4596=pas_turno),10000-ROW(),"")</f>
        <v/>
      </c>
    </row>
    <row r="4597">
      <c r="A4597" s="3">
        <f>IF(D4597="","","TT-"&amp;TEXT(ROW()-1,"00000"))</f>
        <v/>
      </c>
      <c r="B4597" s="3">
        <f>IF(D4597="","",IF(V4597=0,"CONCLUÍDO",IF(D4597&lt;corte,"HISTÓRICO",IF(OR(AND(ISNUMBER(R4597),R4597&lt;TODAY()),AND(OR(N4597="PENDENTE",N4597="PARCIAL"),D4597&lt;TODAY()-1)),"CRÍTICO",IF(OR(AND(P4597&lt;&gt;"",S4597=""),AND(N4597="REALIZADO",M4597="PENDENTE"),AND(ISNUMBER(R4597),R4597=TODAY())),"ATENÇÃO",IF(N(K4597)=0,"PENDENTE","EM ANDAMENTO"))))))</f>
        <v/>
      </c>
      <c r="C4597" s="3">
        <f>IF(D4597="","",IF(V4597=0,"🟢 OK",IF(D4597&lt;corte,"⚪ HISTÓRICO (sem baixa)",IF(AND(ISNUMBER(R4597),R4597&lt;TODAY()),"🔴 PRAZO VENCIDO",IF(AND(OR(N4597="PENDENTE",N4597="PARCIAL"),D4597&lt;TODAY()-1),"🔴 EMBARQUE ATRASADO",IF(AND(N4597="REALIZADO",M4597="PENDENTE"),"🟡 EMBARCADO SEM FATURAR",IF(AND(P4597&lt;&gt;"",S4597="",OR(Q4597="",R4597="")),"🟡 PENDÊNCIA SEM RESPONSÁVEL/PRAZO",IF(AND(ISNUMBER(R4597),R4597=TODAY()),"🟡 VENCE HOJE",IF(AND(P4597&lt;&gt;"",S4597=""),"🟡 PENDÊNCIA ABERTA",IF(AND(N(J4597)&gt;0,N(K4597)&lt;J4597),"🟡 FALTA EXECUTAR",IF(OR(M4597="PENDENTE",M4597="PARCIAL"),"🟡 FATURAMENTO PENDENTE","🟡 EMBARQUE PENDENTE")))))))))))</f>
        <v/>
      </c>
      <c r="D4597" s="4" t="n"/>
      <c r="E4597" s="5" t="n"/>
      <c r="F4597" s="5" t="n"/>
      <c r="G4597" s="5" t="n"/>
      <c r="H4597" s="5" t="n"/>
      <c r="I4597" s="5" t="n"/>
      <c r="J4597" s="6" t="n"/>
      <c r="K4597" s="6" t="n"/>
      <c r="L4597" s="7">
        <f>IF(OR(D4597="",N(J4597)=0),"",MIN(1,N(K4597)/J4597))</f>
        <v/>
      </c>
      <c r="M4597" s="5" t="n"/>
      <c r="N4597" s="5" t="n"/>
      <c r="O4597" s="5" t="n"/>
      <c r="P4597" s="5" t="n"/>
      <c r="Q4597" s="5" t="n"/>
      <c r="R4597" s="4" t="n"/>
      <c r="S4597" s="4" t="n"/>
      <c r="T4597" s="5" t="n"/>
      <c r="U4597" s="8">
        <f>IF(AND(V4597=1,D4597&lt;&gt;""),IF(D4597&gt;=corte,TODAY()-D4597,""),"")</f>
        <v/>
      </c>
      <c r="V4597" s="8">
        <f>IF(D4597="",0,IF(OR(AND(P4597&lt;&gt;"",S4597=""),AND(N(J4597)&gt;0,N(K4597)&lt;J4597),OR(M4597="PENDENTE",M4597="PARCIAL"),OR(N4597="PENDENTE",N4597="PARCIAL")),1,0))</f>
        <v/>
      </c>
      <c r="W4597" s="8">
        <f>IF(AND(V4597=1,D4597&lt;&gt;""),IF(D4597&gt;=corte,(B4597="CRÍTICO")*1E9+(100000-D4597)*10000+10000-ROW(),""),"")</f>
        <v/>
      </c>
      <c r="X4597" s="8">
        <f>IF(AND(V4597=1,D4597=pas_data,E4597=pas_turno),10000-ROW(),"")</f>
        <v/>
      </c>
    </row>
    <row r="4598">
      <c r="A4598" s="3">
        <f>IF(D4598="","","TT-"&amp;TEXT(ROW()-1,"00000"))</f>
        <v/>
      </c>
      <c r="B4598" s="3">
        <f>IF(D4598="","",IF(V4598=0,"CONCLUÍDO",IF(D4598&lt;corte,"HISTÓRICO",IF(OR(AND(ISNUMBER(R4598),R4598&lt;TODAY()),AND(OR(N4598="PENDENTE",N4598="PARCIAL"),D4598&lt;TODAY()-1)),"CRÍTICO",IF(OR(AND(P4598&lt;&gt;"",S4598=""),AND(N4598="REALIZADO",M4598="PENDENTE"),AND(ISNUMBER(R4598),R4598=TODAY())),"ATENÇÃO",IF(N(K4598)=0,"PENDENTE","EM ANDAMENTO"))))))</f>
        <v/>
      </c>
      <c r="C4598" s="3">
        <f>IF(D4598="","",IF(V4598=0,"🟢 OK",IF(D4598&lt;corte,"⚪ HISTÓRICO (sem baixa)",IF(AND(ISNUMBER(R4598),R4598&lt;TODAY()),"🔴 PRAZO VENCIDO",IF(AND(OR(N4598="PENDENTE",N4598="PARCIAL"),D4598&lt;TODAY()-1),"🔴 EMBARQUE ATRASADO",IF(AND(N4598="REALIZADO",M4598="PENDENTE"),"🟡 EMBARCADO SEM FATURAR",IF(AND(P4598&lt;&gt;"",S4598="",OR(Q4598="",R4598="")),"🟡 PENDÊNCIA SEM RESPONSÁVEL/PRAZO",IF(AND(ISNUMBER(R4598),R4598=TODAY()),"🟡 VENCE HOJE",IF(AND(P4598&lt;&gt;"",S4598=""),"🟡 PENDÊNCIA ABERTA",IF(AND(N(J4598)&gt;0,N(K4598)&lt;J4598),"🟡 FALTA EXECUTAR",IF(OR(M4598="PENDENTE",M4598="PARCIAL"),"🟡 FATURAMENTO PENDENTE","🟡 EMBARQUE PENDENTE")))))))))))</f>
        <v/>
      </c>
      <c r="D4598" s="4" t="n"/>
      <c r="E4598" s="5" t="n"/>
      <c r="F4598" s="5" t="n"/>
      <c r="G4598" s="5" t="n"/>
      <c r="H4598" s="5" t="n"/>
      <c r="I4598" s="5" t="n"/>
      <c r="J4598" s="6" t="n"/>
      <c r="K4598" s="6" t="n"/>
      <c r="L4598" s="7">
        <f>IF(OR(D4598="",N(J4598)=0),"",MIN(1,N(K4598)/J4598))</f>
        <v/>
      </c>
      <c r="M4598" s="5" t="n"/>
      <c r="N4598" s="5" t="n"/>
      <c r="O4598" s="5" t="n"/>
      <c r="P4598" s="5" t="n"/>
      <c r="Q4598" s="5" t="n"/>
      <c r="R4598" s="4" t="n"/>
      <c r="S4598" s="4" t="n"/>
      <c r="T4598" s="5" t="n"/>
      <c r="U4598" s="8">
        <f>IF(AND(V4598=1,D4598&lt;&gt;""),IF(D4598&gt;=corte,TODAY()-D4598,""),"")</f>
        <v/>
      </c>
      <c r="V4598" s="8">
        <f>IF(D4598="",0,IF(OR(AND(P4598&lt;&gt;"",S4598=""),AND(N(J4598)&gt;0,N(K4598)&lt;J4598),OR(M4598="PENDENTE",M4598="PARCIAL"),OR(N4598="PENDENTE",N4598="PARCIAL")),1,0))</f>
        <v/>
      </c>
      <c r="W4598" s="8">
        <f>IF(AND(V4598=1,D4598&lt;&gt;""),IF(D4598&gt;=corte,(B4598="CRÍTICO")*1E9+(100000-D4598)*10000+10000-ROW(),""),"")</f>
        <v/>
      </c>
      <c r="X4598" s="8">
        <f>IF(AND(V4598=1,D4598=pas_data,E4598=pas_turno),10000-ROW(),"")</f>
        <v/>
      </c>
    </row>
    <row r="4599">
      <c r="A4599" s="3">
        <f>IF(D4599="","","TT-"&amp;TEXT(ROW()-1,"00000"))</f>
        <v/>
      </c>
      <c r="B4599" s="3">
        <f>IF(D4599="","",IF(V4599=0,"CONCLUÍDO",IF(D4599&lt;corte,"HISTÓRICO",IF(OR(AND(ISNUMBER(R4599),R4599&lt;TODAY()),AND(OR(N4599="PENDENTE",N4599="PARCIAL"),D4599&lt;TODAY()-1)),"CRÍTICO",IF(OR(AND(P4599&lt;&gt;"",S4599=""),AND(N4599="REALIZADO",M4599="PENDENTE"),AND(ISNUMBER(R4599),R4599=TODAY())),"ATENÇÃO",IF(N(K4599)=0,"PENDENTE","EM ANDAMENTO"))))))</f>
        <v/>
      </c>
      <c r="C4599" s="3">
        <f>IF(D4599="","",IF(V4599=0,"🟢 OK",IF(D4599&lt;corte,"⚪ HISTÓRICO (sem baixa)",IF(AND(ISNUMBER(R4599),R4599&lt;TODAY()),"🔴 PRAZO VENCIDO",IF(AND(OR(N4599="PENDENTE",N4599="PARCIAL"),D4599&lt;TODAY()-1),"🔴 EMBARQUE ATRASADO",IF(AND(N4599="REALIZADO",M4599="PENDENTE"),"🟡 EMBARCADO SEM FATURAR",IF(AND(P4599&lt;&gt;"",S4599="",OR(Q4599="",R4599="")),"🟡 PENDÊNCIA SEM RESPONSÁVEL/PRAZO",IF(AND(ISNUMBER(R4599),R4599=TODAY()),"🟡 VENCE HOJE",IF(AND(P4599&lt;&gt;"",S4599=""),"🟡 PENDÊNCIA ABERTA",IF(AND(N(J4599)&gt;0,N(K4599)&lt;J4599),"🟡 FALTA EXECUTAR",IF(OR(M4599="PENDENTE",M4599="PARCIAL"),"🟡 FATURAMENTO PENDENTE","🟡 EMBARQUE PENDENTE")))))))))))</f>
        <v/>
      </c>
      <c r="D4599" s="4" t="n"/>
      <c r="E4599" s="5" t="n"/>
      <c r="F4599" s="5" t="n"/>
      <c r="G4599" s="5" t="n"/>
      <c r="H4599" s="5" t="n"/>
      <c r="I4599" s="5" t="n"/>
      <c r="J4599" s="6" t="n"/>
      <c r="K4599" s="6" t="n"/>
      <c r="L4599" s="7">
        <f>IF(OR(D4599="",N(J4599)=0),"",MIN(1,N(K4599)/J4599))</f>
        <v/>
      </c>
      <c r="M4599" s="5" t="n"/>
      <c r="N4599" s="5" t="n"/>
      <c r="O4599" s="5" t="n"/>
      <c r="P4599" s="5" t="n"/>
      <c r="Q4599" s="5" t="n"/>
      <c r="R4599" s="4" t="n"/>
      <c r="S4599" s="4" t="n"/>
      <c r="T4599" s="5" t="n"/>
      <c r="U4599" s="8">
        <f>IF(AND(V4599=1,D4599&lt;&gt;""),IF(D4599&gt;=corte,TODAY()-D4599,""),"")</f>
        <v/>
      </c>
      <c r="V4599" s="8">
        <f>IF(D4599="",0,IF(OR(AND(P4599&lt;&gt;"",S4599=""),AND(N(J4599)&gt;0,N(K4599)&lt;J4599),OR(M4599="PENDENTE",M4599="PARCIAL"),OR(N4599="PENDENTE",N4599="PARCIAL")),1,0))</f>
        <v/>
      </c>
      <c r="W4599" s="8">
        <f>IF(AND(V4599=1,D4599&lt;&gt;""),IF(D4599&gt;=corte,(B4599="CRÍTICO")*1E9+(100000-D4599)*10000+10000-ROW(),""),"")</f>
        <v/>
      </c>
      <c r="X4599" s="8">
        <f>IF(AND(V4599=1,D4599=pas_data,E4599=pas_turno),10000-ROW(),"")</f>
        <v/>
      </c>
    </row>
    <row r="4600">
      <c r="A4600" s="3">
        <f>IF(D4600="","","TT-"&amp;TEXT(ROW()-1,"00000"))</f>
        <v/>
      </c>
      <c r="B4600" s="3">
        <f>IF(D4600="","",IF(V4600=0,"CONCLUÍDO",IF(D4600&lt;corte,"HISTÓRICO",IF(OR(AND(ISNUMBER(R4600),R4600&lt;TODAY()),AND(OR(N4600="PENDENTE",N4600="PARCIAL"),D4600&lt;TODAY()-1)),"CRÍTICO",IF(OR(AND(P4600&lt;&gt;"",S4600=""),AND(N4600="REALIZADO",M4600="PENDENTE"),AND(ISNUMBER(R4600),R4600=TODAY())),"ATENÇÃO",IF(N(K4600)=0,"PENDENTE","EM ANDAMENTO"))))))</f>
        <v/>
      </c>
      <c r="C4600" s="3">
        <f>IF(D4600="","",IF(V4600=0,"🟢 OK",IF(D4600&lt;corte,"⚪ HISTÓRICO (sem baixa)",IF(AND(ISNUMBER(R4600),R4600&lt;TODAY()),"🔴 PRAZO VENCIDO",IF(AND(OR(N4600="PENDENTE",N4600="PARCIAL"),D4600&lt;TODAY()-1),"🔴 EMBARQUE ATRASADO",IF(AND(N4600="REALIZADO",M4600="PENDENTE"),"🟡 EMBARCADO SEM FATURAR",IF(AND(P4600&lt;&gt;"",S4600="",OR(Q4600="",R4600="")),"🟡 PENDÊNCIA SEM RESPONSÁVEL/PRAZO",IF(AND(ISNUMBER(R4600),R4600=TODAY()),"🟡 VENCE HOJE",IF(AND(P4600&lt;&gt;"",S4600=""),"🟡 PENDÊNCIA ABERTA",IF(AND(N(J4600)&gt;0,N(K4600)&lt;J4600),"🟡 FALTA EXECUTAR",IF(OR(M4600="PENDENTE",M4600="PARCIAL"),"🟡 FATURAMENTO PENDENTE","🟡 EMBARQUE PENDENTE")))))))))))</f>
        <v/>
      </c>
      <c r="D4600" s="4" t="n"/>
      <c r="E4600" s="5" t="n"/>
      <c r="F4600" s="5" t="n"/>
      <c r="G4600" s="5" t="n"/>
      <c r="H4600" s="5" t="n"/>
      <c r="I4600" s="5" t="n"/>
      <c r="J4600" s="6" t="n"/>
      <c r="K4600" s="6" t="n"/>
      <c r="L4600" s="7">
        <f>IF(OR(D4600="",N(J4600)=0),"",MIN(1,N(K4600)/J4600))</f>
        <v/>
      </c>
      <c r="M4600" s="5" t="n"/>
      <c r="N4600" s="5" t="n"/>
      <c r="O4600" s="5" t="n"/>
      <c r="P4600" s="5" t="n"/>
      <c r="Q4600" s="5" t="n"/>
      <c r="R4600" s="4" t="n"/>
      <c r="S4600" s="4" t="n"/>
      <c r="T4600" s="5" t="n"/>
      <c r="U4600" s="8">
        <f>IF(AND(V4600=1,D4600&lt;&gt;""),IF(D4600&gt;=corte,TODAY()-D4600,""),"")</f>
        <v/>
      </c>
      <c r="V4600" s="8">
        <f>IF(D4600="",0,IF(OR(AND(P4600&lt;&gt;"",S4600=""),AND(N(J4600)&gt;0,N(K4600)&lt;J4600),OR(M4600="PENDENTE",M4600="PARCIAL"),OR(N4600="PENDENTE",N4600="PARCIAL")),1,0))</f>
        <v/>
      </c>
      <c r="W4600" s="8">
        <f>IF(AND(V4600=1,D4600&lt;&gt;""),IF(D4600&gt;=corte,(B4600="CRÍTICO")*1E9+(100000-D4600)*10000+10000-ROW(),""),"")</f>
        <v/>
      </c>
      <c r="X4600" s="8">
        <f>IF(AND(V4600=1,D4600=pas_data,E4600=pas_turno),10000-ROW(),"")</f>
        <v/>
      </c>
    </row>
    <row r="4601">
      <c r="A4601" s="3">
        <f>IF(D4601="","","TT-"&amp;TEXT(ROW()-1,"00000"))</f>
        <v/>
      </c>
      <c r="B4601" s="3">
        <f>IF(D4601="","",IF(V4601=0,"CONCLUÍDO",IF(D4601&lt;corte,"HISTÓRICO",IF(OR(AND(ISNUMBER(R4601),R4601&lt;TODAY()),AND(OR(N4601="PENDENTE",N4601="PARCIAL"),D4601&lt;TODAY()-1)),"CRÍTICO",IF(OR(AND(P4601&lt;&gt;"",S4601=""),AND(N4601="REALIZADO",M4601="PENDENTE"),AND(ISNUMBER(R4601),R4601=TODAY())),"ATENÇÃO",IF(N(K4601)=0,"PENDENTE","EM ANDAMENTO"))))))</f>
        <v/>
      </c>
      <c r="C4601" s="3">
        <f>IF(D4601="","",IF(V4601=0,"🟢 OK",IF(D4601&lt;corte,"⚪ HISTÓRICO (sem baixa)",IF(AND(ISNUMBER(R4601),R4601&lt;TODAY()),"🔴 PRAZO VENCIDO",IF(AND(OR(N4601="PENDENTE",N4601="PARCIAL"),D4601&lt;TODAY()-1),"🔴 EMBARQUE ATRASADO",IF(AND(N4601="REALIZADO",M4601="PENDENTE"),"🟡 EMBARCADO SEM FATURAR",IF(AND(P4601&lt;&gt;"",S4601="",OR(Q4601="",R4601="")),"🟡 PENDÊNCIA SEM RESPONSÁVEL/PRAZO",IF(AND(ISNUMBER(R4601),R4601=TODAY()),"🟡 VENCE HOJE",IF(AND(P4601&lt;&gt;"",S4601=""),"🟡 PENDÊNCIA ABERTA",IF(AND(N(J4601)&gt;0,N(K4601)&lt;J4601),"🟡 FALTA EXECUTAR",IF(OR(M4601="PENDENTE",M4601="PARCIAL"),"🟡 FATURAMENTO PENDENTE","🟡 EMBARQUE PENDENTE")))))))))))</f>
        <v/>
      </c>
      <c r="D4601" s="4" t="n"/>
      <c r="E4601" s="5" t="n"/>
      <c r="F4601" s="5" t="n"/>
      <c r="G4601" s="5" t="n"/>
      <c r="H4601" s="5" t="n"/>
      <c r="I4601" s="5" t="n"/>
      <c r="J4601" s="6" t="n"/>
      <c r="K4601" s="6" t="n"/>
      <c r="L4601" s="7">
        <f>IF(OR(D4601="",N(J4601)=0),"",MIN(1,N(K4601)/J4601))</f>
        <v/>
      </c>
      <c r="M4601" s="5" t="n"/>
      <c r="N4601" s="5" t="n"/>
      <c r="O4601" s="5" t="n"/>
      <c r="P4601" s="5" t="n"/>
      <c r="Q4601" s="5" t="n"/>
      <c r="R4601" s="4" t="n"/>
      <c r="S4601" s="4" t="n"/>
      <c r="T4601" s="5" t="n"/>
      <c r="U4601" s="8">
        <f>IF(AND(V4601=1,D4601&lt;&gt;""),IF(D4601&gt;=corte,TODAY()-D4601,""),"")</f>
        <v/>
      </c>
      <c r="V4601" s="8">
        <f>IF(D4601="",0,IF(OR(AND(P4601&lt;&gt;"",S4601=""),AND(N(J4601)&gt;0,N(K4601)&lt;J4601),OR(M4601="PENDENTE",M4601="PARCIAL"),OR(N4601="PENDENTE",N4601="PARCIAL")),1,0))</f>
        <v/>
      </c>
      <c r="W4601" s="8">
        <f>IF(AND(V4601=1,D4601&lt;&gt;""),IF(D4601&gt;=corte,(B4601="CRÍTICO")*1E9+(100000-D4601)*10000+10000-ROW(),""),"")</f>
        <v/>
      </c>
      <c r="X4601" s="8">
        <f>IF(AND(V4601=1,D4601=pas_data,E4601=pas_turno),10000-ROW(),"")</f>
        <v/>
      </c>
    </row>
    <row r="4602">
      <c r="A4602" s="3">
        <f>IF(D4602="","","TT-"&amp;TEXT(ROW()-1,"00000"))</f>
        <v/>
      </c>
      <c r="B4602" s="3">
        <f>IF(D4602="","",IF(V4602=0,"CONCLUÍDO",IF(D4602&lt;corte,"HISTÓRICO",IF(OR(AND(ISNUMBER(R4602),R4602&lt;TODAY()),AND(OR(N4602="PENDENTE",N4602="PARCIAL"),D4602&lt;TODAY()-1)),"CRÍTICO",IF(OR(AND(P4602&lt;&gt;"",S4602=""),AND(N4602="REALIZADO",M4602="PENDENTE"),AND(ISNUMBER(R4602),R4602=TODAY())),"ATENÇÃO",IF(N(K4602)=0,"PENDENTE","EM ANDAMENTO"))))))</f>
        <v/>
      </c>
      <c r="C4602" s="3">
        <f>IF(D4602="","",IF(V4602=0,"🟢 OK",IF(D4602&lt;corte,"⚪ HISTÓRICO (sem baixa)",IF(AND(ISNUMBER(R4602),R4602&lt;TODAY()),"🔴 PRAZO VENCIDO",IF(AND(OR(N4602="PENDENTE",N4602="PARCIAL"),D4602&lt;TODAY()-1),"🔴 EMBARQUE ATRASADO",IF(AND(N4602="REALIZADO",M4602="PENDENTE"),"🟡 EMBARCADO SEM FATURAR",IF(AND(P4602&lt;&gt;"",S4602="",OR(Q4602="",R4602="")),"🟡 PENDÊNCIA SEM RESPONSÁVEL/PRAZO",IF(AND(ISNUMBER(R4602),R4602=TODAY()),"🟡 VENCE HOJE",IF(AND(P4602&lt;&gt;"",S4602=""),"🟡 PENDÊNCIA ABERTA",IF(AND(N(J4602)&gt;0,N(K4602)&lt;J4602),"🟡 FALTA EXECUTAR",IF(OR(M4602="PENDENTE",M4602="PARCIAL"),"🟡 FATURAMENTO PENDENTE","🟡 EMBARQUE PENDENTE")))))))))))</f>
        <v/>
      </c>
      <c r="D4602" s="4" t="n"/>
      <c r="E4602" s="5" t="n"/>
      <c r="F4602" s="5" t="n"/>
      <c r="G4602" s="5" t="n"/>
      <c r="H4602" s="5" t="n"/>
      <c r="I4602" s="5" t="n"/>
      <c r="J4602" s="6" t="n"/>
      <c r="K4602" s="6" t="n"/>
      <c r="L4602" s="7">
        <f>IF(OR(D4602="",N(J4602)=0),"",MIN(1,N(K4602)/J4602))</f>
        <v/>
      </c>
      <c r="M4602" s="5" t="n"/>
      <c r="N4602" s="5" t="n"/>
      <c r="O4602" s="5" t="n"/>
      <c r="P4602" s="5" t="n"/>
      <c r="Q4602" s="5" t="n"/>
      <c r="R4602" s="4" t="n"/>
      <c r="S4602" s="4" t="n"/>
      <c r="T4602" s="5" t="n"/>
      <c r="U4602" s="8">
        <f>IF(AND(V4602=1,D4602&lt;&gt;""),IF(D4602&gt;=corte,TODAY()-D4602,""),"")</f>
        <v/>
      </c>
      <c r="V4602" s="8">
        <f>IF(D4602="",0,IF(OR(AND(P4602&lt;&gt;"",S4602=""),AND(N(J4602)&gt;0,N(K4602)&lt;J4602),OR(M4602="PENDENTE",M4602="PARCIAL"),OR(N4602="PENDENTE",N4602="PARCIAL")),1,0))</f>
        <v/>
      </c>
      <c r="W4602" s="8">
        <f>IF(AND(V4602=1,D4602&lt;&gt;""),IF(D4602&gt;=corte,(B4602="CRÍTICO")*1E9+(100000-D4602)*10000+10000-ROW(),""),"")</f>
        <v/>
      </c>
      <c r="X4602" s="8">
        <f>IF(AND(V4602=1,D4602=pas_data,E4602=pas_turno),10000-ROW(),"")</f>
        <v/>
      </c>
    </row>
    <row r="4603">
      <c r="A4603" s="3">
        <f>IF(D4603="","","TT-"&amp;TEXT(ROW()-1,"00000"))</f>
        <v/>
      </c>
      <c r="B4603" s="3">
        <f>IF(D4603="","",IF(V4603=0,"CONCLUÍDO",IF(D4603&lt;corte,"HISTÓRICO",IF(OR(AND(ISNUMBER(R4603),R4603&lt;TODAY()),AND(OR(N4603="PENDENTE",N4603="PARCIAL"),D4603&lt;TODAY()-1)),"CRÍTICO",IF(OR(AND(P4603&lt;&gt;"",S4603=""),AND(N4603="REALIZADO",M4603="PENDENTE"),AND(ISNUMBER(R4603),R4603=TODAY())),"ATENÇÃO",IF(N(K4603)=0,"PENDENTE","EM ANDAMENTO"))))))</f>
        <v/>
      </c>
      <c r="C4603" s="3">
        <f>IF(D4603="","",IF(V4603=0,"🟢 OK",IF(D4603&lt;corte,"⚪ HISTÓRICO (sem baixa)",IF(AND(ISNUMBER(R4603),R4603&lt;TODAY()),"🔴 PRAZO VENCIDO",IF(AND(OR(N4603="PENDENTE",N4603="PARCIAL"),D4603&lt;TODAY()-1),"🔴 EMBARQUE ATRASADO",IF(AND(N4603="REALIZADO",M4603="PENDENTE"),"🟡 EMBARCADO SEM FATURAR",IF(AND(P4603&lt;&gt;"",S4603="",OR(Q4603="",R4603="")),"🟡 PENDÊNCIA SEM RESPONSÁVEL/PRAZO",IF(AND(ISNUMBER(R4603),R4603=TODAY()),"🟡 VENCE HOJE",IF(AND(P4603&lt;&gt;"",S4603=""),"🟡 PENDÊNCIA ABERTA",IF(AND(N(J4603)&gt;0,N(K4603)&lt;J4603),"🟡 FALTA EXECUTAR",IF(OR(M4603="PENDENTE",M4603="PARCIAL"),"🟡 FATURAMENTO PENDENTE","🟡 EMBARQUE PENDENTE")))))))))))</f>
        <v/>
      </c>
      <c r="D4603" s="4" t="n"/>
      <c r="E4603" s="5" t="n"/>
      <c r="F4603" s="5" t="n"/>
      <c r="G4603" s="5" t="n"/>
      <c r="H4603" s="5" t="n"/>
      <c r="I4603" s="5" t="n"/>
      <c r="J4603" s="6" t="n"/>
      <c r="K4603" s="6" t="n"/>
      <c r="L4603" s="7">
        <f>IF(OR(D4603="",N(J4603)=0),"",MIN(1,N(K4603)/J4603))</f>
        <v/>
      </c>
      <c r="M4603" s="5" t="n"/>
      <c r="N4603" s="5" t="n"/>
      <c r="O4603" s="5" t="n"/>
      <c r="P4603" s="5" t="n"/>
      <c r="Q4603" s="5" t="n"/>
      <c r="R4603" s="4" t="n"/>
      <c r="S4603" s="4" t="n"/>
      <c r="T4603" s="5" t="n"/>
      <c r="U4603" s="8">
        <f>IF(AND(V4603=1,D4603&lt;&gt;""),IF(D4603&gt;=corte,TODAY()-D4603,""),"")</f>
        <v/>
      </c>
      <c r="V4603" s="8">
        <f>IF(D4603="",0,IF(OR(AND(P4603&lt;&gt;"",S4603=""),AND(N(J4603)&gt;0,N(K4603)&lt;J4603),OR(M4603="PENDENTE",M4603="PARCIAL"),OR(N4603="PENDENTE",N4603="PARCIAL")),1,0))</f>
        <v/>
      </c>
      <c r="W4603" s="8">
        <f>IF(AND(V4603=1,D4603&lt;&gt;""),IF(D4603&gt;=corte,(B4603="CRÍTICO")*1E9+(100000-D4603)*10000+10000-ROW(),""),"")</f>
        <v/>
      </c>
      <c r="X4603" s="8">
        <f>IF(AND(V4603=1,D4603=pas_data,E4603=pas_turno),10000-ROW(),"")</f>
        <v/>
      </c>
    </row>
    <row r="4604">
      <c r="A4604" s="3">
        <f>IF(D4604="","","TT-"&amp;TEXT(ROW()-1,"00000"))</f>
        <v/>
      </c>
      <c r="B4604" s="3">
        <f>IF(D4604="","",IF(V4604=0,"CONCLUÍDO",IF(D4604&lt;corte,"HISTÓRICO",IF(OR(AND(ISNUMBER(R4604),R4604&lt;TODAY()),AND(OR(N4604="PENDENTE",N4604="PARCIAL"),D4604&lt;TODAY()-1)),"CRÍTICO",IF(OR(AND(P4604&lt;&gt;"",S4604=""),AND(N4604="REALIZADO",M4604="PENDENTE"),AND(ISNUMBER(R4604),R4604=TODAY())),"ATENÇÃO",IF(N(K4604)=0,"PENDENTE","EM ANDAMENTO"))))))</f>
        <v/>
      </c>
      <c r="C4604" s="3">
        <f>IF(D4604="","",IF(V4604=0,"🟢 OK",IF(D4604&lt;corte,"⚪ HISTÓRICO (sem baixa)",IF(AND(ISNUMBER(R4604),R4604&lt;TODAY()),"🔴 PRAZO VENCIDO",IF(AND(OR(N4604="PENDENTE",N4604="PARCIAL"),D4604&lt;TODAY()-1),"🔴 EMBARQUE ATRASADO",IF(AND(N4604="REALIZADO",M4604="PENDENTE"),"🟡 EMBARCADO SEM FATURAR",IF(AND(P4604&lt;&gt;"",S4604="",OR(Q4604="",R4604="")),"🟡 PENDÊNCIA SEM RESPONSÁVEL/PRAZO",IF(AND(ISNUMBER(R4604),R4604=TODAY()),"🟡 VENCE HOJE",IF(AND(P4604&lt;&gt;"",S4604=""),"🟡 PENDÊNCIA ABERTA",IF(AND(N(J4604)&gt;0,N(K4604)&lt;J4604),"🟡 FALTA EXECUTAR",IF(OR(M4604="PENDENTE",M4604="PARCIAL"),"🟡 FATURAMENTO PENDENTE","🟡 EMBARQUE PENDENTE")))))))))))</f>
        <v/>
      </c>
      <c r="D4604" s="4" t="n"/>
      <c r="E4604" s="5" t="n"/>
      <c r="F4604" s="5" t="n"/>
      <c r="G4604" s="5" t="n"/>
      <c r="H4604" s="5" t="n"/>
      <c r="I4604" s="5" t="n"/>
      <c r="J4604" s="6" t="n"/>
      <c r="K4604" s="6" t="n"/>
      <c r="L4604" s="7">
        <f>IF(OR(D4604="",N(J4604)=0),"",MIN(1,N(K4604)/J4604))</f>
        <v/>
      </c>
      <c r="M4604" s="5" t="n"/>
      <c r="N4604" s="5" t="n"/>
      <c r="O4604" s="5" t="n"/>
      <c r="P4604" s="5" t="n"/>
      <c r="Q4604" s="5" t="n"/>
      <c r="R4604" s="4" t="n"/>
      <c r="S4604" s="4" t="n"/>
      <c r="T4604" s="5" t="n"/>
      <c r="U4604" s="8">
        <f>IF(AND(V4604=1,D4604&lt;&gt;""),IF(D4604&gt;=corte,TODAY()-D4604,""),"")</f>
        <v/>
      </c>
      <c r="V4604" s="8">
        <f>IF(D4604="",0,IF(OR(AND(P4604&lt;&gt;"",S4604=""),AND(N(J4604)&gt;0,N(K4604)&lt;J4604),OR(M4604="PENDENTE",M4604="PARCIAL"),OR(N4604="PENDENTE",N4604="PARCIAL")),1,0))</f>
        <v/>
      </c>
      <c r="W4604" s="8">
        <f>IF(AND(V4604=1,D4604&lt;&gt;""),IF(D4604&gt;=corte,(B4604="CRÍTICO")*1E9+(100000-D4604)*10000+10000-ROW(),""),"")</f>
        <v/>
      </c>
      <c r="X4604" s="8">
        <f>IF(AND(V4604=1,D4604=pas_data,E4604=pas_turno),10000-ROW(),"")</f>
        <v/>
      </c>
    </row>
    <row r="4605">
      <c r="A4605" s="3">
        <f>IF(D4605="","","TT-"&amp;TEXT(ROW()-1,"00000"))</f>
        <v/>
      </c>
      <c r="B4605" s="3">
        <f>IF(D4605="","",IF(V4605=0,"CONCLUÍDO",IF(D4605&lt;corte,"HISTÓRICO",IF(OR(AND(ISNUMBER(R4605),R4605&lt;TODAY()),AND(OR(N4605="PENDENTE",N4605="PARCIAL"),D4605&lt;TODAY()-1)),"CRÍTICO",IF(OR(AND(P4605&lt;&gt;"",S4605=""),AND(N4605="REALIZADO",M4605="PENDENTE"),AND(ISNUMBER(R4605),R4605=TODAY())),"ATENÇÃO",IF(N(K4605)=0,"PENDENTE","EM ANDAMENTO"))))))</f>
        <v/>
      </c>
      <c r="C4605" s="3">
        <f>IF(D4605="","",IF(V4605=0,"🟢 OK",IF(D4605&lt;corte,"⚪ HISTÓRICO (sem baixa)",IF(AND(ISNUMBER(R4605),R4605&lt;TODAY()),"🔴 PRAZO VENCIDO",IF(AND(OR(N4605="PENDENTE",N4605="PARCIAL"),D4605&lt;TODAY()-1),"🔴 EMBARQUE ATRASADO",IF(AND(N4605="REALIZADO",M4605="PENDENTE"),"🟡 EMBARCADO SEM FATURAR",IF(AND(P4605&lt;&gt;"",S4605="",OR(Q4605="",R4605="")),"🟡 PENDÊNCIA SEM RESPONSÁVEL/PRAZO",IF(AND(ISNUMBER(R4605),R4605=TODAY()),"🟡 VENCE HOJE",IF(AND(P4605&lt;&gt;"",S4605=""),"🟡 PENDÊNCIA ABERTA",IF(AND(N(J4605)&gt;0,N(K4605)&lt;J4605),"🟡 FALTA EXECUTAR",IF(OR(M4605="PENDENTE",M4605="PARCIAL"),"🟡 FATURAMENTO PENDENTE","🟡 EMBARQUE PENDENTE")))))))))))</f>
        <v/>
      </c>
      <c r="D4605" s="4" t="n"/>
      <c r="E4605" s="5" t="n"/>
      <c r="F4605" s="5" t="n"/>
      <c r="G4605" s="5" t="n"/>
      <c r="H4605" s="5" t="n"/>
      <c r="I4605" s="5" t="n"/>
      <c r="J4605" s="6" t="n"/>
      <c r="K4605" s="6" t="n"/>
      <c r="L4605" s="7">
        <f>IF(OR(D4605="",N(J4605)=0),"",MIN(1,N(K4605)/J4605))</f>
        <v/>
      </c>
      <c r="M4605" s="5" t="n"/>
      <c r="N4605" s="5" t="n"/>
      <c r="O4605" s="5" t="n"/>
      <c r="P4605" s="5" t="n"/>
      <c r="Q4605" s="5" t="n"/>
      <c r="R4605" s="4" t="n"/>
      <c r="S4605" s="4" t="n"/>
      <c r="T4605" s="5" t="n"/>
      <c r="U4605" s="8">
        <f>IF(AND(V4605=1,D4605&lt;&gt;""),IF(D4605&gt;=corte,TODAY()-D4605,""),"")</f>
        <v/>
      </c>
      <c r="V4605" s="8">
        <f>IF(D4605="",0,IF(OR(AND(P4605&lt;&gt;"",S4605=""),AND(N(J4605)&gt;0,N(K4605)&lt;J4605),OR(M4605="PENDENTE",M4605="PARCIAL"),OR(N4605="PENDENTE",N4605="PARCIAL")),1,0))</f>
        <v/>
      </c>
      <c r="W4605" s="8">
        <f>IF(AND(V4605=1,D4605&lt;&gt;""),IF(D4605&gt;=corte,(B4605="CRÍTICO")*1E9+(100000-D4605)*10000+10000-ROW(),""),"")</f>
        <v/>
      </c>
      <c r="X4605" s="8">
        <f>IF(AND(V4605=1,D4605=pas_data,E4605=pas_turno),10000-ROW(),"")</f>
        <v/>
      </c>
    </row>
    <row r="4606">
      <c r="A4606" s="3">
        <f>IF(D4606="","","TT-"&amp;TEXT(ROW()-1,"00000"))</f>
        <v/>
      </c>
      <c r="B4606" s="3">
        <f>IF(D4606="","",IF(V4606=0,"CONCLUÍDO",IF(D4606&lt;corte,"HISTÓRICO",IF(OR(AND(ISNUMBER(R4606),R4606&lt;TODAY()),AND(OR(N4606="PENDENTE",N4606="PARCIAL"),D4606&lt;TODAY()-1)),"CRÍTICO",IF(OR(AND(P4606&lt;&gt;"",S4606=""),AND(N4606="REALIZADO",M4606="PENDENTE"),AND(ISNUMBER(R4606),R4606=TODAY())),"ATENÇÃO",IF(N(K4606)=0,"PENDENTE","EM ANDAMENTO"))))))</f>
        <v/>
      </c>
      <c r="C4606" s="3">
        <f>IF(D4606="","",IF(V4606=0,"🟢 OK",IF(D4606&lt;corte,"⚪ HISTÓRICO (sem baixa)",IF(AND(ISNUMBER(R4606),R4606&lt;TODAY()),"🔴 PRAZO VENCIDO",IF(AND(OR(N4606="PENDENTE",N4606="PARCIAL"),D4606&lt;TODAY()-1),"🔴 EMBARQUE ATRASADO",IF(AND(N4606="REALIZADO",M4606="PENDENTE"),"🟡 EMBARCADO SEM FATURAR",IF(AND(P4606&lt;&gt;"",S4606="",OR(Q4606="",R4606="")),"🟡 PENDÊNCIA SEM RESPONSÁVEL/PRAZO",IF(AND(ISNUMBER(R4606),R4606=TODAY()),"🟡 VENCE HOJE",IF(AND(P4606&lt;&gt;"",S4606=""),"🟡 PENDÊNCIA ABERTA",IF(AND(N(J4606)&gt;0,N(K4606)&lt;J4606),"🟡 FALTA EXECUTAR",IF(OR(M4606="PENDENTE",M4606="PARCIAL"),"🟡 FATURAMENTO PENDENTE","🟡 EMBARQUE PENDENTE")))))))))))</f>
        <v/>
      </c>
      <c r="D4606" s="4" t="n"/>
      <c r="E4606" s="5" t="n"/>
      <c r="F4606" s="5" t="n"/>
      <c r="G4606" s="5" t="n"/>
      <c r="H4606" s="5" t="n"/>
      <c r="I4606" s="5" t="n"/>
      <c r="J4606" s="6" t="n"/>
      <c r="K4606" s="6" t="n"/>
      <c r="L4606" s="7">
        <f>IF(OR(D4606="",N(J4606)=0),"",MIN(1,N(K4606)/J4606))</f>
        <v/>
      </c>
      <c r="M4606" s="5" t="n"/>
      <c r="N4606" s="5" t="n"/>
      <c r="O4606" s="5" t="n"/>
      <c r="P4606" s="5" t="n"/>
      <c r="Q4606" s="5" t="n"/>
      <c r="R4606" s="4" t="n"/>
      <c r="S4606" s="4" t="n"/>
      <c r="T4606" s="5" t="n"/>
      <c r="U4606" s="8">
        <f>IF(AND(V4606=1,D4606&lt;&gt;""),IF(D4606&gt;=corte,TODAY()-D4606,""),"")</f>
        <v/>
      </c>
      <c r="V4606" s="8">
        <f>IF(D4606="",0,IF(OR(AND(P4606&lt;&gt;"",S4606=""),AND(N(J4606)&gt;0,N(K4606)&lt;J4606),OR(M4606="PENDENTE",M4606="PARCIAL"),OR(N4606="PENDENTE",N4606="PARCIAL")),1,0))</f>
        <v/>
      </c>
      <c r="W4606" s="8">
        <f>IF(AND(V4606=1,D4606&lt;&gt;""),IF(D4606&gt;=corte,(B4606="CRÍTICO")*1E9+(100000-D4606)*10000+10000-ROW(),""),"")</f>
        <v/>
      </c>
      <c r="X4606" s="8">
        <f>IF(AND(V4606=1,D4606=pas_data,E4606=pas_turno),10000-ROW(),"")</f>
        <v/>
      </c>
    </row>
    <row r="4607">
      <c r="A4607" s="3">
        <f>IF(D4607="","","TT-"&amp;TEXT(ROW()-1,"00000"))</f>
        <v/>
      </c>
      <c r="B4607" s="3">
        <f>IF(D4607="","",IF(V4607=0,"CONCLUÍDO",IF(D4607&lt;corte,"HISTÓRICO",IF(OR(AND(ISNUMBER(R4607),R4607&lt;TODAY()),AND(OR(N4607="PENDENTE",N4607="PARCIAL"),D4607&lt;TODAY()-1)),"CRÍTICO",IF(OR(AND(P4607&lt;&gt;"",S4607=""),AND(N4607="REALIZADO",M4607="PENDENTE"),AND(ISNUMBER(R4607),R4607=TODAY())),"ATENÇÃO",IF(N(K4607)=0,"PENDENTE","EM ANDAMENTO"))))))</f>
        <v/>
      </c>
      <c r="C4607" s="3">
        <f>IF(D4607="","",IF(V4607=0,"🟢 OK",IF(D4607&lt;corte,"⚪ HISTÓRICO (sem baixa)",IF(AND(ISNUMBER(R4607),R4607&lt;TODAY()),"🔴 PRAZO VENCIDO",IF(AND(OR(N4607="PENDENTE",N4607="PARCIAL"),D4607&lt;TODAY()-1),"🔴 EMBARQUE ATRASADO",IF(AND(N4607="REALIZADO",M4607="PENDENTE"),"🟡 EMBARCADO SEM FATURAR",IF(AND(P4607&lt;&gt;"",S4607="",OR(Q4607="",R4607="")),"🟡 PENDÊNCIA SEM RESPONSÁVEL/PRAZO",IF(AND(ISNUMBER(R4607),R4607=TODAY()),"🟡 VENCE HOJE",IF(AND(P4607&lt;&gt;"",S4607=""),"🟡 PENDÊNCIA ABERTA",IF(AND(N(J4607)&gt;0,N(K4607)&lt;J4607),"🟡 FALTA EXECUTAR",IF(OR(M4607="PENDENTE",M4607="PARCIAL"),"🟡 FATURAMENTO PENDENTE","🟡 EMBARQUE PENDENTE")))))))))))</f>
        <v/>
      </c>
      <c r="D4607" s="4" t="n"/>
      <c r="E4607" s="5" t="n"/>
      <c r="F4607" s="5" t="n"/>
      <c r="G4607" s="5" t="n"/>
      <c r="H4607" s="5" t="n"/>
      <c r="I4607" s="5" t="n"/>
      <c r="J4607" s="6" t="n"/>
      <c r="K4607" s="6" t="n"/>
      <c r="L4607" s="7">
        <f>IF(OR(D4607="",N(J4607)=0),"",MIN(1,N(K4607)/J4607))</f>
        <v/>
      </c>
      <c r="M4607" s="5" t="n"/>
      <c r="N4607" s="5" t="n"/>
      <c r="O4607" s="5" t="n"/>
      <c r="P4607" s="5" t="n"/>
      <c r="Q4607" s="5" t="n"/>
      <c r="R4607" s="4" t="n"/>
      <c r="S4607" s="4" t="n"/>
      <c r="T4607" s="5" t="n"/>
      <c r="U4607" s="8">
        <f>IF(AND(V4607=1,D4607&lt;&gt;""),IF(D4607&gt;=corte,TODAY()-D4607,""),"")</f>
        <v/>
      </c>
      <c r="V4607" s="8">
        <f>IF(D4607="",0,IF(OR(AND(P4607&lt;&gt;"",S4607=""),AND(N(J4607)&gt;0,N(K4607)&lt;J4607),OR(M4607="PENDENTE",M4607="PARCIAL"),OR(N4607="PENDENTE",N4607="PARCIAL")),1,0))</f>
        <v/>
      </c>
      <c r="W4607" s="8">
        <f>IF(AND(V4607=1,D4607&lt;&gt;""),IF(D4607&gt;=corte,(B4607="CRÍTICO")*1E9+(100000-D4607)*10000+10000-ROW(),""),"")</f>
        <v/>
      </c>
      <c r="X4607" s="8">
        <f>IF(AND(V4607=1,D4607=pas_data,E4607=pas_turno),10000-ROW(),"")</f>
        <v/>
      </c>
    </row>
    <row r="4608">
      <c r="A4608" s="3">
        <f>IF(D4608="","","TT-"&amp;TEXT(ROW()-1,"00000"))</f>
        <v/>
      </c>
      <c r="B4608" s="3">
        <f>IF(D4608="","",IF(V4608=0,"CONCLUÍDO",IF(D4608&lt;corte,"HISTÓRICO",IF(OR(AND(ISNUMBER(R4608),R4608&lt;TODAY()),AND(OR(N4608="PENDENTE",N4608="PARCIAL"),D4608&lt;TODAY()-1)),"CRÍTICO",IF(OR(AND(P4608&lt;&gt;"",S4608=""),AND(N4608="REALIZADO",M4608="PENDENTE"),AND(ISNUMBER(R4608),R4608=TODAY())),"ATENÇÃO",IF(N(K4608)=0,"PENDENTE","EM ANDAMENTO"))))))</f>
        <v/>
      </c>
      <c r="C4608" s="3">
        <f>IF(D4608="","",IF(V4608=0,"🟢 OK",IF(D4608&lt;corte,"⚪ HISTÓRICO (sem baixa)",IF(AND(ISNUMBER(R4608),R4608&lt;TODAY()),"🔴 PRAZO VENCIDO",IF(AND(OR(N4608="PENDENTE",N4608="PARCIAL"),D4608&lt;TODAY()-1),"🔴 EMBARQUE ATRASADO",IF(AND(N4608="REALIZADO",M4608="PENDENTE"),"🟡 EMBARCADO SEM FATURAR",IF(AND(P4608&lt;&gt;"",S4608="",OR(Q4608="",R4608="")),"🟡 PENDÊNCIA SEM RESPONSÁVEL/PRAZO",IF(AND(ISNUMBER(R4608),R4608=TODAY()),"🟡 VENCE HOJE",IF(AND(P4608&lt;&gt;"",S4608=""),"🟡 PENDÊNCIA ABERTA",IF(AND(N(J4608)&gt;0,N(K4608)&lt;J4608),"🟡 FALTA EXECUTAR",IF(OR(M4608="PENDENTE",M4608="PARCIAL"),"🟡 FATURAMENTO PENDENTE","🟡 EMBARQUE PENDENTE")))))))))))</f>
        <v/>
      </c>
      <c r="D4608" s="4" t="n"/>
      <c r="E4608" s="5" t="n"/>
      <c r="F4608" s="5" t="n"/>
      <c r="G4608" s="5" t="n"/>
      <c r="H4608" s="5" t="n"/>
      <c r="I4608" s="5" t="n"/>
      <c r="J4608" s="6" t="n"/>
      <c r="K4608" s="6" t="n"/>
      <c r="L4608" s="7">
        <f>IF(OR(D4608="",N(J4608)=0),"",MIN(1,N(K4608)/J4608))</f>
        <v/>
      </c>
      <c r="M4608" s="5" t="n"/>
      <c r="N4608" s="5" t="n"/>
      <c r="O4608" s="5" t="n"/>
      <c r="P4608" s="5" t="n"/>
      <c r="Q4608" s="5" t="n"/>
      <c r="R4608" s="4" t="n"/>
      <c r="S4608" s="4" t="n"/>
      <c r="T4608" s="5" t="n"/>
      <c r="U4608" s="8">
        <f>IF(AND(V4608=1,D4608&lt;&gt;""),IF(D4608&gt;=corte,TODAY()-D4608,""),"")</f>
        <v/>
      </c>
      <c r="V4608" s="8">
        <f>IF(D4608="",0,IF(OR(AND(P4608&lt;&gt;"",S4608=""),AND(N(J4608)&gt;0,N(K4608)&lt;J4608),OR(M4608="PENDENTE",M4608="PARCIAL"),OR(N4608="PENDENTE",N4608="PARCIAL")),1,0))</f>
        <v/>
      </c>
      <c r="W4608" s="8">
        <f>IF(AND(V4608=1,D4608&lt;&gt;""),IF(D4608&gt;=corte,(B4608="CRÍTICO")*1E9+(100000-D4608)*10000+10000-ROW(),""),"")</f>
        <v/>
      </c>
      <c r="X4608" s="8">
        <f>IF(AND(V4608=1,D4608=pas_data,E4608=pas_turno),10000-ROW(),"")</f>
        <v/>
      </c>
    </row>
    <row r="4609">
      <c r="A4609" s="3">
        <f>IF(D4609="","","TT-"&amp;TEXT(ROW()-1,"00000"))</f>
        <v/>
      </c>
      <c r="B4609" s="3">
        <f>IF(D4609="","",IF(V4609=0,"CONCLUÍDO",IF(D4609&lt;corte,"HISTÓRICO",IF(OR(AND(ISNUMBER(R4609),R4609&lt;TODAY()),AND(OR(N4609="PENDENTE",N4609="PARCIAL"),D4609&lt;TODAY()-1)),"CRÍTICO",IF(OR(AND(P4609&lt;&gt;"",S4609=""),AND(N4609="REALIZADO",M4609="PENDENTE"),AND(ISNUMBER(R4609),R4609=TODAY())),"ATENÇÃO",IF(N(K4609)=0,"PENDENTE","EM ANDAMENTO"))))))</f>
        <v/>
      </c>
      <c r="C4609" s="3">
        <f>IF(D4609="","",IF(V4609=0,"🟢 OK",IF(D4609&lt;corte,"⚪ HISTÓRICO (sem baixa)",IF(AND(ISNUMBER(R4609),R4609&lt;TODAY()),"🔴 PRAZO VENCIDO",IF(AND(OR(N4609="PENDENTE",N4609="PARCIAL"),D4609&lt;TODAY()-1),"🔴 EMBARQUE ATRASADO",IF(AND(N4609="REALIZADO",M4609="PENDENTE"),"🟡 EMBARCADO SEM FATURAR",IF(AND(P4609&lt;&gt;"",S4609="",OR(Q4609="",R4609="")),"🟡 PENDÊNCIA SEM RESPONSÁVEL/PRAZO",IF(AND(ISNUMBER(R4609),R4609=TODAY()),"🟡 VENCE HOJE",IF(AND(P4609&lt;&gt;"",S4609=""),"🟡 PENDÊNCIA ABERTA",IF(AND(N(J4609)&gt;0,N(K4609)&lt;J4609),"🟡 FALTA EXECUTAR",IF(OR(M4609="PENDENTE",M4609="PARCIAL"),"🟡 FATURAMENTO PENDENTE","🟡 EMBARQUE PENDENTE")))))))))))</f>
        <v/>
      </c>
      <c r="D4609" s="4" t="n"/>
      <c r="E4609" s="5" t="n"/>
      <c r="F4609" s="5" t="n"/>
      <c r="G4609" s="5" t="n"/>
      <c r="H4609" s="5" t="n"/>
      <c r="I4609" s="5" t="n"/>
      <c r="J4609" s="6" t="n"/>
      <c r="K4609" s="6" t="n"/>
      <c r="L4609" s="7">
        <f>IF(OR(D4609="",N(J4609)=0),"",MIN(1,N(K4609)/J4609))</f>
        <v/>
      </c>
      <c r="M4609" s="5" t="n"/>
      <c r="N4609" s="5" t="n"/>
      <c r="O4609" s="5" t="n"/>
      <c r="P4609" s="5" t="n"/>
      <c r="Q4609" s="5" t="n"/>
      <c r="R4609" s="4" t="n"/>
      <c r="S4609" s="4" t="n"/>
      <c r="T4609" s="5" t="n"/>
      <c r="U4609" s="8">
        <f>IF(AND(V4609=1,D4609&lt;&gt;""),IF(D4609&gt;=corte,TODAY()-D4609,""),"")</f>
        <v/>
      </c>
      <c r="V4609" s="8">
        <f>IF(D4609="",0,IF(OR(AND(P4609&lt;&gt;"",S4609=""),AND(N(J4609)&gt;0,N(K4609)&lt;J4609),OR(M4609="PENDENTE",M4609="PARCIAL"),OR(N4609="PENDENTE",N4609="PARCIAL")),1,0))</f>
        <v/>
      </c>
      <c r="W4609" s="8">
        <f>IF(AND(V4609=1,D4609&lt;&gt;""),IF(D4609&gt;=corte,(B4609="CRÍTICO")*1E9+(100000-D4609)*10000+10000-ROW(),""),"")</f>
        <v/>
      </c>
      <c r="X4609" s="8">
        <f>IF(AND(V4609=1,D4609=pas_data,E4609=pas_turno),10000-ROW(),"")</f>
        <v/>
      </c>
    </row>
    <row r="4610">
      <c r="A4610" s="3">
        <f>IF(D4610="","","TT-"&amp;TEXT(ROW()-1,"00000"))</f>
        <v/>
      </c>
      <c r="B4610" s="3">
        <f>IF(D4610="","",IF(V4610=0,"CONCLUÍDO",IF(D4610&lt;corte,"HISTÓRICO",IF(OR(AND(ISNUMBER(R4610),R4610&lt;TODAY()),AND(OR(N4610="PENDENTE",N4610="PARCIAL"),D4610&lt;TODAY()-1)),"CRÍTICO",IF(OR(AND(P4610&lt;&gt;"",S4610=""),AND(N4610="REALIZADO",M4610="PENDENTE"),AND(ISNUMBER(R4610),R4610=TODAY())),"ATENÇÃO",IF(N(K4610)=0,"PENDENTE","EM ANDAMENTO"))))))</f>
        <v/>
      </c>
      <c r="C4610" s="3">
        <f>IF(D4610="","",IF(V4610=0,"🟢 OK",IF(D4610&lt;corte,"⚪ HISTÓRICO (sem baixa)",IF(AND(ISNUMBER(R4610),R4610&lt;TODAY()),"🔴 PRAZO VENCIDO",IF(AND(OR(N4610="PENDENTE",N4610="PARCIAL"),D4610&lt;TODAY()-1),"🔴 EMBARQUE ATRASADO",IF(AND(N4610="REALIZADO",M4610="PENDENTE"),"🟡 EMBARCADO SEM FATURAR",IF(AND(P4610&lt;&gt;"",S4610="",OR(Q4610="",R4610="")),"🟡 PENDÊNCIA SEM RESPONSÁVEL/PRAZO",IF(AND(ISNUMBER(R4610),R4610=TODAY()),"🟡 VENCE HOJE",IF(AND(P4610&lt;&gt;"",S4610=""),"🟡 PENDÊNCIA ABERTA",IF(AND(N(J4610)&gt;0,N(K4610)&lt;J4610),"🟡 FALTA EXECUTAR",IF(OR(M4610="PENDENTE",M4610="PARCIAL"),"🟡 FATURAMENTO PENDENTE","🟡 EMBARQUE PENDENTE")))))))))))</f>
        <v/>
      </c>
      <c r="D4610" s="4" t="n"/>
      <c r="E4610" s="5" t="n"/>
      <c r="F4610" s="5" t="n"/>
      <c r="G4610" s="5" t="n"/>
      <c r="H4610" s="5" t="n"/>
      <c r="I4610" s="5" t="n"/>
      <c r="J4610" s="6" t="n"/>
      <c r="K4610" s="6" t="n"/>
      <c r="L4610" s="7">
        <f>IF(OR(D4610="",N(J4610)=0),"",MIN(1,N(K4610)/J4610))</f>
        <v/>
      </c>
      <c r="M4610" s="5" t="n"/>
      <c r="N4610" s="5" t="n"/>
      <c r="O4610" s="5" t="n"/>
      <c r="P4610" s="5" t="n"/>
      <c r="Q4610" s="5" t="n"/>
      <c r="R4610" s="4" t="n"/>
      <c r="S4610" s="4" t="n"/>
      <c r="T4610" s="5" t="n"/>
      <c r="U4610" s="8">
        <f>IF(AND(V4610=1,D4610&lt;&gt;""),IF(D4610&gt;=corte,TODAY()-D4610,""),"")</f>
        <v/>
      </c>
      <c r="V4610" s="8">
        <f>IF(D4610="",0,IF(OR(AND(P4610&lt;&gt;"",S4610=""),AND(N(J4610)&gt;0,N(K4610)&lt;J4610),OR(M4610="PENDENTE",M4610="PARCIAL"),OR(N4610="PENDENTE",N4610="PARCIAL")),1,0))</f>
        <v/>
      </c>
      <c r="W4610" s="8">
        <f>IF(AND(V4610=1,D4610&lt;&gt;""),IF(D4610&gt;=corte,(B4610="CRÍTICO")*1E9+(100000-D4610)*10000+10000-ROW(),""),"")</f>
        <v/>
      </c>
      <c r="X4610" s="8">
        <f>IF(AND(V4610=1,D4610=pas_data,E4610=pas_turno),10000-ROW(),"")</f>
        <v/>
      </c>
    </row>
    <row r="4611">
      <c r="A4611" s="3">
        <f>IF(D4611="","","TT-"&amp;TEXT(ROW()-1,"00000"))</f>
        <v/>
      </c>
      <c r="B4611" s="3">
        <f>IF(D4611="","",IF(V4611=0,"CONCLUÍDO",IF(D4611&lt;corte,"HISTÓRICO",IF(OR(AND(ISNUMBER(R4611),R4611&lt;TODAY()),AND(OR(N4611="PENDENTE",N4611="PARCIAL"),D4611&lt;TODAY()-1)),"CRÍTICO",IF(OR(AND(P4611&lt;&gt;"",S4611=""),AND(N4611="REALIZADO",M4611="PENDENTE"),AND(ISNUMBER(R4611),R4611=TODAY())),"ATENÇÃO",IF(N(K4611)=0,"PENDENTE","EM ANDAMENTO"))))))</f>
        <v/>
      </c>
      <c r="C4611" s="3">
        <f>IF(D4611="","",IF(V4611=0,"🟢 OK",IF(D4611&lt;corte,"⚪ HISTÓRICO (sem baixa)",IF(AND(ISNUMBER(R4611),R4611&lt;TODAY()),"🔴 PRAZO VENCIDO",IF(AND(OR(N4611="PENDENTE",N4611="PARCIAL"),D4611&lt;TODAY()-1),"🔴 EMBARQUE ATRASADO",IF(AND(N4611="REALIZADO",M4611="PENDENTE"),"🟡 EMBARCADO SEM FATURAR",IF(AND(P4611&lt;&gt;"",S4611="",OR(Q4611="",R4611="")),"🟡 PENDÊNCIA SEM RESPONSÁVEL/PRAZO",IF(AND(ISNUMBER(R4611),R4611=TODAY()),"🟡 VENCE HOJE",IF(AND(P4611&lt;&gt;"",S4611=""),"🟡 PENDÊNCIA ABERTA",IF(AND(N(J4611)&gt;0,N(K4611)&lt;J4611),"🟡 FALTA EXECUTAR",IF(OR(M4611="PENDENTE",M4611="PARCIAL"),"🟡 FATURAMENTO PENDENTE","🟡 EMBARQUE PENDENTE")))))))))))</f>
        <v/>
      </c>
      <c r="D4611" s="4" t="n"/>
      <c r="E4611" s="5" t="n"/>
      <c r="F4611" s="5" t="n"/>
      <c r="G4611" s="5" t="n"/>
      <c r="H4611" s="5" t="n"/>
      <c r="I4611" s="5" t="n"/>
      <c r="J4611" s="6" t="n"/>
      <c r="K4611" s="6" t="n"/>
      <c r="L4611" s="7">
        <f>IF(OR(D4611="",N(J4611)=0),"",MIN(1,N(K4611)/J4611))</f>
        <v/>
      </c>
      <c r="M4611" s="5" t="n"/>
      <c r="N4611" s="5" t="n"/>
      <c r="O4611" s="5" t="n"/>
      <c r="P4611" s="5" t="n"/>
      <c r="Q4611" s="5" t="n"/>
      <c r="R4611" s="4" t="n"/>
      <c r="S4611" s="4" t="n"/>
      <c r="T4611" s="5" t="n"/>
      <c r="U4611" s="8">
        <f>IF(AND(V4611=1,D4611&lt;&gt;""),IF(D4611&gt;=corte,TODAY()-D4611,""),"")</f>
        <v/>
      </c>
      <c r="V4611" s="8">
        <f>IF(D4611="",0,IF(OR(AND(P4611&lt;&gt;"",S4611=""),AND(N(J4611)&gt;0,N(K4611)&lt;J4611),OR(M4611="PENDENTE",M4611="PARCIAL"),OR(N4611="PENDENTE",N4611="PARCIAL")),1,0))</f>
        <v/>
      </c>
      <c r="W4611" s="8">
        <f>IF(AND(V4611=1,D4611&lt;&gt;""),IF(D4611&gt;=corte,(B4611="CRÍTICO")*1E9+(100000-D4611)*10000+10000-ROW(),""),"")</f>
        <v/>
      </c>
      <c r="X4611" s="8">
        <f>IF(AND(V4611=1,D4611=pas_data,E4611=pas_turno),10000-ROW(),"")</f>
        <v/>
      </c>
    </row>
    <row r="4612">
      <c r="A4612" s="3">
        <f>IF(D4612="","","TT-"&amp;TEXT(ROW()-1,"00000"))</f>
        <v/>
      </c>
      <c r="B4612" s="3">
        <f>IF(D4612="","",IF(V4612=0,"CONCLUÍDO",IF(D4612&lt;corte,"HISTÓRICO",IF(OR(AND(ISNUMBER(R4612),R4612&lt;TODAY()),AND(OR(N4612="PENDENTE",N4612="PARCIAL"),D4612&lt;TODAY()-1)),"CRÍTICO",IF(OR(AND(P4612&lt;&gt;"",S4612=""),AND(N4612="REALIZADO",M4612="PENDENTE"),AND(ISNUMBER(R4612),R4612=TODAY())),"ATENÇÃO",IF(N(K4612)=0,"PENDENTE","EM ANDAMENTO"))))))</f>
        <v/>
      </c>
      <c r="C4612" s="3">
        <f>IF(D4612="","",IF(V4612=0,"🟢 OK",IF(D4612&lt;corte,"⚪ HISTÓRICO (sem baixa)",IF(AND(ISNUMBER(R4612),R4612&lt;TODAY()),"🔴 PRAZO VENCIDO",IF(AND(OR(N4612="PENDENTE",N4612="PARCIAL"),D4612&lt;TODAY()-1),"🔴 EMBARQUE ATRASADO",IF(AND(N4612="REALIZADO",M4612="PENDENTE"),"🟡 EMBARCADO SEM FATURAR",IF(AND(P4612&lt;&gt;"",S4612="",OR(Q4612="",R4612="")),"🟡 PENDÊNCIA SEM RESPONSÁVEL/PRAZO",IF(AND(ISNUMBER(R4612),R4612=TODAY()),"🟡 VENCE HOJE",IF(AND(P4612&lt;&gt;"",S4612=""),"🟡 PENDÊNCIA ABERTA",IF(AND(N(J4612)&gt;0,N(K4612)&lt;J4612),"🟡 FALTA EXECUTAR",IF(OR(M4612="PENDENTE",M4612="PARCIAL"),"🟡 FATURAMENTO PENDENTE","🟡 EMBARQUE PENDENTE")))))))))))</f>
        <v/>
      </c>
      <c r="D4612" s="4" t="n"/>
      <c r="E4612" s="5" t="n"/>
      <c r="F4612" s="5" t="n"/>
      <c r="G4612" s="5" t="n"/>
      <c r="H4612" s="5" t="n"/>
      <c r="I4612" s="5" t="n"/>
      <c r="J4612" s="6" t="n"/>
      <c r="K4612" s="6" t="n"/>
      <c r="L4612" s="7">
        <f>IF(OR(D4612="",N(J4612)=0),"",MIN(1,N(K4612)/J4612))</f>
        <v/>
      </c>
      <c r="M4612" s="5" t="n"/>
      <c r="N4612" s="5" t="n"/>
      <c r="O4612" s="5" t="n"/>
      <c r="P4612" s="5" t="n"/>
      <c r="Q4612" s="5" t="n"/>
      <c r="R4612" s="4" t="n"/>
      <c r="S4612" s="4" t="n"/>
      <c r="T4612" s="5" t="n"/>
      <c r="U4612" s="8">
        <f>IF(AND(V4612=1,D4612&lt;&gt;""),IF(D4612&gt;=corte,TODAY()-D4612,""),"")</f>
        <v/>
      </c>
      <c r="V4612" s="8">
        <f>IF(D4612="",0,IF(OR(AND(P4612&lt;&gt;"",S4612=""),AND(N(J4612)&gt;0,N(K4612)&lt;J4612),OR(M4612="PENDENTE",M4612="PARCIAL"),OR(N4612="PENDENTE",N4612="PARCIAL")),1,0))</f>
        <v/>
      </c>
      <c r="W4612" s="8">
        <f>IF(AND(V4612=1,D4612&lt;&gt;""),IF(D4612&gt;=corte,(B4612="CRÍTICO")*1E9+(100000-D4612)*10000+10000-ROW(),""),"")</f>
        <v/>
      </c>
      <c r="X4612" s="8">
        <f>IF(AND(V4612=1,D4612=pas_data,E4612=pas_turno),10000-ROW(),"")</f>
        <v/>
      </c>
    </row>
    <row r="4613">
      <c r="A4613" s="3">
        <f>IF(D4613="","","TT-"&amp;TEXT(ROW()-1,"00000"))</f>
        <v/>
      </c>
      <c r="B4613" s="3">
        <f>IF(D4613="","",IF(V4613=0,"CONCLUÍDO",IF(D4613&lt;corte,"HISTÓRICO",IF(OR(AND(ISNUMBER(R4613),R4613&lt;TODAY()),AND(OR(N4613="PENDENTE",N4613="PARCIAL"),D4613&lt;TODAY()-1)),"CRÍTICO",IF(OR(AND(P4613&lt;&gt;"",S4613=""),AND(N4613="REALIZADO",M4613="PENDENTE"),AND(ISNUMBER(R4613),R4613=TODAY())),"ATENÇÃO",IF(N(K4613)=0,"PENDENTE","EM ANDAMENTO"))))))</f>
        <v/>
      </c>
      <c r="C4613" s="3">
        <f>IF(D4613="","",IF(V4613=0,"🟢 OK",IF(D4613&lt;corte,"⚪ HISTÓRICO (sem baixa)",IF(AND(ISNUMBER(R4613),R4613&lt;TODAY()),"🔴 PRAZO VENCIDO",IF(AND(OR(N4613="PENDENTE",N4613="PARCIAL"),D4613&lt;TODAY()-1),"🔴 EMBARQUE ATRASADO",IF(AND(N4613="REALIZADO",M4613="PENDENTE"),"🟡 EMBARCADO SEM FATURAR",IF(AND(P4613&lt;&gt;"",S4613="",OR(Q4613="",R4613="")),"🟡 PENDÊNCIA SEM RESPONSÁVEL/PRAZO",IF(AND(ISNUMBER(R4613),R4613=TODAY()),"🟡 VENCE HOJE",IF(AND(P4613&lt;&gt;"",S4613=""),"🟡 PENDÊNCIA ABERTA",IF(AND(N(J4613)&gt;0,N(K4613)&lt;J4613),"🟡 FALTA EXECUTAR",IF(OR(M4613="PENDENTE",M4613="PARCIAL"),"🟡 FATURAMENTO PENDENTE","🟡 EMBARQUE PENDENTE")))))))))))</f>
        <v/>
      </c>
      <c r="D4613" s="4" t="n"/>
      <c r="E4613" s="5" t="n"/>
      <c r="F4613" s="5" t="n"/>
      <c r="G4613" s="5" t="n"/>
      <c r="H4613" s="5" t="n"/>
      <c r="I4613" s="5" t="n"/>
      <c r="J4613" s="6" t="n"/>
      <c r="K4613" s="6" t="n"/>
      <c r="L4613" s="7">
        <f>IF(OR(D4613="",N(J4613)=0),"",MIN(1,N(K4613)/J4613))</f>
        <v/>
      </c>
      <c r="M4613" s="5" t="n"/>
      <c r="N4613" s="5" t="n"/>
      <c r="O4613" s="5" t="n"/>
      <c r="P4613" s="5" t="n"/>
      <c r="Q4613" s="5" t="n"/>
      <c r="R4613" s="4" t="n"/>
      <c r="S4613" s="4" t="n"/>
      <c r="T4613" s="5" t="n"/>
      <c r="U4613" s="8">
        <f>IF(AND(V4613=1,D4613&lt;&gt;""),IF(D4613&gt;=corte,TODAY()-D4613,""),"")</f>
        <v/>
      </c>
      <c r="V4613" s="8">
        <f>IF(D4613="",0,IF(OR(AND(P4613&lt;&gt;"",S4613=""),AND(N(J4613)&gt;0,N(K4613)&lt;J4613),OR(M4613="PENDENTE",M4613="PARCIAL"),OR(N4613="PENDENTE",N4613="PARCIAL")),1,0))</f>
        <v/>
      </c>
      <c r="W4613" s="8">
        <f>IF(AND(V4613=1,D4613&lt;&gt;""),IF(D4613&gt;=corte,(B4613="CRÍTICO")*1E9+(100000-D4613)*10000+10000-ROW(),""),"")</f>
        <v/>
      </c>
      <c r="X4613" s="8">
        <f>IF(AND(V4613=1,D4613=pas_data,E4613=pas_turno),10000-ROW(),"")</f>
        <v/>
      </c>
    </row>
    <row r="4614">
      <c r="A4614" s="3">
        <f>IF(D4614="","","TT-"&amp;TEXT(ROW()-1,"00000"))</f>
        <v/>
      </c>
      <c r="B4614" s="3">
        <f>IF(D4614="","",IF(V4614=0,"CONCLUÍDO",IF(D4614&lt;corte,"HISTÓRICO",IF(OR(AND(ISNUMBER(R4614),R4614&lt;TODAY()),AND(OR(N4614="PENDENTE",N4614="PARCIAL"),D4614&lt;TODAY()-1)),"CRÍTICO",IF(OR(AND(P4614&lt;&gt;"",S4614=""),AND(N4614="REALIZADO",M4614="PENDENTE"),AND(ISNUMBER(R4614),R4614=TODAY())),"ATENÇÃO",IF(N(K4614)=0,"PENDENTE","EM ANDAMENTO"))))))</f>
        <v/>
      </c>
      <c r="C4614" s="3">
        <f>IF(D4614="","",IF(V4614=0,"🟢 OK",IF(D4614&lt;corte,"⚪ HISTÓRICO (sem baixa)",IF(AND(ISNUMBER(R4614),R4614&lt;TODAY()),"🔴 PRAZO VENCIDO",IF(AND(OR(N4614="PENDENTE",N4614="PARCIAL"),D4614&lt;TODAY()-1),"🔴 EMBARQUE ATRASADO",IF(AND(N4614="REALIZADO",M4614="PENDENTE"),"🟡 EMBARCADO SEM FATURAR",IF(AND(P4614&lt;&gt;"",S4614="",OR(Q4614="",R4614="")),"🟡 PENDÊNCIA SEM RESPONSÁVEL/PRAZO",IF(AND(ISNUMBER(R4614),R4614=TODAY()),"🟡 VENCE HOJE",IF(AND(P4614&lt;&gt;"",S4614=""),"🟡 PENDÊNCIA ABERTA",IF(AND(N(J4614)&gt;0,N(K4614)&lt;J4614),"🟡 FALTA EXECUTAR",IF(OR(M4614="PENDENTE",M4614="PARCIAL"),"🟡 FATURAMENTO PENDENTE","🟡 EMBARQUE PENDENTE")))))))))))</f>
        <v/>
      </c>
      <c r="D4614" s="4" t="n"/>
      <c r="E4614" s="5" t="n"/>
      <c r="F4614" s="5" t="n"/>
      <c r="G4614" s="5" t="n"/>
      <c r="H4614" s="5" t="n"/>
      <c r="I4614" s="5" t="n"/>
      <c r="J4614" s="6" t="n"/>
      <c r="K4614" s="6" t="n"/>
      <c r="L4614" s="7">
        <f>IF(OR(D4614="",N(J4614)=0),"",MIN(1,N(K4614)/J4614))</f>
        <v/>
      </c>
      <c r="M4614" s="5" t="n"/>
      <c r="N4614" s="5" t="n"/>
      <c r="O4614" s="5" t="n"/>
      <c r="P4614" s="5" t="n"/>
      <c r="Q4614" s="5" t="n"/>
      <c r="R4614" s="4" t="n"/>
      <c r="S4614" s="4" t="n"/>
      <c r="T4614" s="5" t="n"/>
      <c r="U4614" s="8">
        <f>IF(AND(V4614=1,D4614&lt;&gt;""),IF(D4614&gt;=corte,TODAY()-D4614,""),"")</f>
        <v/>
      </c>
      <c r="V4614" s="8">
        <f>IF(D4614="",0,IF(OR(AND(P4614&lt;&gt;"",S4614=""),AND(N(J4614)&gt;0,N(K4614)&lt;J4614),OR(M4614="PENDENTE",M4614="PARCIAL"),OR(N4614="PENDENTE",N4614="PARCIAL")),1,0))</f>
        <v/>
      </c>
      <c r="W4614" s="8">
        <f>IF(AND(V4614=1,D4614&lt;&gt;""),IF(D4614&gt;=corte,(B4614="CRÍTICO")*1E9+(100000-D4614)*10000+10000-ROW(),""),"")</f>
        <v/>
      </c>
      <c r="X4614" s="8">
        <f>IF(AND(V4614=1,D4614=pas_data,E4614=pas_turno),10000-ROW(),"")</f>
        <v/>
      </c>
    </row>
    <row r="4615">
      <c r="A4615" s="3">
        <f>IF(D4615="","","TT-"&amp;TEXT(ROW()-1,"00000"))</f>
        <v/>
      </c>
      <c r="B4615" s="3">
        <f>IF(D4615="","",IF(V4615=0,"CONCLUÍDO",IF(D4615&lt;corte,"HISTÓRICO",IF(OR(AND(ISNUMBER(R4615),R4615&lt;TODAY()),AND(OR(N4615="PENDENTE",N4615="PARCIAL"),D4615&lt;TODAY()-1)),"CRÍTICO",IF(OR(AND(P4615&lt;&gt;"",S4615=""),AND(N4615="REALIZADO",M4615="PENDENTE"),AND(ISNUMBER(R4615),R4615=TODAY())),"ATENÇÃO",IF(N(K4615)=0,"PENDENTE","EM ANDAMENTO"))))))</f>
        <v/>
      </c>
      <c r="C4615" s="3">
        <f>IF(D4615="","",IF(V4615=0,"🟢 OK",IF(D4615&lt;corte,"⚪ HISTÓRICO (sem baixa)",IF(AND(ISNUMBER(R4615),R4615&lt;TODAY()),"🔴 PRAZO VENCIDO",IF(AND(OR(N4615="PENDENTE",N4615="PARCIAL"),D4615&lt;TODAY()-1),"🔴 EMBARQUE ATRASADO",IF(AND(N4615="REALIZADO",M4615="PENDENTE"),"🟡 EMBARCADO SEM FATURAR",IF(AND(P4615&lt;&gt;"",S4615="",OR(Q4615="",R4615="")),"🟡 PENDÊNCIA SEM RESPONSÁVEL/PRAZO",IF(AND(ISNUMBER(R4615),R4615=TODAY()),"🟡 VENCE HOJE",IF(AND(P4615&lt;&gt;"",S4615=""),"🟡 PENDÊNCIA ABERTA",IF(AND(N(J4615)&gt;0,N(K4615)&lt;J4615),"🟡 FALTA EXECUTAR",IF(OR(M4615="PENDENTE",M4615="PARCIAL"),"🟡 FATURAMENTO PENDENTE","🟡 EMBARQUE PENDENTE")))))))))))</f>
        <v/>
      </c>
      <c r="D4615" s="4" t="n"/>
      <c r="E4615" s="5" t="n"/>
      <c r="F4615" s="5" t="n"/>
      <c r="G4615" s="5" t="n"/>
      <c r="H4615" s="5" t="n"/>
      <c r="I4615" s="5" t="n"/>
      <c r="J4615" s="6" t="n"/>
      <c r="K4615" s="6" t="n"/>
      <c r="L4615" s="7">
        <f>IF(OR(D4615="",N(J4615)=0),"",MIN(1,N(K4615)/J4615))</f>
        <v/>
      </c>
      <c r="M4615" s="5" t="n"/>
      <c r="N4615" s="5" t="n"/>
      <c r="O4615" s="5" t="n"/>
      <c r="P4615" s="5" t="n"/>
      <c r="Q4615" s="5" t="n"/>
      <c r="R4615" s="4" t="n"/>
      <c r="S4615" s="4" t="n"/>
      <c r="T4615" s="5" t="n"/>
      <c r="U4615" s="8">
        <f>IF(AND(V4615=1,D4615&lt;&gt;""),IF(D4615&gt;=corte,TODAY()-D4615,""),"")</f>
        <v/>
      </c>
      <c r="V4615" s="8">
        <f>IF(D4615="",0,IF(OR(AND(P4615&lt;&gt;"",S4615=""),AND(N(J4615)&gt;0,N(K4615)&lt;J4615),OR(M4615="PENDENTE",M4615="PARCIAL"),OR(N4615="PENDENTE",N4615="PARCIAL")),1,0))</f>
        <v/>
      </c>
      <c r="W4615" s="8">
        <f>IF(AND(V4615=1,D4615&lt;&gt;""),IF(D4615&gt;=corte,(B4615="CRÍTICO")*1E9+(100000-D4615)*10000+10000-ROW(),""),"")</f>
        <v/>
      </c>
      <c r="X4615" s="8">
        <f>IF(AND(V4615=1,D4615=pas_data,E4615=pas_turno),10000-ROW(),"")</f>
        <v/>
      </c>
    </row>
    <row r="4616">
      <c r="A4616" s="3">
        <f>IF(D4616="","","TT-"&amp;TEXT(ROW()-1,"00000"))</f>
        <v/>
      </c>
      <c r="B4616" s="3">
        <f>IF(D4616="","",IF(V4616=0,"CONCLUÍDO",IF(D4616&lt;corte,"HISTÓRICO",IF(OR(AND(ISNUMBER(R4616),R4616&lt;TODAY()),AND(OR(N4616="PENDENTE",N4616="PARCIAL"),D4616&lt;TODAY()-1)),"CRÍTICO",IF(OR(AND(P4616&lt;&gt;"",S4616=""),AND(N4616="REALIZADO",M4616="PENDENTE"),AND(ISNUMBER(R4616),R4616=TODAY())),"ATENÇÃO",IF(N(K4616)=0,"PENDENTE","EM ANDAMENTO"))))))</f>
        <v/>
      </c>
      <c r="C4616" s="3">
        <f>IF(D4616="","",IF(V4616=0,"🟢 OK",IF(D4616&lt;corte,"⚪ HISTÓRICO (sem baixa)",IF(AND(ISNUMBER(R4616),R4616&lt;TODAY()),"🔴 PRAZO VENCIDO",IF(AND(OR(N4616="PENDENTE",N4616="PARCIAL"),D4616&lt;TODAY()-1),"🔴 EMBARQUE ATRASADO",IF(AND(N4616="REALIZADO",M4616="PENDENTE"),"🟡 EMBARCADO SEM FATURAR",IF(AND(P4616&lt;&gt;"",S4616="",OR(Q4616="",R4616="")),"🟡 PENDÊNCIA SEM RESPONSÁVEL/PRAZO",IF(AND(ISNUMBER(R4616),R4616=TODAY()),"🟡 VENCE HOJE",IF(AND(P4616&lt;&gt;"",S4616=""),"🟡 PENDÊNCIA ABERTA",IF(AND(N(J4616)&gt;0,N(K4616)&lt;J4616),"🟡 FALTA EXECUTAR",IF(OR(M4616="PENDENTE",M4616="PARCIAL"),"🟡 FATURAMENTO PENDENTE","🟡 EMBARQUE PENDENTE")))))))))))</f>
        <v/>
      </c>
      <c r="D4616" s="4" t="n"/>
      <c r="E4616" s="5" t="n"/>
      <c r="F4616" s="5" t="n"/>
      <c r="G4616" s="5" t="n"/>
      <c r="H4616" s="5" t="n"/>
      <c r="I4616" s="5" t="n"/>
      <c r="J4616" s="6" t="n"/>
      <c r="K4616" s="6" t="n"/>
      <c r="L4616" s="7">
        <f>IF(OR(D4616="",N(J4616)=0),"",MIN(1,N(K4616)/J4616))</f>
        <v/>
      </c>
      <c r="M4616" s="5" t="n"/>
      <c r="N4616" s="5" t="n"/>
      <c r="O4616" s="5" t="n"/>
      <c r="P4616" s="5" t="n"/>
      <c r="Q4616" s="5" t="n"/>
      <c r="R4616" s="4" t="n"/>
      <c r="S4616" s="4" t="n"/>
      <c r="T4616" s="5" t="n"/>
      <c r="U4616" s="8">
        <f>IF(AND(V4616=1,D4616&lt;&gt;""),IF(D4616&gt;=corte,TODAY()-D4616,""),"")</f>
        <v/>
      </c>
      <c r="V4616" s="8">
        <f>IF(D4616="",0,IF(OR(AND(P4616&lt;&gt;"",S4616=""),AND(N(J4616)&gt;0,N(K4616)&lt;J4616),OR(M4616="PENDENTE",M4616="PARCIAL"),OR(N4616="PENDENTE",N4616="PARCIAL")),1,0))</f>
        <v/>
      </c>
      <c r="W4616" s="8">
        <f>IF(AND(V4616=1,D4616&lt;&gt;""),IF(D4616&gt;=corte,(B4616="CRÍTICO")*1E9+(100000-D4616)*10000+10000-ROW(),""),"")</f>
        <v/>
      </c>
      <c r="X4616" s="8">
        <f>IF(AND(V4616=1,D4616=pas_data,E4616=pas_turno),10000-ROW(),"")</f>
        <v/>
      </c>
    </row>
    <row r="4617">
      <c r="A4617" s="3">
        <f>IF(D4617="","","TT-"&amp;TEXT(ROW()-1,"00000"))</f>
        <v/>
      </c>
      <c r="B4617" s="3">
        <f>IF(D4617="","",IF(V4617=0,"CONCLUÍDO",IF(D4617&lt;corte,"HISTÓRICO",IF(OR(AND(ISNUMBER(R4617),R4617&lt;TODAY()),AND(OR(N4617="PENDENTE",N4617="PARCIAL"),D4617&lt;TODAY()-1)),"CRÍTICO",IF(OR(AND(P4617&lt;&gt;"",S4617=""),AND(N4617="REALIZADO",M4617="PENDENTE"),AND(ISNUMBER(R4617),R4617=TODAY())),"ATENÇÃO",IF(N(K4617)=0,"PENDENTE","EM ANDAMENTO"))))))</f>
        <v/>
      </c>
      <c r="C4617" s="3">
        <f>IF(D4617="","",IF(V4617=0,"🟢 OK",IF(D4617&lt;corte,"⚪ HISTÓRICO (sem baixa)",IF(AND(ISNUMBER(R4617),R4617&lt;TODAY()),"🔴 PRAZO VENCIDO",IF(AND(OR(N4617="PENDENTE",N4617="PARCIAL"),D4617&lt;TODAY()-1),"🔴 EMBARQUE ATRASADO",IF(AND(N4617="REALIZADO",M4617="PENDENTE"),"🟡 EMBARCADO SEM FATURAR",IF(AND(P4617&lt;&gt;"",S4617="",OR(Q4617="",R4617="")),"🟡 PENDÊNCIA SEM RESPONSÁVEL/PRAZO",IF(AND(ISNUMBER(R4617),R4617=TODAY()),"🟡 VENCE HOJE",IF(AND(P4617&lt;&gt;"",S4617=""),"🟡 PENDÊNCIA ABERTA",IF(AND(N(J4617)&gt;0,N(K4617)&lt;J4617),"🟡 FALTA EXECUTAR",IF(OR(M4617="PENDENTE",M4617="PARCIAL"),"🟡 FATURAMENTO PENDENTE","🟡 EMBARQUE PENDENTE")))))))))))</f>
        <v/>
      </c>
      <c r="D4617" s="4" t="n"/>
      <c r="E4617" s="5" t="n"/>
      <c r="F4617" s="5" t="n"/>
      <c r="G4617" s="5" t="n"/>
      <c r="H4617" s="5" t="n"/>
      <c r="I4617" s="5" t="n"/>
      <c r="J4617" s="6" t="n"/>
      <c r="K4617" s="6" t="n"/>
      <c r="L4617" s="7">
        <f>IF(OR(D4617="",N(J4617)=0),"",MIN(1,N(K4617)/J4617))</f>
        <v/>
      </c>
      <c r="M4617" s="5" t="n"/>
      <c r="N4617" s="5" t="n"/>
      <c r="O4617" s="5" t="n"/>
      <c r="P4617" s="5" t="n"/>
      <c r="Q4617" s="5" t="n"/>
      <c r="R4617" s="4" t="n"/>
      <c r="S4617" s="4" t="n"/>
      <c r="T4617" s="5" t="n"/>
      <c r="U4617" s="8">
        <f>IF(AND(V4617=1,D4617&lt;&gt;""),IF(D4617&gt;=corte,TODAY()-D4617,""),"")</f>
        <v/>
      </c>
      <c r="V4617" s="8">
        <f>IF(D4617="",0,IF(OR(AND(P4617&lt;&gt;"",S4617=""),AND(N(J4617)&gt;0,N(K4617)&lt;J4617),OR(M4617="PENDENTE",M4617="PARCIAL"),OR(N4617="PENDENTE",N4617="PARCIAL")),1,0))</f>
        <v/>
      </c>
      <c r="W4617" s="8">
        <f>IF(AND(V4617=1,D4617&lt;&gt;""),IF(D4617&gt;=corte,(B4617="CRÍTICO")*1E9+(100000-D4617)*10000+10000-ROW(),""),"")</f>
        <v/>
      </c>
      <c r="X4617" s="8">
        <f>IF(AND(V4617=1,D4617=pas_data,E4617=pas_turno),10000-ROW(),"")</f>
        <v/>
      </c>
    </row>
    <row r="4618">
      <c r="A4618" s="3">
        <f>IF(D4618="","","TT-"&amp;TEXT(ROW()-1,"00000"))</f>
        <v/>
      </c>
      <c r="B4618" s="3">
        <f>IF(D4618="","",IF(V4618=0,"CONCLUÍDO",IF(D4618&lt;corte,"HISTÓRICO",IF(OR(AND(ISNUMBER(R4618),R4618&lt;TODAY()),AND(OR(N4618="PENDENTE",N4618="PARCIAL"),D4618&lt;TODAY()-1)),"CRÍTICO",IF(OR(AND(P4618&lt;&gt;"",S4618=""),AND(N4618="REALIZADO",M4618="PENDENTE"),AND(ISNUMBER(R4618),R4618=TODAY())),"ATENÇÃO",IF(N(K4618)=0,"PENDENTE","EM ANDAMENTO"))))))</f>
        <v/>
      </c>
      <c r="C4618" s="3">
        <f>IF(D4618="","",IF(V4618=0,"🟢 OK",IF(D4618&lt;corte,"⚪ HISTÓRICO (sem baixa)",IF(AND(ISNUMBER(R4618),R4618&lt;TODAY()),"🔴 PRAZO VENCIDO",IF(AND(OR(N4618="PENDENTE",N4618="PARCIAL"),D4618&lt;TODAY()-1),"🔴 EMBARQUE ATRASADO",IF(AND(N4618="REALIZADO",M4618="PENDENTE"),"🟡 EMBARCADO SEM FATURAR",IF(AND(P4618&lt;&gt;"",S4618="",OR(Q4618="",R4618="")),"🟡 PENDÊNCIA SEM RESPONSÁVEL/PRAZO",IF(AND(ISNUMBER(R4618),R4618=TODAY()),"🟡 VENCE HOJE",IF(AND(P4618&lt;&gt;"",S4618=""),"🟡 PENDÊNCIA ABERTA",IF(AND(N(J4618)&gt;0,N(K4618)&lt;J4618),"🟡 FALTA EXECUTAR",IF(OR(M4618="PENDENTE",M4618="PARCIAL"),"🟡 FATURAMENTO PENDENTE","🟡 EMBARQUE PENDENTE")))))))))))</f>
        <v/>
      </c>
      <c r="D4618" s="4" t="n"/>
      <c r="E4618" s="5" t="n"/>
      <c r="F4618" s="5" t="n"/>
      <c r="G4618" s="5" t="n"/>
      <c r="H4618" s="5" t="n"/>
      <c r="I4618" s="5" t="n"/>
      <c r="J4618" s="6" t="n"/>
      <c r="K4618" s="6" t="n"/>
      <c r="L4618" s="7">
        <f>IF(OR(D4618="",N(J4618)=0),"",MIN(1,N(K4618)/J4618))</f>
        <v/>
      </c>
      <c r="M4618" s="5" t="n"/>
      <c r="N4618" s="5" t="n"/>
      <c r="O4618" s="5" t="n"/>
      <c r="P4618" s="5" t="n"/>
      <c r="Q4618" s="5" t="n"/>
      <c r="R4618" s="4" t="n"/>
      <c r="S4618" s="4" t="n"/>
      <c r="T4618" s="5" t="n"/>
      <c r="U4618" s="8">
        <f>IF(AND(V4618=1,D4618&lt;&gt;""),IF(D4618&gt;=corte,TODAY()-D4618,""),"")</f>
        <v/>
      </c>
      <c r="V4618" s="8">
        <f>IF(D4618="",0,IF(OR(AND(P4618&lt;&gt;"",S4618=""),AND(N(J4618)&gt;0,N(K4618)&lt;J4618),OR(M4618="PENDENTE",M4618="PARCIAL"),OR(N4618="PENDENTE",N4618="PARCIAL")),1,0))</f>
        <v/>
      </c>
      <c r="W4618" s="8">
        <f>IF(AND(V4618=1,D4618&lt;&gt;""),IF(D4618&gt;=corte,(B4618="CRÍTICO")*1E9+(100000-D4618)*10000+10000-ROW(),""),"")</f>
        <v/>
      </c>
      <c r="X4618" s="8">
        <f>IF(AND(V4618=1,D4618=pas_data,E4618=pas_turno),10000-ROW(),"")</f>
        <v/>
      </c>
    </row>
    <row r="4619">
      <c r="A4619" s="3">
        <f>IF(D4619="","","TT-"&amp;TEXT(ROW()-1,"00000"))</f>
        <v/>
      </c>
      <c r="B4619" s="3">
        <f>IF(D4619="","",IF(V4619=0,"CONCLUÍDO",IF(D4619&lt;corte,"HISTÓRICO",IF(OR(AND(ISNUMBER(R4619),R4619&lt;TODAY()),AND(OR(N4619="PENDENTE",N4619="PARCIAL"),D4619&lt;TODAY()-1)),"CRÍTICO",IF(OR(AND(P4619&lt;&gt;"",S4619=""),AND(N4619="REALIZADO",M4619="PENDENTE"),AND(ISNUMBER(R4619),R4619=TODAY())),"ATENÇÃO",IF(N(K4619)=0,"PENDENTE","EM ANDAMENTO"))))))</f>
        <v/>
      </c>
      <c r="C4619" s="3">
        <f>IF(D4619="","",IF(V4619=0,"🟢 OK",IF(D4619&lt;corte,"⚪ HISTÓRICO (sem baixa)",IF(AND(ISNUMBER(R4619),R4619&lt;TODAY()),"🔴 PRAZO VENCIDO",IF(AND(OR(N4619="PENDENTE",N4619="PARCIAL"),D4619&lt;TODAY()-1),"🔴 EMBARQUE ATRASADO",IF(AND(N4619="REALIZADO",M4619="PENDENTE"),"🟡 EMBARCADO SEM FATURAR",IF(AND(P4619&lt;&gt;"",S4619="",OR(Q4619="",R4619="")),"🟡 PENDÊNCIA SEM RESPONSÁVEL/PRAZO",IF(AND(ISNUMBER(R4619),R4619=TODAY()),"🟡 VENCE HOJE",IF(AND(P4619&lt;&gt;"",S4619=""),"🟡 PENDÊNCIA ABERTA",IF(AND(N(J4619)&gt;0,N(K4619)&lt;J4619),"🟡 FALTA EXECUTAR",IF(OR(M4619="PENDENTE",M4619="PARCIAL"),"🟡 FATURAMENTO PENDENTE","🟡 EMBARQUE PENDENTE")))))))))))</f>
        <v/>
      </c>
      <c r="D4619" s="4" t="n"/>
      <c r="E4619" s="5" t="n"/>
      <c r="F4619" s="5" t="n"/>
      <c r="G4619" s="5" t="n"/>
      <c r="H4619" s="5" t="n"/>
      <c r="I4619" s="5" t="n"/>
      <c r="J4619" s="6" t="n"/>
      <c r="K4619" s="6" t="n"/>
      <c r="L4619" s="7">
        <f>IF(OR(D4619="",N(J4619)=0),"",MIN(1,N(K4619)/J4619))</f>
        <v/>
      </c>
      <c r="M4619" s="5" t="n"/>
      <c r="N4619" s="5" t="n"/>
      <c r="O4619" s="5" t="n"/>
      <c r="P4619" s="5" t="n"/>
      <c r="Q4619" s="5" t="n"/>
      <c r="R4619" s="4" t="n"/>
      <c r="S4619" s="4" t="n"/>
      <c r="T4619" s="5" t="n"/>
      <c r="U4619" s="8">
        <f>IF(AND(V4619=1,D4619&lt;&gt;""),IF(D4619&gt;=corte,TODAY()-D4619,""),"")</f>
        <v/>
      </c>
      <c r="V4619" s="8">
        <f>IF(D4619="",0,IF(OR(AND(P4619&lt;&gt;"",S4619=""),AND(N(J4619)&gt;0,N(K4619)&lt;J4619),OR(M4619="PENDENTE",M4619="PARCIAL"),OR(N4619="PENDENTE",N4619="PARCIAL")),1,0))</f>
        <v/>
      </c>
      <c r="W4619" s="8">
        <f>IF(AND(V4619=1,D4619&lt;&gt;""),IF(D4619&gt;=corte,(B4619="CRÍTICO")*1E9+(100000-D4619)*10000+10000-ROW(),""),"")</f>
        <v/>
      </c>
      <c r="X4619" s="8">
        <f>IF(AND(V4619=1,D4619=pas_data,E4619=pas_turno),10000-ROW(),"")</f>
        <v/>
      </c>
    </row>
    <row r="4620">
      <c r="A4620" s="3">
        <f>IF(D4620="","","TT-"&amp;TEXT(ROW()-1,"00000"))</f>
        <v/>
      </c>
      <c r="B4620" s="3">
        <f>IF(D4620="","",IF(V4620=0,"CONCLUÍDO",IF(D4620&lt;corte,"HISTÓRICO",IF(OR(AND(ISNUMBER(R4620),R4620&lt;TODAY()),AND(OR(N4620="PENDENTE",N4620="PARCIAL"),D4620&lt;TODAY()-1)),"CRÍTICO",IF(OR(AND(P4620&lt;&gt;"",S4620=""),AND(N4620="REALIZADO",M4620="PENDENTE"),AND(ISNUMBER(R4620),R4620=TODAY())),"ATENÇÃO",IF(N(K4620)=0,"PENDENTE","EM ANDAMENTO"))))))</f>
        <v/>
      </c>
      <c r="C4620" s="3">
        <f>IF(D4620="","",IF(V4620=0,"🟢 OK",IF(D4620&lt;corte,"⚪ HISTÓRICO (sem baixa)",IF(AND(ISNUMBER(R4620),R4620&lt;TODAY()),"🔴 PRAZO VENCIDO",IF(AND(OR(N4620="PENDENTE",N4620="PARCIAL"),D4620&lt;TODAY()-1),"🔴 EMBARQUE ATRASADO",IF(AND(N4620="REALIZADO",M4620="PENDENTE"),"🟡 EMBARCADO SEM FATURAR",IF(AND(P4620&lt;&gt;"",S4620="",OR(Q4620="",R4620="")),"🟡 PENDÊNCIA SEM RESPONSÁVEL/PRAZO",IF(AND(ISNUMBER(R4620),R4620=TODAY()),"🟡 VENCE HOJE",IF(AND(P4620&lt;&gt;"",S4620=""),"🟡 PENDÊNCIA ABERTA",IF(AND(N(J4620)&gt;0,N(K4620)&lt;J4620),"🟡 FALTA EXECUTAR",IF(OR(M4620="PENDENTE",M4620="PARCIAL"),"🟡 FATURAMENTO PENDENTE","🟡 EMBARQUE PENDENTE")))))))))))</f>
        <v/>
      </c>
      <c r="D4620" s="4" t="n"/>
      <c r="E4620" s="5" t="n"/>
      <c r="F4620" s="5" t="n"/>
      <c r="G4620" s="5" t="n"/>
      <c r="H4620" s="5" t="n"/>
      <c r="I4620" s="5" t="n"/>
      <c r="J4620" s="6" t="n"/>
      <c r="K4620" s="6" t="n"/>
      <c r="L4620" s="7">
        <f>IF(OR(D4620="",N(J4620)=0),"",MIN(1,N(K4620)/J4620))</f>
        <v/>
      </c>
      <c r="M4620" s="5" t="n"/>
      <c r="N4620" s="5" t="n"/>
      <c r="O4620" s="5" t="n"/>
      <c r="P4620" s="5" t="n"/>
      <c r="Q4620" s="5" t="n"/>
      <c r="R4620" s="4" t="n"/>
      <c r="S4620" s="4" t="n"/>
      <c r="T4620" s="5" t="n"/>
      <c r="U4620" s="8">
        <f>IF(AND(V4620=1,D4620&lt;&gt;""),IF(D4620&gt;=corte,TODAY()-D4620,""),"")</f>
        <v/>
      </c>
      <c r="V4620" s="8">
        <f>IF(D4620="",0,IF(OR(AND(P4620&lt;&gt;"",S4620=""),AND(N(J4620)&gt;0,N(K4620)&lt;J4620),OR(M4620="PENDENTE",M4620="PARCIAL"),OR(N4620="PENDENTE",N4620="PARCIAL")),1,0))</f>
        <v/>
      </c>
      <c r="W4620" s="8">
        <f>IF(AND(V4620=1,D4620&lt;&gt;""),IF(D4620&gt;=corte,(B4620="CRÍTICO")*1E9+(100000-D4620)*10000+10000-ROW(),""),"")</f>
        <v/>
      </c>
      <c r="X4620" s="8">
        <f>IF(AND(V4620=1,D4620=pas_data,E4620=pas_turno),10000-ROW(),"")</f>
        <v/>
      </c>
    </row>
    <row r="4621">
      <c r="A4621" s="3">
        <f>IF(D4621="","","TT-"&amp;TEXT(ROW()-1,"00000"))</f>
        <v/>
      </c>
      <c r="B4621" s="3">
        <f>IF(D4621="","",IF(V4621=0,"CONCLUÍDO",IF(D4621&lt;corte,"HISTÓRICO",IF(OR(AND(ISNUMBER(R4621),R4621&lt;TODAY()),AND(OR(N4621="PENDENTE",N4621="PARCIAL"),D4621&lt;TODAY()-1)),"CRÍTICO",IF(OR(AND(P4621&lt;&gt;"",S4621=""),AND(N4621="REALIZADO",M4621="PENDENTE"),AND(ISNUMBER(R4621),R4621=TODAY())),"ATENÇÃO",IF(N(K4621)=0,"PENDENTE","EM ANDAMENTO"))))))</f>
        <v/>
      </c>
      <c r="C4621" s="3">
        <f>IF(D4621="","",IF(V4621=0,"🟢 OK",IF(D4621&lt;corte,"⚪ HISTÓRICO (sem baixa)",IF(AND(ISNUMBER(R4621),R4621&lt;TODAY()),"🔴 PRAZO VENCIDO",IF(AND(OR(N4621="PENDENTE",N4621="PARCIAL"),D4621&lt;TODAY()-1),"🔴 EMBARQUE ATRASADO",IF(AND(N4621="REALIZADO",M4621="PENDENTE"),"🟡 EMBARCADO SEM FATURAR",IF(AND(P4621&lt;&gt;"",S4621="",OR(Q4621="",R4621="")),"🟡 PENDÊNCIA SEM RESPONSÁVEL/PRAZO",IF(AND(ISNUMBER(R4621),R4621=TODAY()),"🟡 VENCE HOJE",IF(AND(P4621&lt;&gt;"",S4621=""),"🟡 PENDÊNCIA ABERTA",IF(AND(N(J4621)&gt;0,N(K4621)&lt;J4621),"🟡 FALTA EXECUTAR",IF(OR(M4621="PENDENTE",M4621="PARCIAL"),"🟡 FATURAMENTO PENDENTE","🟡 EMBARQUE PENDENTE")))))))))))</f>
        <v/>
      </c>
      <c r="D4621" s="4" t="n"/>
      <c r="E4621" s="5" t="n"/>
      <c r="F4621" s="5" t="n"/>
      <c r="G4621" s="5" t="n"/>
      <c r="H4621" s="5" t="n"/>
      <c r="I4621" s="5" t="n"/>
      <c r="J4621" s="6" t="n"/>
      <c r="K4621" s="6" t="n"/>
      <c r="L4621" s="7">
        <f>IF(OR(D4621="",N(J4621)=0),"",MIN(1,N(K4621)/J4621))</f>
        <v/>
      </c>
      <c r="M4621" s="5" t="n"/>
      <c r="N4621" s="5" t="n"/>
      <c r="O4621" s="5" t="n"/>
      <c r="P4621" s="5" t="n"/>
      <c r="Q4621" s="5" t="n"/>
      <c r="R4621" s="4" t="n"/>
      <c r="S4621" s="4" t="n"/>
      <c r="T4621" s="5" t="n"/>
      <c r="U4621" s="8">
        <f>IF(AND(V4621=1,D4621&lt;&gt;""),IF(D4621&gt;=corte,TODAY()-D4621,""),"")</f>
        <v/>
      </c>
      <c r="V4621" s="8">
        <f>IF(D4621="",0,IF(OR(AND(P4621&lt;&gt;"",S4621=""),AND(N(J4621)&gt;0,N(K4621)&lt;J4621),OR(M4621="PENDENTE",M4621="PARCIAL"),OR(N4621="PENDENTE",N4621="PARCIAL")),1,0))</f>
        <v/>
      </c>
      <c r="W4621" s="8">
        <f>IF(AND(V4621=1,D4621&lt;&gt;""),IF(D4621&gt;=corte,(B4621="CRÍTICO")*1E9+(100000-D4621)*10000+10000-ROW(),""),"")</f>
        <v/>
      </c>
      <c r="X4621" s="8">
        <f>IF(AND(V4621=1,D4621=pas_data,E4621=pas_turno),10000-ROW(),"")</f>
        <v/>
      </c>
    </row>
    <row r="4622">
      <c r="A4622" s="3">
        <f>IF(D4622="","","TT-"&amp;TEXT(ROW()-1,"00000"))</f>
        <v/>
      </c>
      <c r="B4622" s="3">
        <f>IF(D4622="","",IF(V4622=0,"CONCLUÍDO",IF(D4622&lt;corte,"HISTÓRICO",IF(OR(AND(ISNUMBER(R4622),R4622&lt;TODAY()),AND(OR(N4622="PENDENTE",N4622="PARCIAL"),D4622&lt;TODAY()-1)),"CRÍTICO",IF(OR(AND(P4622&lt;&gt;"",S4622=""),AND(N4622="REALIZADO",M4622="PENDENTE"),AND(ISNUMBER(R4622),R4622=TODAY())),"ATENÇÃO",IF(N(K4622)=0,"PENDENTE","EM ANDAMENTO"))))))</f>
        <v/>
      </c>
      <c r="C4622" s="3">
        <f>IF(D4622="","",IF(V4622=0,"🟢 OK",IF(D4622&lt;corte,"⚪ HISTÓRICO (sem baixa)",IF(AND(ISNUMBER(R4622),R4622&lt;TODAY()),"🔴 PRAZO VENCIDO",IF(AND(OR(N4622="PENDENTE",N4622="PARCIAL"),D4622&lt;TODAY()-1),"🔴 EMBARQUE ATRASADO",IF(AND(N4622="REALIZADO",M4622="PENDENTE"),"🟡 EMBARCADO SEM FATURAR",IF(AND(P4622&lt;&gt;"",S4622="",OR(Q4622="",R4622="")),"🟡 PENDÊNCIA SEM RESPONSÁVEL/PRAZO",IF(AND(ISNUMBER(R4622),R4622=TODAY()),"🟡 VENCE HOJE",IF(AND(P4622&lt;&gt;"",S4622=""),"🟡 PENDÊNCIA ABERTA",IF(AND(N(J4622)&gt;0,N(K4622)&lt;J4622),"🟡 FALTA EXECUTAR",IF(OR(M4622="PENDENTE",M4622="PARCIAL"),"🟡 FATURAMENTO PENDENTE","🟡 EMBARQUE PENDENTE")))))))))))</f>
        <v/>
      </c>
      <c r="D4622" s="4" t="n"/>
      <c r="E4622" s="5" t="n"/>
      <c r="F4622" s="5" t="n"/>
      <c r="G4622" s="5" t="n"/>
      <c r="H4622" s="5" t="n"/>
      <c r="I4622" s="5" t="n"/>
      <c r="J4622" s="6" t="n"/>
      <c r="K4622" s="6" t="n"/>
      <c r="L4622" s="7">
        <f>IF(OR(D4622="",N(J4622)=0),"",MIN(1,N(K4622)/J4622))</f>
        <v/>
      </c>
      <c r="M4622" s="5" t="n"/>
      <c r="N4622" s="5" t="n"/>
      <c r="O4622" s="5" t="n"/>
      <c r="P4622" s="5" t="n"/>
      <c r="Q4622" s="5" t="n"/>
      <c r="R4622" s="4" t="n"/>
      <c r="S4622" s="4" t="n"/>
      <c r="T4622" s="5" t="n"/>
      <c r="U4622" s="8">
        <f>IF(AND(V4622=1,D4622&lt;&gt;""),IF(D4622&gt;=corte,TODAY()-D4622,""),"")</f>
        <v/>
      </c>
      <c r="V4622" s="8">
        <f>IF(D4622="",0,IF(OR(AND(P4622&lt;&gt;"",S4622=""),AND(N(J4622)&gt;0,N(K4622)&lt;J4622),OR(M4622="PENDENTE",M4622="PARCIAL"),OR(N4622="PENDENTE",N4622="PARCIAL")),1,0))</f>
        <v/>
      </c>
      <c r="W4622" s="8">
        <f>IF(AND(V4622=1,D4622&lt;&gt;""),IF(D4622&gt;=corte,(B4622="CRÍTICO")*1E9+(100000-D4622)*10000+10000-ROW(),""),"")</f>
        <v/>
      </c>
      <c r="X4622" s="8">
        <f>IF(AND(V4622=1,D4622=pas_data,E4622=pas_turno),10000-ROW(),"")</f>
        <v/>
      </c>
    </row>
    <row r="4623">
      <c r="A4623" s="3">
        <f>IF(D4623="","","TT-"&amp;TEXT(ROW()-1,"00000"))</f>
        <v/>
      </c>
      <c r="B4623" s="3">
        <f>IF(D4623="","",IF(V4623=0,"CONCLUÍDO",IF(D4623&lt;corte,"HISTÓRICO",IF(OR(AND(ISNUMBER(R4623),R4623&lt;TODAY()),AND(OR(N4623="PENDENTE",N4623="PARCIAL"),D4623&lt;TODAY()-1)),"CRÍTICO",IF(OR(AND(P4623&lt;&gt;"",S4623=""),AND(N4623="REALIZADO",M4623="PENDENTE"),AND(ISNUMBER(R4623),R4623=TODAY())),"ATENÇÃO",IF(N(K4623)=0,"PENDENTE","EM ANDAMENTO"))))))</f>
        <v/>
      </c>
      <c r="C4623" s="3">
        <f>IF(D4623="","",IF(V4623=0,"🟢 OK",IF(D4623&lt;corte,"⚪ HISTÓRICO (sem baixa)",IF(AND(ISNUMBER(R4623),R4623&lt;TODAY()),"🔴 PRAZO VENCIDO",IF(AND(OR(N4623="PENDENTE",N4623="PARCIAL"),D4623&lt;TODAY()-1),"🔴 EMBARQUE ATRASADO",IF(AND(N4623="REALIZADO",M4623="PENDENTE"),"🟡 EMBARCADO SEM FATURAR",IF(AND(P4623&lt;&gt;"",S4623="",OR(Q4623="",R4623="")),"🟡 PENDÊNCIA SEM RESPONSÁVEL/PRAZO",IF(AND(ISNUMBER(R4623),R4623=TODAY()),"🟡 VENCE HOJE",IF(AND(P4623&lt;&gt;"",S4623=""),"🟡 PENDÊNCIA ABERTA",IF(AND(N(J4623)&gt;0,N(K4623)&lt;J4623),"🟡 FALTA EXECUTAR",IF(OR(M4623="PENDENTE",M4623="PARCIAL"),"🟡 FATURAMENTO PENDENTE","🟡 EMBARQUE PENDENTE")))))))))))</f>
        <v/>
      </c>
      <c r="D4623" s="4" t="n"/>
      <c r="E4623" s="5" t="n"/>
      <c r="F4623" s="5" t="n"/>
      <c r="G4623" s="5" t="n"/>
      <c r="H4623" s="5" t="n"/>
      <c r="I4623" s="5" t="n"/>
      <c r="J4623" s="6" t="n"/>
      <c r="K4623" s="6" t="n"/>
      <c r="L4623" s="7">
        <f>IF(OR(D4623="",N(J4623)=0),"",MIN(1,N(K4623)/J4623))</f>
        <v/>
      </c>
      <c r="M4623" s="5" t="n"/>
      <c r="N4623" s="5" t="n"/>
      <c r="O4623" s="5" t="n"/>
      <c r="P4623" s="5" t="n"/>
      <c r="Q4623" s="5" t="n"/>
      <c r="R4623" s="4" t="n"/>
      <c r="S4623" s="4" t="n"/>
      <c r="T4623" s="5" t="n"/>
      <c r="U4623" s="8">
        <f>IF(AND(V4623=1,D4623&lt;&gt;""),IF(D4623&gt;=corte,TODAY()-D4623,""),"")</f>
        <v/>
      </c>
      <c r="V4623" s="8">
        <f>IF(D4623="",0,IF(OR(AND(P4623&lt;&gt;"",S4623=""),AND(N(J4623)&gt;0,N(K4623)&lt;J4623),OR(M4623="PENDENTE",M4623="PARCIAL"),OR(N4623="PENDENTE",N4623="PARCIAL")),1,0))</f>
        <v/>
      </c>
      <c r="W4623" s="8">
        <f>IF(AND(V4623=1,D4623&lt;&gt;""),IF(D4623&gt;=corte,(B4623="CRÍTICO")*1E9+(100000-D4623)*10000+10000-ROW(),""),"")</f>
        <v/>
      </c>
      <c r="X4623" s="8">
        <f>IF(AND(V4623=1,D4623=pas_data,E4623=pas_turno),10000-ROW(),"")</f>
        <v/>
      </c>
    </row>
    <row r="4624">
      <c r="A4624" s="3">
        <f>IF(D4624="","","TT-"&amp;TEXT(ROW()-1,"00000"))</f>
        <v/>
      </c>
      <c r="B4624" s="3">
        <f>IF(D4624="","",IF(V4624=0,"CONCLUÍDO",IF(D4624&lt;corte,"HISTÓRICO",IF(OR(AND(ISNUMBER(R4624),R4624&lt;TODAY()),AND(OR(N4624="PENDENTE",N4624="PARCIAL"),D4624&lt;TODAY()-1)),"CRÍTICO",IF(OR(AND(P4624&lt;&gt;"",S4624=""),AND(N4624="REALIZADO",M4624="PENDENTE"),AND(ISNUMBER(R4624),R4624=TODAY())),"ATENÇÃO",IF(N(K4624)=0,"PENDENTE","EM ANDAMENTO"))))))</f>
        <v/>
      </c>
      <c r="C4624" s="3">
        <f>IF(D4624="","",IF(V4624=0,"🟢 OK",IF(D4624&lt;corte,"⚪ HISTÓRICO (sem baixa)",IF(AND(ISNUMBER(R4624),R4624&lt;TODAY()),"🔴 PRAZO VENCIDO",IF(AND(OR(N4624="PENDENTE",N4624="PARCIAL"),D4624&lt;TODAY()-1),"🔴 EMBARQUE ATRASADO",IF(AND(N4624="REALIZADO",M4624="PENDENTE"),"🟡 EMBARCADO SEM FATURAR",IF(AND(P4624&lt;&gt;"",S4624="",OR(Q4624="",R4624="")),"🟡 PENDÊNCIA SEM RESPONSÁVEL/PRAZO",IF(AND(ISNUMBER(R4624),R4624=TODAY()),"🟡 VENCE HOJE",IF(AND(P4624&lt;&gt;"",S4624=""),"🟡 PENDÊNCIA ABERTA",IF(AND(N(J4624)&gt;0,N(K4624)&lt;J4624),"🟡 FALTA EXECUTAR",IF(OR(M4624="PENDENTE",M4624="PARCIAL"),"🟡 FATURAMENTO PENDENTE","🟡 EMBARQUE PENDENTE")))))))))))</f>
        <v/>
      </c>
      <c r="D4624" s="4" t="n"/>
      <c r="E4624" s="5" t="n"/>
      <c r="F4624" s="5" t="n"/>
      <c r="G4624" s="5" t="n"/>
      <c r="H4624" s="5" t="n"/>
      <c r="I4624" s="5" t="n"/>
      <c r="J4624" s="6" t="n"/>
      <c r="K4624" s="6" t="n"/>
      <c r="L4624" s="7">
        <f>IF(OR(D4624="",N(J4624)=0),"",MIN(1,N(K4624)/J4624))</f>
        <v/>
      </c>
      <c r="M4624" s="5" t="n"/>
      <c r="N4624" s="5" t="n"/>
      <c r="O4624" s="5" t="n"/>
      <c r="P4624" s="5" t="n"/>
      <c r="Q4624" s="5" t="n"/>
      <c r="R4624" s="4" t="n"/>
      <c r="S4624" s="4" t="n"/>
      <c r="T4624" s="5" t="n"/>
      <c r="U4624" s="8">
        <f>IF(AND(V4624=1,D4624&lt;&gt;""),IF(D4624&gt;=corte,TODAY()-D4624,""),"")</f>
        <v/>
      </c>
      <c r="V4624" s="8">
        <f>IF(D4624="",0,IF(OR(AND(P4624&lt;&gt;"",S4624=""),AND(N(J4624)&gt;0,N(K4624)&lt;J4624),OR(M4624="PENDENTE",M4624="PARCIAL"),OR(N4624="PENDENTE",N4624="PARCIAL")),1,0))</f>
        <v/>
      </c>
      <c r="W4624" s="8">
        <f>IF(AND(V4624=1,D4624&lt;&gt;""),IF(D4624&gt;=corte,(B4624="CRÍTICO")*1E9+(100000-D4624)*10000+10000-ROW(),""),"")</f>
        <v/>
      </c>
      <c r="X4624" s="8">
        <f>IF(AND(V4624=1,D4624=pas_data,E4624=pas_turno),10000-ROW(),"")</f>
        <v/>
      </c>
    </row>
    <row r="4625">
      <c r="A4625" s="3">
        <f>IF(D4625="","","TT-"&amp;TEXT(ROW()-1,"00000"))</f>
        <v/>
      </c>
      <c r="B4625" s="3">
        <f>IF(D4625="","",IF(V4625=0,"CONCLUÍDO",IF(D4625&lt;corte,"HISTÓRICO",IF(OR(AND(ISNUMBER(R4625),R4625&lt;TODAY()),AND(OR(N4625="PENDENTE",N4625="PARCIAL"),D4625&lt;TODAY()-1)),"CRÍTICO",IF(OR(AND(P4625&lt;&gt;"",S4625=""),AND(N4625="REALIZADO",M4625="PENDENTE"),AND(ISNUMBER(R4625),R4625=TODAY())),"ATENÇÃO",IF(N(K4625)=0,"PENDENTE","EM ANDAMENTO"))))))</f>
        <v/>
      </c>
      <c r="C4625" s="3">
        <f>IF(D4625="","",IF(V4625=0,"🟢 OK",IF(D4625&lt;corte,"⚪ HISTÓRICO (sem baixa)",IF(AND(ISNUMBER(R4625),R4625&lt;TODAY()),"🔴 PRAZO VENCIDO",IF(AND(OR(N4625="PENDENTE",N4625="PARCIAL"),D4625&lt;TODAY()-1),"🔴 EMBARQUE ATRASADO",IF(AND(N4625="REALIZADO",M4625="PENDENTE"),"🟡 EMBARCADO SEM FATURAR",IF(AND(P4625&lt;&gt;"",S4625="",OR(Q4625="",R4625="")),"🟡 PENDÊNCIA SEM RESPONSÁVEL/PRAZO",IF(AND(ISNUMBER(R4625),R4625=TODAY()),"🟡 VENCE HOJE",IF(AND(P4625&lt;&gt;"",S4625=""),"🟡 PENDÊNCIA ABERTA",IF(AND(N(J4625)&gt;0,N(K4625)&lt;J4625),"🟡 FALTA EXECUTAR",IF(OR(M4625="PENDENTE",M4625="PARCIAL"),"🟡 FATURAMENTO PENDENTE","🟡 EMBARQUE PENDENTE")))))))))))</f>
        <v/>
      </c>
      <c r="D4625" s="4" t="n"/>
      <c r="E4625" s="5" t="n"/>
      <c r="F4625" s="5" t="n"/>
      <c r="G4625" s="5" t="n"/>
      <c r="H4625" s="5" t="n"/>
      <c r="I4625" s="5" t="n"/>
      <c r="J4625" s="6" t="n"/>
      <c r="K4625" s="6" t="n"/>
      <c r="L4625" s="7">
        <f>IF(OR(D4625="",N(J4625)=0),"",MIN(1,N(K4625)/J4625))</f>
        <v/>
      </c>
      <c r="M4625" s="5" t="n"/>
      <c r="N4625" s="5" t="n"/>
      <c r="O4625" s="5" t="n"/>
      <c r="P4625" s="5" t="n"/>
      <c r="Q4625" s="5" t="n"/>
      <c r="R4625" s="4" t="n"/>
      <c r="S4625" s="4" t="n"/>
      <c r="T4625" s="5" t="n"/>
      <c r="U4625" s="8">
        <f>IF(AND(V4625=1,D4625&lt;&gt;""),IF(D4625&gt;=corte,TODAY()-D4625,""),"")</f>
        <v/>
      </c>
      <c r="V4625" s="8">
        <f>IF(D4625="",0,IF(OR(AND(P4625&lt;&gt;"",S4625=""),AND(N(J4625)&gt;0,N(K4625)&lt;J4625),OR(M4625="PENDENTE",M4625="PARCIAL"),OR(N4625="PENDENTE",N4625="PARCIAL")),1,0))</f>
        <v/>
      </c>
      <c r="W4625" s="8">
        <f>IF(AND(V4625=1,D4625&lt;&gt;""),IF(D4625&gt;=corte,(B4625="CRÍTICO")*1E9+(100000-D4625)*10000+10000-ROW(),""),"")</f>
        <v/>
      </c>
      <c r="X4625" s="8">
        <f>IF(AND(V4625=1,D4625=pas_data,E4625=pas_turno),10000-ROW(),"")</f>
        <v/>
      </c>
    </row>
    <row r="4626">
      <c r="A4626" s="3">
        <f>IF(D4626="","","TT-"&amp;TEXT(ROW()-1,"00000"))</f>
        <v/>
      </c>
      <c r="B4626" s="3">
        <f>IF(D4626="","",IF(V4626=0,"CONCLUÍDO",IF(D4626&lt;corte,"HISTÓRICO",IF(OR(AND(ISNUMBER(R4626),R4626&lt;TODAY()),AND(OR(N4626="PENDENTE",N4626="PARCIAL"),D4626&lt;TODAY()-1)),"CRÍTICO",IF(OR(AND(P4626&lt;&gt;"",S4626=""),AND(N4626="REALIZADO",M4626="PENDENTE"),AND(ISNUMBER(R4626),R4626=TODAY())),"ATENÇÃO",IF(N(K4626)=0,"PENDENTE","EM ANDAMENTO"))))))</f>
        <v/>
      </c>
      <c r="C4626" s="3">
        <f>IF(D4626="","",IF(V4626=0,"🟢 OK",IF(D4626&lt;corte,"⚪ HISTÓRICO (sem baixa)",IF(AND(ISNUMBER(R4626),R4626&lt;TODAY()),"🔴 PRAZO VENCIDO",IF(AND(OR(N4626="PENDENTE",N4626="PARCIAL"),D4626&lt;TODAY()-1),"🔴 EMBARQUE ATRASADO",IF(AND(N4626="REALIZADO",M4626="PENDENTE"),"🟡 EMBARCADO SEM FATURAR",IF(AND(P4626&lt;&gt;"",S4626="",OR(Q4626="",R4626="")),"🟡 PENDÊNCIA SEM RESPONSÁVEL/PRAZO",IF(AND(ISNUMBER(R4626),R4626=TODAY()),"🟡 VENCE HOJE",IF(AND(P4626&lt;&gt;"",S4626=""),"🟡 PENDÊNCIA ABERTA",IF(AND(N(J4626)&gt;0,N(K4626)&lt;J4626),"🟡 FALTA EXECUTAR",IF(OR(M4626="PENDENTE",M4626="PARCIAL"),"🟡 FATURAMENTO PENDENTE","🟡 EMBARQUE PENDENTE")))))))))))</f>
        <v/>
      </c>
      <c r="D4626" s="4" t="n"/>
      <c r="E4626" s="5" t="n"/>
      <c r="F4626" s="5" t="n"/>
      <c r="G4626" s="5" t="n"/>
      <c r="H4626" s="5" t="n"/>
      <c r="I4626" s="5" t="n"/>
      <c r="J4626" s="6" t="n"/>
      <c r="K4626" s="6" t="n"/>
      <c r="L4626" s="7">
        <f>IF(OR(D4626="",N(J4626)=0),"",MIN(1,N(K4626)/J4626))</f>
        <v/>
      </c>
      <c r="M4626" s="5" t="n"/>
      <c r="N4626" s="5" t="n"/>
      <c r="O4626" s="5" t="n"/>
      <c r="P4626" s="5" t="n"/>
      <c r="Q4626" s="5" t="n"/>
      <c r="R4626" s="4" t="n"/>
      <c r="S4626" s="4" t="n"/>
      <c r="T4626" s="5" t="n"/>
      <c r="U4626" s="8">
        <f>IF(AND(V4626=1,D4626&lt;&gt;""),IF(D4626&gt;=corte,TODAY()-D4626,""),"")</f>
        <v/>
      </c>
      <c r="V4626" s="8">
        <f>IF(D4626="",0,IF(OR(AND(P4626&lt;&gt;"",S4626=""),AND(N(J4626)&gt;0,N(K4626)&lt;J4626),OR(M4626="PENDENTE",M4626="PARCIAL"),OR(N4626="PENDENTE",N4626="PARCIAL")),1,0))</f>
        <v/>
      </c>
      <c r="W4626" s="8">
        <f>IF(AND(V4626=1,D4626&lt;&gt;""),IF(D4626&gt;=corte,(B4626="CRÍTICO")*1E9+(100000-D4626)*10000+10000-ROW(),""),"")</f>
        <v/>
      </c>
      <c r="X4626" s="8">
        <f>IF(AND(V4626=1,D4626=pas_data,E4626=pas_turno),10000-ROW(),"")</f>
        <v/>
      </c>
    </row>
    <row r="4627">
      <c r="A4627" s="3">
        <f>IF(D4627="","","TT-"&amp;TEXT(ROW()-1,"00000"))</f>
        <v/>
      </c>
      <c r="B4627" s="3">
        <f>IF(D4627="","",IF(V4627=0,"CONCLUÍDO",IF(D4627&lt;corte,"HISTÓRICO",IF(OR(AND(ISNUMBER(R4627),R4627&lt;TODAY()),AND(OR(N4627="PENDENTE",N4627="PARCIAL"),D4627&lt;TODAY()-1)),"CRÍTICO",IF(OR(AND(P4627&lt;&gt;"",S4627=""),AND(N4627="REALIZADO",M4627="PENDENTE"),AND(ISNUMBER(R4627),R4627=TODAY())),"ATENÇÃO",IF(N(K4627)=0,"PENDENTE","EM ANDAMENTO"))))))</f>
        <v/>
      </c>
      <c r="C4627" s="3">
        <f>IF(D4627="","",IF(V4627=0,"🟢 OK",IF(D4627&lt;corte,"⚪ HISTÓRICO (sem baixa)",IF(AND(ISNUMBER(R4627),R4627&lt;TODAY()),"🔴 PRAZO VENCIDO",IF(AND(OR(N4627="PENDENTE",N4627="PARCIAL"),D4627&lt;TODAY()-1),"🔴 EMBARQUE ATRASADO",IF(AND(N4627="REALIZADO",M4627="PENDENTE"),"🟡 EMBARCADO SEM FATURAR",IF(AND(P4627&lt;&gt;"",S4627="",OR(Q4627="",R4627="")),"🟡 PENDÊNCIA SEM RESPONSÁVEL/PRAZO",IF(AND(ISNUMBER(R4627),R4627=TODAY()),"🟡 VENCE HOJE",IF(AND(P4627&lt;&gt;"",S4627=""),"🟡 PENDÊNCIA ABERTA",IF(AND(N(J4627)&gt;0,N(K4627)&lt;J4627),"🟡 FALTA EXECUTAR",IF(OR(M4627="PENDENTE",M4627="PARCIAL"),"🟡 FATURAMENTO PENDENTE","🟡 EMBARQUE PENDENTE")))))))))))</f>
        <v/>
      </c>
      <c r="D4627" s="4" t="n"/>
      <c r="E4627" s="5" t="n"/>
      <c r="F4627" s="5" t="n"/>
      <c r="G4627" s="5" t="n"/>
      <c r="H4627" s="5" t="n"/>
      <c r="I4627" s="5" t="n"/>
      <c r="J4627" s="6" t="n"/>
      <c r="K4627" s="6" t="n"/>
      <c r="L4627" s="7">
        <f>IF(OR(D4627="",N(J4627)=0),"",MIN(1,N(K4627)/J4627))</f>
        <v/>
      </c>
      <c r="M4627" s="5" t="n"/>
      <c r="N4627" s="5" t="n"/>
      <c r="O4627" s="5" t="n"/>
      <c r="P4627" s="5" t="n"/>
      <c r="Q4627" s="5" t="n"/>
      <c r="R4627" s="4" t="n"/>
      <c r="S4627" s="4" t="n"/>
      <c r="T4627" s="5" t="n"/>
      <c r="U4627" s="8">
        <f>IF(AND(V4627=1,D4627&lt;&gt;""),IF(D4627&gt;=corte,TODAY()-D4627,""),"")</f>
        <v/>
      </c>
      <c r="V4627" s="8">
        <f>IF(D4627="",0,IF(OR(AND(P4627&lt;&gt;"",S4627=""),AND(N(J4627)&gt;0,N(K4627)&lt;J4627),OR(M4627="PENDENTE",M4627="PARCIAL"),OR(N4627="PENDENTE",N4627="PARCIAL")),1,0))</f>
        <v/>
      </c>
      <c r="W4627" s="8">
        <f>IF(AND(V4627=1,D4627&lt;&gt;""),IF(D4627&gt;=corte,(B4627="CRÍTICO")*1E9+(100000-D4627)*10000+10000-ROW(),""),"")</f>
        <v/>
      </c>
      <c r="X4627" s="8">
        <f>IF(AND(V4627=1,D4627=pas_data,E4627=pas_turno),10000-ROW(),"")</f>
        <v/>
      </c>
    </row>
    <row r="4628">
      <c r="A4628" s="3">
        <f>IF(D4628="","","TT-"&amp;TEXT(ROW()-1,"00000"))</f>
        <v/>
      </c>
      <c r="B4628" s="3">
        <f>IF(D4628="","",IF(V4628=0,"CONCLUÍDO",IF(D4628&lt;corte,"HISTÓRICO",IF(OR(AND(ISNUMBER(R4628),R4628&lt;TODAY()),AND(OR(N4628="PENDENTE",N4628="PARCIAL"),D4628&lt;TODAY()-1)),"CRÍTICO",IF(OR(AND(P4628&lt;&gt;"",S4628=""),AND(N4628="REALIZADO",M4628="PENDENTE"),AND(ISNUMBER(R4628),R4628=TODAY())),"ATENÇÃO",IF(N(K4628)=0,"PENDENTE","EM ANDAMENTO"))))))</f>
        <v/>
      </c>
      <c r="C4628" s="3">
        <f>IF(D4628="","",IF(V4628=0,"🟢 OK",IF(D4628&lt;corte,"⚪ HISTÓRICO (sem baixa)",IF(AND(ISNUMBER(R4628),R4628&lt;TODAY()),"🔴 PRAZO VENCIDO",IF(AND(OR(N4628="PENDENTE",N4628="PARCIAL"),D4628&lt;TODAY()-1),"🔴 EMBARQUE ATRASADO",IF(AND(N4628="REALIZADO",M4628="PENDENTE"),"🟡 EMBARCADO SEM FATURAR",IF(AND(P4628&lt;&gt;"",S4628="",OR(Q4628="",R4628="")),"🟡 PENDÊNCIA SEM RESPONSÁVEL/PRAZO",IF(AND(ISNUMBER(R4628),R4628=TODAY()),"🟡 VENCE HOJE",IF(AND(P4628&lt;&gt;"",S4628=""),"🟡 PENDÊNCIA ABERTA",IF(AND(N(J4628)&gt;0,N(K4628)&lt;J4628),"🟡 FALTA EXECUTAR",IF(OR(M4628="PENDENTE",M4628="PARCIAL"),"🟡 FATURAMENTO PENDENTE","🟡 EMBARQUE PENDENTE")))))))))))</f>
        <v/>
      </c>
      <c r="D4628" s="4" t="n"/>
      <c r="E4628" s="5" t="n"/>
      <c r="F4628" s="5" t="n"/>
      <c r="G4628" s="5" t="n"/>
      <c r="H4628" s="5" t="n"/>
      <c r="I4628" s="5" t="n"/>
      <c r="J4628" s="6" t="n"/>
      <c r="K4628" s="6" t="n"/>
      <c r="L4628" s="7">
        <f>IF(OR(D4628="",N(J4628)=0),"",MIN(1,N(K4628)/J4628))</f>
        <v/>
      </c>
      <c r="M4628" s="5" t="n"/>
      <c r="N4628" s="5" t="n"/>
      <c r="O4628" s="5" t="n"/>
      <c r="P4628" s="5" t="n"/>
      <c r="Q4628" s="5" t="n"/>
      <c r="R4628" s="4" t="n"/>
      <c r="S4628" s="4" t="n"/>
      <c r="T4628" s="5" t="n"/>
      <c r="U4628" s="8">
        <f>IF(AND(V4628=1,D4628&lt;&gt;""),IF(D4628&gt;=corte,TODAY()-D4628,""),"")</f>
        <v/>
      </c>
      <c r="V4628" s="8">
        <f>IF(D4628="",0,IF(OR(AND(P4628&lt;&gt;"",S4628=""),AND(N(J4628)&gt;0,N(K4628)&lt;J4628),OR(M4628="PENDENTE",M4628="PARCIAL"),OR(N4628="PENDENTE",N4628="PARCIAL")),1,0))</f>
        <v/>
      </c>
      <c r="W4628" s="8">
        <f>IF(AND(V4628=1,D4628&lt;&gt;""),IF(D4628&gt;=corte,(B4628="CRÍTICO")*1E9+(100000-D4628)*10000+10000-ROW(),""),"")</f>
        <v/>
      </c>
      <c r="X4628" s="8">
        <f>IF(AND(V4628=1,D4628=pas_data,E4628=pas_turno),10000-ROW(),"")</f>
        <v/>
      </c>
    </row>
    <row r="4629">
      <c r="A4629" s="3">
        <f>IF(D4629="","","TT-"&amp;TEXT(ROW()-1,"00000"))</f>
        <v/>
      </c>
      <c r="B4629" s="3">
        <f>IF(D4629="","",IF(V4629=0,"CONCLUÍDO",IF(D4629&lt;corte,"HISTÓRICO",IF(OR(AND(ISNUMBER(R4629),R4629&lt;TODAY()),AND(OR(N4629="PENDENTE",N4629="PARCIAL"),D4629&lt;TODAY()-1)),"CRÍTICO",IF(OR(AND(P4629&lt;&gt;"",S4629=""),AND(N4629="REALIZADO",M4629="PENDENTE"),AND(ISNUMBER(R4629),R4629=TODAY())),"ATENÇÃO",IF(N(K4629)=0,"PENDENTE","EM ANDAMENTO"))))))</f>
        <v/>
      </c>
      <c r="C4629" s="3">
        <f>IF(D4629="","",IF(V4629=0,"🟢 OK",IF(D4629&lt;corte,"⚪ HISTÓRICO (sem baixa)",IF(AND(ISNUMBER(R4629),R4629&lt;TODAY()),"🔴 PRAZO VENCIDO",IF(AND(OR(N4629="PENDENTE",N4629="PARCIAL"),D4629&lt;TODAY()-1),"🔴 EMBARQUE ATRASADO",IF(AND(N4629="REALIZADO",M4629="PENDENTE"),"🟡 EMBARCADO SEM FATURAR",IF(AND(P4629&lt;&gt;"",S4629="",OR(Q4629="",R4629="")),"🟡 PENDÊNCIA SEM RESPONSÁVEL/PRAZO",IF(AND(ISNUMBER(R4629),R4629=TODAY()),"🟡 VENCE HOJE",IF(AND(P4629&lt;&gt;"",S4629=""),"🟡 PENDÊNCIA ABERTA",IF(AND(N(J4629)&gt;0,N(K4629)&lt;J4629),"🟡 FALTA EXECUTAR",IF(OR(M4629="PENDENTE",M4629="PARCIAL"),"🟡 FATURAMENTO PENDENTE","🟡 EMBARQUE PENDENTE")))))))))))</f>
        <v/>
      </c>
      <c r="D4629" s="4" t="n"/>
      <c r="E4629" s="5" t="n"/>
      <c r="F4629" s="5" t="n"/>
      <c r="G4629" s="5" t="n"/>
      <c r="H4629" s="5" t="n"/>
      <c r="I4629" s="5" t="n"/>
      <c r="J4629" s="6" t="n"/>
      <c r="K4629" s="6" t="n"/>
      <c r="L4629" s="7">
        <f>IF(OR(D4629="",N(J4629)=0),"",MIN(1,N(K4629)/J4629))</f>
        <v/>
      </c>
      <c r="M4629" s="5" t="n"/>
      <c r="N4629" s="5" t="n"/>
      <c r="O4629" s="5" t="n"/>
      <c r="P4629" s="5" t="n"/>
      <c r="Q4629" s="5" t="n"/>
      <c r="R4629" s="4" t="n"/>
      <c r="S4629" s="4" t="n"/>
      <c r="T4629" s="5" t="n"/>
      <c r="U4629" s="8">
        <f>IF(AND(V4629=1,D4629&lt;&gt;""),IF(D4629&gt;=corte,TODAY()-D4629,""),"")</f>
        <v/>
      </c>
      <c r="V4629" s="8">
        <f>IF(D4629="",0,IF(OR(AND(P4629&lt;&gt;"",S4629=""),AND(N(J4629)&gt;0,N(K4629)&lt;J4629),OR(M4629="PENDENTE",M4629="PARCIAL"),OR(N4629="PENDENTE",N4629="PARCIAL")),1,0))</f>
        <v/>
      </c>
      <c r="W4629" s="8">
        <f>IF(AND(V4629=1,D4629&lt;&gt;""),IF(D4629&gt;=corte,(B4629="CRÍTICO")*1E9+(100000-D4629)*10000+10000-ROW(),""),"")</f>
        <v/>
      </c>
      <c r="X4629" s="8">
        <f>IF(AND(V4629=1,D4629=pas_data,E4629=pas_turno),10000-ROW(),"")</f>
        <v/>
      </c>
    </row>
    <row r="4630">
      <c r="A4630" s="3">
        <f>IF(D4630="","","TT-"&amp;TEXT(ROW()-1,"00000"))</f>
        <v/>
      </c>
      <c r="B4630" s="3">
        <f>IF(D4630="","",IF(V4630=0,"CONCLUÍDO",IF(D4630&lt;corte,"HISTÓRICO",IF(OR(AND(ISNUMBER(R4630),R4630&lt;TODAY()),AND(OR(N4630="PENDENTE",N4630="PARCIAL"),D4630&lt;TODAY()-1)),"CRÍTICO",IF(OR(AND(P4630&lt;&gt;"",S4630=""),AND(N4630="REALIZADO",M4630="PENDENTE"),AND(ISNUMBER(R4630),R4630=TODAY())),"ATENÇÃO",IF(N(K4630)=0,"PENDENTE","EM ANDAMENTO"))))))</f>
        <v/>
      </c>
      <c r="C4630" s="3">
        <f>IF(D4630="","",IF(V4630=0,"🟢 OK",IF(D4630&lt;corte,"⚪ HISTÓRICO (sem baixa)",IF(AND(ISNUMBER(R4630),R4630&lt;TODAY()),"🔴 PRAZO VENCIDO",IF(AND(OR(N4630="PENDENTE",N4630="PARCIAL"),D4630&lt;TODAY()-1),"🔴 EMBARQUE ATRASADO",IF(AND(N4630="REALIZADO",M4630="PENDENTE"),"🟡 EMBARCADO SEM FATURAR",IF(AND(P4630&lt;&gt;"",S4630="",OR(Q4630="",R4630="")),"🟡 PENDÊNCIA SEM RESPONSÁVEL/PRAZO",IF(AND(ISNUMBER(R4630),R4630=TODAY()),"🟡 VENCE HOJE",IF(AND(P4630&lt;&gt;"",S4630=""),"🟡 PENDÊNCIA ABERTA",IF(AND(N(J4630)&gt;0,N(K4630)&lt;J4630),"🟡 FALTA EXECUTAR",IF(OR(M4630="PENDENTE",M4630="PARCIAL"),"🟡 FATURAMENTO PENDENTE","🟡 EMBARQUE PENDENTE")))))))))))</f>
        <v/>
      </c>
      <c r="D4630" s="4" t="n"/>
      <c r="E4630" s="5" t="n"/>
      <c r="F4630" s="5" t="n"/>
      <c r="G4630" s="5" t="n"/>
      <c r="H4630" s="5" t="n"/>
      <c r="I4630" s="5" t="n"/>
      <c r="J4630" s="6" t="n"/>
      <c r="K4630" s="6" t="n"/>
      <c r="L4630" s="7">
        <f>IF(OR(D4630="",N(J4630)=0),"",MIN(1,N(K4630)/J4630))</f>
        <v/>
      </c>
      <c r="M4630" s="5" t="n"/>
      <c r="N4630" s="5" t="n"/>
      <c r="O4630" s="5" t="n"/>
      <c r="P4630" s="5" t="n"/>
      <c r="Q4630" s="5" t="n"/>
      <c r="R4630" s="4" t="n"/>
      <c r="S4630" s="4" t="n"/>
      <c r="T4630" s="5" t="n"/>
      <c r="U4630" s="8">
        <f>IF(AND(V4630=1,D4630&lt;&gt;""),IF(D4630&gt;=corte,TODAY()-D4630,""),"")</f>
        <v/>
      </c>
      <c r="V4630" s="8">
        <f>IF(D4630="",0,IF(OR(AND(P4630&lt;&gt;"",S4630=""),AND(N(J4630)&gt;0,N(K4630)&lt;J4630),OR(M4630="PENDENTE",M4630="PARCIAL"),OR(N4630="PENDENTE",N4630="PARCIAL")),1,0))</f>
        <v/>
      </c>
      <c r="W4630" s="8">
        <f>IF(AND(V4630=1,D4630&lt;&gt;""),IF(D4630&gt;=corte,(B4630="CRÍTICO")*1E9+(100000-D4630)*10000+10000-ROW(),""),"")</f>
        <v/>
      </c>
      <c r="X4630" s="8">
        <f>IF(AND(V4630=1,D4630=pas_data,E4630=pas_turno),10000-ROW(),"")</f>
        <v/>
      </c>
    </row>
    <row r="4631">
      <c r="A4631" s="3">
        <f>IF(D4631="","","TT-"&amp;TEXT(ROW()-1,"00000"))</f>
        <v/>
      </c>
      <c r="B4631" s="3">
        <f>IF(D4631="","",IF(V4631=0,"CONCLUÍDO",IF(D4631&lt;corte,"HISTÓRICO",IF(OR(AND(ISNUMBER(R4631),R4631&lt;TODAY()),AND(OR(N4631="PENDENTE",N4631="PARCIAL"),D4631&lt;TODAY()-1)),"CRÍTICO",IF(OR(AND(P4631&lt;&gt;"",S4631=""),AND(N4631="REALIZADO",M4631="PENDENTE"),AND(ISNUMBER(R4631),R4631=TODAY())),"ATENÇÃO",IF(N(K4631)=0,"PENDENTE","EM ANDAMENTO"))))))</f>
        <v/>
      </c>
      <c r="C4631" s="3">
        <f>IF(D4631="","",IF(V4631=0,"🟢 OK",IF(D4631&lt;corte,"⚪ HISTÓRICO (sem baixa)",IF(AND(ISNUMBER(R4631),R4631&lt;TODAY()),"🔴 PRAZO VENCIDO",IF(AND(OR(N4631="PENDENTE",N4631="PARCIAL"),D4631&lt;TODAY()-1),"🔴 EMBARQUE ATRASADO",IF(AND(N4631="REALIZADO",M4631="PENDENTE"),"🟡 EMBARCADO SEM FATURAR",IF(AND(P4631&lt;&gt;"",S4631="",OR(Q4631="",R4631="")),"🟡 PENDÊNCIA SEM RESPONSÁVEL/PRAZO",IF(AND(ISNUMBER(R4631),R4631=TODAY()),"🟡 VENCE HOJE",IF(AND(P4631&lt;&gt;"",S4631=""),"🟡 PENDÊNCIA ABERTA",IF(AND(N(J4631)&gt;0,N(K4631)&lt;J4631),"🟡 FALTA EXECUTAR",IF(OR(M4631="PENDENTE",M4631="PARCIAL"),"🟡 FATURAMENTO PENDENTE","🟡 EMBARQUE PENDENTE")))))))))))</f>
        <v/>
      </c>
      <c r="D4631" s="4" t="n"/>
      <c r="E4631" s="5" t="n"/>
      <c r="F4631" s="5" t="n"/>
      <c r="G4631" s="5" t="n"/>
      <c r="H4631" s="5" t="n"/>
      <c r="I4631" s="5" t="n"/>
      <c r="J4631" s="6" t="n"/>
      <c r="K4631" s="6" t="n"/>
      <c r="L4631" s="7">
        <f>IF(OR(D4631="",N(J4631)=0),"",MIN(1,N(K4631)/J4631))</f>
        <v/>
      </c>
      <c r="M4631" s="5" t="n"/>
      <c r="N4631" s="5" t="n"/>
      <c r="O4631" s="5" t="n"/>
      <c r="P4631" s="5" t="n"/>
      <c r="Q4631" s="5" t="n"/>
      <c r="R4631" s="4" t="n"/>
      <c r="S4631" s="4" t="n"/>
      <c r="T4631" s="5" t="n"/>
      <c r="U4631" s="8">
        <f>IF(AND(V4631=1,D4631&lt;&gt;""),IF(D4631&gt;=corte,TODAY()-D4631,""),"")</f>
        <v/>
      </c>
      <c r="V4631" s="8">
        <f>IF(D4631="",0,IF(OR(AND(P4631&lt;&gt;"",S4631=""),AND(N(J4631)&gt;0,N(K4631)&lt;J4631),OR(M4631="PENDENTE",M4631="PARCIAL"),OR(N4631="PENDENTE",N4631="PARCIAL")),1,0))</f>
        <v/>
      </c>
      <c r="W4631" s="8">
        <f>IF(AND(V4631=1,D4631&lt;&gt;""),IF(D4631&gt;=corte,(B4631="CRÍTICO")*1E9+(100000-D4631)*10000+10000-ROW(),""),"")</f>
        <v/>
      </c>
      <c r="X4631" s="8">
        <f>IF(AND(V4631=1,D4631=pas_data,E4631=pas_turno),10000-ROW(),"")</f>
        <v/>
      </c>
    </row>
    <row r="4632">
      <c r="A4632" s="3">
        <f>IF(D4632="","","TT-"&amp;TEXT(ROW()-1,"00000"))</f>
        <v/>
      </c>
      <c r="B4632" s="3">
        <f>IF(D4632="","",IF(V4632=0,"CONCLUÍDO",IF(D4632&lt;corte,"HISTÓRICO",IF(OR(AND(ISNUMBER(R4632),R4632&lt;TODAY()),AND(OR(N4632="PENDENTE",N4632="PARCIAL"),D4632&lt;TODAY()-1)),"CRÍTICO",IF(OR(AND(P4632&lt;&gt;"",S4632=""),AND(N4632="REALIZADO",M4632="PENDENTE"),AND(ISNUMBER(R4632),R4632=TODAY())),"ATENÇÃO",IF(N(K4632)=0,"PENDENTE","EM ANDAMENTO"))))))</f>
        <v/>
      </c>
      <c r="C4632" s="3">
        <f>IF(D4632="","",IF(V4632=0,"🟢 OK",IF(D4632&lt;corte,"⚪ HISTÓRICO (sem baixa)",IF(AND(ISNUMBER(R4632),R4632&lt;TODAY()),"🔴 PRAZO VENCIDO",IF(AND(OR(N4632="PENDENTE",N4632="PARCIAL"),D4632&lt;TODAY()-1),"🔴 EMBARQUE ATRASADO",IF(AND(N4632="REALIZADO",M4632="PENDENTE"),"🟡 EMBARCADO SEM FATURAR",IF(AND(P4632&lt;&gt;"",S4632="",OR(Q4632="",R4632="")),"🟡 PENDÊNCIA SEM RESPONSÁVEL/PRAZO",IF(AND(ISNUMBER(R4632),R4632=TODAY()),"🟡 VENCE HOJE",IF(AND(P4632&lt;&gt;"",S4632=""),"🟡 PENDÊNCIA ABERTA",IF(AND(N(J4632)&gt;0,N(K4632)&lt;J4632),"🟡 FALTA EXECUTAR",IF(OR(M4632="PENDENTE",M4632="PARCIAL"),"🟡 FATURAMENTO PENDENTE","🟡 EMBARQUE PENDENTE")))))))))))</f>
        <v/>
      </c>
      <c r="D4632" s="4" t="n"/>
      <c r="E4632" s="5" t="n"/>
      <c r="F4632" s="5" t="n"/>
      <c r="G4632" s="5" t="n"/>
      <c r="H4632" s="5" t="n"/>
      <c r="I4632" s="5" t="n"/>
      <c r="J4632" s="6" t="n"/>
      <c r="K4632" s="6" t="n"/>
      <c r="L4632" s="7">
        <f>IF(OR(D4632="",N(J4632)=0),"",MIN(1,N(K4632)/J4632))</f>
        <v/>
      </c>
      <c r="M4632" s="5" t="n"/>
      <c r="N4632" s="5" t="n"/>
      <c r="O4632" s="5" t="n"/>
      <c r="P4632" s="5" t="n"/>
      <c r="Q4632" s="5" t="n"/>
      <c r="R4632" s="4" t="n"/>
      <c r="S4632" s="4" t="n"/>
      <c r="T4632" s="5" t="n"/>
      <c r="U4632" s="8">
        <f>IF(AND(V4632=1,D4632&lt;&gt;""),IF(D4632&gt;=corte,TODAY()-D4632,""),"")</f>
        <v/>
      </c>
      <c r="V4632" s="8">
        <f>IF(D4632="",0,IF(OR(AND(P4632&lt;&gt;"",S4632=""),AND(N(J4632)&gt;0,N(K4632)&lt;J4632),OR(M4632="PENDENTE",M4632="PARCIAL"),OR(N4632="PENDENTE",N4632="PARCIAL")),1,0))</f>
        <v/>
      </c>
      <c r="W4632" s="8">
        <f>IF(AND(V4632=1,D4632&lt;&gt;""),IF(D4632&gt;=corte,(B4632="CRÍTICO")*1E9+(100000-D4632)*10000+10000-ROW(),""),"")</f>
        <v/>
      </c>
      <c r="X4632" s="8">
        <f>IF(AND(V4632=1,D4632=pas_data,E4632=pas_turno),10000-ROW(),"")</f>
        <v/>
      </c>
    </row>
    <row r="4633">
      <c r="A4633" s="3">
        <f>IF(D4633="","","TT-"&amp;TEXT(ROW()-1,"00000"))</f>
        <v/>
      </c>
      <c r="B4633" s="3">
        <f>IF(D4633="","",IF(V4633=0,"CONCLUÍDO",IF(D4633&lt;corte,"HISTÓRICO",IF(OR(AND(ISNUMBER(R4633),R4633&lt;TODAY()),AND(OR(N4633="PENDENTE",N4633="PARCIAL"),D4633&lt;TODAY()-1)),"CRÍTICO",IF(OR(AND(P4633&lt;&gt;"",S4633=""),AND(N4633="REALIZADO",M4633="PENDENTE"),AND(ISNUMBER(R4633),R4633=TODAY())),"ATENÇÃO",IF(N(K4633)=0,"PENDENTE","EM ANDAMENTO"))))))</f>
        <v/>
      </c>
      <c r="C4633" s="3">
        <f>IF(D4633="","",IF(V4633=0,"🟢 OK",IF(D4633&lt;corte,"⚪ HISTÓRICO (sem baixa)",IF(AND(ISNUMBER(R4633),R4633&lt;TODAY()),"🔴 PRAZO VENCIDO",IF(AND(OR(N4633="PENDENTE",N4633="PARCIAL"),D4633&lt;TODAY()-1),"🔴 EMBARQUE ATRASADO",IF(AND(N4633="REALIZADO",M4633="PENDENTE"),"🟡 EMBARCADO SEM FATURAR",IF(AND(P4633&lt;&gt;"",S4633="",OR(Q4633="",R4633="")),"🟡 PENDÊNCIA SEM RESPONSÁVEL/PRAZO",IF(AND(ISNUMBER(R4633),R4633=TODAY()),"🟡 VENCE HOJE",IF(AND(P4633&lt;&gt;"",S4633=""),"🟡 PENDÊNCIA ABERTA",IF(AND(N(J4633)&gt;0,N(K4633)&lt;J4633),"🟡 FALTA EXECUTAR",IF(OR(M4633="PENDENTE",M4633="PARCIAL"),"🟡 FATURAMENTO PENDENTE","🟡 EMBARQUE PENDENTE")))))))))))</f>
        <v/>
      </c>
      <c r="D4633" s="4" t="n"/>
      <c r="E4633" s="5" t="n"/>
      <c r="F4633" s="5" t="n"/>
      <c r="G4633" s="5" t="n"/>
      <c r="H4633" s="5" t="n"/>
      <c r="I4633" s="5" t="n"/>
      <c r="J4633" s="6" t="n"/>
      <c r="K4633" s="6" t="n"/>
      <c r="L4633" s="7">
        <f>IF(OR(D4633="",N(J4633)=0),"",MIN(1,N(K4633)/J4633))</f>
        <v/>
      </c>
      <c r="M4633" s="5" t="n"/>
      <c r="N4633" s="5" t="n"/>
      <c r="O4633" s="5" t="n"/>
      <c r="P4633" s="5" t="n"/>
      <c r="Q4633" s="5" t="n"/>
      <c r="R4633" s="4" t="n"/>
      <c r="S4633" s="4" t="n"/>
      <c r="T4633" s="5" t="n"/>
      <c r="U4633" s="8">
        <f>IF(AND(V4633=1,D4633&lt;&gt;""),IF(D4633&gt;=corte,TODAY()-D4633,""),"")</f>
        <v/>
      </c>
      <c r="V4633" s="8">
        <f>IF(D4633="",0,IF(OR(AND(P4633&lt;&gt;"",S4633=""),AND(N(J4633)&gt;0,N(K4633)&lt;J4633),OR(M4633="PENDENTE",M4633="PARCIAL"),OR(N4633="PENDENTE",N4633="PARCIAL")),1,0))</f>
        <v/>
      </c>
      <c r="W4633" s="8">
        <f>IF(AND(V4633=1,D4633&lt;&gt;""),IF(D4633&gt;=corte,(B4633="CRÍTICO")*1E9+(100000-D4633)*10000+10000-ROW(),""),"")</f>
        <v/>
      </c>
      <c r="X4633" s="8">
        <f>IF(AND(V4633=1,D4633=pas_data,E4633=pas_turno),10000-ROW(),"")</f>
        <v/>
      </c>
    </row>
    <row r="4634">
      <c r="A4634" s="3">
        <f>IF(D4634="","","TT-"&amp;TEXT(ROW()-1,"00000"))</f>
        <v/>
      </c>
      <c r="B4634" s="3">
        <f>IF(D4634="","",IF(V4634=0,"CONCLUÍDO",IF(D4634&lt;corte,"HISTÓRICO",IF(OR(AND(ISNUMBER(R4634),R4634&lt;TODAY()),AND(OR(N4634="PENDENTE",N4634="PARCIAL"),D4634&lt;TODAY()-1)),"CRÍTICO",IF(OR(AND(P4634&lt;&gt;"",S4634=""),AND(N4634="REALIZADO",M4634="PENDENTE"),AND(ISNUMBER(R4634),R4634=TODAY())),"ATENÇÃO",IF(N(K4634)=0,"PENDENTE","EM ANDAMENTO"))))))</f>
        <v/>
      </c>
      <c r="C4634" s="3">
        <f>IF(D4634="","",IF(V4634=0,"🟢 OK",IF(D4634&lt;corte,"⚪ HISTÓRICO (sem baixa)",IF(AND(ISNUMBER(R4634),R4634&lt;TODAY()),"🔴 PRAZO VENCIDO",IF(AND(OR(N4634="PENDENTE",N4634="PARCIAL"),D4634&lt;TODAY()-1),"🔴 EMBARQUE ATRASADO",IF(AND(N4634="REALIZADO",M4634="PENDENTE"),"🟡 EMBARCADO SEM FATURAR",IF(AND(P4634&lt;&gt;"",S4634="",OR(Q4634="",R4634="")),"🟡 PENDÊNCIA SEM RESPONSÁVEL/PRAZO",IF(AND(ISNUMBER(R4634),R4634=TODAY()),"🟡 VENCE HOJE",IF(AND(P4634&lt;&gt;"",S4634=""),"🟡 PENDÊNCIA ABERTA",IF(AND(N(J4634)&gt;0,N(K4634)&lt;J4634),"🟡 FALTA EXECUTAR",IF(OR(M4634="PENDENTE",M4634="PARCIAL"),"🟡 FATURAMENTO PENDENTE","🟡 EMBARQUE PENDENTE")))))))))))</f>
        <v/>
      </c>
      <c r="D4634" s="4" t="n"/>
      <c r="E4634" s="5" t="n"/>
      <c r="F4634" s="5" t="n"/>
      <c r="G4634" s="5" t="n"/>
      <c r="H4634" s="5" t="n"/>
      <c r="I4634" s="5" t="n"/>
      <c r="J4634" s="6" t="n"/>
      <c r="K4634" s="6" t="n"/>
      <c r="L4634" s="7">
        <f>IF(OR(D4634="",N(J4634)=0),"",MIN(1,N(K4634)/J4634))</f>
        <v/>
      </c>
      <c r="M4634" s="5" t="n"/>
      <c r="N4634" s="5" t="n"/>
      <c r="O4634" s="5" t="n"/>
      <c r="P4634" s="5" t="n"/>
      <c r="Q4634" s="5" t="n"/>
      <c r="R4634" s="4" t="n"/>
      <c r="S4634" s="4" t="n"/>
      <c r="T4634" s="5" t="n"/>
      <c r="U4634" s="8">
        <f>IF(AND(V4634=1,D4634&lt;&gt;""),IF(D4634&gt;=corte,TODAY()-D4634,""),"")</f>
        <v/>
      </c>
      <c r="V4634" s="8">
        <f>IF(D4634="",0,IF(OR(AND(P4634&lt;&gt;"",S4634=""),AND(N(J4634)&gt;0,N(K4634)&lt;J4634),OR(M4634="PENDENTE",M4634="PARCIAL"),OR(N4634="PENDENTE",N4634="PARCIAL")),1,0))</f>
        <v/>
      </c>
      <c r="W4634" s="8">
        <f>IF(AND(V4634=1,D4634&lt;&gt;""),IF(D4634&gt;=corte,(B4634="CRÍTICO")*1E9+(100000-D4634)*10000+10000-ROW(),""),"")</f>
        <v/>
      </c>
      <c r="X4634" s="8">
        <f>IF(AND(V4634=1,D4634=pas_data,E4634=pas_turno),10000-ROW(),"")</f>
        <v/>
      </c>
    </row>
    <row r="4635">
      <c r="A4635" s="3">
        <f>IF(D4635="","","TT-"&amp;TEXT(ROW()-1,"00000"))</f>
        <v/>
      </c>
      <c r="B4635" s="3">
        <f>IF(D4635="","",IF(V4635=0,"CONCLUÍDO",IF(D4635&lt;corte,"HISTÓRICO",IF(OR(AND(ISNUMBER(R4635),R4635&lt;TODAY()),AND(OR(N4635="PENDENTE",N4635="PARCIAL"),D4635&lt;TODAY()-1)),"CRÍTICO",IF(OR(AND(P4635&lt;&gt;"",S4635=""),AND(N4635="REALIZADO",M4635="PENDENTE"),AND(ISNUMBER(R4635),R4635=TODAY())),"ATENÇÃO",IF(N(K4635)=0,"PENDENTE","EM ANDAMENTO"))))))</f>
        <v/>
      </c>
      <c r="C4635" s="3">
        <f>IF(D4635="","",IF(V4635=0,"🟢 OK",IF(D4635&lt;corte,"⚪ HISTÓRICO (sem baixa)",IF(AND(ISNUMBER(R4635),R4635&lt;TODAY()),"🔴 PRAZO VENCIDO",IF(AND(OR(N4635="PENDENTE",N4635="PARCIAL"),D4635&lt;TODAY()-1),"🔴 EMBARQUE ATRASADO",IF(AND(N4635="REALIZADO",M4635="PENDENTE"),"🟡 EMBARCADO SEM FATURAR",IF(AND(P4635&lt;&gt;"",S4635="",OR(Q4635="",R4635="")),"🟡 PENDÊNCIA SEM RESPONSÁVEL/PRAZO",IF(AND(ISNUMBER(R4635),R4635=TODAY()),"🟡 VENCE HOJE",IF(AND(P4635&lt;&gt;"",S4635=""),"🟡 PENDÊNCIA ABERTA",IF(AND(N(J4635)&gt;0,N(K4635)&lt;J4635),"🟡 FALTA EXECUTAR",IF(OR(M4635="PENDENTE",M4635="PARCIAL"),"🟡 FATURAMENTO PENDENTE","🟡 EMBARQUE PENDENTE")))))))))))</f>
        <v/>
      </c>
      <c r="D4635" s="4" t="n"/>
      <c r="E4635" s="5" t="n"/>
      <c r="F4635" s="5" t="n"/>
      <c r="G4635" s="5" t="n"/>
      <c r="H4635" s="5" t="n"/>
      <c r="I4635" s="5" t="n"/>
      <c r="J4635" s="6" t="n"/>
      <c r="K4635" s="6" t="n"/>
      <c r="L4635" s="7">
        <f>IF(OR(D4635="",N(J4635)=0),"",MIN(1,N(K4635)/J4635))</f>
        <v/>
      </c>
      <c r="M4635" s="5" t="n"/>
      <c r="N4635" s="5" t="n"/>
      <c r="O4635" s="5" t="n"/>
      <c r="P4635" s="5" t="n"/>
      <c r="Q4635" s="5" t="n"/>
      <c r="R4635" s="4" t="n"/>
      <c r="S4635" s="4" t="n"/>
      <c r="T4635" s="5" t="n"/>
      <c r="U4635" s="8">
        <f>IF(AND(V4635=1,D4635&lt;&gt;""),IF(D4635&gt;=corte,TODAY()-D4635,""),"")</f>
        <v/>
      </c>
      <c r="V4635" s="8">
        <f>IF(D4635="",0,IF(OR(AND(P4635&lt;&gt;"",S4635=""),AND(N(J4635)&gt;0,N(K4635)&lt;J4635),OR(M4635="PENDENTE",M4635="PARCIAL"),OR(N4635="PENDENTE",N4635="PARCIAL")),1,0))</f>
        <v/>
      </c>
      <c r="W4635" s="8">
        <f>IF(AND(V4635=1,D4635&lt;&gt;""),IF(D4635&gt;=corte,(B4635="CRÍTICO")*1E9+(100000-D4635)*10000+10000-ROW(),""),"")</f>
        <v/>
      </c>
      <c r="X4635" s="8">
        <f>IF(AND(V4635=1,D4635=pas_data,E4635=pas_turno),10000-ROW(),"")</f>
        <v/>
      </c>
    </row>
    <row r="4636">
      <c r="A4636" s="3">
        <f>IF(D4636="","","TT-"&amp;TEXT(ROW()-1,"00000"))</f>
        <v/>
      </c>
      <c r="B4636" s="3">
        <f>IF(D4636="","",IF(V4636=0,"CONCLUÍDO",IF(D4636&lt;corte,"HISTÓRICO",IF(OR(AND(ISNUMBER(R4636),R4636&lt;TODAY()),AND(OR(N4636="PENDENTE",N4636="PARCIAL"),D4636&lt;TODAY()-1)),"CRÍTICO",IF(OR(AND(P4636&lt;&gt;"",S4636=""),AND(N4636="REALIZADO",M4636="PENDENTE"),AND(ISNUMBER(R4636),R4636=TODAY())),"ATENÇÃO",IF(N(K4636)=0,"PENDENTE","EM ANDAMENTO"))))))</f>
        <v/>
      </c>
      <c r="C4636" s="3">
        <f>IF(D4636="","",IF(V4636=0,"🟢 OK",IF(D4636&lt;corte,"⚪ HISTÓRICO (sem baixa)",IF(AND(ISNUMBER(R4636),R4636&lt;TODAY()),"🔴 PRAZO VENCIDO",IF(AND(OR(N4636="PENDENTE",N4636="PARCIAL"),D4636&lt;TODAY()-1),"🔴 EMBARQUE ATRASADO",IF(AND(N4636="REALIZADO",M4636="PENDENTE"),"🟡 EMBARCADO SEM FATURAR",IF(AND(P4636&lt;&gt;"",S4636="",OR(Q4636="",R4636="")),"🟡 PENDÊNCIA SEM RESPONSÁVEL/PRAZO",IF(AND(ISNUMBER(R4636),R4636=TODAY()),"🟡 VENCE HOJE",IF(AND(P4636&lt;&gt;"",S4636=""),"🟡 PENDÊNCIA ABERTA",IF(AND(N(J4636)&gt;0,N(K4636)&lt;J4636),"🟡 FALTA EXECUTAR",IF(OR(M4636="PENDENTE",M4636="PARCIAL"),"🟡 FATURAMENTO PENDENTE","🟡 EMBARQUE PENDENTE")))))))))))</f>
        <v/>
      </c>
      <c r="D4636" s="4" t="n"/>
      <c r="E4636" s="5" t="n"/>
      <c r="F4636" s="5" t="n"/>
      <c r="G4636" s="5" t="n"/>
      <c r="H4636" s="5" t="n"/>
      <c r="I4636" s="5" t="n"/>
      <c r="J4636" s="6" t="n"/>
      <c r="K4636" s="6" t="n"/>
      <c r="L4636" s="7">
        <f>IF(OR(D4636="",N(J4636)=0),"",MIN(1,N(K4636)/J4636))</f>
        <v/>
      </c>
      <c r="M4636" s="5" t="n"/>
      <c r="N4636" s="5" t="n"/>
      <c r="O4636" s="5" t="n"/>
      <c r="P4636" s="5" t="n"/>
      <c r="Q4636" s="5" t="n"/>
      <c r="R4636" s="4" t="n"/>
      <c r="S4636" s="4" t="n"/>
      <c r="T4636" s="5" t="n"/>
      <c r="U4636" s="8">
        <f>IF(AND(V4636=1,D4636&lt;&gt;""),IF(D4636&gt;=corte,TODAY()-D4636,""),"")</f>
        <v/>
      </c>
      <c r="V4636" s="8">
        <f>IF(D4636="",0,IF(OR(AND(P4636&lt;&gt;"",S4636=""),AND(N(J4636)&gt;0,N(K4636)&lt;J4636),OR(M4636="PENDENTE",M4636="PARCIAL"),OR(N4636="PENDENTE",N4636="PARCIAL")),1,0))</f>
        <v/>
      </c>
      <c r="W4636" s="8">
        <f>IF(AND(V4636=1,D4636&lt;&gt;""),IF(D4636&gt;=corte,(B4636="CRÍTICO")*1E9+(100000-D4636)*10000+10000-ROW(),""),"")</f>
        <v/>
      </c>
      <c r="X4636" s="8">
        <f>IF(AND(V4636=1,D4636=pas_data,E4636=pas_turno),10000-ROW(),"")</f>
        <v/>
      </c>
    </row>
    <row r="4637">
      <c r="A4637" s="3">
        <f>IF(D4637="","","TT-"&amp;TEXT(ROW()-1,"00000"))</f>
        <v/>
      </c>
      <c r="B4637" s="3">
        <f>IF(D4637="","",IF(V4637=0,"CONCLUÍDO",IF(D4637&lt;corte,"HISTÓRICO",IF(OR(AND(ISNUMBER(R4637),R4637&lt;TODAY()),AND(OR(N4637="PENDENTE",N4637="PARCIAL"),D4637&lt;TODAY()-1)),"CRÍTICO",IF(OR(AND(P4637&lt;&gt;"",S4637=""),AND(N4637="REALIZADO",M4637="PENDENTE"),AND(ISNUMBER(R4637),R4637=TODAY())),"ATENÇÃO",IF(N(K4637)=0,"PENDENTE","EM ANDAMENTO"))))))</f>
        <v/>
      </c>
      <c r="C4637" s="3">
        <f>IF(D4637="","",IF(V4637=0,"🟢 OK",IF(D4637&lt;corte,"⚪ HISTÓRICO (sem baixa)",IF(AND(ISNUMBER(R4637),R4637&lt;TODAY()),"🔴 PRAZO VENCIDO",IF(AND(OR(N4637="PENDENTE",N4637="PARCIAL"),D4637&lt;TODAY()-1),"🔴 EMBARQUE ATRASADO",IF(AND(N4637="REALIZADO",M4637="PENDENTE"),"🟡 EMBARCADO SEM FATURAR",IF(AND(P4637&lt;&gt;"",S4637="",OR(Q4637="",R4637="")),"🟡 PENDÊNCIA SEM RESPONSÁVEL/PRAZO",IF(AND(ISNUMBER(R4637),R4637=TODAY()),"🟡 VENCE HOJE",IF(AND(P4637&lt;&gt;"",S4637=""),"🟡 PENDÊNCIA ABERTA",IF(AND(N(J4637)&gt;0,N(K4637)&lt;J4637),"🟡 FALTA EXECUTAR",IF(OR(M4637="PENDENTE",M4637="PARCIAL"),"🟡 FATURAMENTO PENDENTE","🟡 EMBARQUE PENDENTE")))))))))))</f>
        <v/>
      </c>
      <c r="D4637" s="4" t="n"/>
      <c r="E4637" s="5" t="n"/>
      <c r="F4637" s="5" t="n"/>
      <c r="G4637" s="5" t="n"/>
      <c r="H4637" s="5" t="n"/>
      <c r="I4637" s="5" t="n"/>
      <c r="J4637" s="6" t="n"/>
      <c r="K4637" s="6" t="n"/>
      <c r="L4637" s="7">
        <f>IF(OR(D4637="",N(J4637)=0),"",MIN(1,N(K4637)/J4637))</f>
        <v/>
      </c>
      <c r="M4637" s="5" t="n"/>
      <c r="N4637" s="5" t="n"/>
      <c r="O4637" s="5" t="n"/>
      <c r="P4637" s="5" t="n"/>
      <c r="Q4637" s="5" t="n"/>
      <c r="R4637" s="4" t="n"/>
      <c r="S4637" s="4" t="n"/>
      <c r="T4637" s="5" t="n"/>
      <c r="U4637" s="8">
        <f>IF(AND(V4637=1,D4637&lt;&gt;""),IF(D4637&gt;=corte,TODAY()-D4637,""),"")</f>
        <v/>
      </c>
      <c r="V4637" s="8">
        <f>IF(D4637="",0,IF(OR(AND(P4637&lt;&gt;"",S4637=""),AND(N(J4637)&gt;0,N(K4637)&lt;J4637),OR(M4637="PENDENTE",M4637="PARCIAL"),OR(N4637="PENDENTE",N4637="PARCIAL")),1,0))</f>
        <v/>
      </c>
      <c r="W4637" s="8">
        <f>IF(AND(V4637=1,D4637&lt;&gt;""),IF(D4637&gt;=corte,(B4637="CRÍTICO")*1E9+(100000-D4637)*10000+10000-ROW(),""),"")</f>
        <v/>
      </c>
      <c r="X4637" s="8">
        <f>IF(AND(V4637=1,D4637=pas_data,E4637=pas_turno),10000-ROW(),"")</f>
        <v/>
      </c>
    </row>
    <row r="4638">
      <c r="A4638" s="3">
        <f>IF(D4638="","","TT-"&amp;TEXT(ROW()-1,"00000"))</f>
        <v/>
      </c>
      <c r="B4638" s="3">
        <f>IF(D4638="","",IF(V4638=0,"CONCLUÍDO",IF(D4638&lt;corte,"HISTÓRICO",IF(OR(AND(ISNUMBER(R4638),R4638&lt;TODAY()),AND(OR(N4638="PENDENTE",N4638="PARCIAL"),D4638&lt;TODAY()-1)),"CRÍTICO",IF(OR(AND(P4638&lt;&gt;"",S4638=""),AND(N4638="REALIZADO",M4638="PENDENTE"),AND(ISNUMBER(R4638),R4638=TODAY())),"ATENÇÃO",IF(N(K4638)=0,"PENDENTE","EM ANDAMENTO"))))))</f>
        <v/>
      </c>
      <c r="C4638" s="3">
        <f>IF(D4638="","",IF(V4638=0,"🟢 OK",IF(D4638&lt;corte,"⚪ HISTÓRICO (sem baixa)",IF(AND(ISNUMBER(R4638),R4638&lt;TODAY()),"🔴 PRAZO VENCIDO",IF(AND(OR(N4638="PENDENTE",N4638="PARCIAL"),D4638&lt;TODAY()-1),"🔴 EMBARQUE ATRASADO",IF(AND(N4638="REALIZADO",M4638="PENDENTE"),"🟡 EMBARCADO SEM FATURAR",IF(AND(P4638&lt;&gt;"",S4638="",OR(Q4638="",R4638="")),"🟡 PENDÊNCIA SEM RESPONSÁVEL/PRAZO",IF(AND(ISNUMBER(R4638),R4638=TODAY()),"🟡 VENCE HOJE",IF(AND(P4638&lt;&gt;"",S4638=""),"🟡 PENDÊNCIA ABERTA",IF(AND(N(J4638)&gt;0,N(K4638)&lt;J4638),"🟡 FALTA EXECUTAR",IF(OR(M4638="PENDENTE",M4638="PARCIAL"),"🟡 FATURAMENTO PENDENTE","🟡 EMBARQUE PENDENTE")))))))))))</f>
        <v/>
      </c>
      <c r="D4638" s="4" t="n"/>
      <c r="E4638" s="5" t="n"/>
      <c r="F4638" s="5" t="n"/>
      <c r="G4638" s="5" t="n"/>
      <c r="H4638" s="5" t="n"/>
      <c r="I4638" s="5" t="n"/>
      <c r="J4638" s="6" t="n"/>
      <c r="K4638" s="6" t="n"/>
      <c r="L4638" s="7">
        <f>IF(OR(D4638="",N(J4638)=0),"",MIN(1,N(K4638)/J4638))</f>
        <v/>
      </c>
      <c r="M4638" s="5" t="n"/>
      <c r="N4638" s="5" t="n"/>
      <c r="O4638" s="5" t="n"/>
      <c r="P4638" s="5" t="n"/>
      <c r="Q4638" s="5" t="n"/>
      <c r="R4638" s="4" t="n"/>
      <c r="S4638" s="4" t="n"/>
      <c r="T4638" s="5" t="n"/>
      <c r="U4638" s="8">
        <f>IF(AND(V4638=1,D4638&lt;&gt;""),IF(D4638&gt;=corte,TODAY()-D4638,""),"")</f>
        <v/>
      </c>
      <c r="V4638" s="8">
        <f>IF(D4638="",0,IF(OR(AND(P4638&lt;&gt;"",S4638=""),AND(N(J4638)&gt;0,N(K4638)&lt;J4638),OR(M4638="PENDENTE",M4638="PARCIAL"),OR(N4638="PENDENTE",N4638="PARCIAL")),1,0))</f>
        <v/>
      </c>
      <c r="W4638" s="8">
        <f>IF(AND(V4638=1,D4638&lt;&gt;""),IF(D4638&gt;=corte,(B4638="CRÍTICO")*1E9+(100000-D4638)*10000+10000-ROW(),""),"")</f>
        <v/>
      </c>
      <c r="X4638" s="8">
        <f>IF(AND(V4638=1,D4638=pas_data,E4638=pas_turno),10000-ROW(),"")</f>
        <v/>
      </c>
    </row>
    <row r="4639">
      <c r="A4639" s="3">
        <f>IF(D4639="","","TT-"&amp;TEXT(ROW()-1,"00000"))</f>
        <v/>
      </c>
      <c r="B4639" s="3">
        <f>IF(D4639="","",IF(V4639=0,"CONCLUÍDO",IF(D4639&lt;corte,"HISTÓRICO",IF(OR(AND(ISNUMBER(R4639),R4639&lt;TODAY()),AND(OR(N4639="PENDENTE",N4639="PARCIAL"),D4639&lt;TODAY()-1)),"CRÍTICO",IF(OR(AND(P4639&lt;&gt;"",S4639=""),AND(N4639="REALIZADO",M4639="PENDENTE"),AND(ISNUMBER(R4639),R4639=TODAY())),"ATENÇÃO",IF(N(K4639)=0,"PENDENTE","EM ANDAMENTO"))))))</f>
        <v/>
      </c>
      <c r="C4639" s="3">
        <f>IF(D4639="","",IF(V4639=0,"🟢 OK",IF(D4639&lt;corte,"⚪ HISTÓRICO (sem baixa)",IF(AND(ISNUMBER(R4639),R4639&lt;TODAY()),"🔴 PRAZO VENCIDO",IF(AND(OR(N4639="PENDENTE",N4639="PARCIAL"),D4639&lt;TODAY()-1),"🔴 EMBARQUE ATRASADO",IF(AND(N4639="REALIZADO",M4639="PENDENTE"),"🟡 EMBARCADO SEM FATURAR",IF(AND(P4639&lt;&gt;"",S4639="",OR(Q4639="",R4639="")),"🟡 PENDÊNCIA SEM RESPONSÁVEL/PRAZO",IF(AND(ISNUMBER(R4639),R4639=TODAY()),"🟡 VENCE HOJE",IF(AND(P4639&lt;&gt;"",S4639=""),"🟡 PENDÊNCIA ABERTA",IF(AND(N(J4639)&gt;0,N(K4639)&lt;J4639),"🟡 FALTA EXECUTAR",IF(OR(M4639="PENDENTE",M4639="PARCIAL"),"🟡 FATURAMENTO PENDENTE","🟡 EMBARQUE PENDENTE")))))))))))</f>
        <v/>
      </c>
      <c r="D4639" s="4" t="n"/>
      <c r="E4639" s="5" t="n"/>
      <c r="F4639" s="5" t="n"/>
      <c r="G4639" s="5" t="n"/>
      <c r="H4639" s="5" t="n"/>
      <c r="I4639" s="5" t="n"/>
      <c r="J4639" s="6" t="n"/>
      <c r="K4639" s="6" t="n"/>
      <c r="L4639" s="7">
        <f>IF(OR(D4639="",N(J4639)=0),"",MIN(1,N(K4639)/J4639))</f>
        <v/>
      </c>
      <c r="M4639" s="5" t="n"/>
      <c r="N4639" s="5" t="n"/>
      <c r="O4639" s="5" t="n"/>
      <c r="P4639" s="5" t="n"/>
      <c r="Q4639" s="5" t="n"/>
      <c r="R4639" s="4" t="n"/>
      <c r="S4639" s="4" t="n"/>
      <c r="T4639" s="5" t="n"/>
      <c r="U4639" s="8">
        <f>IF(AND(V4639=1,D4639&lt;&gt;""),IF(D4639&gt;=corte,TODAY()-D4639,""),"")</f>
        <v/>
      </c>
      <c r="V4639" s="8">
        <f>IF(D4639="",0,IF(OR(AND(P4639&lt;&gt;"",S4639=""),AND(N(J4639)&gt;0,N(K4639)&lt;J4639),OR(M4639="PENDENTE",M4639="PARCIAL"),OR(N4639="PENDENTE",N4639="PARCIAL")),1,0))</f>
        <v/>
      </c>
      <c r="W4639" s="8">
        <f>IF(AND(V4639=1,D4639&lt;&gt;""),IF(D4639&gt;=corte,(B4639="CRÍTICO")*1E9+(100000-D4639)*10000+10000-ROW(),""),"")</f>
        <v/>
      </c>
      <c r="X4639" s="8">
        <f>IF(AND(V4639=1,D4639=pas_data,E4639=pas_turno),10000-ROW(),"")</f>
        <v/>
      </c>
    </row>
    <row r="4640">
      <c r="A4640" s="3">
        <f>IF(D4640="","","TT-"&amp;TEXT(ROW()-1,"00000"))</f>
        <v/>
      </c>
      <c r="B4640" s="3">
        <f>IF(D4640="","",IF(V4640=0,"CONCLUÍDO",IF(D4640&lt;corte,"HISTÓRICO",IF(OR(AND(ISNUMBER(R4640),R4640&lt;TODAY()),AND(OR(N4640="PENDENTE",N4640="PARCIAL"),D4640&lt;TODAY()-1)),"CRÍTICO",IF(OR(AND(P4640&lt;&gt;"",S4640=""),AND(N4640="REALIZADO",M4640="PENDENTE"),AND(ISNUMBER(R4640),R4640=TODAY())),"ATENÇÃO",IF(N(K4640)=0,"PENDENTE","EM ANDAMENTO"))))))</f>
        <v/>
      </c>
      <c r="C4640" s="3">
        <f>IF(D4640="","",IF(V4640=0,"🟢 OK",IF(D4640&lt;corte,"⚪ HISTÓRICO (sem baixa)",IF(AND(ISNUMBER(R4640),R4640&lt;TODAY()),"🔴 PRAZO VENCIDO",IF(AND(OR(N4640="PENDENTE",N4640="PARCIAL"),D4640&lt;TODAY()-1),"🔴 EMBARQUE ATRASADO",IF(AND(N4640="REALIZADO",M4640="PENDENTE"),"🟡 EMBARCADO SEM FATURAR",IF(AND(P4640&lt;&gt;"",S4640="",OR(Q4640="",R4640="")),"🟡 PENDÊNCIA SEM RESPONSÁVEL/PRAZO",IF(AND(ISNUMBER(R4640),R4640=TODAY()),"🟡 VENCE HOJE",IF(AND(P4640&lt;&gt;"",S4640=""),"🟡 PENDÊNCIA ABERTA",IF(AND(N(J4640)&gt;0,N(K4640)&lt;J4640),"🟡 FALTA EXECUTAR",IF(OR(M4640="PENDENTE",M4640="PARCIAL"),"🟡 FATURAMENTO PENDENTE","🟡 EMBARQUE PENDENTE")))))))))))</f>
        <v/>
      </c>
      <c r="D4640" s="4" t="n"/>
      <c r="E4640" s="5" t="n"/>
      <c r="F4640" s="5" t="n"/>
      <c r="G4640" s="5" t="n"/>
      <c r="H4640" s="5" t="n"/>
      <c r="I4640" s="5" t="n"/>
      <c r="J4640" s="6" t="n"/>
      <c r="K4640" s="6" t="n"/>
      <c r="L4640" s="7">
        <f>IF(OR(D4640="",N(J4640)=0),"",MIN(1,N(K4640)/J4640))</f>
        <v/>
      </c>
      <c r="M4640" s="5" t="n"/>
      <c r="N4640" s="5" t="n"/>
      <c r="O4640" s="5" t="n"/>
      <c r="P4640" s="5" t="n"/>
      <c r="Q4640" s="5" t="n"/>
      <c r="R4640" s="4" t="n"/>
      <c r="S4640" s="4" t="n"/>
      <c r="T4640" s="5" t="n"/>
      <c r="U4640" s="8">
        <f>IF(AND(V4640=1,D4640&lt;&gt;""),IF(D4640&gt;=corte,TODAY()-D4640,""),"")</f>
        <v/>
      </c>
      <c r="V4640" s="8">
        <f>IF(D4640="",0,IF(OR(AND(P4640&lt;&gt;"",S4640=""),AND(N(J4640)&gt;0,N(K4640)&lt;J4640),OR(M4640="PENDENTE",M4640="PARCIAL"),OR(N4640="PENDENTE",N4640="PARCIAL")),1,0))</f>
        <v/>
      </c>
      <c r="W4640" s="8">
        <f>IF(AND(V4640=1,D4640&lt;&gt;""),IF(D4640&gt;=corte,(B4640="CRÍTICO")*1E9+(100000-D4640)*10000+10000-ROW(),""),"")</f>
        <v/>
      </c>
      <c r="X4640" s="8">
        <f>IF(AND(V4640=1,D4640=pas_data,E4640=pas_turno),10000-ROW(),"")</f>
        <v/>
      </c>
    </row>
    <row r="4641">
      <c r="A4641" s="3">
        <f>IF(D4641="","","TT-"&amp;TEXT(ROW()-1,"00000"))</f>
        <v/>
      </c>
      <c r="B4641" s="3">
        <f>IF(D4641="","",IF(V4641=0,"CONCLUÍDO",IF(D4641&lt;corte,"HISTÓRICO",IF(OR(AND(ISNUMBER(R4641),R4641&lt;TODAY()),AND(OR(N4641="PENDENTE",N4641="PARCIAL"),D4641&lt;TODAY()-1)),"CRÍTICO",IF(OR(AND(P4641&lt;&gt;"",S4641=""),AND(N4641="REALIZADO",M4641="PENDENTE"),AND(ISNUMBER(R4641),R4641=TODAY())),"ATENÇÃO",IF(N(K4641)=0,"PENDENTE","EM ANDAMENTO"))))))</f>
        <v/>
      </c>
      <c r="C4641" s="3">
        <f>IF(D4641="","",IF(V4641=0,"🟢 OK",IF(D4641&lt;corte,"⚪ HISTÓRICO (sem baixa)",IF(AND(ISNUMBER(R4641),R4641&lt;TODAY()),"🔴 PRAZO VENCIDO",IF(AND(OR(N4641="PENDENTE",N4641="PARCIAL"),D4641&lt;TODAY()-1),"🔴 EMBARQUE ATRASADO",IF(AND(N4641="REALIZADO",M4641="PENDENTE"),"🟡 EMBARCADO SEM FATURAR",IF(AND(P4641&lt;&gt;"",S4641="",OR(Q4641="",R4641="")),"🟡 PENDÊNCIA SEM RESPONSÁVEL/PRAZO",IF(AND(ISNUMBER(R4641),R4641=TODAY()),"🟡 VENCE HOJE",IF(AND(P4641&lt;&gt;"",S4641=""),"🟡 PENDÊNCIA ABERTA",IF(AND(N(J4641)&gt;0,N(K4641)&lt;J4641),"🟡 FALTA EXECUTAR",IF(OR(M4641="PENDENTE",M4641="PARCIAL"),"🟡 FATURAMENTO PENDENTE","🟡 EMBARQUE PENDENTE")))))))))))</f>
        <v/>
      </c>
      <c r="D4641" s="4" t="n"/>
      <c r="E4641" s="5" t="n"/>
      <c r="F4641" s="5" t="n"/>
      <c r="G4641" s="5" t="n"/>
      <c r="H4641" s="5" t="n"/>
      <c r="I4641" s="5" t="n"/>
      <c r="J4641" s="6" t="n"/>
      <c r="K4641" s="6" t="n"/>
      <c r="L4641" s="7">
        <f>IF(OR(D4641="",N(J4641)=0),"",MIN(1,N(K4641)/J4641))</f>
        <v/>
      </c>
      <c r="M4641" s="5" t="n"/>
      <c r="N4641" s="5" t="n"/>
      <c r="O4641" s="5" t="n"/>
      <c r="P4641" s="5" t="n"/>
      <c r="Q4641" s="5" t="n"/>
      <c r="R4641" s="4" t="n"/>
      <c r="S4641" s="4" t="n"/>
      <c r="T4641" s="5" t="n"/>
      <c r="U4641" s="8">
        <f>IF(AND(V4641=1,D4641&lt;&gt;""),IF(D4641&gt;=corte,TODAY()-D4641,""),"")</f>
        <v/>
      </c>
      <c r="V4641" s="8">
        <f>IF(D4641="",0,IF(OR(AND(P4641&lt;&gt;"",S4641=""),AND(N(J4641)&gt;0,N(K4641)&lt;J4641),OR(M4641="PENDENTE",M4641="PARCIAL"),OR(N4641="PENDENTE",N4641="PARCIAL")),1,0))</f>
        <v/>
      </c>
      <c r="W4641" s="8">
        <f>IF(AND(V4641=1,D4641&lt;&gt;""),IF(D4641&gt;=corte,(B4641="CRÍTICO")*1E9+(100000-D4641)*10000+10000-ROW(),""),"")</f>
        <v/>
      </c>
      <c r="X4641" s="8">
        <f>IF(AND(V4641=1,D4641=pas_data,E4641=pas_turno),10000-ROW(),"")</f>
        <v/>
      </c>
    </row>
    <row r="4642">
      <c r="A4642" s="3">
        <f>IF(D4642="","","TT-"&amp;TEXT(ROW()-1,"00000"))</f>
        <v/>
      </c>
      <c r="B4642" s="3">
        <f>IF(D4642="","",IF(V4642=0,"CONCLUÍDO",IF(D4642&lt;corte,"HISTÓRICO",IF(OR(AND(ISNUMBER(R4642),R4642&lt;TODAY()),AND(OR(N4642="PENDENTE",N4642="PARCIAL"),D4642&lt;TODAY()-1)),"CRÍTICO",IF(OR(AND(P4642&lt;&gt;"",S4642=""),AND(N4642="REALIZADO",M4642="PENDENTE"),AND(ISNUMBER(R4642),R4642=TODAY())),"ATENÇÃO",IF(N(K4642)=0,"PENDENTE","EM ANDAMENTO"))))))</f>
        <v/>
      </c>
      <c r="C4642" s="3">
        <f>IF(D4642="","",IF(V4642=0,"🟢 OK",IF(D4642&lt;corte,"⚪ HISTÓRICO (sem baixa)",IF(AND(ISNUMBER(R4642),R4642&lt;TODAY()),"🔴 PRAZO VENCIDO",IF(AND(OR(N4642="PENDENTE",N4642="PARCIAL"),D4642&lt;TODAY()-1),"🔴 EMBARQUE ATRASADO",IF(AND(N4642="REALIZADO",M4642="PENDENTE"),"🟡 EMBARCADO SEM FATURAR",IF(AND(P4642&lt;&gt;"",S4642="",OR(Q4642="",R4642="")),"🟡 PENDÊNCIA SEM RESPONSÁVEL/PRAZO",IF(AND(ISNUMBER(R4642),R4642=TODAY()),"🟡 VENCE HOJE",IF(AND(P4642&lt;&gt;"",S4642=""),"🟡 PENDÊNCIA ABERTA",IF(AND(N(J4642)&gt;0,N(K4642)&lt;J4642),"🟡 FALTA EXECUTAR",IF(OR(M4642="PENDENTE",M4642="PARCIAL"),"🟡 FATURAMENTO PENDENTE","🟡 EMBARQUE PENDENTE")))))))))))</f>
        <v/>
      </c>
      <c r="D4642" s="4" t="n"/>
      <c r="E4642" s="5" t="n"/>
      <c r="F4642" s="5" t="n"/>
      <c r="G4642" s="5" t="n"/>
      <c r="H4642" s="5" t="n"/>
      <c r="I4642" s="5" t="n"/>
      <c r="J4642" s="6" t="n"/>
      <c r="K4642" s="6" t="n"/>
      <c r="L4642" s="7">
        <f>IF(OR(D4642="",N(J4642)=0),"",MIN(1,N(K4642)/J4642))</f>
        <v/>
      </c>
      <c r="M4642" s="5" t="n"/>
      <c r="N4642" s="5" t="n"/>
      <c r="O4642" s="5" t="n"/>
      <c r="P4642" s="5" t="n"/>
      <c r="Q4642" s="5" t="n"/>
      <c r="R4642" s="4" t="n"/>
      <c r="S4642" s="4" t="n"/>
      <c r="T4642" s="5" t="n"/>
      <c r="U4642" s="8">
        <f>IF(AND(V4642=1,D4642&lt;&gt;""),IF(D4642&gt;=corte,TODAY()-D4642,""),"")</f>
        <v/>
      </c>
      <c r="V4642" s="8">
        <f>IF(D4642="",0,IF(OR(AND(P4642&lt;&gt;"",S4642=""),AND(N(J4642)&gt;0,N(K4642)&lt;J4642),OR(M4642="PENDENTE",M4642="PARCIAL"),OR(N4642="PENDENTE",N4642="PARCIAL")),1,0))</f>
        <v/>
      </c>
      <c r="W4642" s="8">
        <f>IF(AND(V4642=1,D4642&lt;&gt;""),IF(D4642&gt;=corte,(B4642="CRÍTICO")*1E9+(100000-D4642)*10000+10000-ROW(),""),"")</f>
        <v/>
      </c>
      <c r="X4642" s="8">
        <f>IF(AND(V4642=1,D4642=pas_data,E4642=pas_turno),10000-ROW(),"")</f>
        <v/>
      </c>
    </row>
    <row r="4643">
      <c r="A4643" s="3">
        <f>IF(D4643="","","TT-"&amp;TEXT(ROW()-1,"00000"))</f>
        <v/>
      </c>
      <c r="B4643" s="3">
        <f>IF(D4643="","",IF(V4643=0,"CONCLUÍDO",IF(D4643&lt;corte,"HISTÓRICO",IF(OR(AND(ISNUMBER(R4643),R4643&lt;TODAY()),AND(OR(N4643="PENDENTE",N4643="PARCIAL"),D4643&lt;TODAY()-1)),"CRÍTICO",IF(OR(AND(P4643&lt;&gt;"",S4643=""),AND(N4643="REALIZADO",M4643="PENDENTE"),AND(ISNUMBER(R4643),R4643=TODAY())),"ATENÇÃO",IF(N(K4643)=0,"PENDENTE","EM ANDAMENTO"))))))</f>
        <v/>
      </c>
      <c r="C4643" s="3">
        <f>IF(D4643="","",IF(V4643=0,"🟢 OK",IF(D4643&lt;corte,"⚪ HISTÓRICO (sem baixa)",IF(AND(ISNUMBER(R4643),R4643&lt;TODAY()),"🔴 PRAZO VENCIDO",IF(AND(OR(N4643="PENDENTE",N4643="PARCIAL"),D4643&lt;TODAY()-1),"🔴 EMBARQUE ATRASADO",IF(AND(N4643="REALIZADO",M4643="PENDENTE"),"🟡 EMBARCADO SEM FATURAR",IF(AND(P4643&lt;&gt;"",S4643="",OR(Q4643="",R4643="")),"🟡 PENDÊNCIA SEM RESPONSÁVEL/PRAZO",IF(AND(ISNUMBER(R4643),R4643=TODAY()),"🟡 VENCE HOJE",IF(AND(P4643&lt;&gt;"",S4643=""),"🟡 PENDÊNCIA ABERTA",IF(AND(N(J4643)&gt;0,N(K4643)&lt;J4643),"🟡 FALTA EXECUTAR",IF(OR(M4643="PENDENTE",M4643="PARCIAL"),"🟡 FATURAMENTO PENDENTE","🟡 EMBARQUE PENDENTE")))))))))))</f>
        <v/>
      </c>
      <c r="D4643" s="4" t="n"/>
      <c r="E4643" s="5" t="n"/>
      <c r="F4643" s="5" t="n"/>
      <c r="G4643" s="5" t="n"/>
      <c r="H4643" s="5" t="n"/>
      <c r="I4643" s="5" t="n"/>
      <c r="J4643" s="6" t="n"/>
      <c r="K4643" s="6" t="n"/>
      <c r="L4643" s="7">
        <f>IF(OR(D4643="",N(J4643)=0),"",MIN(1,N(K4643)/J4643))</f>
        <v/>
      </c>
      <c r="M4643" s="5" t="n"/>
      <c r="N4643" s="5" t="n"/>
      <c r="O4643" s="5" t="n"/>
      <c r="P4643" s="5" t="n"/>
      <c r="Q4643" s="5" t="n"/>
      <c r="R4643" s="4" t="n"/>
      <c r="S4643" s="4" t="n"/>
      <c r="T4643" s="5" t="n"/>
      <c r="U4643" s="8">
        <f>IF(AND(V4643=1,D4643&lt;&gt;""),IF(D4643&gt;=corte,TODAY()-D4643,""),"")</f>
        <v/>
      </c>
      <c r="V4643" s="8">
        <f>IF(D4643="",0,IF(OR(AND(P4643&lt;&gt;"",S4643=""),AND(N(J4643)&gt;0,N(K4643)&lt;J4643),OR(M4643="PENDENTE",M4643="PARCIAL"),OR(N4643="PENDENTE",N4643="PARCIAL")),1,0))</f>
        <v/>
      </c>
      <c r="W4643" s="8">
        <f>IF(AND(V4643=1,D4643&lt;&gt;""),IF(D4643&gt;=corte,(B4643="CRÍTICO")*1E9+(100000-D4643)*10000+10000-ROW(),""),"")</f>
        <v/>
      </c>
      <c r="X4643" s="8">
        <f>IF(AND(V4643=1,D4643=pas_data,E4643=pas_turno),10000-ROW(),"")</f>
        <v/>
      </c>
    </row>
    <row r="4644">
      <c r="A4644" s="3">
        <f>IF(D4644="","","TT-"&amp;TEXT(ROW()-1,"00000"))</f>
        <v/>
      </c>
      <c r="B4644" s="3">
        <f>IF(D4644="","",IF(V4644=0,"CONCLUÍDO",IF(D4644&lt;corte,"HISTÓRICO",IF(OR(AND(ISNUMBER(R4644),R4644&lt;TODAY()),AND(OR(N4644="PENDENTE",N4644="PARCIAL"),D4644&lt;TODAY()-1)),"CRÍTICO",IF(OR(AND(P4644&lt;&gt;"",S4644=""),AND(N4644="REALIZADO",M4644="PENDENTE"),AND(ISNUMBER(R4644),R4644=TODAY())),"ATENÇÃO",IF(N(K4644)=0,"PENDENTE","EM ANDAMENTO"))))))</f>
        <v/>
      </c>
      <c r="C4644" s="3">
        <f>IF(D4644="","",IF(V4644=0,"🟢 OK",IF(D4644&lt;corte,"⚪ HISTÓRICO (sem baixa)",IF(AND(ISNUMBER(R4644),R4644&lt;TODAY()),"🔴 PRAZO VENCIDO",IF(AND(OR(N4644="PENDENTE",N4644="PARCIAL"),D4644&lt;TODAY()-1),"🔴 EMBARQUE ATRASADO",IF(AND(N4644="REALIZADO",M4644="PENDENTE"),"🟡 EMBARCADO SEM FATURAR",IF(AND(P4644&lt;&gt;"",S4644="",OR(Q4644="",R4644="")),"🟡 PENDÊNCIA SEM RESPONSÁVEL/PRAZO",IF(AND(ISNUMBER(R4644),R4644=TODAY()),"🟡 VENCE HOJE",IF(AND(P4644&lt;&gt;"",S4644=""),"🟡 PENDÊNCIA ABERTA",IF(AND(N(J4644)&gt;0,N(K4644)&lt;J4644),"🟡 FALTA EXECUTAR",IF(OR(M4644="PENDENTE",M4644="PARCIAL"),"🟡 FATURAMENTO PENDENTE","🟡 EMBARQUE PENDENTE")))))))))))</f>
        <v/>
      </c>
      <c r="D4644" s="4" t="n"/>
      <c r="E4644" s="5" t="n"/>
      <c r="F4644" s="5" t="n"/>
      <c r="G4644" s="5" t="n"/>
      <c r="H4644" s="5" t="n"/>
      <c r="I4644" s="5" t="n"/>
      <c r="J4644" s="6" t="n"/>
      <c r="K4644" s="6" t="n"/>
      <c r="L4644" s="7">
        <f>IF(OR(D4644="",N(J4644)=0),"",MIN(1,N(K4644)/J4644))</f>
        <v/>
      </c>
      <c r="M4644" s="5" t="n"/>
      <c r="N4644" s="5" t="n"/>
      <c r="O4644" s="5" t="n"/>
      <c r="P4644" s="5" t="n"/>
      <c r="Q4644" s="5" t="n"/>
      <c r="R4644" s="4" t="n"/>
      <c r="S4644" s="4" t="n"/>
      <c r="T4644" s="5" t="n"/>
      <c r="U4644" s="8">
        <f>IF(AND(V4644=1,D4644&lt;&gt;""),IF(D4644&gt;=corte,TODAY()-D4644,""),"")</f>
        <v/>
      </c>
      <c r="V4644" s="8">
        <f>IF(D4644="",0,IF(OR(AND(P4644&lt;&gt;"",S4644=""),AND(N(J4644)&gt;0,N(K4644)&lt;J4644),OR(M4644="PENDENTE",M4644="PARCIAL"),OR(N4644="PENDENTE",N4644="PARCIAL")),1,0))</f>
        <v/>
      </c>
      <c r="W4644" s="8">
        <f>IF(AND(V4644=1,D4644&lt;&gt;""),IF(D4644&gt;=corte,(B4644="CRÍTICO")*1E9+(100000-D4644)*10000+10000-ROW(),""),"")</f>
        <v/>
      </c>
      <c r="X4644" s="8">
        <f>IF(AND(V4644=1,D4644=pas_data,E4644=pas_turno),10000-ROW(),"")</f>
        <v/>
      </c>
    </row>
    <row r="4645">
      <c r="A4645" s="3">
        <f>IF(D4645="","","TT-"&amp;TEXT(ROW()-1,"00000"))</f>
        <v/>
      </c>
      <c r="B4645" s="3">
        <f>IF(D4645="","",IF(V4645=0,"CONCLUÍDO",IF(D4645&lt;corte,"HISTÓRICO",IF(OR(AND(ISNUMBER(R4645),R4645&lt;TODAY()),AND(OR(N4645="PENDENTE",N4645="PARCIAL"),D4645&lt;TODAY()-1)),"CRÍTICO",IF(OR(AND(P4645&lt;&gt;"",S4645=""),AND(N4645="REALIZADO",M4645="PENDENTE"),AND(ISNUMBER(R4645),R4645=TODAY())),"ATENÇÃO",IF(N(K4645)=0,"PENDENTE","EM ANDAMENTO"))))))</f>
        <v/>
      </c>
      <c r="C4645" s="3">
        <f>IF(D4645="","",IF(V4645=0,"🟢 OK",IF(D4645&lt;corte,"⚪ HISTÓRICO (sem baixa)",IF(AND(ISNUMBER(R4645),R4645&lt;TODAY()),"🔴 PRAZO VENCIDO",IF(AND(OR(N4645="PENDENTE",N4645="PARCIAL"),D4645&lt;TODAY()-1),"🔴 EMBARQUE ATRASADO",IF(AND(N4645="REALIZADO",M4645="PENDENTE"),"🟡 EMBARCADO SEM FATURAR",IF(AND(P4645&lt;&gt;"",S4645="",OR(Q4645="",R4645="")),"🟡 PENDÊNCIA SEM RESPONSÁVEL/PRAZO",IF(AND(ISNUMBER(R4645),R4645=TODAY()),"🟡 VENCE HOJE",IF(AND(P4645&lt;&gt;"",S4645=""),"🟡 PENDÊNCIA ABERTA",IF(AND(N(J4645)&gt;0,N(K4645)&lt;J4645),"🟡 FALTA EXECUTAR",IF(OR(M4645="PENDENTE",M4645="PARCIAL"),"🟡 FATURAMENTO PENDENTE","🟡 EMBARQUE PENDENTE")))))))))))</f>
        <v/>
      </c>
      <c r="D4645" s="4" t="n"/>
      <c r="E4645" s="5" t="n"/>
      <c r="F4645" s="5" t="n"/>
      <c r="G4645" s="5" t="n"/>
      <c r="H4645" s="5" t="n"/>
      <c r="I4645" s="5" t="n"/>
      <c r="J4645" s="6" t="n"/>
      <c r="K4645" s="6" t="n"/>
      <c r="L4645" s="7">
        <f>IF(OR(D4645="",N(J4645)=0),"",MIN(1,N(K4645)/J4645))</f>
        <v/>
      </c>
      <c r="M4645" s="5" t="n"/>
      <c r="N4645" s="5" t="n"/>
      <c r="O4645" s="5" t="n"/>
      <c r="P4645" s="5" t="n"/>
      <c r="Q4645" s="5" t="n"/>
      <c r="R4645" s="4" t="n"/>
      <c r="S4645" s="4" t="n"/>
      <c r="T4645" s="5" t="n"/>
      <c r="U4645" s="8">
        <f>IF(AND(V4645=1,D4645&lt;&gt;""),IF(D4645&gt;=corte,TODAY()-D4645,""),"")</f>
        <v/>
      </c>
      <c r="V4645" s="8">
        <f>IF(D4645="",0,IF(OR(AND(P4645&lt;&gt;"",S4645=""),AND(N(J4645)&gt;0,N(K4645)&lt;J4645),OR(M4645="PENDENTE",M4645="PARCIAL"),OR(N4645="PENDENTE",N4645="PARCIAL")),1,0))</f>
        <v/>
      </c>
      <c r="W4645" s="8">
        <f>IF(AND(V4645=1,D4645&lt;&gt;""),IF(D4645&gt;=corte,(B4645="CRÍTICO")*1E9+(100000-D4645)*10000+10000-ROW(),""),"")</f>
        <v/>
      </c>
      <c r="X4645" s="8">
        <f>IF(AND(V4645=1,D4645=pas_data,E4645=pas_turno),10000-ROW(),"")</f>
        <v/>
      </c>
    </row>
    <row r="4646">
      <c r="A4646" s="3">
        <f>IF(D4646="","","TT-"&amp;TEXT(ROW()-1,"00000"))</f>
        <v/>
      </c>
      <c r="B4646" s="3">
        <f>IF(D4646="","",IF(V4646=0,"CONCLUÍDO",IF(D4646&lt;corte,"HISTÓRICO",IF(OR(AND(ISNUMBER(R4646),R4646&lt;TODAY()),AND(OR(N4646="PENDENTE",N4646="PARCIAL"),D4646&lt;TODAY()-1)),"CRÍTICO",IF(OR(AND(P4646&lt;&gt;"",S4646=""),AND(N4646="REALIZADO",M4646="PENDENTE"),AND(ISNUMBER(R4646),R4646=TODAY())),"ATENÇÃO",IF(N(K4646)=0,"PENDENTE","EM ANDAMENTO"))))))</f>
        <v/>
      </c>
      <c r="C4646" s="3">
        <f>IF(D4646="","",IF(V4646=0,"🟢 OK",IF(D4646&lt;corte,"⚪ HISTÓRICO (sem baixa)",IF(AND(ISNUMBER(R4646),R4646&lt;TODAY()),"🔴 PRAZO VENCIDO",IF(AND(OR(N4646="PENDENTE",N4646="PARCIAL"),D4646&lt;TODAY()-1),"🔴 EMBARQUE ATRASADO",IF(AND(N4646="REALIZADO",M4646="PENDENTE"),"🟡 EMBARCADO SEM FATURAR",IF(AND(P4646&lt;&gt;"",S4646="",OR(Q4646="",R4646="")),"🟡 PENDÊNCIA SEM RESPONSÁVEL/PRAZO",IF(AND(ISNUMBER(R4646),R4646=TODAY()),"🟡 VENCE HOJE",IF(AND(P4646&lt;&gt;"",S4646=""),"🟡 PENDÊNCIA ABERTA",IF(AND(N(J4646)&gt;0,N(K4646)&lt;J4646),"🟡 FALTA EXECUTAR",IF(OR(M4646="PENDENTE",M4646="PARCIAL"),"🟡 FATURAMENTO PENDENTE","🟡 EMBARQUE PENDENTE")))))))))))</f>
        <v/>
      </c>
      <c r="D4646" s="4" t="n"/>
      <c r="E4646" s="5" t="n"/>
      <c r="F4646" s="5" t="n"/>
      <c r="G4646" s="5" t="n"/>
      <c r="H4646" s="5" t="n"/>
      <c r="I4646" s="5" t="n"/>
      <c r="J4646" s="6" t="n"/>
      <c r="K4646" s="6" t="n"/>
      <c r="L4646" s="7">
        <f>IF(OR(D4646="",N(J4646)=0),"",MIN(1,N(K4646)/J4646))</f>
        <v/>
      </c>
      <c r="M4646" s="5" t="n"/>
      <c r="N4646" s="5" t="n"/>
      <c r="O4646" s="5" t="n"/>
      <c r="P4646" s="5" t="n"/>
      <c r="Q4646" s="5" t="n"/>
      <c r="R4646" s="4" t="n"/>
      <c r="S4646" s="4" t="n"/>
      <c r="T4646" s="5" t="n"/>
      <c r="U4646" s="8">
        <f>IF(AND(V4646=1,D4646&lt;&gt;""),IF(D4646&gt;=corte,TODAY()-D4646,""),"")</f>
        <v/>
      </c>
      <c r="V4646" s="8">
        <f>IF(D4646="",0,IF(OR(AND(P4646&lt;&gt;"",S4646=""),AND(N(J4646)&gt;0,N(K4646)&lt;J4646),OR(M4646="PENDENTE",M4646="PARCIAL"),OR(N4646="PENDENTE",N4646="PARCIAL")),1,0))</f>
        <v/>
      </c>
      <c r="W4646" s="8">
        <f>IF(AND(V4646=1,D4646&lt;&gt;""),IF(D4646&gt;=corte,(B4646="CRÍTICO")*1E9+(100000-D4646)*10000+10000-ROW(),""),"")</f>
        <v/>
      </c>
      <c r="X4646" s="8">
        <f>IF(AND(V4646=1,D4646=pas_data,E4646=pas_turno),10000-ROW(),"")</f>
        <v/>
      </c>
    </row>
    <row r="4647">
      <c r="A4647" s="3">
        <f>IF(D4647="","","TT-"&amp;TEXT(ROW()-1,"00000"))</f>
        <v/>
      </c>
      <c r="B4647" s="3">
        <f>IF(D4647="","",IF(V4647=0,"CONCLUÍDO",IF(D4647&lt;corte,"HISTÓRICO",IF(OR(AND(ISNUMBER(R4647),R4647&lt;TODAY()),AND(OR(N4647="PENDENTE",N4647="PARCIAL"),D4647&lt;TODAY()-1)),"CRÍTICO",IF(OR(AND(P4647&lt;&gt;"",S4647=""),AND(N4647="REALIZADO",M4647="PENDENTE"),AND(ISNUMBER(R4647),R4647=TODAY())),"ATENÇÃO",IF(N(K4647)=0,"PENDENTE","EM ANDAMENTO"))))))</f>
        <v/>
      </c>
      <c r="C4647" s="3">
        <f>IF(D4647="","",IF(V4647=0,"🟢 OK",IF(D4647&lt;corte,"⚪ HISTÓRICO (sem baixa)",IF(AND(ISNUMBER(R4647),R4647&lt;TODAY()),"🔴 PRAZO VENCIDO",IF(AND(OR(N4647="PENDENTE",N4647="PARCIAL"),D4647&lt;TODAY()-1),"🔴 EMBARQUE ATRASADO",IF(AND(N4647="REALIZADO",M4647="PENDENTE"),"🟡 EMBARCADO SEM FATURAR",IF(AND(P4647&lt;&gt;"",S4647="",OR(Q4647="",R4647="")),"🟡 PENDÊNCIA SEM RESPONSÁVEL/PRAZO",IF(AND(ISNUMBER(R4647),R4647=TODAY()),"🟡 VENCE HOJE",IF(AND(P4647&lt;&gt;"",S4647=""),"🟡 PENDÊNCIA ABERTA",IF(AND(N(J4647)&gt;0,N(K4647)&lt;J4647),"🟡 FALTA EXECUTAR",IF(OR(M4647="PENDENTE",M4647="PARCIAL"),"🟡 FATURAMENTO PENDENTE","🟡 EMBARQUE PENDENTE")))))))))))</f>
        <v/>
      </c>
      <c r="D4647" s="4" t="n"/>
      <c r="E4647" s="5" t="n"/>
      <c r="F4647" s="5" t="n"/>
      <c r="G4647" s="5" t="n"/>
      <c r="H4647" s="5" t="n"/>
      <c r="I4647" s="5" t="n"/>
      <c r="J4647" s="6" t="n"/>
      <c r="K4647" s="6" t="n"/>
      <c r="L4647" s="7">
        <f>IF(OR(D4647="",N(J4647)=0),"",MIN(1,N(K4647)/J4647))</f>
        <v/>
      </c>
      <c r="M4647" s="5" t="n"/>
      <c r="N4647" s="5" t="n"/>
      <c r="O4647" s="5" t="n"/>
      <c r="P4647" s="5" t="n"/>
      <c r="Q4647" s="5" t="n"/>
      <c r="R4647" s="4" t="n"/>
      <c r="S4647" s="4" t="n"/>
      <c r="T4647" s="5" t="n"/>
      <c r="U4647" s="8">
        <f>IF(AND(V4647=1,D4647&lt;&gt;""),IF(D4647&gt;=corte,TODAY()-D4647,""),"")</f>
        <v/>
      </c>
      <c r="V4647" s="8">
        <f>IF(D4647="",0,IF(OR(AND(P4647&lt;&gt;"",S4647=""),AND(N(J4647)&gt;0,N(K4647)&lt;J4647),OR(M4647="PENDENTE",M4647="PARCIAL"),OR(N4647="PENDENTE",N4647="PARCIAL")),1,0))</f>
        <v/>
      </c>
      <c r="W4647" s="8">
        <f>IF(AND(V4647=1,D4647&lt;&gt;""),IF(D4647&gt;=corte,(B4647="CRÍTICO")*1E9+(100000-D4647)*10000+10000-ROW(),""),"")</f>
        <v/>
      </c>
      <c r="X4647" s="8">
        <f>IF(AND(V4647=1,D4647=pas_data,E4647=pas_turno),10000-ROW(),"")</f>
        <v/>
      </c>
    </row>
    <row r="4648">
      <c r="A4648" s="3">
        <f>IF(D4648="","","TT-"&amp;TEXT(ROW()-1,"00000"))</f>
        <v/>
      </c>
      <c r="B4648" s="3">
        <f>IF(D4648="","",IF(V4648=0,"CONCLUÍDO",IF(D4648&lt;corte,"HISTÓRICO",IF(OR(AND(ISNUMBER(R4648),R4648&lt;TODAY()),AND(OR(N4648="PENDENTE",N4648="PARCIAL"),D4648&lt;TODAY()-1)),"CRÍTICO",IF(OR(AND(P4648&lt;&gt;"",S4648=""),AND(N4648="REALIZADO",M4648="PENDENTE"),AND(ISNUMBER(R4648),R4648=TODAY())),"ATENÇÃO",IF(N(K4648)=0,"PENDENTE","EM ANDAMENTO"))))))</f>
        <v/>
      </c>
      <c r="C4648" s="3">
        <f>IF(D4648="","",IF(V4648=0,"🟢 OK",IF(D4648&lt;corte,"⚪ HISTÓRICO (sem baixa)",IF(AND(ISNUMBER(R4648),R4648&lt;TODAY()),"🔴 PRAZO VENCIDO",IF(AND(OR(N4648="PENDENTE",N4648="PARCIAL"),D4648&lt;TODAY()-1),"🔴 EMBARQUE ATRASADO",IF(AND(N4648="REALIZADO",M4648="PENDENTE"),"🟡 EMBARCADO SEM FATURAR",IF(AND(P4648&lt;&gt;"",S4648="",OR(Q4648="",R4648="")),"🟡 PENDÊNCIA SEM RESPONSÁVEL/PRAZO",IF(AND(ISNUMBER(R4648),R4648=TODAY()),"🟡 VENCE HOJE",IF(AND(P4648&lt;&gt;"",S4648=""),"🟡 PENDÊNCIA ABERTA",IF(AND(N(J4648)&gt;0,N(K4648)&lt;J4648),"🟡 FALTA EXECUTAR",IF(OR(M4648="PENDENTE",M4648="PARCIAL"),"🟡 FATURAMENTO PENDENTE","🟡 EMBARQUE PENDENTE")))))))))))</f>
        <v/>
      </c>
      <c r="D4648" s="4" t="n"/>
      <c r="E4648" s="5" t="n"/>
      <c r="F4648" s="5" t="n"/>
      <c r="G4648" s="5" t="n"/>
      <c r="H4648" s="5" t="n"/>
      <c r="I4648" s="5" t="n"/>
      <c r="J4648" s="6" t="n"/>
      <c r="K4648" s="6" t="n"/>
      <c r="L4648" s="7">
        <f>IF(OR(D4648="",N(J4648)=0),"",MIN(1,N(K4648)/J4648))</f>
        <v/>
      </c>
      <c r="M4648" s="5" t="n"/>
      <c r="N4648" s="5" t="n"/>
      <c r="O4648" s="5" t="n"/>
      <c r="P4648" s="5" t="n"/>
      <c r="Q4648" s="5" t="n"/>
      <c r="R4648" s="4" t="n"/>
      <c r="S4648" s="4" t="n"/>
      <c r="T4648" s="5" t="n"/>
      <c r="U4648" s="8">
        <f>IF(AND(V4648=1,D4648&lt;&gt;""),IF(D4648&gt;=corte,TODAY()-D4648,""),"")</f>
        <v/>
      </c>
      <c r="V4648" s="8">
        <f>IF(D4648="",0,IF(OR(AND(P4648&lt;&gt;"",S4648=""),AND(N(J4648)&gt;0,N(K4648)&lt;J4648),OR(M4648="PENDENTE",M4648="PARCIAL"),OR(N4648="PENDENTE",N4648="PARCIAL")),1,0))</f>
        <v/>
      </c>
      <c r="W4648" s="8">
        <f>IF(AND(V4648=1,D4648&lt;&gt;""),IF(D4648&gt;=corte,(B4648="CRÍTICO")*1E9+(100000-D4648)*10000+10000-ROW(),""),"")</f>
        <v/>
      </c>
      <c r="X4648" s="8">
        <f>IF(AND(V4648=1,D4648=pas_data,E4648=pas_turno),10000-ROW(),"")</f>
        <v/>
      </c>
    </row>
    <row r="4649">
      <c r="A4649" s="3">
        <f>IF(D4649="","","TT-"&amp;TEXT(ROW()-1,"00000"))</f>
        <v/>
      </c>
      <c r="B4649" s="3">
        <f>IF(D4649="","",IF(V4649=0,"CONCLUÍDO",IF(D4649&lt;corte,"HISTÓRICO",IF(OR(AND(ISNUMBER(R4649),R4649&lt;TODAY()),AND(OR(N4649="PENDENTE",N4649="PARCIAL"),D4649&lt;TODAY()-1)),"CRÍTICO",IF(OR(AND(P4649&lt;&gt;"",S4649=""),AND(N4649="REALIZADO",M4649="PENDENTE"),AND(ISNUMBER(R4649),R4649=TODAY())),"ATENÇÃO",IF(N(K4649)=0,"PENDENTE","EM ANDAMENTO"))))))</f>
        <v/>
      </c>
      <c r="C4649" s="3">
        <f>IF(D4649="","",IF(V4649=0,"🟢 OK",IF(D4649&lt;corte,"⚪ HISTÓRICO (sem baixa)",IF(AND(ISNUMBER(R4649),R4649&lt;TODAY()),"🔴 PRAZO VENCIDO",IF(AND(OR(N4649="PENDENTE",N4649="PARCIAL"),D4649&lt;TODAY()-1),"🔴 EMBARQUE ATRASADO",IF(AND(N4649="REALIZADO",M4649="PENDENTE"),"🟡 EMBARCADO SEM FATURAR",IF(AND(P4649&lt;&gt;"",S4649="",OR(Q4649="",R4649="")),"🟡 PENDÊNCIA SEM RESPONSÁVEL/PRAZO",IF(AND(ISNUMBER(R4649),R4649=TODAY()),"🟡 VENCE HOJE",IF(AND(P4649&lt;&gt;"",S4649=""),"🟡 PENDÊNCIA ABERTA",IF(AND(N(J4649)&gt;0,N(K4649)&lt;J4649),"🟡 FALTA EXECUTAR",IF(OR(M4649="PENDENTE",M4649="PARCIAL"),"🟡 FATURAMENTO PENDENTE","🟡 EMBARQUE PENDENTE")))))))))))</f>
        <v/>
      </c>
      <c r="D4649" s="4" t="n"/>
      <c r="E4649" s="5" t="n"/>
      <c r="F4649" s="5" t="n"/>
      <c r="G4649" s="5" t="n"/>
      <c r="H4649" s="5" t="n"/>
      <c r="I4649" s="5" t="n"/>
      <c r="J4649" s="6" t="n"/>
      <c r="K4649" s="6" t="n"/>
      <c r="L4649" s="7">
        <f>IF(OR(D4649="",N(J4649)=0),"",MIN(1,N(K4649)/J4649))</f>
        <v/>
      </c>
      <c r="M4649" s="5" t="n"/>
      <c r="N4649" s="5" t="n"/>
      <c r="O4649" s="5" t="n"/>
      <c r="P4649" s="5" t="n"/>
      <c r="Q4649" s="5" t="n"/>
      <c r="R4649" s="4" t="n"/>
      <c r="S4649" s="4" t="n"/>
      <c r="T4649" s="5" t="n"/>
      <c r="U4649" s="8">
        <f>IF(AND(V4649=1,D4649&lt;&gt;""),IF(D4649&gt;=corte,TODAY()-D4649,""),"")</f>
        <v/>
      </c>
      <c r="V4649" s="8">
        <f>IF(D4649="",0,IF(OR(AND(P4649&lt;&gt;"",S4649=""),AND(N(J4649)&gt;0,N(K4649)&lt;J4649),OR(M4649="PENDENTE",M4649="PARCIAL"),OR(N4649="PENDENTE",N4649="PARCIAL")),1,0))</f>
        <v/>
      </c>
      <c r="W4649" s="8">
        <f>IF(AND(V4649=1,D4649&lt;&gt;""),IF(D4649&gt;=corte,(B4649="CRÍTICO")*1E9+(100000-D4649)*10000+10000-ROW(),""),"")</f>
        <v/>
      </c>
      <c r="X4649" s="8">
        <f>IF(AND(V4649=1,D4649=pas_data,E4649=pas_turno),10000-ROW(),"")</f>
        <v/>
      </c>
    </row>
    <row r="4650">
      <c r="A4650" s="3">
        <f>IF(D4650="","","TT-"&amp;TEXT(ROW()-1,"00000"))</f>
        <v/>
      </c>
      <c r="B4650" s="3">
        <f>IF(D4650="","",IF(V4650=0,"CONCLUÍDO",IF(D4650&lt;corte,"HISTÓRICO",IF(OR(AND(ISNUMBER(R4650),R4650&lt;TODAY()),AND(OR(N4650="PENDENTE",N4650="PARCIAL"),D4650&lt;TODAY()-1)),"CRÍTICO",IF(OR(AND(P4650&lt;&gt;"",S4650=""),AND(N4650="REALIZADO",M4650="PENDENTE"),AND(ISNUMBER(R4650),R4650=TODAY())),"ATENÇÃO",IF(N(K4650)=0,"PENDENTE","EM ANDAMENTO"))))))</f>
        <v/>
      </c>
      <c r="C4650" s="3">
        <f>IF(D4650="","",IF(V4650=0,"🟢 OK",IF(D4650&lt;corte,"⚪ HISTÓRICO (sem baixa)",IF(AND(ISNUMBER(R4650),R4650&lt;TODAY()),"🔴 PRAZO VENCIDO",IF(AND(OR(N4650="PENDENTE",N4650="PARCIAL"),D4650&lt;TODAY()-1),"🔴 EMBARQUE ATRASADO",IF(AND(N4650="REALIZADO",M4650="PENDENTE"),"🟡 EMBARCADO SEM FATURAR",IF(AND(P4650&lt;&gt;"",S4650="",OR(Q4650="",R4650="")),"🟡 PENDÊNCIA SEM RESPONSÁVEL/PRAZO",IF(AND(ISNUMBER(R4650),R4650=TODAY()),"🟡 VENCE HOJE",IF(AND(P4650&lt;&gt;"",S4650=""),"🟡 PENDÊNCIA ABERTA",IF(AND(N(J4650)&gt;0,N(K4650)&lt;J4650),"🟡 FALTA EXECUTAR",IF(OR(M4650="PENDENTE",M4650="PARCIAL"),"🟡 FATURAMENTO PENDENTE","🟡 EMBARQUE PENDENTE")))))))))))</f>
        <v/>
      </c>
      <c r="D4650" s="4" t="n"/>
      <c r="E4650" s="5" t="n"/>
      <c r="F4650" s="5" t="n"/>
      <c r="G4650" s="5" t="n"/>
      <c r="H4650" s="5" t="n"/>
      <c r="I4650" s="5" t="n"/>
      <c r="J4650" s="6" t="n"/>
      <c r="K4650" s="6" t="n"/>
      <c r="L4650" s="7">
        <f>IF(OR(D4650="",N(J4650)=0),"",MIN(1,N(K4650)/J4650))</f>
        <v/>
      </c>
      <c r="M4650" s="5" t="n"/>
      <c r="N4650" s="5" t="n"/>
      <c r="O4650" s="5" t="n"/>
      <c r="P4650" s="5" t="n"/>
      <c r="Q4650" s="5" t="n"/>
      <c r="R4650" s="4" t="n"/>
      <c r="S4650" s="4" t="n"/>
      <c r="T4650" s="5" t="n"/>
      <c r="U4650" s="8">
        <f>IF(AND(V4650=1,D4650&lt;&gt;""),IF(D4650&gt;=corte,TODAY()-D4650,""),"")</f>
        <v/>
      </c>
      <c r="V4650" s="8">
        <f>IF(D4650="",0,IF(OR(AND(P4650&lt;&gt;"",S4650=""),AND(N(J4650)&gt;0,N(K4650)&lt;J4650),OR(M4650="PENDENTE",M4650="PARCIAL"),OR(N4650="PENDENTE",N4650="PARCIAL")),1,0))</f>
        <v/>
      </c>
      <c r="W4650" s="8">
        <f>IF(AND(V4650=1,D4650&lt;&gt;""),IF(D4650&gt;=corte,(B4650="CRÍTICO")*1E9+(100000-D4650)*10000+10000-ROW(),""),"")</f>
        <v/>
      </c>
      <c r="X4650" s="8">
        <f>IF(AND(V4650=1,D4650=pas_data,E4650=pas_turno),10000-ROW(),"")</f>
        <v/>
      </c>
    </row>
    <row r="4651">
      <c r="A4651" s="3">
        <f>IF(D4651="","","TT-"&amp;TEXT(ROW()-1,"00000"))</f>
        <v/>
      </c>
      <c r="B4651" s="3">
        <f>IF(D4651="","",IF(V4651=0,"CONCLUÍDO",IF(D4651&lt;corte,"HISTÓRICO",IF(OR(AND(ISNUMBER(R4651),R4651&lt;TODAY()),AND(OR(N4651="PENDENTE",N4651="PARCIAL"),D4651&lt;TODAY()-1)),"CRÍTICO",IF(OR(AND(P4651&lt;&gt;"",S4651=""),AND(N4651="REALIZADO",M4651="PENDENTE"),AND(ISNUMBER(R4651),R4651=TODAY())),"ATENÇÃO",IF(N(K4651)=0,"PENDENTE","EM ANDAMENTO"))))))</f>
        <v/>
      </c>
      <c r="C4651" s="3">
        <f>IF(D4651="","",IF(V4651=0,"🟢 OK",IF(D4651&lt;corte,"⚪ HISTÓRICO (sem baixa)",IF(AND(ISNUMBER(R4651),R4651&lt;TODAY()),"🔴 PRAZO VENCIDO",IF(AND(OR(N4651="PENDENTE",N4651="PARCIAL"),D4651&lt;TODAY()-1),"🔴 EMBARQUE ATRASADO",IF(AND(N4651="REALIZADO",M4651="PENDENTE"),"🟡 EMBARCADO SEM FATURAR",IF(AND(P4651&lt;&gt;"",S4651="",OR(Q4651="",R4651="")),"🟡 PENDÊNCIA SEM RESPONSÁVEL/PRAZO",IF(AND(ISNUMBER(R4651),R4651=TODAY()),"🟡 VENCE HOJE",IF(AND(P4651&lt;&gt;"",S4651=""),"🟡 PENDÊNCIA ABERTA",IF(AND(N(J4651)&gt;0,N(K4651)&lt;J4651),"🟡 FALTA EXECUTAR",IF(OR(M4651="PENDENTE",M4651="PARCIAL"),"🟡 FATURAMENTO PENDENTE","🟡 EMBARQUE PENDENTE")))))))))))</f>
        <v/>
      </c>
      <c r="D4651" s="4" t="n"/>
      <c r="E4651" s="5" t="n"/>
      <c r="F4651" s="5" t="n"/>
      <c r="G4651" s="5" t="n"/>
      <c r="H4651" s="5" t="n"/>
      <c r="I4651" s="5" t="n"/>
      <c r="J4651" s="6" t="n"/>
      <c r="K4651" s="6" t="n"/>
      <c r="L4651" s="7">
        <f>IF(OR(D4651="",N(J4651)=0),"",MIN(1,N(K4651)/J4651))</f>
        <v/>
      </c>
      <c r="M4651" s="5" t="n"/>
      <c r="N4651" s="5" t="n"/>
      <c r="O4651" s="5" t="n"/>
      <c r="P4651" s="5" t="n"/>
      <c r="Q4651" s="5" t="n"/>
      <c r="R4651" s="4" t="n"/>
      <c r="S4651" s="4" t="n"/>
      <c r="T4651" s="5" t="n"/>
      <c r="U4651" s="8">
        <f>IF(AND(V4651=1,D4651&lt;&gt;""),IF(D4651&gt;=corte,TODAY()-D4651,""),"")</f>
        <v/>
      </c>
      <c r="V4651" s="8">
        <f>IF(D4651="",0,IF(OR(AND(P4651&lt;&gt;"",S4651=""),AND(N(J4651)&gt;0,N(K4651)&lt;J4651),OR(M4651="PENDENTE",M4651="PARCIAL"),OR(N4651="PENDENTE",N4651="PARCIAL")),1,0))</f>
        <v/>
      </c>
      <c r="W4651" s="8">
        <f>IF(AND(V4651=1,D4651&lt;&gt;""),IF(D4651&gt;=corte,(B4651="CRÍTICO")*1E9+(100000-D4651)*10000+10000-ROW(),""),"")</f>
        <v/>
      </c>
      <c r="X4651" s="8">
        <f>IF(AND(V4651=1,D4651=pas_data,E4651=pas_turno),10000-ROW(),"")</f>
        <v/>
      </c>
    </row>
    <row r="4652">
      <c r="A4652" s="3">
        <f>IF(D4652="","","TT-"&amp;TEXT(ROW()-1,"00000"))</f>
        <v/>
      </c>
      <c r="B4652" s="3">
        <f>IF(D4652="","",IF(V4652=0,"CONCLUÍDO",IF(D4652&lt;corte,"HISTÓRICO",IF(OR(AND(ISNUMBER(R4652),R4652&lt;TODAY()),AND(OR(N4652="PENDENTE",N4652="PARCIAL"),D4652&lt;TODAY()-1)),"CRÍTICO",IF(OR(AND(P4652&lt;&gt;"",S4652=""),AND(N4652="REALIZADO",M4652="PENDENTE"),AND(ISNUMBER(R4652),R4652=TODAY())),"ATENÇÃO",IF(N(K4652)=0,"PENDENTE","EM ANDAMENTO"))))))</f>
        <v/>
      </c>
      <c r="C4652" s="3">
        <f>IF(D4652="","",IF(V4652=0,"🟢 OK",IF(D4652&lt;corte,"⚪ HISTÓRICO (sem baixa)",IF(AND(ISNUMBER(R4652),R4652&lt;TODAY()),"🔴 PRAZO VENCIDO",IF(AND(OR(N4652="PENDENTE",N4652="PARCIAL"),D4652&lt;TODAY()-1),"🔴 EMBARQUE ATRASADO",IF(AND(N4652="REALIZADO",M4652="PENDENTE"),"🟡 EMBARCADO SEM FATURAR",IF(AND(P4652&lt;&gt;"",S4652="",OR(Q4652="",R4652="")),"🟡 PENDÊNCIA SEM RESPONSÁVEL/PRAZO",IF(AND(ISNUMBER(R4652),R4652=TODAY()),"🟡 VENCE HOJE",IF(AND(P4652&lt;&gt;"",S4652=""),"🟡 PENDÊNCIA ABERTA",IF(AND(N(J4652)&gt;0,N(K4652)&lt;J4652),"🟡 FALTA EXECUTAR",IF(OR(M4652="PENDENTE",M4652="PARCIAL"),"🟡 FATURAMENTO PENDENTE","🟡 EMBARQUE PENDENTE")))))))))))</f>
        <v/>
      </c>
      <c r="D4652" s="4" t="n"/>
      <c r="E4652" s="5" t="n"/>
      <c r="F4652" s="5" t="n"/>
      <c r="G4652" s="5" t="n"/>
      <c r="H4652" s="5" t="n"/>
      <c r="I4652" s="5" t="n"/>
      <c r="J4652" s="6" t="n"/>
      <c r="K4652" s="6" t="n"/>
      <c r="L4652" s="7">
        <f>IF(OR(D4652="",N(J4652)=0),"",MIN(1,N(K4652)/J4652))</f>
        <v/>
      </c>
      <c r="M4652" s="5" t="n"/>
      <c r="N4652" s="5" t="n"/>
      <c r="O4652" s="5" t="n"/>
      <c r="P4652" s="5" t="n"/>
      <c r="Q4652" s="5" t="n"/>
      <c r="R4652" s="4" t="n"/>
      <c r="S4652" s="4" t="n"/>
      <c r="T4652" s="5" t="n"/>
      <c r="U4652" s="8">
        <f>IF(AND(V4652=1,D4652&lt;&gt;""),IF(D4652&gt;=corte,TODAY()-D4652,""),"")</f>
        <v/>
      </c>
      <c r="V4652" s="8">
        <f>IF(D4652="",0,IF(OR(AND(P4652&lt;&gt;"",S4652=""),AND(N(J4652)&gt;0,N(K4652)&lt;J4652),OR(M4652="PENDENTE",M4652="PARCIAL"),OR(N4652="PENDENTE",N4652="PARCIAL")),1,0))</f>
        <v/>
      </c>
      <c r="W4652" s="8">
        <f>IF(AND(V4652=1,D4652&lt;&gt;""),IF(D4652&gt;=corte,(B4652="CRÍTICO")*1E9+(100000-D4652)*10000+10000-ROW(),""),"")</f>
        <v/>
      </c>
      <c r="X4652" s="8">
        <f>IF(AND(V4652=1,D4652=pas_data,E4652=pas_turno),10000-ROW(),"")</f>
        <v/>
      </c>
    </row>
    <row r="4653">
      <c r="A4653" s="3">
        <f>IF(D4653="","","TT-"&amp;TEXT(ROW()-1,"00000"))</f>
        <v/>
      </c>
      <c r="B4653" s="3">
        <f>IF(D4653="","",IF(V4653=0,"CONCLUÍDO",IF(D4653&lt;corte,"HISTÓRICO",IF(OR(AND(ISNUMBER(R4653),R4653&lt;TODAY()),AND(OR(N4653="PENDENTE",N4653="PARCIAL"),D4653&lt;TODAY()-1)),"CRÍTICO",IF(OR(AND(P4653&lt;&gt;"",S4653=""),AND(N4653="REALIZADO",M4653="PENDENTE"),AND(ISNUMBER(R4653),R4653=TODAY())),"ATENÇÃO",IF(N(K4653)=0,"PENDENTE","EM ANDAMENTO"))))))</f>
        <v/>
      </c>
      <c r="C4653" s="3">
        <f>IF(D4653="","",IF(V4653=0,"🟢 OK",IF(D4653&lt;corte,"⚪ HISTÓRICO (sem baixa)",IF(AND(ISNUMBER(R4653),R4653&lt;TODAY()),"🔴 PRAZO VENCIDO",IF(AND(OR(N4653="PENDENTE",N4653="PARCIAL"),D4653&lt;TODAY()-1),"🔴 EMBARQUE ATRASADO",IF(AND(N4653="REALIZADO",M4653="PENDENTE"),"🟡 EMBARCADO SEM FATURAR",IF(AND(P4653&lt;&gt;"",S4653="",OR(Q4653="",R4653="")),"🟡 PENDÊNCIA SEM RESPONSÁVEL/PRAZO",IF(AND(ISNUMBER(R4653),R4653=TODAY()),"🟡 VENCE HOJE",IF(AND(P4653&lt;&gt;"",S4653=""),"🟡 PENDÊNCIA ABERTA",IF(AND(N(J4653)&gt;0,N(K4653)&lt;J4653),"🟡 FALTA EXECUTAR",IF(OR(M4653="PENDENTE",M4653="PARCIAL"),"🟡 FATURAMENTO PENDENTE","🟡 EMBARQUE PENDENTE")))))))))))</f>
        <v/>
      </c>
      <c r="D4653" s="4" t="n"/>
      <c r="E4653" s="5" t="n"/>
      <c r="F4653" s="5" t="n"/>
      <c r="G4653" s="5" t="n"/>
      <c r="H4653" s="5" t="n"/>
      <c r="I4653" s="5" t="n"/>
      <c r="J4653" s="6" t="n"/>
      <c r="K4653" s="6" t="n"/>
      <c r="L4653" s="7">
        <f>IF(OR(D4653="",N(J4653)=0),"",MIN(1,N(K4653)/J4653))</f>
        <v/>
      </c>
      <c r="M4653" s="5" t="n"/>
      <c r="N4653" s="5" t="n"/>
      <c r="O4653" s="5" t="n"/>
      <c r="P4653" s="5" t="n"/>
      <c r="Q4653" s="5" t="n"/>
      <c r="R4653" s="4" t="n"/>
      <c r="S4653" s="4" t="n"/>
      <c r="T4653" s="5" t="n"/>
      <c r="U4653" s="8">
        <f>IF(AND(V4653=1,D4653&lt;&gt;""),IF(D4653&gt;=corte,TODAY()-D4653,""),"")</f>
        <v/>
      </c>
      <c r="V4653" s="8">
        <f>IF(D4653="",0,IF(OR(AND(P4653&lt;&gt;"",S4653=""),AND(N(J4653)&gt;0,N(K4653)&lt;J4653),OR(M4653="PENDENTE",M4653="PARCIAL"),OR(N4653="PENDENTE",N4653="PARCIAL")),1,0))</f>
        <v/>
      </c>
      <c r="W4653" s="8">
        <f>IF(AND(V4653=1,D4653&lt;&gt;""),IF(D4653&gt;=corte,(B4653="CRÍTICO")*1E9+(100000-D4653)*10000+10000-ROW(),""),"")</f>
        <v/>
      </c>
      <c r="X4653" s="8">
        <f>IF(AND(V4653=1,D4653=pas_data,E4653=pas_turno),10000-ROW(),"")</f>
        <v/>
      </c>
    </row>
    <row r="4654">
      <c r="A4654" s="3">
        <f>IF(D4654="","","TT-"&amp;TEXT(ROW()-1,"00000"))</f>
        <v/>
      </c>
      <c r="B4654" s="3">
        <f>IF(D4654="","",IF(V4654=0,"CONCLUÍDO",IF(D4654&lt;corte,"HISTÓRICO",IF(OR(AND(ISNUMBER(R4654),R4654&lt;TODAY()),AND(OR(N4654="PENDENTE",N4654="PARCIAL"),D4654&lt;TODAY()-1)),"CRÍTICO",IF(OR(AND(P4654&lt;&gt;"",S4654=""),AND(N4654="REALIZADO",M4654="PENDENTE"),AND(ISNUMBER(R4654),R4654=TODAY())),"ATENÇÃO",IF(N(K4654)=0,"PENDENTE","EM ANDAMENTO"))))))</f>
        <v/>
      </c>
      <c r="C4654" s="3">
        <f>IF(D4654="","",IF(V4654=0,"🟢 OK",IF(D4654&lt;corte,"⚪ HISTÓRICO (sem baixa)",IF(AND(ISNUMBER(R4654),R4654&lt;TODAY()),"🔴 PRAZO VENCIDO",IF(AND(OR(N4654="PENDENTE",N4654="PARCIAL"),D4654&lt;TODAY()-1),"🔴 EMBARQUE ATRASADO",IF(AND(N4654="REALIZADO",M4654="PENDENTE"),"🟡 EMBARCADO SEM FATURAR",IF(AND(P4654&lt;&gt;"",S4654="",OR(Q4654="",R4654="")),"🟡 PENDÊNCIA SEM RESPONSÁVEL/PRAZO",IF(AND(ISNUMBER(R4654),R4654=TODAY()),"🟡 VENCE HOJE",IF(AND(P4654&lt;&gt;"",S4654=""),"🟡 PENDÊNCIA ABERTA",IF(AND(N(J4654)&gt;0,N(K4654)&lt;J4654),"🟡 FALTA EXECUTAR",IF(OR(M4654="PENDENTE",M4654="PARCIAL"),"🟡 FATURAMENTO PENDENTE","🟡 EMBARQUE PENDENTE")))))))))))</f>
        <v/>
      </c>
      <c r="D4654" s="4" t="n"/>
      <c r="E4654" s="5" t="n"/>
      <c r="F4654" s="5" t="n"/>
      <c r="G4654" s="5" t="n"/>
      <c r="H4654" s="5" t="n"/>
      <c r="I4654" s="5" t="n"/>
      <c r="J4654" s="6" t="n"/>
      <c r="K4654" s="6" t="n"/>
      <c r="L4654" s="7">
        <f>IF(OR(D4654="",N(J4654)=0),"",MIN(1,N(K4654)/J4654))</f>
        <v/>
      </c>
      <c r="M4654" s="5" t="n"/>
      <c r="N4654" s="5" t="n"/>
      <c r="O4654" s="5" t="n"/>
      <c r="P4654" s="5" t="n"/>
      <c r="Q4654" s="5" t="n"/>
      <c r="R4654" s="4" t="n"/>
      <c r="S4654" s="4" t="n"/>
      <c r="T4654" s="5" t="n"/>
      <c r="U4654" s="8">
        <f>IF(AND(V4654=1,D4654&lt;&gt;""),IF(D4654&gt;=corte,TODAY()-D4654,""),"")</f>
        <v/>
      </c>
      <c r="V4654" s="8">
        <f>IF(D4654="",0,IF(OR(AND(P4654&lt;&gt;"",S4654=""),AND(N(J4654)&gt;0,N(K4654)&lt;J4654),OR(M4654="PENDENTE",M4654="PARCIAL"),OR(N4654="PENDENTE",N4654="PARCIAL")),1,0))</f>
        <v/>
      </c>
      <c r="W4654" s="8">
        <f>IF(AND(V4654=1,D4654&lt;&gt;""),IF(D4654&gt;=corte,(B4654="CRÍTICO")*1E9+(100000-D4654)*10000+10000-ROW(),""),"")</f>
        <v/>
      </c>
      <c r="X4654" s="8">
        <f>IF(AND(V4654=1,D4654=pas_data,E4654=pas_turno),10000-ROW(),"")</f>
        <v/>
      </c>
    </row>
    <row r="4655">
      <c r="A4655" s="3">
        <f>IF(D4655="","","TT-"&amp;TEXT(ROW()-1,"00000"))</f>
        <v/>
      </c>
      <c r="B4655" s="3">
        <f>IF(D4655="","",IF(V4655=0,"CONCLUÍDO",IF(D4655&lt;corte,"HISTÓRICO",IF(OR(AND(ISNUMBER(R4655),R4655&lt;TODAY()),AND(OR(N4655="PENDENTE",N4655="PARCIAL"),D4655&lt;TODAY()-1)),"CRÍTICO",IF(OR(AND(P4655&lt;&gt;"",S4655=""),AND(N4655="REALIZADO",M4655="PENDENTE"),AND(ISNUMBER(R4655),R4655=TODAY())),"ATENÇÃO",IF(N(K4655)=0,"PENDENTE","EM ANDAMENTO"))))))</f>
        <v/>
      </c>
      <c r="C4655" s="3">
        <f>IF(D4655="","",IF(V4655=0,"🟢 OK",IF(D4655&lt;corte,"⚪ HISTÓRICO (sem baixa)",IF(AND(ISNUMBER(R4655),R4655&lt;TODAY()),"🔴 PRAZO VENCIDO",IF(AND(OR(N4655="PENDENTE",N4655="PARCIAL"),D4655&lt;TODAY()-1),"🔴 EMBARQUE ATRASADO",IF(AND(N4655="REALIZADO",M4655="PENDENTE"),"🟡 EMBARCADO SEM FATURAR",IF(AND(P4655&lt;&gt;"",S4655="",OR(Q4655="",R4655="")),"🟡 PENDÊNCIA SEM RESPONSÁVEL/PRAZO",IF(AND(ISNUMBER(R4655),R4655=TODAY()),"🟡 VENCE HOJE",IF(AND(P4655&lt;&gt;"",S4655=""),"🟡 PENDÊNCIA ABERTA",IF(AND(N(J4655)&gt;0,N(K4655)&lt;J4655),"🟡 FALTA EXECUTAR",IF(OR(M4655="PENDENTE",M4655="PARCIAL"),"🟡 FATURAMENTO PENDENTE","🟡 EMBARQUE PENDENTE")))))))))))</f>
        <v/>
      </c>
      <c r="D4655" s="4" t="n"/>
      <c r="E4655" s="5" t="n"/>
      <c r="F4655" s="5" t="n"/>
      <c r="G4655" s="5" t="n"/>
      <c r="H4655" s="5" t="n"/>
      <c r="I4655" s="5" t="n"/>
      <c r="J4655" s="6" t="n"/>
      <c r="K4655" s="6" t="n"/>
      <c r="L4655" s="7">
        <f>IF(OR(D4655="",N(J4655)=0),"",MIN(1,N(K4655)/J4655))</f>
        <v/>
      </c>
      <c r="M4655" s="5" t="n"/>
      <c r="N4655" s="5" t="n"/>
      <c r="O4655" s="5" t="n"/>
      <c r="P4655" s="5" t="n"/>
      <c r="Q4655" s="5" t="n"/>
      <c r="R4655" s="4" t="n"/>
      <c r="S4655" s="4" t="n"/>
      <c r="T4655" s="5" t="n"/>
      <c r="U4655" s="8">
        <f>IF(AND(V4655=1,D4655&lt;&gt;""),IF(D4655&gt;=corte,TODAY()-D4655,""),"")</f>
        <v/>
      </c>
      <c r="V4655" s="8">
        <f>IF(D4655="",0,IF(OR(AND(P4655&lt;&gt;"",S4655=""),AND(N(J4655)&gt;0,N(K4655)&lt;J4655),OR(M4655="PENDENTE",M4655="PARCIAL"),OR(N4655="PENDENTE",N4655="PARCIAL")),1,0))</f>
        <v/>
      </c>
      <c r="W4655" s="8">
        <f>IF(AND(V4655=1,D4655&lt;&gt;""),IF(D4655&gt;=corte,(B4655="CRÍTICO")*1E9+(100000-D4655)*10000+10000-ROW(),""),"")</f>
        <v/>
      </c>
      <c r="X4655" s="8">
        <f>IF(AND(V4655=1,D4655=pas_data,E4655=pas_turno),10000-ROW(),"")</f>
        <v/>
      </c>
    </row>
    <row r="4656">
      <c r="A4656" s="3">
        <f>IF(D4656="","","TT-"&amp;TEXT(ROW()-1,"00000"))</f>
        <v/>
      </c>
      <c r="B4656" s="3">
        <f>IF(D4656="","",IF(V4656=0,"CONCLUÍDO",IF(D4656&lt;corte,"HISTÓRICO",IF(OR(AND(ISNUMBER(R4656),R4656&lt;TODAY()),AND(OR(N4656="PENDENTE",N4656="PARCIAL"),D4656&lt;TODAY()-1)),"CRÍTICO",IF(OR(AND(P4656&lt;&gt;"",S4656=""),AND(N4656="REALIZADO",M4656="PENDENTE"),AND(ISNUMBER(R4656),R4656=TODAY())),"ATENÇÃO",IF(N(K4656)=0,"PENDENTE","EM ANDAMENTO"))))))</f>
        <v/>
      </c>
      <c r="C4656" s="3">
        <f>IF(D4656="","",IF(V4656=0,"🟢 OK",IF(D4656&lt;corte,"⚪ HISTÓRICO (sem baixa)",IF(AND(ISNUMBER(R4656),R4656&lt;TODAY()),"🔴 PRAZO VENCIDO",IF(AND(OR(N4656="PENDENTE",N4656="PARCIAL"),D4656&lt;TODAY()-1),"🔴 EMBARQUE ATRASADO",IF(AND(N4656="REALIZADO",M4656="PENDENTE"),"🟡 EMBARCADO SEM FATURAR",IF(AND(P4656&lt;&gt;"",S4656="",OR(Q4656="",R4656="")),"🟡 PENDÊNCIA SEM RESPONSÁVEL/PRAZO",IF(AND(ISNUMBER(R4656),R4656=TODAY()),"🟡 VENCE HOJE",IF(AND(P4656&lt;&gt;"",S4656=""),"🟡 PENDÊNCIA ABERTA",IF(AND(N(J4656)&gt;0,N(K4656)&lt;J4656),"🟡 FALTA EXECUTAR",IF(OR(M4656="PENDENTE",M4656="PARCIAL"),"🟡 FATURAMENTO PENDENTE","🟡 EMBARQUE PENDENTE")))))))))))</f>
        <v/>
      </c>
      <c r="D4656" s="4" t="n"/>
      <c r="E4656" s="5" t="n"/>
      <c r="F4656" s="5" t="n"/>
      <c r="G4656" s="5" t="n"/>
      <c r="H4656" s="5" t="n"/>
      <c r="I4656" s="5" t="n"/>
      <c r="J4656" s="6" t="n"/>
      <c r="K4656" s="6" t="n"/>
      <c r="L4656" s="7">
        <f>IF(OR(D4656="",N(J4656)=0),"",MIN(1,N(K4656)/J4656))</f>
        <v/>
      </c>
      <c r="M4656" s="5" t="n"/>
      <c r="N4656" s="5" t="n"/>
      <c r="O4656" s="5" t="n"/>
      <c r="P4656" s="5" t="n"/>
      <c r="Q4656" s="5" t="n"/>
      <c r="R4656" s="4" t="n"/>
      <c r="S4656" s="4" t="n"/>
      <c r="T4656" s="5" t="n"/>
      <c r="U4656" s="8">
        <f>IF(AND(V4656=1,D4656&lt;&gt;""),IF(D4656&gt;=corte,TODAY()-D4656,""),"")</f>
        <v/>
      </c>
      <c r="V4656" s="8">
        <f>IF(D4656="",0,IF(OR(AND(P4656&lt;&gt;"",S4656=""),AND(N(J4656)&gt;0,N(K4656)&lt;J4656),OR(M4656="PENDENTE",M4656="PARCIAL"),OR(N4656="PENDENTE",N4656="PARCIAL")),1,0))</f>
        <v/>
      </c>
      <c r="W4656" s="8">
        <f>IF(AND(V4656=1,D4656&lt;&gt;""),IF(D4656&gt;=corte,(B4656="CRÍTICO")*1E9+(100000-D4656)*10000+10000-ROW(),""),"")</f>
        <v/>
      </c>
      <c r="X4656" s="8">
        <f>IF(AND(V4656=1,D4656=pas_data,E4656=pas_turno),10000-ROW(),"")</f>
        <v/>
      </c>
    </row>
    <row r="4657">
      <c r="A4657" s="3">
        <f>IF(D4657="","","TT-"&amp;TEXT(ROW()-1,"00000"))</f>
        <v/>
      </c>
      <c r="B4657" s="3">
        <f>IF(D4657="","",IF(V4657=0,"CONCLUÍDO",IF(D4657&lt;corte,"HISTÓRICO",IF(OR(AND(ISNUMBER(R4657),R4657&lt;TODAY()),AND(OR(N4657="PENDENTE",N4657="PARCIAL"),D4657&lt;TODAY()-1)),"CRÍTICO",IF(OR(AND(P4657&lt;&gt;"",S4657=""),AND(N4657="REALIZADO",M4657="PENDENTE"),AND(ISNUMBER(R4657),R4657=TODAY())),"ATENÇÃO",IF(N(K4657)=0,"PENDENTE","EM ANDAMENTO"))))))</f>
        <v/>
      </c>
      <c r="C4657" s="3">
        <f>IF(D4657="","",IF(V4657=0,"🟢 OK",IF(D4657&lt;corte,"⚪ HISTÓRICO (sem baixa)",IF(AND(ISNUMBER(R4657),R4657&lt;TODAY()),"🔴 PRAZO VENCIDO",IF(AND(OR(N4657="PENDENTE",N4657="PARCIAL"),D4657&lt;TODAY()-1),"🔴 EMBARQUE ATRASADO",IF(AND(N4657="REALIZADO",M4657="PENDENTE"),"🟡 EMBARCADO SEM FATURAR",IF(AND(P4657&lt;&gt;"",S4657="",OR(Q4657="",R4657="")),"🟡 PENDÊNCIA SEM RESPONSÁVEL/PRAZO",IF(AND(ISNUMBER(R4657),R4657=TODAY()),"🟡 VENCE HOJE",IF(AND(P4657&lt;&gt;"",S4657=""),"🟡 PENDÊNCIA ABERTA",IF(AND(N(J4657)&gt;0,N(K4657)&lt;J4657),"🟡 FALTA EXECUTAR",IF(OR(M4657="PENDENTE",M4657="PARCIAL"),"🟡 FATURAMENTO PENDENTE","🟡 EMBARQUE PENDENTE")))))))))))</f>
        <v/>
      </c>
      <c r="D4657" s="4" t="n"/>
      <c r="E4657" s="5" t="n"/>
      <c r="F4657" s="5" t="n"/>
      <c r="G4657" s="5" t="n"/>
      <c r="H4657" s="5" t="n"/>
      <c r="I4657" s="5" t="n"/>
      <c r="J4657" s="6" t="n"/>
      <c r="K4657" s="6" t="n"/>
      <c r="L4657" s="7">
        <f>IF(OR(D4657="",N(J4657)=0),"",MIN(1,N(K4657)/J4657))</f>
        <v/>
      </c>
      <c r="M4657" s="5" t="n"/>
      <c r="N4657" s="5" t="n"/>
      <c r="O4657" s="5" t="n"/>
      <c r="P4657" s="5" t="n"/>
      <c r="Q4657" s="5" t="n"/>
      <c r="R4657" s="4" t="n"/>
      <c r="S4657" s="4" t="n"/>
      <c r="T4657" s="5" t="n"/>
      <c r="U4657" s="8">
        <f>IF(AND(V4657=1,D4657&lt;&gt;""),IF(D4657&gt;=corte,TODAY()-D4657,""),"")</f>
        <v/>
      </c>
      <c r="V4657" s="8">
        <f>IF(D4657="",0,IF(OR(AND(P4657&lt;&gt;"",S4657=""),AND(N(J4657)&gt;0,N(K4657)&lt;J4657),OR(M4657="PENDENTE",M4657="PARCIAL"),OR(N4657="PENDENTE",N4657="PARCIAL")),1,0))</f>
        <v/>
      </c>
      <c r="W4657" s="8">
        <f>IF(AND(V4657=1,D4657&lt;&gt;""),IF(D4657&gt;=corte,(B4657="CRÍTICO")*1E9+(100000-D4657)*10000+10000-ROW(),""),"")</f>
        <v/>
      </c>
      <c r="X4657" s="8">
        <f>IF(AND(V4657=1,D4657=pas_data,E4657=pas_turno),10000-ROW(),"")</f>
        <v/>
      </c>
    </row>
    <row r="4658">
      <c r="A4658" s="3">
        <f>IF(D4658="","","TT-"&amp;TEXT(ROW()-1,"00000"))</f>
        <v/>
      </c>
      <c r="B4658" s="3">
        <f>IF(D4658="","",IF(V4658=0,"CONCLUÍDO",IF(D4658&lt;corte,"HISTÓRICO",IF(OR(AND(ISNUMBER(R4658),R4658&lt;TODAY()),AND(OR(N4658="PENDENTE",N4658="PARCIAL"),D4658&lt;TODAY()-1)),"CRÍTICO",IF(OR(AND(P4658&lt;&gt;"",S4658=""),AND(N4658="REALIZADO",M4658="PENDENTE"),AND(ISNUMBER(R4658),R4658=TODAY())),"ATENÇÃO",IF(N(K4658)=0,"PENDENTE","EM ANDAMENTO"))))))</f>
        <v/>
      </c>
      <c r="C4658" s="3">
        <f>IF(D4658="","",IF(V4658=0,"🟢 OK",IF(D4658&lt;corte,"⚪ HISTÓRICO (sem baixa)",IF(AND(ISNUMBER(R4658),R4658&lt;TODAY()),"🔴 PRAZO VENCIDO",IF(AND(OR(N4658="PENDENTE",N4658="PARCIAL"),D4658&lt;TODAY()-1),"🔴 EMBARQUE ATRASADO",IF(AND(N4658="REALIZADO",M4658="PENDENTE"),"🟡 EMBARCADO SEM FATURAR",IF(AND(P4658&lt;&gt;"",S4658="",OR(Q4658="",R4658="")),"🟡 PENDÊNCIA SEM RESPONSÁVEL/PRAZO",IF(AND(ISNUMBER(R4658),R4658=TODAY()),"🟡 VENCE HOJE",IF(AND(P4658&lt;&gt;"",S4658=""),"🟡 PENDÊNCIA ABERTA",IF(AND(N(J4658)&gt;0,N(K4658)&lt;J4658),"🟡 FALTA EXECUTAR",IF(OR(M4658="PENDENTE",M4658="PARCIAL"),"🟡 FATURAMENTO PENDENTE","🟡 EMBARQUE PENDENTE")))))))))))</f>
        <v/>
      </c>
      <c r="D4658" s="4" t="n"/>
      <c r="E4658" s="5" t="n"/>
      <c r="F4658" s="5" t="n"/>
      <c r="G4658" s="5" t="n"/>
      <c r="H4658" s="5" t="n"/>
      <c r="I4658" s="5" t="n"/>
      <c r="J4658" s="6" t="n"/>
      <c r="K4658" s="6" t="n"/>
      <c r="L4658" s="7">
        <f>IF(OR(D4658="",N(J4658)=0),"",MIN(1,N(K4658)/J4658))</f>
        <v/>
      </c>
      <c r="M4658" s="5" t="n"/>
      <c r="N4658" s="5" t="n"/>
      <c r="O4658" s="5" t="n"/>
      <c r="P4658" s="5" t="n"/>
      <c r="Q4658" s="5" t="n"/>
      <c r="R4658" s="4" t="n"/>
      <c r="S4658" s="4" t="n"/>
      <c r="T4658" s="5" t="n"/>
      <c r="U4658" s="8">
        <f>IF(AND(V4658=1,D4658&lt;&gt;""),IF(D4658&gt;=corte,TODAY()-D4658,""),"")</f>
        <v/>
      </c>
      <c r="V4658" s="8">
        <f>IF(D4658="",0,IF(OR(AND(P4658&lt;&gt;"",S4658=""),AND(N(J4658)&gt;0,N(K4658)&lt;J4658),OR(M4658="PENDENTE",M4658="PARCIAL"),OR(N4658="PENDENTE",N4658="PARCIAL")),1,0))</f>
        <v/>
      </c>
      <c r="W4658" s="8">
        <f>IF(AND(V4658=1,D4658&lt;&gt;""),IF(D4658&gt;=corte,(B4658="CRÍTICO")*1E9+(100000-D4658)*10000+10000-ROW(),""),"")</f>
        <v/>
      </c>
      <c r="X4658" s="8">
        <f>IF(AND(V4658=1,D4658=pas_data,E4658=pas_turno),10000-ROW(),"")</f>
        <v/>
      </c>
    </row>
    <row r="4659">
      <c r="A4659" s="3">
        <f>IF(D4659="","","TT-"&amp;TEXT(ROW()-1,"00000"))</f>
        <v/>
      </c>
      <c r="B4659" s="3">
        <f>IF(D4659="","",IF(V4659=0,"CONCLUÍDO",IF(D4659&lt;corte,"HISTÓRICO",IF(OR(AND(ISNUMBER(R4659),R4659&lt;TODAY()),AND(OR(N4659="PENDENTE",N4659="PARCIAL"),D4659&lt;TODAY()-1)),"CRÍTICO",IF(OR(AND(P4659&lt;&gt;"",S4659=""),AND(N4659="REALIZADO",M4659="PENDENTE"),AND(ISNUMBER(R4659),R4659=TODAY())),"ATENÇÃO",IF(N(K4659)=0,"PENDENTE","EM ANDAMENTO"))))))</f>
        <v/>
      </c>
      <c r="C4659" s="3">
        <f>IF(D4659="","",IF(V4659=0,"🟢 OK",IF(D4659&lt;corte,"⚪ HISTÓRICO (sem baixa)",IF(AND(ISNUMBER(R4659),R4659&lt;TODAY()),"🔴 PRAZO VENCIDO",IF(AND(OR(N4659="PENDENTE",N4659="PARCIAL"),D4659&lt;TODAY()-1),"🔴 EMBARQUE ATRASADO",IF(AND(N4659="REALIZADO",M4659="PENDENTE"),"🟡 EMBARCADO SEM FATURAR",IF(AND(P4659&lt;&gt;"",S4659="",OR(Q4659="",R4659="")),"🟡 PENDÊNCIA SEM RESPONSÁVEL/PRAZO",IF(AND(ISNUMBER(R4659),R4659=TODAY()),"🟡 VENCE HOJE",IF(AND(P4659&lt;&gt;"",S4659=""),"🟡 PENDÊNCIA ABERTA",IF(AND(N(J4659)&gt;0,N(K4659)&lt;J4659),"🟡 FALTA EXECUTAR",IF(OR(M4659="PENDENTE",M4659="PARCIAL"),"🟡 FATURAMENTO PENDENTE","🟡 EMBARQUE PENDENTE")))))))))))</f>
        <v/>
      </c>
      <c r="D4659" s="4" t="n"/>
      <c r="E4659" s="5" t="n"/>
      <c r="F4659" s="5" t="n"/>
      <c r="G4659" s="5" t="n"/>
      <c r="H4659" s="5" t="n"/>
      <c r="I4659" s="5" t="n"/>
      <c r="J4659" s="6" t="n"/>
      <c r="K4659" s="6" t="n"/>
      <c r="L4659" s="7">
        <f>IF(OR(D4659="",N(J4659)=0),"",MIN(1,N(K4659)/J4659))</f>
        <v/>
      </c>
      <c r="M4659" s="5" t="n"/>
      <c r="N4659" s="5" t="n"/>
      <c r="O4659" s="5" t="n"/>
      <c r="P4659" s="5" t="n"/>
      <c r="Q4659" s="5" t="n"/>
      <c r="R4659" s="4" t="n"/>
      <c r="S4659" s="4" t="n"/>
      <c r="T4659" s="5" t="n"/>
      <c r="U4659" s="8">
        <f>IF(AND(V4659=1,D4659&lt;&gt;""),IF(D4659&gt;=corte,TODAY()-D4659,""),"")</f>
        <v/>
      </c>
      <c r="V4659" s="8">
        <f>IF(D4659="",0,IF(OR(AND(P4659&lt;&gt;"",S4659=""),AND(N(J4659)&gt;0,N(K4659)&lt;J4659),OR(M4659="PENDENTE",M4659="PARCIAL"),OR(N4659="PENDENTE",N4659="PARCIAL")),1,0))</f>
        <v/>
      </c>
      <c r="W4659" s="8">
        <f>IF(AND(V4659=1,D4659&lt;&gt;""),IF(D4659&gt;=corte,(B4659="CRÍTICO")*1E9+(100000-D4659)*10000+10000-ROW(),""),"")</f>
        <v/>
      </c>
      <c r="X4659" s="8">
        <f>IF(AND(V4659=1,D4659=pas_data,E4659=pas_turno),10000-ROW(),"")</f>
        <v/>
      </c>
    </row>
    <row r="4660">
      <c r="A4660" s="3">
        <f>IF(D4660="","","TT-"&amp;TEXT(ROW()-1,"00000"))</f>
        <v/>
      </c>
      <c r="B4660" s="3">
        <f>IF(D4660="","",IF(V4660=0,"CONCLUÍDO",IF(D4660&lt;corte,"HISTÓRICO",IF(OR(AND(ISNUMBER(R4660),R4660&lt;TODAY()),AND(OR(N4660="PENDENTE",N4660="PARCIAL"),D4660&lt;TODAY()-1)),"CRÍTICO",IF(OR(AND(P4660&lt;&gt;"",S4660=""),AND(N4660="REALIZADO",M4660="PENDENTE"),AND(ISNUMBER(R4660),R4660=TODAY())),"ATENÇÃO",IF(N(K4660)=0,"PENDENTE","EM ANDAMENTO"))))))</f>
        <v/>
      </c>
      <c r="C4660" s="3">
        <f>IF(D4660="","",IF(V4660=0,"🟢 OK",IF(D4660&lt;corte,"⚪ HISTÓRICO (sem baixa)",IF(AND(ISNUMBER(R4660),R4660&lt;TODAY()),"🔴 PRAZO VENCIDO",IF(AND(OR(N4660="PENDENTE",N4660="PARCIAL"),D4660&lt;TODAY()-1),"🔴 EMBARQUE ATRASADO",IF(AND(N4660="REALIZADO",M4660="PENDENTE"),"🟡 EMBARCADO SEM FATURAR",IF(AND(P4660&lt;&gt;"",S4660="",OR(Q4660="",R4660="")),"🟡 PENDÊNCIA SEM RESPONSÁVEL/PRAZO",IF(AND(ISNUMBER(R4660),R4660=TODAY()),"🟡 VENCE HOJE",IF(AND(P4660&lt;&gt;"",S4660=""),"🟡 PENDÊNCIA ABERTA",IF(AND(N(J4660)&gt;0,N(K4660)&lt;J4660),"🟡 FALTA EXECUTAR",IF(OR(M4660="PENDENTE",M4660="PARCIAL"),"🟡 FATURAMENTO PENDENTE","🟡 EMBARQUE PENDENTE")))))))))))</f>
        <v/>
      </c>
      <c r="D4660" s="4" t="n"/>
      <c r="E4660" s="5" t="n"/>
      <c r="F4660" s="5" t="n"/>
      <c r="G4660" s="5" t="n"/>
      <c r="H4660" s="5" t="n"/>
      <c r="I4660" s="5" t="n"/>
      <c r="J4660" s="6" t="n"/>
      <c r="K4660" s="6" t="n"/>
      <c r="L4660" s="7">
        <f>IF(OR(D4660="",N(J4660)=0),"",MIN(1,N(K4660)/J4660))</f>
        <v/>
      </c>
      <c r="M4660" s="5" t="n"/>
      <c r="N4660" s="5" t="n"/>
      <c r="O4660" s="5" t="n"/>
      <c r="P4660" s="5" t="n"/>
      <c r="Q4660" s="5" t="n"/>
      <c r="R4660" s="4" t="n"/>
      <c r="S4660" s="4" t="n"/>
      <c r="T4660" s="5" t="n"/>
      <c r="U4660" s="8">
        <f>IF(AND(V4660=1,D4660&lt;&gt;""),IF(D4660&gt;=corte,TODAY()-D4660,""),"")</f>
        <v/>
      </c>
      <c r="V4660" s="8">
        <f>IF(D4660="",0,IF(OR(AND(P4660&lt;&gt;"",S4660=""),AND(N(J4660)&gt;0,N(K4660)&lt;J4660),OR(M4660="PENDENTE",M4660="PARCIAL"),OR(N4660="PENDENTE",N4660="PARCIAL")),1,0))</f>
        <v/>
      </c>
      <c r="W4660" s="8">
        <f>IF(AND(V4660=1,D4660&lt;&gt;""),IF(D4660&gt;=corte,(B4660="CRÍTICO")*1E9+(100000-D4660)*10000+10000-ROW(),""),"")</f>
        <v/>
      </c>
      <c r="X4660" s="8">
        <f>IF(AND(V4660=1,D4660=pas_data,E4660=pas_turno),10000-ROW(),"")</f>
        <v/>
      </c>
    </row>
    <row r="4661">
      <c r="A4661" s="3">
        <f>IF(D4661="","","TT-"&amp;TEXT(ROW()-1,"00000"))</f>
        <v/>
      </c>
      <c r="B4661" s="3">
        <f>IF(D4661="","",IF(V4661=0,"CONCLUÍDO",IF(D4661&lt;corte,"HISTÓRICO",IF(OR(AND(ISNUMBER(R4661),R4661&lt;TODAY()),AND(OR(N4661="PENDENTE",N4661="PARCIAL"),D4661&lt;TODAY()-1)),"CRÍTICO",IF(OR(AND(P4661&lt;&gt;"",S4661=""),AND(N4661="REALIZADO",M4661="PENDENTE"),AND(ISNUMBER(R4661),R4661=TODAY())),"ATENÇÃO",IF(N(K4661)=0,"PENDENTE","EM ANDAMENTO"))))))</f>
        <v/>
      </c>
      <c r="C4661" s="3">
        <f>IF(D4661="","",IF(V4661=0,"🟢 OK",IF(D4661&lt;corte,"⚪ HISTÓRICO (sem baixa)",IF(AND(ISNUMBER(R4661),R4661&lt;TODAY()),"🔴 PRAZO VENCIDO",IF(AND(OR(N4661="PENDENTE",N4661="PARCIAL"),D4661&lt;TODAY()-1),"🔴 EMBARQUE ATRASADO",IF(AND(N4661="REALIZADO",M4661="PENDENTE"),"🟡 EMBARCADO SEM FATURAR",IF(AND(P4661&lt;&gt;"",S4661="",OR(Q4661="",R4661="")),"🟡 PENDÊNCIA SEM RESPONSÁVEL/PRAZO",IF(AND(ISNUMBER(R4661),R4661=TODAY()),"🟡 VENCE HOJE",IF(AND(P4661&lt;&gt;"",S4661=""),"🟡 PENDÊNCIA ABERTA",IF(AND(N(J4661)&gt;0,N(K4661)&lt;J4661),"🟡 FALTA EXECUTAR",IF(OR(M4661="PENDENTE",M4661="PARCIAL"),"🟡 FATURAMENTO PENDENTE","🟡 EMBARQUE PENDENTE")))))))))))</f>
        <v/>
      </c>
      <c r="D4661" s="4" t="n"/>
      <c r="E4661" s="5" t="n"/>
      <c r="F4661" s="5" t="n"/>
      <c r="G4661" s="5" t="n"/>
      <c r="H4661" s="5" t="n"/>
      <c r="I4661" s="5" t="n"/>
      <c r="J4661" s="6" t="n"/>
      <c r="K4661" s="6" t="n"/>
      <c r="L4661" s="7">
        <f>IF(OR(D4661="",N(J4661)=0),"",MIN(1,N(K4661)/J4661))</f>
        <v/>
      </c>
      <c r="M4661" s="5" t="n"/>
      <c r="N4661" s="5" t="n"/>
      <c r="O4661" s="5" t="n"/>
      <c r="P4661" s="5" t="n"/>
      <c r="Q4661" s="5" t="n"/>
      <c r="R4661" s="4" t="n"/>
      <c r="S4661" s="4" t="n"/>
      <c r="T4661" s="5" t="n"/>
      <c r="U4661" s="8">
        <f>IF(AND(V4661=1,D4661&lt;&gt;""),IF(D4661&gt;=corte,TODAY()-D4661,""),"")</f>
        <v/>
      </c>
      <c r="V4661" s="8">
        <f>IF(D4661="",0,IF(OR(AND(P4661&lt;&gt;"",S4661=""),AND(N(J4661)&gt;0,N(K4661)&lt;J4661),OR(M4661="PENDENTE",M4661="PARCIAL"),OR(N4661="PENDENTE",N4661="PARCIAL")),1,0))</f>
        <v/>
      </c>
      <c r="W4661" s="8">
        <f>IF(AND(V4661=1,D4661&lt;&gt;""),IF(D4661&gt;=corte,(B4661="CRÍTICO")*1E9+(100000-D4661)*10000+10000-ROW(),""),"")</f>
        <v/>
      </c>
      <c r="X4661" s="8">
        <f>IF(AND(V4661=1,D4661=pas_data,E4661=pas_turno),10000-ROW(),"")</f>
        <v/>
      </c>
    </row>
    <row r="4662">
      <c r="A4662" s="3">
        <f>IF(D4662="","","TT-"&amp;TEXT(ROW()-1,"00000"))</f>
        <v/>
      </c>
      <c r="B4662" s="3">
        <f>IF(D4662="","",IF(V4662=0,"CONCLUÍDO",IF(D4662&lt;corte,"HISTÓRICO",IF(OR(AND(ISNUMBER(R4662),R4662&lt;TODAY()),AND(OR(N4662="PENDENTE",N4662="PARCIAL"),D4662&lt;TODAY()-1)),"CRÍTICO",IF(OR(AND(P4662&lt;&gt;"",S4662=""),AND(N4662="REALIZADO",M4662="PENDENTE"),AND(ISNUMBER(R4662),R4662=TODAY())),"ATENÇÃO",IF(N(K4662)=0,"PENDENTE","EM ANDAMENTO"))))))</f>
        <v/>
      </c>
      <c r="C4662" s="3">
        <f>IF(D4662="","",IF(V4662=0,"🟢 OK",IF(D4662&lt;corte,"⚪ HISTÓRICO (sem baixa)",IF(AND(ISNUMBER(R4662),R4662&lt;TODAY()),"🔴 PRAZO VENCIDO",IF(AND(OR(N4662="PENDENTE",N4662="PARCIAL"),D4662&lt;TODAY()-1),"🔴 EMBARQUE ATRASADO",IF(AND(N4662="REALIZADO",M4662="PENDENTE"),"🟡 EMBARCADO SEM FATURAR",IF(AND(P4662&lt;&gt;"",S4662="",OR(Q4662="",R4662="")),"🟡 PENDÊNCIA SEM RESPONSÁVEL/PRAZO",IF(AND(ISNUMBER(R4662),R4662=TODAY()),"🟡 VENCE HOJE",IF(AND(P4662&lt;&gt;"",S4662=""),"🟡 PENDÊNCIA ABERTA",IF(AND(N(J4662)&gt;0,N(K4662)&lt;J4662),"🟡 FALTA EXECUTAR",IF(OR(M4662="PENDENTE",M4662="PARCIAL"),"🟡 FATURAMENTO PENDENTE","🟡 EMBARQUE PENDENTE")))))))))))</f>
        <v/>
      </c>
      <c r="D4662" s="4" t="n"/>
      <c r="E4662" s="5" t="n"/>
      <c r="F4662" s="5" t="n"/>
      <c r="G4662" s="5" t="n"/>
      <c r="H4662" s="5" t="n"/>
      <c r="I4662" s="5" t="n"/>
      <c r="J4662" s="6" t="n"/>
      <c r="K4662" s="6" t="n"/>
      <c r="L4662" s="7">
        <f>IF(OR(D4662="",N(J4662)=0),"",MIN(1,N(K4662)/J4662))</f>
        <v/>
      </c>
      <c r="M4662" s="5" t="n"/>
      <c r="N4662" s="5" t="n"/>
      <c r="O4662" s="5" t="n"/>
      <c r="P4662" s="5" t="n"/>
      <c r="Q4662" s="5" t="n"/>
      <c r="R4662" s="4" t="n"/>
      <c r="S4662" s="4" t="n"/>
      <c r="T4662" s="5" t="n"/>
      <c r="U4662" s="8">
        <f>IF(AND(V4662=1,D4662&lt;&gt;""),IF(D4662&gt;=corte,TODAY()-D4662,""),"")</f>
        <v/>
      </c>
      <c r="V4662" s="8">
        <f>IF(D4662="",0,IF(OR(AND(P4662&lt;&gt;"",S4662=""),AND(N(J4662)&gt;0,N(K4662)&lt;J4662),OR(M4662="PENDENTE",M4662="PARCIAL"),OR(N4662="PENDENTE",N4662="PARCIAL")),1,0))</f>
        <v/>
      </c>
      <c r="W4662" s="8">
        <f>IF(AND(V4662=1,D4662&lt;&gt;""),IF(D4662&gt;=corte,(B4662="CRÍTICO")*1E9+(100000-D4662)*10000+10000-ROW(),""),"")</f>
        <v/>
      </c>
      <c r="X4662" s="8">
        <f>IF(AND(V4662=1,D4662=pas_data,E4662=pas_turno),10000-ROW(),"")</f>
        <v/>
      </c>
    </row>
    <row r="4663">
      <c r="A4663" s="3">
        <f>IF(D4663="","","TT-"&amp;TEXT(ROW()-1,"00000"))</f>
        <v/>
      </c>
      <c r="B4663" s="3">
        <f>IF(D4663="","",IF(V4663=0,"CONCLUÍDO",IF(D4663&lt;corte,"HISTÓRICO",IF(OR(AND(ISNUMBER(R4663),R4663&lt;TODAY()),AND(OR(N4663="PENDENTE",N4663="PARCIAL"),D4663&lt;TODAY()-1)),"CRÍTICO",IF(OR(AND(P4663&lt;&gt;"",S4663=""),AND(N4663="REALIZADO",M4663="PENDENTE"),AND(ISNUMBER(R4663),R4663=TODAY())),"ATENÇÃO",IF(N(K4663)=0,"PENDENTE","EM ANDAMENTO"))))))</f>
        <v/>
      </c>
      <c r="C4663" s="3">
        <f>IF(D4663="","",IF(V4663=0,"🟢 OK",IF(D4663&lt;corte,"⚪ HISTÓRICO (sem baixa)",IF(AND(ISNUMBER(R4663),R4663&lt;TODAY()),"🔴 PRAZO VENCIDO",IF(AND(OR(N4663="PENDENTE",N4663="PARCIAL"),D4663&lt;TODAY()-1),"🔴 EMBARQUE ATRASADO",IF(AND(N4663="REALIZADO",M4663="PENDENTE"),"🟡 EMBARCADO SEM FATURAR",IF(AND(P4663&lt;&gt;"",S4663="",OR(Q4663="",R4663="")),"🟡 PENDÊNCIA SEM RESPONSÁVEL/PRAZO",IF(AND(ISNUMBER(R4663),R4663=TODAY()),"🟡 VENCE HOJE",IF(AND(P4663&lt;&gt;"",S4663=""),"🟡 PENDÊNCIA ABERTA",IF(AND(N(J4663)&gt;0,N(K4663)&lt;J4663),"🟡 FALTA EXECUTAR",IF(OR(M4663="PENDENTE",M4663="PARCIAL"),"🟡 FATURAMENTO PENDENTE","🟡 EMBARQUE PENDENTE")))))))))))</f>
        <v/>
      </c>
      <c r="D4663" s="4" t="n"/>
      <c r="E4663" s="5" t="n"/>
      <c r="F4663" s="5" t="n"/>
      <c r="G4663" s="5" t="n"/>
      <c r="H4663" s="5" t="n"/>
      <c r="I4663" s="5" t="n"/>
      <c r="J4663" s="6" t="n"/>
      <c r="K4663" s="6" t="n"/>
      <c r="L4663" s="7">
        <f>IF(OR(D4663="",N(J4663)=0),"",MIN(1,N(K4663)/J4663))</f>
        <v/>
      </c>
      <c r="M4663" s="5" t="n"/>
      <c r="N4663" s="5" t="n"/>
      <c r="O4663" s="5" t="n"/>
      <c r="P4663" s="5" t="n"/>
      <c r="Q4663" s="5" t="n"/>
      <c r="R4663" s="4" t="n"/>
      <c r="S4663" s="4" t="n"/>
      <c r="T4663" s="5" t="n"/>
      <c r="U4663" s="8">
        <f>IF(AND(V4663=1,D4663&lt;&gt;""),IF(D4663&gt;=corte,TODAY()-D4663,""),"")</f>
        <v/>
      </c>
      <c r="V4663" s="8">
        <f>IF(D4663="",0,IF(OR(AND(P4663&lt;&gt;"",S4663=""),AND(N(J4663)&gt;0,N(K4663)&lt;J4663),OR(M4663="PENDENTE",M4663="PARCIAL"),OR(N4663="PENDENTE",N4663="PARCIAL")),1,0))</f>
        <v/>
      </c>
      <c r="W4663" s="8">
        <f>IF(AND(V4663=1,D4663&lt;&gt;""),IF(D4663&gt;=corte,(B4663="CRÍTICO")*1E9+(100000-D4663)*10000+10000-ROW(),""),"")</f>
        <v/>
      </c>
      <c r="X4663" s="8">
        <f>IF(AND(V4663=1,D4663=pas_data,E4663=pas_turno),10000-ROW(),"")</f>
        <v/>
      </c>
    </row>
    <row r="4664">
      <c r="A4664" s="3">
        <f>IF(D4664="","","TT-"&amp;TEXT(ROW()-1,"00000"))</f>
        <v/>
      </c>
      <c r="B4664" s="3">
        <f>IF(D4664="","",IF(V4664=0,"CONCLUÍDO",IF(D4664&lt;corte,"HISTÓRICO",IF(OR(AND(ISNUMBER(R4664),R4664&lt;TODAY()),AND(OR(N4664="PENDENTE",N4664="PARCIAL"),D4664&lt;TODAY()-1)),"CRÍTICO",IF(OR(AND(P4664&lt;&gt;"",S4664=""),AND(N4664="REALIZADO",M4664="PENDENTE"),AND(ISNUMBER(R4664),R4664=TODAY())),"ATENÇÃO",IF(N(K4664)=0,"PENDENTE","EM ANDAMENTO"))))))</f>
        <v/>
      </c>
      <c r="C4664" s="3">
        <f>IF(D4664="","",IF(V4664=0,"🟢 OK",IF(D4664&lt;corte,"⚪ HISTÓRICO (sem baixa)",IF(AND(ISNUMBER(R4664),R4664&lt;TODAY()),"🔴 PRAZO VENCIDO",IF(AND(OR(N4664="PENDENTE",N4664="PARCIAL"),D4664&lt;TODAY()-1),"🔴 EMBARQUE ATRASADO",IF(AND(N4664="REALIZADO",M4664="PENDENTE"),"🟡 EMBARCADO SEM FATURAR",IF(AND(P4664&lt;&gt;"",S4664="",OR(Q4664="",R4664="")),"🟡 PENDÊNCIA SEM RESPONSÁVEL/PRAZO",IF(AND(ISNUMBER(R4664),R4664=TODAY()),"🟡 VENCE HOJE",IF(AND(P4664&lt;&gt;"",S4664=""),"🟡 PENDÊNCIA ABERTA",IF(AND(N(J4664)&gt;0,N(K4664)&lt;J4664),"🟡 FALTA EXECUTAR",IF(OR(M4664="PENDENTE",M4664="PARCIAL"),"🟡 FATURAMENTO PENDENTE","🟡 EMBARQUE PENDENTE")))))))))))</f>
        <v/>
      </c>
      <c r="D4664" s="4" t="n"/>
      <c r="E4664" s="5" t="n"/>
      <c r="F4664" s="5" t="n"/>
      <c r="G4664" s="5" t="n"/>
      <c r="H4664" s="5" t="n"/>
      <c r="I4664" s="5" t="n"/>
      <c r="J4664" s="6" t="n"/>
      <c r="K4664" s="6" t="n"/>
      <c r="L4664" s="7">
        <f>IF(OR(D4664="",N(J4664)=0),"",MIN(1,N(K4664)/J4664))</f>
        <v/>
      </c>
      <c r="M4664" s="5" t="n"/>
      <c r="N4664" s="5" t="n"/>
      <c r="O4664" s="5" t="n"/>
      <c r="P4664" s="5" t="n"/>
      <c r="Q4664" s="5" t="n"/>
      <c r="R4664" s="4" t="n"/>
      <c r="S4664" s="4" t="n"/>
      <c r="T4664" s="5" t="n"/>
      <c r="U4664" s="8">
        <f>IF(AND(V4664=1,D4664&lt;&gt;""),IF(D4664&gt;=corte,TODAY()-D4664,""),"")</f>
        <v/>
      </c>
      <c r="V4664" s="8">
        <f>IF(D4664="",0,IF(OR(AND(P4664&lt;&gt;"",S4664=""),AND(N(J4664)&gt;0,N(K4664)&lt;J4664),OR(M4664="PENDENTE",M4664="PARCIAL"),OR(N4664="PENDENTE",N4664="PARCIAL")),1,0))</f>
        <v/>
      </c>
      <c r="W4664" s="8">
        <f>IF(AND(V4664=1,D4664&lt;&gt;""),IF(D4664&gt;=corte,(B4664="CRÍTICO")*1E9+(100000-D4664)*10000+10000-ROW(),""),"")</f>
        <v/>
      </c>
      <c r="X4664" s="8">
        <f>IF(AND(V4664=1,D4664=pas_data,E4664=pas_turno),10000-ROW(),"")</f>
        <v/>
      </c>
    </row>
    <row r="4665">
      <c r="A4665" s="3">
        <f>IF(D4665="","","TT-"&amp;TEXT(ROW()-1,"00000"))</f>
        <v/>
      </c>
      <c r="B4665" s="3">
        <f>IF(D4665="","",IF(V4665=0,"CONCLUÍDO",IF(D4665&lt;corte,"HISTÓRICO",IF(OR(AND(ISNUMBER(R4665),R4665&lt;TODAY()),AND(OR(N4665="PENDENTE",N4665="PARCIAL"),D4665&lt;TODAY()-1)),"CRÍTICO",IF(OR(AND(P4665&lt;&gt;"",S4665=""),AND(N4665="REALIZADO",M4665="PENDENTE"),AND(ISNUMBER(R4665),R4665=TODAY())),"ATENÇÃO",IF(N(K4665)=0,"PENDENTE","EM ANDAMENTO"))))))</f>
        <v/>
      </c>
      <c r="C4665" s="3">
        <f>IF(D4665="","",IF(V4665=0,"🟢 OK",IF(D4665&lt;corte,"⚪ HISTÓRICO (sem baixa)",IF(AND(ISNUMBER(R4665),R4665&lt;TODAY()),"🔴 PRAZO VENCIDO",IF(AND(OR(N4665="PENDENTE",N4665="PARCIAL"),D4665&lt;TODAY()-1),"🔴 EMBARQUE ATRASADO",IF(AND(N4665="REALIZADO",M4665="PENDENTE"),"🟡 EMBARCADO SEM FATURAR",IF(AND(P4665&lt;&gt;"",S4665="",OR(Q4665="",R4665="")),"🟡 PENDÊNCIA SEM RESPONSÁVEL/PRAZO",IF(AND(ISNUMBER(R4665),R4665=TODAY()),"🟡 VENCE HOJE",IF(AND(P4665&lt;&gt;"",S4665=""),"🟡 PENDÊNCIA ABERTA",IF(AND(N(J4665)&gt;0,N(K4665)&lt;J4665),"🟡 FALTA EXECUTAR",IF(OR(M4665="PENDENTE",M4665="PARCIAL"),"🟡 FATURAMENTO PENDENTE","🟡 EMBARQUE PENDENTE")))))))))))</f>
        <v/>
      </c>
      <c r="D4665" s="4" t="n"/>
      <c r="E4665" s="5" t="n"/>
      <c r="F4665" s="5" t="n"/>
      <c r="G4665" s="5" t="n"/>
      <c r="H4665" s="5" t="n"/>
      <c r="I4665" s="5" t="n"/>
      <c r="J4665" s="6" t="n"/>
      <c r="K4665" s="6" t="n"/>
      <c r="L4665" s="7">
        <f>IF(OR(D4665="",N(J4665)=0),"",MIN(1,N(K4665)/J4665))</f>
        <v/>
      </c>
      <c r="M4665" s="5" t="n"/>
      <c r="N4665" s="5" t="n"/>
      <c r="O4665" s="5" t="n"/>
      <c r="P4665" s="5" t="n"/>
      <c r="Q4665" s="5" t="n"/>
      <c r="R4665" s="4" t="n"/>
      <c r="S4665" s="4" t="n"/>
      <c r="T4665" s="5" t="n"/>
      <c r="U4665" s="8">
        <f>IF(AND(V4665=1,D4665&lt;&gt;""),IF(D4665&gt;=corte,TODAY()-D4665,""),"")</f>
        <v/>
      </c>
      <c r="V4665" s="8">
        <f>IF(D4665="",0,IF(OR(AND(P4665&lt;&gt;"",S4665=""),AND(N(J4665)&gt;0,N(K4665)&lt;J4665),OR(M4665="PENDENTE",M4665="PARCIAL"),OR(N4665="PENDENTE",N4665="PARCIAL")),1,0))</f>
        <v/>
      </c>
      <c r="W4665" s="8">
        <f>IF(AND(V4665=1,D4665&lt;&gt;""),IF(D4665&gt;=corte,(B4665="CRÍTICO")*1E9+(100000-D4665)*10000+10000-ROW(),""),"")</f>
        <v/>
      </c>
      <c r="X4665" s="8">
        <f>IF(AND(V4665=1,D4665=pas_data,E4665=pas_turno),10000-ROW(),"")</f>
        <v/>
      </c>
    </row>
    <row r="4666">
      <c r="A4666" s="3">
        <f>IF(D4666="","","TT-"&amp;TEXT(ROW()-1,"00000"))</f>
        <v/>
      </c>
      <c r="B4666" s="3">
        <f>IF(D4666="","",IF(V4666=0,"CONCLUÍDO",IF(D4666&lt;corte,"HISTÓRICO",IF(OR(AND(ISNUMBER(R4666),R4666&lt;TODAY()),AND(OR(N4666="PENDENTE",N4666="PARCIAL"),D4666&lt;TODAY()-1)),"CRÍTICO",IF(OR(AND(P4666&lt;&gt;"",S4666=""),AND(N4666="REALIZADO",M4666="PENDENTE"),AND(ISNUMBER(R4666),R4666=TODAY())),"ATENÇÃO",IF(N(K4666)=0,"PENDENTE","EM ANDAMENTO"))))))</f>
        <v/>
      </c>
      <c r="C4666" s="3">
        <f>IF(D4666="","",IF(V4666=0,"🟢 OK",IF(D4666&lt;corte,"⚪ HISTÓRICO (sem baixa)",IF(AND(ISNUMBER(R4666),R4666&lt;TODAY()),"🔴 PRAZO VENCIDO",IF(AND(OR(N4666="PENDENTE",N4666="PARCIAL"),D4666&lt;TODAY()-1),"🔴 EMBARQUE ATRASADO",IF(AND(N4666="REALIZADO",M4666="PENDENTE"),"🟡 EMBARCADO SEM FATURAR",IF(AND(P4666&lt;&gt;"",S4666="",OR(Q4666="",R4666="")),"🟡 PENDÊNCIA SEM RESPONSÁVEL/PRAZO",IF(AND(ISNUMBER(R4666),R4666=TODAY()),"🟡 VENCE HOJE",IF(AND(P4666&lt;&gt;"",S4666=""),"🟡 PENDÊNCIA ABERTA",IF(AND(N(J4666)&gt;0,N(K4666)&lt;J4666),"🟡 FALTA EXECUTAR",IF(OR(M4666="PENDENTE",M4666="PARCIAL"),"🟡 FATURAMENTO PENDENTE","🟡 EMBARQUE PENDENTE")))))))))))</f>
        <v/>
      </c>
      <c r="D4666" s="4" t="n"/>
      <c r="E4666" s="5" t="n"/>
      <c r="F4666" s="5" t="n"/>
      <c r="G4666" s="5" t="n"/>
      <c r="H4666" s="5" t="n"/>
      <c r="I4666" s="5" t="n"/>
      <c r="J4666" s="6" t="n"/>
      <c r="K4666" s="6" t="n"/>
      <c r="L4666" s="7">
        <f>IF(OR(D4666="",N(J4666)=0),"",MIN(1,N(K4666)/J4666))</f>
        <v/>
      </c>
      <c r="M4666" s="5" t="n"/>
      <c r="N4666" s="5" t="n"/>
      <c r="O4666" s="5" t="n"/>
      <c r="P4666" s="5" t="n"/>
      <c r="Q4666" s="5" t="n"/>
      <c r="R4666" s="4" t="n"/>
      <c r="S4666" s="4" t="n"/>
      <c r="T4666" s="5" t="n"/>
      <c r="U4666" s="8">
        <f>IF(AND(V4666=1,D4666&lt;&gt;""),IF(D4666&gt;=corte,TODAY()-D4666,""),"")</f>
        <v/>
      </c>
      <c r="V4666" s="8">
        <f>IF(D4666="",0,IF(OR(AND(P4666&lt;&gt;"",S4666=""),AND(N(J4666)&gt;0,N(K4666)&lt;J4666),OR(M4666="PENDENTE",M4666="PARCIAL"),OR(N4666="PENDENTE",N4666="PARCIAL")),1,0))</f>
        <v/>
      </c>
      <c r="W4666" s="8">
        <f>IF(AND(V4666=1,D4666&lt;&gt;""),IF(D4666&gt;=corte,(B4666="CRÍTICO")*1E9+(100000-D4666)*10000+10000-ROW(),""),"")</f>
        <v/>
      </c>
      <c r="X4666" s="8">
        <f>IF(AND(V4666=1,D4666=pas_data,E4666=pas_turno),10000-ROW(),"")</f>
        <v/>
      </c>
    </row>
    <row r="4667">
      <c r="A4667" s="3">
        <f>IF(D4667="","","TT-"&amp;TEXT(ROW()-1,"00000"))</f>
        <v/>
      </c>
      <c r="B4667" s="3">
        <f>IF(D4667="","",IF(V4667=0,"CONCLUÍDO",IF(D4667&lt;corte,"HISTÓRICO",IF(OR(AND(ISNUMBER(R4667),R4667&lt;TODAY()),AND(OR(N4667="PENDENTE",N4667="PARCIAL"),D4667&lt;TODAY()-1)),"CRÍTICO",IF(OR(AND(P4667&lt;&gt;"",S4667=""),AND(N4667="REALIZADO",M4667="PENDENTE"),AND(ISNUMBER(R4667),R4667=TODAY())),"ATENÇÃO",IF(N(K4667)=0,"PENDENTE","EM ANDAMENTO"))))))</f>
        <v/>
      </c>
      <c r="C4667" s="3">
        <f>IF(D4667="","",IF(V4667=0,"🟢 OK",IF(D4667&lt;corte,"⚪ HISTÓRICO (sem baixa)",IF(AND(ISNUMBER(R4667),R4667&lt;TODAY()),"🔴 PRAZO VENCIDO",IF(AND(OR(N4667="PENDENTE",N4667="PARCIAL"),D4667&lt;TODAY()-1),"🔴 EMBARQUE ATRASADO",IF(AND(N4667="REALIZADO",M4667="PENDENTE"),"🟡 EMBARCADO SEM FATURAR",IF(AND(P4667&lt;&gt;"",S4667="",OR(Q4667="",R4667="")),"🟡 PENDÊNCIA SEM RESPONSÁVEL/PRAZO",IF(AND(ISNUMBER(R4667),R4667=TODAY()),"🟡 VENCE HOJE",IF(AND(P4667&lt;&gt;"",S4667=""),"🟡 PENDÊNCIA ABERTA",IF(AND(N(J4667)&gt;0,N(K4667)&lt;J4667),"🟡 FALTA EXECUTAR",IF(OR(M4667="PENDENTE",M4667="PARCIAL"),"🟡 FATURAMENTO PENDENTE","🟡 EMBARQUE PENDENTE")))))))))))</f>
        <v/>
      </c>
      <c r="D4667" s="4" t="n"/>
      <c r="E4667" s="5" t="n"/>
      <c r="F4667" s="5" t="n"/>
      <c r="G4667" s="5" t="n"/>
      <c r="H4667" s="5" t="n"/>
      <c r="I4667" s="5" t="n"/>
      <c r="J4667" s="6" t="n"/>
      <c r="K4667" s="6" t="n"/>
      <c r="L4667" s="7">
        <f>IF(OR(D4667="",N(J4667)=0),"",MIN(1,N(K4667)/J4667))</f>
        <v/>
      </c>
      <c r="M4667" s="5" t="n"/>
      <c r="N4667" s="5" t="n"/>
      <c r="O4667" s="5" t="n"/>
      <c r="P4667" s="5" t="n"/>
      <c r="Q4667" s="5" t="n"/>
      <c r="R4667" s="4" t="n"/>
      <c r="S4667" s="4" t="n"/>
      <c r="T4667" s="5" t="n"/>
      <c r="U4667" s="8">
        <f>IF(AND(V4667=1,D4667&lt;&gt;""),IF(D4667&gt;=corte,TODAY()-D4667,""),"")</f>
        <v/>
      </c>
      <c r="V4667" s="8">
        <f>IF(D4667="",0,IF(OR(AND(P4667&lt;&gt;"",S4667=""),AND(N(J4667)&gt;0,N(K4667)&lt;J4667),OR(M4667="PENDENTE",M4667="PARCIAL"),OR(N4667="PENDENTE",N4667="PARCIAL")),1,0))</f>
        <v/>
      </c>
      <c r="W4667" s="8">
        <f>IF(AND(V4667=1,D4667&lt;&gt;""),IF(D4667&gt;=corte,(B4667="CRÍTICO")*1E9+(100000-D4667)*10000+10000-ROW(),""),"")</f>
        <v/>
      </c>
      <c r="X4667" s="8">
        <f>IF(AND(V4667=1,D4667=pas_data,E4667=pas_turno),10000-ROW(),"")</f>
        <v/>
      </c>
    </row>
    <row r="4668">
      <c r="A4668" s="3">
        <f>IF(D4668="","","TT-"&amp;TEXT(ROW()-1,"00000"))</f>
        <v/>
      </c>
      <c r="B4668" s="3">
        <f>IF(D4668="","",IF(V4668=0,"CONCLUÍDO",IF(D4668&lt;corte,"HISTÓRICO",IF(OR(AND(ISNUMBER(R4668),R4668&lt;TODAY()),AND(OR(N4668="PENDENTE",N4668="PARCIAL"),D4668&lt;TODAY()-1)),"CRÍTICO",IF(OR(AND(P4668&lt;&gt;"",S4668=""),AND(N4668="REALIZADO",M4668="PENDENTE"),AND(ISNUMBER(R4668),R4668=TODAY())),"ATENÇÃO",IF(N(K4668)=0,"PENDENTE","EM ANDAMENTO"))))))</f>
        <v/>
      </c>
      <c r="C4668" s="3">
        <f>IF(D4668="","",IF(V4668=0,"🟢 OK",IF(D4668&lt;corte,"⚪ HISTÓRICO (sem baixa)",IF(AND(ISNUMBER(R4668),R4668&lt;TODAY()),"🔴 PRAZO VENCIDO",IF(AND(OR(N4668="PENDENTE",N4668="PARCIAL"),D4668&lt;TODAY()-1),"🔴 EMBARQUE ATRASADO",IF(AND(N4668="REALIZADO",M4668="PENDENTE"),"🟡 EMBARCADO SEM FATURAR",IF(AND(P4668&lt;&gt;"",S4668="",OR(Q4668="",R4668="")),"🟡 PENDÊNCIA SEM RESPONSÁVEL/PRAZO",IF(AND(ISNUMBER(R4668),R4668=TODAY()),"🟡 VENCE HOJE",IF(AND(P4668&lt;&gt;"",S4668=""),"🟡 PENDÊNCIA ABERTA",IF(AND(N(J4668)&gt;0,N(K4668)&lt;J4668),"🟡 FALTA EXECUTAR",IF(OR(M4668="PENDENTE",M4668="PARCIAL"),"🟡 FATURAMENTO PENDENTE","🟡 EMBARQUE PENDENTE")))))))))))</f>
        <v/>
      </c>
      <c r="D4668" s="4" t="n"/>
      <c r="E4668" s="5" t="n"/>
      <c r="F4668" s="5" t="n"/>
      <c r="G4668" s="5" t="n"/>
      <c r="H4668" s="5" t="n"/>
      <c r="I4668" s="5" t="n"/>
      <c r="J4668" s="6" t="n"/>
      <c r="K4668" s="6" t="n"/>
      <c r="L4668" s="7">
        <f>IF(OR(D4668="",N(J4668)=0),"",MIN(1,N(K4668)/J4668))</f>
        <v/>
      </c>
      <c r="M4668" s="5" t="n"/>
      <c r="N4668" s="5" t="n"/>
      <c r="O4668" s="5" t="n"/>
      <c r="P4668" s="5" t="n"/>
      <c r="Q4668" s="5" t="n"/>
      <c r="R4668" s="4" t="n"/>
      <c r="S4668" s="4" t="n"/>
      <c r="T4668" s="5" t="n"/>
      <c r="U4668" s="8">
        <f>IF(AND(V4668=1,D4668&lt;&gt;""),IF(D4668&gt;=corte,TODAY()-D4668,""),"")</f>
        <v/>
      </c>
      <c r="V4668" s="8">
        <f>IF(D4668="",0,IF(OR(AND(P4668&lt;&gt;"",S4668=""),AND(N(J4668)&gt;0,N(K4668)&lt;J4668),OR(M4668="PENDENTE",M4668="PARCIAL"),OR(N4668="PENDENTE",N4668="PARCIAL")),1,0))</f>
        <v/>
      </c>
      <c r="W4668" s="8">
        <f>IF(AND(V4668=1,D4668&lt;&gt;""),IF(D4668&gt;=corte,(B4668="CRÍTICO")*1E9+(100000-D4668)*10000+10000-ROW(),""),"")</f>
        <v/>
      </c>
      <c r="X4668" s="8">
        <f>IF(AND(V4668=1,D4668=pas_data,E4668=pas_turno),10000-ROW(),"")</f>
        <v/>
      </c>
    </row>
    <row r="4669">
      <c r="A4669" s="3">
        <f>IF(D4669="","","TT-"&amp;TEXT(ROW()-1,"00000"))</f>
        <v/>
      </c>
      <c r="B4669" s="3">
        <f>IF(D4669="","",IF(V4669=0,"CONCLUÍDO",IF(D4669&lt;corte,"HISTÓRICO",IF(OR(AND(ISNUMBER(R4669),R4669&lt;TODAY()),AND(OR(N4669="PENDENTE",N4669="PARCIAL"),D4669&lt;TODAY()-1)),"CRÍTICO",IF(OR(AND(P4669&lt;&gt;"",S4669=""),AND(N4669="REALIZADO",M4669="PENDENTE"),AND(ISNUMBER(R4669),R4669=TODAY())),"ATENÇÃO",IF(N(K4669)=0,"PENDENTE","EM ANDAMENTO"))))))</f>
        <v/>
      </c>
      <c r="C4669" s="3">
        <f>IF(D4669="","",IF(V4669=0,"🟢 OK",IF(D4669&lt;corte,"⚪ HISTÓRICO (sem baixa)",IF(AND(ISNUMBER(R4669),R4669&lt;TODAY()),"🔴 PRAZO VENCIDO",IF(AND(OR(N4669="PENDENTE",N4669="PARCIAL"),D4669&lt;TODAY()-1),"🔴 EMBARQUE ATRASADO",IF(AND(N4669="REALIZADO",M4669="PENDENTE"),"🟡 EMBARCADO SEM FATURAR",IF(AND(P4669&lt;&gt;"",S4669="",OR(Q4669="",R4669="")),"🟡 PENDÊNCIA SEM RESPONSÁVEL/PRAZO",IF(AND(ISNUMBER(R4669),R4669=TODAY()),"🟡 VENCE HOJE",IF(AND(P4669&lt;&gt;"",S4669=""),"🟡 PENDÊNCIA ABERTA",IF(AND(N(J4669)&gt;0,N(K4669)&lt;J4669),"🟡 FALTA EXECUTAR",IF(OR(M4669="PENDENTE",M4669="PARCIAL"),"🟡 FATURAMENTO PENDENTE","🟡 EMBARQUE PENDENTE")))))))))))</f>
        <v/>
      </c>
      <c r="D4669" s="4" t="n"/>
      <c r="E4669" s="5" t="n"/>
      <c r="F4669" s="5" t="n"/>
      <c r="G4669" s="5" t="n"/>
      <c r="H4669" s="5" t="n"/>
      <c r="I4669" s="5" t="n"/>
      <c r="J4669" s="6" t="n"/>
      <c r="K4669" s="6" t="n"/>
      <c r="L4669" s="7">
        <f>IF(OR(D4669="",N(J4669)=0),"",MIN(1,N(K4669)/J4669))</f>
        <v/>
      </c>
      <c r="M4669" s="5" t="n"/>
      <c r="N4669" s="5" t="n"/>
      <c r="O4669" s="5" t="n"/>
      <c r="P4669" s="5" t="n"/>
      <c r="Q4669" s="5" t="n"/>
      <c r="R4669" s="4" t="n"/>
      <c r="S4669" s="4" t="n"/>
      <c r="T4669" s="5" t="n"/>
      <c r="U4669" s="8">
        <f>IF(AND(V4669=1,D4669&lt;&gt;""),IF(D4669&gt;=corte,TODAY()-D4669,""),"")</f>
        <v/>
      </c>
      <c r="V4669" s="8">
        <f>IF(D4669="",0,IF(OR(AND(P4669&lt;&gt;"",S4669=""),AND(N(J4669)&gt;0,N(K4669)&lt;J4669),OR(M4669="PENDENTE",M4669="PARCIAL"),OR(N4669="PENDENTE",N4669="PARCIAL")),1,0))</f>
        <v/>
      </c>
      <c r="W4669" s="8">
        <f>IF(AND(V4669=1,D4669&lt;&gt;""),IF(D4669&gt;=corte,(B4669="CRÍTICO")*1E9+(100000-D4669)*10000+10000-ROW(),""),"")</f>
        <v/>
      </c>
      <c r="X4669" s="8">
        <f>IF(AND(V4669=1,D4669=pas_data,E4669=pas_turno),10000-ROW(),"")</f>
        <v/>
      </c>
    </row>
    <row r="4670">
      <c r="A4670" s="3">
        <f>IF(D4670="","","TT-"&amp;TEXT(ROW()-1,"00000"))</f>
        <v/>
      </c>
      <c r="B4670" s="3">
        <f>IF(D4670="","",IF(V4670=0,"CONCLUÍDO",IF(D4670&lt;corte,"HISTÓRICO",IF(OR(AND(ISNUMBER(R4670),R4670&lt;TODAY()),AND(OR(N4670="PENDENTE",N4670="PARCIAL"),D4670&lt;TODAY()-1)),"CRÍTICO",IF(OR(AND(P4670&lt;&gt;"",S4670=""),AND(N4670="REALIZADO",M4670="PENDENTE"),AND(ISNUMBER(R4670),R4670=TODAY())),"ATENÇÃO",IF(N(K4670)=0,"PENDENTE","EM ANDAMENTO"))))))</f>
        <v/>
      </c>
      <c r="C4670" s="3">
        <f>IF(D4670="","",IF(V4670=0,"🟢 OK",IF(D4670&lt;corte,"⚪ HISTÓRICO (sem baixa)",IF(AND(ISNUMBER(R4670),R4670&lt;TODAY()),"🔴 PRAZO VENCIDO",IF(AND(OR(N4670="PENDENTE",N4670="PARCIAL"),D4670&lt;TODAY()-1),"🔴 EMBARQUE ATRASADO",IF(AND(N4670="REALIZADO",M4670="PENDENTE"),"🟡 EMBARCADO SEM FATURAR",IF(AND(P4670&lt;&gt;"",S4670="",OR(Q4670="",R4670="")),"🟡 PENDÊNCIA SEM RESPONSÁVEL/PRAZO",IF(AND(ISNUMBER(R4670),R4670=TODAY()),"🟡 VENCE HOJE",IF(AND(P4670&lt;&gt;"",S4670=""),"🟡 PENDÊNCIA ABERTA",IF(AND(N(J4670)&gt;0,N(K4670)&lt;J4670),"🟡 FALTA EXECUTAR",IF(OR(M4670="PENDENTE",M4670="PARCIAL"),"🟡 FATURAMENTO PENDENTE","🟡 EMBARQUE PENDENTE")))))))))))</f>
        <v/>
      </c>
      <c r="D4670" s="4" t="n"/>
      <c r="E4670" s="5" t="n"/>
      <c r="F4670" s="5" t="n"/>
      <c r="G4670" s="5" t="n"/>
      <c r="H4670" s="5" t="n"/>
      <c r="I4670" s="5" t="n"/>
      <c r="J4670" s="6" t="n"/>
      <c r="K4670" s="6" t="n"/>
      <c r="L4670" s="7">
        <f>IF(OR(D4670="",N(J4670)=0),"",MIN(1,N(K4670)/J4670))</f>
        <v/>
      </c>
      <c r="M4670" s="5" t="n"/>
      <c r="N4670" s="5" t="n"/>
      <c r="O4670" s="5" t="n"/>
      <c r="P4670" s="5" t="n"/>
      <c r="Q4670" s="5" t="n"/>
      <c r="R4670" s="4" t="n"/>
      <c r="S4670" s="4" t="n"/>
      <c r="T4670" s="5" t="n"/>
      <c r="U4670" s="8">
        <f>IF(AND(V4670=1,D4670&lt;&gt;""),IF(D4670&gt;=corte,TODAY()-D4670,""),"")</f>
        <v/>
      </c>
      <c r="V4670" s="8">
        <f>IF(D4670="",0,IF(OR(AND(P4670&lt;&gt;"",S4670=""),AND(N(J4670)&gt;0,N(K4670)&lt;J4670),OR(M4670="PENDENTE",M4670="PARCIAL"),OR(N4670="PENDENTE",N4670="PARCIAL")),1,0))</f>
        <v/>
      </c>
      <c r="W4670" s="8">
        <f>IF(AND(V4670=1,D4670&lt;&gt;""),IF(D4670&gt;=corte,(B4670="CRÍTICO")*1E9+(100000-D4670)*10000+10000-ROW(),""),"")</f>
        <v/>
      </c>
      <c r="X4670" s="8">
        <f>IF(AND(V4670=1,D4670=pas_data,E4670=pas_turno),10000-ROW(),"")</f>
        <v/>
      </c>
    </row>
    <row r="4671">
      <c r="A4671" s="3">
        <f>IF(D4671="","","TT-"&amp;TEXT(ROW()-1,"00000"))</f>
        <v/>
      </c>
      <c r="B4671" s="3">
        <f>IF(D4671="","",IF(V4671=0,"CONCLUÍDO",IF(D4671&lt;corte,"HISTÓRICO",IF(OR(AND(ISNUMBER(R4671),R4671&lt;TODAY()),AND(OR(N4671="PENDENTE",N4671="PARCIAL"),D4671&lt;TODAY()-1)),"CRÍTICO",IF(OR(AND(P4671&lt;&gt;"",S4671=""),AND(N4671="REALIZADO",M4671="PENDENTE"),AND(ISNUMBER(R4671),R4671=TODAY())),"ATENÇÃO",IF(N(K4671)=0,"PENDENTE","EM ANDAMENTO"))))))</f>
        <v/>
      </c>
      <c r="C4671" s="3">
        <f>IF(D4671="","",IF(V4671=0,"🟢 OK",IF(D4671&lt;corte,"⚪ HISTÓRICO (sem baixa)",IF(AND(ISNUMBER(R4671),R4671&lt;TODAY()),"🔴 PRAZO VENCIDO",IF(AND(OR(N4671="PENDENTE",N4671="PARCIAL"),D4671&lt;TODAY()-1),"🔴 EMBARQUE ATRASADO",IF(AND(N4671="REALIZADO",M4671="PENDENTE"),"🟡 EMBARCADO SEM FATURAR",IF(AND(P4671&lt;&gt;"",S4671="",OR(Q4671="",R4671="")),"🟡 PENDÊNCIA SEM RESPONSÁVEL/PRAZO",IF(AND(ISNUMBER(R4671),R4671=TODAY()),"🟡 VENCE HOJE",IF(AND(P4671&lt;&gt;"",S4671=""),"🟡 PENDÊNCIA ABERTA",IF(AND(N(J4671)&gt;0,N(K4671)&lt;J4671),"🟡 FALTA EXECUTAR",IF(OR(M4671="PENDENTE",M4671="PARCIAL"),"🟡 FATURAMENTO PENDENTE","🟡 EMBARQUE PENDENTE")))))))))))</f>
        <v/>
      </c>
      <c r="D4671" s="4" t="n"/>
      <c r="E4671" s="5" t="n"/>
      <c r="F4671" s="5" t="n"/>
      <c r="G4671" s="5" t="n"/>
      <c r="H4671" s="5" t="n"/>
      <c r="I4671" s="5" t="n"/>
      <c r="J4671" s="6" t="n"/>
      <c r="K4671" s="6" t="n"/>
      <c r="L4671" s="7">
        <f>IF(OR(D4671="",N(J4671)=0),"",MIN(1,N(K4671)/J4671))</f>
        <v/>
      </c>
      <c r="M4671" s="5" t="n"/>
      <c r="N4671" s="5" t="n"/>
      <c r="O4671" s="5" t="n"/>
      <c r="P4671" s="5" t="n"/>
      <c r="Q4671" s="5" t="n"/>
      <c r="R4671" s="4" t="n"/>
      <c r="S4671" s="4" t="n"/>
      <c r="T4671" s="5" t="n"/>
      <c r="U4671" s="8">
        <f>IF(AND(V4671=1,D4671&lt;&gt;""),IF(D4671&gt;=corte,TODAY()-D4671,""),"")</f>
        <v/>
      </c>
      <c r="V4671" s="8">
        <f>IF(D4671="",0,IF(OR(AND(P4671&lt;&gt;"",S4671=""),AND(N(J4671)&gt;0,N(K4671)&lt;J4671),OR(M4671="PENDENTE",M4671="PARCIAL"),OR(N4671="PENDENTE",N4671="PARCIAL")),1,0))</f>
        <v/>
      </c>
      <c r="W4671" s="8">
        <f>IF(AND(V4671=1,D4671&lt;&gt;""),IF(D4671&gt;=corte,(B4671="CRÍTICO")*1E9+(100000-D4671)*10000+10000-ROW(),""),"")</f>
        <v/>
      </c>
      <c r="X4671" s="8">
        <f>IF(AND(V4671=1,D4671=pas_data,E4671=pas_turno),10000-ROW(),"")</f>
        <v/>
      </c>
    </row>
    <row r="4672">
      <c r="A4672" s="3">
        <f>IF(D4672="","","TT-"&amp;TEXT(ROW()-1,"00000"))</f>
        <v/>
      </c>
      <c r="B4672" s="3">
        <f>IF(D4672="","",IF(V4672=0,"CONCLUÍDO",IF(D4672&lt;corte,"HISTÓRICO",IF(OR(AND(ISNUMBER(R4672),R4672&lt;TODAY()),AND(OR(N4672="PENDENTE",N4672="PARCIAL"),D4672&lt;TODAY()-1)),"CRÍTICO",IF(OR(AND(P4672&lt;&gt;"",S4672=""),AND(N4672="REALIZADO",M4672="PENDENTE"),AND(ISNUMBER(R4672),R4672=TODAY())),"ATENÇÃO",IF(N(K4672)=0,"PENDENTE","EM ANDAMENTO"))))))</f>
        <v/>
      </c>
      <c r="C4672" s="3">
        <f>IF(D4672="","",IF(V4672=0,"🟢 OK",IF(D4672&lt;corte,"⚪ HISTÓRICO (sem baixa)",IF(AND(ISNUMBER(R4672),R4672&lt;TODAY()),"🔴 PRAZO VENCIDO",IF(AND(OR(N4672="PENDENTE",N4672="PARCIAL"),D4672&lt;TODAY()-1),"🔴 EMBARQUE ATRASADO",IF(AND(N4672="REALIZADO",M4672="PENDENTE"),"🟡 EMBARCADO SEM FATURAR",IF(AND(P4672&lt;&gt;"",S4672="",OR(Q4672="",R4672="")),"🟡 PENDÊNCIA SEM RESPONSÁVEL/PRAZO",IF(AND(ISNUMBER(R4672),R4672=TODAY()),"🟡 VENCE HOJE",IF(AND(P4672&lt;&gt;"",S4672=""),"🟡 PENDÊNCIA ABERTA",IF(AND(N(J4672)&gt;0,N(K4672)&lt;J4672),"🟡 FALTA EXECUTAR",IF(OR(M4672="PENDENTE",M4672="PARCIAL"),"🟡 FATURAMENTO PENDENTE","🟡 EMBARQUE PENDENTE")))))))))))</f>
        <v/>
      </c>
      <c r="D4672" s="4" t="n"/>
      <c r="E4672" s="5" t="n"/>
      <c r="F4672" s="5" t="n"/>
      <c r="G4672" s="5" t="n"/>
      <c r="H4672" s="5" t="n"/>
      <c r="I4672" s="5" t="n"/>
      <c r="J4672" s="6" t="n"/>
      <c r="K4672" s="6" t="n"/>
      <c r="L4672" s="7">
        <f>IF(OR(D4672="",N(J4672)=0),"",MIN(1,N(K4672)/J4672))</f>
        <v/>
      </c>
      <c r="M4672" s="5" t="n"/>
      <c r="N4672" s="5" t="n"/>
      <c r="O4672" s="5" t="n"/>
      <c r="P4672" s="5" t="n"/>
      <c r="Q4672" s="5" t="n"/>
      <c r="R4672" s="4" t="n"/>
      <c r="S4672" s="4" t="n"/>
      <c r="T4672" s="5" t="n"/>
      <c r="U4672" s="8">
        <f>IF(AND(V4672=1,D4672&lt;&gt;""),IF(D4672&gt;=corte,TODAY()-D4672,""),"")</f>
        <v/>
      </c>
      <c r="V4672" s="8">
        <f>IF(D4672="",0,IF(OR(AND(P4672&lt;&gt;"",S4672=""),AND(N(J4672)&gt;0,N(K4672)&lt;J4672),OR(M4672="PENDENTE",M4672="PARCIAL"),OR(N4672="PENDENTE",N4672="PARCIAL")),1,0))</f>
        <v/>
      </c>
      <c r="W4672" s="8">
        <f>IF(AND(V4672=1,D4672&lt;&gt;""),IF(D4672&gt;=corte,(B4672="CRÍTICO")*1E9+(100000-D4672)*10000+10000-ROW(),""),"")</f>
        <v/>
      </c>
      <c r="X4672" s="8">
        <f>IF(AND(V4672=1,D4672=pas_data,E4672=pas_turno),10000-ROW(),"")</f>
        <v/>
      </c>
    </row>
    <row r="4673">
      <c r="A4673" s="3">
        <f>IF(D4673="","","TT-"&amp;TEXT(ROW()-1,"00000"))</f>
        <v/>
      </c>
      <c r="B4673" s="3">
        <f>IF(D4673="","",IF(V4673=0,"CONCLUÍDO",IF(D4673&lt;corte,"HISTÓRICO",IF(OR(AND(ISNUMBER(R4673),R4673&lt;TODAY()),AND(OR(N4673="PENDENTE",N4673="PARCIAL"),D4673&lt;TODAY()-1)),"CRÍTICO",IF(OR(AND(P4673&lt;&gt;"",S4673=""),AND(N4673="REALIZADO",M4673="PENDENTE"),AND(ISNUMBER(R4673),R4673=TODAY())),"ATENÇÃO",IF(N(K4673)=0,"PENDENTE","EM ANDAMENTO"))))))</f>
        <v/>
      </c>
      <c r="C4673" s="3">
        <f>IF(D4673="","",IF(V4673=0,"🟢 OK",IF(D4673&lt;corte,"⚪ HISTÓRICO (sem baixa)",IF(AND(ISNUMBER(R4673),R4673&lt;TODAY()),"🔴 PRAZO VENCIDO",IF(AND(OR(N4673="PENDENTE",N4673="PARCIAL"),D4673&lt;TODAY()-1),"🔴 EMBARQUE ATRASADO",IF(AND(N4673="REALIZADO",M4673="PENDENTE"),"🟡 EMBARCADO SEM FATURAR",IF(AND(P4673&lt;&gt;"",S4673="",OR(Q4673="",R4673="")),"🟡 PENDÊNCIA SEM RESPONSÁVEL/PRAZO",IF(AND(ISNUMBER(R4673),R4673=TODAY()),"🟡 VENCE HOJE",IF(AND(P4673&lt;&gt;"",S4673=""),"🟡 PENDÊNCIA ABERTA",IF(AND(N(J4673)&gt;0,N(K4673)&lt;J4673),"🟡 FALTA EXECUTAR",IF(OR(M4673="PENDENTE",M4673="PARCIAL"),"🟡 FATURAMENTO PENDENTE","🟡 EMBARQUE PENDENTE")))))))))))</f>
        <v/>
      </c>
      <c r="D4673" s="4" t="n"/>
      <c r="E4673" s="5" t="n"/>
      <c r="F4673" s="5" t="n"/>
      <c r="G4673" s="5" t="n"/>
      <c r="H4673" s="5" t="n"/>
      <c r="I4673" s="5" t="n"/>
      <c r="J4673" s="6" t="n"/>
      <c r="K4673" s="6" t="n"/>
      <c r="L4673" s="7">
        <f>IF(OR(D4673="",N(J4673)=0),"",MIN(1,N(K4673)/J4673))</f>
        <v/>
      </c>
      <c r="M4673" s="5" t="n"/>
      <c r="N4673" s="5" t="n"/>
      <c r="O4673" s="5" t="n"/>
      <c r="P4673" s="5" t="n"/>
      <c r="Q4673" s="5" t="n"/>
      <c r="R4673" s="4" t="n"/>
      <c r="S4673" s="4" t="n"/>
      <c r="T4673" s="5" t="n"/>
      <c r="U4673" s="8">
        <f>IF(AND(V4673=1,D4673&lt;&gt;""),IF(D4673&gt;=corte,TODAY()-D4673,""),"")</f>
        <v/>
      </c>
      <c r="V4673" s="8">
        <f>IF(D4673="",0,IF(OR(AND(P4673&lt;&gt;"",S4673=""),AND(N(J4673)&gt;0,N(K4673)&lt;J4673),OR(M4673="PENDENTE",M4673="PARCIAL"),OR(N4673="PENDENTE",N4673="PARCIAL")),1,0))</f>
        <v/>
      </c>
      <c r="W4673" s="8">
        <f>IF(AND(V4673=1,D4673&lt;&gt;""),IF(D4673&gt;=corte,(B4673="CRÍTICO")*1E9+(100000-D4673)*10000+10000-ROW(),""),"")</f>
        <v/>
      </c>
      <c r="X4673" s="8">
        <f>IF(AND(V4673=1,D4673=pas_data,E4673=pas_turno),10000-ROW(),"")</f>
        <v/>
      </c>
    </row>
    <row r="4674">
      <c r="A4674" s="3">
        <f>IF(D4674="","","TT-"&amp;TEXT(ROW()-1,"00000"))</f>
        <v/>
      </c>
      <c r="B4674" s="3">
        <f>IF(D4674="","",IF(V4674=0,"CONCLUÍDO",IF(D4674&lt;corte,"HISTÓRICO",IF(OR(AND(ISNUMBER(R4674),R4674&lt;TODAY()),AND(OR(N4674="PENDENTE",N4674="PARCIAL"),D4674&lt;TODAY()-1)),"CRÍTICO",IF(OR(AND(P4674&lt;&gt;"",S4674=""),AND(N4674="REALIZADO",M4674="PENDENTE"),AND(ISNUMBER(R4674),R4674=TODAY())),"ATENÇÃO",IF(N(K4674)=0,"PENDENTE","EM ANDAMENTO"))))))</f>
        <v/>
      </c>
      <c r="C4674" s="3">
        <f>IF(D4674="","",IF(V4674=0,"🟢 OK",IF(D4674&lt;corte,"⚪ HISTÓRICO (sem baixa)",IF(AND(ISNUMBER(R4674),R4674&lt;TODAY()),"🔴 PRAZO VENCIDO",IF(AND(OR(N4674="PENDENTE",N4674="PARCIAL"),D4674&lt;TODAY()-1),"🔴 EMBARQUE ATRASADO",IF(AND(N4674="REALIZADO",M4674="PENDENTE"),"🟡 EMBARCADO SEM FATURAR",IF(AND(P4674&lt;&gt;"",S4674="",OR(Q4674="",R4674="")),"🟡 PENDÊNCIA SEM RESPONSÁVEL/PRAZO",IF(AND(ISNUMBER(R4674),R4674=TODAY()),"🟡 VENCE HOJE",IF(AND(P4674&lt;&gt;"",S4674=""),"🟡 PENDÊNCIA ABERTA",IF(AND(N(J4674)&gt;0,N(K4674)&lt;J4674),"🟡 FALTA EXECUTAR",IF(OR(M4674="PENDENTE",M4674="PARCIAL"),"🟡 FATURAMENTO PENDENTE","🟡 EMBARQUE PENDENTE")))))))))))</f>
        <v/>
      </c>
      <c r="D4674" s="4" t="n"/>
      <c r="E4674" s="5" t="n"/>
      <c r="F4674" s="5" t="n"/>
      <c r="G4674" s="5" t="n"/>
      <c r="H4674" s="5" t="n"/>
      <c r="I4674" s="5" t="n"/>
      <c r="J4674" s="6" t="n"/>
      <c r="K4674" s="6" t="n"/>
      <c r="L4674" s="7">
        <f>IF(OR(D4674="",N(J4674)=0),"",MIN(1,N(K4674)/J4674))</f>
        <v/>
      </c>
      <c r="M4674" s="5" t="n"/>
      <c r="N4674" s="5" t="n"/>
      <c r="O4674" s="5" t="n"/>
      <c r="P4674" s="5" t="n"/>
      <c r="Q4674" s="5" t="n"/>
      <c r="R4674" s="4" t="n"/>
      <c r="S4674" s="4" t="n"/>
      <c r="T4674" s="5" t="n"/>
      <c r="U4674" s="8">
        <f>IF(AND(V4674=1,D4674&lt;&gt;""),IF(D4674&gt;=corte,TODAY()-D4674,""),"")</f>
        <v/>
      </c>
      <c r="V4674" s="8">
        <f>IF(D4674="",0,IF(OR(AND(P4674&lt;&gt;"",S4674=""),AND(N(J4674)&gt;0,N(K4674)&lt;J4674),OR(M4674="PENDENTE",M4674="PARCIAL"),OR(N4674="PENDENTE",N4674="PARCIAL")),1,0))</f>
        <v/>
      </c>
      <c r="W4674" s="8">
        <f>IF(AND(V4674=1,D4674&lt;&gt;""),IF(D4674&gt;=corte,(B4674="CRÍTICO")*1E9+(100000-D4674)*10000+10000-ROW(),""),"")</f>
        <v/>
      </c>
      <c r="X4674" s="8">
        <f>IF(AND(V4674=1,D4674=pas_data,E4674=pas_turno),10000-ROW(),"")</f>
        <v/>
      </c>
    </row>
    <row r="4675">
      <c r="A4675" s="3">
        <f>IF(D4675="","","TT-"&amp;TEXT(ROW()-1,"00000"))</f>
        <v/>
      </c>
      <c r="B4675" s="3">
        <f>IF(D4675="","",IF(V4675=0,"CONCLUÍDO",IF(D4675&lt;corte,"HISTÓRICO",IF(OR(AND(ISNUMBER(R4675),R4675&lt;TODAY()),AND(OR(N4675="PENDENTE",N4675="PARCIAL"),D4675&lt;TODAY()-1)),"CRÍTICO",IF(OR(AND(P4675&lt;&gt;"",S4675=""),AND(N4675="REALIZADO",M4675="PENDENTE"),AND(ISNUMBER(R4675),R4675=TODAY())),"ATENÇÃO",IF(N(K4675)=0,"PENDENTE","EM ANDAMENTO"))))))</f>
        <v/>
      </c>
      <c r="C4675" s="3">
        <f>IF(D4675="","",IF(V4675=0,"🟢 OK",IF(D4675&lt;corte,"⚪ HISTÓRICO (sem baixa)",IF(AND(ISNUMBER(R4675),R4675&lt;TODAY()),"🔴 PRAZO VENCIDO",IF(AND(OR(N4675="PENDENTE",N4675="PARCIAL"),D4675&lt;TODAY()-1),"🔴 EMBARQUE ATRASADO",IF(AND(N4675="REALIZADO",M4675="PENDENTE"),"🟡 EMBARCADO SEM FATURAR",IF(AND(P4675&lt;&gt;"",S4675="",OR(Q4675="",R4675="")),"🟡 PENDÊNCIA SEM RESPONSÁVEL/PRAZO",IF(AND(ISNUMBER(R4675),R4675=TODAY()),"🟡 VENCE HOJE",IF(AND(P4675&lt;&gt;"",S4675=""),"🟡 PENDÊNCIA ABERTA",IF(AND(N(J4675)&gt;0,N(K4675)&lt;J4675),"🟡 FALTA EXECUTAR",IF(OR(M4675="PENDENTE",M4675="PARCIAL"),"🟡 FATURAMENTO PENDENTE","🟡 EMBARQUE PENDENTE")))))))))))</f>
        <v/>
      </c>
      <c r="D4675" s="4" t="n"/>
      <c r="E4675" s="5" t="n"/>
      <c r="F4675" s="5" t="n"/>
      <c r="G4675" s="5" t="n"/>
      <c r="H4675" s="5" t="n"/>
      <c r="I4675" s="5" t="n"/>
      <c r="J4675" s="6" t="n"/>
      <c r="K4675" s="6" t="n"/>
      <c r="L4675" s="7">
        <f>IF(OR(D4675="",N(J4675)=0),"",MIN(1,N(K4675)/J4675))</f>
        <v/>
      </c>
      <c r="M4675" s="5" t="n"/>
      <c r="N4675" s="5" t="n"/>
      <c r="O4675" s="5" t="n"/>
      <c r="P4675" s="5" t="n"/>
      <c r="Q4675" s="5" t="n"/>
      <c r="R4675" s="4" t="n"/>
      <c r="S4675" s="4" t="n"/>
      <c r="T4675" s="5" t="n"/>
      <c r="U4675" s="8">
        <f>IF(AND(V4675=1,D4675&lt;&gt;""),IF(D4675&gt;=corte,TODAY()-D4675,""),"")</f>
        <v/>
      </c>
      <c r="V4675" s="8">
        <f>IF(D4675="",0,IF(OR(AND(P4675&lt;&gt;"",S4675=""),AND(N(J4675)&gt;0,N(K4675)&lt;J4675),OR(M4675="PENDENTE",M4675="PARCIAL"),OR(N4675="PENDENTE",N4675="PARCIAL")),1,0))</f>
        <v/>
      </c>
      <c r="W4675" s="8">
        <f>IF(AND(V4675=1,D4675&lt;&gt;""),IF(D4675&gt;=corte,(B4675="CRÍTICO")*1E9+(100000-D4675)*10000+10000-ROW(),""),"")</f>
        <v/>
      </c>
      <c r="X4675" s="8">
        <f>IF(AND(V4675=1,D4675=pas_data,E4675=pas_turno),10000-ROW(),"")</f>
        <v/>
      </c>
    </row>
    <row r="4676">
      <c r="A4676" s="3">
        <f>IF(D4676="","","TT-"&amp;TEXT(ROW()-1,"00000"))</f>
        <v/>
      </c>
      <c r="B4676" s="3">
        <f>IF(D4676="","",IF(V4676=0,"CONCLUÍDO",IF(D4676&lt;corte,"HISTÓRICO",IF(OR(AND(ISNUMBER(R4676),R4676&lt;TODAY()),AND(OR(N4676="PENDENTE",N4676="PARCIAL"),D4676&lt;TODAY()-1)),"CRÍTICO",IF(OR(AND(P4676&lt;&gt;"",S4676=""),AND(N4676="REALIZADO",M4676="PENDENTE"),AND(ISNUMBER(R4676),R4676=TODAY())),"ATENÇÃO",IF(N(K4676)=0,"PENDENTE","EM ANDAMENTO"))))))</f>
        <v/>
      </c>
      <c r="C4676" s="3">
        <f>IF(D4676="","",IF(V4676=0,"🟢 OK",IF(D4676&lt;corte,"⚪ HISTÓRICO (sem baixa)",IF(AND(ISNUMBER(R4676),R4676&lt;TODAY()),"🔴 PRAZO VENCIDO",IF(AND(OR(N4676="PENDENTE",N4676="PARCIAL"),D4676&lt;TODAY()-1),"🔴 EMBARQUE ATRASADO",IF(AND(N4676="REALIZADO",M4676="PENDENTE"),"🟡 EMBARCADO SEM FATURAR",IF(AND(P4676&lt;&gt;"",S4676="",OR(Q4676="",R4676="")),"🟡 PENDÊNCIA SEM RESPONSÁVEL/PRAZO",IF(AND(ISNUMBER(R4676),R4676=TODAY()),"🟡 VENCE HOJE",IF(AND(P4676&lt;&gt;"",S4676=""),"🟡 PENDÊNCIA ABERTA",IF(AND(N(J4676)&gt;0,N(K4676)&lt;J4676),"🟡 FALTA EXECUTAR",IF(OR(M4676="PENDENTE",M4676="PARCIAL"),"🟡 FATURAMENTO PENDENTE","🟡 EMBARQUE PENDENTE")))))))))))</f>
        <v/>
      </c>
      <c r="D4676" s="4" t="n"/>
      <c r="E4676" s="5" t="n"/>
      <c r="F4676" s="5" t="n"/>
      <c r="G4676" s="5" t="n"/>
      <c r="H4676" s="5" t="n"/>
      <c r="I4676" s="5" t="n"/>
      <c r="J4676" s="6" t="n"/>
      <c r="K4676" s="6" t="n"/>
      <c r="L4676" s="7">
        <f>IF(OR(D4676="",N(J4676)=0),"",MIN(1,N(K4676)/J4676))</f>
        <v/>
      </c>
      <c r="M4676" s="5" t="n"/>
      <c r="N4676" s="5" t="n"/>
      <c r="O4676" s="5" t="n"/>
      <c r="P4676" s="5" t="n"/>
      <c r="Q4676" s="5" t="n"/>
      <c r="R4676" s="4" t="n"/>
      <c r="S4676" s="4" t="n"/>
      <c r="T4676" s="5" t="n"/>
      <c r="U4676" s="8">
        <f>IF(AND(V4676=1,D4676&lt;&gt;""),IF(D4676&gt;=corte,TODAY()-D4676,""),"")</f>
        <v/>
      </c>
      <c r="V4676" s="8">
        <f>IF(D4676="",0,IF(OR(AND(P4676&lt;&gt;"",S4676=""),AND(N(J4676)&gt;0,N(K4676)&lt;J4676),OR(M4676="PENDENTE",M4676="PARCIAL"),OR(N4676="PENDENTE",N4676="PARCIAL")),1,0))</f>
        <v/>
      </c>
      <c r="W4676" s="8">
        <f>IF(AND(V4676=1,D4676&lt;&gt;""),IF(D4676&gt;=corte,(B4676="CRÍTICO")*1E9+(100000-D4676)*10000+10000-ROW(),""),"")</f>
        <v/>
      </c>
      <c r="X4676" s="8">
        <f>IF(AND(V4676=1,D4676=pas_data,E4676=pas_turno),10000-ROW(),"")</f>
        <v/>
      </c>
    </row>
    <row r="4677">
      <c r="A4677" s="3">
        <f>IF(D4677="","","TT-"&amp;TEXT(ROW()-1,"00000"))</f>
        <v/>
      </c>
      <c r="B4677" s="3">
        <f>IF(D4677="","",IF(V4677=0,"CONCLUÍDO",IF(D4677&lt;corte,"HISTÓRICO",IF(OR(AND(ISNUMBER(R4677),R4677&lt;TODAY()),AND(OR(N4677="PENDENTE",N4677="PARCIAL"),D4677&lt;TODAY()-1)),"CRÍTICO",IF(OR(AND(P4677&lt;&gt;"",S4677=""),AND(N4677="REALIZADO",M4677="PENDENTE"),AND(ISNUMBER(R4677),R4677=TODAY())),"ATENÇÃO",IF(N(K4677)=0,"PENDENTE","EM ANDAMENTO"))))))</f>
        <v/>
      </c>
      <c r="C4677" s="3">
        <f>IF(D4677="","",IF(V4677=0,"🟢 OK",IF(D4677&lt;corte,"⚪ HISTÓRICO (sem baixa)",IF(AND(ISNUMBER(R4677),R4677&lt;TODAY()),"🔴 PRAZO VENCIDO",IF(AND(OR(N4677="PENDENTE",N4677="PARCIAL"),D4677&lt;TODAY()-1),"🔴 EMBARQUE ATRASADO",IF(AND(N4677="REALIZADO",M4677="PENDENTE"),"🟡 EMBARCADO SEM FATURAR",IF(AND(P4677&lt;&gt;"",S4677="",OR(Q4677="",R4677="")),"🟡 PENDÊNCIA SEM RESPONSÁVEL/PRAZO",IF(AND(ISNUMBER(R4677),R4677=TODAY()),"🟡 VENCE HOJE",IF(AND(P4677&lt;&gt;"",S4677=""),"🟡 PENDÊNCIA ABERTA",IF(AND(N(J4677)&gt;0,N(K4677)&lt;J4677),"🟡 FALTA EXECUTAR",IF(OR(M4677="PENDENTE",M4677="PARCIAL"),"🟡 FATURAMENTO PENDENTE","🟡 EMBARQUE PENDENTE")))))))))))</f>
        <v/>
      </c>
      <c r="D4677" s="4" t="n"/>
      <c r="E4677" s="5" t="n"/>
      <c r="F4677" s="5" t="n"/>
      <c r="G4677" s="5" t="n"/>
      <c r="H4677" s="5" t="n"/>
      <c r="I4677" s="5" t="n"/>
      <c r="J4677" s="6" t="n"/>
      <c r="K4677" s="6" t="n"/>
      <c r="L4677" s="7">
        <f>IF(OR(D4677="",N(J4677)=0),"",MIN(1,N(K4677)/J4677))</f>
        <v/>
      </c>
      <c r="M4677" s="5" t="n"/>
      <c r="N4677" s="5" t="n"/>
      <c r="O4677" s="5" t="n"/>
      <c r="P4677" s="5" t="n"/>
      <c r="Q4677" s="5" t="n"/>
      <c r="R4677" s="4" t="n"/>
      <c r="S4677" s="4" t="n"/>
      <c r="T4677" s="5" t="n"/>
      <c r="U4677" s="8">
        <f>IF(AND(V4677=1,D4677&lt;&gt;""),IF(D4677&gt;=corte,TODAY()-D4677,""),"")</f>
        <v/>
      </c>
      <c r="V4677" s="8">
        <f>IF(D4677="",0,IF(OR(AND(P4677&lt;&gt;"",S4677=""),AND(N(J4677)&gt;0,N(K4677)&lt;J4677),OR(M4677="PENDENTE",M4677="PARCIAL"),OR(N4677="PENDENTE",N4677="PARCIAL")),1,0))</f>
        <v/>
      </c>
      <c r="W4677" s="8">
        <f>IF(AND(V4677=1,D4677&lt;&gt;""),IF(D4677&gt;=corte,(B4677="CRÍTICO")*1E9+(100000-D4677)*10000+10000-ROW(),""),"")</f>
        <v/>
      </c>
      <c r="X4677" s="8">
        <f>IF(AND(V4677=1,D4677=pas_data,E4677=pas_turno),10000-ROW(),"")</f>
        <v/>
      </c>
    </row>
    <row r="4678">
      <c r="A4678" s="3">
        <f>IF(D4678="","","TT-"&amp;TEXT(ROW()-1,"00000"))</f>
        <v/>
      </c>
      <c r="B4678" s="3">
        <f>IF(D4678="","",IF(V4678=0,"CONCLUÍDO",IF(D4678&lt;corte,"HISTÓRICO",IF(OR(AND(ISNUMBER(R4678),R4678&lt;TODAY()),AND(OR(N4678="PENDENTE",N4678="PARCIAL"),D4678&lt;TODAY()-1)),"CRÍTICO",IF(OR(AND(P4678&lt;&gt;"",S4678=""),AND(N4678="REALIZADO",M4678="PENDENTE"),AND(ISNUMBER(R4678),R4678=TODAY())),"ATENÇÃO",IF(N(K4678)=0,"PENDENTE","EM ANDAMENTO"))))))</f>
        <v/>
      </c>
      <c r="C4678" s="3">
        <f>IF(D4678="","",IF(V4678=0,"🟢 OK",IF(D4678&lt;corte,"⚪ HISTÓRICO (sem baixa)",IF(AND(ISNUMBER(R4678),R4678&lt;TODAY()),"🔴 PRAZO VENCIDO",IF(AND(OR(N4678="PENDENTE",N4678="PARCIAL"),D4678&lt;TODAY()-1),"🔴 EMBARQUE ATRASADO",IF(AND(N4678="REALIZADO",M4678="PENDENTE"),"🟡 EMBARCADO SEM FATURAR",IF(AND(P4678&lt;&gt;"",S4678="",OR(Q4678="",R4678="")),"🟡 PENDÊNCIA SEM RESPONSÁVEL/PRAZO",IF(AND(ISNUMBER(R4678),R4678=TODAY()),"🟡 VENCE HOJE",IF(AND(P4678&lt;&gt;"",S4678=""),"🟡 PENDÊNCIA ABERTA",IF(AND(N(J4678)&gt;0,N(K4678)&lt;J4678),"🟡 FALTA EXECUTAR",IF(OR(M4678="PENDENTE",M4678="PARCIAL"),"🟡 FATURAMENTO PENDENTE","🟡 EMBARQUE PENDENTE")))))))))))</f>
        <v/>
      </c>
      <c r="D4678" s="4" t="n"/>
      <c r="E4678" s="5" t="n"/>
      <c r="F4678" s="5" t="n"/>
      <c r="G4678" s="5" t="n"/>
      <c r="H4678" s="5" t="n"/>
      <c r="I4678" s="5" t="n"/>
      <c r="J4678" s="6" t="n"/>
      <c r="K4678" s="6" t="n"/>
      <c r="L4678" s="7">
        <f>IF(OR(D4678="",N(J4678)=0),"",MIN(1,N(K4678)/J4678))</f>
        <v/>
      </c>
      <c r="M4678" s="5" t="n"/>
      <c r="N4678" s="5" t="n"/>
      <c r="O4678" s="5" t="n"/>
      <c r="P4678" s="5" t="n"/>
      <c r="Q4678" s="5" t="n"/>
      <c r="R4678" s="4" t="n"/>
      <c r="S4678" s="4" t="n"/>
      <c r="T4678" s="5" t="n"/>
      <c r="U4678" s="8">
        <f>IF(AND(V4678=1,D4678&lt;&gt;""),IF(D4678&gt;=corte,TODAY()-D4678,""),"")</f>
        <v/>
      </c>
      <c r="V4678" s="8">
        <f>IF(D4678="",0,IF(OR(AND(P4678&lt;&gt;"",S4678=""),AND(N(J4678)&gt;0,N(K4678)&lt;J4678),OR(M4678="PENDENTE",M4678="PARCIAL"),OR(N4678="PENDENTE",N4678="PARCIAL")),1,0))</f>
        <v/>
      </c>
      <c r="W4678" s="8">
        <f>IF(AND(V4678=1,D4678&lt;&gt;""),IF(D4678&gt;=corte,(B4678="CRÍTICO")*1E9+(100000-D4678)*10000+10000-ROW(),""),"")</f>
        <v/>
      </c>
      <c r="X4678" s="8">
        <f>IF(AND(V4678=1,D4678=pas_data,E4678=pas_turno),10000-ROW(),"")</f>
        <v/>
      </c>
    </row>
    <row r="4679">
      <c r="A4679" s="3">
        <f>IF(D4679="","","TT-"&amp;TEXT(ROW()-1,"00000"))</f>
        <v/>
      </c>
      <c r="B4679" s="3">
        <f>IF(D4679="","",IF(V4679=0,"CONCLUÍDO",IF(D4679&lt;corte,"HISTÓRICO",IF(OR(AND(ISNUMBER(R4679),R4679&lt;TODAY()),AND(OR(N4679="PENDENTE",N4679="PARCIAL"),D4679&lt;TODAY()-1)),"CRÍTICO",IF(OR(AND(P4679&lt;&gt;"",S4679=""),AND(N4679="REALIZADO",M4679="PENDENTE"),AND(ISNUMBER(R4679),R4679=TODAY())),"ATENÇÃO",IF(N(K4679)=0,"PENDENTE","EM ANDAMENTO"))))))</f>
        <v/>
      </c>
      <c r="C4679" s="3">
        <f>IF(D4679="","",IF(V4679=0,"🟢 OK",IF(D4679&lt;corte,"⚪ HISTÓRICO (sem baixa)",IF(AND(ISNUMBER(R4679),R4679&lt;TODAY()),"🔴 PRAZO VENCIDO",IF(AND(OR(N4679="PENDENTE",N4679="PARCIAL"),D4679&lt;TODAY()-1),"🔴 EMBARQUE ATRASADO",IF(AND(N4679="REALIZADO",M4679="PENDENTE"),"🟡 EMBARCADO SEM FATURAR",IF(AND(P4679&lt;&gt;"",S4679="",OR(Q4679="",R4679="")),"🟡 PENDÊNCIA SEM RESPONSÁVEL/PRAZO",IF(AND(ISNUMBER(R4679),R4679=TODAY()),"🟡 VENCE HOJE",IF(AND(P4679&lt;&gt;"",S4679=""),"🟡 PENDÊNCIA ABERTA",IF(AND(N(J4679)&gt;0,N(K4679)&lt;J4679),"🟡 FALTA EXECUTAR",IF(OR(M4679="PENDENTE",M4679="PARCIAL"),"🟡 FATURAMENTO PENDENTE","🟡 EMBARQUE PENDENTE")))))))))))</f>
        <v/>
      </c>
      <c r="D4679" s="4" t="n"/>
      <c r="E4679" s="5" t="n"/>
      <c r="F4679" s="5" t="n"/>
      <c r="G4679" s="5" t="n"/>
      <c r="H4679" s="5" t="n"/>
      <c r="I4679" s="5" t="n"/>
      <c r="J4679" s="6" t="n"/>
      <c r="K4679" s="6" t="n"/>
      <c r="L4679" s="7">
        <f>IF(OR(D4679="",N(J4679)=0),"",MIN(1,N(K4679)/J4679))</f>
        <v/>
      </c>
      <c r="M4679" s="5" t="n"/>
      <c r="N4679" s="5" t="n"/>
      <c r="O4679" s="5" t="n"/>
      <c r="P4679" s="5" t="n"/>
      <c r="Q4679" s="5" t="n"/>
      <c r="R4679" s="4" t="n"/>
      <c r="S4679" s="4" t="n"/>
      <c r="T4679" s="5" t="n"/>
      <c r="U4679" s="8">
        <f>IF(AND(V4679=1,D4679&lt;&gt;""),IF(D4679&gt;=corte,TODAY()-D4679,""),"")</f>
        <v/>
      </c>
      <c r="V4679" s="8">
        <f>IF(D4679="",0,IF(OR(AND(P4679&lt;&gt;"",S4679=""),AND(N(J4679)&gt;0,N(K4679)&lt;J4679),OR(M4679="PENDENTE",M4679="PARCIAL"),OR(N4679="PENDENTE",N4679="PARCIAL")),1,0))</f>
        <v/>
      </c>
      <c r="W4679" s="8">
        <f>IF(AND(V4679=1,D4679&lt;&gt;""),IF(D4679&gt;=corte,(B4679="CRÍTICO")*1E9+(100000-D4679)*10000+10000-ROW(),""),"")</f>
        <v/>
      </c>
      <c r="X4679" s="8">
        <f>IF(AND(V4679=1,D4679=pas_data,E4679=pas_turno),10000-ROW(),"")</f>
        <v/>
      </c>
    </row>
    <row r="4680">
      <c r="A4680" s="3">
        <f>IF(D4680="","","TT-"&amp;TEXT(ROW()-1,"00000"))</f>
        <v/>
      </c>
      <c r="B4680" s="3">
        <f>IF(D4680="","",IF(V4680=0,"CONCLUÍDO",IF(D4680&lt;corte,"HISTÓRICO",IF(OR(AND(ISNUMBER(R4680),R4680&lt;TODAY()),AND(OR(N4680="PENDENTE",N4680="PARCIAL"),D4680&lt;TODAY()-1)),"CRÍTICO",IF(OR(AND(P4680&lt;&gt;"",S4680=""),AND(N4680="REALIZADO",M4680="PENDENTE"),AND(ISNUMBER(R4680),R4680=TODAY())),"ATENÇÃO",IF(N(K4680)=0,"PENDENTE","EM ANDAMENTO"))))))</f>
        <v/>
      </c>
      <c r="C4680" s="3">
        <f>IF(D4680="","",IF(V4680=0,"🟢 OK",IF(D4680&lt;corte,"⚪ HISTÓRICO (sem baixa)",IF(AND(ISNUMBER(R4680),R4680&lt;TODAY()),"🔴 PRAZO VENCIDO",IF(AND(OR(N4680="PENDENTE",N4680="PARCIAL"),D4680&lt;TODAY()-1),"🔴 EMBARQUE ATRASADO",IF(AND(N4680="REALIZADO",M4680="PENDENTE"),"🟡 EMBARCADO SEM FATURAR",IF(AND(P4680&lt;&gt;"",S4680="",OR(Q4680="",R4680="")),"🟡 PENDÊNCIA SEM RESPONSÁVEL/PRAZO",IF(AND(ISNUMBER(R4680),R4680=TODAY()),"🟡 VENCE HOJE",IF(AND(P4680&lt;&gt;"",S4680=""),"🟡 PENDÊNCIA ABERTA",IF(AND(N(J4680)&gt;0,N(K4680)&lt;J4680),"🟡 FALTA EXECUTAR",IF(OR(M4680="PENDENTE",M4680="PARCIAL"),"🟡 FATURAMENTO PENDENTE","🟡 EMBARQUE PENDENTE")))))))))))</f>
        <v/>
      </c>
      <c r="D4680" s="4" t="n"/>
      <c r="E4680" s="5" t="n"/>
      <c r="F4680" s="5" t="n"/>
      <c r="G4680" s="5" t="n"/>
      <c r="H4680" s="5" t="n"/>
      <c r="I4680" s="5" t="n"/>
      <c r="J4680" s="6" t="n"/>
      <c r="K4680" s="6" t="n"/>
      <c r="L4680" s="7">
        <f>IF(OR(D4680="",N(J4680)=0),"",MIN(1,N(K4680)/J4680))</f>
        <v/>
      </c>
      <c r="M4680" s="5" t="n"/>
      <c r="N4680" s="5" t="n"/>
      <c r="O4680" s="5" t="n"/>
      <c r="P4680" s="5" t="n"/>
      <c r="Q4680" s="5" t="n"/>
      <c r="R4680" s="4" t="n"/>
      <c r="S4680" s="4" t="n"/>
      <c r="T4680" s="5" t="n"/>
      <c r="U4680" s="8">
        <f>IF(AND(V4680=1,D4680&lt;&gt;""),IF(D4680&gt;=corte,TODAY()-D4680,""),"")</f>
        <v/>
      </c>
      <c r="V4680" s="8">
        <f>IF(D4680="",0,IF(OR(AND(P4680&lt;&gt;"",S4680=""),AND(N(J4680)&gt;0,N(K4680)&lt;J4680),OR(M4680="PENDENTE",M4680="PARCIAL"),OR(N4680="PENDENTE",N4680="PARCIAL")),1,0))</f>
        <v/>
      </c>
      <c r="W4680" s="8">
        <f>IF(AND(V4680=1,D4680&lt;&gt;""),IF(D4680&gt;=corte,(B4680="CRÍTICO")*1E9+(100000-D4680)*10000+10000-ROW(),""),"")</f>
        <v/>
      </c>
      <c r="X4680" s="8">
        <f>IF(AND(V4680=1,D4680=pas_data,E4680=pas_turno),10000-ROW(),"")</f>
        <v/>
      </c>
    </row>
    <row r="4681">
      <c r="A4681" s="3">
        <f>IF(D4681="","","TT-"&amp;TEXT(ROW()-1,"00000"))</f>
        <v/>
      </c>
      <c r="B4681" s="3">
        <f>IF(D4681="","",IF(V4681=0,"CONCLUÍDO",IF(D4681&lt;corte,"HISTÓRICO",IF(OR(AND(ISNUMBER(R4681),R4681&lt;TODAY()),AND(OR(N4681="PENDENTE",N4681="PARCIAL"),D4681&lt;TODAY()-1)),"CRÍTICO",IF(OR(AND(P4681&lt;&gt;"",S4681=""),AND(N4681="REALIZADO",M4681="PENDENTE"),AND(ISNUMBER(R4681),R4681=TODAY())),"ATENÇÃO",IF(N(K4681)=0,"PENDENTE","EM ANDAMENTO"))))))</f>
        <v/>
      </c>
      <c r="C4681" s="3">
        <f>IF(D4681="","",IF(V4681=0,"🟢 OK",IF(D4681&lt;corte,"⚪ HISTÓRICO (sem baixa)",IF(AND(ISNUMBER(R4681),R4681&lt;TODAY()),"🔴 PRAZO VENCIDO",IF(AND(OR(N4681="PENDENTE",N4681="PARCIAL"),D4681&lt;TODAY()-1),"🔴 EMBARQUE ATRASADO",IF(AND(N4681="REALIZADO",M4681="PENDENTE"),"🟡 EMBARCADO SEM FATURAR",IF(AND(P4681&lt;&gt;"",S4681="",OR(Q4681="",R4681="")),"🟡 PENDÊNCIA SEM RESPONSÁVEL/PRAZO",IF(AND(ISNUMBER(R4681),R4681=TODAY()),"🟡 VENCE HOJE",IF(AND(P4681&lt;&gt;"",S4681=""),"🟡 PENDÊNCIA ABERTA",IF(AND(N(J4681)&gt;0,N(K4681)&lt;J4681),"🟡 FALTA EXECUTAR",IF(OR(M4681="PENDENTE",M4681="PARCIAL"),"🟡 FATURAMENTO PENDENTE","🟡 EMBARQUE PENDENTE")))))))))))</f>
        <v/>
      </c>
      <c r="D4681" s="4" t="n"/>
      <c r="E4681" s="5" t="n"/>
      <c r="F4681" s="5" t="n"/>
      <c r="G4681" s="5" t="n"/>
      <c r="H4681" s="5" t="n"/>
      <c r="I4681" s="5" t="n"/>
      <c r="J4681" s="6" t="n"/>
      <c r="K4681" s="6" t="n"/>
      <c r="L4681" s="7">
        <f>IF(OR(D4681="",N(J4681)=0),"",MIN(1,N(K4681)/J4681))</f>
        <v/>
      </c>
      <c r="M4681" s="5" t="n"/>
      <c r="N4681" s="5" t="n"/>
      <c r="O4681" s="5" t="n"/>
      <c r="P4681" s="5" t="n"/>
      <c r="Q4681" s="5" t="n"/>
      <c r="R4681" s="4" t="n"/>
      <c r="S4681" s="4" t="n"/>
      <c r="T4681" s="5" t="n"/>
      <c r="U4681" s="8">
        <f>IF(AND(V4681=1,D4681&lt;&gt;""),IF(D4681&gt;=corte,TODAY()-D4681,""),"")</f>
        <v/>
      </c>
      <c r="V4681" s="8">
        <f>IF(D4681="",0,IF(OR(AND(P4681&lt;&gt;"",S4681=""),AND(N(J4681)&gt;0,N(K4681)&lt;J4681),OR(M4681="PENDENTE",M4681="PARCIAL"),OR(N4681="PENDENTE",N4681="PARCIAL")),1,0))</f>
        <v/>
      </c>
      <c r="W4681" s="8">
        <f>IF(AND(V4681=1,D4681&lt;&gt;""),IF(D4681&gt;=corte,(B4681="CRÍTICO")*1E9+(100000-D4681)*10000+10000-ROW(),""),"")</f>
        <v/>
      </c>
      <c r="X4681" s="8">
        <f>IF(AND(V4681=1,D4681=pas_data,E4681=pas_turno),10000-ROW(),"")</f>
        <v/>
      </c>
    </row>
    <row r="4682">
      <c r="A4682" s="3">
        <f>IF(D4682="","","TT-"&amp;TEXT(ROW()-1,"00000"))</f>
        <v/>
      </c>
      <c r="B4682" s="3">
        <f>IF(D4682="","",IF(V4682=0,"CONCLUÍDO",IF(D4682&lt;corte,"HISTÓRICO",IF(OR(AND(ISNUMBER(R4682),R4682&lt;TODAY()),AND(OR(N4682="PENDENTE",N4682="PARCIAL"),D4682&lt;TODAY()-1)),"CRÍTICO",IF(OR(AND(P4682&lt;&gt;"",S4682=""),AND(N4682="REALIZADO",M4682="PENDENTE"),AND(ISNUMBER(R4682),R4682=TODAY())),"ATENÇÃO",IF(N(K4682)=0,"PENDENTE","EM ANDAMENTO"))))))</f>
        <v/>
      </c>
      <c r="C4682" s="3">
        <f>IF(D4682="","",IF(V4682=0,"🟢 OK",IF(D4682&lt;corte,"⚪ HISTÓRICO (sem baixa)",IF(AND(ISNUMBER(R4682),R4682&lt;TODAY()),"🔴 PRAZO VENCIDO",IF(AND(OR(N4682="PENDENTE",N4682="PARCIAL"),D4682&lt;TODAY()-1),"🔴 EMBARQUE ATRASADO",IF(AND(N4682="REALIZADO",M4682="PENDENTE"),"🟡 EMBARCADO SEM FATURAR",IF(AND(P4682&lt;&gt;"",S4682="",OR(Q4682="",R4682="")),"🟡 PENDÊNCIA SEM RESPONSÁVEL/PRAZO",IF(AND(ISNUMBER(R4682),R4682=TODAY()),"🟡 VENCE HOJE",IF(AND(P4682&lt;&gt;"",S4682=""),"🟡 PENDÊNCIA ABERTA",IF(AND(N(J4682)&gt;0,N(K4682)&lt;J4682),"🟡 FALTA EXECUTAR",IF(OR(M4682="PENDENTE",M4682="PARCIAL"),"🟡 FATURAMENTO PENDENTE","🟡 EMBARQUE PENDENTE")))))))))))</f>
        <v/>
      </c>
      <c r="D4682" s="4" t="n"/>
      <c r="E4682" s="5" t="n"/>
      <c r="F4682" s="5" t="n"/>
      <c r="G4682" s="5" t="n"/>
      <c r="H4682" s="5" t="n"/>
      <c r="I4682" s="5" t="n"/>
      <c r="J4682" s="6" t="n"/>
      <c r="K4682" s="6" t="n"/>
      <c r="L4682" s="7">
        <f>IF(OR(D4682="",N(J4682)=0),"",MIN(1,N(K4682)/J4682))</f>
        <v/>
      </c>
      <c r="M4682" s="5" t="n"/>
      <c r="N4682" s="5" t="n"/>
      <c r="O4682" s="5" t="n"/>
      <c r="P4682" s="5" t="n"/>
      <c r="Q4682" s="5" t="n"/>
      <c r="R4682" s="4" t="n"/>
      <c r="S4682" s="4" t="n"/>
      <c r="T4682" s="5" t="n"/>
      <c r="U4682" s="8">
        <f>IF(AND(V4682=1,D4682&lt;&gt;""),IF(D4682&gt;=corte,TODAY()-D4682,""),"")</f>
        <v/>
      </c>
      <c r="V4682" s="8">
        <f>IF(D4682="",0,IF(OR(AND(P4682&lt;&gt;"",S4682=""),AND(N(J4682)&gt;0,N(K4682)&lt;J4682),OR(M4682="PENDENTE",M4682="PARCIAL"),OR(N4682="PENDENTE",N4682="PARCIAL")),1,0))</f>
        <v/>
      </c>
      <c r="W4682" s="8">
        <f>IF(AND(V4682=1,D4682&lt;&gt;""),IF(D4682&gt;=corte,(B4682="CRÍTICO")*1E9+(100000-D4682)*10000+10000-ROW(),""),"")</f>
        <v/>
      </c>
      <c r="X4682" s="8">
        <f>IF(AND(V4682=1,D4682=pas_data,E4682=pas_turno),10000-ROW(),"")</f>
        <v/>
      </c>
    </row>
    <row r="4683">
      <c r="A4683" s="3">
        <f>IF(D4683="","","TT-"&amp;TEXT(ROW()-1,"00000"))</f>
        <v/>
      </c>
      <c r="B4683" s="3">
        <f>IF(D4683="","",IF(V4683=0,"CONCLUÍDO",IF(D4683&lt;corte,"HISTÓRICO",IF(OR(AND(ISNUMBER(R4683),R4683&lt;TODAY()),AND(OR(N4683="PENDENTE",N4683="PARCIAL"),D4683&lt;TODAY()-1)),"CRÍTICO",IF(OR(AND(P4683&lt;&gt;"",S4683=""),AND(N4683="REALIZADO",M4683="PENDENTE"),AND(ISNUMBER(R4683),R4683=TODAY())),"ATENÇÃO",IF(N(K4683)=0,"PENDENTE","EM ANDAMENTO"))))))</f>
        <v/>
      </c>
      <c r="C4683" s="3">
        <f>IF(D4683="","",IF(V4683=0,"🟢 OK",IF(D4683&lt;corte,"⚪ HISTÓRICO (sem baixa)",IF(AND(ISNUMBER(R4683),R4683&lt;TODAY()),"🔴 PRAZO VENCIDO",IF(AND(OR(N4683="PENDENTE",N4683="PARCIAL"),D4683&lt;TODAY()-1),"🔴 EMBARQUE ATRASADO",IF(AND(N4683="REALIZADO",M4683="PENDENTE"),"🟡 EMBARCADO SEM FATURAR",IF(AND(P4683&lt;&gt;"",S4683="",OR(Q4683="",R4683="")),"🟡 PENDÊNCIA SEM RESPONSÁVEL/PRAZO",IF(AND(ISNUMBER(R4683),R4683=TODAY()),"🟡 VENCE HOJE",IF(AND(P4683&lt;&gt;"",S4683=""),"🟡 PENDÊNCIA ABERTA",IF(AND(N(J4683)&gt;0,N(K4683)&lt;J4683),"🟡 FALTA EXECUTAR",IF(OR(M4683="PENDENTE",M4683="PARCIAL"),"🟡 FATURAMENTO PENDENTE","🟡 EMBARQUE PENDENTE")))))))))))</f>
        <v/>
      </c>
      <c r="D4683" s="4" t="n"/>
      <c r="E4683" s="5" t="n"/>
      <c r="F4683" s="5" t="n"/>
      <c r="G4683" s="5" t="n"/>
      <c r="H4683" s="5" t="n"/>
      <c r="I4683" s="5" t="n"/>
      <c r="J4683" s="6" t="n"/>
      <c r="K4683" s="6" t="n"/>
      <c r="L4683" s="7">
        <f>IF(OR(D4683="",N(J4683)=0),"",MIN(1,N(K4683)/J4683))</f>
        <v/>
      </c>
      <c r="M4683" s="5" t="n"/>
      <c r="N4683" s="5" t="n"/>
      <c r="O4683" s="5" t="n"/>
      <c r="P4683" s="5" t="n"/>
      <c r="Q4683" s="5" t="n"/>
      <c r="R4683" s="4" t="n"/>
      <c r="S4683" s="4" t="n"/>
      <c r="T4683" s="5" t="n"/>
      <c r="U4683" s="8">
        <f>IF(AND(V4683=1,D4683&lt;&gt;""),IF(D4683&gt;=corte,TODAY()-D4683,""),"")</f>
        <v/>
      </c>
      <c r="V4683" s="8">
        <f>IF(D4683="",0,IF(OR(AND(P4683&lt;&gt;"",S4683=""),AND(N(J4683)&gt;0,N(K4683)&lt;J4683),OR(M4683="PENDENTE",M4683="PARCIAL"),OR(N4683="PENDENTE",N4683="PARCIAL")),1,0))</f>
        <v/>
      </c>
      <c r="W4683" s="8">
        <f>IF(AND(V4683=1,D4683&lt;&gt;""),IF(D4683&gt;=corte,(B4683="CRÍTICO")*1E9+(100000-D4683)*10000+10000-ROW(),""),"")</f>
        <v/>
      </c>
      <c r="X4683" s="8">
        <f>IF(AND(V4683=1,D4683=pas_data,E4683=pas_turno),10000-ROW(),"")</f>
        <v/>
      </c>
    </row>
    <row r="4684">
      <c r="A4684" s="3">
        <f>IF(D4684="","","TT-"&amp;TEXT(ROW()-1,"00000"))</f>
        <v/>
      </c>
      <c r="B4684" s="3">
        <f>IF(D4684="","",IF(V4684=0,"CONCLUÍDO",IF(D4684&lt;corte,"HISTÓRICO",IF(OR(AND(ISNUMBER(R4684),R4684&lt;TODAY()),AND(OR(N4684="PENDENTE",N4684="PARCIAL"),D4684&lt;TODAY()-1)),"CRÍTICO",IF(OR(AND(P4684&lt;&gt;"",S4684=""),AND(N4684="REALIZADO",M4684="PENDENTE"),AND(ISNUMBER(R4684),R4684=TODAY())),"ATENÇÃO",IF(N(K4684)=0,"PENDENTE","EM ANDAMENTO"))))))</f>
        <v/>
      </c>
      <c r="C4684" s="3">
        <f>IF(D4684="","",IF(V4684=0,"🟢 OK",IF(D4684&lt;corte,"⚪ HISTÓRICO (sem baixa)",IF(AND(ISNUMBER(R4684),R4684&lt;TODAY()),"🔴 PRAZO VENCIDO",IF(AND(OR(N4684="PENDENTE",N4684="PARCIAL"),D4684&lt;TODAY()-1),"🔴 EMBARQUE ATRASADO",IF(AND(N4684="REALIZADO",M4684="PENDENTE"),"🟡 EMBARCADO SEM FATURAR",IF(AND(P4684&lt;&gt;"",S4684="",OR(Q4684="",R4684="")),"🟡 PENDÊNCIA SEM RESPONSÁVEL/PRAZO",IF(AND(ISNUMBER(R4684),R4684=TODAY()),"🟡 VENCE HOJE",IF(AND(P4684&lt;&gt;"",S4684=""),"🟡 PENDÊNCIA ABERTA",IF(AND(N(J4684)&gt;0,N(K4684)&lt;J4684),"🟡 FALTA EXECUTAR",IF(OR(M4684="PENDENTE",M4684="PARCIAL"),"🟡 FATURAMENTO PENDENTE","🟡 EMBARQUE PENDENTE")))))))))))</f>
        <v/>
      </c>
      <c r="D4684" s="4" t="n"/>
      <c r="E4684" s="5" t="n"/>
      <c r="F4684" s="5" t="n"/>
      <c r="G4684" s="5" t="n"/>
      <c r="H4684" s="5" t="n"/>
      <c r="I4684" s="5" t="n"/>
      <c r="J4684" s="6" t="n"/>
      <c r="K4684" s="6" t="n"/>
      <c r="L4684" s="7">
        <f>IF(OR(D4684="",N(J4684)=0),"",MIN(1,N(K4684)/J4684))</f>
        <v/>
      </c>
      <c r="M4684" s="5" t="n"/>
      <c r="N4684" s="5" t="n"/>
      <c r="O4684" s="5" t="n"/>
      <c r="P4684" s="5" t="n"/>
      <c r="Q4684" s="5" t="n"/>
      <c r="R4684" s="4" t="n"/>
      <c r="S4684" s="4" t="n"/>
      <c r="T4684" s="5" t="n"/>
      <c r="U4684" s="8">
        <f>IF(AND(V4684=1,D4684&lt;&gt;""),IF(D4684&gt;=corte,TODAY()-D4684,""),"")</f>
        <v/>
      </c>
      <c r="V4684" s="8">
        <f>IF(D4684="",0,IF(OR(AND(P4684&lt;&gt;"",S4684=""),AND(N(J4684)&gt;0,N(K4684)&lt;J4684),OR(M4684="PENDENTE",M4684="PARCIAL"),OR(N4684="PENDENTE",N4684="PARCIAL")),1,0))</f>
        <v/>
      </c>
      <c r="W4684" s="8">
        <f>IF(AND(V4684=1,D4684&lt;&gt;""),IF(D4684&gt;=corte,(B4684="CRÍTICO")*1E9+(100000-D4684)*10000+10000-ROW(),""),"")</f>
        <v/>
      </c>
      <c r="X4684" s="8">
        <f>IF(AND(V4684=1,D4684=pas_data,E4684=pas_turno),10000-ROW(),"")</f>
        <v/>
      </c>
    </row>
    <row r="4685">
      <c r="A4685" s="3">
        <f>IF(D4685="","","TT-"&amp;TEXT(ROW()-1,"00000"))</f>
        <v/>
      </c>
      <c r="B4685" s="3">
        <f>IF(D4685="","",IF(V4685=0,"CONCLUÍDO",IF(D4685&lt;corte,"HISTÓRICO",IF(OR(AND(ISNUMBER(R4685),R4685&lt;TODAY()),AND(OR(N4685="PENDENTE",N4685="PARCIAL"),D4685&lt;TODAY()-1)),"CRÍTICO",IF(OR(AND(P4685&lt;&gt;"",S4685=""),AND(N4685="REALIZADO",M4685="PENDENTE"),AND(ISNUMBER(R4685),R4685=TODAY())),"ATENÇÃO",IF(N(K4685)=0,"PENDENTE","EM ANDAMENTO"))))))</f>
        <v/>
      </c>
      <c r="C4685" s="3">
        <f>IF(D4685="","",IF(V4685=0,"🟢 OK",IF(D4685&lt;corte,"⚪ HISTÓRICO (sem baixa)",IF(AND(ISNUMBER(R4685),R4685&lt;TODAY()),"🔴 PRAZO VENCIDO",IF(AND(OR(N4685="PENDENTE",N4685="PARCIAL"),D4685&lt;TODAY()-1),"🔴 EMBARQUE ATRASADO",IF(AND(N4685="REALIZADO",M4685="PENDENTE"),"🟡 EMBARCADO SEM FATURAR",IF(AND(P4685&lt;&gt;"",S4685="",OR(Q4685="",R4685="")),"🟡 PENDÊNCIA SEM RESPONSÁVEL/PRAZO",IF(AND(ISNUMBER(R4685),R4685=TODAY()),"🟡 VENCE HOJE",IF(AND(P4685&lt;&gt;"",S4685=""),"🟡 PENDÊNCIA ABERTA",IF(AND(N(J4685)&gt;0,N(K4685)&lt;J4685),"🟡 FALTA EXECUTAR",IF(OR(M4685="PENDENTE",M4685="PARCIAL"),"🟡 FATURAMENTO PENDENTE","🟡 EMBARQUE PENDENTE")))))))))))</f>
        <v/>
      </c>
      <c r="D4685" s="4" t="n"/>
      <c r="E4685" s="5" t="n"/>
      <c r="F4685" s="5" t="n"/>
      <c r="G4685" s="5" t="n"/>
      <c r="H4685" s="5" t="n"/>
      <c r="I4685" s="5" t="n"/>
      <c r="J4685" s="6" t="n"/>
      <c r="K4685" s="6" t="n"/>
      <c r="L4685" s="7">
        <f>IF(OR(D4685="",N(J4685)=0),"",MIN(1,N(K4685)/J4685))</f>
        <v/>
      </c>
      <c r="M4685" s="5" t="n"/>
      <c r="N4685" s="5" t="n"/>
      <c r="O4685" s="5" t="n"/>
      <c r="P4685" s="5" t="n"/>
      <c r="Q4685" s="5" t="n"/>
      <c r="R4685" s="4" t="n"/>
      <c r="S4685" s="4" t="n"/>
      <c r="T4685" s="5" t="n"/>
      <c r="U4685" s="8">
        <f>IF(AND(V4685=1,D4685&lt;&gt;""),IF(D4685&gt;=corte,TODAY()-D4685,""),"")</f>
        <v/>
      </c>
      <c r="V4685" s="8">
        <f>IF(D4685="",0,IF(OR(AND(P4685&lt;&gt;"",S4685=""),AND(N(J4685)&gt;0,N(K4685)&lt;J4685),OR(M4685="PENDENTE",M4685="PARCIAL"),OR(N4685="PENDENTE",N4685="PARCIAL")),1,0))</f>
        <v/>
      </c>
      <c r="W4685" s="8">
        <f>IF(AND(V4685=1,D4685&lt;&gt;""),IF(D4685&gt;=corte,(B4685="CRÍTICO")*1E9+(100000-D4685)*10000+10000-ROW(),""),"")</f>
        <v/>
      </c>
      <c r="X4685" s="8">
        <f>IF(AND(V4685=1,D4685=pas_data,E4685=pas_turno),10000-ROW(),"")</f>
        <v/>
      </c>
    </row>
    <row r="4686">
      <c r="A4686" s="3">
        <f>IF(D4686="","","TT-"&amp;TEXT(ROW()-1,"00000"))</f>
        <v/>
      </c>
      <c r="B4686" s="3">
        <f>IF(D4686="","",IF(V4686=0,"CONCLUÍDO",IF(D4686&lt;corte,"HISTÓRICO",IF(OR(AND(ISNUMBER(R4686),R4686&lt;TODAY()),AND(OR(N4686="PENDENTE",N4686="PARCIAL"),D4686&lt;TODAY()-1)),"CRÍTICO",IF(OR(AND(P4686&lt;&gt;"",S4686=""),AND(N4686="REALIZADO",M4686="PENDENTE"),AND(ISNUMBER(R4686),R4686=TODAY())),"ATENÇÃO",IF(N(K4686)=0,"PENDENTE","EM ANDAMENTO"))))))</f>
        <v/>
      </c>
      <c r="C4686" s="3">
        <f>IF(D4686="","",IF(V4686=0,"🟢 OK",IF(D4686&lt;corte,"⚪ HISTÓRICO (sem baixa)",IF(AND(ISNUMBER(R4686),R4686&lt;TODAY()),"🔴 PRAZO VENCIDO",IF(AND(OR(N4686="PENDENTE",N4686="PARCIAL"),D4686&lt;TODAY()-1),"🔴 EMBARQUE ATRASADO",IF(AND(N4686="REALIZADO",M4686="PENDENTE"),"🟡 EMBARCADO SEM FATURAR",IF(AND(P4686&lt;&gt;"",S4686="",OR(Q4686="",R4686="")),"🟡 PENDÊNCIA SEM RESPONSÁVEL/PRAZO",IF(AND(ISNUMBER(R4686),R4686=TODAY()),"🟡 VENCE HOJE",IF(AND(P4686&lt;&gt;"",S4686=""),"🟡 PENDÊNCIA ABERTA",IF(AND(N(J4686)&gt;0,N(K4686)&lt;J4686),"🟡 FALTA EXECUTAR",IF(OR(M4686="PENDENTE",M4686="PARCIAL"),"🟡 FATURAMENTO PENDENTE","🟡 EMBARQUE PENDENTE")))))))))))</f>
        <v/>
      </c>
      <c r="D4686" s="4" t="n"/>
      <c r="E4686" s="5" t="n"/>
      <c r="F4686" s="5" t="n"/>
      <c r="G4686" s="5" t="n"/>
      <c r="H4686" s="5" t="n"/>
      <c r="I4686" s="5" t="n"/>
      <c r="J4686" s="6" t="n"/>
      <c r="K4686" s="6" t="n"/>
      <c r="L4686" s="7">
        <f>IF(OR(D4686="",N(J4686)=0),"",MIN(1,N(K4686)/J4686))</f>
        <v/>
      </c>
      <c r="M4686" s="5" t="n"/>
      <c r="N4686" s="5" t="n"/>
      <c r="O4686" s="5" t="n"/>
      <c r="P4686" s="5" t="n"/>
      <c r="Q4686" s="5" t="n"/>
      <c r="R4686" s="4" t="n"/>
      <c r="S4686" s="4" t="n"/>
      <c r="T4686" s="5" t="n"/>
      <c r="U4686" s="8">
        <f>IF(AND(V4686=1,D4686&lt;&gt;""),IF(D4686&gt;=corte,TODAY()-D4686,""),"")</f>
        <v/>
      </c>
      <c r="V4686" s="8">
        <f>IF(D4686="",0,IF(OR(AND(P4686&lt;&gt;"",S4686=""),AND(N(J4686)&gt;0,N(K4686)&lt;J4686),OR(M4686="PENDENTE",M4686="PARCIAL"),OR(N4686="PENDENTE",N4686="PARCIAL")),1,0))</f>
        <v/>
      </c>
      <c r="W4686" s="8">
        <f>IF(AND(V4686=1,D4686&lt;&gt;""),IF(D4686&gt;=corte,(B4686="CRÍTICO")*1E9+(100000-D4686)*10000+10000-ROW(),""),"")</f>
        <v/>
      </c>
      <c r="X4686" s="8">
        <f>IF(AND(V4686=1,D4686=pas_data,E4686=pas_turno),10000-ROW(),"")</f>
        <v/>
      </c>
    </row>
    <row r="4687">
      <c r="A4687" s="3">
        <f>IF(D4687="","","TT-"&amp;TEXT(ROW()-1,"00000"))</f>
        <v/>
      </c>
      <c r="B4687" s="3">
        <f>IF(D4687="","",IF(V4687=0,"CONCLUÍDO",IF(D4687&lt;corte,"HISTÓRICO",IF(OR(AND(ISNUMBER(R4687),R4687&lt;TODAY()),AND(OR(N4687="PENDENTE",N4687="PARCIAL"),D4687&lt;TODAY()-1)),"CRÍTICO",IF(OR(AND(P4687&lt;&gt;"",S4687=""),AND(N4687="REALIZADO",M4687="PENDENTE"),AND(ISNUMBER(R4687),R4687=TODAY())),"ATENÇÃO",IF(N(K4687)=0,"PENDENTE","EM ANDAMENTO"))))))</f>
        <v/>
      </c>
      <c r="C4687" s="3">
        <f>IF(D4687="","",IF(V4687=0,"🟢 OK",IF(D4687&lt;corte,"⚪ HISTÓRICO (sem baixa)",IF(AND(ISNUMBER(R4687),R4687&lt;TODAY()),"🔴 PRAZO VENCIDO",IF(AND(OR(N4687="PENDENTE",N4687="PARCIAL"),D4687&lt;TODAY()-1),"🔴 EMBARQUE ATRASADO",IF(AND(N4687="REALIZADO",M4687="PENDENTE"),"🟡 EMBARCADO SEM FATURAR",IF(AND(P4687&lt;&gt;"",S4687="",OR(Q4687="",R4687="")),"🟡 PENDÊNCIA SEM RESPONSÁVEL/PRAZO",IF(AND(ISNUMBER(R4687),R4687=TODAY()),"🟡 VENCE HOJE",IF(AND(P4687&lt;&gt;"",S4687=""),"🟡 PENDÊNCIA ABERTA",IF(AND(N(J4687)&gt;0,N(K4687)&lt;J4687),"🟡 FALTA EXECUTAR",IF(OR(M4687="PENDENTE",M4687="PARCIAL"),"🟡 FATURAMENTO PENDENTE","🟡 EMBARQUE PENDENTE")))))))))))</f>
        <v/>
      </c>
      <c r="D4687" s="4" t="n"/>
      <c r="E4687" s="5" t="n"/>
      <c r="F4687" s="5" t="n"/>
      <c r="G4687" s="5" t="n"/>
      <c r="H4687" s="5" t="n"/>
      <c r="I4687" s="5" t="n"/>
      <c r="J4687" s="6" t="n"/>
      <c r="K4687" s="6" t="n"/>
      <c r="L4687" s="7">
        <f>IF(OR(D4687="",N(J4687)=0),"",MIN(1,N(K4687)/J4687))</f>
        <v/>
      </c>
      <c r="M4687" s="5" t="n"/>
      <c r="N4687" s="5" t="n"/>
      <c r="O4687" s="5" t="n"/>
      <c r="P4687" s="5" t="n"/>
      <c r="Q4687" s="5" t="n"/>
      <c r="R4687" s="4" t="n"/>
      <c r="S4687" s="4" t="n"/>
      <c r="T4687" s="5" t="n"/>
      <c r="U4687" s="8">
        <f>IF(AND(V4687=1,D4687&lt;&gt;""),IF(D4687&gt;=corte,TODAY()-D4687,""),"")</f>
        <v/>
      </c>
      <c r="V4687" s="8">
        <f>IF(D4687="",0,IF(OR(AND(P4687&lt;&gt;"",S4687=""),AND(N(J4687)&gt;0,N(K4687)&lt;J4687),OR(M4687="PENDENTE",M4687="PARCIAL"),OR(N4687="PENDENTE",N4687="PARCIAL")),1,0))</f>
        <v/>
      </c>
      <c r="W4687" s="8">
        <f>IF(AND(V4687=1,D4687&lt;&gt;""),IF(D4687&gt;=corte,(B4687="CRÍTICO")*1E9+(100000-D4687)*10000+10000-ROW(),""),"")</f>
        <v/>
      </c>
      <c r="X4687" s="8">
        <f>IF(AND(V4687=1,D4687=pas_data,E4687=pas_turno),10000-ROW(),"")</f>
        <v/>
      </c>
    </row>
    <row r="4688">
      <c r="A4688" s="3">
        <f>IF(D4688="","","TT-"&amp;TEXT(ROW()-1,"00000"))</f>
        <v/>
      </c>
      <c r="B4688" s="3">
        <f>IF(D4688="","",IF(V4688=0,"CONCLUÍDO",IF(D4688&lt;corte,"HISTÓRICO",IF(OR(AND(ISNUMBER(R4688),R4688&lt;TODAY()),AND(OR(N4688="PENDENTE",N4688="PARCIAL"),D4688&lt;TODAY()-1)),"CRÍTICO",IF(OR(AND(P4688&lt;&gt;"",S4688=""),AND(N4688="REALIZADO",M4688="PENDENTE"),AND(ISNUMBER(R4688),R4688=TODAY())),"ATENÇÃO",IF(N(K4688)=0,"PENDENTE","EM ANDAMENTO"))))))</f>
        <v/>
      </c>
      <c r="C4688" s="3">
        <f>IF(D4688="","",IF(V4688=0,"🟢 OK",IF(D4688&lt;corte,"⚪ HISTÓRICO (sem baixa)",IF(AND(ISNUMBER(R4688),R4688&lt;TODAY()),"🔴 PRAZO VENCIDO",IF(AND(OR(N4688="PENDENTE",N4688="PARCIAL"),D4688&lt;TODAY()-1),"🔴 EMBARQUE ATRASADO",IF(AND(N4688="REALIZADO",M4688="PENDENTE"),"🟡 EMBARCADO SEM FATURAR",IF(AND(P4688&lt;&gt;"",S4688="",OR(Q4688="",R4688="")),"🟡 PENDÊNCIA SEM RESPONSÁVEL/PRAZO",IF(AND(ISNUMBER(R4688),R4688=TODAY()),"🟡 VENCE HOJE",IF(AND(P4688&lt;&gt;"",S4688=""),"🟡 PENDÊNCIA ABERTA",IF(AND(N(J4688)&gt;0,N(K4688)&lt;J4688),"🟡 FALTA EXECUTAR",IF(OR(M4688="PENDENTE",M4688="PARCIAL"),"🟡 FATURAMENTO PENDENTE","🟡 EMBARQUE PENDENTE")))))))))))</f>
        <v/>
      </c>
      <c r="D4688" s="4" t="n"/>
      <c r="E4688" s="5" t="n"/>
      <c r="F4688" s="5" t="n"/>
      <c r="G4688" s="5" t="n"/>
      <c r="H4688" s="5" t="n"/>
      <c r="I4688" s="5" t="n"/>
      <c r="J4688" s="6" t="n"/>
      <c r="K4688" s="6" t="n"/>
      <c r="L4688" s="7">
        <f>IF(OR(D4688="",N(J4688)=0),"",MIN(1,N(K4688)/J4688))</f>
        <v/>
      </c>
      <c r="M4688" s="5" t="n"/>
      <c r="N4688" s="5" t="n"/>
      <c r="O4688" s="5" t="n"/>
      <c r="P4688" s="5" t="n"/>
      <c r="Q4688" s="5" t="n"/>
      <c r="R4688" s="4" t="n"/>
      <c r="S4688" s="4" t="n"/>
      <c r="T4688" s="5" t="n"/>
      <c r="U4688" s="8">
        <f>IF(AND(V4688=1,D4688&lt;&gt;""),IF(D4688&gt;=corte,TODAY()-D4688,""),"")</f>
        <v/>
      </c>
      <c r="V4688" s="8">
        <f>IF(D4688="",0,IF(OR(AND(P4688&lt;&gt;"",S4688=""),AND(N(J4688)&gt;0,N(K4688)&lt;J4688),OR(M4688="PENDENTE",M4688="PARCIAL"),OR(N4688="PENDENTE",N4688="PARCIAL")),1,0))</f>
        <v/>
      </c>
      <c r="W4688" s="8">
        <f>IF(AND(V4688=1,D4688&lt;&gt;""),IF(D4688&gt;=corte,(B4688="CRÍTICO")*1E9+(100000-D4688)*10000+10000-ROW(),""),"")</f>
        <v/>
      </c>
      <c r="X4688" s="8">
        <f>IF(AND(V4688=1,D4688=pas_data,E4688=pas_turno),10000-ROW(),"")</f>
        <v/>
      </c>
    </row>
    <row r="4689">
      <c r="A4689" s="3">
        <f>IF(D4689="","","TT-"&amp;TEXT(ROW()-1,"00000"))</f>
        <v/>
      </c>
      <c r="B4689" s="3">
        <f>IF(D4689="","",IF(V4689=0,"CONCLUÍDO",IF(D4689&lt;corte,"HISTÓRICO",IF(OR(AND(ISNUMBER(R4689),R4689&lt;TODAY()),AND(OR(N4689="PENDENTE",N4689="PARCIAL"),D4689&lt;TODAY()-1)),"CRÍTICO",IF(OR(AND(P4689&lt;&gt;"",S4689=""),AND(N4689="REALIZADO",M4689="PENDENTE"),AND(ISNUMBER(R4689),R4689=TODAY())),"ATENÇÃO",IF(N(K4689)=0,"PENDENTE","EM ANDAMENTO"))))))</f>
        <v/>
      </c>
      <c r="C4689" s="3">
        <f>IF(D4689="","",IF(V4689=0,"🟢 OK",IF(D4689&lt;corte,"⚪ HISTÓRICO (sem baixa)",IF(AND(ISNUMBER(R4689),R4689&lt;TODAY()),"🔴 PRAZO VENCIDO",IF(AND(OR(N4689="PENDENTE",N4689="PARCIAL"),D4689&lt;TODAY()-1),"🔴 EMBARQUE ATRASADO",IF(AND(N4689="REALIZADO",M4689="PENDENTE"),"🟡 EMBARCADO SEM FATURAR",IF(AND(P4689&lt;&gt;"",S4689="",OR(Q4689="",R4689="")),"🟡 PENDÊNCIA SEM RESPONSÁVEL/PRAZO",IF(AND(ISNUMBER(R4689),R4689=TODAY()),"🟡 VENCE HOJE",IF(AND(P4689&lt;&gt;"",S4689=""),"🟡 PENDÊNCIA ABERTA",IF(AND(N(J4689)&gt;0,N(K4689)&lt;J4689),"🟡 FALTA EXECUTAR",IF(OR(M4689="PENDENTE",M4689="PARCIAL"),"🟡 FATURAMENTO PENDENTE","🟡 EMBARQUE PENDENTE")))))))))))</f>
        <v/>
      </c>
      <c r="D4689" s="4" t="n"/>
      <c r="E4689" s="5" t="n"/>
      <c r="F4689" s="5" t="n"/>
      <c r="G4689" s="5" t="n"/>
      <c r="H4689" s="5" t="n"/>
      <c r="I4689" s="5" t="n"/>
      <c r="J4689" s="6" t="n"/>
      <c r="K4689" s="6" t="n"/>
      <c r="L4689" s="7">
        <f>IF(OR(D4689="",N(J4689)=0),"",MIN(1,N(K4689)/J4689))</f>
        <v/>
      </c>
      <c r="M4689" s="5" t="n"/>
      <c r="N4689" s="5" t="n"/>
      <c r="O4689" s="5" t="n"/>
      <c r="P4689" s="5" t="n"/>
      <c r="Q4689" s="5" t="n"/>
      <c r="R4689" s="4" t="n"/>
      <c r="S4689" s="4" t="n"/>
      <c r="T4689" s="5" t="n"/>
      <c r="U4689" s="8">
        <f>IF(AND(V4689=1,D4689&lt;&gt;""),IF(D4689&gt;=corte,TODAY()-D4689,""),"")</f>
        <v/>
      </c>
      <c r="V4689" s="8">
        <f>IF(D4689="",0,IF(OR(AND(P4689&lt;&gt;"",S4689=""),AND(N(J4689)&gt;0,N(K4689)&lt;J4689),OR(M4689="PENDENTE",M4689="PARCIAL"),OR(N4689="PENDENTE",N4689="PARCIAL")),1,0))</f>
        <v/>
      </c>
      <c r="W4689" s="8">
        <f>IF(AND(V4689=1,D4689&lt;&gt;""),IF(D4689&gt;=corte,(B4689="CRÍTICO")*1E9+(100000-D4689)*10000+10000-ROW(),""),"")</f>
        <v/>
      </c>
      <c r="X4689" s="8">
        <f>IF(AND(V4689=1,D4689=pas_data,E4689=pas_turno),10000-ROW(),"")</f>
        <v/>
      </c>
    </row>
    <row r="4690">
      <c r="A4690" s="3">
        <f>IF(D4690="","","TT-"&amp;TEXT(ROW()-1,"00000"))</f>
        <v/>
      </c>
      <c r="B4690" s="3">
        <f>IF(D4690="","",IF(V4690=0,"CONCLUÍDO",IF(D4690&lt;corte,"HISTÓRICO",IF(OR(AND(ISNUMBER(R4690),R4690&lt;TODAY()),AND(OR(N4690="PENDENTE",N4690="PARCIAL"),D4690&lt;TODAY()-1)),"CRÍTICO",IF(OR(AND(P4690&lt;&gt;"",S4690=""),AND(N4690="REALIZADO",M4690="PENDENTE"),AND(ISNUMBER(R4690),R4690=TODAY())),"ATENÇÃO",IF(N(K4690)=0,"PENDENTE","EM ANDAMENTO"))))))</f>
        <v/>
      </c>
      <c r="C4690" s="3">
        <f>IF(D4690="","",IF(V4690=0,"🟢 OK",IF(D4690&lt;corte,"⚪ HISTÓRICO (sem baixa)",IF(AND(ISNUMBER(R4690),R4690&lt;TODAY()),"🔴 PRAZO VENCIDO",IF(AND(OR(N4690="PENDENTE",N4690="PARCIAL"),D4690&lt;TODAY()-1),"🔴 EMBARQUE ATRASADO",IF(AND(N4690="REALIZADO",M4690="PENDENTE"),"🟡 EMBARCADO SEM FATURAR",IF(AND(P4690&lt;&gt;"",S4690="",OR(Q4690="",R4690="")),"🟡 PENDÊNCIA SEM RESPONSÁVEL/PRAZO",IF(AND(ISNUMBER(R4690),R4690=TODAY()),"🟡 VENCE HOJE",IF(AND(P4690&lt;&gt;"",S4690=""),"🟡 PENDÊNCIA ABERTA",IF(AND(N(J4690)&gt;0,N(K4690)&lt;J4690),"🟡 FALTA EXECUTAR",IF(OR(M4690="PENDENTE",M4690="PARCIAL"),"🟡 FATURAMENTO PENDENTE","🟡 EMBARQUE PENDENTE")))))))))))</f>
        <v/>
      </c>
      <c r="D4690" s="4" t="n"/>
      <c r="E4690" s="5" t="n"/>
      <c r="F4690" s="5" t="n"/>
      <c r="G4690" s="5" t="n"/>
      <c r="H4690" s="5" t="n"/>
      <c r="I4690" s="5" t="n"/>
      <c r="J4690" s="6" t="n"/>
      <c r="K4690" s="6" t="n"/>
      <c r="L4690" s="7">
        <f>IF(OR(D4690="",N(J4690)=0),"",MIN(1,N(K4690)/J4690))</f>
        <v/>
      </c>
      <c r="M4690" s="5" t="n"/>
      <c r="N4690" s="5" t="n"/>
      <c r="O4690" s="5" t="n"/>
      <c r="P4690" s="5" t="n"/>
      <c r="Q4690" s="5" t="n"/>
      <c r="R4690" s="4" t="n"/>
      <c r="S4690" s="4" t="n"/>
      <c r="T4690" s="5" t="n"/>
      <c r="U4690" s="8">
        <f>IF(AND(V4690=1,D4690&lt;&gt;""),IF(D4690&gt;=corte,TODAY()-D4690,""),"")</f>
        <v/>
      </c>
      <c r="V4690" s="8">
        <f>IF(D4690="",0,IF(OR(AND(P4690&lt;&gt;"",S4690=""),AND(N(J4690)&gt;0,N(K4690)&lt;J4690),OR(M4690="PENDENTE",M4690="PARCIAL"),OR(N4690="PENDENTE",N4690="PARCIAL")),1,0))</f>
        <v/>
      </c>
      <c r="W4690" s="8">
        <f>IF(AND(V4690=1,D4690&lt;&gt;""),IF(D4690&gt;=corte,(B4690="CRÍTICO")*1E9+(100000-D4690)*10000+10000-ROW(),""),"")</f>
        <v/>
      </c>
      <c r="X4690" s="8">
        <f>IF(AND(V4690=1,D4690=pas_data,E4690=pas_turno),10000-ROW(),"")</f>
        <v/>
      </c>
    </row>
    <row r="4691">
      <c r="A4691" s="3">
        <f>IF(D4691="","","TT-"&amp;TEXT(ROW()-1,"00000"))</f>
        <v/>
      </c>
      <c r="B4691" s="3">
        <f>IF(D4691="","",IF(V4691=0,"CONCLUÍDO",IF(D4691&lt;corte,"HISTÓRICO",IF(OR(AND(ISNUMBER(R4691),R4691&lt;TODAY()),AND(OR(N4691="PENDENTE",N4691="PARCIAL"),D4691&lt;TODAY()-1)),"CRÍTICO",IF(OR(AND(P4691&lt;&gt;"",S4691=""),AND(N4691="REALIZADO",M4691="PENDENTE"),AND(ISNUMBER(R4691),R4691=TODAY())),"ATENÇÃO",IF(N(K4691)=0,"PENDENTE","EM ANDAMENTO"))))))</f>
        <v/>
      </c>
      <c r="C4691" s="3">
        <f>IF(D4691="","",IF(V4691=0,"🟢 OK",IF(D4691&lt;corte,"⚪ HISTÓRICO (sem baixa)",IF(AND(ISNUMBER(R4691),R4691&lt;TODAY()),"🔴 PRAZO VENCIDO",IF(AND(OR(N4691="PENDENTE",N4691="PARCIAL"),D4691&lt;TODAY()-1),"🔴 EMBARQUE ATRASADO",IF(AND(N4691="REALIZADO",M4691="PENDENTE"),"🟡 EMBARCADO SEM FATURAR",IF(AND(P4691&lt;&gt;"",S4691="",OR(Q4691="",R4691="")),"🟡 PENDÊNCIA SEM RESPONSÁVEL/PRAZO",IF(AND(ISNUMBER(R4691),R4691=TODAY()),"🟡 VENCE HOJE",IF(AND(P4691&lt;&gt;"",S4691=""),"🟡 PENDÊNCIA ABERTA",IF(AND(N(J4691)&gt;0,N(K4691)&lt;J4691),"🟡 FALTA EXECUTAR",IF(OR(M4691="PENDENTE",M4691="PARCIAL"),"🟡 FATURAMENTO PENDENTE","🟡 EMBARQUE PENDENTE")))))))))))</f>
        <v/>
      </c>
      <c r="D4691" s="4" t="n"/>
      <c r="E4691" s="5" t="n"/>
      <c r="F4691" s="5" t="n"/>
      <c r="G4691" s="5" t="n"/>
      <c r="H4691" s="5" t="n"/>
      <c r="I4691" s="5" t="n"/>
      <c r="J4691" s="6" t="n"/>
      <c r="K4691" s="6" t="n"/>
      <c r="L4691" s="7">
        <f>IF(OR(D4691="",N(J4691)=0),"",MIN(1,N(K4691)/J4691))</f>
        <v/>
      </c>
      <c r="M4691" s="5" t="n"/>
      <c r="N4691" s="5" t="n"/>
      <c r="O4691" s="5" t="n"/>
      <c r="P4691" s="5" t="n"/>
      <c r="Q4691" s="5" t="n"/>
      <c r="R4691" s="4" t="n"/>
      <c r="S4691" s="4" t="n"/>
      <c r="T4691" s="5" t="n"/>
      <c r="U4691" s="8">
        <f>IF(AND(V4691=1,D4691&lt;&gt;""),IF(D4691&gt;=corte,TODAY()-D4691,""),"")</f>
        <v/>
      </c>
      <c r="V4691" s="8">
        <f>IF(D4691="",0,IF(OR(AND(P4691&lt;&gt;"",S4691=""),AND(N(J4691)&gt;0,N(K4691)&lt;J4691),OR(M4691="PENDENTE",M4691="PARCIAL"),OR(N4691="PENDENTE",N4691="PARCIAL")),1,0))</f>
        <v/>
      </c>
      <c r="W4691" s="8">
        <f>IF(AND(V4691=1,D4691&lt;&gt;""),IF(D4691&gt;=corte,(B4691="CRÍTICO")*1E9+(100000-D4691)*10000+10000-ROW(),""),"")</f>
        <v/>
      </c>
      <c r="X4691" s="8">
        <f>IF(AND(V4691=1,D4691=pas_data,E4691=pas_turno),10000-ROW(),"")</f>
        <v/>
      </c>
    </row>
    <row r="4692">
      <c r="A4692" s="3">
        <f>IF(D4692="","","TT-"&amp;TEXT(ROW()-1,"00000"))</f>
        <v/>
      </c>
      <c r="B4692" s="3">
        <f>IF(D4692="","",IF(V4692=0,"CONCLUÍDO",IF(D4692&lt;corte,"HISTÓRICO",IF(OR(AND(ISNUMBER(R4692),R4692&lt;TODAY()),AND(OR(N4692="PENDENTE",N4692="PARCIAL"),D4692&lt;TODAY()-1)),"CRÍTICO",IF(OR(AND(P4692&lt;&gt;"",S4692=""),AND(N4692="REALIZADO",M4692="PENDENTE"),AND(ISNUMBER(R4692),R4692=TODAY())),"ATENÇÃO",IF(N(K4692)=0,"PENDENTE","EM ANDAMENTO"))))))</f>
        <v/>
      </c>
      <c r="C4692" s="3">
        <f>IF(D4692="","",IF(V4692=0,"🟢 OK",IF(D4692&lt;corte,"⚪ HISTÓRICO (sem baixa)",IF(AND(ISNUMBER(R4692),R4692&lt;TODAY()),"🔴 PRAZO VENCIDO",IF(AND(OR(N4692="PENDENTE",N4692="PARCIAL"),D4692&lt;TODAY()-1),"🔴 EMBARQUE ATRASADO",IF(AND(N4692="REALIZADO",M4692="PENDENTE"),"🟡 EMBARCADO SEM FATURAR",IF(AND(P4692&lt;&gt;"",S4692="",OR(Q4692="",R4692="")),"🟡 PENDÊNCIA SEM RESPONSÁVEL/PRAZO",IF(AND(ISNUMBER(R4692),R4692=TODAY()),"🟡 VENCE HOJE",IF(AND(P4692&lt;&gt;"",S4692=""),"🟡 PENDÊNCIA ABERTA",IF(AND(N(J4692)&gt;0,N(K4692)&lt;J4692),"🟡 FALTA EXECUTAR",IF(OR(M4692="PENDENTE",M4692="PARCIAL"),"🟡 FATURAMENTO PENDENTE","🟡 EMBARQUE PENDENTE")))))))))))</f>
        <v/>
      </c>
      <c r="D4692" s="4" t="n"/>
      <c r="E4692" s="5" t="n"/>
      <c r="F4692" s="5" t="n"/>
      <c r="G4692" s="5" t="n"/>
      <c r="H4692" s="5" t="n"/>
      <c r="I4692" s="5" t="n"/>
      <c r="J4692" s="6" t="n"/>
      <c r="K4692" s="6" t="n"/>
      <c r="L4692" s="7">
        <f>IF(OR(D4692="",N(J4692)=0),"",MIN(1,N(K4692)/J4692))</f>
        <v/>
      </c>
      <c r="M4692" s="5" t="n"/>
      <c r="N4692" s="5" t="n"/>
      <c r="O4692" s="5" t="n"/>
      <c r="P4692" s="5" t="n"/>
      <c r="Q4692" s="5" t="n"/>
      <c r="R4692" s="4" t="n"/>
      <c r="S4692" s="4" t="n"/>
      <c r="T4692" s="5" t="n"/>
      <c r="U4692" s="8">
        <f>IF(AND(V4692=1,D4692&lt;&gt;""),IF(D4692&gt;=corte,TODAY()-D4692,""),"")</f>
        <v/>
      </c>
      <c r="V4692" s="8">
        <f>IF(D4692="",0,IF(OR(AND(P4692&lt;&gt;"",S4692=""),AND(N(J4692)&gt;0,N(K4692)&lt;J4692),OR(M4692="PENDENTE",M4692="PARCIAL"),OR(N4692="PENDENTE",N4692="PARCIAL")),1,0))</f>
        <v/>
      </c>
      <c r="W4692" s="8">
        <f>IF(AND(V4692=1,D4692&lt;&gt;""),IF(D4692&gt;=corte,(B4692="CRÍTICO")*1E9+(100000-D4692)*10000+10000-ROW(),""),"")</f>
        <v/>
      </c>
      <c r="X4692" s="8">
        <f>IF(AND(V4692=1,D4692=pas_data,E4692=pas_turno),10000-ROW(),"")</f>
        <v/>
      </c>
    </row>
    <row r="4693">
      <c r="A4693" s="3">
        <f>IF(D4693="","","TT-"&amp;TEXT(ROW()-1,"00000"))</f>
        <v/>
      </c>
      <c r="B4693" s="3">
        <f>IF(D4693="","",IF(V4693=0,"CONCLUÍDO",IF(D4693&lt;corte,"HISTÓRICO",IF(OR(AND(ISNUMBER(R4693),R4693&lt;TODAY()),AND(OR(N4693="PENDENTE",N4693="PARCIAL"),D4693&lt;TODAY()-1)),"CRÍTICO",IF(OR(AND(P4693&lt;&gt;"",S4693=""),AND(N4693="REALIZADO",M4693="PENDENTE"),AND(ISNUMBER(R4693),R4693=TODAY())),"ATENÇÃO",IF(N(K4693)=0,"PENDENTE","EM ANDAMENTO"))))))</f>
        <v/>
      </c>
      <c r="C4693" s="3">
        <f>IF(D4693="","",IF(V4693=0,"🟢 OK",IF(D4693&lt;corte,"⚪ HISTÓRICO (sem baixa)",IF(AND(ISNUMBER(R4693),R4693&lt;TODAY()),"🔴 PRAZO VENCIDO",IF(AND(OR(N4693="PENDENTE",N4693="PARCIAL"),D4693&lt;TODAY()-1),"🔴 EMBARQUE ATRASADO",IF(AND(N4693="REALIZADO",M4693="PENDENTE"),"🟡 EMBARCADO SEM FATURAR",IF(AND(P4693&lt;&gt;"",S4693="",OR(Q4693="",R4693="")),"🟡 PENDÊNCIA SEM RESPONSÁVEL/PRAZO",IF(AND(ISNUMBER(R4693),R4693=TODAY()),"🟡 VENCE HOJE",IF(AND(P4693&lt;&gt;"",S4693=""),"🟡 PENDÊNCIA ABERTA",IF(AND(N(J4693)&gt;0,N(K4693)&lt;J4693),"🟡 FALTA EXECUTAR",IF(OR(M4693="PENDENTE",M4693="PARCIAL"),"🟡 FATURAMENTO PENDENTE","🟡 EMBARQUE PENDENTE")))))))))))</f>
        <v/>
      </c>
      <c r="D4693" s="4" t="n"/>
      <c r="E4693" s="5" t="n"/>
      <c r="F4693" s="5" t="n"/>
      <c r="G4693" s="5" t="n"/>
      <c r="H4693" s="5" t="n"/>
      <c r="I4693" s="5" t="n"/>
      <c r="J4693" s="6" t="n"/>
      <c r="K4693" s="6" t="n"/>
      <c r="L4693" s="7">
        <f>IF(OR(D4693="",N(J4693)=0),"",MIN(1,N(K4693)/J4693))</f>
        <v/>
      </c>
      <c r="M4693" s="5" t="n"/>
      <c r="N4693" s="5" t="n"/>
      <c r="O4693" s="5" t="n"/>
      <c r="P4693" s="5" t="n"/>
      <c r="Q4693" s="5" t="n"/>
      <c r="R4693" s="4" t="n"/>
      <c r="S4693" s="4" t="n"/>
      <c r="T4693" s="5" t="n"/>
      <c r="U4693" s="8">
        <f>IF(AND(V4693=1,D4693&lt;&gt;""),IF(D4693&gt;=corte,TODAY()-D4693,""),"")</f>
        <v/>
      </c>
      <c r="V4693" s="8">
        <f>IF(D4693="",0,IF(OR(AND(P4693&lt;&gt;"",S4693=""),AND(N(J4693)&gt;0,N(K4693)&lt;J4693),OR(M4693="PENDENTE",M4693="PARCIAL"),OR(N4693="PENDENTE",N4693="PARCIAL")),1,0))</f>
        <v/>
      </c>
      <c r="W4693" s="8">
        <f>IF(AND(V4693=1,D4693&lt;&gt;""),IF(D4693&gt;=corte,(B4693="CRÍTICO")*1E9+(100000-D4693)*10000+10000-ROW(),""),"")</f>
        <v/>
      </c>
      <c r="X4693" s="8">
        <f>IF(AND(V4693=1,D4693=pas_data,E4693=pas_turno),10000-ROW(),"")</f>
        <v/>
      </c>
    </row>
    <row r="4694">
      <c r="A4694" s="3">
        <f>IF(D4694="","","TT-"&amp;TEXT(ROW()-1,"00000"))</f>
        <v/>
      </c>
      <c r="B4694" s="3">
        <f>IF(D4694="","",IF(V4694=0,"CONCLUÍDO",IF(D4694&lt;corte,"HISTÓRICO",IF(OR(AND(ISNUMBER(R4694),R4694&lt;TODAY()),AND(OR(N4694="PENDENTE",N4694="PARCIAL"),D4694&lt;TODAY()-1)),"CRÍTICO",IF(OR(AND(P4694&lt;&gt;"",S4694=""),AND(N4694="REALIZADO",M4694="PENDENTE"),AND(ISNUMBER(R4694),R4694=TODAY())),"ATENÇÃO",IF(N(K4694)=0,"PENDENTE","EM ANDAMENTO"))))))</f>
        <v/>
      </c>
      <c r="C4694" s="3">
        <f>IF(D4694="","",IF(V4694=0,"🟢 OK",IF(D4694&lt;corte,"⚪ HISTÓRICO (sem baixa)",IF(AND(ISNUMBER(R4694),R4694&lt;TODAY()),"🔴 PRAZO VENCIDO",IF(AND(OR(N4694="PENDENTE",N4694="PARCIAL"),D4694&lt;TODAY()-1),"🔴 EMBARQUE ATRASADO",IF(AND(N4694="REALIZADO",M4694="PENDENTE"),"🟡 EMBARCADO SEM FATURAR",IF(AND(P4694&lt;&gt;"",S4694="",OR(Q4694="",R4694="")),"🟡 PENDÊNCIA SEM RESPONSÁVEL/PRAZO",IF(AND(ISNUMBER(R4694),R4694=TODAY()),"🟡 VENCE HOJE",IF(AND(P4694&lt;&gt;"",S4694=""),"🟡 PENDÊNCIA ABERTA",IF(AND(N(J4694)&gt;0,N(K4694)&lt;J4694),"🟡 FALTA EXECUTAR",IF(OR(M4694="PENDENTE",M4694="PARCIAL"),"🟡 FATURAMENTO PENDENTE","🟡 EMBARQUE PENDENTE")))))))))))</f>
        <v/>
      </c>
      <c r="D4694" s="4" t="n"/>
      <c r="E4694" s="5" t="n"/>
      <c r="F4694" s="5" t="n"/>
      <c r="G4694" s="5" t="n"/>
      <c r="H4694" s="5" t="n"/>
      <c r="I4694" s="5" t="n"/>
      <c r="J4694" s="6" t="n"/>
      <c r="K4694" s="6" t="n"/>
      <c r="L4694" s="7">
        <f>IF(OR(D4694="",N(J4694)=0),"",MIN(1,N(K4694)/J4694))</f>
        <v/>
      </c>
      <c r="M4694" s="5" t="n"/>
      <c r="N4694" s="5" t="n"/>
      <c r="O4694" s="5" t="n"/>
      <c r="P4694" s="5" t="n"/>
      <c r="Q4694" s="5" t="n"/>
      <c r="R4694" s="4" t="n"/>
      <c r="S4694" s="4" t="n"/>
      <c r="T4694" s="5" t="n"/>
      <c r="U4694" s="8">
        <f>IF(AND(V4694=1,D4694&lt;&gt;""),IF(D4694&gt;=corte,TODAY()-D4694,""),"")</f>
        <v/>
      </c>
      <c r="V4694" s="8">
        <f>IF(D4694="",0,IF(OR(AND(P4694&lt;&gt;"",S4694=""),AND(N(J4694)&gt;0,N(K4694)&lt;J4694),OR(M4694="PENDENTE",M4694="PARCIAL"),OR(N4694="PENDENTE",N4694="PARCIAL")),1,0))</f>
        <v/>
      </c>
      <c r="W4694" s="8">
        <f>IF(AND(V4694=1,D4694&lt;&gt;""),IF(D4694&gt;=corte,(B4694="CRÍTICO")*1E9+(100000-D4694)*10000+10000-ROW(),""),"")</f>
        <v/>
      </c>
      <c r="X4694" s="8">
        <f>IF(AND(V4694=1,D4694=pas_data,E4694=pas_turno),10000-ROW(),"")</f>
        <v/>
      </c>
    </row>
    <row r="4695">
      <c r="A4695" s="3">
        <f>IF(D4695="","","TT-"&amp;TEXT(ROW()-1,"00000"))</f>
        <v/>
      </c>
      <c r="B4695" s="3">
        <f>IF(D4695="","",IF(V4695=0,"CONCLUÍDO",IF(D4695&lt;corte,"HISTÓRICO",IF(OR(AND(ISNUMBER(R4695),R4695&lt;TODAY()),AND(OR(N4695="PENDENTE",N4695="PARCIAL"),D4695&lt;TODAY()-1)),"CRÍTICO",IF(OR(AND(P4695&lt;&gt;"",S4695=""),AND(N4695="REALIZADO",M4695="PENDENTE"),AND(ISNUMBER(R4695),R4695=TODAY())),"ATENÇÃO",IF(N(K4695)=0,"PENDENTE","EM ANDAMENTO"))))))</f>
        <v/>
      </c>
      <c r="C4695" s="3">
        <f>IF(D4695="","",IF(V4695=0,"🟢 OK",IF(D4695&lt;corte,"⚪ HISTÓRICO (sem baixa)",IF(AND(ISNUMBER(R4695),R4695&lt;TODAY()),"🔴 PRAZO VENCIDO",IF(AND(OR(N4695="PENDENTE",N4695="PARCIAL"),D4695&lt;TODAY()-1),"🔴 EMBARQUE ATRASADO",IF(AND(N4695="REALIZADO",M4695="PENDENTE"),"🟡 EMBARCADO SEM FATURAR",IF(AND(P4695&lt;&gt;"",S4695="",OR(Q4695="",R4695="")),"🟡 PENDÊNCIA SEM RESPONSÁVEL/PRAZO",IF(AND(ISNUMBER(R4695),R4695=TODAY()),"🟡 VENCE HOJE",IF(AND(P4695&lt;&gt;"",S4695=""),"🟡 PENDÊNCIA ABERTA",IF(AND(N(J4695)&gt;0,N(K4695)&lt;J4695),"🟡 FALTA EXECUTAR",IF(OR(M4695="PENDENTE",M4695="PARCIAL"),"🟡 FATURAMENTO PENDENTE","🟡 EMBARQUE PENDENTE")))))))))))</f>
        <v/>
      </c>
      <c r="D4695" s="4" t="n"/>
      <c r="E4695" s="5" t="n"/>
      <c r="F4695" s="5" t="n"/>
      <c r="G4695" s="5" t="n"/>
      <c r="H4695" s="5" t="n"/>
      <c r="I4695" s="5" t="n"/>
      <c r="J4695" s="6" t="n"/>
      <c r="K4695" s="6" t="n"/>
      <c r="L4695" s="7">
        <f>IF(OR(D4695="",N(J4695)=0),"",MIN(1,N(K4695)/J4695))</f>
        <v/>
      </c>
      <c r="M4695" s="5" t="n"/>
      <c r="N4695" s="5" t="n"/>
      <c r="O4695" s="5" t="n"/>
      <c r="P4695" s="5" t="n"/>
      <c r="Q4695" s="5" t="n"/>
      <c r="R4695" s="4" t="n"/>
      <c r="S4695" s="4" t="n"/>
      <c r="T4695" s="5" t="n"/>
      <c r="U4695" s="8">
        <f>IF(AND(V4695=1,D4695&lt;&gt;""),IF(D4695&gt;=corte,TODAY()-D4695,""),"")</f>
        <v/>
      </c>
      <c r="V4695" s="8">
        <f>IF(D4695="",0,IF(OR(AND(P4695&lt;&gt;"",S4695=""),AND(N(J4695)&gt;0,N(K4695)&lt;J4695),OR(M4695="PENDENTE",M4695="PARCIAL"),OR(N4695="PENDENTE",N4695="PARCIAL")),1,0))</f>
        <v/>
      </c>
      <c r="W4695" s="8">
        <f>IF(AND(V4695=1,D4695&lt;&gt;""),IF(D4695&gt;=corte,(B4695="CRÍTICO")*1E9+(100000-D4695)*10000+10000-ROW(),""),"")</f>
        <v/>
      </c>
      <c r="X4695" s="8">
        <f>IF(AND(V4695=1,D4695=pas_data,E4695=pas_turno),10000-ROW(),"")</f>
        <v/>
      </c>
    </row>
    <row r="4696">
      <c r="A4696" s="3">
        <f>IF(D4696="","","TT-"&amp;TEXT(ROW()-1,"00000"))</f>
        <v/>
      </c>
      <c r="B4696" s="3">
        <f>IF(D4696="","",IF(V4696=0,"CONCLUÍDO",IF(D4696&lt;corte,"HISTÓRICO",IF(OR(AND(ISNUMBER(R4696),R4696&lt;TODAY()),AND(OR(N4696="PENDENTE",N4696="PARCIAL"),D4696&lt;TODAY()-1)),"CRÍTICO",IF(OR(AND(P4696&lt;&gt;"",S4696=""),AND(N4696="REALIZADO",M4696="PENDENTE"),AND(ISNUMBER(R4696),R4696=TODAY())),"ATENÇÃO",IF(N(K4696)=0,"PENDENTE","EM ANDAMENTO"))))))</f>
        <v/>
      </c>
      <c r="C4696" s="3">
        <f>IF(D4696="","",IF(V4696=0,"🟢 OK",IF(D4696&lt;corte,"⚪ HISTÓRICO (sem baixa)",IF(AND(ISNUMBER(R4696),R4696&lt;TODAY()),"🔴 PRAZO VENCIDO",IF(AND(OR(N4696="PENDENTE",N4696="PARCIAL"),D4696&lt;TODAY()-1),"🔴 EMBARQUE ATRASADO",IF(AND(N4696="REALIZADO",M4696="PENDENTE"),"🟡 EMBARCADO SEM FATURAR",IF(AND(P4696&lt;&gt;"",S4696="",OR(Q4696="",R4696="")),"🟡 PENDÊNCIA SEM RESPONSÁVEL/PRAZO",IF(AND(ISNUMBER(R4696),R4696=TODAY()),"🟡 VENCE HOJE",IF(AND(P4696&lt;&gt;"",S4696=""),"🟡 PENDÊNCIA ABERTA",IF(AND(N(J4696)&gt;0,N(K4696)&lt;J4696),"🟡 FALTA EXECUTAR",IF(OR(M4696="PENDENTE",M4696="PARCIAL"),"🟡 FATURAMENTO PENDENTE","🟡 EMBARQUE PENDENTE")))))))))))</f>
        <v/>
      </c>
      <c r="D4696" s="4" t="n"/>
      <c r="E4696" s="5" t="n"/>
      <c r="F4696" s="5" t="n"/>
      <c r="G4696" s="5" t="n"/>
      <c r="H4696" s="5" t="n"/>
      <c r="I4696" s="5" t="n"/>
      <c r="J4696" s="6" t="n"/>
      <c r="K4696" s="6" t="n"/>
      <c r="L4696" s="7">
        <f>IF(OR(D4696="",N(J4696)=0),"",MIN(1,N(K4696)/J4696))</f>
        <v/>
      </c>
      <c r="M4696" s="5" t="n"/>
      <c r="N4696" s="5" t="n"/>
      <c r="O4696" s="5" t="n"/>
      <c r="P4696" s="5" t="n"/>
      <c r="Q4696" s="5" t="n"/>
      <c r="R4696" s="4" t="n"/>
      <c r="S4696" s="4" t="n"/>
      <c r="T4696" s="5" t="n"/>
      <c r="U4696" s="8">
        <f>IF(AND(V4696=1,D4696&lt;&gt;""),IF(D4696&gt;=corte,TODAY()-D4696,""),"")</f>
        <v/>
      </c>
      <c r="V4696" s="8">
        <f>IF(D4696="",0,IF(OR(AND(P4696&lt;&gt;"",S4696=""),AND(N(J4696)&gt;0,N(K4696)&lt;J4696),OR(M4696="PENDENTE",M4696="PARCIAL"),OR(N4696="PENDENTE",N4696="PARCIAL")),1,0))</f>
        <v/>
      </c>
      <c r="W4696" s="8">
        <f>IF(AND(V4696=1,D4696&lt;&gt;""),IF(D4696&gt;=corte,(B4696="CRÍTICO")*1E9+(100000-D4696)*10000+10000-ROW(),""),"")</f>
        <v/>
      </c>
      <c r="X4696" s="8">
        <f>IF(AND(V4696=1,D4696=pas_data,E4696=pas_turno),10000-ROW(),"")</f>
        <v/>
      </c>
    </row>
    <row r="4697">
      <c r="A4697" s="3">
        <f>IF(D4697="","","TT-"&amp;TEXT(ROW()-1,"00000"))</f>
        <v/>
      </c>
      <c r="B4697" s="3">
        <f>IF(D4697="","",IF(V4697=0,"CONCLUÍDO",IF(D4697&lt;corte,"HISTÓRICO",IF(OR(AND(ISNUMBER(R4697),R4697&lt;TODAY()),AND(OR(N4697="PENDENTE",N4697="PARCIAL"),D4697&lt;TODAY()-1)),"CRÍTICO",IF(OR(AND(P4697&lt;&gt;"",S4697=""),AND(N4697="REALIZADO",M4697="PENDENTE"),AND(ISNUMBER(R4697),R4697=TODAY())),"ATENÇÃO",IF(N(K4697)=0,"PENDENTE","EM ANDAMENTO"))))))</f>
        <v/>
      </c>
      <c r="C4697" s="3">
        <f>IF(D4697="","",IF(V4697=0,"🟢 OK",IF(D4697&lt;corte,"⚪ HISTÓRICO (sem baixa)",IF(AND(ISNUMBER(R4697),R4697&lt;TODAY()),"🔴 PRAZO VENCIDO",IF(AND(OR(N4697="PENDENTE",N4697="PARCIAL"),D4697&lt;TODAY()-1),"🔴 EMBARQUE ATRASADO",IF(AND(N4697="REALIZADO",M4697="PENDENTE"),"🟡 EMBARCADO SEM FATURAR",IF(AND(P4697&lt;&gt;"",S4697="",OR(Q4697="",R4697="")),"🟡 PENDÊNCIA SEM RESPONSÁVEL/PRAZO",IF(AND(ISNUMBER(R4697),R4697=TODAY()),"🟡 VENCE HOJE",IF(AND(P4697&lt;&gt;"",S4697=""),"🟡 PENDÊNCIA ABERTA",IF(AND(N(J4697)&gt;0,N(K4697)&lt;J4697),"🟡 FALTA EXECUTAR",IF(OR(M4697="PENDENTE",M4697="PARCIAL"),"🟡 FATURAMENTO PENDENTE","🟡 EMBARQUE PENDENTE")))))))))))</f>
        <v/>
      </c>
      <c r="D4697" s="4" t="n"/>
      <c r="E4697" s="5" t="n"/>
      <c r="F4697" s="5" t="n"/>
      <c r="G4697" s="5" t="n"/>
      <c r="H4697" s="5" t="n"/>
      <c r="I4697" s="5" t="n"/>
      <c r="J4697" s="6" t="n"/>
      <c r="K4697" s="6" t="n"/>
      <c r="L4697" s="7">
        <f>IF(OR(D4697="",N(J4697)=0),"",MIN(1,N(K4697)/J4697))</f>
        <v/>
      </c>
      <c r="M4697" s="5" t="n"/>
      <c r="N4697" s="5" t="n"/>
      <c r="O4697" s="5" t="n"/>
      <c r="P4697" s="5" t="n"/>
      <c r="Q4697" s="5" t="n"/>
      <c r="R4697" s="4" t="n"/>
      <c r="S4697" s="4" t="n"/>
      <c r="T4697" s="5" t="n"/>
      <c r="U4697" s="8">
        <f>IF(AND(V4697=1,D4697&lt;&gt;""),IF(D4697&gt;=corte,TODAY()-D4697,""),"")</f>
        <v/>
      </c>
      <c r="V4697" s="8">
        <f>IF(D4697="",0,IF(OR(AND(P4697&lt;&gt;"",S4697=""),AND(N(J4697)&gt;0,N(K4697)&lt;J4697),OR(M4697="PENDENTE",M4697="PARCIAL"),OR(N4697="PENDENTE",N4697="PARCIAL")),1,0))</f>
        <v/>
      </c>
      <c r="W4697" s="8">
        <f>IF(AND(V4697=1,D4697&lt;&gt;""),IF(D4697&gt;=corte,(B4697="CRÍTICO")*1E9+(100000-D4697)*10000+10000-ROW(),""),"")</f>
        <v/>
      </c>
      <c r="X4697" s="8">
        <f>IF(AND(V4697=1,D4697=pas_data,E4697=pas_turno),10000-ROW(),"")</f>
        <v/>
      </c>
    </row>
    <row r="4698">
      <c r="A4698" s="3">
        <f>IF(D4698="","","TT-"&amp;TEXT(ROW()-1,"00000"))</f>
        <v/>
      </c>
      <c r="B4698" s="3">
        <f>IF(D4698="","",IF(V4698=0,"CONCLUÍDO",IF(D4698&lt;corte,"HISTÓRICO",IF(OR(AND(ISNUMBER(R4698),R4698&lt;TODAY()),AND(OR(N4698="PENDENTE",N4698="PARCIAL"),D4698&lt;TODAY()-1)),"CRÍTICO",IF(OR(AND(P4698&lt;&gt;"",S4698=""),AND(N4698="REALIZADO",M4698="PENDENTE"),AND(ISNUMBER(R4698),R4698=TODAY())),"ATENÇÃO",IF(N(K4698)=0,"PENDENTE","EM ANDAMENTO"))))))</f>
        <v/>
      </c>
      <c r="C4698" s="3">
        <f>IF(D4698="","",IF(V4698=0,"🟢 OK",IF(D4698&lt;corte,"⚪ HISTÓRICO (sem baixa)",IF(AND(ISNUMBER(R4698),R4698&lt;TODAY()),"🔴 PRAZO VENCIDO",IF(AND(OR(N4698="PENDENTE",N4698="PARCIAL"),D4698&lt;TODAY()-1),"🔴 EMBARQUE ATRASADO",IF(AND(N4698="REALIZADO",M4698="PENDENTE"),"🟡 EMBARCADO SEM FATURAR",IF(AND(P4698&lt;&gt;"",S4698="",OR(Q4698="",R4698="")),"🟡 PENDÊNCIA SEM RESPONSÁVEL/PRAZO",IF(AND(ISNUMBER(R4698),R4698=TODAY()),"🟡 VENCE HOJE",IF(AND(P4698&lt;&gt;"",S4698=""),"🟡 PENDÊNCIA ABERTA",IF(AND(N(J4698)&gt;0,N(K4698)&lt;J4698),"🟡 FALTA EXECUTAR",IF(OR(M4698="PENDENTE",M4698="PARCIAL"),"🟡 FATURAMENTO PENDENTE","🟡 EMBARQUE PENDENTE")))))))))))</f>
        <v/>
      </c>
      <c r="D4698" s="4" t="n"/>
      <c r="E4698" s="5" t="n"/>
      <c r="F4698" s="5" t="n"/>
      <c r="G4698" s="5" t="n"/>
      <c r="H4698" s="5" t="n"/>
      <c r="I4698" s="5" t="n"/>
      <c r="J4698" s="6" t="n"/>
      <c r="K4698" s="6" t="n"/>
      <c r="L4698" s="7">
        <f>IF(OR(D4698="",N(J4698)=0),"",MIN(1,N(K4698)/J4698))</f>
        <v/>
      </c>
      <c r="M4698" s="5" t="n"/>
      <c r="N4698" s="5" t="n"/>
      <c r="O4698" s="5" t="n"/>
      <c r="P4698" s="5" t="n"/>
      <c r="Q4698" s="5" t="n"/>
      <c r="R4698" s="4" t="n"/>
      <c r="S4698" s="4" t="n"/>
      <c r="T4698" s="5" t="n"/>
      <c r="U4698" s="8">
        <f>IF(AND(V4698=1,D4698&lt;&gt;""),IF(D4698&gt;=corte,TODAY()-D4698,""),"")</f>
        <v/>
      </c>
      <c r="V4698" s="8">
        <f>IF(D4698="",0,IF(OR(AND(P4698&lt;&gt;"",S4698=""),AND(N(J4698)&gt;0,N(K4698)&lt;J4698),OR(M4698="PENDENTE",M4698="PARCIAL"),OR(N4698="PENDENTE",N4698="PARCIAL")),1,0))</f>
        <v/>
      </c>
      <c r="W4698" s="8">
        <f>IF(AND(V4698=1,D4698&lt;&gt;""),IF(D4698&gt;=corte,(B4698="CRÍTICO")*1E9+(100000-D4698)*10000+10000-ROW(),""),"")</f>
        <v/>
      </c>
      <c r="X4698" s="8">
        <f>IF(AND(V4698=1,D4698=pas_data,E4698=pas_turno),10000-ROW(),"")</f>
        <v/>
      </c>
    </row>
    <row r="4699">
      <c r="A4699" s="3">
        <f>IF(D4699="","","TT-"&amp;TEXT(ROW()-1,"00000"))</f>
        <v/>
      </c>
      <c r="B4699" s="3">
        <f>IF(D4699="","",IF(V4699=0,"CONCLUÍDO",IF(D4699&lt;corte,"HISTÓRICO",IF(OR(AND(ISNUMBER(R4699),R4699&lt;TODAY()),AND(OR(N4699="PENDENTE",N4699="PARCIAL"),D4699&lt;TODAY()-1)),"CRÍTICO",IF(OR(AND(P4699&lt;&gt;"",S4699=""),AND(N4699="REALIZADO",M4699="PENDENTE"),AND(ISNUMBER(R4699),R4699=TODAY())),"ATENÇÃO",IF(N(K4699)=0,"PENDENTE","EM ANDAMENTO"))))))</f>
        <v/>
      </c>
      <c r="C4699" s="3">
        <f>IF(D4699="","",IF(V4699=0,"🟢 OK",IF(D4699&lt;corte,"⚪ HISTÓRICO (sem baixa)",IF(AND(ISNUMBER(R4699),R4699&lt;TODAY()),"🔴 PRAZO VENCIDO",IF(AND(OR(N4699="PENDENTE",N4699="PARCIAL"),D4699&lt;TODAY()-1),"🔴 EMBARQUE ATRASADO",IF(AND(N4699="REALIZADO",M4699="PENDENTE"),"🟡 EMBARCADO SEM FATURAR",IF(AND(P4699&lt;&gt;"",S4699="",OR(Q4699="",R4699="")),"🟡 PENDÊNCIA SEM RESPONSÁVEL/PRAZO",IF(AND(ISNUMBER(R4699),R4699=TODAY()),"🟡 VENCE HOJE",IF(AND(P4699&lt;&gt;"",S4699=""),"🟡 PENDÊNCIA ABERTA",IF(AND(N(J4699)&gt;0,N(K4699)&lt;J4699),"🟡 FALTA EXECUTAR",IF(OR(M4699="PENDENTE",M4699="PARCIAL"),"🟡 FATURAMENTO PENDENTE","🟡 EMBARQUE PENDENTE")))))))))))</f>
        <v/>
      </c>
      <c r="D4699" s="4" t="n"/>
      <c r="E4699" s="5" t="n"/>
      <c r="F4699" s="5" t="n"/>
      <c r="G4699" s="5" t="n"/>
      <c r="H4699" s="5" t="n"/>
      <c r="I4699" s="5" t="n"/>
      <c r="J4699" s="6" t="n"/>
      <c r="K4699" s="6" t="n"/>
      <c r="L4699" s="7">
        <f>IF(OR(D4699="",N(J4699)=0),"",MIN(1,N(K4699)/J4699))</f>
        <v/>
      </c>
      <c r="M4699" s="5" t="n"/>
      <c r="N4699" s="5" t="n"/>
      <c r="O4699" s="5" t="n"/>
      <c r="P4699" s="5" t="n"/>
      <c r="Q4699" s="5" t="n"/>
      <c r="R4699" s="4" t="n"/>
      <c r="S4699" s="4" t="n"/>
      <c r="T4699" s="5" t="n"/>
      <c r="U4699" s="8">
        <f>IF(AND(V4699=1,D4699&lt;&gt;""),IF(D4699&gt;=corte,TODAY()-D4699,""),"")</f>
        <v/>
      </c>
      <c r="V4699" s="8">
        <f>IF(D4699="",0,IF(OR(AND(P4699&lt;&gt;"",S4699=""),AND(N(J4699)&gt;0,N(K4699)&lt;J4699),OR(M4699="PENDENTE",M4699="PARCIAL"),OR(N4699="PENDENTE",N4699="PARCIAL")),1,0))</f>
        <v/>
      </c>
      <c r="W4699" s="8">
        <f>IF(AND(V4699=1,D4699&lt;&gt;""),IF(D4699&gt;=corte,(B4699="CRÍTICO")*1E9+(100000-D4699)*10000+10000-ROW(),""),"")</f>
        <v/>
      </c>
      <c r="X4699" s="8">
        <f>IF(AND(V4699=1,D4699=pas_data,E4699=pas_turno),10000-ROW(),"")</f>
        <v/>
      </c>
    </row>
    <row r="4700">
      <c r="A4700" s="3">
        <f>IF(D4700="","","TT-"&amp;TEXT(ROW()-1,"00000"))</f>
        <v/>
      </c>
      <c r="B4700" s="3">
        <f>IF(D4700="","",IF(V4700=0,"CONCLUÍDO",IF(D4700&lt;corte,"HISTÓRICO",IF(OR(AND(ISNUMBER(R4700),R4700&lt;TODAY()),AND(OR(N4700="PENDENTE",N4700="PARCIAL"),D4700&lt;TODAY()-1)),"CRÍTICO",IF(OR(AND(P4700&lt;&gt;"",S4700=""),AND(N4700="REALIZADO",M4700="PENDENTE"),AND(ISNUMBER(R4700),R4700=TODAY())),"ATENÇÃO",IF(N(K4700)=0,"PENDENTE","EM ANDAMENTO"))))))</f>
        <v/>
      </c>
      <c r="C4700" s="3">
        <f>IF(D4700="","",IF(V4700=0,"🟢 OK",IF(D4700&lt;corte,"⚪ HISTÓRICO (sem baixa)",IF(AND(ISNUMBER(R4700),R4700&lt;TODAY()),"🔴 PRAZO VENCIDO",IF(AND(OR(N4700="PENDENTE",N4700="PARCIAL"),D4700&lt;TODAY()-1),"🔴 EMBARQUE ATRASADO",IF(AND(N4700="REALIZADO",M4700="PENDENTE"),"🟡 EMBARCADO SEM FATURAR",IF(AND(P4700&lt;&gt;"",S4700="",OR(Q4700="",R4700="")),"🟡 PENDÊNCIA SEM RESPONSÁVEL/PRAZO",IF(AND(ISNUMBER(R4700),R4700=TODAY()),"🟡 VENCE HOJE",IF(AND(P4700&lt;&gt;"",S4700=""),"🟡 PENDÊNCIA ABERTA",IF(AND(N(J4700)&gt;0,N(K4700)&lt;J4700),"🟡 FALTA EXECUTAR",IF(OR(M4700="PENDENTE",M4700="PARCIAL"),"🟡 FATURAMENTO PENDENTE","🟡 EMBARQUE PENDENTE")))))))))))</f>
        <v/>
      </c>
      <c r="D4700" s="4" t="n"/>
      <c r="E4700" s="5" t="n"/>
      <c r="F4700" s="5" t="n"/>
      <c r="G4700" s="5" t="n"/>
      <c r="H4700" s="5" t="n"/>
      <c r="I4700" s="5" t="n"/>
      <c r="J4700" s="6" t="n"/>
      <c r="K4700" s="6" t="n"/>
      <c r="L4700" s="7">
        <f>IF(OR(D4700="",N(J4700)=0),"",MIN(1,N(K4700)/J4700))</f>
        <v/>
      </c>
      <c r="M4700" s="5" t="n"/>
      <c r="N4700" s="5" t="n"/>
      <c r="O4700" s="5" t="n"/>
      <c r="P4700" s="5" t="n"/>
      <c r="Q4700" s="5" t="n"/>
      <c r="R4700" s="4" t="n"/>
      <c r="S4700" s="4" t="n"/>
      <c r="T4700" s="5" t="n"/>
      <c r="U4700" s="8">
        <f>IF(AND(V4700=1,D4700&lt;&gt;""),IF(D4700&gt;=corte,TODAY()-D4700,""),"")</f>
        <v/>
      </c>
      <c r="V4700" s="8">
        <f>IF(D4700="",0,IF(OR(AND(P4700&lt;&gt;"",S4700=""),AND(N(J4700)&gt;0,N(K4700)&lt;J4700),OR(M4700="PENDENTE",M4700="PARCIAL"),OR(N4700="PENDENTE",N4700="PARCIAL")),1,0))</f>
        <v/>
      </c>
      <c r="W4700" s="8">
        <f>IF(AND(V4700=1,D4700&lt;&gt;""),IF(D4700&gt;=corte,(B4700="CRÍTICO")*1E9+(100000-D4700)*10000+10000-ROW(),""),"")</f>
        <v/>
      </c>
      <c r="X4700" s="8">
        <f>IF(AND(V4700=1,D4700=pas_data,E4700=pas_turno),10000-ROW(),"")</f>
        <v/>
      </c>
    </row>
    <row r="4701">
      <c r="A4701" s="3">
        <f>IF(D4701="","","TT-"&amp;TEXT(ROW()-1,"00000"))</f>
        <v/>
      </c>
      <c r="B4701" s="3">
        <f>IF(D4701="","",IF(V4701=0,"CONCLUÍDO",IF(D4701&lt;corte,"HISTÓRICO",IF(OR(AND(ISNUMBER(R4701),R4701&lt;TODAY()),AND(OR(N4701="PENDENTE",N4701="PARCIAL"),D4701&lt;TODAY()-1)),"CRÍTICO",IF(OR(AND(P4701&lt;&gt;"",S4701=""),AND(N4701="REALIZADO",M4701="PENDENTE"),AND(ISNUMBER(R4701),R4701=TODAY())),"ATENÇÃO",IF(N(K4701)=0,"PENDENTE","EM ANDAMENTO"))))))</f>
        <v/>
      </c>
      <c r="C4701" s="3">
        <f>IF(D4701="","",IF(V4701=0,"🟢 OK",IF(D4701&lt;corte,"⚪ HISTÓRICO (sem baixa)",IF(AND(ISNUMBER(R4701),R4701&lt;TODAY()),"🔴 PRAZO VENCIDO",IF(AND(OR(N4701="PENDENTE",N4701="PARCIAL"),D4701&lt;TODAY()-1),"🔴 EMBARQUE ATRASADO",IF(AND(N4701="REALIZADO",M4701="PENDENTE"),"🟡 EMBARCADO SEM FATURAR",IF(AND(P4701&lt;&gt;"",S4701="",OR(Q4701="",R4701="")),"🟡 PENDÊNCIA SEM RESPONSÁVEL/PRAZO",IF(AND(ISNUMBER(R4701),R4701=TODAY()),"🟡 VENCE HOJE",IF(AND(P4701&lt;&gt;"",S4701=""),"🟡 PENDÊNCIA ABERTA",IF(AND(N(J4701)&gt;0,N(K4701)&lt;J4701),"🟡 FALTA EXECUTAR",IF(OR(M4701="PENDENTE",M4701="PARCIAL"),"🟡 FATURAMENTO PENDENTE","🟡 EMBARQUE PENDENTE")))))))))))</f>
        <v/>
      </c>
      <c r="D4701" s="4" t="n"/>
      <c r="E4701" s="5" t="n"/>
      <c r="F4701" s="5" t="n"/>
      <c r="G4701" s="5" t="n"/>
      <c r="H4701" s="5" t="n"/>
      <c r="I4701" s="5" t="n"/>
      <c r="J4701" s="6" t="n"/>
      <c r="K4701" s="6" t="n"/>
      <c r="L4701" s="7">
        <f>IF(OR(D4701="",N(J4701)=0),"",MIN(1,N(K4701)/J4701))</f>
        <v/>
      </c>
      <c r="M4701" s="5" t="n"/>
      <c r="N4701" s="5" t="n"/>
      <c r="O4701" s="5" t="n"/>
      <c r="P4701" s="5" t="n"/>
      <c r="Q4701" s="5" t="n"/>
      <c r="R4701" s="4" t="n"/>
      <c r="S4701" s="4" t="n"/>
      <c r="T4701" s="5" t="n"/>
      <c r="U4701" s="8">
        <f>IF(AND(V4701=1,D4701&lt;&gt;""),IF(D4701&gt;=corte,TODAY()-D4701,""),"")</f>
        <v/>
      </c>
      <c r="V4701" s="8">
        <f>IF(D4701="",0,IF(OR(AND(P4701&lt;&gt;"",S4701=""),AND(N(J4701)&gt;0,N(K4701)&lt;J4701),OR(M4701="PENDENTE",M4701="PARCIAL"),OR(N4701="PENDENTE",N4701="PARCIAL")),1,0))</f>
        <v/>
      </c>
      <c r="W4701" s="8">
        <f>IF(AND(V4701=1,D4701&lt;&gt;""),IF(D4701&gt;=corte,(B4701="CRÍTICO")*1E9+(100000-D4701)*10000+10000-ROW(),""),"")</f>
        <v/>
      </c>
      <c r="X4701" s="8">
        <f>IF(AND(V4701=1,D4701=pas_data,E4701=pas_turno),10000-ROW(),"")</f>
        <v/>
      </c>
    </row>
    <row r="4702">
      <c r="A4702" s="3">
        <f>IF(D4702="","","TT-"&amp;TEXT(ROW()-1,"00000"))</f>
        <v/>
      </c>
      <c r="B4702" s="3">
        <f>IF(D4702="","",IF(V4702=0,"CONCLUÍDO",IF(D4702&lt;corte,"HISTÓRICO",IF(OR(AND(ISNUMBER(R4702),R4702&lt;TODAY()),AND(OR(N4702="PENDENTE",N4702="PARCIAL"),D4702&lt;TODAY()-1)),"CRÍTICO",IF(OR(AND(P4702&lt;&gt;"",S4702=""),AND(N4702="REALIZADO",M4702="PENDENTE"),AND(ISNUMBER(R4702),R4702=TODAY())),"ATENÇÃO",IF(N(K4702)=0,"PENDENTE","EM ANDAMENTO"))))))</f>
        <v/>
      </c>
      <c r="C4702" s="3">
        <f>IF(D4702="","",IF(V4702=0,"🟢 OK",IF(D4702&lt;corte,"⚪ HISTÓRICO (sem baixa)",IF(AND(ISNUMBER(R4702),R4702&lt;TODAY()),"🔴 PRAZO VENCIDO",IF(AND(OR(N4702="PENDENTE",N4702="PARCIAL"),D4702&lt;TODAY()-1),"🔴 EMBARQUE ATRASADO",IF(AND(N4702="REALIZADO",M4702="PENDENTE"),"🟡 EMBARCADO SEM FATURAR",IF(AND(P4702&lt;&gt;"",S4702="",OR(Q4702="",R4702="")),"🟡 PENDÊNCIA SEM RESPONSÁVEL/PRAZO",IF(AND(ISNUMBER(R4702),R4702=TODAY()),"🟡 VENCE HOJE",IF(AND(P4702&lt;&gt;"",S4702=""),"🟡 PENDÊNCIA ABERTA",IF(AND(N(J4702)&gt;0,N(K4702)&lt;J4702),"🟡 FALTA EXECUTAR",IF(OR(M4702="PENDENTE",M4702="PARCIAL"),"🟡 FATURAMENTO PENDENTE","🟡 EMBARQUE PENDENTE")))))))))))</f>
        <v/>
      </c>
      <c r="D4702" s="4" t="n"/>
      <c r="E4702" s="5" t="n"/>
      <c r="F4702" s="5" t="n"/>
      <c r="G4702" s="5" t="n"/>
      <c r="H4702" s="5" t="n"/>
      <c r="I4702" s="5" t="n"/>
      <c r="J4702" s="6" t="n"/>
      <c r="K4702" s="6" t="n"/>
      <c r="L4702" s="7">
        <f>IF(OR(D4702="",N(J4702)=0),"",MIN(1,N(K4702)/J4702))</f>
        <v/>
      </c>
      <c r="M4702" s="5" t="n"/>
      <c r="N4702" s="5" t="n"/>
      <c r="O4702" s="5" t="n"/>
      <c r="P4702" s="5" t="n"/>
      <c r="Q4702" s="5" t="n"/>
      <c r="R4702" s="4" t="n"/>
      <c r="S4702" s="4" t="n"/>
      <c r="T4702" s="5" t="n"/>
      <c r="U4702" s="8">
        <f>IF(AND(V4702=1,D4702&lt;&gt;""),IF(D4702&gt;=corte,TODAY()-D4702,""),"")</f>
        <v/>
      </c>
      <c r="V4702" s="8">
        <f>IF(D4702="",0,IF(OR(AND(P4702&lt;&gt;"",S4702=""),AND(N(J4702)&gt;0,N(K4702)&lt;J4702),OR(M4702="PENDENTE",M4702="PARCIAL"),OR(N4702="PENDENTE",N4702="PARCIAL")),1,0))</f>
        <v/>
      </c>
      <c r="W4702" s="8">
        <f>IF(AND(V4702=1,D4702&lt;&gt;""),IF(D4702&gt;=corte,(B4702="CRÍTICO")*1E9+(100000-D4702)*10000+10000-ROW(),""),"")</f>
        <v/>
      </c>
      <c r="X4702" s="8">
        <f>IF(AND(V4702=1,D4702=pas_data,E4702=pas_turno),10000-ROW(),"")</f>
        <v/>
      </c>
    </row>
    <row r="4703">
      <c r="A4703" s="3">
        <f>IF(D4703="","","TT-"&amp;TEXT(ROW()-1,"00000"))</f>
        <v/>
      </c>
      <c r="B4703" s="3">
        <f>IF(D4703="","",IF(V4703=0,"CONCLUÍDO",IF(D4703&lt;corte,"HISTÓRICO",IF(OR(AND(ISNUMBER(R4703),R4703&lt;TODAY()),AND(OR(N4703="PENDENTE",N4703="PARCIAL"),D4703&lt;TODAY()-1)),"CRÍTICO",IF(OR(AND(P4703&lt;&gt;"",S4703=""),AND(N4703="REALIZADO",M4703="PENDENTE"),AND(ISNUMBER(R4703),R4703=TODAY())),"ATENÇÃO",IF(N(K4703)=0,"PENDENTE","EM ANDAMENTO"))))))</f>
        <v/>
      </c>
      <c r="C4703" s="3">
        <f>IF(D4703="","",IF(V4703=0,"🟢 OK",IF(D4703&lt;corte,"⚪ HISTÓRICO (sem baixa)",IF(AND(ISNUMBER(R4703),R4703&lt;TODAY()),"🔴 PRAZO VENCIDO",IF(AND(OR(N4703="PENDENTE",N4703="PARCIAL"),D4703&lt;TODAY()-1),"🔴 EMBARQUE ATRASADO",IF(AND(N4703="REALIZADO",M4703="PENDENTE"),"🟡 EMBARCADO SEM FATURAR",IF(AND(P4703&lt;&gt;"",S4703="",OR(Q4703="",R4703="")),"🟡 PENDÊNCIA SEM RESPONSÁVEL/PRAZO",IF(AND(ISNUMBER(R4703),R4703=TODAY()),"🟡 VENCE HOJE",IF(AND(P4703&lt;&gt;"",S4703=""),"🟡 PENDÊNCIA ABERTA",IF(AND(N(J4703)&gt;0,N(K4703)&lt;J4703),"🟡 FALTA EXECUTAR",IF(OR(M4703="PENDENTE",M4703="PARCIAL"),"🟡 FATURAMENTO PENDENTE","🟡 EMBARQUE PENDENTE")))))))))))</f>
        <v/>
      </c>
      <c r="D4703" s="4" t="n"/>
      <c r="E4703" s="5" t="n"/>
      <c r="F4703" s="5" t="n"/>
      <c r="G4703" s="5" t="n"/>
      <c r="H4703" s="5" t="n"/>
      <c r="I4703" s="5" t="n"/>
      <c r="J4703" s="6" t="n"/>
      <c r="K4703" s="6" t="n"/>
      <c r="L4703" s="7">
        <f>IF(OR(D4703="",N(J4703)=0),"",MIN(1,N(K4703)/J4703))</f>
        <v/>
      </c>
      <c r="M4703" s="5" t="n"/>
      <c r="N4703" s="5" t="n"/>
      <c r="O4703" s="5" t="n"/>
      <c r="P4703" s="5" t="n"/>
      <c r="Q4703" s="5" t="n"/>
      <c r="R4703" s="4" t="n"/>
      <c r="S4703" s="4" t="n"/>
      <c r="T4703" s="5" t="n"/>
      <c r="U4703" s="8">
        <f>IF(AND(V4703=1,D4703&lt;&gt;""),IF(D4703&gt;=corte,TODAY()-D4703,""),"")</f>
        <v/>
      </c>
      <c r="V4703" s="8">
        <f>IF(D4703="",0,IF(OR(AND(P4703&lt;&gt;"",S4703=""),AND(N(J4703)&gt;0,N(K4703)&lt;J4703),OR(M4703="PENDENTE",M4703="PARCIAL"),OR(N4703="PENDENTE",N4703="PARCIAL")),1,0))</f>
        <v/>
      </c>
      <c r="W4703" s="8">
        <f>IF(AND(V4703=1,D4703&lt;&gt;""),IF(D4703&gt;=corte,(B4703="CRÍTICO")*1E9+(100000-D4703)*10000+10000-ROW(),""),"")</f>
        <v/>
      </c>
      <c r="X4703" s="8">
        <f>IF(AND(V4703=1,D4703=pas_data,E4703=pas_turno),10000-ROW(),"")</f>
        <v/>
      </c>
    </row>
    <row r="4704">
      <c r="A4704" s="3">
        <f>IF(D4704="","","TT-"&amp;TEXT(ROW()-1,"00000"))</f>
        <v/>
      </c>
      <c r="B4704" s="3">
        <f>IF(D4704="","",IF(V4704=0,"CONCLUÍDO",IF(D4704&lt;corte,"HISTÓRICO",IF(OR(AND(ISNUMBER(R4704),R4704&lt;TODAY()),AND(OR(N4704="PENDENTE",N4704="PARCIAL"),D4704&lt;TODAY()-1)),"CRÍTICO",IF(OR(AND(P4704&lt;&gt;"",S4704=""),AND(N4704="REALIZADO",M4704="PENDENTE"),AND(ISNUMBER(R4704),R4704=TODAY())),"ATENÇÃO",IF(N(K4704)=0,"PENDENTE","EM ANDAMENTO"))))))</f>
        <v/>
      </c>
      <c r="C4704" s="3">
        <f>IF(D4704="","",IF(V4704=0,"🟢 OK",IF(D4704&lt;corte,"⚪ HISTÓRICO (sem baixa)",IF(AND(ISNUMBER(R4704),R4704&lt;TODAY()),"🔴 PRAZO VENCIDO",IF(AND(OR(N4704="PENDENTE",N4704="PARCIAL"),D4704&lt;TODAY()-1),"🔴 EMBARQUE ATRASADO",IF(AND(N4704="REALIZADO",M4704="PENDENTE"),"🟡 EMBARCADO SEM FATURAR",IF(AND(P4704&lt;&gt;"",S4704="",OR(Q4704="",R4704="")),"🟡 PENDÊNCIA SEM RESPONSÁVEL/PRAZO",IF(AND(ISNUMBER(R4704),R4704=TODAY()),"🟡 VENCE HOJE",IF(AND(P4704&lt;&gt;"",S4704=""),"🟡 PENDÊNCIA ABERTA",IF(AND(N(J4704)&gt;0,N(K4704)&lt;J4704),"🟡 FALTA EXECUTAR",IF(OR(M4704="PENDENTE",M4704="PARCIAL"),"🟡 FATURAMENTO PENDENTE","🟡 EMBARQUE PENDENTE")))))))))))</f>
        <v/>
      </c>
      <c r="D4704" s="4" t="n"/>
      <c r="E4704" s="5" t="n"/>
      <c r="F4704" s="5" t="n"/>
      <c r="G4704" s="5" t="n"/>
      <c r="H4704" s="5" t="n"/>
      <c r="I4704" s="5" t="n"/>
      <c r="J4704" s="6" t="n"/>
      <c r="K4704" s="6" t="n"/>
      <c r="L4704" s="7">
        <f>IF(OR(D4704="",N(J4704)=0),"",MIN(1,N(K4704)/J4704))</f>
        <v/>
      </c>
      <c r="M4704" s="5" t="n"/>
      <c r="N4704" s="5" t="n"/>
      <c r="O4704" s="5" t="n"/>
      <c r="P4704" s="5" t="n"/>
      <c r="Q4704" s="5" t="n"/>
      <c r="R4704" s="4" t="n"/>
      <c r="S4704" s="4" t="n"/>
      <c r="T4704" s="5" t="n"/>
      <c r="U4704" s="8">
        <f>IF(AND(V4704=1,D4704&lt;&gt;""),IF(D4704&gt;=corte,TODAY()-D4704,""),"")</f>
        <v/>
      </c>
      <c r="V4704" s="8">
        <f>IF(D4704="",0,IF(OR(AND(P4704&lt;&gt;"",S4704=""),AND(N(J4704)&gt;0,N(K4704)&lt;J4704),OR(M4704="PENDENTE",M4704="PARCIAL"),OR(N4704="PENDENTE",N4704="PARCIAL")),1,0))</f>
        <v/>
      </c>
      <c r="W4704" s="8">
        <f>IF(AND(V4704=1,D4704&lt;&gt;""),IF(D4704&gt;=corte,(B4704="CRÍTICO")*1E9+(100000-D4704)*10000+10000-ROW(),""),"")</f>
        <v/>
      </c>
      <c r="X4704" s="8">
        <f>IF(AND(V4704=1,D4704=pas_data,E4704=pas_turno),10000-ROW(),"")</f>
        <v/>
      </c>
    </row>
    <row r="4705">
      <c r="A4705" s="3">
        <f>IF(D4705="","","TT-"&amp;TEXT(ROW()-1,"00000"))</f>
        <v/>
      </c>
      <c r="B4705" s="3">
        <f>IF(D4705="","",IF(V4705=0,"CONCLUÍDO",IF(D4705&lt;corte,"HISTÓRICO",IF(OR(AND(ISNUMBER(R4705),R4705&lt;TODAY()),AND(OR(N4705="PENDENTE",N4705="PARCIAL"),D4705&lt;TODAY()-1)),"CRÍTICO",IF(OR(AND(P4705&lt;&gt;"",S4705=""),AND(N4705="REALIZADO",M4705="PENDENTE"),AND(ISNUMBER(R4705),R4705=TODAY())),"ATENÇÃO",IF(N(K4705)=0,"PENDENTE","EM ANDAMENTO"))))))</f>
        <v/>
      </c>
      <c r="C4705" s="3">
        <f>IF(D4705="","",IF(V4705=0,"🟢 OK",IF(D4705&lt;corte,"⚪ HISTÓRICO (sem baixa)",IF(AND(ISNUMBER(R4705),R4705&lt;TODAY()),"🔴 PRAZO VENCIDO",IF(AND(OR(N4705="PENDENTE",N4705="PARCIAL"),D4705&lt;TODAY()-1),"🔴 EMBARQUE ATRASADO",IF(AND(N4705="REALIZADO",M4705="PENDENTE"),"🟡 EMBARCADO SEM FATURAR",IF(AND(P4705&lt;&gt;"",S4705="",OR(Q4705="",R4705="")),"🟡 PENDÊNCIA SEM RESPONSÁVEL/PRAZO",IF(AND(ISNUMBER(R4705),R4705=TODAY()),"🟡 VENCE HOJE",IF(AND(P4705&lt;&gt;"",S4705=""),"🟡 PENDÊNCIA ABERTA",IF(AND(N(J4705)&gt;0,N(K4705)&lt;J4705),"🟡 FALTA EXECUTAR",IF(OR(M4705="PENDENTE",M4705="PARCIAL"),"🟡 FATURAMENTO PENDENTE","🟡 EMBARQUE PENDENTE")))))))))))</f>
        <v/>
      </c>
      <c r="D4705" s="4" t="n"/>
      <c r="E4705" s="5" t="n"/>
      <c r="F4705" s="5" t="n"/>
      <c r="G4705" s="5" t="n"/>
      <c r="H4705" s="5" t="n"/>
      <c r="I4705" s="5" t="n"/>
      <c r="J4705" s="6" t="n"/>
      <c r="K4705" s="6" t="n"/>
      <c r="L4705" s="7">
        <f>IF(OR(D4705="",N(J4705)=0),"",MIN(1,N(K4705)/J4705))</f>
        <v/>
      </c>
      <c r="M4705" s="5" t="n"/>
      <c r="N4705" s="5" t="n"/>
      <c r="O4705" s="5" t="n"/>
      <c r="P4705" s="5" t="n"/>
      <c r="Q4705" s="5" t="n"/>
      <c r="R4705" s="4" t="n"/>
      <c r="S4705" s="4" t="n"/>
      <c r="T4705" s="5" t="n"/>
      <c r="U4705" s="8">
        <f>IF(AND(V4705=1,D4705&lt;&gt;""),IF(D4705&gt;=corte,TODAY()-D4705,""),"")</f>
        <v/>
      </c>
      <c r="V4705" s="8">
        <f>IF(D4705="",0,IF(OR(AND(P4705&lt;&gt;"",S4705=""),AND(N(J4705)&gt;0,N(K4705)&lt;J4705),OR(M4705="PENDENTE",M4705="PARCIAL"),OR(N4705="PENDENTE",N4705="PARCIAL")),1,0))</f>
        <v/>
      </c>
      <c r="W4705" s="8">
        <f>IF(AND(V4705=1,D4705&lt;&gt;""),IF(D4705&gt;=corte,(B4705="CRÍTICO")*1E9+(100000-D4705)*10000+10000-ROW(),""),"")</f>
        <v/>
      </c>
      <c r="X4705" s="8">
        <f>IF(AND(V4705=1,D4705=pas_data,E4705=pas_turno),10000-ROW(),"")</f>
        <v/>
      </c>
    </row>
    <row r="4706">
      <c r="A4706" s="3">
        <f>IF(D4706="","","TT-"&amp;TEXT(ROW()-1,"00000"))</f>
        <v/>
      </c>
      <c r="B4706" s="3">
        <f>IF(D4706="","",IF(V4706=0,"CONCLUÍDO",IF(D4706&lt;corte,"HISTÓRICO",IF(OR(AND(ISNUMBER(R4706),R4706&lt;TODAY()),AND(OR(N4706="PENDENTE",N4706="PARCIAL"),D4706&lt;TODAY()-1)),"CRÍTICO",IF(OR(AND(P4706&lt;&gt;"",S4706=""),AND(N4706="REALIZADO",M4706="PENDENTE"),AND(ISNUMBER(R4706),R4706=TODAY())),"ATENÇÃO",IF(N(K4706)=0,"PENDENTE","EM ANDAMENTO"))))))</f>
        <v/>
      </c>
      <c r="C4706" s="3">
        <f>IF(D4706="","",IF(V4706=0,"🟢 OK",IF(D4706&lt;corte,"⚪ HISTÓRICO (sem baixa)",IF(AND(ISNUMBER(R4706),R4706&lt;TODAY()),"🔴 PRAZO VENCIDO",IF(AND(OR(N4706="PENDENTE",N4706="PARCIAL"),D4706&lt;TODAY()-1),"🔴 EMBARQUE ATRASADO",IF(AND(N4706="REALIZADO",M4706="PENDENTE"),"🟡 EMBARCADO SEM FATURAR",IF(AND(P4706&lt;&gt;"",S4706="",OR(Q4706="",R4706="")),"🟡 PENDÊNCIA SEM RESPONSÁVEL/PRAZO",IF(AND(ISNUMBER(R4706),R4706=TODAY()),"🟡 VENCE HOJE",IF(AND(P4706&lt;&gt;"",S4706=""),"🟡 PENDÊNCIA ABERTA",IF(AND(N(J4706)&gt;0,N(K4706)&lt;J4706),"🟡 FALTA EXECUTAR",IF(OR(M4706="PENDENTE",M4706="PARCIAL"),"🟡 FATURAMENTO PENDENTE","🟡 EMBARQUE PENDENTE")))))))))))</f>
        <v/>
      </c>
      <c r="D4706" s="4" t="n"/>
      <c r="E4706" s="5" t="n"/>
      <c r="F4706" s="5" t="n"/>
      <c r="G4706" s="5" t="n"/>
      <c r="H4706" s="5" t="n"/>
      <c r="I4706" s="5" t="n"/>
      <c r="J4706" s="6" t="n"/>
      <c r="K4706" s="6" t="n"/>
      <c r="L4706" s="7">
        <f>IF(OR(D4706="",N(J4706)=0),"",MIN(1,N(K4706)/J4706))</f>
        <v/>
      </c>
      <c r="M4706" s="5" t="n"/>
      <c r="N4706" s="5" t="n"/>
      <c r="O4706" s="5" t="n"/>
      <c r="P4706" s="5" t="n"/>
      <c r="Q4706" s="5" t="n"/>
      <c r="R4706" s="4" t="n"/>
      <c r="S4706" s="4" t="n"/>
      <c r="T4706" s="5" t="n"/>
      <c r="U4706" s="8">
        <f>IF(AND(V4706=1,D4706&lt;&gt;""),IF(D4706&gt;=corte,TODAY()-D4706,""),"")</f>
        <v/>
      </c>
      <c r="V4706" s="8">
        <f>IF(D4706="",0,IF(OR(AND(P4706&lt;&gt;"",S4706=""),AND(N(J4706)&gt;0,N(K4706)&lt;J4706),OR(M4706="PENDENTE",M4706="PARCIAL"),OR(N4706="PENDENTE",N4706="PARCIAL")),1,0))</f>
        <v/>
      </c>
      <c r="W4706" s="8">
        <f>IF(AND(V4706=1,D4706&lt;&gt;""),IF(D4706&gt;=corte,(B4706="CRÍTICO")*1E9+(100000-D4706)*10000+10000-ROW(),""),"")</f>
        <v/>
      </c>
      <c r="X4706" s="8">
        <f>IF(AND(V4706=1,D4706=pas_data,E4706=pas_turno),10000-ROW(),"")</f>
        <v/>
      </c>
    </row>
    <row r="4707">
      <c r="A4707" s="3">
        <f>IF(D4707="","","TT-"&amp;TEXT(ROW()-1,"00000"))</f>
        <v/>
      </c>
      <c r="B4707" s="3">
        <f>IF(D4707="","",IF(V4707=0,"CONCLUÍDO",IF(D4707&lt;corte,"HISTÓRICO",IF(OR(AND(ISNUMBER(R4707),R4707&lt;TODAY()),AND(OR(N4707="PENDENTE",N4707="PARCIAL"),D4707&lt;TODAY()-1)),"CRÍTICO",IF(OR(AND(P4707&lt;&gt;"",S4707=""),AND(N4707="REALIZADO",M4707="PENDENTE"),AND(ISNUMBER(R4707),R4707=TODAY())),"ATENÇÃO",IF(N(K4707)=0,"PENDENTE","EM ANDAMENTO"))))))</f>
        <v/>
      </c>
      <c r="C4707" s="3">
        <f>IF(D4707="","",IF(V4707=0,"🟢 OK",IF(D4707&lt;corte,"⚪ HISTÓRICO (sem baixa)",IF(AND(ISNUMBER(R4707),R4707&lt;TODAY()),"🔴 PRAZO VENCIDO",IF(AND(OR(N4707="PENDENTE",N4707="PARCIAL"),D4707&lt;TODAY()-1),"🔴 EMBARQUE ATRASADO",IF(AND(N4707="REALIZADO",M4707="PENDENTE"),"🟡 EMBARCADO SEM FATURAR",IF(AND(P4707&lt;&gt;"",S4707="",OR(Q4707="",R4707="")),"🟡 PENDÊNCIA SEM RESPONSÁVEL/PRAZO",IF(AND(ISNUMBER(R4707),R4707=TODAY()),"🟡 VENCE HOJE",IF(AND(P4707&lt;&gt;"",S4707=""),"🟡 PENDÊNCIA ABERTA",IF(AND(N(J4707)&gt;0,N(K4707)&lt;J4707),"🟡 FALTA EXECUTAR",IF(OR(M4707="PENDENTE",M4707="PARCIAL"),"🟡 FATURAMENTO PENDENTE","🟡 EMBARQUE PENDENTE")))))))))))</f>
        <v/>
      </c>
      <c r="D4707" s="4" t="n"/>
      <c r="E4707" s="5" t="n"/>
      <c r="F4707" s="5" t="n"/>
      <c r="G4707" s="5" t="n"/>
      <c r="H4707" s="5" t="n"/>
      <c r="I4707" s="5" t="n"/>
      <c r="J4707" s="6" t="n"/>
      <c r="K4707" s="6" t="n"/>
      <c r="L4707" s="7">
        <f>IF(OR(D4707="",N(J4707)=0),"",MIN(1,N(K4707)/J4707))</f>
        <v/>
      </c>
      <c r="M4707" s="5" t="n"/>
      <c r="N4707" s="5" t="n"/>
      <c r="O4707" s="5" t="n"/>
      <c r="P4707" s="5" t="n"/>
      <c r="Q4707" s="5" t="n"/>
      <c r="R4707" s="4" t="n"/>
      <c r="S4707" s="4" t="n"/>
      <c r="T4707" s="5" t="n"/>
      <c r="U4707" s="8">
        <f>IF(AND(V4707=1,D4707&lt;&gt;""),IF(D4707&gt;=corte,TODAY()-D4707,""),"")</f>
        <v/>
      </c>
      <c r="V4707" s="8">
        <f>IF(D4707="",0,IF(OR(AND(P4707&lt;&gt;"",S4707=""),AND(N(J4707)&gt;0,N(K4707)&lt;J4707),OR(M4707="PENDENTE",M4707="PARCIAL"),OR(N4707="PENDENTE",N4707="PARCIAL")),1,0))</f>
        <v/>
      </c>
      <c r="W4707" s="8">
        <f>IF(AND(V4707=1,D4707&lt;&gt;""),IF(D4707&gt;=corte,(B4707="CRÍTICO")*1E9+(100000-D4707)*10000+10000-ROW(),""),"")</f>
        <v/>
      </c>
      <c r="X4707" s="8">
        <f>IF(AND(V4707=1,D4707=pas_data,E4707=pas_turno),10000-ROW(),"")</f>
        <v/>
      </c>
    </row>
    <row r="4708">
      <c r="A4708" s="3">
        <f>IF(D4708="","","TT-"&amp;TEXT(ROW()-1,"00000"))</f>
        <v/>
      </c>
      <c r="B4708" s="3">
        <f>IF(D4708="","",IF(V4708=0,"CONCLUÍDO",IF(D4708&lt;corte,"HISTÓRICO",IF(OR(AND(ISNUMBER(R4708),R4708&lt;TODAY()),AND(OR(N4708="PENDENTE",N4708="PARCIAL"),D4708&lt;TODAY()-1)),"CRÍTICO",IF(OR(AND(P4708&lt;&gt;"",S4708=""),AND(N4708="REALIZADO",M4708="PENDENTE"),AND(ISNUMBER(R4708),R4708=TODAY())),"ATENÇÃO",IF(N(K4708)=0,"PENDENTE","EM ANDAMENTO"))))))</f>
        <v/>
      </c>
      <c r="C4708" s="3">
        <f>IF(D4708="","",IF(V4708=0,"🟢 OK",IF(D4708&lt;corte,"⚪ HISTÓRICO (sem baixa)",IF(AND(ISNUMBER(R4708),R4708&lt;TODAY()),"🔴 PRAZO VENCIDO",IF(AND(OR(N4708="PENDENTE",N4708="PARCIAL"),D4708&lt;TODAY()-1),"🔴 EMBARQUE ATRASADO",IF(AND(N4708="REALIZADO",M4708="PENDENTE"),"🟡 EMBARCADO SEM FATURAR",IF(AND(P4708&lt;&gt;"",S4708="",OR(Q4708="",R4708="")),"🟡 PENDÊNCIA SEM RESPONSÁVEL/PRAZO",IF(AND(ISNUMBER(R4708),R4708=TODAY()),"🟡 VENCE HOJE",IF(AND(P4708&lt;&gt;"",S4708=""),"🟡 PENDÊNCIA ABERTA",IF(AND(N(J4708)&gt;0,N(K4708)&lt;J4708),"🟡 FALTA EXECUTAR",IF(OR(M4708="PENDENTE",M4708="PARCIAL"),"🟡 FATURAMENTO PENDENTE","🟡 EMBARQUE PENDENTE")))))))))))</f>
        <v/>
      </c>
      <c r="D4708" s="4" t="n"/>
      <c r="E4708" s="5" t="n"/>
      <c r="F4708" s="5" t="n"/>
      <c r="G4708" s="5" t="n"/>
      <c r="H4708" s="5" t="n"/>
      <c r="I4708" s="5" t="n"/>
      <c r="J4708" s="6" t="n"/>
      <c r="K4708" s="6" t="n"/>
      <c r="L4708" s="7">
        <f>IF(OR(D4708="",N(J4708)=0),"",MIN(1,N(K4708)/J4708))</f>
        <v/>
      </c>
      <c r="M4708" s="5" t="n"/>
      <c r="N4708" s="5" t="n"/>
      <c r="O4708" s="5" t="n"/>
      <c r="P4708" s="5" t="n"/>
      <c r="Q4708" s="5" t="n"/>
      <c r="R4708" s="4" t="n"/>
      <c r="S4708" s="4" t="n"/>
      <c r="T4708" s="5" t="n"/>
      <c r="U4708" s="8">
        <f>IF(AND(V4708=1,D4708&lt;&gt;""),IF(D4708&gt;=corte,TODAY()-D4708,""),"")</f>
        <v/>
      </c>
      <c r="V4708" s="8">
        <f>IF(D4708="",0,IF(OR(AND(P4708&lt;&gt;"",S4708=""),AND(N(J4708)&gt;0,N(K4708)&lt;J4708),OR(M4708="PENDENTE",M4708="PARCIAL"),OR(N4708="PENDENTE",N4708="PARCIAL")),1,0))</f>
        <v/>
      </c>
      <c r="W4708" s="8">
        <f>IF(AND(V4708=1,D4708&lt;&gt;""),IF(D4708&gt;=corte,(B4708="CRÍTICO")*1E9+(100000-D4708)*10000+10000-ROW(),""),"")</f>
        <v/>
      </c>
      <c r="X4708" s="8">
        <f>IF(AND(V4708=1,D4708=pas_data,E4708=pas_turno),10000-ROW(),"")</f>
        <v/>
      </c>
    </row>
    <row r="4709">
      <c r="A4709" s="3">
        <f>IF(D4709="","","TT-"&amp;TEXT(ROW()-1,"00000"))</f>
        <v/>
      </c>
      <c r="B4709" s="3">
        <f>IF(D4709="","",IF(V4709=0,"CONCLUÍDO",IF(D4709&lt;corte,"HISTÓRICO",IF(OR(AND(ISNUMBER(R4709),R4709&lt;TODAY()),AND(OR(N4709="PENDENTE",N4709="PARCIAL"),D4709&lt;TODAY()-1)),"CRÍTICO",IF(OR(AND(P4709&lt;&gt;"",S4709=""),AND(N4709="REALIZADO",M4709="PENDENTE"),AND(ISNUMBER(R4709),R4709=TODAY())),"ATENÇÃO",IF(N(K4709)=0,"PENDENTE","EM ANDAMENTO"))))))</f>
        <v/>
      </c>
      <c r="C4709" s="3">
        <f>IF(D4709="","",IF(V4709=0,"🟢 OK",IF(D4709&lt;corte,"⚪ HISTÓRICO (sem baixa)",IF(AND(ISNUMBER(R4709),R4709&lt;TODAY()),"🔴 PRAZO VENCIDO",IF(AND(OR(N4709="PENDENTE",N4709="PARCIAL"),D4709&lt;TODAY()-1),"🔴 EMBARQUE ATRASADO",IF(AND(N4709="REALIZADO",M4709="PENDENTE"),"🟡 EMBARCADO SEM FATURAR",IF(AND(P4709&lt;&gt;"",S4709="",OR(Q4709="",R4709="")),"🟡 PENDÊNCIA SEM RESPONSÁVEL/PRAZO",IF(AND(ISNUMBER(R4709),R4709=TODAY()),"🟡 VENCE HOJE",IF(AND(P4709&lt;&gt;"",S4709=""),"🟡 PENDÊNCIA ABERTA",IF(AND(N(J4709)&gt;0,N(K4709)&lt;J4709),"🟡 FALTA EXECUTAR",IF(OR(M4709="PENDENTE",M4709="PARCIAL"),"🟡 FATURAMENTO PENDENTE","🟡 EMBARQUE PENDENTE")))))))))))</f>
        <v/>
      </c>
      <c r="D4709" s="4" t="n"/>
      <c r="E4709" s="5" t="n"/>
      <c r="F4709" s="5" t="n"/>
      <c r="G4709" s="5" t="n"/>
      <c r="H4709" s="5" t="n"/>
      <c r="I4709" s="5" t="n"/>
      <c r="J4709" s="6" t="n"/>
      <c r="K4709" s="6" t="n"/>
      <c r="L4709" s="7">
        <f>IF(OR(D4709="",N(J4709)=0),"",MIN(1,N(K4709)/J4709))</f>
        <v/>
      </c>
      <c r="M4709" s="5" t="n"/>
      <c r="N4709" s="5" t="n"/>
      <c r="O4709" s="5" t="n"/>
      <c r="P4709" s="5" t="n"/>
      <c r="Q4709" s="5" t="n"/>
      <c r="R4709" s="4" t="n"/>
      <c r="S4709" s="4" t="n"/>
      <c r="T4709" s="5" t="n"/>
      <c r="U4709" s="8">
        <f>IF(AND(V4709=1,D4709&lt;&gt;""),IF(D4709&gt;=corte,TODAY()-D4709,""),"")</f>
        <v/>
      </c>
      <c r="V4709" s="8">
        <f>IF(D4709="",0,IF(OR(AND(P4709&lt;&gt;"",S4709=""),AND(N(J4709)&gt;0,N(K4709)&lt;J4709),OR(M4709="PENDENTE",M4709="PARCIAL"),OR(N4709="PENDENTE",N4709="PARCIAL")),1,0))</f>
        <v/>
      </c>
      <c r="W4709" s="8">
        <f>IF(AND(V4709=1,D4709&lt;&gt;""),IF(D4709&gt;=corte,(B4709="CRÍTICO")*1E9+(100000-D4709)*10000+10000-ROW(),""),"")</f>
        <v/>
      </c>
      <c r="X4709" s="8">
        <f>IF(AND(V4709=1,D4709=pas_data,E4709=pas_turno),10000-ROW(),"")</f>
        <v/>
      </c>
    </row>
    <row r="4710">
      <c r="A4710" s="3">
        <f>IF(D4710="","","TT-"&amp;TEXT(ROW()-1,"00000"))</f>
        <v/>
      </c>
      <c r="B4710" s="3">
        <f>IF(D4710="","",IF(V4710=0,"CONCLUÍDO",IF(D4710&lt;corte,"HISTÓRICO",IF(OR(AND(ISNUMBER(R4710),R4710&lt;TODAY()),AND(OR(N4710="PENDENTE",N4710="PARCIAL"),D4710&lt;TODAY()-1)),"CRÍTICO",IF(OR(AND(P4710&lt;&gt;"",S4710=""),AND(N4710="REALIZADO",M4710="PENDENTE"),AND(ISNUMBER(R4710),R4710=TODAY())),"ATENÇÃO",IF(N(K4710)=0,"PENDENTE","EM ANDAMENTO"))))))</f>
        <v/>
      </c>
      <c r="C4710" s="3">
        <f>IF(D4710="","",IF(V4710=0,"🟢 OK",IF(D4710&lt;corte,"⚪ HISTÓRICO (sem baixa)",IF(AND(ISNUMBER(R4710),R4710&lt;TODAY()),"🔴 PRAZO VENCIDO",IF(AND(OR(N4710="PENDENTE",N4710="PARCIAL"),D4710&lt;TODAY()-1),"🔴 EMBARQUE ATRASADO",IF(AND(N4710="REALIZADO",M4710="PENDENTE"),"🟡 EMBARCADO SEM FATURAR",IF(AND(P4710&lt;&gt;"",S4710="",OR(Q4710="",R4710="")),"🟡 PENDÊNCIA SEM RESPONSÁVEL/PRAZO",IF(AND(ISNUMBER(R4710),R4710=TODAY()),"🟡 VENCE HOJE",IF(AND(P4710&lt;&gt;"",S4710=""),"🟡 PENDÊNCIA ABERTA",IF(AND(N(J4710)&gt;0,N(K4710)&lt;J4710),"🟡 FALTA EXECUTAR",IF(OR(M4710="PENDENTE",M4710="PARCIAL"),"🟡 FATURAMENTO PENDENTE","🟡 EMBARQUE PENDENTE")))))))))))</f>
        <v/>
      </c>
      <c r="D4710" s="4" t="n"/>
      <c r="E4710" s="5" t="n"/>
      <c r="F4710" s="5" t="n"/>
      <c r="G4710" s="5" t="n"/>
      <c r="H4710" s="5" t="n"/>
      <c r="I4710" s="5" t="n"/>
      <c r="J4710" s="6" t="n"/>
      <c r="K4710" s="6" t="n"/>
      <c r="L4710" s="7">
        <f>IF(OR(D4710="",N(J4710)=0),"",MIN(1,N(K4710)/J4710))</f>
        <v/>
      </c>
      <c r="M4710" s="5" t="n"/>
      <c r="N4710" s="5" t="n"/>
      <c r="O4710" s="5" t="n"/>
      <c r="P4710" s="5" t="n"/>
      <c r="Q4710" s="5" t="n"/>
      <c r="R4710" s="4" t="n"/>
      <c r="S4710" s="4" t="n"/>
      <c r="T4710" s="5" t="n"/>
      <c r="U4710" s="8">
        <f>IF(AND(V4710=1,D4710&lt;&gt;""),IF(D4710&gt;=corte,TODAY()-D4710,""),"")</f>
        <v/>
      </c>
      <c r="V4710" s="8">
        <f>IF(D4710="",0,IF(OR(AND(P4710&lt;&gt;"",S4710=""),AND(N(J4710)&gt;0,N(K4710)&lt;J4710),OR(M4710="PENDENTE",M4710="PARCIAL"),OR(N4710="PENDENTE",N4710="PARCIAL")),1,0))</f>
        <v/>
      </c>
      <c r="W4710" s="8">
        <f>IF(AND(V4710=1,D4710&lt;&gt;""),IF(D4710&gt;=corte,(B4710="CRÍTICO")*1E9+(100000-D4710)*10000+10000-ROW(),""),"")</f>
        <v/>
      </c>
      <c r="X4710" s="8">
        <f>IF(AND(V4710=1,D4710=pas_data,E4710=pas_turno),10000-ROW(),"")</f>
        <v/>
      </c>
    </row>
    <row r="4711">
      <c r="A4711" s="3">
        <f>IF(D4711="","","TT-"&amp;TEXT(ROW()-1,"00000"))</f>
        <v/>
      </c>
      <c r="B4711" s="3">
        <f>IF(D4711="","",IF(V4711=0,"CONCLUÍDO",IF(D4711&lt;corte,"HISTÓRICO",IF(OR(AND(ISNUMBER(R4711),R4711&lt;TODAY()),AND(OR(N4711="PENDENTE",N4711="PARCIAL"),D4711&lt;TODAY()-1)),"CRÍTICO",IF(OR(AND(P4711&lt;&gt;"",S4711=""),AND(N4711="REALIZADO",M4711="PENDENTE"),AND(ISNUMBER(R4711),R4711=TODAY())),"ATENÇÃO",IF(N(K4711)=0,"PENDENTE","EM ANDAMENTO"))))))</f>
        <v/>
      </c>
      <c r="C4711" s="3">
        <f>IF(D4711="","",IF(V4711=0,"🟢 OK",IF(D4711&lt;corte,"⚪ HISTÓRICO (sem baixa)",IF(AND(ISNUMBER(R4711),R4711&lt;TODAY()),"🔴 PRAZO VENCIDO",IF(AND(OR(N4711="PENDENTE",N4711="PARCIAL"),D4711&lt;TODAY()-1),"🔴 EMBARQUE ATRASADO",IF(AND(N4711="REALIZADO",M4711="PENDENTE"),"🟡 EMBARCADO SEM FATURAR",IF(AND(P4711&lt;&gt;"",S4711="",OR(Q4711="",R4711="")),"🟡 PENDÊNCIA SEM RESPONSÁVEL/PRAZO",IF(AND(ISNUMBER(R4711),R4711=TODAY()),"🟡 VENCE HOJE",IF(AND(P4711&lt;&gt;"",S4711=""),"🟡 PENDÊNCIA ABERTA",IF(AND(N(J4711)&gt;0,N(K4711)&lt;J4711),"🟡 FALTA EXECUTAR",IF(OR(M4711="PENDENTE",M4711="PARCIAL"),"🟡 FATURAMENTO PENDENTE","🟡 EMBARQUE PENDENTE")))))))))))</f>
        <v/>
      </c>
      <c r="D4711" s="4" t="n"/>
      <c r="E4711" s="5" t="n"/>
      <c r="F4711" s="5" t="n"/>
      <c r="G4711" s="5" t="n"/>
      <c r="H4711" s="5" t="n"/>
      <c r="I4711" s="5" t="n"/>
      <c r="J4711" s="6" t="n"/>
      <c r="K4711" s="6" t="n"/>
      <c r="L4711" s="7">
        <f>IF(OR(D4711="",N(J4711)=0),"",MIN(1,N(K4711)/J4711))</f>
        <v/>
      </c>
      <c r="M4711" s="5" t="n"/>
      <c r="N4711" s="5" t="n"/>
      <c r="O4711" s="5" t="n"/>
      <c r="P4711" s="5" t="n"/>
      <c r="Q4711" s="5" t="n"/>
      <c r="R4711" s="4" t="n"/>
      <c r="S4711" s="4" t="n"/>
      <c r="T4711" s="5" t="n"/>
      <c r="U4711" s="8">
        <f>IF(AND(V4711=1,D4711&lt;&gt;""),IF(D4711&gt;=corte,TODAY()-D4711,""),"")</f>
        <v/>
      </c>
      <c r="V4711" s="8">
        <f>IF(D4711="",0,IF(OR(AND(P4711&lt;&gt;"",S4711=""),AND(N(J4711)&gt;0,N(K4711)&lt;J4711),OR(M4711="PENDENTE",M4711="PARCIAL"),OR(N4711="PENDENTE",N4711="PARCIAL")),1,0))</f>
        <v/>
      </c>
      <c r="W4711" s="8">
        <f>IF(AND(V4711=1,D4711&lt;&gt;""),IF(D4711&gt;=corte,(B4711="CRÍTICO")*1E9+(100000-D4711)*10000+10000-ROW(),""),"")</f>
        <v/>
      </c>
      <c r="X4711" s="8">
        <f>IF(AND(V4711=1,D4711=pas_data,E4711=pas_turno),10000-ROW(),"")</f>
        <v/>
      </c>
    </row>
    <row r="4712">
      <c r="A4712" s="3">
        <f>IF(D4712="","","TT-"&amp;TEXT(ROW()-1,"00000"))</f>
        <v/>
      </c>
      <c r="B4712" s="3">
        <f>IF(D4712="","",IF(V4712=0,"CONCLUÍDO",IF(D4712&lt;corte,"HISTÓRICO",IF(OR(AND(ISNUMBER(R4712),R4712&lt;TODAY()),AND(OR(N4712="PENDENTE",N4712="PARCIAL"),D4712&lt;TODAY()-1)),"CRÍTICO",IF(OR(AND(P4712&lt;&gt;"",S4712=""),AND(N4712="REALIZADO",M4712="PENDENTE"),AND(ISNUMBER(R4712),R4712=TODAY())),"ATENÇÃO",IF(N(K4712)=0,"PENDENTE","EM ANDAMENTO"))))))</f>
        <v/>
      </c>
      <c r="C4712" s="3">
        <f>IF(D4712="","",IF(V4712=0,"🟢 OK",IF(D4712&lt;corte,"⚪ HISTÓRICO (sem baixa)",IF(AND(ISNUMBER(R4712),R4712&lt;TODAY()),"🔴 PRAZO VENCIDO",IF(AND(OR(N4712="PENDENTE",N4712="PARCIAL"),D4712&lt;TODAY()-1),"🔴 EMBARQUE ATRASADO",IF(AND(N4712="REALIZADO",M4712="PENDENTE"),"🟡 EMBARCADO SEM FATURAR",IF(AND(P4712&lt;&gt;"",S4712="",OR(Q4712="",R4712="")),"🟡 PENDÊNCIA SEM RESPONSÁVEL/PRAZO",IF(AND(ISNUMBER(R4712),R4712=TODAY()),"🟡 VENCE HOJE",IF(AND(P4712&lt;&gt;"",S4712=""),"🟡 PENDÊNCIA ABERTA",IF(AND(N(J4712)&gt;0,N(K4712)&lt;J4712),"🟡 FALTA EXECUTAR",IF(OR(M4712="PENDENTE",M4712="PARCIAL"),"🟡 FATURAMENTO PENDENTE","🟡 EMBARQUE PENDENTE")))))))))))</f>
        <v/>
      </c>
      <c r="D4712" s="4" t="n"/>
      <c r="E4712" s="5" t="n"/>
      <c r="F4712" s="5" t="n"/>
      <c r="G4712" s="5" t="n"/>
      <c r="H4712" s="5" t="n"/>
      <c r="I4712" s="5" t="n"/>
      <c r="J4712" s="6" t="n"/>
      <c r="K4712" s="6" t="n"/>
      <c r="L4712" s="7">
        <f>IF(OR(D4712="",N(J4712)=0),"",MIN(1,N(K4712)/J4712))</f>
        <v/>
      </c>
      <c r="M4712" s="5" t="n"/>
      <c r="N4712" s="5" t="n"/>
      <c r="O4712" s="5" t="n"/>
      <c r="P4712" s="5" t="n"/>
      <c r="Q4712" s="5" t="n"/>
      <c r="R4712" s="4" t="n"/>
      <c r="S4712" s="4" t="n"/>
      <c r="T4712" s="5" t="n"/>
      <c r="U4712" s="8">
        <f>IF(AND(V4712=1,D4712&lt;&gt;""),IF(D4712&gt;=corte,TODAY()-D4712,""),"")</f>
        <v/>
      </c>
      <c r="V4712" s="8">
        <f>IF(D4712="",0,IF(OR(AND(P4712&lt;&gt;"",S4712=""),AND(N(J4712)&gt;0,N(K4712)&lt;J4712),OR(M4712="PENDENTE",M4712="PARCIAL"),OR(N4712="PENDENTE",N4712="PARCIAL")),1,0))</f>
        <v/>
      </c>
      <c r="W4712" s="8">
        <f>IF(AND(V4712=1,D4712&lt;&gt;""),IF(D4712&gt;=corte,(B4712="CRÍTICO")*1E9+(100000-D4712)*10000+10000-ROW(),""),"")</f>
        <v/>
      </c>
      <c r="X4712" s="8">
        <f>IF(AND(V4712=1,D4712=pas_data,E4712=pas_turno),10000-ROW(),"")</f>
        <v/>
      </c>
    </row>
    <row r="4713">
      <c r="A4713" s="3">
        <f>IF(D4713="","","TT-"&amp;TEXT(ROW()-1,"00000"))</f>
        <v/>
      </c>
      <c r="B4713" s="3">
        <f>IF(D4713="","",IF(V4713=0,"CONCLUÍDO",IF(D4713&lt;corte,"HISTÓRICO",IF(OR(AND(ISNUMBER(R4713),R4713&lt;TODAY()),AND(OR(N4713="PENDENTE",N4713="PARCIAL"),D4713&lt;TODAY()-1)),"CRÍTICO",IF(OR(AND(P4713&lt;&gt;"",S4713=""),AND(N4713="REALIZADO",M4713="PENDENTE"),AND(ISNUMBER(R4713),R4713=TODAY())),"ATENÇÃO",IF(N(K4713)=0,"PENDENTE","EM ANDAMENTO"))))))</f>
        <v/>
      </c>
      <c r="C4713" s="3">
        <f>IF(D4713="","",IF(V4713=0,"🟢 OK",IF(D4713&lt;corte,"⚪ HISTÓRICO (sem baixa)",IF(AND(ISNUMBER(R4713),R4713&lt;TODAY()),"🔴 PRAZO VENCIDO",IF(AND(OR(N4713="PENDENTE",N4713="PARCIAL"),D4713&lt;TODAY()-1),"🔴 EMBARQUE ATRASADO",IF(AND(N4713="REALIZADO",M4713="PENDENTE"),"🟡 EMBARCADO SEM FATURAR",IF(AND(P4713&lt;&gt;"",S4713="",OR(Q4713="",R4713="")),"🟡 PENDÊNCIA SEM RESPONSÁVEL/PRAZO",IF(AND(ISNUMBER(R4713),R4713=TODAY()),"🟡 VENCE HOJE",IF(AND(P4713&lt;&gt;"",S4713=""),"🟡 PENDÊNCIA ABERTA",IF(AND(N(J4713)&gt;0,N(K4713)&lt;J4713),"🟡 FALTA EXECUTAR",IF(OR(M4713="PENDENTE",M4713="PARCIAL"),"🟡 FATURAMENTO PENDENTE","🟡 EMBARQUE PENDENTE")))))))))))</f>
        <v/>
      </c>
      <c r="D4713" s="4" t="n"/>
      <c r="E4713" s="5" t="n"/>
      <c r="F4713" s="5" t="n"/>
      <c r="G4713" s="5" t="n"/>
      <c r="H4713" s="5" t="n"/>
      <c r="I4713" s="5" t="n"/>
      <c r="J4713" s="6" t="n"/>
      <c r="K4713" s="6" t="n"/>
      <c r="L4713" s="7">
        <f>IF(OR(D4713="",N(J4713)=0),"",MIN(1,N(K4713)/J4713))</f>
        <v/>
      </c>
      <c r="M4713" s="5" t="n"/>
      <c r="N4713" s="5" t="n"/>
      <c r="O4713" s="5" t="n"/>
      <c r="P4713" s="5" t="n"/>
      <c r="Q4713" s="5" t="n"/>
      <c r="R4713" s="4" t="n"/>
      <c r="S4713" s="4" t="n"/>
      <c r="T4713" s="5" t="n"/>
      <c r="U4713" s="8">
        <f>IF(AND(V4713=1,D4713&lt;&gt;""),IF(D4713&gt;=corte,TODAY()-D4713,""),"")</f>
        <v/>
      </c>
      <c r="V4713" s="8">
        <f>IF(D4713="",0,IF(OR(AND(P4713&lt;&gt;"",S4713=""),AND(N(J4713)&gt;0,N(K4713)&lt;J4713),OR(M4713="PENDENTE",M4713="PARCIAL"),OR(N4713="PENDENTE",N4713="PARCIAL")),1,0))</f>
        <v/>
      </c>
      <c r="W4713" s="8">
        <f>IF(AND(V4713=1,D4713&lt;&gt;""),IF(D4713&gt;=corte,(B4713="CRÍTICO")*1E9+(100000-D4713)*10000+10000-ROW(),""),"")</f>
        <v/>
      </c>
      <c r="X4713" s="8">
        <f>IF(AND(V4713=1,D4713=pas_data,E4713=pas_turno),10000-ROW(),"")</f>
        <v/>
      </c>
    </row>
    <row r="4714">
      <c r="A4714" s="3">
        <f>IF(D4714="","","TT-"&amp;TEXT(ROW()-1,"00000"))</f>
        <v/>
      </c>
      <c r="B4714" s="3">
        <f>IF(D4714="","",IF(V4714=0,"CONCLUÍDO",IF(D4714&lt;corte,"HISTÓRICO",IF(OR(AND(ISNUMBER(R4714),R4714&lt;TODAY()),AND(OR(N4714="PENDENTE",N4714="PARCIAL"),D4714&lt;TODAY()-1)),"CRÍTICO",IF(OR(AND(P4714&lt;&gt;"",S4714=""),AND(N4714="REALIZADO",M4714="PENDENTE"),AND(ISNUMBER(R4714),R4714=TODAY())),"ATENÇÃO",IF(N(K4714)=0,"PENDENTE","EM ANDAMENTO"))))))</f>
        <v/>
      </c>
      <c r="C4714" s="3">
        <f>IF(D4714="","",IF(V4714=0,"🟢 OK",IF(D4714&lt;corte,"⚪ HISTÓRICO (sem baixa)",IF(AND(ISNUMBER(R4714),R4714&lt;TODAY()),"🔴 PRAZO VENCIDO",IF(AND(OR(N4714="PENDENTE",N4714="PARCIAL"),D4714&lt;TODAY()-1),"🔴 EMBARQUE ATRASADO",IF(AND(N4714="REALIZADO",M4714="PENDENTE"),"🟡 EMBARCADO SEM FATURAR",IF(AND(P4714&lt;&gt;"",S4714="",OR(Q4714="",R4714="")),"🟡 PENDÊNCIA SEM RESPONSÁVEL/PRAZO",IF(AND(ISNUMBER(R4714),R4714=TODAY()),"🟡 VENCE HOJE",IF(AND(P4714&lt;&gt;"",S4714=""),"🟡 PENDÊNCIA ABERTA",IF(AND(N(J4714)&gt;0,N(K4714)&lt;J4714),"🟡 FALTA EXECUTAR",IF(OR(M4714="PENDENTE",M4714="PARCIAL"),"🟡 FATURAMENTO PENDENTE","🟡 EMBARQUE PENDENTE")))))))))))</f>
        <v/>
      </c>
      <c r="D4714" s="4" t="n"/>
      <c r="E4714" s="5" t="n"/>
      <c r="F4714" s="5" t="n"/>
      <c r="G4714" s="5" t="n"/>
      <c r="H4714" s="5" t="n"/>
      <c r="I4714" s="5" t="n"/>
      <c r="J4714" s="6" t="n"/>
      <c r="K4714" s="6" t="n"/>
      <c r="L4714" s="7">
        <f>IF(OR(D4714="",N(J4714)=0),"",MIN(1,N(K4714)/J4714))</f>
        <v/>
      </c>
      <c r="M4714" s="5" t="n"/>
      <c r="N4714" s="5" t="n"/>
      <c r="O4714" s="5" t="n"/>
      <c r="P4714" s="5" t="n"/>
      <c r="Q4714" s="5" t="n"/>
      <c r="R4714" s="4" t="n"/>
      <c r="S4714" s="4" t="n"/>
      <c r="T4714" s="5" t="n"/>
      <c r="U4714" s="8">
        <f>IF(AND(V4714=1,D4714&lt;&gt;""),IF(D4714&gt;=corte,TODAY()-D4714,""),"")</f>
        <v/>
      </c>
      <c r="V4714" s="8">
        <f>IF(D4714="",0,IF(OR(AND(P4714&lt;&gt;"",S4714=""),AND(N(J4714)&gt;0,N(K4714)&lt;J4714),OR(M4714="PENDENTE",M4714="PARCIAL"),OR(N4714="PENDENTE",N4714="PARCIAL")),1,0))</f>
        <v/>
      </c>
      <c r="W4714" s="8">
        <f>IF(AND(V4714=1,D4714&lt;&gt;""),IF(D4714&gt;=corte,(B4714="CRÍTICO")*1E9+(100000-D4714)*10000+10000-ROW(),""),"")</f>
        <v/>
      </c>
      <c r="X4714" s="8">
        <f>IF(AND(V4714=1,D4714=pas_data,E4714=pas_turno),10000-ROW(),"")</f>
        <v/>
      </c>
    </row>
    <row r="4715">
      <c r="A4715" s="3">
        <f>IF(D4715="","","TT-"&amp;TEXT(ROW()-1,"00000"))</f>
        <v/>
      </c>
      <c r="B4715" s="3">
        <f>IF(D4715="","",IF(V4715=0,"CONCLUÍDO",IF(D4715&lt;corte,"HISTÓRICO",IF(OR(AND(ISNUMBER(R4715),R4715&lt;TODAY()),AND(OR(N4715="PENDENTE",N4715="PARCIAL"),D4715&lt;TODAY()-1)),"CRÍTICO",IF(OR(AND(P4715&lt;&gt;"",S4715=""),AND(N4715="REALIZADO",M4715="PENDENTE"),AND(ISNUMBER(R4715),R4715=TODAY())),"ATENÇÃO",IF(N(K4715)=0,"PENDENTE","EM ANDAMENTO"))))))</f>
        <v/>
      </c>
      <c r="C4715" s="3">
        <f>IF(D4715="","",IF(V4715=0,"🟢 OK",IF(D4715&lt;corte,"⚪ HISTÓRICO (sem baixa)",IF(AND(ISNUMBER(R4715),R4715&lt;TODAY()),"🔴 PRAZO VENCIDO",IF(AND(OR(N4715="PENDENTE",N4715="PARCIAL"),D4715&lt;TODAY()-1),"🔴 EMBARQUE ATRASADO",IF(AND(N4715="REALIZADO",M4715="PENDENTE"),"🟡 EMBARCADO SEM FATURAR",IF(AND(P4715&lt;&gt;"",S4715="",OR(Q4715="",R4715="")),"🟡 PENDÊNCIA SEM RESPONSÁVEL/PRAZO",IF(AND(ISNUMBER(R4715),R4715=TODAY()),"🟡 VENCE HOJE",IF(AND(P4715&lt;&gt;"",S4715=""),"🟡 PENDÊNCIA ABERTA",IF(AND(N(J4715)&gt;0,N(K4715)&lt;J4715),"🟡 FALTA EXECUTAR",IF(OR(M4715="PENDENTE",M4715="PARCIAL"),"🟡 FATURAMENTO PENDENTE","🟡 EMBARQUE PENDENTE")))))))))))</f>
        <v/>
      </c>
      <c r="D4715" s="4" t="n"/>
      <c r="E4715" s="5" t="n"/>
      <c r="F4715" s="5" t="n"/>
      <c r="G4715" s="5" t="n"/>
      <c r="H4715" s="5" t="n"/>
      <c r="I4715" s="5" t="n"/>
      <c r="J4715" s="6" t="n"/>
      <c r="K4715" s="6" t="n"/>
      <c r="L4715" s="7">
        <f>IF(OR(D4715="",N(J4715)=0),"",MIN(1,N(K4715)/J4715))</f>
        <v/>
      </c>
      <c r="M4715" s="5" t="n"/>
      <c r="N4715" s="5" t="n"/>
      <c r="O4715" s="5" t="n"/>
      <c r="P4715" s="5" t="n"/>
      <c r="Q4715" s="5" t="n"/>
      <c r="R4715" s="4" t="n"/>
      <c r="S4715" s="4" t="n"/>
      <c r="T4715" s="5" t="n"/>
      <c r="U4715" s="8">
        <f>IF(AND(V4715=1,D4715&lt;&gt;""),IF(D4715&gt;=corte,TODAY()-D4715,""),"")</f>
        <v/>
      </c>
      <c r="V4715" s="8">
        <f>IF(D4715="",0,IF(OR(AND(P4715&lt;&gt;"",S4715=""),AND(N(J4715)&gt;0,N(K4715)&lt;J4715),OR(M4715="PENDENTE",M4715="PARCIAL"),OR(N4715="PENDENTE",N4715="PARCIAL")),1,0))</f>
        <v/>
      </c>
      <c r="W4715" s="8">
        <f>IF(AND(V4715=1,D4715&lt;&gt;""),IF(D4715&gt;=corte,(B4715="CRÍTICO")*1E9+(100000-D4715)*10000+10000-ROW(),""),"")</f>
        <v/>
      </c>
      <c r="X4715" s="8">
        <f>IF(AND(V4715=1,D4715=pas_data,E4715=pas_turno),10000-ROW(),"")</f>
        <v/>
      </c>
    </row>
    <row r="4716">
      <c r="A4716" s="3">
        <f>IF(D4716="","","TT-"&amp;TEXT(ROW()-1,"00000"))</f>
        <v/>
      </c>
      <c r="B4716" s="3">
        <f>IF(D4716="","",IF(V4716=0,"CONCLUÍDO",IF(D4716&lt;corte,"HISTÓRICO",IF(OR(AND(ISNUMBER(R4716),R4716&lt;TODAY()),AND(OR(N4716="PENDENTE",N4716="PARCIAL"),D4716&lt;TODAY()-1)),"CRÍTICO",IF(OR(AND(P4716&lt;&gt;"",S4716=""),AND(N4716="REALIZADO",M4716="PENDENTE"),AND(ISNUMBER(R4716),R4716=TODAY())),"ATENÇÃO",IF(N(K4716)=0,"PENDENTE","EM ANDAMENTO"))))))</f>
        <v/>
      </c>
      <c r="C4716" s="3">
        <f>IF(D4716="","",IF(V4716=0,"🟢 OK",IF(D4716&lt;corte,"⚪ HISTÓRICO (sem baixa)",IF(AND(ISNUMBER(R4716),R4716&lt;TODAY()),"🔴 PRAZO VENCIDO",IF(AND(OR(N4716="PENDENTE",N4716="PARCIAL"),D4716&lt;TODAY()-1),"🔴 EMBARQUE ATRASADO",IF(AND(N4716="REALIZADO",M4716="PENDENTE"),"🟡 EMBARCADO SEM FATURAR",IF(AND(P4716&lt;&gt;"",S4716="",OR(Q4716="",R4716="")),"🟡 PENDÊNCIA SEM RESPONSÁVEL/PRAZO",IF(AND(ISNUMBER(R4716),R4716=TODAY()),"🟡 VENCE HOJE",IF(AND(P4716&lt;&gt;"",S4716=""),"🟡 PENDÊNCIA ABERTA",IF(AND(N(J4716)&gt;0,N(K4716)&lt;J4716),"🟡 FALTA EXECUTAR",IF(OR(M4716="PENDENTE",M4716="PARCIAL"),"🟡 FATURAMENTO PENDENTE","🟡 EMBARQUE PENDENTE")))))))))))</f>
        <v/>
      </c>
      <c r="D4716" s="4" t="n"/>
      <c r="E4716" s="5" t="n"/>
      <c r="F4716" s="5" t="n"/>
      <c r="G4716" s="5" t="n"/>
      <c r="H4716" s="5" t="n"/>
      <c r="I4716" s="5" t="n"/>
      <c r="J4716" s="6" t="n"/>
      <c r="K4716" s="6" t="n"/>
      <c r="L4716" s="7">
        <f>IF(OR(D4716="",N(J4716)=0),"",MIN(1,N(K4716)/J4716))</f>
        <v/>
      </c>
      <c r="M4716" s="5" t="n"/>
      <c r="N4716" s="5" t="n"/>
      <c r="O4716" s="5" t="n"/>
      <c r="P4716" s="5" t="n"/>
      <c r="Q4716" s="5" t="n"/>
      <c r="R4716" s="4" t="n"/>
      <c r="S4716" s="4" t="n"/>
      <c r="T4716" s="5" t="n"/>
      <c r="U4716" s="8">
        <f>IF(AND(V4716=1,D4716&lt;&gt;""),IF(D4716&gt;=corte,TODAY()-D4716,""),"")</f>
        <v/>
      </c>
      <c r="V4716" s="8">
        <f>IF(D4716="",0,IF(OR(AND(P4716&lt;&gt;"",S4716=""),AND(N(J4716)&gt;0,N(K4716)&lt;J4716),OR(M4716="PENDENTE",M4716="PARCIAL"),OR(N4716="PENDENTE",N4716="PARCIAL")),1,0))</f>
        <v/>
      </c>
      <c r="W4716" s="8">
        <f>IF(AND(V4716=1,D4716&lt;&gt;""),IF(D4716&gt;=corte,(B4716="CRÍTICO")*1E9+(100000-D4716)*10000+10000-ROW(),""),"")</f>
        <v/>
      </c>
      <c r="X4716" s="8">
        <f>IF(AND(V4716=1,D4716=pas_data,E4716=pas_turno),10000-ROW(),"")</f>
        <v/>
      </c>
    </row>
    <row r="4717">
      <c r="A4717" s="3">
        <f>IF(D4717="","","TT-"&amp;TEXT(ROW()-1,"00000"))</f>
        <v/>
      </c>
      <c r="B4717" s="3">
        <f>IF(D4717="","",IF(V4717=0,"CONCLUÍDO",IF(D4717&lt;corte,"HISTÓRICO",IF(OR(AND(ISNUMBER(R4717),R4717&lt;TODAY()),AND(OR(N4717="PENDENTE",N4717="PARCIAL"),D4717&lt;TODAY()-1)),"CRÍTICO",IF(OR(AND(P4717&lt;&gt;"",S4717=""),AND(N4717="REALIZADO",M4717="PENDENTE"),AND(ISNUMBER(R4717),R4717=TODAY())),"ATENÇÃO",IF(N(K4717)=0,"PENDENTE","EM ANDAMENTO"))))))</f>
        <v/>
      </c>
      <c r="C4717" s="3">
        <f>IF(D4717="","",IF(V4717=0,"🟢 OK",IF(D4717&lt;corte,"⚪ HISTÓRICO (sem baixa)",IF(AND(ISNUMBER(R4717),R4717&lt;TODAY()),"🔴 PRAZO VENCIDO",IF(AND(OR(N4717="PENDENTE",N4717="PARCIAL"),D4717&lt;TODAY()-1),"🔴 EMBARQUE ATRASADO",IF(AND(N4717="REALIZADO",M4717="PENDENTE"),"🟡 EMBARCADO SEM FATURAR",IF(AND(P4717&lt;&gt;"",S4717="",OR(Q4717="",R4717="")),"🟡 PENDÊNCIA SEM RESPONSÁVEL/PRAZO",IF(AND(ISNUMBER(R4717),R4717=TODAY()),"🟡 VENCE HOJE",IF(AND(P4717&lt;&gt;"",S4717=""),"🟡 PENDÊNCIA ABERTA",IF(AND(N(J4717)&gt;0,N(K4717)&lt;J4717),"🟡 FALTA EXECUTAR",IF(OR(M4717="PENDENTE",M4717="PARCIAL"),"🟡 FATURAMENTO PENDENTE","🟡 EMBARQUE PENDENTE")))))))))))</f>
        <v/>
      </c>
      <c r="D4717" s="4" t="n"/>
      <c r="E4717" s="5" t="n"/>
      <c r="F4717" s="5" t="n"/>
      <c r="G4717" s="5" t="n"/>
      <c r="H4717" s="5" t="n"/>
      <c r="I4717" s="5" t="n"/>
      <c r="J4717" s="6" t="n"/>
      <c r="K4717" s="6" t="n"/>
      <c r="L4717" s="7">
        <f>IF(OR(D4717="",N(J4717)=0),"",MIN(1,N(K4717)/J4717))</f>
        <v/>
      </c>
      <c r="M4717" s="5" t="n"/>
      <c r="N4717" s="5" t="n"/>
      <c r="O4717" s="5" t="n"/>
      <c r="P4717" s="5" t="n"/>
      <c r="Q4717" s="5" t="n"/>
      <c r="R4717" s="4" t="n"/>
      <c r="S4717" s="4" t="n"/>
      <c r="T4717" s="5" t="n"/>
      <c r="U4717" s="8">
        <f>IF(AND(V4717=1,D4717&lt;&gt;""),IF(D4717&gt;=corte,TODAY()-D4717,""),"")</f>
        <v/>
      </c>
      <c r="V4717" s="8">
        <f>IF(D4717="",0,IF(OR(AND(P4717&lt;&gt;"",S4717=""),AND(N(J4717)&gt;0,N(K4717)&lt;J4717),OR(M4717="PENDENTE",M4717="PARCIAL"),OR(N4717="PENDENTE",N4717="PARCIAL")),1,0))</f>
        <v/>
      </c>
      <c r="W4717" s="8">
        <f>IF(AND(V4717=1,D4717&lt;&gt;""),IF(D4717&gt;=corte,(B4717="CRÍTICO")*1E9+(100000-D4717)*10000+10000-ROW(),""),"")</f>
        <v/>
      </c>
      <c r="X4717" s="8">
        <f>IF(AND(V4717=1,D4717=pas_data,E4717=pas_turno),10000-ROW(),"")</f>
        <v/>
      </c>
    </row>
    <row r="4718">
      <c r="A4718" s="3">
        <f>IF(D4718="","","TT-"&amp;TEXT(ROW()-1,"00000"))</f>
        <v/>
      </c>
      <c r="B4718" s="3">
        <f>IF(D4718="","",IF(V4718=0,"CONCLUÍDO",IF(D4718&lt;corte,"HISTÓRICO",IF(OR(AND(ISNUMBER(R4718),R4718&lt;TODAY()),AND(OR(N4718="PENDENTE",N4718="PARCIAL"),D4718&lt;TODAY()-1)),"CRÍTICO",IF(OR(AND(P4718&lt;&gt;"",S4718=""),AND(N4718="REALIZADO",M4718="PENDENTE"),AND(ISNUMBER(R4718),R4718=TODAY())),"ATENÇÃO",IF(N(K4718)=0,"PENDENTE","EM ANDAMENTO"))))))</f>
        <v/>
      </c>
      <c r="C4718" s="3">
        <f>IF(D4718="","",IF(V4718=0,"🟢 OK",IF(D4718&lt;corte,"⚪ HISTÓRICO (sem baixa)",IF(AND(ISNUMBER(R4718),R4718&lt;TODAY()),"🔴 PRAZO VENCIDO",IF(AND(OR(N4718="PENDENTE",N4718="PARCIAL"),D4718&lt;TODAY()-1),"🔴 EMBARQUE ATRASADO",IF(AND(N4718="REALIZADO",M4718="PENDENTE"),"🟡 EMBARCADO SEM FATURAR",IF(AND(P4718&lt;&gt;"",S4718="",OR(Q4718="",R4718="")),"🟡 PENDÊNCIA SEM RESPONSÁVEL/PRAZO",IF(AND(ISNUMBER(R4718),R4718=TODAY()),"🟡 VENCE HOJE",IF(AND(P4718&lt;&gt;"",S4718=""),"🟡 PENDÊNCIA ABERTA",IF(AND(N(J4718)&gt;0,N(K4718)&lt;J4718),"🟡 FALTA EXECUTAR",IF(OR(M4718="PENDENTE",M4718="PARCIAL"),"🟡 FATURAMENTO PENDENTE","🟡 EMBARQUE PENDENTE")))))))))))</f>
        <v/>
      </c>
      <c r="D4718" s="4" t="n"/>
      <c r="E4718" s="5" t="n"/>
      <c r="F4718" s="5" t="n"/>
      <c r="G4718" s="5" t="n"/>
      <c r="H4718" s="5" t="n"/>
      <c r="I4718" s="5" t="n"/>
      <c r="J4718" s="6" t="n"/>
      <c r="K4718" s="6" t="n"/>
      <c r="L4718" s="7">
        <f>IF(OR(D4718="",N(J4718)=0),"",MIN(1,N(K4718)/J4718))</f>
        <v/>
      </c>
      <c r="M4718" s="5" t="n"/>
      <c r="N4718" s="5" t="n"/>
      <c r="O4718" s="5" t="n"/>
      <c r="P4718" s="5" t="n"/>
      <c r="Q4718" s="5" t="n"/>
      <c r="R4718" s="4" t="n"/>
      <c r="S4718" s="4" t="n"/>
      <c r="T4718" s="5" t="n"/>
      <c r="U4718" s="8">
        <f>IF(AND(V4718=1,D4718&lt;&gt;""),IF(D4718&gt;=corte,TODAY()-D4718,""),"")</f>
        <v/>
      </c>
      <c r="V4718" s="8">
        <f>IF(D4718="",0,IF(OR(AND(P4718&lt;&gt;"",S4718=""),AND(N(J4718)&gt;0,N(K4718)&lt;J4718),OR(M4718="PENDENTE",M4718="PARCIAL"),OR(N4718="PENDENTE",N4718="PARCIAL")),1,0))</f>
        <v/>
      </c>
      <c r="W4718" s="8">
        <f>IF(AND(V4718=1,D4718&lt;&gt;""),IF(D4718&gt;=corte,(B4718="CRÍTICO")*1E9+(100000-D4718)*10000+10000-ROW(),""),"")</f>
        <v/>
      </c>
      <c r="X4718" s="8">
        <f>IF(AND(V4718=1,D4718=pas_data,E4718=pas_turno),10000-ROW(),"")</f>
        <v/>
      </c>
    </row>
    <row r="4719">
      <c r="A4719" s="3">
        <f>IF(D4719="","","TT-"&amp;TEXT(ROW()-1,"00000"))</f>
        <v/>
      </c>
      <c r="B4719" s="3">
        <f>IF(D4719="","",IF(V4719=0,"CONCLUÍDO",IF(D4719&lt;corte,"HISTÓRICO",IF(OR(AND(ISNUMBER(R4719),R4719&lt;TODAY()),AND(OR(N4719="PENDENTE",N4719="PARCIAL"),D4719&lt;TODAY()-1)),"CRÍTICO",IF(OR(AND(P4719&lt;&gt;"",S4719=""),AND(N4719="REALIZADO",M4719="PENDENTE"),AND(ISNUMBER(R4719),R4719=TODAY())),"ATENÇÃO",IF(N(K4719)=0,"PENDENTE","EM ANDAMENTO"))))))</f>
        <v/>
      </c>
      <c r="C4719" s="3">
        <f>IF(D4719="","",IF(V4719=0,"🟢 OK",IF(D4719&lt;corte,"⚪ HISTÓRICO (sem baixa)",IF(AND(ISNUMBER(R4719),R4719&lt;TODAY()),"🔴 PRAZO VENCIDO",IF(AND(OR(N4719="PENDENTE",N4719="PARCIAL"),D4719&lt;TODAY()-1),"🔴 EMBARQUE ATRASADO",IF(AND(N4719="REALIZADO",M4719="PENDENTE"),"🟡 EMBARCADO SEM FATURAR",IF(AND(P4719&lt;&gt;"",S4719="",OR(Q4719="",R4719="")),"🟡 PENDÊNCIA SEM RESPONSÁVEL/PRAZO",IF(AND(ISNUMBER(R4719),R4719=TODAY()),"🟡 VENCE HOJE",IF(AND(P4719&lt;&gt;"",S4719=""),"🟡 PENDÊNCIA ABERTA",IF(AND(N(J4719)&gt;0,N(K4719)&lt;J4719),"🟡 FALTA EXECUTAR",IF(OR(M4719="PENDENTE",M4719="PARCIAL"),"🟡 FATURAMENTO PENDENTE","🟡 EMBARQUE PENDENTE")))))))))))</f>
        <v/>
      </c>
      <c r="D4719" s="4" t="n"/>
      <c r="E4719" s="5" t="n"/>
      <c r="F4719" s="5" t="n"/>
      <c r="G4719" s="5" t="n"/>
      <c r="H4719" s="5" t="n"/>
      <c r="I4719" s="5" t="n"/>
      <c r="J4719" s="6" t="n"/>
      <c r="K4719" s="6" t="n"/>
      <c r="L4719" s="7">
        <f>IF(OR(D4719="",N(J4719)=0),"",MIN(1,N(K4719)/J4719))</f>
        <v/>
      </c>
      <c r="M4719" s="5" t="n"/>
      <c r="N4719" s="5" t="n"/>
      <c r="O4719" s="5" t="n"/>
      <c r="P4719" s="5" t="n"/>
      <c r="Q4719" s="5" t="n"/>
      <c r="R4719" s="4" t="n"/>
      <c r="S4719" s="4" t="n"/>
      <c r="T4719" s="5" t="n"/>
      <c r="U4719" s="8">
        <f>IF(AND(V4719=1,D4719&lt;&gt;""),IF(D4719&gt;=corte,TODAY()-D4719,""),"")</f>
        <v/>
      </c>
      <c r="V4719" s="8">
        <f>IF(D4719="",0,IF(OR(AND(P4719&lt;&gt;"",S4719=""),AND(N(J4719)&gt;0,N(K4719)&lt;J4719),OR(M4719="PENDENTE",M4719="PARCIAL"),OR(N4719="PENDENTE",N4719="PARCIAL")),1,0))</f>
        <v/>
      </c>
      <c r="W4719" s="8">
        <f>IF(AND(V4719=1,D4719&lt;&gt;""),IF(D4719&gt;=corte,(B4719="CRÍTICO")*1E9+(100000-D4719)*10000+10000-ROW(),""),"")</f>
        <v/>
      </c>
      <c r="X4719" s="8">
        <f>IF(AND(V4719=1,D4719=pas_data,E4719=pas_turno),10000-ROW(),"")</f>
        <v/>
      </c>
    </row>
    <row r="4720">
      <c r="A4720" s="3">
        <f>IF(D4720="","","TT-"&amp;TEXT(ROW()-1,"00000"))</f>
        <v/>
      </c>
      <c r="B4720" s="3">
        <f>IF(D4720="","",IF(V4720=0,"CONCLUÍDO",IF(D4720&lt;corte,"HISTÓRICO",IF(OR(AND(ISNUMBER(R4720),R4720&lt;TODAY()),AND(OR(N4720="PENDENTE",N4720="PARCIAL"),D4720&lt;TODAY()-1)),"CRÍTICO",IF(OR(AND(P4720&lt;&gt;"",S4720=""),AND(N4720="REALIZADO",M4720="PENDENTE"),AND(ISNUMBER(R4720),R4720=TODAY())),"ATENÇÃO",IF(N(K4720)=0,"PENDENTE","EM ANDAMENTO"))))))</f>
        <v/>
      </c>
      <c r="C4720" s="3">
        <f>IF(D4720="","",IF(V4720=0,"🟢 OK",IF(D4720&lt;corte,"⚪ HISTÓRICO (sem baixa)",IF(AND(ISNUMBER(R4720),R4720&lt;TODAY()),"🔴 PRAZO VENCIDO",IF(AND(OR(N4720="PENDENTE",N4720="PARCIAL"),D4720&lt;TODAY()-1),"🔴 EMBARQUE ATRASADO",IF(AND(N4720="REALIZADO",M4720="PENDENTE"),"🟡 EMBARCADO SEM FATURAR",IF(AND(P4720&lt;&gt;"",S4720="",OR(Q4720="",R4720="")),"🟡 PENDÊNCIA SEM RESPONSÁVEL/PRAZO",IF(AND(ISNUMBER(R4720),R4720=TODAY()),"🟡 VENCE HOJE",IF(AND(P4720&lt;&gt;"",S4720=""),"🟡 PENDÊNCIA ABERTA",IF(AND(N(J4720)&gt;0,N(K4720)&lt;J4720),"🟡 FALTA EXECUTAR",IF(OR(M4720="PENDENTE",M4720="PARCIAL"),"🟡 FATURAMENTO PENDENTE","🟡 EMBARQUE PENDENTE")))))))))))</f>
        <v/>
      </c>
      <c r="D4720" s="4" t="n"/>
      <c r="E4720" s="5" t="n"/>
      <c r="F4720" s="5" t="n"/>
      <c r="G4720" s="5" t="n"/>
      <c r="H4720" s="5" t="n"/>
      <c r="I4720" s="5" t="n"/>
      <c r="J4720" s="6" t="n"/>
      <c r="K4720" s="6" t="n"/>
      <c r="L4720" s="7">
        <f>IF(OR(D4720="",N(J4720)=0),"",MIN(1,N(K4720)/J4720))</f>
        <v/>
      </c>
      <c r="M4720" s="5" t="n"/>
      <c r="N4720" s="5" t="n"/>
      <c r="O4720" s="5" t="n"/>
      <c r="P4720" s="5" t="n"/>
      <c r="Q4720" s="5" t="n"/>
      <c r="R4720" s="4" t="n"/>
      <c r="S4720" s="4" t="n"/>
      <c r="T4720" s="5" t="n"/>
      <c r="U4720" s="8">
        <f>IF(AND(V4720=1,D4720&lt;&gt;""),IF(D4720&gt;=corte,TODAY()-D4720,""),"")</f>
        <v/>
      </c>
      <c r="V4720" s="8">
        <f>IF(D4720="",0,IF(OR(AND(P4720&lt;&gt;"",S4720=""),AND(N(J4720)&gt;0,N(K4720)&lt;J4720),OR(M4720="PENDENTE",M4720="PARCIAL"),OR(N4720="PENDENTE",N4720="PARCIAL")),1,0))</f>
        <v/>
      </c>
      <c r="W4720" s="8">
        <f>IF(AND(V4720=1,D4720&lt;&gt;""),IF(D4720&gt;=corte,(B4720="CRÍTICO")*1E9+(100000-D4720)*10000+10000-ROW(),""),"")</f>
        <v/>
      </c>
      <c r="X4720" s="8">
        <f>IF(AND(V4720=1,D4720=pas_data,E4720=pas_turno),10000-ROW(),"")</f>
        <v/>
      </c>
    </row>
    <row r="4721">
      <c r="A4721" s="3">
        <f>IF(D4721="","","TT-"&amp;TEXT(ROW()-1,"00000"))</f>
        <v/>
      </c>
      <c r="B4721" s="3">
        <f>IF(D4721="","",IF(V4721=0,"CONCLUÍDO",IF(D4721&lt;corte,"HISTÓRICO",IF(OR(AND(ISNUMBER(R4721),R4721&lt;TODAY()),AND(OR(N4721="PENDENTE",N4721="PARCIAL"),D4721&lt;TODAY()-1)),"CRÍTICO",IF(OR(AND(P4721&lt;&gt;"",S4721=""),AND(N4721="REALIZADO",M4721="PENDENTE"),AND(ISNUMBER(R4721),R4721=TODAY())),"ATENÇÃO",IF(N(K4721)=0,"PENDENTE","EM ANDAMENTO"))))))</f>
        <v/>
      </c>
      <c r="C4721" s="3">
        <f>IF(D4721="","",IF(V4721=0,"🟢 OK",IF(D4721&lt;corte,"⚪ HISTÓRICO (sem baixa)",IF(AND(ISNUMBER(R4721),R4721&lt;TODAY()),"🔴 PRAZO VENCIDO",IF(AND(OR(N4721="PENDENTE",N4721="PARCIAL"),D4721&lt;TODAY()-1),"🔴 EMBARQUE ATRASADO",IF(AND(N4721="REALIZADO",M4721="PENDENTE"),"🟡 EMBARCADO SEM FATURAR",IF(AND(P4721&lt;&gt;"",S4721="",OR(Q4721="",R4721="")),"🟡 PENDÊNCIA SEM RESPONSÁVEL/PRAZO",IF(AND(ISNUMBER(R4721),R4721=TODAY()),"🟡 VENCE HOJE",IF(AND(P4721&lt;&gt;"",S4721=""),"🟡 PENDÊNCIA ABERTA",IF(AND(N(J4721)&gt;0,N(K4721)&lt;J4721),"🟡 FALTA EXECUTAR",IF(OR(M4721="PENDENTE",M4721="PARCIAL"),"🟡 FATURAMENTO PENDENTE","🟡 EMBARQUE PENDENTE")))))))))))</f>
        <v/>
      </c>
      <c r="D4721" s="4" t="n"/>
      <c r="E4721" s="5" t="n"/>
      <c r="F4721" s="5" t="n"/>
      <c r="G4721" s="5" t="n"/>
      <c r="H4721" s="5" t="n"/>
      <c r="I4721" s="5" t="n"/>
      <c r="J4721" s="6" t="n"/>
      <c r="K4721" s="6" t="n"/>
      <c r="L4721" s="7">
        <f>IF(OR(D4721="",N(J4721)=0),"",MIN(1,N(K4721)/J4721))</f>
        <v/>
      </c>
      <c r="M4721" s="5" t="n"/>
      <c r="N4721" s="5" t="n"/>
      <c r="O4721" s="5" t="n"/>
      <c r="P4721" s="5" t="n"/>
      <c r="Q4721" s="5" t="n"/>
      <c r="R4721" s="4" t="n"/>
      <c r="S4721" s="4" t="n"/>
      <c r="T4721" s="5" t="n"/>
      <c r="U4721" s="8">
        <f>IF(AND(V4721=1,D4721&lt;&gt;""),IF(D4721&gt;=corte,TODAY()-D4721,""),"")</f>
        <v/>
      </c>
      <c r="V4721" s="8">
        <f>IF(D4721="",0,IF(OR(AND(P4721&lt;&gt;"",S4721=""),AND(N(J4721)&gt;0,N(K4721)&lt;J4721),OR(M4721="PENDENTE",M4721="PARCIAL"),OR(N4721="PENDENTE",N4721="PARCIAL")),1,0))</f>
        <v/>
      </c>
      <c r="W4721" s="8">
        <f>IF(AND(V4721=1,D4721&lt;&gt;""),IF(D4721&gt;=corte,(B4721="CRÍTICO")*1E9+(100000-D4721)*10000+10000-ROW(),""),"")</f>
        <v/>
      </c>
      <c r="X4721" s="8">
        <f>IF(AND(V4721=1,D4721=pas_data,E4721=pas_turno),10000-ROW(),"")</f>
        <v/>
      </c>
    </row>
    <row r="4722">
      <c r="A4722" s="3">
        <f>IF(D4722="","","TT-"&amp;TEXT(ROW()-1,"00000"))</f>
        <v/>
      </c>
      <c r="B4722" s="3">
        <f>IF(D4722="","",IF(V4722=0,"CONCLUÍDO",IF(D4722&lt;corte,"HISTÓRICO",IF(OR(AND(ISNUMBER(R4722),R4722&lt;TODAY()),AND(OR(N4722="PENDENTE",N4722="PARCIAL"),D4722&lt;TODAY()-1)),"CRÍTICO",IF(OR(AND(P4722&lt;&gt;"",S4722=""),AND(N4722="REALIZADO",M4722="PENDENTE"),AND(ISNUMBER(R4722),R4722=TODAY())),"ATENÇÃO",IF(N(K4722)=0,"PENDENTE","EM ANDAMENTO"))))))</f>
        <v/>
      </c>
      <c r="C4722" s="3">
        <f>IF(D4722="","",IF(V4722=0,"🟢 OK",IF(D4722&lt;corte,"⚪ HISTÓRICO (sem baixa)",IF(AND(ISNUMBER(R4722),R4722&lt;TODAY()),"🔴 PRAZO VENCIDO",IF(AND(OR(N4722="PENDENTE",N4722="PARCIAL"),D4722&lt;TODAY()-1),"🔴 EMBARQUE ATRASADO",IF(AND(N4722="REALIZADO",M4722="PENDENTE"),"🟡 EMBARCADO SEM FATURAR",IF(AND(P4722&lt;&gt;"",S4722="",OR(Q4722="",R4722="")),"🟡 PENDÊNCIA SEM RESPONSÁVEL/PRAZO",IF(AND(ISNUMBER(R4722),R4722=TODAY()),"🟡 VENCE HOJE",IF(AND(P4722&lt;&gt;"",S4722=""),"🟡 PENDÊNCIA ABERTA",IF(AND(N(J4722)&gt;0,N(K4722)&lt;J4722),"🟡 FALTA EXECUTAR",IF(OR(M4722="PENDENTE",M4722="PARCIAL"),"🟡 FATURAMENTO PENDENTE","🟡 EMBARQUE PENDENTE")))))))))))</f>
        <v/>
      </c>
      <c r="D4722" s="4" t="n"/>
      <c r="E4722" s="5" t="n"/>
      <c r="F4722" s="5" t="n"/>
      <c r="G4722" s="5" t="n"/>
      <c r="H4722" s="5" t="n"/>
      <c r="I4722" s="5" t="n"/>
      <c r="J4722" s="6" t="n"/>
      <c r="K4722" s="6" t="n"/>
      <c r="L4722" s="7">
        <f>IF(OR(D4722="",N(J4722)=0),"",MIN(1,N(K4722)/J4722))</f>
        <v/>
      </c>
      <c r="M4722" s="5" t="n"/>
      <c r="N4722" s="5" t="n"/>
      <c r="O4722" s="5" t="n"/>
      <c r="P4722" s="5" t="n"/>
      <c r="Q4722" s="5" t="n"/>
      <c r="R4722" s="4" t="n"/>
      <c r="S4722" s="4" t="n"/>
      <c r="T4722" s="5" t="n"/>
      <c r="U4722" s="8">
        <f>IF(AND(V4722=1,D4722&lt;&gt;""),IF(D4722&gt;=corte,TODAY()-D4722,""),"")</f>
        <v/>
      </c>
      <c r="V4722" s="8">
        <f>IF(D4722="",0,IF(OR(AND(P4722&lt;&gt;"",S4722=""),AND(N(J4722)&gt;0,N(K4722)&lt;J4722),OR(M4722="PENDENTE",M4722="PARCIAL"),OR(N4722="PENDENTE",N4722="PARCIAL")),1,0))</f>
        <v/>
      </c>
      <c r="W4722" s="8">
        <f>IF(AND(V4722=1,D4722&lt;&gt;""),IF(D4722&gt;=corte,(B4722="CRÍTICO")*1E9+(100000-D4722)*10000+10000-ROW(),""),"")</f>
        <v/>
      </c>
      <c r="X4722" s="8">
        <f>IF(AND(V4722=1,D4722=pas_data,E4722=pas_turno),10000-ROW(),"")</f>
        <v/>
      </c>
    </row>
    <row r="4723">
      <c r="A4723" s="3">
        <f>IF(D4723="","","TT-"&amp;TEXT(ROW()-1,"00000"))</f>
        <v/>
      </c>
      <c r="B4723" s="3">
        <f>IF(D4723="","",IF(V4723=0,"CONCLUÍDO",IF(D4723&lt;corte,"HISTÓRICO",IF(OR(AND(ISNUMBER(R4723),R4723&lt;TODAY()),AND(OR(N4723="PENDENTE",N4723="PARCIAL"),D4723&lt;TODAY()-1)),"CRÍTICO",IF(OR(AND(P4723&lt;&gt;"",S4723=""),AND(N4723="REALIZADO",M4723="PENDENTE"),AND(ISNUMBER(R4723),R4723=TODAY())),"ATENÇÃO",IF(N(K4723)=0,"PENDENTE","EM ANDAMENTO"))))))</f>
        <v/>
      </c>
      <c r="C4723" s="3">
        <f>IF(D4723="","",IF(V4723=0,"🟢 OK",IF(D4723&lt;corte,"⚪ HISTÓRICO (sem baixa)",IF(AND(ISNUMBER(R4723),R4723&lt;TODAY()),"🔴 PRAZO VENCIDO",IF(AND(OR(N4723="PENDENTE",N4723="PARCIAL"),D4723&lt;TODAY()-1),"🔴 EMBARQUE ATRASADO",IF(AND(N4723="REALIZADO",M4723="PENDENTE"),"🟡 EMBARCADO SEM FATURAR",IF(AND(P4723&lt;&gt;"",S4723="",OR(Q4723="",R4723="")),"🟡 PENDÊNCIA SEM RESPONSÁVEL/PRAZO",IF(AND(ISNUMBER(R4723),R4723=TODAY()),"🟡 VENCE HOJE",IF(AND(P4723&lt;&gt;"",S4723=""),"🟡 PENDÊNCIA ABERTA",IF(AND(N(J4723)&gt;0,N(K4723)&lt;J4723),"🟡 FALTA EXECUTAR",IF(OR(M4723="PENDENTE",M4723="PARCIAL"),"🟡 FATURAMENTO PENDENTE","🟡 EMBARQUE PENDENTE")))))))))))</f>
        <v/>
      </c>
      <c r="D4723" s="4" t="n"/>
      <c r="E4723" s="5" t="n"/>
      <c r="F4723" s="5" t="n"/>
      <c r="G4723" s="5" t="n"/>
      <c r="H4723" s="5" t="n"/>
      <c r="I4723" s="5" t="n"/>
      <c r="J4723" s="6" t="n"/>
      <c r="K4723" s="6" t="n"/>
      <c r="L4723" s="7">
        <f>IF(OR(D4723="",N(J4723)=0),"",MIN(1,N(K4723)/J4723))</f>
        <v/>
      </c>
      <c r="M4723" s="5" t="n"/>
      <c r="N4723" s="5" t="n"/>
      <c r="O4723" s="5" t="n"/>
      <c r="P4723" s="5" t="n"/>
      <c r="Q4723" s="5" t="n"/>
      <c r="R4723" s="4" t="n"/>
      <c r="S4723" s="4" t="n"/>
      <c r="T4723" s="5" t="n"/>
      <c r="U4723" s="8">
        <f>IF(AND(V4723=1,D4723&lt;&gt;""),IF(D4723&gt;=corte,TODAY()-D4723,""),"")</f>
        <v/>
      </c>
      <c r="V4723" s="8">
        <f>IF(D4723="",0,IF(OR(AND(P4723&lt;&gt;"",S4723=""),AND(N(J4723)&gt;0,N(K4723)&lt;J4723),OR(M4723="PENDENTE",M4723="PARCIAL"),OR(N4723="PENDENTE",N4723="PARCIAL")),1,0))</f>
        <v/>
      </c>
      <c r="W4723" s="8">
        <f>IF(AND(V4723=1,D4723&lt;&gt;""),IF(D4723&gt;=corte,(B4723="CRÍTICO")*1E9+(100000-D4723)*10000+10000-ROW(),""),"")</f>
        <v/>
      </c>
      <c r="X4723" s="8">
        <f>IF(AND(V4723=1,D4723=pas_data,E4723=pas_turno),10000-ROW(),"")</f>
        <v/>
      </c>
    </row>
    <row r="4724">
      <c r="A4724" s="3">
        <f>IF(D4724="","","TT-"&amp;TEXT(ROW()-1,"00000"))</f>
        <v/>
      </c>
      <c r="B4724" s="3">
        <f>IF(D4724="","",IF(V4724=0,"CONCLUÍDO",IF(D4724&lt;corte,"HISTÓRICO",IF(OR(AND(ISNUMBER(R4724),R4724&lt;TODAY()),AND(OR(N4724="PENDENTE",N4724="PARCIAL"),D4724&lt;TODAY()-1)),"CRÍTICO",IF(OR(AND(P4724&lt;&gt;"",S4724=""),AND(N4724="REALIZADO",M4724="PENDENTE"),AND(ISNUMBER(R4724),R4724=TODAY())),"ATENÇÃO",IF(N(K4724)=0,"PENDENTE","EM ANDAMENTO"))))))</f>
        <v/>
      </c>
      <c r="C4724" s="3">
        <f>IF(D4724="","",IF(V4724=0,"🟢 OK",IF(D4724&lt;corte,"⚪ HISTÓRICO (sem baixa)",IF(AND(ISNUMBER(R4724),R4724&lt;TODAY()),"🔴 PRAZO VENCIDO",IF(AND(OR(N4724="PENDENTE",N4724="PARCIAL"),D4724&lt;TODAY()-1),"🔴 EMBARQUE ATRASADO",IF(AND(N4724="REALIZADO",M4724="PENDENTE"),"🟡 EMBARCADO SEM FATURAR",IF(AND(P4724&lt;&gt;"",S4724="",OR(Q4724="",R4724="")),"🟡 PENDÊNCIA SEM RESPONSÁVEL/PRAZO",IF(AND(ISNUMBER(R4724),R4724=TODAY()),"🟡 VENCE HOJE",IF(AND(P4724&lt;&gt;"",S4724=""),"🟡 PENDÊNCIA ABERTA",IF(AND(N(J4724)&gt;0,N(K4724)&lt;J4724),"🟡 FALTA EXECUTAR",IF(OR(M4724="PENDENTE",M4724="PARCIAL"),"🟡 FATURAMENTO PENDENTE","🟡 EMBARQUE PENDENTE")))))))))))</f>
        <v/>
      </c>
      <c r="D4724" s="4" t="n"/>
      <c r="E4724" s="5" t="n"/>
      <c r="F4724" s="5" t="n"/>
      <c r="G4724" s="5" t="n"/>
      <c r="H4724" s="5" t="n"/>
      <c r="I4724" s="5" t="n"/>
      <c r="J4724" s="6" t="n"/>
      <c r="K4724" s="6" t="n"/>
      <c r="L4724" s="7">
        <f>IF(OR(D4724="",N(J4724)=0),"",MIN(1,N(K4724)/J4724))</f>
        <v/>
      </c>
      <c r="M4724" s="5" t="n"/>
      <c r="N4724" s="5" t="n"/>
      <c r="O4724" s="5" t="n"/>
      <c r="P4724" s="5" t="n"/>
      <c r="Q4724" s="5" t="n"/>
      <c r="R4724" s="4" t="n"/>
      <c r="S4724" s="4" t="n"/>
      <c r="T4724" s="5" t="n"/>
      <c r="U4724" s="8">
        <f>IF(AND(V4724=1,D4724&lt;&gt;""),IF(D4724&gt;=corte,TODAY()-D4724,""),"")</f>
        <v/>
      </c>
      <c r="V4724" s="8">
        <f>IF(D4724="",0,IF(OR(AND(P4724&lt;&gt;"",S4724=""),AND(N(J4724)&gt;0,N(K4724)&lt;J4724),OR(M4724="PENDENTE",M4724="PARCIAL"),OR(N4724="PENDENTE",N4724="PARCIAL")),1,0))</f>
        <v/>
      </c>
      <c r="W4724" s="8">
        <f>IF(AND(V4724=1,D4724&lt;&gt;""),IF(D4724&gt;=corte,(B4724="CRÍTICO")*1E9+(100000-D4724)*10000+10000-ROW(),""),"")</f>
        <v/>
      </c>
      <c r="X4724" s="8">
        <f>IF(AND(V4724=1,D4724=pas_data,E4724=pas_turno),10000-ROW(),"")</f>
        <v/>
      </c>
    </row>
    <row r="4725">
      <c r="A4725" s="3">
        <f>IF(D4725="","","TT-"&amp;TEXT(ROW()-1,"00000"))</f>
        <v/>
      </c>
      <c r="B4725" s="3">
        <f>IF(D4725="","",IF(V4725=0,"CONCLUÍDO",IF(D4725&lt;corte,"HISTÓRICO",IF(OR(AND(ISNUMBER(R4725),R4725&lt;TODAY()),AND(OR(N4725="PENDENTE",N4725="PARCIAL"),D4725&lt;TODAY()-1)),"CRÍTICO",IF(OR(AND(P4725&lt;&gt;"",S4725=""),AND(N4725="REALIZADO",M4725="PENDENTE"),AND(ISNUMBER(R4725),R4725=TODAY())),"ATENÇÃO",IF(N(K4725)=0,"PENDENTE","EM ANDAMENTO"))))))</f>
        <v/>
      </c>
      <c r="C4725" s="3">
        <f>IF(D4725="","",IF(V4725=0,"🟢 OK",IF(D4725&lt;corte,"⚪ HISTÓRICO (sem baixa)",IF(AND(ISNUMBER(R4725),R4725&lt;TODAY()),"🔴 PRAZO VENCIDO",IF(AND(OR(N4725="PENDENTE",N4725="PARCIAL"),D4725&lt;TODAY()-1),"🔴 EMBARQUE ATRASADO",IF(AND(N4725="REALIZADO",M4725="PENDENTE"),"🟡 EMBARCADO SEM FATURAR",IF(AND(P4725&lt;&gt;"",S4725="",OR(Q4725="",R4725="")),"🟡 PENDÊNCIA SEM RESPONSÁVEL/PRAZO",IF(AND(ISNUMBER(R4725),R4725=TODAY()),"🟡 VENCE HOJE",IF(AND(P4725&lt;&gt;"",S4725=""),"🟡 PENDÊNCIA ABERTA",IF(AND(N(J4725)&gt;0,N(K4725)&lt;J4725),"🟡 FALTA EXECUTAR",IF(OR(M4725="PENDENTE",M4725="PARCIAL"),"🟡 FATURAMENTO PENDENTE","🟡 EMBARQUE PENDENTE")))))))))))</f>
        <v/>
      </c>
      <c r="D4725" s="4" t="n"/>
      <c r="E4725" s="5" t="n"/>
      <c r="F4725" s="5" t="n"/>
      <c r="G4725" s="5" t="n"/>
      <c r="H4725" s="5" t="n"/>
      <c r="I4725" s="5" t="n"/>
      <c r="J4725" s="6" t="n"/>
      <c r="K4725" s="6" t="n"/>
      <c r="L4725" s="7">
        <f>IF(OR(D4725="",N(J4725)=0),"",MIN(1,N(K4725)/J4725))</f>
        <v/>
      </c>
      <c r="M4725" s="5" t="n"/>
      <c r="N4725" s="5" t="n"/>
      <c r="O4725" s="5" t="n"/>
      <c r="P4725" s="5" t="n"/>
      <c r="Q4725" s="5" t="n"/>
      <c r="R4725" s="4" t="n"/>
      <c r="S4725" s="4" t="n"/>
      <c r="T4725" s="5" t="n"/>
      <c r="U4725" s="8">
        <f>IF(AND(V4725=1,D4725&lt;&gt;""),IF(D4725&gt;=corte,TODAY()-D4725,""),"")</f>
        <v/>
      </c>
      <c r="V4725" s="8">
        <f>IF(D4725="",0,IF(OR(AND(P4725&lt;&gt;"",S4725=""),AND(N(J4725)&gt;0,N(K4725)&lt;J4725),OR(M4725="PENDENTE",M4725="PARCIAL"),OR(N4725="PENDENTE",N4725="PARCIAL")),1,0))</f>
        <v/>
      </c>
      <c r="W4725" s="8">
        <f>IF(AND(V4725=1,D4725&lt;&gt;""),IF(D4725&gt;=corte,(B4725="CRÍTICO")*1E9+(100000-D4725)*10000+10000-ROW(),""),"")</f>
        <v/>
      </c>
      <c r="X4725" s="8">
        <f>IF(AND(V4725=1,D4725=pas_data,E4725=pas_turno),10000-ROW(),"")</f>
        <v/>
      </c>
    </row>
    <row r="4726">
      <c r="A4726" s="3">
        <f>IF(D4726="","","TT-"&amp;TEXT(ROW()-1,"00000"))</f>
        <v/>
      </c>
      <c r="B4726" s="3">
        <f>IF(D4726="","",IF(V4726=0,"CONCLUÍDO",IF(D4726&lt;corte,"HISTÓRICO",IF(OR(AND(ISNUMBER(R4726),R4726&lt;TODAY()),AND(OR(N4726="PENDENTE",N4726="PARCIAL"),D4726&lt;TODAY()-1)),"CRÍTICO",IF(OR(AND(P4726&lt;&gt;"",S4726=""),AND(N4726="REALIZADO",M4726="PENDENTE"),AND(ISNUMBER(R4726),R4726=TODAY())),"ATENÇÃO",IF(N(K4726)=0,"PENDENTE","EM ANDAMENTO"))))))</f>
        <v/>
      </c>
      <c r="C4726" s="3">
        <f>IF(D4726="","",IF(V4726=0,"🟢 OK",IF(D4726&lt;corte,"⚪ HISTÓRICO (sem baixa)",IF(AND(ISNUMBER(R4726),R4726&lt;TODAY()),"🔴 PRAZO VENCIDO",IF(AND(OR(N4726="PENDENTE",N4726="PARCIAL"),D4726&lt;TODAY()-1),"🔴 EMBARQUE ATRASADO",IF(AND(N4726="REALIZADO",M4726="PENDENTE"),"🟡 EMBARCADO SEM FATURAR",IF(AND(P4726&lt;&gt;"",S4726="",OR(Q4726="",R4726="")),"🟡 PENDÊNCIA SEM RESPONSÁVEL/PRAZO",IF(AND(ISNUMBER(R4726),R4726=TODAY()),"🟡 VENCE HOJE",IF(AND(P4726&lt;&gt;"",S4726=""),"🟡 PENDÊNCIA ABERTA",IF(AND(N(J4726)&gt;0,N(K4726)&lt;J4726),"🟡 FALTA EXECUTAR",IF(OR(M4726="PENDENTE",M4726="PARCIAL"),"🟡 FATURAMENTO PENDENTE","🟡 EMBARQUE PENDENTE")))))))))))</f>
        <v/>
      </c>
      <c r="D4726" s="4" t="n"/>
      <c r="E4726" s="5" t="n"/>
      <c r="F4726" s="5" t="n"/>
      <c r="G4726" s="5" t="n"/>
      <c r="H4726" s="5" t="n"/>
      <c r="I4726" s="5" t="n"/>
      <c r="J4726" s="6" t="n"/>
      <c r="K4726" s="6" t="n"/>
      <c r="L4726" s="7">
        <f>IF(OR(D4726="",N(J4726)=0),"",MIN(1,N(K4726)/J4726))</f>
        <v/>
      </c>
      <c r="M4726" s="5" t="n"/>
      <c r="N4726" s="5" t="n"/>
      <c r="O4726" s="5" t="n"/>
      <c r="P4726" s="5" t="n"/>
      <c r="Q4726" s="5" t="n"/>
      <c r="R4726" s="4" t="n"/>
      <c r="S4726" s="4" t="n"/>
      <c r="T4726" s="5" t="n"/>
      <c r="U4726" s="8">
        <f>IF(AND(V4726=1,D4726&lt;&gt;""),IF(D4726&gt;=corte,TODAY()-D4726,""),"")</f>
        <v/>
      </c>
      <c r="V4726" s="8">
        <f>IF(D4726="",0,IF(OR(AND(P4726&lt;&gt;"",S4726=""),AND(N(J4726)&gt;0,N(K4726)&lt;J4726),OR(M4726="PENDENTE",M4726="PARCIAL"),OR(N4726="PENDENTE",N4726="PARCIAL")),1,0))</f>
        <v/>
      </c>
      <c r="W4726" s="8">
        <f>IF(AND(V4726=1,D4726&lt;&gt;""),IF(D4726&gt;=corte,(B4726="CRÍTICO")*1E9+(100000-D4726)*10000+10000-ROW(),""),"")</f>
        <v/>
      </c>
      <c r="X4726" s="8">
        <f>IF(AND(V4726=1,D4726=pas_data,E4726=pas_turno),10000-ROW(),"")</f>
        <v/>
      </c>
    </row>
    <row r="4727">
      <c r="A4727" s="3">
        <f>IF(D4727="","","TT-"&amp;TEXT(ROW()-1,"00000"))</f>
        <v/>
      </c>
      <c r="B4727" s="3">
        <f>IF(D4727="","",IF(V4727=0,"CONCLUÍDO",IF(D4727&lt;corte,"HISTÓRICO",IF(OR(AND(ISNUMBER(R4727),R4727&lt;TODAY()),AND(OR(N4727="PENDENTE",N4727="PARCIAL"),D4727&lt;TODAY()-1)),"CRÍTICO",IF(OR(AND(P4727&lt;&gt;"",S4727=""),AND(N4727="REALIZADO",M4727="PENDENTE"),AND(ISNUMBER(R4727),R4727=TODAY())),"ATENÇÃO",IF(N(K4727)=0,"PENDENTE","EM ANDAMENTO"))))))</f>
        <v/>
      </c>
      <c r="C4727" s="3">
        <f>IF(D4727="","",IF(V4727=0,"🟢 OK",IF(D4727&lt;corte,"⚪ HISTÓRICO (sem baixa)",IF(AND(ISNUMBER(R4727),R4727&lt;TODAY()),"🔴 PRAZO VENCIDO",IF(AND(OR(N4727="PENDENTE",N4727="PARCIAL"),D4727&lt;TODAY()-1),"🔴 EMBARQUE ATRASADO",IF(AND(N4727="REALIZADO",M4727="PENDENTE"),"🟡 EMBARCADO SEM FATURAR",IF(AND(P4727&lt;&gt;"",S4727="",OR(Q4727="",R4727="")),"🟡 PENDÊNCIA SEM RESPONSÁVEL/PRAZO",IF(AND(ISNUMBER(R4727),R4727=TODAY()),"🟡 VENCE HOJE",IF(AND(P4727&lt;&gt;"",S4727=""),"🟡 PENDÊNCIA ABERTA",IF(AND(N(J4727)&gt;0,N(K4727)&lt;J4727),"🟡 FALTA EXECUTAR",IF(OR(M4727="PENDENTE",M4727="PARCIAL"),"🟡 FATURAMENTO PENDENTE","🟡 EMBARQUE PENDENTE")))))))))))</f>
        <v/>
      </c>
      <c r="D4727" s="4" t="n"/>
      <c r="E4727" s="5" t="n"/>
      <c r="F4727" s="5" t="n"/>
      <c r="G4727" s="5" t="n"/>
      <c r="H4727" s="5" t="n"/>
      <c r="I4727" s="5" t="n"/>
      <c r="J4727" s="6" t="n"/>
      <c r="K4727" s="6" t="n"/>
      <c r="L4727" s="7">
        <f>IF(OR(D4727="",N(J4727)=0),"",MIN(1,N(K4727)/J4727))</f>
        <v/>
      </c>
      <c r="M4727" s="5" t="n"/>
      <c r="N4727" s="5" t="n"/>
      <c r="O4727" s="5" t="n"/>
      <c r="P4727" s="5" t="n"/>
      <c r="Q4727" s="5" t="n"/>
      <c r="R4727" s="4" t="n"/>
      <c r="S4727" s="4" t="n"/>
      <c r="T4727" s="5" t="n"/>
      <c r="U4727" s="8">
        <f>IF(AND(V4727=1,D4727&lt;&gt;""),IF(D4727&gt;=corte,TODAY()-D4727,""),"")</f>
        <v/>
      </c>
      <c r="V4727" s="8">
        <f>IF(D4727="",0,IF(OR(AND(P4727&lt;&gt;"",S4727=""),AND(N(J4727)&gt;0,N(K4727)&lt;J4727),OR(M4727="PENDENTE",M4727="PARCIAL"),OR(N4727="PENDENTE",N4727="PARCIAL")),1,0))</f>
        <v/>
      </c>
      <c r="W4727" s="8">
        <f>IF(AND(V4727=1,D4727&lt;&gt;""),IF(D4727&gt;=corte,(B4727="CRÍTICO")*1E9+(100000-D4727)*10000+10000-ROW(),""),"")</f>
        <v/>
      </c>
      <c r="X4727" s="8">
        <f>IF(AND(V4727=1,D4727=pas_data,E4727=pas_turno),10000-ROW(),"")</f>
        <v/>
      </c>
    </row>
    <row r="4728">
      <c r="A4728" s="3">
        <f>IF(D4728="","","TT-"&amp;TEXT(ROW()-1,"00000"))</f>
        <v/>
      </c>
      <c r="B4728" s="3">
        <f>IF(D4728="","",IF(V4728=0,"CONCLUÍDO",IF(D4728&lt;corte,"HISTÓRICO",IF(OR(AND(ISNUMBER(R4728),R4728&lt;TODAY()),AND(OR(N4728="PENDENTE",N4728="PARCIAL"),D4728&lt;TODAY()-1)),"CRÍTICO",IF(OR(AND(P4728&lt;&gt;"",S4728=""),AND(N4728="REALIZADO",M4728="PENDENTE"),AND(ISNUMBER(R4728),R4728=TODAY())),"ATENÇÃO",IF(N(K4728)=0,"PENDENTE","EM ANDAMENTO"))))))</f>
        <v/>
      </c>
      <c r="C4728" s="3">
        <f>IF(D4728="","",IF(V4728=0,"🟢 OK",IF(D4728&lt;corte,"⚪ HISTÓRICO (sem baixa)",IF(AND(ISNUMBER(R4728),R4728&lt;TODAY()),"🔴 PRAZO VENCIDO",IF(AND(OR(N4728="PENDENTE",N4728="PARCIAL"),D4728&lt;TODAY()-1),"🔴 EMBARQUE ATRASADO",IF(AND(N4728="REALIZADO",M4728="PENDENTE"),"🟡 EMBARCADO SEM FATURAR",IF(AND(P4728&lt;&gt;"",S4728="",OR(Q4728="",R4728="")),"🟡 PENDÊNCIA SEM RESPONSÁVEL/PRAZO",IF(AND(ISNUMBER(R4728),R4728=TODAY()),"🟡 VENCE HOJE",IF(AND(P4728&lt;&gt;"",S4728=""),"🟡 PENDÊNCIA ABERTA",IF(AND(N(J4728)&gt;0,N(K4728)&lt;J4728),"🟡 FALTA EXECUTAR",IF(OR(M4728="PENDENTE",M4728="PARCIAL"),"🟡 FATURAMENTO PENDENTE","🟡 EMBARQUE PENDENTE")))))))))))</f>
        <v/>
      </c>
      <c r="D4728" s="4" t="n"/>
      <c r="E4728" s="5" t="n"/>
      <c r="F4728" s="5" t="n"/>
      <c r="G4728" s="5" t="n"/>
      <c r="H4728" s="5" t="n"/>
      <c r="I4728" s="5" t="n"/>
      <c r="J4728" s="6" t="n"/>
      <c r="K4728" s="6" t="n"/>
      <c r="L4728" s="7">
        <f>IF(OR(D4728="",N(J4728)=0),"",MIN(1,N(K4728)/J4728))</f>
        <v/>
      </c>
      <c r="M4728" s="5" t="n"/>
      <c r="N4728" s="5" t="n"/>
      <c r="O4728" s="5" t="n"/>
      <c r="P4728" s="5" t="n"/>
      <c r="Q4728" s="5" t="n"/>
      <c r="R4728" s="4" t="n"/>
      <c r="S4728" s="4" t="n"/>
      <c r="T4728" s="5" t="n"/>
      <c r="U4728" s="8">
        <f>IF(AND(V4728=1,D4728&lt;&gt;""),IF(D4728&gt;=corte,TODAY()-D4728,""),"")</f>
        <v/>
      </c>
      <c r="V4728" s="8">
        <f>IF(D4728="",0,IF(OR(AND(P4728&lt;&gt;"",S4728=""),AND(N(J4728)&gt;0,N(K4728)&lt;J4728),OR(M4728="PENDENTE",M4728="PARCIAL"),OR(N4728="PENDENTE",N4728="PARCIAL")),1,0))</f>
        <v/>
      </c>
      <c r="W4728" s="8">
        <f>IF(AND(V4728=1,D4728&lt;&gt;""),IF(D4728&gt;=corte,(B4728="CRÍTICO")*1E9+(100000-D4728)*10000+10000-ROW(),""),"")</f>
        <v/>
      </c>
      <c r="X4728" s="8">
        <f>IF(AND(V4728=1,D4728=pas_data,E4728=pas_turno),10000-ROW(),"")</f>
        <v/>
      </c>
    </row>
    <row r="4729">
      <c r="A4729" s="3">
        <f>IF(D4729="","","TT-"&amp;TEXT(ROW()-1,"00000"))</f>
        <v/>
      </c>
      <c r="B4729" s="3">
        <f>IF(D4729="","",IF(V4729=0,"CONCLUÍDO",IF(D4729&lt;corte,"HISTÓRICO",IF(OR(AND(ISNUMBER(R4729),R4729&lt;TODAY()),AND(OR(N4729="PENDENTE",N4729="PARCIAL"),D4729&lt;TODAY()-1)),"CRÍTICO",IF(OR(AND(P4729&lt;&gt;"",S4729=""),AND(N4729="REALIZADO",M4729="PENDENTE"),AND(ISNUMBER(R4729),R4729=TODAY())),"ATENÇÃO",IF(N(K4729)=0,"PENDENTE","EM ANDAMENTO"))))))</f>
        <v/>
      </c>
      <c r="C4729" s="3">
        <f>IF(D4729="","",IF(V4729=0,"🟢 OK",IF(D4729&lt;corte,"⚪ HISTÓRICO (sem baixa)",IF(AND(ISNUMBER(R4729),R4729&lt;TODAY()),"🔴 PRAZO VENCIDO",IF(AND(OR(N4729="PENDENTE",N4729="PARCIAL"),D4729&lt;TODAY()-1),"🔴 EMBARQUE ATRASADO",IF(AND(N4729="REALIZADO",M4729="PENDENTE"),"🟡 EMBARCADO SEM FATURAR",IF(AND(P4729&lt;&gt;"",S4729="",OR(Q4729="",R4729="")),"🟡 PENDÊNCIA SEM RESPONSÁVEL/PRAZO",IF(AND(ISNUMBER(R4729),R4729=TODAY()),"🟡 VENCE HOJE",IF(AND(P4729&lt;&gt;"",S4729=""),"🟡 PENDÊNCIA ABERTA",IF(AND(N(J4729)&gt;0,N(K4729)&lt;J4729),"🟡 FALTA EXECUTAR",IF(OR(M4729="PENDENTE",M4729="PARCIAL"),"🟡 FATURAMENTO PENDENTE","🟡 EMBARQUE PENDENTE")))))))))))</f>
        <v/>
      </c>
      <c r="D4729" s="4" t="n"/>
      <c r="E4729" s="5" t="n"/>
      <c r="F4729" s="5" t="n"/>
      <c r="G4729" s="5" t="n"/>
      <c r="H4729" s="5" t="n"/>
      <c r="I4729" s="5" t="n"/>
      <c r="J4729" s="6" t="n"/>
      <c r="K4729" s="6" t="n"/>
      <c r="L4729" s="7">
        <f>IF(OR(D4729="",N(J4729)=0),"",MIN(1,N(K4729)/J4729))</f>
        <v/>
      </c>
      <c r="M4729" s="5" t="n"/>
      <c r="N4729" s="5" t="n"/>
      <c r="O4729" s="5" t="n"/>
      <c r="P4729" s="5" t="n"/>
      <c r="Q4729" s="5" t="n"/>
      <c r="R4729" s="4" t="n"/>
      <c r="S4729" s="4" t="n"/>
      <c r="T4729" s="5" t="n"/>
      <c r="U4729" s="8">
        <f>IF(AND(V4729=1,D4729&lt;&gt;""),IF(D4729&gt;=corte,TODAY()-D4729,""),"")</f>
        <v/>
      </c>
      <c r="V4729" s="8">
        <f>IF(D4729="",0,IF(OR(AND(P4729&lt;&gt;"",S4729=""),AND(N(J4729)&gt;0,N(K4729)&lt;J4729),OR(M4729="PENDENTE",M4729="PARCIAL"),OR(N4729="PENDENTE",N4729="PARCIAL")),1,0))</f>
        <v/>
      </c>
      <c r="W4729" s="8">
        <f>IF(AND(V4729=1,D4729&lt;&gt;""),IF(D4729&gt;=corte,(B4729="CRÍTICO")*1E9+(100000-D4729)*10000+10000-ROW(),""),"")</f>
        <v/>
      </c>
      <c r="X4729" s="8">
        <f>IF(AND(V4729=1,D4729=pas_data,E4729=pas_turno),10000-ROW(),"")</f>
        <v/>
      </c>
    </row>
    <row r="4730">
      <c r="A4730" s="3">
        <f>IF(D4730="","","TT-"&amp;TEXT(ROW()-1,"00000"))</f>
        <v/>
      </c>
      <c r="B4730" s="3">
        <f>IF(D4730="","",IF(V4730=0,"CONCLUÍDO",IF(D4730&lt;corte,"HISTÓRICO",IF(OR(AND(ISNUMBER(R4730),R4730&lt;TODAY()),AND(OR(N4730="PENDENTE",N4730="PARCIAL"),D4730&lt;TODAY()-1)),"CRÍTICO",IF(OR(AND(P4730&lt;&gt;"",S4730=""),AND(N4730="REALIZADO",M4730="PENDENTE"),AND(ISNUMBER(R4730),R4730=TODAY())),"ATENÇÃO",IF(N(K4730)=0,"PENDENTE","EM ANDAMENTO"))))))</f>
        <v/>
      </c>
      <c r="C4730" s="3">
        <f>IF(D4730="","",IF(V4730=0,"🟢 OK",IF(D4730&lt;corte,"⚪ HISTÓRICO (sem baixa)",IF(AND(ISNUMBER(R4730),R4730&lt;TODAY()),"🔴 PRAZO VENCIDO",IF(AND(OR(N4730="PENDENTE",N4730="PARCIAL"),D4730&lt;TODAY()-1),"🔴 EMBARQUE ATRASADO",IF(AND(N4730="REALIZADO",M4730="PENDENTE"),"🟡 EMBARCADO SEM FATURAR",IF(AND(P4730&lt;&gt;"",S4730="",OR(Q4730="",R4730="")),"🟡 PENDÊNCIA SEM RESPONSÁVEL/PRAZO",IF(AND(ISNUMBER(R4730),R4730=TODAY()),"🟡 VENCE HOJE",IF(AND(P4730&lt;&gt;"",S4730=""),"🟡 PENDÊNCIA ABERTA",IF(AND(N(J4730)&gt;0,N(K4730)&lt;J4730),"🟡 FALTA EXECUTAR",IF(OR(M4730="PENDENTE",M4730="PARCIAL"),"🟡 FATURAMENTO PENDENTE","🟡 EMBARQUE PENDENTE")))))))))))</f>
        <v/>
      </c>
      <c r="D4730" s="4" t="n"/>
      <c r="E4730" s="5" t="n"/>
      <c r="F4730" s="5" t="n"/>
      <c r="G4730" s="5" t="n"/>
      <c r="H4730" s="5" t="n"/>
      <c r="I4730" s="5" t="n"/>
      <c r="J4730" s="6" t="n"/>
      <c r="K4730" s="6" t="n"/>
      <c r="L4730" s="7">
        <f>IF(OR(D4730="",N(J4730)=0),"",MIN(1,N(K4730)/J4730))</f>
        <v/>
      </c>
      <c r="M4730" s="5" t="n"/>
      <c r="N4730" s="5" t="n"/>
      <c r="O4730" s="5" t="n"/>
      <c r="P4730" s="5" t="n"/>
      <c r="Q4730" s="5" t="n"/>
      <c r="R4730" s="4" t="n"/>
      <c r="S4730" s="4" t="n"/>
      <c r="T4730" s="5" t="n"/>
      <c r="U4730" s="8">
        <f>IF(AND(V4730=1,D4730&lt;&gt;""),IF(D4730&gt;=corte,TODAY()-D4730,""),"")</f>
        <v/>
      </c>
      <c r="V4730" s="8">
        <f>IF(D4730="",0,IF(OR(AND(P4730&lt;&gt;"",S4730=""),AND(N(J4730)&gt;0,N(K4730)&lt;J4730),OR(M4730="PENDENTE",M4730="PARCIAL"),OR(N4730="PENDENTE",N4730="PARCIAL")),1,0))</f>
        <v/>
      </c>
      <c r="W4730" s="8">
        <f>IF(AND(V4730=1,D4730&lt;&gt;""),IF(D4730&gt;=corte,(B4730="CRÍTICO")*1E9+(100000-D4730)*10000+10000-ROW(),""),"")</f>
        <v/>
      </c>
      <c r="X4730" s="8">
        <f>IF(AND(V4730=1,D4730=pas_data,E4730=pas_turno),10000-ROW(),"")</f>
        <v/>
      </c>
    </row>
    <row r="4731">
      <c r="A4731" s="3">
        <f>IF(D4731="","","TT-"&amp;TEXT(ROW()-1,"00000"))</f>
        <v/>
      </c>
      <c r="B4731" s="3">
        <f>IF(D4731="","",IF(V4731=0,"CONCLUÍDO",IF(D4731&lt;corte,"HISTÓRICO",IF(OR(AND(ISNUMBER(R4731),R4731&lt;TODAY()),AND(OR(N4731="PENDENTE",N4731="PARCIAL"),D4731&lt;TODAY()-1)),"CRÍTICO",IF(OR(AND(P4731&lt;&gt;"",S4731=""),AND(N4731="REALIZADO",M4731="PENDENTE"),AND(ISNUMBER(R4731),R4731=TODAY())),"ATENÇÃO",IF(N(K4731)=0,"PENDENTE","EM ANDAMENTO"))))))</f>
        <v/>
      </c>
      <c r="C4731" s="3">
        <f>IF(D4731="","",IF(V4731=0,"🟢 OK",IF(D4731&lt;corte,"⚪ HISTÓRICO (sem baixa)",IF(AND(ISNUMBER(R4731),R4731&lt;TODAY()),"🔴 PRAZO VENCIDO",IF(AND(OR(N4731="PENDENTE",N4731="PARCIAL"),D4731&lt;TODAY()-1),"🔴 EMBARQUE ATRASADO",IF(AND(N4731="REALIZADO",M4731="PENDENTE"),"🟡 EMBARCADO SEM FATURAR",IF(AND(P4731&lt;&gt;"",S4731="",OR(Q4731="",R4731="")),"🟡 PENDÊNCIA SEM RESPONSÁVEL/PRAZO",IF(AND(ISNUMBER(R4731),R4731=TODAY()),"🟡 VENCE HOJE",IF(AND(P4731&lt;&gt;"",S4731=""),"🟡 PENDÊNCIA ABERTA",IF(AND(N(J4731)&gt;0,N(K4731)&lt;J4731),"🟡 FALTA EXECUTAR",IF(OR(M4731="PENDENTE",M4731="PARCIAL"),"🟡 FATURAMENTO PENDENTE","🟡 EMBARQUE PENDENTE")))))))))))</f>
        <v/>
      </c>
      <c r="D4731" s="4" t="n"/>
      <c r="E4731" s="5" t="n"/>
      <c r="F4731" s="5" t="n"/>
      <c r="G4731" s="5" t="n"/>
      <c r="H4731" s="5" t="n"/>
      <c r="I4731" s="5" t="n"/>
      <c r="J4731" s="6" t="n"/>
      <c r="K4731" s="6" t="n"/>
      <c r="L4731" s="7">
        <f>IF(OR(D4731="",N(J4731)=0),"",MIN(1,N(K4731)/J4731))</f>
        <v/>
      </c>
      <c r="M4731" s="5" t="n"/>
      <c r="N4731" s="5" t="n"/>
      <c r="O4731" s="5" t="n"/>
      <c r="P4731" s="5" t="n"/>
      <c r="Q4731" s="5" t="n"/>
      <c r="R4731" s="4" t="n"/>
      <c r="S4731" s="4" t="n"/>
      <c r="T4731" s="5" t="n"/>
      <c r="U4731" s="8">
        <f>IF(AND(V4731=1,D4731&lt;&gt;""),IF(D4731&gt;=corte,TODAY()-D4731,""),"")</f>
        <v/>
      </c>
      <c r="V4731" s="8">
        <f>IF(D4731="",0,IF(OR(AND(P4731&lt;&gt;"",S4731=""),AND(N(J4731)&gt;0,N(K4731)&lt;J4731),OR(M4731="PENDENTE",M4731="PARCIAL"),OR(N4731="PENDENTE",N4731="PARCIAL")),1,0))</f>
        <v/>
      </c>
      <c r="W4731" s="8">
        <f>IF(AND(V4731=1,D4731&lt;&gt;""),IF(D4731&gt;=corte,(B4731="CRÍTICO")*1E9+(100000-D4731)*10000+10000-ROW(),""),"")</f>
        <v/>
      </c>
      <c r="X4731" s="8">
        <f>IF(AND(V4731=1,D4731=pas_data,E4731=pas_turno),10000-ROW(),"")</f>
        <v/>
      </c>
    </row>
    <row r="4732">
      <c r="A4732" s="3">
        <f>IF(D4732="","","TT-"&amp;TEXT(ROW()-1,"00000"))</f>
        <v/>
      </c>
      <c r="B4732" s="3">
        <f>IF(D4732="","",IF(V4732=0,"CONCLUÍDO",IF(D4732&lt;corte,"HISTÓRICO",IF(OR(AND(ISNUMBER(R4732),R4732&lt;TODAY()),AND(OR(N4732="PENDENTE",N4732="PARCIAL"),D4732&lt;TODAY()-1)),"CRÍTICO",IF(OR(AND(P4732&lt;&gt;"",S4732=""),AND(N4732="REALIZADO",M4732="PENDENTE"),AND(ISNUMBER(R4732),R4732=TODAY())),"ATENÇÃO",IF(N(K4732)=0,"PENDENTE","EM ANDAMENTO"))))))</f>
        <v/>
      </c>
      <c r="C4732" s="3">
        <f>IF(D4732="","",IF(V4732=0,"🟢 OK",IF(D4732&lt;corte,"⚪ HISTÓRICO (sem baixa)",IF(AND(ISNUMBER(R4732),R4732&lt;TODAY()),"🔴 PRAZO VENCIDO",IF(AND(OR(N4732="PENDENTE",N4732="PARCIAL"),D4732&lt;TODAY()-1),"🔴 EMBARQUE ATRASADO",IF(AND(N4732="REALIZADO",M4732="PENDENTE"),"🟡 EMBARCADO SEM FATURAR",IF(AND(P4732&lt;&gt;"",S4732="",OR(Q4732="",R4732="")),"🟡 PENDÊNCIA SEM RESPONSÁVEL/PRAZO",IF(AND(ISNUMBER(R4732),R4732=TODAY()),"🟡 VENCE HOJE",IF(AND(P4732&lt;&gt;"",S4732=""),"🟡 PENDÊNCIA ABERTA",IF(AND(N(J4732)&gt;0,N(K4732)&lt;J4732),"🟡 FALTA EXECUTAR",IF(OR(M4732="PENDENTE",M4732="PARCIAL"),"🟡 FATURAMENTO PENDENTE","🟡 EMBARQUE PENDENTE")))))))))))</f>
        <v/>
      </c>
      <c r="D4732" s="4" t="n"/>
      <c r="E4732" s="5" t="n"/>
      <c r="F4732" s="5" t="n"/>
      <c r="G4732" s="5" t="n"/>
      <c r="H4732" s="5" t="n"/>
      <c r="I4732" s="5" t="n"/>
      <c r="J4732" s="6" t="n"/>
      <c r="K4732" s="6" t="n"/>
      <c r="L4732" s="7">
        <f>IF(OR(D4732="",N(J4732)=0),"",MIN(1,N(K4732)/J4732))</f>
        <v/>
      </c>
      <c r="M4732" s="5" t="n"/>
      <c r="N4732" s="5" t="n"/>
      <c r="O4732" s="5" t="n"/>
      <c r="P4732" s="5" t="n"/>
      <c r="Q4732" s="5" t="n"/>
      <c r="R4732" s="4" t="n"/>
      <c r="S4732" s="4" t="n"/>
      <c r="T4732" s="5" t="n"/>
      <c r="U4732" s="8">
        <f>IF(AND(V4732=1,D4732&lt;&gt;""),IF(D4732&gt;=corte,TODAY()-D4732,""),"")</f>
        <v/>
      </c>
      <c r="V4732" s="8">
        <f>IF(D4732="",0,IF(OR(AND(P4732&lt;&gt;"",S4732=""),AND(N(J4732)&gt;0,N(K4732)&lt;J4732),OR(M4732="PENDENTE",M4732="PARCIAL"),OR(N4732="PENDENTE",N4732="PARCIAL")),1,0))</f>
        <v/>
      </c>
      <c r="W4732" s="8">
        <f>IF(AND(V4732=1,D4732&lt;&gt;""),IF(D4732&gt;=corte,(B4732="CRÍTICO")*1E9+(100000-D4732)*10000+10000-ROW(),""),"")</f>
        <v/>
      </c>
      <c r="X4732" s="8">
        <f>IF(AND(V4732=1,D4732=pas_data,E4732=pas_turno),10000-ROW(),"")</f>
        <v/>
      </c>
    </row>
    <row r="4733">
      <c r="A4733" s="3">
        <f>IF(D4733="","","TT-"&amp;TEXT(ROW()-1,"00000"))</f>
        <v/>
      </c>
      <c r="B4733" s="3">
        <f>IF(D4733="","",IF(V4733=0,"CONCLUÍDO",IF(D4733&lt;corte,"HISTÓRICO",IF(OR(AND(ISNUMBER(R4733),R4733&lt;TODAY()),AND(OR(N4733="PENDENTE",N4733="PARCIAL"),D4733&lt;TODAY()-1)),"CRÍTICO",IF(OR(AND(P4733&lt;&gt;"",S4733=""),AND(N4733="REALIZADO",M4733="PENDENTE"),AND(ISNUMBER(R4733),R4733=TODAY())),"ATENÇÃO",IF(N(K4733)=0,"PENDENTE","EM ANDAMENTO"))))))</f>
        <v/>
      </c>
      <c r="C4733" s="3">
        <f>IF(D4733="","",IF(V4733=0,"🟢 OK",IF(D4733&lt;corte,"⚪ HISTÓRICO (sem baixa)",IF(AND(ISNUMBER(R4733),R4733&lt;TODAY()),"🔴 PRAZO VENCIDO",IF(AND(OR(N4733="PENDENTE",N4733="PARCIAL"),D4733&lt;TODAY()-1),"🔴 EMBARQUE ATRASADO",IF(AND(N4733="REALIZADO",M4733="PENDENTE"),"🟡 EMBARCADO SEM FATURAR",IF(AND(P4733&lt;&gt;"",S4733="",OR(Q4733="",R4733="")),"🟡 PENDÊNCIA SEM RESPONSÁVEL/PRAZO",IF(AND(ISNUMBER(R4733),R4733=TODAY()),"🟡 VENCE HOJE",IF(AND(P4733&lt;&gt;"",S4733=""),"🟡 PENDÊNCIA ABERTA",IF(AND(N(J4733)&gt;0,N(K4733)&lt;J4733),"🟡 FALTA EXECUTAR",IF(OR(M4733="PENDENTE",M4733="PARCIAL"),"🟡 FATURAMENTO PENDENTE","🟡 EMBARQUE PENDENTE")))))))))))</f>
        <v/>
      </c>
      <c r="D4733" s="4" t="n"/>
      <c r="E4733" s="5" t="n"/>
      <c r="F4733" s="5" t="n"/>
      <c r="G4733" s="5" t="n"/>
      <c r="H4733" s="5" t="n"/>
      <c r="I4733" s="5" t="n"/>
      <c r="J4733" s="6" t="n"/>
      <c r="K4733" s="6" t="n"/>
      <c r="L4733" s="7">
        <f>IF(OR(D4733="",N(J4733)=0),"",MIN(1,N(K4733)/J4733))</f>
        <v/>
      </c>
      <c r="M4733" s="5" t="n"/>
      <c r="N4733" s="5" t="n"/>
      <c r="O4733" s="5" t="n"/>
      <c r="P4733" s="5" t="n"/>
      <c r="Q4733" s="5" t="n"/>
      <c r="R4733" s="4" t="n"/>
      <c r="S4733" s="4" t="n"/>
      <c r="T4733" s="5" t="n"/>
      <c r="U4733" s="8">
        <f>IF(AND(V4733=1,D4733&lt;&gt;""),IF(D4733&gt;=corte,TODAY()-D4733,""),"")</f>
        <v/>
      </c>
      <c r="V4733" s="8">
        <f>IF(D4733="",0,IF(OR(AND(P4733&lt;&gt;"",S4733=""),AND(N(J4733)&gt;0,N(K4733)&lt;J4733),OR(M4733="PENDENTE",M4733="PARCIAL"),OR(N4733="PENDENTE",N4733="PARCIAL")),1,0))</f>
        <v/>
      </c>
      <c r="W4733" s="8">
        <f>IF(AND(V4733=1,D4733&lt;&gt;""),IF(D4733&gt;=corte,(B4733="CRÍTICO")*1E9+(100000-D4733)*10000+10000-ROW(),""),"")</f>
        <v/>
      </c>
      <c r="X4733" s="8">
        <f>IF(AND(V4733=1,D4733=pas_data,E4733=pas_turno),10000-ROW(),"")</f>
        <v/>
      </c>
    </row>
    <row r="4734">
      <c r="A4734" s="3">
        <f>IF(D4734="","","TT-"&amp;TEXT(ROW()-1,"00000"))</f>
        <v/>
      </c>
      <c r="B4734" s="3">
        <f>IF(D4734="","",IF(V4734=0,"CONCLUÍDO",IF(D4734&lt;corte,"HISTÓRICO",IF(OR(AND(ISNUMBER(R4734),R4734&lt;TODAY()),AND(OR(N4734="PENDENTE",N4734="PARCIAL"),D4734&lt;TODAY()-1)),"CRÍTICO",IF(OR(AND(P4734&lt;&gt;"",S4734=""),AND(N4734="REALIZADO",M4734="PENDENTE"),AND(ISNUMBER(R4734),R4734=TODAY())),"ATENÇÃO",IF(N(K4734)=0,"PENDENTE","EM ANDAMENTO"))))))</f>
        <v/>
      </c>
      <c r="C4734" s="3">
        <f>IF(D4734="","",IF(V4734=0,"🟢 OK",IF(D4734&lt;corte,"⚪ HISTÓRICO (sem baixa)",IF(AND(ISNUMBER(R4734),R4734&lt;TODAY()),"🔴 PRAZO VENCIDO",IF(AND(OR(N4734="PENDENTE",N4734="PARCIAL"),D4734&lt;TODAY()-1),"🔴 EMBARQUE ATRASADO",IF(AND(N4734="REALIZADO",M4734="PENDENTE"),"🟡 EMBARCADO SEM FATURAR",IF(AND(P4734&lt;&gt;"",S4734="",OR(Q4734="",R4734="")),"🟡 PENDÊNCIA SEM RESPONSÁVEL/PRAZO",IF(AND(ISNUMBER(R4734),R4734=TODAY()),"🟡 VENCE HOJE",IF(AND(P4734&lt;&gt;"",S4734=""),"🟡 PENDÊNCIA ABERTA",IF(AND(N(J4734)&gt;0,N(K4734)&lt;J4734),"🟡 FALTA EXECUTAR",IF(OR(M4734="PENDENTE",M4734="PARCIAL"),"🟡 FATURAMENTO PENDENTE","🟡 EMBARQUE PENDENTE")))))))))))</f>
        <v/>
      </c>
      <c r="D4734" s="4" t="n"/>
      <c r="E4734" s="5" t="n"/>
      <c r="F4734" s="5" t="n"/>
      <c r="G4734" s="5" t="n"/>
      <c r="H4734" s="5" t="n"/>
      <c r="I4734" s="5" t="n"/>
      <c r="J4734" s="6" t="n"/>
      <c r="K4734" s="6" t="n"/>
      <c r="L4734" s="7">
        <f>IF(OR(D4734="",N(J4734)=0),"",MIN(1,N(K4734)/J4734))</f>
        <v/>
      </c>
      <c r="M4734" s="5" t="n"/>
      <c r="N4734" s="5" t="n"/>
      <c r="O4734" s="5" t="n"/>
      <c r="P4734" s="5" t="n"/>
      <c r="Q4734" s="5" t="n"/>
      <c r="R4734" s="4" t="n"/>
      <c r="S4734" s="4" t="n"/>
      <c r="T4734" s="5" t="n"/>
      <c r="U4734" s="8">
        <f>IF(AND(V4734=1,D4734&lt;&gt;""),IF(D4734&gt;=corte,TODAY()-D4734,""),"")</f>
        <v/>
      </c>
      <c r="V4734" s="8">
        <f>IF(D4734="",0,IF(OR(AND(P4734&lt;&gt;"",S4734=""),AND(N(J4734)&gt;0,N(K4734)&lt;J4734),OR(M4734="PENDENTE",M4734="PARCIAL"),OR(N4734="PENDENTE",N4734="PARCIAL")),1,0))</f>
        <v/>
      </c>
      <c r="W4734" s="8">
        <f>IF(AND(V4734=1,D4734&lt;&gt;""),IF(D4734&gt;=corte,(B4734="CRÍTICO")*1E9+(100000-D4734)*10000+10000-ROW(),""),"")</f>
        <v/>
      </c>
      <c r="X4734" s="8">
        <f>IF(AND(V4734=1,D4734=pas_data,E4734=pas_turno),10000-ROW(),"")</f>
        <v/>
      </c>
    </row>
    <row r="4735">
      <c r="A4735" s="3">
        <f>IF(D4735="","","TT-"&amp;TEXT(ROW()-1,"00000"))</f>
        <v/>
      </c>
      <c r="B4735" s="3">
        <f>IF(D4735="","",IF(V4735=0,"CONCLUÍDO",IF(D4735&lt;corte,"HISTÓRICO",IF(OR(AND(ISNUMBER(R4735),R4735&lt;TODAY()),AND(OR(N4735="PENDENTE",N4735="PARCIAL"),D4735&lt;TODAY()-1)),"CRÍTICO",IF(OR(AND(P4735&lt;&gt;"",S4735=""),AND(N4735="REALIZADO",M4735="PENDENTE"),AND(ISNUMBER(R4735),R4735=TODAY())),"ATENÇÃO",IF(N(K4735)=0,"PENDENTE","EM ANDAMENTO"))))))</f>
        <v/>
      </c>
      <c r="C4735" s="3">
        <f>IF(D4735="","",IF(V4735=0,"🟢 OK",IF(D4735&lt;corte,"⚪ HISTÓRICO (sem baixa)",IF(AND(ISNUMBER(R4735),R4735&lt;TODAY()),"🔴 PRAZO VENCIDO",IF(AND(OR(N4735="PENDENTE",N4735="PARCIAL"),D4735&lt;TODAY()-1),"🔴 EMBARQUE ATRASADO",IF(AND(N4735="REALIZADO",M4735="PENDENTE"),"🟡 EMBARCADO SEM FATURAR",IF(AND(P4735&lt;&gt;"",S4735="",OR(Q4735="",R4735="")),"🟡 PENDÊNCIA SEM RESPONSÁVEL/PRAZO",IF(AND(ISNUMBER(R4735),R4735=TODAY()),"🟡 VENCE HOJE",IF(AND(P4735&lt;&gt;"",S4735=""),"🟡 PENDÊNCIA ABERTA",IF(AND(N(J4735)&gt;0,N(K4735)&lt;J4735),"🟡 FALTA EXECUTAR",IF(OR(M4735="PENDENTE",M4735="PARCIAL"),"🟡 FATURAMENTO PENDENTE","🟡 EMBARQUE PENDENTE")))))))))))</f>
        <v/>
      </c>
      <c r="D4735" s="4" t="n"/>
      <c r="E4735" s="5" t="n"/>
      <c r="F4735" s="5" t="n"/>
      <c r="G4735" s="5" t="n"/>
      <c r="H4735" s="5" t="n"/>
      <c r="I4735" s="5" t="n"/>
      <c r="J4735" s="6" t="n"/>
      <c r="K4735" s="6" t="n"/>
      <c r="L4735" s="7">
        <f>IF(OR(D4735="",N(J4735)=0),"",MIN(1,N(K4735)/J4735))</f>
        <v/>
      </c>
      <c r="M4735" s="5" t="n"/>
      <c r="N4735" s="5" t="n"/>
      <c r="O4735" s="5" t="n"/>
      <c r="P4735" s="5" t="n"/>
      <c r="Q4735" s="5" t="n"/>
      <c r="R4735" s="4" t="n"/>
      <c r="S4735" s="4" t="n"/>
      <c r="T4735" s="5" t="n"/>
      <c r="U4735" s="8">
        <f>IF(AND(V4735=1,D4735&lt;&gt;""),IF(D4735&gt;=corte,TODAY()-D4735,""),"")</f>
        <v/>
      </c>
      <c r="V4735" s="8">
        <f>IF(D4735="",0,IF(OR(AND(P4735&lt;&gt;"",S4735=""),AND(N(J4735)&gt;0,N(K4735)&lt;J4735),OR(M4735="PENDENTE",M4735="PARCIAL"),OR(N4735="PENDENTE",N4735="PARCIAL")),1,0))</f>
        <v/>
      </c>
      <c r="W4735" s="8">
        <f>IF(AND(V4735=1,D4735&lt;&gt;""),IF(D4735&gt;=corte,(B4735="CRÍTICO")*1E9+(100000-D4735)*10000+10000-ROW(),""),"")</f>
        <v/>
      </c>
      <c r="X4735" s="8">
        <f>IF(AND(V4735=1,D4735=pas_data,E4735=pas_turno),10000-ROW(),"")</f>
        <v/>
      </c>
    </row>
    <row r="4736">
      <c r="A4736" s="3">
        <f>IF(D4736="","","TT-"&amp;TEXT(ROW()-1,"00000"))</f>
        <v/>
      </c>
      <c r="B4736" s="3">
        <f>IF(D4736="","",IF(V4736=0,"CONCLUÍDO",IF(D4736&lt;corte,"HISTÓRICO",IF(OR(AND(ISNUMBER(R4736),R4736&lt;TODAY()),AND(OR(N4736="PENDENTE",N4736="PARCIAL"),D4736&lt;TODAY()-1)),"CRÍTICO",IF(OR(AND(P4736&lt;&gt;"",S4736=""),AND(N4736="REALIZADO",M4736="PENDENTE"),AND(ISNUMBER(R4736),R4736=TODAY())),"ATENÇÃO",IF(N(K4736)=0,"PENDENTE","EM ANDAMENTO"))))))</f>
        <v/>
      </c>
      <c r="C4736" s="3">
        <f>IF(D4736="","",IF(V4736=0,"🟢 OK",IF(D4736&lt;corte,"⚪ HISTÓRICO (sem baixa)",IF(AND(ISNUMBER(R4736),R4736&lt;TODAY()),"🔴 PRAZO VENCIDO",IF(AND(OR(N4736="PENDENTE",N4736="PARCIAL"),D4736&lt;TODAY()-1),"🔴 EMBARQUE ATRASADO",IF(AND(N4736="REALIZADO",M4736="PENDENTE"),"🟡 EMBARCADO SEM FATURAR",IF(AND(P4736&lt;&gt;"",S4736="",OR(Q4736="",R4736="")),"🟡 PENDÊNCIA SEM RESPONSÁVEL/PRAZO",IF(AND(ISNUMBER(R4736),R4736=TODAY()),"🟡 VENCE HOJE",IF(AND(P4736&lt;&gt;"",S4736=""),"🟡 PENDÊNCIA ABERTA",IF(AND(N(J4736)&gt;0,N(K4736)&lt;J4736),"🟡 FALTA EXECUTAR",IF(OR(M4736="PENDENTE",M4736="PARCIAL"),"🟡 FATURAMENTO PENDENTE","🟡 EMBARQUE PENDENTE")))))))))))</f>
        <v/>
      </c>
      <c r="D4736" s="4" t="n"/>
      <c r="E4736" s="5" t="n"/>
      <c r="F4736" s="5" t="n"/>
      <c r="G4736" s="5" t="n"/>
      <c r="H4736" s="5" t="n"/>
      <c r="I4736" s="5" t="n"/>
      <c r="J4736" s="6" t="n"/>
      <c r="K4736" s="6" t="n"/>
      <c r="L4736" s="7">
        <f>IF(OR(D4736="",N(J4736)=0),"",MIN(1,N(K4736)/J4736))</f>
        <v/>
      </c>
      <c r="M4736" s="5" t="n"/>
      <c r="N4736" s="5" t="n"/>
      <c r="O4736" s="5" t="n"/>
      <c r="P4736" s="5" t="n"/>
      <c r="Q4736" s="5" t="n"/>
      <c r="R4736" s="4" t="n"/>
      <c r="S4736" s="4" t="n"/>
      <c r="T4736" s="5" t="n"/>
      <c r="U4736" s="8">
        <f>IF(AND(V4736=1,D4736&lt;&gt;""),IF(D4736&gt;=corte,TODAY()-D4736,""),"")</f>
        <v/>
      </c>
      <c r="V4736" s="8">
        <f>IF(D4736="",0,IF(OR(AND(P4736&lt;&gt;"",S4736=""),AND(N(J4736)&gt;0,N(K4736)&lt;J4736),OR(M4736="PENDENTE",M4736="PARCIAL"),OR(N4736="PENDENTE",N4736="PARCIAL")),1,0))</f>
        <v/>
      </c>
      <c r="W4736" s="8">
        <f>IF(AND(V4736=1,D4736&lt;&gt;""),IF(D4736&gt;=corte,(B4736="CRÍTICO")*1E9+(100000-D4736)*10000+10000-ROW(),""),"")</f>
        <v/>
      </c>
      <c r="X4736" s="8">
        <f>IF(AND(V4736=1,D4736=pas_data,E4736=pas_turno),10000-ROW(),"")</f>
        <v/>
      </c>
    </row>
    <row r="4737">
      <c r="A4737" s="3">
        <f>IF(D4737="","","TT-"&amp;TEXT(ROW()-1,"00000"))</f>
        <v/>
      </c>
      <c r="B4737" s="3">
        <f>IF(D4737="","",IF(V4737=0,"CONCLUÍDO",IF(D4737&lt;corte,"HISTÓRICO",IF(OR(AND(ISNUMBER(R4737),R4737&lt;TODAY()),AND(OR(N4737="PENDENTE",N4737="PARCIAL"),D4737&lt;TODAY()-1)),"CRÍTICO",IF(OR(AND(P4737&lt;&gt;"",S4737=""),AND(N4737="REALIZADO",M4737="PENDENTE"),AND(ISNUMBER(R4737),R4737=TODAY())),"ATENÇÃO",IF(N(K4737)=0,"PENDENTE","EM ANDAMENTO"))))))</f>
        <v/>
      </c>
      <c r="C4737" s="3">
        <f>IF(D4737="","",IF(V4737=0,"🟢 OK",IF(D4737&lt;corte,"⚪ HISTÓRICO (sem baixa)",IF(AND(ISNUMBER(R4737),R4737&lt;TODAY()),"🔴 PRAZO VENCIDO",IF(AND(OR(N4737="PENDENTE",N4737="PARCIAL"),D4737&lt;TODAY()-1),"🔴 EMBARQUE ATRASADO",IF(AND(N4737="REALIZADO",M4737="PENDENTE"),"🟡 EMBARCADO SEM FATURAR",IF(AND(P4737&lt;&gt;"",S4737="",OR(Q4737="",R4737="")),"🟡 PENDÊNCIA SEM RESPONSÁVEL/PRAZO",IF(AND(ISNUMBER(R4737),R4737=TODAY()),"🟡 VENCE HOJE",IF(AND(P4737&lt;&gt;"",S4737=""),"🟡 PENDÊNCIA ABERTA",IF(AND(N(J4737)&gt;0,N(K4737)&lt;J4737),"🟡 FALTA EXECUTAR",IF(OR(M4737="PENDENTE",M4737="PARCIAL"),"🟡 FATURAMENTO PENDENTE","🟡 EMBARQUE PENDENTE")))))))))))</f>
        <v/>
      </c>
      <c r="D4737" s="4" t="n"/>
      <c r="E4737" s="5" t="n"/>
      <c r="F4737" s="5" t="n"/>
      <c r="G4737" s="5" t="n"/>
      <c r="H4737" s="5" t="n"/>
      <c r="I4737" s="5" t="n"/>
      <c r="J4737" s="6" t="n"/>
      <c r="K4737" s="6" t="n"/>
      <c r="L4737" s="7">
        <f>IF(OR(D4737="",N(J4737)=0),"",MIN(1,N(K4737)/J4737))</f>
        <v/>
      </c>
      <c r="M4737" s="5" t="n"/>
      <c r="N4737" s="5" t="n"/>
      <c r="O4737" s="5" t="n"/>
      <c r="P4737" s="5" t="n"/>
      <c r="Q4737" s="5" t="n"/>
      <c r="R4737" s="4" t="n"/>
      <c r="S4737" s="4" t="n"/>
      <c r="T4737" s="5" t="n"/>
      <c r="U4737" s="8">
        <f>IF(AND(V4737=1,D4737&lt;&gt;""),IF(D4737&gt;=corte,TODAY()-D4737,""),"")</f>
        <v/>
      </c>
      <c r="V4737" s="8">
        <f>IF(D4737="",0,IF(OR(AND(P4737&lt;&gt;"",S4737=""),AND(N(J4737)&gt;0,N(K4737)&lt;J4737),OR(M4737="PENDENTE",M4737="PARCIAL"),OR(N4737="PENDENTE",N4737="PARCIAL")),1,0))</f>
        <v/>
      </c>
      <c r="W4737" s="8">
        <f>IF(AND(V4737=1,D4737&lt;&gt;""),IF(D4737&gt;=corte,(B4737="CRÍTICO")*1E9+(100000-D4737)*10000+10000-ROW(),""),"")</f>
        <v/>
      </c>
      <c r="X4737" s="8">
        <f>IF(AND(V4737=1,D4737=pas_data,E4737=pas_turno),10000-ROW(),"")</f>
        <v/>
      </c>
    </row>
    <row r="4738">
      <c r="A4738" s="3">
        <f>IF(D4738="","","TT-"&amp;TEXT(ROW()-1,"00000"))</f>
        <v/>
      </c>
      <c r="B4738" s="3">
        <f>IF(D4738="","",IF(V4738=0,"CONCLUÍDO",IF(D4738&lt;corte,"HISTÓRICO",IF(OR(AND(ISNUMBER(R4738),R4738&lt;TODAY()),AND(OR(N4738="PENDENTE",N4738="PARCIAL"),D4738&lt;TODAY()-1)),"CRÍTICO",IF(OR(AND(P4738&lt;&gt;"",S4738=""),AND(N4738="REALIZADO",M4738="PENDENTE"),AND(ISNUMBER(R4738),R4738=TODAY())),"ATENÇÃO",IF(N(K4738)=0,"PENDENTE","EM ANDAMENTO"))))))</f>
        <v/>
      </c>
      <c r="C4738" s="3">
        <f>IF(D4738="","",IF(V4738=0,"🟢 OK",IF(D4738&lt;corte,"⚪ HISTÓRICO (sem baixa)",IF(AND(ISNUMBER(R4738),R4738&lt;TODAY()),"🔴 PRAZO VENCIDO",IF(AND(OR(N4738="PENDENTE",N4738="PARCIAL"),D4738&lt;TODAY()-1),"🔴 EMBARQUE ATRASADO",IF(AND(N4738="REALIZADO",M4738="PENDENTE"),"🟡 EMBARCADO SEM FATURAR",IF(AND(P4738&lt;&gt;"",S4738="",OR(Q4738="",R4738="")),"🟡 PENDÊNCIA SEM RESPONSÁVEL/PRAZO",IF(AND(ISNUMBER(R4738),R4738=TODAY()),"🟡 VENCE HOJE",IF(AND(P4738&lt;&gt;"",S4738=""),"🟡 PENDÊNCIA ABERTA",IF(AND(N(J4738)&gt;0,N(K4738)&lt;J4738),"🟡 FALTA EXECUTAR",IF(OR(M4738="PENDENTE",M4738="PARCIAL"),"🟡 FATURAMENTO PENDENTE","🟡 EMBARQUE PENDENTE")))))))))))</f>
        <v/>
      </c>
      <c r="D4738" s="4" t="n"/>
      <c r="E4738" s="5" t="n"/>
      <c r="F4738" s="5" t="n"/>
      <c r="G4738" s="5" t="n"/>
      <c r="H4738" s="5" t="n"/>
      <c r="I4738" s="5" t="n"/>
      <c r="J4738" s="6" t="n"/>
      <c r="K4738" s="6" t="n"/>
      <c r="L4738" s="7">
        <f>IF(OR(D4738="",N(J4738)=0),"",MIN(1,N(K4738)/J4738))</f>
        <v/>
      </c>
      <c r="M4738" s="5" t="n"/>
      <c r="N4738" s="5" t="n"/>
      <c r="O4738" s="5" t="n"/>
      <c r="P4738" s="5" t="n"/>
      <c r="Q4738" s="5" t="n"/>
      <c r="R4738" s="4" t="n"/>
      <c r="S4738" s="4" t="n"/>
      <c r="T4738" s="5" t="n"/>
      <c r="U4738" s="8">
        <f>IF(AND(V4738=1,D4738&lt;&gt;""),IF(D4738&gt;=corte,TODAY()-D4738,""),"")</f>
        <v/>
      </c>
      <c r="V4738" s="8">
        <f>IF(D4738="",0,IF(OR(AND(P4738&lt;&gt;"",S4738=""),AND(N(J4738)&gt;0,N(K4738)&lt;J4738),OR(M4738="PENDENTE",M4738="PARCIAL"),OR(N4738="PENDENTE",N4738="PARCIAL")),1,0))</f>
        <v/>
      </c>
      <c r="W4738" s="8">
        <f>IF(AND(V4738=1,D4738&lt;&gt;""),IF(D4738&gt;=corte,(B4738="CRÍTICO")*1E9+(100000-D4738)*10000+10000-ROW(),""),"")</f>
        <v/>
      </c>
      <c r="X4738" s="8">
        <f>IF(AND(V4738=1,D4738=pas_data,E4738=pas_turno),10000-ROW(),"")</f>
        <v/>
      </c>
    </row>
    <row r="4739">
      <c r="A4739" s="3">
        <f>IF(D4739="","","TT-"&amp;TEXT(ROW()-1,"00000"))</f>
        <v/>
      </c>
      <c r="B4739" s="3">
        <f>IF(D4739="","",IF(V4739=0,"CONCLUÍDO",IF(D4739&lt;corte,"HISTÓRICO",IF(OR(AND(ISNUMBER(R4739),R4739&lt;TODAY()),AND(OR(N4739="PENDENTE",N4739="PARCIAL"),D4739&lt;TODAY()-1)),"CRÍTICO",IF(OR(AND(P4739&lt;&gt;"",S4739=""),AND(N4739="REALIZADO",M4739="PENDENTE"),AND(ISNUMBER(R4739),R4739=TODAY())),"ATENÇÃO",IF(N(K4739)=0,"PENDENTE","EM ANDAMENTO"))))))</f>
        <v/>
      </c>
      <c r="C4739" s="3">
        <f>IF(D4739="","",IF(V4739=0,"🟢 OK",IF(D4739&lt;corte,"⚪ HISTÓRICO (sem baixa)",IF(AND(ISNUMBER(R4739),R4739&lt;TODAY()),"🔴 PRAZO VENCIDO",IF(AND(OR(N4739="PENDENTE",N4739="PARCIAL"),D4739&lt;TODAY()-1),"🔴 EMBARQUE ATRASADO",IF(AND(N4739="REALIZADO",M4739="PENDENTE"),"🟡 EMBARCADO SEM FATURAR",IF(AND(P4739&lt;&gt;"",S4739="",OR(Q4739="",R4739="")),"🟡 PENDÊNCIA SEM RESPONSÁVEL/PRAZO",IF(AND(ISNUMBER(R4739),R4739=TODAY()),"🟡 VENCE HOJE",IF(AND(P4739&lt;&gt;"",S4739=""),"🟡 PENDÊNCIA ABERTA",IF(AND(N(J4739)&gt;0,N(K4739)&lt;J4739),"🟡 FALTA EXECUTAR",IF(OR(M4739="PENDENTE",M4739="PARCIAL"),"🟡 FATURAMENTO PENDENTE","🟡 EMBARQUE PENDENTE")))))))))))</f>
        <v/>
      </c>
      <c r="D4739" s="4" t="n"/>
      <c r="E4739" s="5" t="n"/>
      <c r="F4739" s="5" t="n"/>
      <c r="G4739" s="5" t="n"/>
      <c r="H4739" s="5" t="n"/>
      <c r="I4739" s="5" t="n"/>
      <c r="J4739" s="6" t="n"/>
      <c r="K4739" s="6" t="n"/>
      <c r="L4739" s="7">
        <f>IF(OR(D4739="",N(J4739)=0),"",MIN(1,N(K4739)/J4739))</f>
        <v/>
      </c>
      <c r="M4739" s="5" t="n"/>
      <c r="N4739" s="5" t="n"/>
      <c r="O4739" s="5" t="n"/>
      <c r="P4739" s="5" t="n"/>
      <c r="Q4739" s="5" t="n"/>
      <c r="R4739" s="4" t="n"/>
      <c r="S4739" s="4" t="n"/>
      <c r="T4739" s="5" t="n"/>
      <c r="U4739" s="8">
        <f>IF(AND(V4739=1,D4739&lt;&gt;""),IF(D4739&gt;=corte,TODAY()-D4739,""),"")</f>
        <v/>
      </c>
      <c r="V4739" s="8">
        <f>IF(D4739="",0,IF(OR(AND(P4739&lt;&gt;"",S4739=""),AND(N(J4739)&gt;0,N(K4739)&lt;J4739),OR(M4739="PENDENTE",M4739="PARCIAL"),OR(N4739="PENDENTE",N4739="PARCIAL")),1,0))</f>
        <v/>
      </c>
      <c r="W4739" s="8">
        <f>IF(AND(V4739=1,D4739&lt;&gt;""),IF(D4739&gt;=corte,(B4739="CRÍTICO")*1E9+(100000-D4739)*10000+10000-ROW(),""),"")</f>
        <v/>
      </c>
      <c r="X4739" s="8">
        <f>IF(AND(V4739=1,D4739=pas_data,E4739=pas_turno),10000-ROW(),"")</f>
        <v/>
      </c>
    </row>
    <row r="4740">
      <c r="A4740" s="3">
        <f>IF(D4740="","","TT-"&amp;TEXT(ROW()-1,"00000"))</f>
        <v/>
      </c>
      <c r="B4740" s="3">
        <f>IF(D4740="","",IF(V4740=0,"CONCLUÍDO",IF(D4740&lt;corte,"HISTÓRICO",IF(OR(AND(ISNUMBER(R4740),R4740&lt;TODAY()),AND(OR(N4740="PENDENTE",N4740="PARCIAL"),D4740&lt;TODAY()-1)),"CRÍTICO",IF(OR(AND(P4740&lt;&gt;"",S4740=""),AND(N4740="REALIZADO",M4740="PENDENTE"),AND(ISNUMBER(R4740),R4740=TODAY())),"ATENÇÃO",IF(N(K4740)=0,"PENDENTE","EM ANDAMENTO"))))))</f>
        <v/>
      </c>
      <c r="C4740" s="3">
        <f>IF(D4740="","",IF(V4740=0,"🟢 OK",IF(D4740&lt;corte,"⚪ HISTÓRICO (sem baixa)",IF(AND(ISNUMBER(R4740),R4740&lt;TODAY()),"🔴 PRAZO VENCIDO",IF(AND(OR(N4740="PENDENTE",N4740="PARCIAL"),D4740&lt;TODAY()-1),"🔴 EMBARQUE ATRASADO",IF(AND(N4740="REALIZADO",M4740="PENDENTE"),"🟡 EMBARCADO SEM FATURAR",IF(AND(P4740&lt;&gt;"",S4740="",OR(Q4740="",R4740="")),"🟡 PENDÊNCIA SEM RESPONSÁVEL/PRAZO",IF(AND(ISNUMBER(R4740),R4740=TODAY()),"🟡 VENCE HOJE",IF(AND(P4740&lt;&gt;"",S4740=""),"🟡 PENDÊNCIA ABERTA",IF(AND(N(J4740)&gt;0,N(K4740)&lt;J4740),"🟡 FALTA EXECUTAR",IF(OR(M4740="PENDENTE",M4740="PARCIAL"),"🟡 FATURAMENTO PENDENTE","🟡 EMBARQUE PENDENTE")))))))))))</f>
        <v/>
      </c>
      <c r="D4740" s="4" t="n"/>
      <c r="E4740" s="5" t="n"/>
      <c r="F4740" s="5" t="n"/>
      <c r="G4740" s="5" t="n"/>
      <c r="H4740" s="5" t="n"/>
      <c r="I4740" s="5" t="n"/>
      <c r="J4740" s="6" t="n"/>
      <c r="K4740" s="6" t="n"/>
      <c r="L4740" s="7">
        <f>IF(OR(D4740="",N(J4740)=0),"",MIN(1,N(K4740)/J4740))</f>
        <v/>
      </c>
      <c r="M4740" s="5" t="n"/>
      <c r="N4740" s="5" t="n"/>
      <c r="O4740" s="5" t="n"/>
      <c r="P4740" s="5" t="n"/>
      <c r="Q4740" s="5" t="n"/>
      <c r="R4740" s="4" t="n"/>
      <c r="S4740" s="4" t="n"/>
      <c r="T4740" s="5" t="n"/>
      <c r="U4740" s="8">
        <f>IF(AND(V4740=1,D4740&lt;&gt;""),IF(D4740&gt;=corte,TODAY()-D4740,""),"")</f>
        <v/>
      </c>
      <c r="V4740" s="8">
        <f>IF(D4740="",0,IF(OR(AND(P4740&lt;&gt;"",S4740=""),AND(N(J4740)&gt;0,N(K4740)&lt;J4740),OR(M4740="PENDENTE",M4740="PARCIAL"),OR(N4740="PENDENTE",N4740="PARCIAL")),1,0))</f>
        <v/>
      </c>
      <c r="W4740" s="8">
        <f>IF(AND(V4740=1,D4740&lt;&gt;""),IF(D4740&gt;=corte,(B4740="CRÍTICO")*1E9+(100000-D4740)*10000+10000-ROW(),""),"")</f>
        <v/>
      </c>
      <c r="X4740" s="8">
        <f>IF(AND(V4740=1,D4740=pas_data,E4740=pas_turno),10000-ROW(),"")</f>
        <v/>
      </c>
    </row>
    <row r="4741">
      <c r="A4741" s="3">
        <f>IF(D4741="","","TT-"&amp;TEXT(ROW()-1,"00000"))</f>
        <v/>
      </c>
      <c r="B4741" s="3">
        <f>IF(D4741="","",IF(V4741=0,"CONCLUÍDO",IF(D4741&lt;corte,"HISTÓRICO",IF(OR(AND(ISNUMBER(R4741),R4741&lt;TODAY()),AND(OR(N4741="PENDENTE",N4741="PARCIAL"),D4741&lt;TODAY()-1)),"CRÍTICO",IF(OR(AND(P4741&lt;&gt;"",S4741=""),AND(N4741="REALIZADO",M4741="PENDENTE"),AND(ISNUMBER(R4741),R4741=TODAY())),"ATENÇÃO",IF(N(K4741)=0,"PENDENTE","EM ANDAMENTO"))))))</f>
        <v/>
      </c>
      <c r="C4741" s="3">
        <f>IF(D4741="","",IF(V4741=0,"🟢 OK",IF(D4741&lt;corte,"⚪ HISTÓRICO (sem baixa)",IF(AND(ISNUMBER(R4741),R4741&lt;TODAY()),"🔴 PRAZO VENCIDO",IF(AND(OR(N4741="PENDENTE",N4741="PARCIAL"),D4741&lt;TODAY()-1),"🔴 EMBARQUE ATRASADO",IF(AND(N4741="REALIZADO",M4741="PENDENTE"),"🟡 EMBARCADO SEM FATURAR",IF(AND(P4741&lt;&gt;"",S4741="",OR(Q4741="",R4741="")),"🟡 PENDÊNCIA SEM RESPONSÁVEL/PRAZO",IF(AND(ISNUMBER(R4741),R4741=TODAY()),"🟡 VENCE HOJE",IF(AND(P4741&lt;&gt;"",S4741=""),"🟡 PENDÊNCIA ABERTA",IF(AND(N(J4741)&gt;0,N(K4741)&lt;J4741),"🟡 FALTA EXECUTAR",IF(OR(M4741="PENDENTE",M4741="PARCIAL"),"🟡 FATURAMENTO PENDENTE","🟡 EMBARQUE PENDENTE")))))))))))</f>
        <v/>
      </c>
      <c r="D4741" s="4" t="n"/>
      <c r="E4741" s="5" t="n"/>
      <c r="F4741" s="5" t="n"/>
      <c r="G4741" s="5" t="n"/>
      <c r="H4741" s="5" t="n"/>
      <c r="I4741" s="5" t="n"/>
      <c r="J4741" s="6" t="n"/>
      <c r="K4741" s="6" t="n"/>
      <c r="L4741" s="7">
        <f>IF(OR(D4741="",N(J4741)=0),"",MIN(1,N(K4741)/J4741))</f>
        <v/>
      </c>
      <c r="M4741" s="5" t="n"/>
      <c r="N4741" s="5" t="n"/>
      <c r="O4741" s="5" t="n"/>
      <c r="P4741" s="5" t="n"/>
      <c r="Q4741" s="5" t="n"/>
      <c r="R4741" s="4" t="n"/>
      <c r="S4741" s="4" t="n"/>
      <c r="T4741" s="5" t="n"/>
      <c r="U4741" s="8">
        <f>IF(AND(V4741=1,D4741&lt;&gt;""),IF(D4741&gt;=corte,TODAY()-D4741,""),"")</f>
        <v/>
      </c>
      <c r="V4741" s="8">
        <f>IF(D4741="",0,IF(OR(AND(P4741&lt;&gt;"",S4741=""),AND(N(J4741)&gt;0,N(K4741)&lt;J4741),OR(M4741="PENDENTE",M4741="PARCIAL"),OR(N4741="PENDENTE",N4741="PARCIAL")),1,0))</f>
        <v/>
      </c>
      <c r="W4741" s="8">
        <f>IF(AND(V4741=1,D4741&lt;&gt;""),IF(D4741&gt;=corte,(B4741="CRÍTICO")*1E9+(100000-D4741)*10000+10000-ROW(),""),"")</f>
        <v/>
      </c>
      <c r="X4741" s="8">
        <f>IF(AND(V4741=1,D4741=pas_data,E4741=pas_turno),10000-ROW(),"")</f>
        <v/>
      </c>
    </row>
    <row r="4742">
      <c r="A4742" s="3">
        <f>IF(D4742="","","TT-"&amp;TEXT(ROW()-1,"00000"))</f>
        <v/>
      </c>
      <c r="B4742" s="3">
        <f>IF(D4742="","",IF(V4742=0,"CONCLUÍDO",IF(D4742&lt;corte,"HISTÓRICO",IF(OR(AND(ISNUMBER(R4742),R4742&lt;TODAY()),AND(OR(N4742="PENDENTE",N4742="PARCIAL"),D4742&lt;TODAY()-1)),"CRÍTICO",IF(OR(AND(P4742&lt;&gt;"",S4742=""),AND(N4742="REALIZADO",M4742="PENDENTE"),AND(ISNUMBER(R4742),R4742=TODAY())),"ATENÇÃO",IF(N(K4742)=0,"PENDENTE","EM ANDAMENTO"))))))</f>
        <v/>
      </c>
      <c r="C4742" s="3">
        <f>IF(D4742="","",IF(V4742=0,"🟢 OK",IF(D4742&lt;corte,"⚪ HISTÓRICO (sem baixa)",IF(AND(ISNUMBER(R4742),R4742&lt;TODAY()),"🔴 PRAZO VENCIDO",IF(AND(OR(N4742="PENDENTE",N4742="PARCIAL"),D4742&lt;TODAY()-1),"🔴 EMBARQUE ATRASADO",IF(AND(N4742="REALIZADO",M4742="PENDENTE"),"🟡 EMBARCADO SEM FATURAR",IF(AND(P4742&lt;&gt;"",S4742="",OR(Q4742="",R4742="")),"🟡 PENDÊNCIA SEM RESPONSÁVEL/PRAZO",IF(AND(ISNUMBER(R4742),R4742=TODAY()),"🟡 VENCE HOJE",IF(AND(P4742&lt;&gt;"",S4742=""),"🟡 PENDÊNCIA ABERTA",IF(AND(N(J4742)&gt;0,N(K4742)&lt;J4742),"🟡 FALTA EXECUTAR",IF(OR(M4742="PENDENTE",M4742="PARCIAL"),"🟡 FATURAMENTO PENDENTE","🟡 EMBARQUE PENDENTE")))))))))))</f>
        <v/>
      </c>
      <c r="D4742" s="4" t="n"/>
      <c r="E4742" s="5" t="n"/>
      <c r="F4742" s="5" t="n"/>
      <c r="G4742" s="5" t="n"/>
      <c r="H4742" s="5" t="n"/>
      <c r="I4742" s="5" t="n"/>
      <c r="J4742" s="6" t="n"/>
      <c r="K4742" s="6" t="n"/>
      <c r="L4742" s="7">
        <f>IF(OR(D4742="",N(J4742)=0),"",MIN(1,N(K4742)/J4742))</f>
        <v/>
      </c>
      <c r="M4742" s="5" t="n"/>
      <c r="N4742" s="5" t="n"/>
      <c r="O4742" s="5" t="n"/>
      <c r="P4742" s="5" t="n"/>
      <c r="Q4742" s="5" t="n"/>
      <c r="R4742" s="4" t="n"/>
      <c r="S4742" s="4" t="n"/>
      <c r="T4742" s="5" t="n"/>
      <c r="U4742" s="8">
        <f>IF(AND(V4742=1,D4742&lt;&gt;""),IF(D4742&gt;=corte,TODAY()-D4742,""),"")</f>
        <v/>
      </c>
      <c r="V4742" s="8">
        <f>IF(D4742="",0,IF(OR(AND(P4742&lt;&gt;"",S4742=""),AND(N(J4742)&gt;0,N(K4742)&lt;J4742),OR(M4742="PENDENTE",M4742="PARCIAL"),OR(N4742="PENDENTE",N4742="PARCIAL")),1,0))</f>
        <v/>
      </c>
      <c r="W4742" s="8">
        <f>IF(AND(V4742=1,D4742&lt;&gt;""),IF(D4742&gt;=corte,(B4742="CRÍTICO")*1E9+(100000-D4742)*10000+10000-ROW(),""),"")</f>
        <v/>
      </c>
      <c r="X4742" s="8">
        <f>IF(AND(V4742=1,D4742=pas_data,E4742=pas_turno),10000-ROW(),"")</f>
        <v/>
      </c>
    </row>
    <row r="4743">
      <c r="A4743" s="3">
        <f>IF(D4743="","","TT-"&amp;TEXT(ROW()-1,"00000"))</f>
        <v/>
      </c>
      <c r="B4743" s="3">
        <f>IF(D4743="","",IF(V4743=0,"CONCLUÍDO",IF(D4743&lt;corte,"HISTÓRICO",IF(OR(AND(ISNUMBER(R4743),R4743&lt;TODAY()),AND(OR(N4743="PENDENTE",N4743="PARCIAL"),D4743&lt;TODAY()-1)),"CRÍTICO",IF(OR(AND(P4743&lt;&gt;"",S4743=""),AND(N4743="REALIZADO",M4743="PENDENTE"),AND(ISNUMBER(R4743),R4743=TODAY())),"ATENÇÃO",IF(N(K4743)=0,"PENDENTE","EM ANDAMENTO"))))))</f>
        <v/>
      </c>
      <c r="C4743" s="3">
        <f>IF(D4743="","",IF(V4743=0,"🟢 OK",IF(D4743&lt;corte,"⚪ HISTÓRICO (sem baixa)",IF(AND(ISNUMBER(R4743),R4743&lt;TODAY()),"🔴 PRAZO VENCIDO",IF(AND(OR(N4743="PENDENTE",N4743="PARCIAL"),D4743&lt;TODAY()-1),"🔴 EMBARQUE ATRASADO",IF(AND(N4743="REALIZADO",M4743="PENDENTE"),"🟡 EMBARCADO SEM FATURAR",IF(AND(P4743&lt;&gt;"",S4743="",OR(Q4743="",R4743="")),"🟡 PENDÊNCIA SEM RESPONSÁVEL/PRAZO",IF(AND(ISNUMBER(R4743),R4743=TODAY()),"🟡 VENCE HOJE",IF(AND(P4743&lt;&gt;"",S4743=""),"🟡 PENDÊNCIA ABERTA",IF(AND(N(J4743)&gt;0,N(K4743)&lt;J4743),"🟡 FALTA EXECUTAR",IF(OR(M4743="PENDENTE",M4743="PARCIAL"),"🟡 FATURAMENTO PENDENTE","🟡 EMBARQUE PENDENTE")))))))))))</f>
        <v/>
      </c>
      <c r="D4743" s="4" t="n"/>
      <c r="E4743" s="5" t="n"/>
      <c r="F4743" s="5" t="n"/>
      <c r="G4743" s="5" t="n"/>
      <c r="H4743" s="5" t="n"/>
      <c r="I4743" s="5" t="n"/>
      <c r="J4743" s="6" t="n"/>
      <c r="K4743" s="6" t="n"/>
      <c r="L4743" s="7">
        <f>IF(OR(D4743="",N(J4743)=0),"",MIN(1,N(K4743)/J4743))</f>
        <v/>
      </c>
      <c r="M4743" s="5" t="n"/>
      <c r="N4743" s="5" t="n"/>
      <c r="O4743" s="5" t="n"/>
      <c r="P4743" s="5" t="n"/>
      <c r="Q4743" s="5" t="n"/>
      <c r="R4743" s="4" t="n"/>
      <c r="S4743" s="4" t="n"/>
      <c r="T4743" s="5" t="n"/>
      <c r="U4743" s="8">
        <f>IF(AND(V4743=1,D4743&lt;&gt;""),IF(D4743&gt;=corte,TODAY()-D4743,""),"")</f>
        <v/>
      </c>
      <c r="V4743" s="8">
        <f>IF(D4743="",0,IF(OR(AND(P4743&lt;&gt;"",S4743=""),AND(N(J4743)&gt;0,N(K4743)&lt;J4743),OR(M4743="PENDENTE",M4743="PARCIAL"),OR(N4743="PENDENTE",N4743="PARCIAL")),1,0))</f>
        <v/>
      </c>
      <c r="W4743" s="8">
        <f>IF(AND(V4743=1,D4743&lt;&gt;""),IF(D4743&gt;=corte,(B4743="CRÍTICO")*1E9+(100000-D4743)*10000+10000-ROW(),""),"")</f>
        <v/>
      </c>
      <c r="X4743" s="8">
        <f>IF(AND(V4743=1,D4743=pas_data,E4743=pas_turno),10000-ROW(),"")</f>
        <v/>
      </c>
    </row>
    <row r="4744">
      <c r="A4744" s="3">
        <f>IF(D4744="","","TT-"&amp;TEXT(ROW()-1,"00000"))</f>
        <v/>
      </c>
      <c r="B4744" s="3">
        <f>IF(D4744="","",IF(V4744=0,"CONCLUÍDO",IF(D4744&lt;corte,"HISTÓRICO",IF(OR(AND(ISNUMBER(R4744),R4744&lt;TODAY()),AND(OR(N4744="PENDENTE",N4744="PARCIAL"),D4744&lt;TODAY()-1)),"CRÍTICO",IF(OR(AND(P4744&lt;&gt;"",S4744=""),AND(N4744="REALIZADO",M4744="PENDENTE"),AND(ISNUMBER(R4744),R4744=TODAY())),"ATENÇÃO",IF(N(K4744)=0,"PENDENTE","EM ANDAMENTO"))))))</f>
        <v/>
      </c>
      <c r="C4744" s="3">
        <f>IF(D4744="","",IF(V4744=0,"🟢 OK",IF(D4744&lt;corte,"⚪ HISTÓRICO (sem baixa)",IF(AND(ISNUMBER(R4744),R4744&lt;TODAY()),"🔴 PRAZO VENCIDO",IF(AND(OR(N4744="PENDENTE",N4744="PARCIAL"),D4744&lt;TODAY()-1),"🔴 EMBARQUE ATRASADO",IF(AND(N4744="REALIZADO",M4744="PENDENTE"),"🟡 EMBARCADO SEM FATURAR",IF(AND(P4744&lt;&gt;"",S4744="",OR(Q4744="",R4744="")),"🟡 PENDÊNCIA SEM RESPONSÁVEL/PRAZO",IF(AND(ISNUMBER(R4744),R4744=TODAY()),"🟡 VENCE HOJE",IF(AND(P4744&lt;&gt;"",S4744=""),"🟡 PENDÊNCIA ABERTA",IF(AND(N(J4744)&gt;0,N(K4744)&lt;J4744),"🟡 FALTA EXECUTAR",IF(OR(M4744="PENDENTE",M4744="PARCIAL"),"🟡 FATURAMENTO PENDENTE","🟡 EMBARQUE PENDENTE")))))))))))</f>
        <v/>
      </c>
      <c r="D4744" s="4" t="n"/>
      <c r="E4744" s="5" t="n"/>
      <c r="F4744" s="5" t="n"/>
      <c r="G4744" s="5" t="n"/>
      <c r="H4744" s="5" t="n"/>
      <c r="I4744" s="5" t="n"/>
      <c r="J4744" s="6" t="n"/>
      <c r="K4744" s="6" t="n"/>
      <c r="L4744" s="7">
        <f>IF(OR(D4744="",N(J4744)=0),"",MIN(1,N(K4744)/J4744))</f>
        <v/>
      </c>
      <c r="M4744" s="5" t="n"/>
      <c r="N4744" s="5" t="n"/>
      <c r="O4744" s="5" t="n"/>
      <c r="P4744" s="5" t="n"/>
      <c r="Q4744" s="5" t="n"/>
      <c r="R4744" s="4" t="n"/>
      <c r="S4744" s="4" t="n"/>
      <c r="T4744" s="5" t="n"/>
      <c r="U4744" s="8">
        <f>IF(AND(V4744=1,D4744&lt;&gt;""),IF(D4744&gt;=corte,TODAY()-D4744,""),"")</f>
        <v/>
      </c>
      <c r="V4744" s="8">
        <f>IF(D4744="",0,IF(OR(AND(P4744&lt;&gt;"",S4744=""),AND(N(J4744)&gt;0,N(K4744)&lt;J4744),OR(M4744="PENDENTE",M4744="PARCIAL"),OR(N4744="PENDENTE",N4744="PARCIAL")),1,0))</f>
        <v/>
      </c>
      <c r="W4744" s="8">
        <f>IF(AND(V4744=1,D4744&lt;&gt;""),IF(D4744&gt;=corte,(B4744="CRÍTICO")*1E9+(100000-D4744)*10000+10000-ROW(),""),"")</f>
        <v/>
      </c>
      <c r="X4744" s="8">
        <f>IF(AND(V4744=1,D4744=pas_data,E4744=pas_turno),10000-ROW(),"")</f>
        <v/>
      </c>
    </row>
    <row r="4745">
      <c r="A4745" s="3">
        <f>IF(D4745="","","TT-"&amp;TEXT(ROW()-1,"00000"))</f>
        <v/>
      </c>
      <c r="B4745" s="3">
        <f>IF(D4745="","",IF(V4745=0,"CONCLUÍDO",IF(D4745&lt;corte,"HISTÓRICO",IF(OR(AND(ISNUMBER(R4745),R4745&lt;TODAY()),AND(OR(N4745="PENDENTE",N4745="PARCIAL"),D4745&lt;TODAY()-1)),"CRÍTICO",IF(OR(AND(P4745&lt;&gt;"",S4745=""),AND(N4745="REALIZADO",M4745="PENDENTE"),AND(ISNUMBER(R4745),R4745=TODAY())),"ATENÇÃO",IF(N(K4745)=0,"PENDENTE","EM ANDAMENTO"))))))</f>
        <v/>
      </c>
      <c r="C4745" s="3">
        <f>IF(D4745="","",IF(V4745=0,"🟢 OK",IF(D4745&lt;corte,"⚪ HISTÓRICO (sem baixa)",IF(AND(ISNUMBER(R4745),R4745&lt;TODAY()),"🔴 PRAZO VENCIDO",IF(AND(OR(N4745="PENDENTE",N4745="PARCIAL"),D4745&lt;TODAY()-1),"🔴 EMBARQUE ATRASADO",IF(AND(N4745="REALIZADO",M4745="PENDENTE"),"🟡 EMBARCADO SEM FATURAR",IF(AND(P4745&lt;&gt;"",S4745="",OR(Q4745="",R4745="")),"🟡 PENDÊNCIA SEM RESPONSÁVEL/PRAZO",IF(AND(ISNUMBER(R4745),R4745=TODAY()),"🟡 VENCE HOJE",IF(AND(P4745&lt;&gt;"",S4745=""),"🟡 PENDÊNCIA ABERTA",IF(AND(N(J4745)&gt;0,N(K4745)&lt;J4745),"🟡 FALTA EXECUTAR",IF(OR(M4745="PENDENTE",M4745="PARCIAL"),"🟡 FATURAMENTO PENDENTE","🟡 EMBARQUE PENDENTE")))))))))))</f>
        <v/>
      </c>
      <c r="D4745" s="4" t="n"/>
      <c r="E4745" s="5" t="n"/>
      <c r="F4745" s="5" t="n"/>
      <c r="G4745" s="5" t="n"/>
      <c r="H4745" s="5" t="n"/>
      <c r="I4745" s="5" t="n"/>
      <c r="J4745" s="6" t="n"/>
      <c r="K4745" s="6" t="n"/>
      <c r="L4745" s="7">
        <f>IF(OR(D4745="",N(J4745)=0),"",MIN(1,N(K4745)/J4745))</f>
        <v/>
      </c>
      <c r="M4745" s="5" t="n"/>
      <c r="N4745" s="5" t="n"/>
      <c r="O4745" s="5" t="n"/>
      <c r="P4745" s="5" t="n"/>
      <c r="Q4745" s="5" t="n"/>
      <c r="R4745" s="4" t="n"/>
      <c r="S4745" s="4" t="n"/>
      <c r="T4745" s="5" t="n"/>
      <c r="U4745" s="8">
        <f>IF(AND(V4745=1,D4745&lt;&gt;""),IF(D4745&gt;=corte,TODAY()-D4745,""),"")</f>
        <v/>
      </c>
      <c r="V4745" s="8">
        <f>IF(D4745="",0,IF(OR(AND(P4745&lt;&gt;"",S4745=""),AND(N(J4745)&gt;0,N(K4745)&lt;J4745),OR(M4745="PENDENTE",M4745="PARCIAL"),OR(N4745="PENDENTE",N4745="PARCIAL")),1,0))</f>
        <v/>
      </c>
      <c r="W4745" s="8">
        <f>IF(AND(V4745=1,D4745&lt;&gt;""),IF(D4745&gt;=corte,(B4745="CRÍTICO")*1E9+(100000-D4745)*10000+10000-ROW(),""),"")</f>
        <v/>
      </c>
      <c r="X4745" s="8">
        <f>IF(AND(V4745=1,D4745=pas_data,E4745=pas_turno),10000-ROW(),"")</f>
        <v/>
      </c>
    </row>
    <row r="4746">
      <c r="A4746" s="3">
        <f>IF(D4746="","","TT-"&amp;TEXT(ROW()-1,"00000"))</f>
        <v/>
      </c>
      <c r="B4746" s="3">
        <f>IF(D4746="","",IF(V4746=0,"CONCLUÍDO",IF(D4746&lt;corte,"HISTÓRICO",IF(OR(AND(ISNUMBER(R4746),R4746&lt;TODAY()),AND(OR(N4746="PENDENTE",N4746="PARCIAL"),D4746&lt;TODAY()-1)),"CRÍTICO",IF(OR(AND(P4746&lt;&gt;"",S4746=""),AND(N4746="REALIZADO",M4746="PENDENTE"),AND(ISNUMBER(R4746),R4746=TODAY())),"ATENÇÃO",IF(N(K4746)=0,"PENDENTE","EM ANDAMENTO"))))))</f>
        <v/>
      </c>
      <c r="C4746" s="3">
        <f>IF(D4746="","",IF(V4746=0,"🟢 OK",IF(D4746&lt;corte,"⚪ HISTÓRICO (sem baixa)",IF(AND(ISNUMBER(R4746),R4746&lt;TODAY()),"🔴 PRAZO VENCIDO",IF(AND(OR(N4746="PENDENTE",N4746="PARCIAL"),D4746&lt;TODAY()-1),"🔴 EMBARQUE ATRASADO",IF(AND(N4746="REALIZADO",M4746="PENDENTE"),"🟡 EMBARCADO SEM FATURAR",IF(AND(P4746&lt;&gt;"",S4746="",OR(Q4746="",R4746="")),"🟡 PENDÊNCIA SEM RESPONSÁVEL/PRAZO",IF(AND(ISNUMBER(R4746),R4746=TODAY()),"🟡 VENCE HOJE",IF(AND(P4746&lt;&gt;"",S4746=""),"🟡 PENDÊNCIA ABERTA",IF(AND(N(J4746)&gt;0,N(K4746)&lt;J4746),"🟡 FALTA EXECUTAR",IF(OR(M4746="PENDENTE",M4746="PARCIAL"),"🟡 FATURAMENTO PENDENTE","🟡 EMBARQUE PENDENTE")))))))))))</f>
        <v/>
      </c>
      <c r="D4746" s="4" t="n"/>
      <c r="E4746" s="5" t="n"/>
      <c r="F4746" s="5" t="n"/>
      <c r="G4746" s="5" t="n"/>
      <c r="H4746" s="5" t="n"/>
      <c r="I4746" s="5" t="n"/>
      <c r="J4746" s="6" t="n"/>
      <c r="K4746" s="6" t="n"/>
      <c r="L4746" s="7">
        <f>IF(OR(D4746="",N(J4746)=0),"",MIN(1,N(K4746)/J4746))</f>
        <v/>
      </c>
      <c r="M4746" s="5" t="n"/>
      <c r="N4746" s="5" t="n"/>
      <c r="O4746" s="5" t="n"/>
      <c r="P4746" s="5" t="n"/>
      <c r="Q4746" s="5" t="n"/>
      <c r="R4746" s="4" t="n"/>
      <c r="S4746" s="4" t="n"/>
      <c r="T4746" s="5" t="n"/>
      <c r="U4746" s="8">
        <f>IF(AND(V4746=1,D4746&lt;&gt;""),IF(D4746&gt;=corte,TODAY()-D4746,""),"")</f>
        <v/>
      </c>
      <c r="V4746" s="8">
        <f>IF(D4746="",0,IF(OR(AND(P4746&lt;&gt;"",S4746=""),AND(N(J4746)&gt;0,N(K4746)&lt;J4746),OR(M4746="PENDENTE",M4746="PARCIAL"),OR(N4746="PENDENTE",N4746="PARCIAL")),1,0))</f>
        <v/>
      </c>
      <c r="W4746" s="8">
        <f>IF(AND(V4746=1,D4746&lt;&gt;""),IF(D4746&gt;=corte,(B4746="CRÍTICO")*1E9+(100000-D4746)*10000+10000-ROW(),""),"")</f>
        <v/>
      </c>
      <c r="X4746" s="8">
        <f>IF(AND(V4746=1,D4746=pas_data,E4746=pas_turno),10000-ROW(),"")</f>
        <v/>
      </c>
    </row>
    <row r="4747">
      <c r="A4747" s="3">
        <f>IF(D4747="","","TT-"&amp;TEXT(ROW()-1,"00000"))</f>
        <v/>
      </c>
      <c r="B4747" s="3">
        <f>IF(D4747="","",IF(V4747=0,"CONCLUÍDO",IF(D4747&lt;corte,"HISTÓRICO",IF(OR(AND(ISNUMBER(R4747),R4747&lt;TODAY()),AND(OR(N4747="PENDENTE",N4747="PARCIAL"),D4747&lt;TODAY()-1)),"CRÍTICO",IF(OR(AND(P4747&lt;&gt;"",S4747=""),AND(N4747="REALIZADO",M4747="PENDENTE"),AND(ISNUMBER(R4747),R4747=TODAY())),"ATENÇÃO",IF(N(K4747)=0,"PENDENTE","EM ANDAMENTO"))))))</f>
        <v/>
      </c>
      <c r="C4747" s="3">
        <f>IF(D4747="","",IF(V4747=0,"🟢 OK",IF(D4747&lt;corte,"⚪ HISTÓRICO (sem baixa)",IF(AND(ISNUMBER(R4747),R4747&lt;TODAY()),"🔴 PRAZO VENCIDO",IF(AND(OR(N4747="PENDENTE",N4747="PARCIAL"),D4747&lt;TODAY()-1),"🔴 EMBARQUE ATRASADO",IF(AND(N4747="REALIZADO",M4747="PENDENTE"),"🟡 EMBARCADO SEM FATURAR",IF(AND(P4747&lt;&gt;"",S4747="",OR(Q4747="",R4747="")),"🟡 PENDÊNCIA SEM RESPONSÁVEL/PRAZO",IF(AND(ISNUMBER(R4747),R4747=TODAY()),"🟡 VENCE HOJE",IF(AND(P4747&lt;&gt;"",S4747=""),"🟡 PENDÊNCIA ABERTA",IF(AND(N(J4747)&gt;0,N(K4747)&lt;J4747),"🟡 FALTA EXECUTAR",IF(OR(M4747="PENDENTE",M4747="PARCIAL"),"🟡 FATURAMENTO PENDENTE","🟡 EMBARQUE PENDENTE")))))))))))</f>
        <v/>
      </c>
      <c r="D4747" s="4" t="n"/>
      <c r="E4747" s="5" t="n"/>
      <c r="F4747" s="5" t="n"/>
      <c r="G4747" s="5" t="n"/>
      <c r="H4747" s="5" t="n"/>
      <c r="I4747" s="5" t="n"/>
      <c r="J4747" s="6" t="n"/>
      <c r="K4747" s="6" t="n"/>
      <c r="L4747" s="7">
        <f>IF(OR(D4747="",N(J4747)=0),"",MIN(1,N(K4747)/J4747))</f>
        <v/>
      </c>
      <c r="M4747" s="5" t="n"/>
      <c r="N4747" s="5" t="n"/>
      <c r="O4747" s="5" t="n"/>
      <c r="P4747" s="5" t="n"/>
      <c r="Q4747" s="5" t="n"/>
      <c r="R4747" s="4" t="n"/>
      <c r="S4747" s="4" t="n"/>
      <c r="T4747" s="5" t="n"/>
      <c r="U4747" s="8">
        <f>IF(AND(V4747=1,D4747&lt;&gt;""),IF(D4747&gt;=corte,TODAY()-D4747,""),"")</f>
        <v/>
      </c>
      <c r="V4747" s="8">
        <f>IF(D4747="",0,IF(OR(AND(P4747&lt;&gt;"",S4747=""),AND(N(J4747)&gt;0,N(K4747)&lt;J4747),OR(M4747="PENDENTE",M4747="PARCIAL"),OR(N4747="PENDENTE",N4747="PARCIAL")),1,0))</f>
        <v/>
      </c>
      <c r="W4747" s="8">
        <f>IF(AND(V4747=1,D4747&lt;&gt;""),IF(D4747&gt;=corte,(B4747="CRÍTICO")*1E9+(100000-D4747)*10000+10000-ROW(),""),"")</f>
        <v/>
      </c>
      <c r="X4747" s="8">
        <f>IF(AND(V4747=1,D4747=pas_data,E4747=pas_turno),10000-ROW(),"")</f>
        <v/>
      </c>
    </row>
    <row r="4748">
      <c r="A4748" s="3">
        <f>IF(D4748="","","TT-"&amp;TEXT(ROW()-1,"00000"))</f>
        <v/>
      </c>
      <c r="B4748" s="3">
        <f>IF(D4748="","",IF(V4748=0,"CONCLUÍDO",IF(D4748&lt;corte,"HISTÓRICO",IF(OR(AND(ISNUMBER(R4748),R4748&lt;TODAY()),AND(OR(N4748="PENDENTE",N4748="PARCIAL"),D4748&lt;TODAY()-1)),"CRÍTICO",IF(OR(AND(P4748&lt;&gt;"",S4748=""),AND(N4748="REALIZADO",M4748="PENDENTE"),AND(ISNUMBER(R4748),R4748=TODAY())),"ATENÇÃO",IF(N(K4748)=0,"PENDENTE","EM ANDAMENTO"))))))</f>
        <v/>
      </c>
      <c r="C4748" s="3">
        <f>IF(D4748="","",IF(V4748=0,"🟢 OK",IF(D4748&lt;corte,"⚪ HISTÓRICO (sem baixa)",IF(AND(ISNUMBER(R4748),R4748&lt;TODAY()),"🔴 PRAZO VENCIDO",IF(AND(OR(N4748="PENDENTE",N4748="PARCIAL"),D4748&lt;TODAY()-1),"🔴 EMBARQUE ATRASADO",IF(AND(N4748="REALIZADO",M4748="PENDENTE"),"🟡 EMBARCADO SEM FATURAR",IF(AND(P4748&lt;&gt;"",S4748="",OR(Q4748="",R4748="")),"🟡 PENDÊNCIA SEM RESPONSÁVEL/PRAZO",IF(AND(ISNUMBER(R4748),R4748=TODAY()),"🟡 VENCE HOJE",IF(AND(P4748&lt;&gt;"",S4748=""),"🟡 PENDÊNCIA ABERTA",IF(AND(N(J4748)&gt;0,N(K4748)&lt;J4748),"🟡 FALTA EXECUTAR",IF(OR(M4748="PENDENTE",M4748="PARCIAL"),"🟡 FATURAMENTO PENDENTE","🟡 EMBARQUE PENDENTE")))))))))))</f>
        <v/>
      </c>
      <c r="D4748" s="4" t="n"/>
      <c r="E4748" s="5" t="n"/>
      <c r="F4748" s="5" t="n"/>
      <c r="G4748" s="5" t="n"/>
      <c r="H4748" s="5" t="n"/>
      <c r="I4748" s="5" t="n"/>
      <c r="J4748" s="6" t="n"/>
      <c r="K4748" s="6" t="n"/>
      <c r="L4748" s="7">
        <f>IF(OR(D4748="",N(J4748)=0),"",MIN(1,N(K4748)/J4748))</f>
        <v/>
      </c>
      <c r="M4748" s="5" t="n"/>
      <c r="N4748" s="5" t="n"/>
      <c r="O4748" s="5" t="n"/>
      <c r="P4748" s="5" t="n"/>
      <c r="Q4748" s="5" t="n"/>
      <c r="R4748" s="4" t="n"/>
      <c r="S4748" s="4" t="n"/>
      <c r="T4748" s="5" t="n"/>
      <c r="U4748" s="8">
        <f>IF(AND(V4748=1,D4748&lt;&gt;""),IF(D4748&gt;=corte,TODAY()-D4748,""),"")</f>
        <v/>
      </c>
      <c r="V4748" s="8">
        <f>IF(D4748="",0,IF(OR(AND(P4748&lt;&gt;"",S4748=""),AND(N(J4748)&gt;0,N(K4748)&lt;J4748),OR(M4748="PENDENTE",M4748="PARCIAL"),OR(N4748="PENDENTE",N4748="PARCIAL")),1,0))</f>
        <v/>
      </c>
      <c r="W4748" s="8">
        <f>IF(AND(V4748=1,D4748&lt;&gt;""),IF(D4748&gt;=corte,(B4748="CRÍTICO")*1E9+(100000-D4748)*10000+10000-ROW(),""),"")</f>
        <v/>
      </c>
      <c r="X4748" s="8">
        <f>IF(AND(V4748=1,D4748=pas_data,E4748=pas_turno),10000-ROW(),"")</f>
        <v/>
      </c>
    </row>
    <row r="4749">
      <c r="A4749" s="3">
        <f>IF(D4749="","","TT-"&amp;TEXT(ROW()-1,"00000"))</f>
        <v/>
      </c>
      <c r="B4749" s="3">
        <f>IF(D4749="","",IF(V4749=0,"CONCLUÍDO",IF(D4749&lt;corte,"HISTÓRICO",IF(OR(AND(ISNUMBER(R4749),R4749&lt;TODAY()),AND(OR(N4749="PENDENTE",N4749="PARCIAL"),D4749&lt;TODAY()-1)),"CRÍTICO",IF(OR(AND(P4749&lt;&gt;"",S4749=""),AND(N4749="REALIZADO",M4749="PENDENTE"),AND(ISNUMBER(R4749),R4749=TODAY())),"ATENÇÃO",IF(N(K4749)=0,"PENDENTE","EM ANDAMENTO"))))))</f>
        <v/>
      </c>
      <c r="C4749" s="3">
        <f>IF(D4749="","",IF(V4749=0,"🟢 OK",IF(D4749&lt;corte,"⚪ HISTÓRICO (sem baixa)",IF(AND(ISNUMBER(R4749),R4749&lt;TODAY()),"🔴 PRAZO VENCIDO",IF(AND(OR(N4749="PENDENTE",N4749="PARCIAL"),D4749&lt;TODAY()-1),"🔴 EMBARQUE ATRASADO",IF(AND(N4749="REALIZADO",M4749="PENDENTE"),"🟡 EMBARCADO SEM FATURAR",IF(AND(P4749&lt;&gt;"",S4749="",OR(Q4749="",R4749="")),"🟡 PENDÊNCIA SEM RESPONSÁVEL/PRAZO",IF(AND(ISNUMBER(R4749),R4749=TODAY()),"🟡 VENCE HOJE",IF(AND(P4749&lt;&gt;"",S4749=""),"🟡 PENDÊNCIA ABERTA",IF(AND(N(J4749)&gt;0,N(K4749)&lt;J4749),"🟡 FALTA EXECUTAR",IF(OR(M4749="PENDENTE",M4749="PARCIAL"),"🟡 FATURAMENTO PENDENTE","🟡 EMBARQUE PENDENTE")))))))))))</f>
        <v/>
      </c>
      <c r="D4749" s="4" t="n"/>
      <c r="E4749" s="5" t="n"/>
      <c r="F4749" s="5" t="n"/>
      <c r="G4749" s="5" t="n"/>
      <c r="H4749" s="5" t="n"/>
      <c r="I4749" s="5" t="n"/>
      <c r="J4749" s="6" t="n"/>
      <c r="K4749" s="6" t="n"/>
      <c r="L4749" s="7">
        <f>IF(OR(D4749="",N(J4749)=0),"",MIN(1,N(K4749)/J4749))</f>
        <v/>
      </c>
      <c r="M4749" s="5" t="n"/>
      <c r="N4749" s="5" t="n"/>
      <c r="O4749" s="5" t="n"/>
      <c r="P4749" s="5" t="n"/>
      <c r="Q4749" s="5" t="n"/>
      <c r="R4749" s="4" t="n"/>
      <c r="S4749" s="4" t="n"/>
      <c r="T4749" s="5" t="n"/>
      <c r="U4749" s="8">
        <f>IF(AND(V4749=1,D4749&lt;&gt;""),IF(D4749&gt;=corte,TODAY()-D4749,""),"")</f>
        <v/>
      </c>
      <c r="V4749" s="8">
        <f>IF(D4749="",0,IF(OR(AND(P4749&lt;&gt;"",S4749=""),AND(N(J4749)&gt;0,N(K4749)&lt;J4749),OR(M4749="PENDENTE",M4749="PARCIAL"),OR(N4749="PENDENTE",N4749="PARCIAL")),1,0))</f>
        <v/>
      </c>
      <c r="W4749" s="8">
        <f>IF(AND(V4749=1,D4749&lt;&gt;""),IF(D4749&gt;=corte,(B4749="CRÍTICO")*1E9+(100000-D4749)*10000+10000-ROW(),""),"")</f>
        <v/>
      </c>
      <c r="X4749" s="8">
        <f>IF(AND(V4749=1,D4749=pas_data,E4749=pas_turno),10000-ROW(),"")</f>
        <v/>
      </c>
    </row>
    <row r="4750">
      <c r="A4750" s="3">
        <f>IF(D4750="","","TT-"&amp;TEXT(ROW()-1,"00000"))</f>
        <v/>
      </c>
      <c r="B4750" s="3">
        <f>IF(D4750="","",IF(V4750=0,"CONCLUÍDO",IF(D4750&lt;corte,"HISTÓRICO",IF(OR(AND(ISNUMBER(R4750),R4750&lt;TODAY()),AND(OR(N4750="PENDENTE",N4750="PARCIAL"),D4750&lt;TODAY()-1)),"CRÍTICO",IF(OR(AND(P4750&lt;&gt;"",S4750=""),AND(N4750="REALIZADO",M4750="PENDENTE"),AND(ISNUMBER(R4750),R4750=TODAY())),"ATENÇÃO",IF(N(K4750)=0,"PENDENTE","EM ANDAMENTO"))))))</f>
        <v/>
      </c>
      <c r="C4750" s="3">
        <f>IF(D4750="","",IF(V4750=0,"🟢 OK",IF(D4750&lt;corte,"⚪ HISTÓRICO (sem baixa)",IF(AND(ISNUMBER(R4750),R4750&lt;TODAY()),"🔴 PRAZO VENCIDO",IF(AND(OR(N4750="PENDENTE",N4750="PARCIAL"),D4750&lt;TODAY()-1),"🔴 EMBARQUE ATRASADO",IF(AND(N4750="REALIZADO",M4750="PENDENTE"),"🟡 EMBARCADO SEM FATURAR",IF(AND(P4750&lt;&gt;"",S4750="",OR(Q4750="",R4750="")),"🟡 PENDÊNCIA SEM RESPONSÁVEL/PRAZO",IF(AND(ISNUMBER(R4750),R4750=TODAY()),"🟡 VENCE HOJE",IF(AND(P4750&lt;&gt;"",S4750=""),"🟡 PENDÊNCIA ABERTA",IF(AND(N(J4750)&gt;0,N(K4750)&lt;J4750),"🟡 FALTA EXECUTAR",IF(OR(M4750="PENDENTE",M4750="PARCIAL"),"🟡 FATURAMENTO PENDENTE","🟡 EMBARQUE PENDENTE")))))))))))</f>
        <v/>
      </c>
      <c r="D4750" s="4" t="n"/>
      <c r="E4750" s="5" t="n"/>
      <c r="F4750" s="5" t="n"/>
      <c r="G4750" s="5" t="n"/>
      <c r="H4750" s="5" t="n"/>
      <c r="I4750" s="5" t="n"/>
      <c r="J4750" s="6" t="n"/>
      <c r="K4750" s="6" t="n"/>
      <c r="L4750" s="7">
        <f>IF(OR(D4750="",N(J4750)=0),"",MIN(1,N(K4750)/J4750))</f>
        <v/>
      </c>
      <c r="M4750" s="5" t="n"/>
      <c r="N4750" s="5" t="n"/>
      <c r="O4750" s="5" t="n"/>
      <c r="P4750" s="5" t="n"/>
      <c r="Q4750" s="5" t="n"/>
      <c r="R4750" s="4" t="n"/>
      <c r="S4750" s="4" t="n"/>
      <c r="T4750" s="5" t="n"/>
      <c r="U4750" s="8">
        <f>IF(AND(V4750=1,D4750&lt;&gt;""),IF(D4750&gt;=corte,TODAY()-D4750,""),"")</f>
        <v/>
      </c>
      <c r="V4750" s="8">
        <f>IF(D4750="",0,IF(OR(AND(P4750&lt;&gt;"",S4750=""),AND(N(J4750)&gt;0,N(K4750)&lt;J4750),OR(M4750="PENDENTE",M4750="PARCIAL"),OR(N4750="PENDENTE",N4750="PARCIAL")),1,0))</f>
        <v/>
      </c>
      <c r="W4750" s="8">
        <f>IF(AND(V4750=1,D4750&lt;&gt;""),IF(D4750&gt;=corte,(B4750="CRÍTICO")*1E9+(100000-D4750)*10000+10000-ROW(),""),"")</f>
        <v/>
      </c>
      <c r="X4750" s="8">
        <f>IF(AND(V4750=1,D4750=pas_data,E4750=pas_turno),10000-ROW(),"")</f>
        <v/>
      </c>
    </row>
    <row r="4751">
      <c r="A4751" s="3">
        <f>IF(D4751="","","TT-"&amp;TEXT(ROW()-1,"00000"))</f>
        <v/>
      </c>
      <c r="B4751" s="3">
        <f>IF(D4751="","",IF(V4751=0,"CONCLUÍDO",IF(D4751&lt;corte,"HISTÓRICO",IF(OR(AND(ISNUMBER(R4751),R4751&lt;TODAY()),AND(OR(N4751="PENDENTE",N4751="PARCIAL"),D4751&lt;TODAY()-1)),"CRÍTICO",IF(OR(AND(P4751&lt;&gt;"",S4751=""),AND(N4751="REALIZADO",M4751="PENDENTE"),AND(ISNUMBER(R4751),R4751=TODAY())),"ATENÇÃO",IF(N(K4751)=0,"PENDENTE","EM ANDAMENTO"))))))</f>
        <v/>
      </c>
      <c r="C4751" s="3">
        <f>IF(D4751="","",IF(V4751=0,"🟢 OK",IF(D4751&lt;corte,"⚪ HISTÓRICO (sem baixa)",IF(AND(ISNUMBER(R4751),R4751&lt;TODAY()),"🔴 PRAZO VENCIDO",IF(AND(OR(N4751="PENDENTE",N4751="PARCIAL"),D4751&lt;TODAY()-1),"🔴 EMBARQUE ATRASADO",IF(AND(N4751="REALIZADO",M4751="PENDENTE"),"🟡 EMBARCADO SEM FATURAR",IF(AND(P4751&lt;&gt;"",S4751="",OR(Q4751="",R4751="")),"🟡 PENDÊNCIA SEM RESPONSÁVEL/PRAZO",IF(AND(ISNUMBER(R4751),R4751=TODAY()),"🟡 VENCE HOJE",IF(AND(P4751&lt;&gt;"",S4751=""),"🟡 PENDÊNCIA ABERTA",IF(AND(N(J4751)&gt;0,N(K4751)&lt;J4751),"🟡 FALTA EXECUTAR",IF(OR(M4751="PENDENTE",M4751="PARCIAL"),"🟡 FATURAMENTO PENDENTE","🟡 EMBARQUE PENDENTE")))))))))))</f>
        <v/>
      </c>
      <c r="D4751" s="4" t="n"/>
      <c r="E4751" s="5" t="n"/>
      <c r="F4751" s="5" t="n"/>
      <c r="G4751" s="5" t="n"/>
      <c r="H4751" s="5" t="n"/>
      <c r="I4751" s="5" t="n"/>
      <c r="J4751" s="6" t="n"/>
      <c r="K4751" s="6" t="n"/>
      <c r="L4751" s="7">
        <f>IF(OR(D4751="",N(J4751)=0),"",MIN(1,N(K4751)/J4751))</f>
        <v/>
      </c>
      <c r="M4751" s="5" t="n"/>
      <c r="N4751" s="5" t="n"/>
      <c r="O4751" s="5" t="n"/>
      <c r="P4751" s="5" t="n"/>
      <c r="Q4751" s="5" t="n"/>
      <c r="R4751" s="4" t="n"/>
      <c r="S4751" s="4" t="n"/>
      <c r="T4751" s="5" t="n"/>
      <c r="U4751" s="8">
        <f>IF(AND(V4751=1,D4751&lt;&gt;""),IF(D4751&gt;=corte,TODAY()-D4751,""),"")</f>
        <v/>
      </c>
      <c r="V4751" s="8">
        <f>IF(D4751="",0,IF(OR(AND(P4751&lt;&gt;"",S4751=""),AND(N(J4751)&gt;0,N(K4751)&lt;J4751),OR(M4751="PENDENTE",M4751="PARCIAL"),OR(N4751="PENDENTE",N4751="PARCIAL")),1,0))</f>
        <v/>
      </c>
      <c r="W4751" s="8">
        <f>IF(AND(V4751=1,D4751&lt;&gt;""),IF(D4751&gt;=corte,(B4751="CRÍTICO")*1E9+(100000-D4751)*10000+10000-ROW(),""),"")</f>
        <v/>
      </c>
      <c r="X4751" s="8">
        <f>IF(AND(V4751=1,D4751=pas_data,E4751=pas_turno),10000-ROW(),"")</f>
        <v/>
      </c>
    </row>
    <row r="4752">
      <c r="A4752" s="3">
        <f>IF(D4752="","","TT-"&amp;TEXT(ROW()-1,"00000"))</f>
        <v/>
      </c>
      <c r="B4752" s="3">
        <f>IF(D4752="","",IF(V4752=0,"CONCLUÍDO",IF(D4752&lt;corte,"HISTÓRICO",IF(OR(AND(ISNUMBER(R4752),R4752&lt;TODAY()),AND(OR(N4752="PENDENTE",N4752="PARCIAL"),D4752&lt;TODAY()-1)),"CRÍTICO",IF(OR(AND(P4752&lt;&gt;"",S4752=""),AND(N4752="REALIZADO",M4752="PENDENTE"),AND(ISNUMBER(R4752),R4752=TODAY())),"ATENÇÃO",IF(N(K4752)=0,"PENDENTE","EM ANDAMENTO"))))))</f>
        <v/>
      </c>
      <c r="C4752" s="3">
        <f>IF(D4752="","",IF(V4752=0,"🟢 OK",IF(D4752&lt;corte,"⚪ HISTÓRICO (sem baixa)",IF(AND(ISNUMBER(R4752),R4752&lt;TODAY()),"🔴 PRAZO VENCIDO",IF(AND(OR(N4752="PENDENTE",N4752="PARCIAL"),D4752&lt;TODAY()-1),"🔴 EMBARQUE ATRASADO",IF(AND(N4752="REALIZADO",M4752="PENDENTE"),"🟡 EMBARCADO SEM FATURAR",IF(AND(P4752&lt;&gt;"",S4752="",OR(Q4752="",R4752="")),"🟡 PENDÊNCIA SEM RESPONSÁVEL/PRAZO",IF(AND(ISNUMBER(R4752),R4752=TODAY()),"🟡 VENCE HOJE",IF(AND(P4752&lt;&gt;"",S4752=""),"🟡 PENDÊNCIA ABERTA",IF(AND(N(J4752)&gt;0,N(K4752)&lt;J4752),"🟡 FALTA EXECUTAR",IF(OR(M4752="PENDENTE",M4752="PARCIAL"),"🟡 FATURAMENTO PENDENTE","🟡 EMBARQUE PENDENTE")))))))))))</f>
        <v/>
      </c>
      <c r="D4752" s="4" t="n"/>
      <c r="E4752" s="5" t="n"/>
      <c r="F4752" s="5" t="n"/>
      <c r="G4752" s="5" t="n"/>
      <c r="H4752" s="5" t="n"/>
      <c r="I4752" s="5" t="n"/>
      <c r="J4752" s="6" t="n"/>
      <c r="K4752" s="6" t="n"/>
      <c r="L4752" s="7">
        <f>IF(OR(D4752="",N(J4752)=0),"",MIN(1,N(K4752)/J4752))</f>
        <v/>
      </c>
      <c r="M4752" s="5" t="n"/>
      <c r="N4752" s="5" t="n"/>
      <c r="O4752" s="5" t="n"/>
      <c r="P4752" s="5" t="n"/>
      <c r="Q4752" s="5" t="n"/>
      <c r="R4752" s="4" t="n"/>
      <c r="S4752" s="4" t="n"/>
      <c r="T4752" s="5" t="n"/>
      <c r="U4752" s="8">
        <f>IF(AND(V4752=1,D4752&lt;&gt;""),IF(D4752&gt;=corte,TODAY()-D4752,""),"")</f>
        <v/>
      </c>
      <c r="V4752" s="8">
        <f>IF(D4752="",0,IF(OR(AND(P4752&lt;&gt;"",S4752=""),AND(N(J4752)&gt;0,N(K4752)&lt;J4752),OR(M4752="PENDENTE",M4752="PARCIAL"),OR(N4752="PENDENTE",N4752="PARCIAL")),1,0))</f>
        <v/>
      </c>
      <c r="W4752" s="8">
        <f>IF(AND(V4752=1,D4752&lt;&gt;""),IF(D4752&gt;=corte,(B4752="CRÍTICO")*1E9+(100000-D4752)*10000+10000-ROW(),""),"")</f>
        <v/>
      </c>
      <c r="X4752" s="8">
        <f>IF(AND(V4752=1,D4752=pas_data,E4752=pas_turno),10000-ROW(),"")</f>
        <v/>
      </c>
    </row>
    <row r="4753">
      <c r="A4753" s="3">
        <f>IF(D4753="","","TT-"&amp;TEXT(ROW()-1,"00000"))</f>
        <v/>
      </c>
      <c r="B4753" s="3">
        <f>IF(D4753="","",IF(V4753=0,"CONCLUÍDO",IF(D4753&lt;corte,"HISTÓRICO",IF(OR(AND(ISNUMBER(R4753),R4753&lt;TODAY()),AND(OR(N4753="PENDENTE",N4753="PARCIAL"),D4753&lt;TODAY()-1)),"CRÍTICO",IF(OR(AND(P4753&lt;&gt;"",S4753=""),AND(N4753="REALIZADO",M4753="PENDENTE"),AND(ISNUMBER(R4753),R4753=TODAY())),"ATENÇÃO",IF(N(K4753)=0,"PENDENTE","EM ANDAMENTO"))))))</f>
        <v/>
      </c>
      <c r="C4753" s="3">
        <f>IF(D4753="","",IF(V4753=0,"🟢 OK",IF(D4753&lt;corte,"⚪ HISTÓRICO (sem baixa)",IF(AND(ISNUMBER(R4753),R4753&lt;TODAY()),"🔴 PRAZO VENCIDO",IF(AND(OR(N4753="PENDENTE",N4753="PARCIAL"),D4753&lt;TODAY()-1),"🔴 EMBARQUE ATRASADO",IF(AND(N4753="REALIZADO",M4753="PENDENTE"),"🟡 EMBARCADO SEM FATURAR",IF(AND(P4753&lt;&gt;"",S4753="",OR(Q4753="",R4753="")),"🟡 PENDÊNCIA SEM RESPONSÁVEL/PRAZO",IF(AND(ISNUMBER(R4753),R4753=TODAY()),"🟡 VENCE HOJE",IF(AND(P4753&lt;&gt;"",S4753=""),"🟡 PENDÊNCIA ABERTA",IF(AND(N(J4753)&gt;0,N(K4753)&lt;J4753),"🟡 FALTA EXECUTAR",IF(OR(M4753="PENDENTE",M4753="PARCIAL"),"🟡 FATURAMENTO PENDENTE","🟡 EMBARQUE PENDENTE")))))))))))</f>
        <v/>
      </c>
      <c r="D4753" s="4" t="n"/>
      <c r="E4753" s="5" t="n"/>
      <c r="F4753" s="5" t="n"/>
      <c r="G4753" s="5" t="n"/>
      <c r="H4753" s="5" t="n"/>
      <c r="I4753" s="5" t="n"/>
      <c r="J4753" s="6" t="n"/>
      <c r="K4753" s="6" t="n"/>
      <c r="L4753" s="7">
        <f>IF(OR(D4753="",N(J4753)=0),"",MIN(1,N(K4753)/J4753))</f>
        <v/>
      </c>
      <c r="M4753" s="5" t="n"/>
      <c r="N4753" s="5" t="n"/>
      <c r="O4753" s="5" t="n"/>
      <c r="P4753" s="5" t="n"/>
      <c r="Q4753" s="5" t="n"/>
      <c r="R4753" s="4" t="n"/>
      <c r="S4753" s="4" t="n"/>
      <c r="T4753" s="5" t="n"/>
      <c r="U4753" s="8">
        <f>IF(AND(V4753=1,D4753&lt;&gt;""),IF(D4753&gt;=corte,TODAY()-D4753,""),"")</f>
        <v/>
      </c>
      <c r="V4753" s="8">
        <f>IF(D4753="",0,IF(OR(AND(P4753&lt;&gt;"",S4753=""),AND(N(J4753)&gt;0,N(K4753)&lt;J4753),OR(M4753="PENDENTE",M4753="PARCIAL"),OR(N4753="PENDENTE",N4753="PARCIAL")),1,0))</f>
        <v/>
      </c>
      <c r="W4753" s="8">
        <f>IF(AND(V4753=1,D4753&lt;&gt;""),IF(D4753&gt;=corte,(B4753="CRÍTICO")*1E9+(100000-D4753)*10000+10000-ROW(),""),"")</f>
        <v/>
      </c>
      <c r="X4753" s="8">
        <f>IF(AND(V4753=1,D4753=pas_data,E4753=pas_turno),10000-ROW(),"")</f>
        <v/>
      </c>
    </row>
    <row r="4754">
      <c r="A4754" s="3">
        <f>IF(D4754="","","TT-"&amp;TEXT(ROW()-1,"00000"))</f>
        <v/>
      </c>
      <c r="B4754" s="3">
        <f>IF(D4754="","",IF(V4754=0,"CONCLUÍDO",IF(D4754&lt;corte,"HISTÓRICO",IF(OR(AND(ISNUMBER(R4754),R4754&lt;TODAY()),AND(OR(N4754="PENDENTE",N4754="PARCIAL"),D4754&lt;TODAY()-1)),"CRÍTICO",IF(OR(AND(P4754&lt;&gt;"",S4754=""),AND(N4754="REALIZADO",M4754="PENDENTE"),AND(ISNUMBER(R4754),R4754=TODAY())),"ATENÇÃO",IF(N(K4754)=0,"PENDENTE","EM ANDAMENTO"))))))</f>
        <v/>
      </c>
      <c r="C4754" s="3">
        <f>IF(D4754="","",IF(V4754=0,"🟢 OK",IF(D4754&lt;corte,"⚪ HISTÓRICO (sem baixa)",IF(AND(ISNUMBER(R4754),R4754&lt;TODAY()),"🔴 PRAZO VENCIDO",IF(AND(OR(N4754="PENDENTE",N4754="PARCIAL"),D4754&lt;TODAY()-1),"🔴 EMBARQUE ATRASADO",IF(AND(N4754="REALIZADO",M4754="PENDENTE"),"🟡 EMBARCADO SEM FATURAR",IF(AND(P4754&lt;&gt;"",S4754="",OR(Q4754="",R4754="")),"🟡 PENDÊNCIA SEM RESPONSÁVEL/PRAZO",IF(AND(ISNUMBER(R4754),R4754=TODAY()),"🟡 VENCE HOJE",IF(AND(P4754&lt;&gt;"",S4754=""),"🟡 PENDÊNCIA ABERTA",IF(AND(N(J4754)&gt;0,N(K4754)&lt;J4754),"🟡 FALTA EXECUTAR",IF(OR(M4754="PENDENTE",M4754="PARCIAL"),"🟡 FATURAMENTO PENDENTE","🟡 EMBARQUE PENDENTE")))))))))))</f>
        <v/>
      </c>
      <c r="D4754" s="4" t="n"/>
      <c r="E4754" s="5" t="n"/>
      <c r="F4754" s="5" t="n"/>
      <c r="G4754" s="5" t="n"/>
      <c r="H4754" s="5" t="n"/>
      <c r="I4754" s="5" t="n"/>
      <c r="J4754" s="6" t="n"/>
      <c r="K4754" s="6" t="n"/>
      <c r="L4754" s="7">
        <f>IF(OR(D4754="",N(J4754)=0),"",MIN(1,N(K4754)/J4754))</f>
        <v/>
      </c>
      <c r="M4754" s="5" t="n"/>
      <c r="N4754" s="5" t="n"/>
      <c r="O4754" s="5" t="n"/>
      <c r="P4754" s="5" t="n"/>
      <c r="Q4754" s="5" t="n"/>
      <c r="R4754" s="4" t="n"/>
      <c r="S4754" s="4" t="n"/>
      <c r="T4754" s="5" t="n"/>
      <c r="U4754" s="8">
        <f>IF(AND(V4754=1,D4754&lt;&gt;""),IF(D4754&gt;=corte,TODAY()-D4754,""),"")</f>
        <v/>
      </c>
      <c r="V4754" s="8">
        <f>IF(D4754="",0,IF(OR(AND(P4754&lt;&gt;"",S4754=""),AND(N(J4754)&gt;0,N(K4754)&lt;J4754),OR(M4754="PENDENTE",M4754="PARCIAL"),OR(N4754="PENDENTE",N4754="PARCIAL")),1,0))</f>
        <v/>
      </c>
      <c r="W4754" s="8">
        <f>IF(AND(V4754=1,D4754&lt;&gt;""),IF(D4754&gt;=corte,(B4754="CRÍTICO")*1E9+(100000-D4754)*10000+10000-ROW(),""),"")</f>
        <v/>
      </c>
      <c r="X4754" s="8">
        <f>IF(AND(V4754=1,D4754=pas_data,E4754=pas_turno),10000-ROW(),"")</f>
        <v/>
      </c>
    </row>
    <row r="4755">
      <c r="A4755" s="3">
        <f>IF(D4755="","","TT-"&amp;TEXT(ROW()-1,"00000"))</f>
        <v/>
      </c>
      <c r="B4755" s="3">
        <f>IF(D4755="","",IF(V4755=0,"CONCLUÍDO",IF(D4755&lt;corte,"HISTÓRICO",IF(OR(AND(ISNUMBER(R4755),R4755&lt;TODAY()),AND(OR(N4755="PENDENTE",N4755="PARCIAL"),D4755&lt;TODAY()-1)),"CRÍTICO",IF(OR(AND(P4755&lt;&gt;"",S4755=""),AND(N4755="REALIZADO",M4755="PENDENTE"),AND(ISNUMBER(R4755),R4755=TODAY())),"ATENÇÃO",IF(N(K4755)=0,"PENDENTE","EM ANDAMENTO"))))))</f>
        <v/>
      </c>
      <c r="C4755" s="3">
        <f>IF(D4755="","",IF(V4755=0,"🟢 OK",IF(D4755&lt;corte,"⚪ HISTÓRICO (sem baixa)",IF(AND(ISNUMBER(R4755),R4755&lt;TODAY()),"🔴 PRAZO VENCIDO",IF(AND(OR(N4755="PENDENTE",N4755="PARCIAL"),D4755&lt;TODAY()-1),"🔴 EMBARQUE ATRASADO",IF(AND(N4755="REALIZADO",M4755="PENDENTE"),"🟡 EMBARCADO SEM FATURAR",IF(AND(P4755&lt;&gt;"",S4755="",OR(Q4755="",R4755="")),"🟡 PENDÊNCIA SEM RESPONSÁVEL/PRAZO",IF(AND(ISNUMBER(R4755),R4755=TODAY()),"🟡 VENCE HOJE",IF(AND(P4755&lt;&gt;"",S4755=""),"🟡 PENDÊNCIA ABERTA",IF(AND(N(J4755)&gt;0,N(K4755)&lt;J4755),"🟡 FALTA EXECUTAR",IF(OR(M4755="PENDENTE",M4755="PARCIAL"),"🟡 FATURAMENTO PENDENTE","🟡 EMBARQUE PENDENTE")))))))))))</f>
        <v/>
      </c>
      <c r="D4755" s="4" t="n"/>
      <c r="E4755" s="5" t="n"/>
      <c r="F4755" s="5" t="n"/>
      <c r="G4755" s="5" t="n"/>
      <c r="H4755" s="5" t="n"/>
      <c r="I4755" s="5" t="n"/>
      <c r="J4755" s="6" t="n"/>
      <c r="K4755" s="6" t="n"/>
      <c r="L4755" s="7">
        <f>IF(OR(D4755="",N(J4755)=0),"",MIN(1,N(K4755)/J4755))</f>
        <v/>
      </c>
      <c r="M4755" s="5" t="n"/>
      <c r="N4755" s="5" t="n"/>
      <c r="O4755" s="5" t="n"/>
      <c r="P4755" s="5" t="n"/>
      <c r="Q4755" s="5" t="n"/>
      <c r="R4755" s="4" t="n"/>
      <c r="S4755" s="4" t="n"/>
      <c r="T4755" s="5" t="n"/>
      <c r="U4755" s="8">
        <f>IF(AND(V4755=1,D4755&lt;&gt;""),IF(D4755&gt;=corte,TODAY()-D4755,""),"")</f>
        <v/>
      </c>
      <c r="V4755" s="8">
        <f>IF(D4755="",0,IF(OR(AND(P4755&lt;&gt;"",S4755=""),AND(N(J4755)&gt;0,N(K4755)&lt;J4755),OR(M4755="PENDENTE",M4755="PARCIAL"),OR(N4755="PENDENTE",N4755="PARCIAL")),1,0))</f>
        <v/>
      </c>
      <c r="W4755" s="8">
        <f>IF(AND(V4755=1,D4755&lt;&gt;""),IF(D4755&gt;=corte,(B4755="CRÍTICO")*1E9+(100000-D4755)*10000+10000-ROW(),""),"")</f>
        <v/>
      </c>
      <c r="X4755" s="8">
        <f>IF(AND(V4755=1,D4755=pas_data,E4755=pas_turno),10000-ROW(),"")</f>
        <v/>
      </c>
    </row>
    <row r="4756">
      <c r="A4756" s="3">
        <f>IF(D4756="","","TT-"&amp;TEXT(ROW()-1,"00000"))</f>
        <v/>
      </c>
      <c r="B4756" s="3">
        <f>IF(D4756="","",IF(V4756=0,"CONCLUÍDO",IF(D4756&lt;corte,"HISTÓRICO",IF(OR(AND(ISNUMBER(R4756),R4756&lt;TODAY()),AND(OR(N4756="PENDENTE",N4756="PARCIAL"),D4756&lt;TODAY()-1)),"CRÍTICO",IF(OR(AND(P4756&lt;&gt;"",S4756=""),AND(N4756="REALIZADO",M4756="PENDENTE"),AND(ISNUMBER(R4756),R4756=TODAY())),"ATENÇÃO",IF(N(K4756)=0,"PENDENTE","EM ANDAMENTO"))))))</f>
        <v/>
      </c>
      <c r="C4756" s="3">
        <f>IF(D4756="","",IF(V4756=0,"🟢 OK",IF(D4756&lt;corte,"⚪ HISTÓRICO (sem baixa)",IF(AND(ISNUMBER(R4756),R4756&lt;TODAY()),"🔴 PRAZO VENCIDO",IF(AND(OR(N4756="PENDENTE",N4756="PARCIAL"),D4756&lt;TODAY()-1),"🔴 EMBARQUE ATRASADO",IF(AND(N4756="REALIZADO",M4756="PENDENTE"),"🟡 EMBARCADO SEM FATURAR",IF(AND(P4756&lt;&gt;"",S4756="",OR(Q4756="",R4756="")),"🟡 PENDÊNCIA SEM RESPONSÁVEL/PRAZO",IF(AND(ISNUMBER(R4756),R4756=TODAY()),"🟡 VENCE HOJE",IF(AND(P4756&lt;&gt;"",S4756=""),"🟡 PENDÊNCIA ABERTA",IF(AND(N(J4756)&gt;0,N(K4756)&lt;J4756),"🟡 FALTA EXECUTAR",IF(OR(M4756="PENDENTE",M4756="PARCIAL"),"🟡 FATURAMENTO PENDENTE","🟡 EMBARQUE PENDENTE")))))))))))</f>
        <v/>
      </c>
      <c r="D4756" s="4" t="n"/>
      <c r="E4756" s="5" t="n"/>
      <c r="F4756" s="5" t="n"/>
      <c r="G4756" s="5" t="n"/>
      <c r="H4756" s="5" t="n"/>
      <c r="I4756" s="5" t="n"/>
      <c r="J4756" s="6" t="n"/>
      <c r="K4756" s="6" t="n"/>
      <c r="L4756" s="7">
        <f>IF(OR(D4756="",N(J4756)=0),"",MIN(1,N(K4756)/J4756))</f>
        <v/>
      </c>
      <c r="M4756" s="5" t="n"/>
      <c r="N4756" s="5" t="n"/>
      <c r="O4756" s="5" t="n"/>
      <c r="P4756" s="5" t="n"/>
      <c r="Q4756" s="5" t="n"/>
      <c r="R4756" s="4" t="n"/>
      <c r="S4756" s="4" t="n"/>
      <c r="T4756" s="5" t="n"/>
      <c r="U4756" s="8">
        <f>IF(AND(V4756=1,D4756&lt;&gt;""),IF(D4756&gt;=corte,TODAY()-D4756,""),"")</f>
        <v/>
      </c>
      <c r="V4756" s="8">
        <f>IF(D4756="",0,IF(OR(AND(P4756&lt;&gt;"",S4756=""),AND(N(J4756)&gt;0,N(K4756)&lt;J4756),OR(M4756="PENDENTE",M4756="PARCIAL"),OR(N4756="PENDENTE",N4756="PARCIAL")),1,0))</f>
        <v/>
      </c>
      <c r="W4756" s="8">
        <f>IF(AND(V4756=1,D4756&lt;&gt;""),IF(D4756&gt;=corte,(B4756="CRÍTICO")*1E9+(100000-D4756)*10000+10000-ROW(),""),"")</f>
        <v/>
      </c>
      <c r="X4756" s="8">
        <f>IF(AND(V4756=1,D4756=pas_data,E4756=pas_turno),10000-ROW(),"")</f>
        <v/>
      </c>
    </row>
    <row r="4757">
      <c r="A4757" s="3">
        <f>IF(D4757="","","TT-"&amp;TEXT(ROW()-1,"00000"))</f>
        <v/>
      </c>
      <c r="B4757" s="3">
        <f>IF(D4757="","",IF(V4757=0,"CONCLUÍDO",IF(D4757&lt;corte,"HISTÓRICO",IF(OR(AND(ISNUMBER(R4757),R4757&lt;TODAY()),AND(OR(N4757="PENDENTE",N4757="PARCIAL"),D4757&lt;TODAY()-1)),"CRÍTICO",IF(OR(AND(P4757&lt;&gt;"",S4757=""),AND(N4757="REALIZADO",M4757="PENDENTE"),AND(ISNUMBER(R4757),R4757=TODAY())),"ATENÇÃO",IF(N(K4757)=0,"PENDENTE","EM ANDAMENTO"))))))</f>
        <v/>
      </c>
      <c r="C4757" s="3">
        <f>IF(D4757="","",IF(V4757=0,"🟢 OK",IF(D4757&lt;corte,"⚪ HISTÓRICO (sem baixa)",IF(AND(ISNUMBER(R4757),R4757&lt;TODAY()),"🔴 PRAZO VENCIDO",IF(AND(OR(N4757="PENDENTE",N4757="PARCIAL"),D4757&lt;TODAY()-1),"🔴 EMBARQUE ATRASADO",IF(AND(N4757="REALIZADO",M4757="PENDENTE"),"🟡 EMBARCADO SEM FATURAR",IF(AND(P4757&lt;&gt;"",S4757="",OR(Q4757="",R4757="")),"🟡 PENDÊNCIA SEM RESPONSÁVEL/PRAZO",IF(AND(ISNUMBER(R4757),R4757=TODAY()),"🟡 VENCE HOJE",IF(AND(P4757&lt;&gt;"",S4757=""),"🟡 PENDÊNCIA ABERTA",IF(AND(N(J4757)&gt;0,N(K4757)&lt;J4757),"🟡 FALTA EXECUTAR",IF(OR(M4757="PENDENTE",M4757="PARCIAL"),"🟡 FATURAMENTO PENDENTE","🟡 EMBARQUE PENDENTE")))))))))))</f>
        <v/>
      </c>
      <c r="D4757" s="4" t="n"/>
      <c r="E4757" s="5" t="n"/>
      <c r="F4757" s="5" t="n"/>
      <c r="G4757" s="5" t="n"/>
      <c r="H4757" s="5" t="n"/>
      <c r="I4757" s="5" t="n"/>
      <c r="J4757" s="6" t="n"/>
      <c r="K4757" s="6" t="n"/>
      <c r="L4757" s="7">
        <f>IF(OR(D4757="",N(J4757)=0),"",MIN(1,N(K4757)/J4757))</f>
        <v/>
      </c>
      <c r="M4757" s="5" t="n"/>
      <c r="N4757" s="5" t="n"/>
      <c r="O4757" s="5" t="n"/>
      <c r="P4757" s="5" t="n"/>
      <c r="Q4757" s="5" t="n"/>
      <c r="R4757" s="4" t="n"/>
      <c r="S4757" s="4" t="n"/>
      <c r="T4757" s="5" t="n"/>
      <c r="U4757" s="8">
        <f>IF(AND(V4757=1,D4757&lt;&gt;""),IF(D4757&gt;=corte,TODAY()-D4757,""),"")</f>
        <v/>
      </c>
      <c r="V4757" s="8">
        <f>IF(D4757="",0,IF(OR(AND(P4757&lt;&gt;"",S4757=""),AND(N(J4757)&gt;0,N(K4757)&lt;J4757),OR(M4757="PENDENTE",M4757="PARCIAL"),OR(N4757="PENDENTE",N4757="PARCIAL")),1,0))</f>
        <v/>
      </c>
      <c r="W4757" s="8">
        <f>IF(AND(V4757=1,D4757&lt;&gt;""),IF(D4757&gt;=corte,(B4757="CRÍTICO")*1E9+(100000-D4757)*10000+10000-ROW(),""),"")</f>
        <v/>
      </c>
      <c r="X4757" s="8">
        <f>IF(AND(V4757=1,D4757=pas_data,E4757=pas_turno),10000-ROW(),"")</f>
        <v/>
      </c>
    </row>
    <row r="4758">
      <c r="A4758" s="3">
        <f>IF(D4758="","","TT-"&amp;TEXT(ROW()-1,"00000"))</f>
        <v/>
      </c>
      <c r="B4758" s="3">
        <f>IF(D4758="","",IF(V4758=0,"CONCLUÍDO",IF(D4758&lt;corte,"HISTÓRICO",IF(OR(AND(ISNUMBER(R4758),R4758&lt;TODAY()),AND(OR(N4758="PENDENTE",N4758="PARCIAL"),D4758&lt;TODAY()-1)),"CRÍTICO",IF(OR(AND(P4758&lt;&gt;"",S4758=""),AND(N4758="REALIZADO",M4758="PENDENTE"),AND(ISNUMBER(R4758),R4758=TODAY())),"ATENÇÃO",IF(N(K4758)=0,"PENDENTE","EM ANDAMENTO"))))))</f>
        <v/>
      </c>
      <c r="C4758" s="3">
        <f>IF(D4758="","",IF(V4758=0,"🟢 OK",IF(D4758&lt;corte,"⚪ HISTÓRICO (sem baixa)",IF(AND(ISNUMBER(R4758),R4758&lt;TODAY()),"🔴 PRAZO VENCIDO",IF(AND(OR(N4758="PENDENTE",N4758="PARCIAL"),D4758&lt;TODAY()-1),"🔴 EMBARQUE ATRASADO",IF(AND(N4758="REALIZADO",M4758="PENDENTE"),"🟡 EMBARCADO SEM FATURAR",IF(AND(P4758&lt;&gt;"",S4758="",OR(Q4758="",R4758="")),"🟡 PENDÊNCIA SEM RESPONSÁVEL/PRAZO",IF(AND(ISNUMBER(R4758),R4758=TODAY()),"🟡 VENCE HOJE",IF(AND(P4758&lt;&gt;"",S4758=""),"🟡 PENDÊNCIA ABERTA",IF(AND(N(J4758)&gt;0,N(K4758)&lt;J4758),"🟡 FALTA EXECUTAR",IF(OR(M4758="PENDENTE",M4758="PARCIAL"),"🟡 FATURAMENTO PENDENTE","🟡 EMBARQUE PENDENTE")))))))))))</f>
        <v/>
      </c>
      <c r="D4758" s="4" t="n"/>
      <c r="E4758" s="5" t="n"/>
      <c r="F4758" s="5" t="n"/>
      <c r="G4758" s="5" t="n"/>
      <c r="H4758" s="5" t="n"/>
      <c r="I4758" s="5" t="n"/>
      <c r="J4758" s="6" t="n"/>
      <c r="K4758" s="6" t="n"/>
      <c r="L4758" s="7">
        <f>IF(OR(D4758="",N(J4758)=0),"",MIN(1,N(K4758)/J4758))</f>
        <v/>
      </c>
      <c r="M4758" s="5" t="n"/>
      <c r="N4758" s="5" t="n"/>
      <c r="O4758" s="5" t="n"/>
      <c r="P4758" s="5" t="n"/>
      <c r="Q4758" s="5" t="n"/>
      <c r="R4758" s="4" t="n"/>
      <c r="S4758" s="4" t="n"/>
      <c r="T4758" s="5" t="n"/>
      <c r="U4758" s="8">
        <f>IF(AND(V4758=1,D4758&lt;&gt;""),IF(D4758&gt;=corte,TODAY()-D4758,""),"")</f>
        <v/>
      </c>
      <c r="V4758" s="8">
        <f>IF(D4758="",0,IF(OR(AND(P4758&lt;&gt;"",S4758=""),AND(N(J4758)&gt;0,N(K4758)&lt;J4758),OR(M4758="PENDENTE",M4758="PARCIAL"),OR(N4758="PENDENTE",N4758="PARCIAL")),1,0))</f>
        <v/>
      </c>
      <c r="W4758" s="8">
        <f>IF(AND(V4758=1,D4758&lt;&gt;""),IF(D4758&gt;=corte,(B4758="CRÍTICO")*1E9+(100000-D4758)*10000+10000-ROW(),""),"")</f>
        <v/>
      </c>
      <c r="X4758" s="8">
        <f>IF(AND(V4758=1,D4758=pas_data,E4758=pas_turno),10000-ROW(),"")</f>
        <v/>
      </c>
    </row>
    <row r="4759">
      <c r="A4759" s="3">
        <f>IF(D4759="","","TT-"&amp;TEXT(ROW()-1,"00000"))</f>
        <v/>
      </c>
      <c r="B4759" s="3">
        <f>IF(D4759="","",IF(V4759=0,"CONCLUÍDO",IF(D4759&lt;corte,"HISTÓRICO",IF(OR(AND(ISNUMBER(R4759),R4759&lt;TODAY()),AND(OR(N4759="PENDENTE",N4759="PARCIAL"),D4759&lt;TODAY()-1)),"CRÍTICO",IF(OR(AND(P4759&lt;&gt;"",S4759=""),AND(N4759="REALIZADO",M4759="PENDENTE"),AND(ISNUMBER(R4759),R4759=TODAY())),"ATENÇÃO",IF(N(K4759)=0,"PENDENTE","EM ANDAMENTO"))))))</f>
        <v/>
      </c>
      <c r="C4759" s="3">
        <f>IF(D4759="","",IF(V4759=0,"🟢 OK",IF(D4759&lt;corte,"⚪ HISTÓRICO (sem baixa)",IF(AND(ISNUMBER(R4759),R4759&lt;TODAY()),"🔴 PRAZO VENCIDO",IF(AND(OR(N4759="PENDENTE",N4759="PARCIAL"),D4759&lt;TODAY()-1),"🔴 EMBARQUE ATRASADO",IF(AND(N4759="REALIZADO",M4759="PENDENTE"),"🟡 EMBARCADO SEM FATURAR",IF(AND(P4759&lt;&gt;"",S4759="",OR(Q4759="",R4759="")),"🟡 PENDÊNCIA SEM RESPONSÁVEL/PRAZO",IF(AND(ISNUMBER(R4759),R4759=TODAY()),"🟡 VENCE HOJE",IF(AND(P4759&lt;&gt;"",S4759=""),"🟡 PENDÊNCIA ABERTA",IF(AND(N(J4759)&gt;0,N(K4759)&lt;J4759),"🟡 FALTA EXECUTAR",IF(OR(M4759="PENDENTE",M4759="PARCIAL"),"🟡 FATURAMENTO PENDENTE","🟡 EMBARQUE PENDENTE")))))))))))</f>
        <v/>
      </c>
      <c r="D4759" s="4" t="n"/>
      <c r="E4759" s="5" t="n"/>
      <c r="F4759" s="5" t="n"/>
      <c r="G4759" s="5" t="n"/>
      <c r="H4759" s="5" t="n"/>
      <c r="I4759" s="5" t="n"/>
      <c r="J4759" s="6" t="n"/>
      <c r="K4759" s="6" t="n"/>
      <c r="L4759" s="7">
        <f>IF(OR(D4759="",N(J4759)=0),"",MIN(1,N(K4759)/J4759))</f>
        <v/>
      </c>
      <c r="M4759" s="5" t="n"/>
      <c r="N4759" s="5" t="n"/>
      <c r="O4759" s="5" t="n"/>
      <c r="P4759" s="5" t="n"/>
      <c r="Q4759" s="5" t="n"/>
      <c r="R4759" s="4" t="n"/>
      <c r="S4759" s="4" t="n"/>
      <c r="T4759" s="5" t="n"/>
      <c r="U4759" s="8">
        <f>IF(AND(V4759=1,D4759&lt;&gt;""),IF(D4759&gt;=corte,TODAY()-D4759,""),"")</f>
        <v/>
      </c>
      <c r="V4759" s="8">
        <f>IF(D4759="",0,IF(OR(AND(P4759&lt;&gt;"",S4759=""),AND(N(J4759)&gt;0,N(K4759)&lt;J4759),OR(M4759="PENDENTE",M4759="PARCIAL"),OR(N4759="PENDENTE",N4759="PARCIAL")),1,0))</f>
        <v/>
      </c>
      <c r="W4759" s="8">
        <f>IF(AND(V4759=1,D4759&lt;&gt;""),IF(D4759&gt;=corte,(B4759="CRÍTICO")*1E9+(100000-D4759)*10000+10000-ROW(),""),"")</f>
        <v/>
      </c>
      <c r="X4759" s="8">
        <f>IF(AND(V4759=1,D4759=pas_data,E4759=pas_turno),10000-ROW(),"")</f>
        <v/>
      </c>
    </row>
    <row r="4760">
      <c r="A4760" s="3">
        <f>IF(D4760="","","TT-"&amp;TEXT(ROW()-1,"00000"))</f>
        <v/>
      </c>
      <c r="B4760" s="3">
        <f>IF(D4760="","",IF(V4760=0,"CONCLUÍDO",IF(D4760&lt;corte,"HISTÓRICO",IF(OR(AND(ISNUMBER(R4760),R4760&lt;TODAY()),AND(OR(N4760="PENDENTE",N4760="PARCIAL"),D4760&lt;TODAY()-1)),"CRÍTICO",IF(OR(AND(P4760&lt;&gt;"",S4760=""),AND(N4760="REALIZADO",M4760="PENDENTE"),AND(ISNUMBER(R4760),R4760=TODAY())),"ATENÇÃO",IF(N(K4760)=0,"PENDENTE","EM ANDAMENTO"))))))</f>
        <v/>
      </c>
      <c r="C4760" s="3">
        <f>IF(D4760="","",IF(V4760=0,"🟢 OK",IF(D4760&lt;corte,"⚪ HISTÓRICO (sem baixa)",IF(AND(ISNUMBER(R4760),R4760&lt;TODAY()),"🔴 PRAZO VENCIDO",IF(AND(OR(N4760="PENDENTE",N4760="PARCIAL"),D4760&lt;TODAY()-1),"🔴 EMBARQUE ATRASADO",IF(AND(N4760="REALIZADO",M4760="PENDENTE"),"🟡 EMBARCADO SEM FATURAR",IF(AND(P4760&lt;&gt;"",S4760="",OR(Q4760="",R4760="")),"🟡 PENDÊNCIA SEM RESPONSÁVEL/PRAZO",IF(AND(ISNUMBER(R4760),R4760=TODAY()),"🟡 VENCE HOJE",IF(AND(P4760&lt;&gt;"",S4760=""),"🟡 PENDÊNCIA ABERTA",IF(AND(N(J4760)&gt;0,N(K4760)&lt;J4760),"🟡 FALTA EXECUTAR",IF(OR(M4760="PENDENTE",M4760="PARCIAL"),"🟡 FATURAMENTO PENDENTE","🟡 EMBARQUE PENDENTE")))))))))))</f>
        <v/>
      </c>
      <c r="D4760" s="4" t="n"/>
      <c r="E4760" s="5" t="n"/>
      <c r="F4760" s="5" t="n"/>
      <c r="G4760" s="5" t="n"/>
      <c r="H4760" s="5" t="n"/>
      <c r="I4760" s="5" t="n"/>
      <c r="J4760" s="6" t="n"/>
      <c r="K4760" s="6" t="n"/>
      <c r="L4760" s="7">
        <f>IF(OR(D4760="",N(J4760)=0),"",MIN(1,N(K4760)/J4760))</f>
        <v/>
      </c>
      <c r="M4760" s="5" t="n"/>
      <c r="N4760" s="5" t="n"/>
      <c r="O4760" s="5" t="n"/>
      <c r="P4760" s="5" t="n"/>
      <c r="Q4760" s="5" t="n"/>
      <c r="R4760" s="4" t="n"/>
      <c r="S4760" s="4" t="n"/>
      <c r="T4760" s="5" t="n"/>
      <c r="U4760" s="8">
        <f>IF(AND(V4760=1,D4760&lt;&gt;""),IF(D4760&gt;=corte,TODAY()-D4760,""),"")</f>
        <v/>
      </c>
      <c r="V4760" s="8">
        <f>IF(D4760="",0,IF(OR(AND(P4760&lt;&gt;"",S4760=""),AND(N(J4760)&gt;0,N(K4760)&lt;J4760),OR(M4760="PENDENTE",M4760="PARCIAL"),OR(N4760="PENDENTE",N4760="PARCIAL")),1,0))</f>
        <v/>
      </c>
      <c r="W4760" s="8">
        <f>IF(AND(V4760=1,D4760&lt;&gt;""),IF(D4760&gt;=corte,(B4760="CRÍTICO")*1E9+(100000-D4760)*10000+10000-ROW(),""),"")</f>
        <v/>
      </c>
      <c r="X4760" s="8">
        <f>IF(AND(V4760=1,D4760=pas_data,E4760=pas_turno),10000-ROW(),"")</f>
        <v/>
      </c>
    </row>
    <row r="4761">
      <c r="A4761" s="3">
        <f>IF(D4761="","","TT-"&amp;TEXT(ROW()-1,"00000"))</f>
        <v/>
      </c>
      <c r="B4761" s="3">
        <f>IF(D4761="","",IF(V4761=0,"CONCLUÍDO",IF(D4761&lt;corte,"HISTÓRICO",IF(OR(AND(ISNUMBER(R4761),R4761&lt;TODAY()),AND(OR(N4761="PENDENTE",N4761="PARCIAL"),D4761&lt;TODAY()-1)),"CRÍTICO",IF(OR(AND(P4761&lt;&gt;"",S4761=""),AND(N4761="REALIZADO",M4761="PENDENTE"),AND(ISNUMBER(R4761),R4761=TODAY())),"ATENÇÃO",IF(N(K4761)=0,"PENDENTE","EM ANDAMENTO"))))))</f>
        <v/>
      </c>
      <c r="C4761" s="3">
        <f>IF(D4761="","",IF(V4761=0,"🟢 OK",IF(D4761&lt;corte,"⚪ HISTÓRICO (sem baixa)",IF(AND(ISNUMBER(R4761),R4761&lt;TODAY()),"🔴 PRAZO VENCIDO",IF(AND(OR(N4761="PENDENTE",N4761="PARCIAL"),D4761&lt;TODAY()-1),"🔴 EMBARQUE ATRASADO",IF(AND(N4761="REALIZADO",M4761="PENDENTE"),"🟡 EMBARCADO SEM FATURAR",IF(AND(P4761&lt;&gt;"",S4761="",OR(Q4761="",R4761="")),"🟡 PENDÊNCIA SEM RESPONSÁVEL/PRAZO",IF(AND(ISNUMBER(R4761),R4761=TODAY()),"🟡 VENCE HOJE",IF(AND(P4761&lt;&gt;"",S4761=""),"🟡 PENDÊNCIA ABERTA",IF(AND(N(J4761)&gt;0,N(K4761)&lt;J4761),"🟡 FALTA EXECUTAR",IF(OR(M4761="PENDENTE",M4761="PARCIAL"),"🟡 FATURAMENTO PENDENTE","🟡 EMBARQUE PENDENTE")))))))))))</f>
        <v/>
      </c>
      <c r="D4761" s="4" t="n"/>
      <c r="E4761" s="5" t="n"/>
      <c r="F4761" s="5" t="n"/>
      <c r="G4761" s="5" t="n"/>
      <c r="H4761" s="5" t="n"/>
      <c r="I4761" s="5" t="n"/>
      <c r="J4761" s="6" t="n"/>
      <c r="K4761" s="6" t="n"/>
      <c r="L4761" s="7">
        <f>IF(OR(D4761="",N(J4761)=0),"",MIN(1,N(K4761)/J4761))</f>
        <v/>
      </c>
      <c r="M4761" s="5" t="n"/>
      <c r="N4761" s="5" t="n"/>
      <c r="O4761" s="5" t="n"/>
      <c r="P4761" s="5" t="n"/>
      <c r="Q4761" s="5" t="n"/>
      <c r="R4761" s="4" t="n"/>
      <c r="S4761" s="4" t="n"/>
      <c r="T4761" s="5" t="n"/>
      <c r="U4761" s="8">
        <f>IF(AND(V4761=1,D4761&lt;&gt;""),IF(D4761&gt;=corte,TODAY()-D4761,""),"")</f>
        <v/>
      </c>
      <c r="V4761" s="8">
        <f>IF(D4761="",0,IF(OR(AND(P4761&lt;&gt;"",S4761=""),AND(N(J4761)&gt;0,N(K4761)&lt;J4761),OR(M4761="PENDENTE",M4761="PARCIAL"),OR(N4761="PENDENTE",N4761="PARCIAL")),1,0))</f>
        <v/>
      </c>
      <c r="W4761" s="8">
        <f>IF(AND(V4761=1,D4761&lt;&gt;""),IF(D4761&gt;=corte,(B4761="CRÍTICO")*1E9+(100000-D4761)*10000+10000-ROW(),""),"")</f>
        <v/>
      </c>
      <c r="X4761" s="8">
        <f>IF(AND(V4761=1,D4761=pas_data,E4761=pas_turno),10000-ROW(),"")</f>
        <v/>
      </c>
    </row>
    <row r="4762">
      <c r="A4762" s="3">
        <f>IF(D4762="","","TT-"&amp;TEXT(ROW()-1,"00000"))</f>
        <v/>
      </c>
      <c r="B4762" s="3">
        <f>IF(D4762="","",IF(V4762=0,"CONCLUÍDO",IF(D4762&lt;corte,"HISTÓRICO",IF(OR(AND(ISNUMBER(R4762),R4762&lt;TODAY()),AND(OR(N4762="PENDENTE",N4762="PARCIAL"),D4762&lt;TODAY()-1)),"CRÍTICO",IF(OR(AND(P4762&lt;&gt;"",S4762=""),AND(N4762="REALIZADO",M4762="PENDENTE"),AND(ISNUMBER(R4762),R4762=TODAY())),"ATENÇÃO",IF(N(K4762)=0,"PENDENTE","EM ANDAMENTO"))))))</f>
        <v/>
      </c>
      <c r="C4762" s="3">
        <f>IF(D4762="","",IF(V4762=0,"🟢 OK",IF(D4762&lt;corte,"⚪ HISTÓRICO (sem baixa)",IF(AND(ISNUMBER(R4762),R4762&lt;TODAY()),"🔴 PRAZO VENCIDO",IF(AND(OR(N4762="PENDENTE",N4762="PARCIAL"),D4762&lt;TODAY()-1),"🔴 EMBARQUE ATRASADO",IF(AND(N4762="REALIZADO",M4762="PENDENTE"),"🟡 EMBARCADO SEM FATURAR",IF(AND(P4762&lt;&gt;"",S4762="",OR(Q4762="",R4762="")),"🟡 PENDÊNCIA SEM RESPONSÁVEL/PRAZO",IF(AND(ISNUMBER(R4762),R4762=TODAY()),"🟡 VENCE HOJE",IF(AND(P4762&lt;&gt;"",S4762=""),"🟡 PENDÊNCIA ABERTA",IF(AND(N(J4762)&gt;0,N(K4762)&lt;J4762),"🟡 FALTA EXECUTAR",IF(OR(M4762="PENDENTE",M4762="PARCIAL"),"🟡 FATURAMENTO PENDENTE","🟡 EMBARQUE PENDENTE")))))))))))</f>
        <v/>
      </c>
      <c r="D4762" s="4" t="n"/>
      <c r="E4762" s="5" t="n"/>
      <c r="F4762" s="5" t="n"/>
      <c r="G4762" s="5" t="n"/>
      <c r="H4762" s="5" t="n"/>
      <c r="I4762" s="5" t="n"/>
      <c r="J4762" s="6" t="n"/>
      <c r="K4762" s="6" t="n"/>
      <c r="L4762" s="7">
        <f>IF(OR(D4762="",N(J4762)=0),"",MIN(1,N(K4762)/J4762))</f>
        <v/>
      </c>
      <c r="M4762" s="5" t="n"/>
      <c r="N4762" s="5" t="n"/>
      <c r="O4762" s="5" t="n"/>
      <c r="P4762" s="5" t="n"/>
      <c r="Q4762" s="5" t="n"/>
      <c r="R4762" s="4" t="n"/>
      <c r="S4762" s="4" t="n"/>
      <c r="T4762" s="5" t="n"/>
      <c r="U4762" s="8">
        <f>IF(AND(V4762=1,D4762&lt;&gt;""),IF(D4762&gt;=corte,TODAY()-D4762,""),"")</f>
        <v/>
      </c>
      <c r="V4762" s="8">
        <f>IF(D4762="",0,IF(OR(AND(P4762&lt;&gt;"",S4762=""),AND(N(J4762)&gt;0,N(K4762)&lt;J4762),OR(M4762="PENDENTE",M4762="PARCIAL"),OR(N4762="PENDENTE",N4762="PARCIAL")),1,0))</f>
        <v/>
      </c>
      <c r="W4762" s="8">
        <f>IF(AND(V4762=1,D4762&lt;&gt;""),IF(D4762&gt;=corte,(B4762="CRÍTICO")*1E9+(100000-D4762)*10000+10000-ROW(),""),"")</f>
        <v/>
      </c>
      <c r="X4762" s="8">
        <f>IF(AND(V4762=1,D4762=pas_data,E4762=pas_turno),10000-ROW(),"")</f>
        <v/>
      </c>
    </row>
    <row r="4763">
      <c r="A4763" s="3">
        <f>IF(D4763="","","TT-"&amp;TEXT(ROW()-1,"00000"))</f>
        <v/>
      </c>
      <c r="B4763" s="3">
        <f>IF(D4763="","",IF(V4763=0,"CONCLUÍDO",IF(D4763&lt;corte,"HISTÓRICO",IF(OR(AND(ISNUMBER(R4763),R4763&lt;TODAY()),AND(OR(N4763="PENDENTE",N4763="PARCIAL"),D4763&lt;TODAY()-1)),"CRÍTICO",IF(OR(AND(P4763&lt;&gt;"",S4763=""),AND(N4763="REALIZADO",M4763="PENDENTE"),AND(ISNUMBER(R4763),R4763=TODAY())),"ATENÇÃO",IF(N(K4763)=0,"PENDENTE","EM ANDAMENTO"))))))</f>
        <v/>
      </c>
      <c r="C4763" s="3">
        <f>IF(D4763="","",IF(V4763=0,"🟢 OK",IF(D4763&lt;corte,"⚪ HISTÓRICO (sem baixa)",IF(AND(ISNUMBER(R4763),R4763&lt;TODAY()),"🔴 PRAZO VENCIDO",IF(AND(OR(N4763="PENDENTE",N4763="PARCIAL"),D4763&lt;TODAY()-1),"🔴 EMBARQUE ATRASADO",IF(AND(N4763="REALIZADO",M4763="PENDENTE"),"🟡 EMBARCADO SEM FATURAR",IF(AND(P4763&lt;&gt;"",S4763="",OR(Q4763="",R4763="")),"🟡 PENDÊNCIA SEM RESPONSÁVEL/PRAZO",IF(AND(ISNUMBER(R4763),R4763=TODAY()),"🟡 VENCE HOJE",IF(AND(P4763&lt;&gt;"",S4763=""),"🟡 PENDÊNCIA ABERTA",IF(AND(N(J4763)&gt;0,N(K4763)&lt;J4763),"🟡 FALTA EXECUTAR",IF(OR(M4763="PENDENTE",M4763="PARCIAL"),"🟡 FATURAMENTO PENDENTE","🟡 EMBARQUE PENDENTE")))))))))))</f>
        <v/>
      </c>
      <c r="D4763" s="4" t="n"/>
      <c r="E4763" s="5" t="n"/>
      <c r="F4763" s="5" t="n"/>
      <c r="G4763" s="5" t="n"/>
      <c r="H4763" s="5" t="n"/>
      <c r="I4763" s="5" t="n"/>
      <c r="J4763" s="6" t="n"/>
      <c r="K4763" s="6" t="n"/>
      <c r="L4763" s="7">
        <f>IF(OR(D4763="",N(J4763)=0),"",MIN(1,N(K4763)/J4763))</f>
        <v/>
      </c>
      <c r="M4763" s="5" t="n"/>
      <c r="N4763" s="5" t="n"/>
      <c r="O4763" s="5" t="n"/>
      <c r="P4763" s="5" t="n"/>
      <c r="Q4763" s="5" t="n"/>
      <c r="R4763" s="4" t="n"/>
      <c r="S4763" s="4" t="n"/>
      <c r="T4763" s="5" t="n"/>
      <c r="U4763" s="8">
        <f>IF(AND(V4763=1,D4763&lt;&gt;""),IF(D4763&gt;=corte,TODAY()-D4763,""),"")</f>
        <v/>
      </c>
      <c r="V4763" s="8">
        <f>IF(D4763="",0,IF(OR(AND(P4763&lt;&gt;"",S4763=""),AND(N(J4763)&gt;0,N(K4763)&lt;J4763),OR(M4763="PENDENTE",M4763="PARCIAL"),OR(N4763="PENDENTE",N4763="PARCIAL")),1,0))</f>
        <v/>
      </c>
      <c r="W4763" s="8">
        <f>IF(AND(V4763=1,D4763&lt;&gt;""),IF(D4763&gt;=corte,(B4763="CRÍTICO")*1E9+(100000-D4763)*10000+10000-ROW(),""),"")</f>
        <v/>
      </c>
      <c r="X4763" s="8">
        <f>IF(AND(V4763=1,D4763=pas_data,E4763=pas_turno),10000-ROW(),"")</f>
        <v/>
      </c>
    </row>
    <row r="4764">
      <c r="A4764" s="3">
        <f>IF(D4764="","","TT-"&amp;TEXT(ROW()-1,"00000"))</f>
        <v/>
      </c>
      <c r="B4764" s="3">
        <f>IF(D4764="","",IF(V4764=0,"CONCLUÍDO",IF(D4764&lt;corte,"HISTÓRICO",IF(OR(AND(ISNUMBER(R4764),R4764&lt;TODAY()),AND(OR(N4764="PENDENTE",N4764="PARCIAL"),D4764&lt;TODAY()-1)),"CRÍTICO",IF(OR(AND(P4764&lt;&gt;"",S4764=""),AND(N4764="REALIZADO",M4764="PENDENTE"),AND(ISNUMBER(R4764),R4764=TODAY())),"ATENÇÃO",IF(N(K4764)=0,"PENDENTE","EM ANDAMENTO"))))))</f>
        <v/>
      </c>
      <c r="C4764" s="3">
        <f>IF(D4764="","",IF(V4764=0,"🟢 OK",IF(D4764&lt;corte,"⚪ HISTÓRICO (sem baixa)",IF(AND(ISNUMBER(R4764),R4764&lt;TODAY()),"🔴 PRAZO VENCIDO",IF(AND(OR(N4764="PENDENTE",N4764="PARCIAL"),D4764&lt;TODAY()-1),"🔴 EMBARQUE ATRASADO",IF(AND(N4764="REALIZADO",M4764="PENDENTE"),"🟡 EMBARCADO SEM FATURAR",IF(AND(P4764&lt;&gt;"",S4764="",OR(Q4764="",R4764="")),"🟡 PENDÊNCIA SEM RESPONSÁVEL/PRAZO",IF(AND(ISNUMBER(R4764),R4764=TODAY()),"🟡 VENCE HOJE",IF(AND(P4764&lt;&gt;"",S4764=""),"🟡 PENDÊNCIA ABERTA",IF(AND(N(J4764)&gt;0,N(K4764)&lt;J4764),"🟡 FALTA EXECUTAR",IF(OR(M4764="PENDENTE",M4764="PARCIAL"),"🟡 FATURAMENTO PENDENTE","🟡 EMBARQUE PENDENTE")))))))))))</f>
        <v/>
      </c>
      <c r="D4764" s="4" t="n"/>
      <c r="E4764" s="5" t="n"/>
      <c r="F4764" s="5" t="n"/>
      <c r="G4764" s="5" t="n"/>
      <c r="H4764" s="5" t="n"/>
      <c r="I4764" s="5" t="n"/>
      <c r="J4764" s="6" t="n"/>
      <c r="K4764" s="6" t="n"/>
      <c r="L4764" s="7">
        <f>IF(OR(D4764="",N(J4764)=0),"",MIN(1,N(K4764)/J4764))</f>
        <v/>
      </c>
      <c r="M4764" s="5" t="n"/>
      <c r="N4764" s="5" t="n"/>
      <c r="O4764" s="5" t="n"/>
      <c r="P4764" s="5" t="n"/>
      <c r="Q4764" s="5" t="n"/>
      <c r="R4764" s="4" t="n"/>
      <c r="S4764" s="4" t="n"/>
      <c r="T4764" s="5" t="n"/>
      <c r="U4764" s="8">
        <f>IF(AND(V4764=1,D4764&lt;&gt;""),IF(D4764&gt;=corte,TODAY()-D4764,""),"")</f>
        <v/>
      </c>
      <c r="V4764" s="8">
        <f>IF(D4764="",0,IF(OR(AND(P4764&lt;&gt;"",S4764=""),AND(N(J4764)&gt;0,N(K4764)&lt;J4764),OR(M4764="PENDENTE",M4764="PARCIAL"),OR(N4764="PENDENTE",N4764="PARCIAL")),1,0))</f>
        <v/>
      </c>
      <c r="W4764" s="8">
        <f>IF(AND(V4764=1,D4764&lt;&gt;""),IF(D4764&gt;=corte,(B4764="CRÍTICO")*1E9+(100000-D4764)*10000+10000-ROW(),""),"")</f>
        <v/>
      </c>
      <c r="X4764" s="8">
        <f>IF(AND(V4764=1,D4764=pas_data,E4764=pas_turno),10000-ROW(),"")</f>
        <v/>
      </c>
    </row>
    <row r="4765">
      <c r="A4765" s="3">
        <f>IF(D4765="","","TT-"&amp;TEXT(ROW()-1,"00000"))</f>
        <v/>
      </c>
      <c r="B4765" s="3">
        <f>IF(D4765="","",IF(V4765=0,"CONCLUÍDO",IF(D4765&lt;corte,"HISTÓRICO",IF(OR(AND(ISNUMBER(R4765),R4765&lt;TODAY()),AND(OR(N4765="PENDENTE",N4765="PARCIAL"),D4765&lt;TODAY()-1)),"CRÍTICO",IF(OR(AND(P4765&lt;&gt;"",S4765=""),AND(N4765="REALIZADO",M4765="PENDENTE"),AND(ISNUMBER(R4765),R4765=TODAY())),"ATENÇÃO",IF(N(K4765)=0,"PENDENTE","EM ANDAMENTO"))))))</f>
        <v/>
      </c>
      <c r="C4765" s="3">
        <f>IF(D4765="","",IF(V4765=0,"🟢 OK",IF(D4765&lt;corte,"⚪ HISTÓRICO (sem baixa)",IF(AND(ISNUMBER(R4765),R4765&lt;TODAY()),"🔴 PRAZO VENCIDO",IF(AND(OR(N4765="PENDENTE",N4765="PARCIAL"),D4765&lt;TODAY()-1),"🔴 EMBARQUE ATRASADO",IF(AND(N4765="REALIZADO",M4765="PENDENTE"),"🟡 EMBARCADO SEM FATURAR",IF(AND(P4765&lt;&gt;"",S4765="",OR(Q4765="",R4765="")),"🟡 PENDÊNCIA SEM RESPONSÁVEL/PRAZO",IF(AND(ISNUMBER(R4765),R4765=TODAY()),"🟡 VENCE HOJE",IF(AND(P4765&lt;&gt;"",S4765=""),"🟡 PENDÊNCIA ABERTA",IF(AND(N(J4765)&gt;0,N(K4765)&lt;J4765),"🟡 FALTA EXECUTAR",IF(OR(M4765="PENDENTE",M4765="PARCIAL"),"🟡 FATURAMENTO PENDENTE","🟡 EMBARQUE PENDENTE")))))))))))</f>
        <v/>
      </c>
      <c r="D4765" s="4" t="n"/>
      <c r="E4765" s="5" t="n"/>
      <c r="F4765" s="5" t="n"/>
      <c r="G4765" s="5" t="n"/>
      <c r="H4765" s="5" t="n"/>
      <c r="I4765" s="5" t="n"/>
      <c r="J4765" s="6" t="n"/>
      <c r="K4765" s="6" t="n"/>
      <c r="L4765" s="7">
        <f>IF(OR(D4765="",N(J4765)=0),"",MIN(1,N(K4765)/J4765))</f>
        <v/>
      </c>
      <c r="M4765" s="5" t="n"/>
      <c r="N4765" s="5" t="n"/>
      <c r="O4765" s="5" t="n"/>
      <c r="P4765" s="5" t="n"/>
      <c r="Q4765" s="5" t="n"/>
      <c r="R4765" s="4" t="n"/>
      <c r="S4765" s="4" t="n"/>
      <c r="T4765" s="5" t="n"/>
      <c r="U4765" s="8">
        <f>IF(AND(V4765=1,D4765&lt;&gt;""),IF(D4765&gt;=corte,TODAY()-D4765,""),"")</f>
        <v/>
      </c>
      <c r="V4765" s="8">
        <f>IF(D4765="",0,IF(OR(AND(P4765&lt;&gt;"",S4765=""),AND(N(J4765)&gt;0,N(K4765)&lt;J4765),OR(M4765="PENDENTE",M4765="PARCIAL"),OR(N4765="PENDENTE",N4765="PARCIAL")),1,0))</f>
        <v/>
      </c>
      <c r="W4765" s="8">
        <f>IF(AND(V4765=1,D4765&lt;&gt;""),IF(D4765&gt;=corte,(B4765="CRÍTICO")*1E9+(100000-D4765)*10000+10000-ROW(),""),"")</f>
        <v/>
      </c>
      <c r="X4765" s="8">
        <f>IF(AND(V4765=1,D4765=pas_data,E4765=pas_turno),10000-ROW(),"")</f>
        <v/>
      </c>
    </row>
    <row r="4766">
      <c r="A4766" s="3">
        <f>IF(D4766="","","TT-"&amp;TEXT(ROW()-1,"00000"))</f>
        <v/>
      </c>
      <c r="B4766" s="3">
        <f>IF(D4766="","",IF(V4766=0,"CONCLUÍDO",IF(D4766&lt;corte,"HISTÓRICO",IF(OR(AND(ISNUMBER(R4766),R4766&lt;TODAY()),AND(OR(N4766="PENDENTE",N4766="PARCIAL"),D4766&lt;TODAY()-1)),"CRÍTICO",IF(OR(AND(P4766&lt;&gt;"",S4766=""),AND(N4766="REALIZADO",M4766="PENDENTE"),AND(ISNUMBER(R4766),R4766=TODAY())),"ATENÇÃO",IF(N(K4766)=0,"PENDENTE","EM ANDAMENTO"))))))</f>
        <v/>
      </c>
      <c r="C4766" s="3">
        <f>IF(D4766="","",IF(V4766=0,"🟢 OK",IF(D4766&lt;corte,"⚪ HISTÓRICO (sem baixa)",IF(AND(ISNUMBER(R4766),R4766&lt;TODAY()),"🔴 PRAZO VENCIDO",IF(AND(OR(N4766="PENDENTE",N4766="PARCIAL"),D4766&lt;TODAY()-1),"🔴 EMBARQUE ATRASADO",IF(AND(N4766="REALIZADO",M4766="PENDENTE"),"🟡 EMBARCADO SEM FATURAR",IF(AND(P4766&lt;&gt;"",S4766="",OR(Q4766="",R4766="")),"🟡 PENDÊNCIA SEM RESPONSÁVEL/PRAZO",IF(AND(ISNUMBER(R4766),R4766=TODAY()),"🟡 VENCE HOJE",IF(AND(P4766&lt;&gt;"",S4766=""),"🟡 PENDÊNCIA ABERTA",IF(AND(N(J4766)&gt;0,N(K4766)&lt;J4766),"🟡 FALTA EXECUTAR",IF(OR(M4766="PENDENTE",M4766="PARCIAL"),"🟡 FATURAMENTO PENDENTE","🟡 EMBARQUE PENDENTE")))))))))))</f>
        <v/>
      </c>
      <c r="D4766" s="4" t="n"/>
      <c r="E4766" s="5" t="n"/>
      <c r="F4766" s="5" t="n"/>
      <c r="G4766" s="5" t="n"/>
      <c r="H4766" s="5" t="n"/>
      <c r="I4766" s="5" t="n"/>
      <c r="J4766" s="6" t="n"/>
      <c r="K4766" s="6" t="n"/>
      <c r="L4766" s="7">
        <f>IF(OR(D4766="",N(J4766)=0),"",MIN(1,N(K4766)/J4766))</f>
        <v/>
      </c>
      <c r="M4766" s="5" t="n"/>
      <c r="N4766" s="5" t="n"/>
      <c r="O4766" s="5" t="n"/>
      <c r="P4766" s="5" t="n"/>
      <c r="Q4766" s="5" t="n"/>
      <c r="R4766" s="4" t="n"/>
      <c r="S4766" s="4" t="n"/>
      <c r="T4766" s="5" t="n"/>
      <c r="U4766" s="8">
        <f>IF(AND(V4766=1,D4766&lt;&gt;""),IF(D4766&gt;=corte,TODAY()-D4766,""),"")</f>
        <v/>
      </c>
      <c r="V4766" s="8">
        <f>IF(D4766="",0,IF(OR(AND(P4766&lt;&gt;"",S4766=""),AND(N(J4766)&gt;0,N(K4766)&lt;J4766),OR(M4766="PENDENTE",M4766="PARCIAL"),OR(N4766="PENDENTE",N4766="PARCIAL")),1,0))</f>
        <v/>
      </c>
      <c r="W4766" s="8">
        <f>IF(AND(V4766=1,D4766&lt;&gt;""),IF(D4766&gt;=corte,(B4766="CRÍTICO")*1E9+(100000-D4766)*10000+10000-ROW(),""),"")</f>
        <v/>
      </c>
      <c r="X4766" s="8">
        <f>IF(AND(V4766=1,D4766=pas_data,E4766=pas_turno),10000-ROW(),"")</f>
        <v/>
      </c>
    </row>
    <row r="4767">
      <c r="A4767" s="3">
        <f>IF(D4767="","","TT-"&amp;TEXT(ROW()-1,"00000"))</f>
        <v/>
      </c>
      <c r="B4767" s="3">
        <f>IF(D4767="","",IF(V4767=0,"CONCLUÍDO",IF(D4767&lt;corte,"HISTÓRICO",IF(OR(AND(ISNUMBER(R4767),R4767&lt;TODAY()),AND(OR(N4767="PENDENTE",N4767="PARCIAL"),D4767&lt;TODAY()-1)),"CRÍTICO",IF(OR(AND(P4767&lt;&gt;"",S4767=""),AND(N4767="REALIZADO",M4767="PENDENTE"),AND(ISNUMBER(R4767),R4767=TODAY())),"ATENÇÃO",IF(N(K4767)=0,"PENDENTE","EM ANDAMENTO"))))))</f>
        <v/>
      </c>
      <c r="C4767" s="3">
        <f>IF(D4767="","",IF(V4767=0,"🟢 OK",IF(D4767&lt;corte,"⚪ HISTÓRICO (sem baixa)",IF(AND(ISNUMBER(R4767),R4767&lt;TODAY()),"🔴 PRAZO VENCIDO",IF(AND(OR(N4767="PENDENTE",N4767="PARCIAL"),D4767&lt;TODAY()-1),"🔴 EMBARQUE ATRASADO",IF(AND(N4767="REALIZADO",M4767="PENDENTE"),"🟡 EMBARCADO SEM FATURAR",IF(AND(P4767&lt;&gt;"",S4767="",OR(Q4767="",R4767="")),"🟡 PENDÊNCIA SEM RESPONSÁVEL/PRAZO",IF(AND(ISNUMBER(R4767),R4767=TODAY()),"🟡 VENCE HOJE",IF(AND(P4767&lt;&gt;"",S4767=""),"🟡 PENDÊNCIA ABERTA",IF(AND(N(J4767)&gt;0,N(K4767)&lt;J4767),"🟡 FALTA EXECUTAR",IF(OR(M4767="PENDENTE",M4767="PARCIAL"),"🟡 FATURAMENTO PENDENTE","🟡 EMBARQUE PENDENTE")))))))))))</f>
        <v/>
      </c>
      <c r="D4767" s="4" t="n"/>
      <c r="E4767" s="5" t="n"/>
      <c r="F4767" s="5" t="n"/>
      <c r="G4767" s="5" t="n"/>
      <c r="H4767" s="5" t="n"/>
      <c r="I4767" s="5" t="n"/>
      <c r="J4767" s="6" t="n"/>
      <c r="K4767" s="6" t="n"/>
      <c r="L4767" s="7">
        <f>IF(OR(D4767="",N(J4767)=0),"",MIN(1,N(K4767)/J4767))</f>
        <v/>
      </c>
      <c r="M4767" s="5" t="n"/>
      <c r="N4767" s="5" t="n"/>
      <c r="O4767" s="5" t="n"/>
      <c r="P4767" s="5" t="n"/>
      <c r="Q4767" s="5" t="n"/>
      <c r="R4767" s="4" t="n"/>
      <c r="S4767" s="4" t="n"/>
      <c r="T4767" s="5" t="n"/>
      <c r="U4767" s="8">
        <f>IF(AND(V4767=1,D4767&lt;&gt;""),IF(D4767&gt;=corte,TODAY()-D4767,""),"")</f>
        <v/>
      </c>
      <c r="V4767" s="8">
        <f>IF(D4767="",0,IF(OR(AND(P4767&lt;&gt;"",S4767=""),AND(N(J4767)&gt;0,N(K4767)&lt;J4767),OR(M4767="PENDENTE",M4767="PARCIAL"),OR(N4767="PENDENTE",N4767="PARCIAL")),1,0))</f>
        <v/>
      </c>
      <c r="W4767" s="8">
        <f>IF(AND(V4767=1,D4767&lt;&gt;""),IF(D4767&gt;=corte,(B4767="CRÍTICO")*1E9+(100000-D4767)*10000+10000-ROW(),""),"")</f>
        <v/>
      </c>
      <c r="X4767" s="8">
        <f>IF(AND(V4767=1,D4767=pas_data,E4767=pas_turno),10000-ROW(),"")</f>
        <v/>
      </c>
    </row>
    <row r="4768">
      <c r="A4768" s="3">
        <f>IF(D4768="","","TT-"&amp;TEXT(ROW()-1,"00000"))</f>
        <v/>
      </c>
      <c r="B4768" s="3">
        <f>IF(D4768="","",IF(V4768=0,"CONCLUÍDO",IF(D4768&lt;corte,"HISTÓRICO",IF(OR(AND(ISNUMBER(R4768),R4768&lt;TODAY()),AND(OR(N4768="PENDENTE",N4768="PARCIAL"),D4768&lt;TODAY()-1)),"CRÍTICO",IF(OR(AND(P4768&lt;&gt;"",S4768=""),AND(N4768="REALIZADO",M4768="PENDENTE"),AND(ISNUMBER(R4768),R4768=TODAY())),"ATENÇÃO",IF(N(K4768)=0,"PENDENTE","EM ANDAMENTO"))))))</f>
        <v/>
      </c>
      <c r="C4768" s="3">
        <f>IF(D4768="","",IF(V4768=0,"🟢 OK",IF(D4768&lt;corte,"⚪ HISTÓRICO (sem baixa)",IF(AND(ISNUMBER(R4768),R4768&lt;TODAY()),"🔴 PRAZO VENCIDO",IF(AND(OR(N4768="PENDENTE",N4768="PARCIAL"),D4768&lt;TODAY()-1),"🔴 EMBARQUE ATRASADO",IF(AND(N4768="REALIZADO",M4768="PENDENTE"),"🟡 EMBARCADO SEM FATURAR",IF(AND(P4768&lt;&gt;"",S4768="",OR(Q4768="",R4768="")),"🟡 PENDÊNCIA SEM RESPONSÁVEL/PRAZO",IF(AND(ISNUMBER(R4768),R4768=TODAY()),"🟡 VENCE HOJE",IF(AND(P4768&lt;&gt;"",S4768=""),"🟡 PENDÊNCIA ABERTA",IF(AND(N(J4768)&gt;0,N(K4768)&lt;J4768),"🟡 FALTA EXECUTAR",IF(OR(M4768="PENDENTE",M4768="PARCIAL"),"🟡 FATURAMENTO PENDENTE","🟡 EMBARQUE PENDENTE")))))))))))</f>
        <v/>
      </c>
      <c r="D4768" s="4" t="n"/>
      <c r="E4768" s="5" t="n"/>
      <c r="F4768" s="5" t="n"/>
      <c r="G4768" s="5" t="n"/>
      <c r="H4768" s="5" t="n"/>
      <c r="I4768" s="5" t="n"/>
      <c r="J4768" s="6" t="n"/>
      <c r="K4768" s="6" t="n"/>
      <c r="L4768" s="7">
        <f>IF(OR(D4768="",N(J4768)=0),"",MIN(1,N(K4768)/J4768))</f>
        <v/>
      </c>
      <c r="M4768" s="5" t="n"/>
      <c r="N4768" s="5" t="n"/>
      <c r="O4768" s="5" t="n"/>
      <c r="P4768" s="5" t="n"/>
      <c r="Q4768" s="5" t="n"/>
      <c r="R4768" s="4" t="n"/>
      <c r="S4768" s="4" t="n"/>
      <c r="T4768" s="5" t="n"/>
      <c r="U4768" s="8">
        <f>IF(AND(V4768=1,D4768&lt;&gt;""),IF(D4768&gt;=corte,TODAY()-D4768,""),"")</f>
        <v/>
      </c>
      <c r="V4768" s="8">
        <f>IF(D4768="",0,IF(OR(AND(P4768&lt;&gt;"",S4768=""),AND(N(J4768)&gt;0,N(K4768)&lt;J4768),OR(M4768="PENDENTE",M4768="PARCIAL"),OR(N4768="PENDENTE",N4768="PARCIAL")),1,0))</f>
        <v/>
      </c>
      <c r="W4768" s="8">
        <f>IF(AND(V4768=1,D4768&lt;&gt;""),IF(D4768&gt;=corte,(B4768="CRÍTICO")*1E9+(100000-D4768)*10000+10000-ROW(),""),"")</f>
        <v/>
      </c>
      <c r="X4768" s="8">
        <f>IF(AND(V4768=1,D4768=pas_data,E4768=pas_turno),10000-ROW(),"")</f>
        <v/>
      </c>
    </row>
    <row r="4769">
      <c r="A4769" s="3">
        <f>IF(D4769="","","TT-"&amp;TEXT(ROW()-1,"00000"))</f>
        <v/>
      </c>
      <c r="B4769" s="3">
        <f>IF(D4769="","",IF(V4769=0,"CONCLUÍDO",IF(D4769&lt;corte,"HISTÓRICO",IF(OR(AND(ISNUMBER(R4769),R4769&lt;TODAY()),AND(OR(N4769="PENDENTE",N4769="PARCIAL"),D4769&lt;TODAY()-1)),"CRÍTICO",IF(OR(AND(P4769&lt;&gt;"",S4769=""),AND(N4769="REALIZADO",M4769="PENDENTE"),AND(ISNUMBER(R4769),R4769=TODAY())),"ATENÇÃO",IF(N(K4769)=0,"PENDENTE","EM ANDAMENTO"))))))</f>
        <v/>
      </c>
      <c r="C4769" s="3">
        <f>IF(D4769="","",IF(V4769=0,"🟢 OK",IF(D4769&lt;corte,"⚪ HISTÓRICO (sem baixa)",IF(AND(ISNUMBER(R4769),R4769&lt;TODAY()),"🔴 PRAZO VENCIDO",IF(AND(OR(N4769="PENDENTE",N4769="PARCIAL"),D4769&lt;TODAY()-1),"🔴 EMBARQUE ATRASADO",IF(AND(N4769="REALIZADO",M4769="PENDENTE"),"🟡 EMBARCADO SEM FATURAR",IF(AND(P4769&lt;&gt;"",S4769="",OR(Q4769="",R4769="")),"🟡 PENDÊNCIA SEM RESPONSÁVEL/PRAZO",IF(AND(ISNUMBER(R4769),R4769=TODAY()),"🟡 VENCE HOJE",IF(AND(P4769&lt;&gt;"",S4769=""),"🟡 PENDÊNCIA ABERTA",IF(AND(N(J4769)&gt;0,N(K4769)&lt;J4769),"🟡 FALTA EXECUTAR",IF(OR(M4769="PENDENTE",M4769="PARCIAL"),"🟡 FATURAMENTO PENDENTE","🟡 EMBARQUE PENDENTE")))))))))))</f>
        <v/>
      </c>
      <c r="D4769" s="4" t="n"/>
      <c r="E4769" s="5" t="n"/>
      <c r="F4769" s="5" t="n"/>
      <c r="G4769" s="5" t="n"/>
      <c r="H4769" s="5" t="n"/>
      <c r="I4769" s="5" t="n"/>
      <c r="J4769" s="6" t="n"/>
      <c r="K4769" s="6" t="n"/>
      <c r="L4769" s="7">
        <f>IF(OR(D4769="",N(J4769)=0),"",MIN(1,N(K4769)/J4769))</f>
        <v/>
      </c>
      <c r="M4769" s="5" t="n"/>
      <c r="N4769" s="5" t="n"/>
      <c r="O4769" s="5" t="n"/>
      <c r="P4769" s="5" t="n"/>
      <c r="Q4769" s="5" t="n"/>
      <c r="R4769" s="4" t="n"/>
      <c r="S4769" s="4" t="n"/>
      <c r="T4769" s="5" t="n"/>
      <c r="U4769" s="8">
        <f>IF(AND(V4769=1,D4769&lt;&gt;""),IF(D4769&gt;=corte,TODAY()-D4769,""),"")</f>
        <v/>
      </c>
      <c r="V4769" s="8">
        <f>IF(D4769="",0,IF(OR(AND(P4769&lt;&gt;"",S4769=""),AND(N(J4769)&gt;0,N(K4769)&lt;J4769),OR(M4769="PENDENTE",M4769="PARCIAL"),OR(N4769="PENDENTE",N4769="PARCIAL")),1,0))</f>
        <v/>
      </c>
      <c r="W4769" s="8">
        <f>IF(AND(V4769=1,D4769&lt;&gt;""),IF(D4769&gt;=corte,(B4769="CRÍTICO")*1E9+(100000-D4769)*10000+10000-ROW(),""),"")</f>
        <v/>
      </c>
      <c r="X4769" s="8">
        <f>IF(AND(V4769=1,D4769=pas_data,E4769=pas_turno),10000-ROW(),"")</f>
        <v/>
      </c>
    </row>
    <row r="4770">
      <c r="A4770" s="3">
        <f>IF(D4770="","","TT-"&amp;TEXT(ROW()-1,"00000"))</f>
        <v/>
      </c>
      <c r="B4770" s="3">
        <f>IF(D4770="","",IF(V4770=0,"CONCLUÍDO",IF(D4770&lt;corte,"HISTÓRICO",IF(OR(AND(ISNUMBER(R4770),R4770&lt;TODAY()),AND(OR(N4770="PENDENTE",N4770="PARCIAL"),D4770&lt;TODAY()-1)),"CRÍTICO",IF(OR(AND(P4770&lt;&gt;"",S4770=""),AND(N4770="REALIZADO",M4770="PENDENTE"),AND(ISNUMBER(R4770),R4770=TODAY())),"ATENÇÃO",IF(N(K4770)=0,"PENDENTE","EM ANDAMENTO"))))))</f>
        <v/>
      </c>
      <c r="C4770" s="3">
        <f>IF(D4770="","",IF(V4770=0,"🟢 OK",IF(D4770&lt;corte,"⚪ HISTÓRICO (sem baixa)",IF(AND(ISNUMBER(R4770),R4770&lt;TODAY()),"🔴 PRAZO VENCIDO",IF(AND(OR(N4770="PENDENTE",N4770="PARCIAL"),D4770&lt;TODAY()-1),"🔴 EMBARQUE ATRASADO",IF(AND(N4770="REALIZADO",M4770="PENDENTE"),"🟡 EMBARCADO SEM FATURAR",IF(AND(P4770&lt;&gt;"",S4770="",OR(Q4770="",R4770="")),"🟡 PENDÊNCIA SEM RESPONSÁVEL/PRAZO",IF(AND(ISNUMBER(R4770),R4770=TODAY()),"🟡 VENCE HOJE",IF(AND(P4770&lt;&gt;"",S4770=""),"🟡 PENDÊNCIA ABERTA",IF(AND(N(J4770)&gt;0,N(K4770)&lt;J4770),"🟡 FALTA EXECUTAR",IF(OR(M4770="PENDENTE",M4770="PARCIAL"),"🟡 FATURAMENTO PENDENTE","🟡 EMBARQUE PENDENTE")))))))))))</f>
        <v/>
      </c>
      <c r="D4770" s="4" t="n"/>
      <c r="E4770" s="5" t="n"/>
      <c r="F4770" s="5" t="n"/>
      <c r="G4770" s="5" t="n"/>
      <c r="H4770" s="5" t="n"/>
      <c r="I4770" s="5" t="n"/>
      <c r="J4770" s="6" t="n"/>
      <c r="K4770" s="6" t="n"/>
      <c r="L4770" s="7">
        <f>IF(OR(D4770="",N(J4770)=0),"",MIN(1,N(K4770)/J4770))</f>
        <v/>
      </c>
      <c r="M4770" s="5" t="n"/>
      <c r="N4770" s="5" t="n"/>
      <c r="O4770" s="5" t="n"/>
      <c r="P4770" s="5" t="n"/>
      <c r="Q4770" s="5" t="n"/>
      <c r="R4770" s="4" t="n"/>
      <c r="S4770" s="4" t="n"/>
      <c r="T4770" s="5" t="n"/>
      <c r="U4770" s="8">
        <f>IF(AND(V4770=1,D4770&lt;&gt;""),IF(D4770&gt;=corte,TODAY()-D4770,""),"")</f>
        <v/>
      </c>
      <c r="V4770" s="8">
        <f>IF(D4770="",0,IF(OR(AND(P4770&lt;&gt;"",S4770=""),AND(N(J4770)&gt;0,N(K4770)&lt;J4770),OR(M4770="PENDENTE",M4770="PARCIAL"),OR(N4770="PENDENTE",N4770="PARCIAL")),1,0))</f>
        <v/>
      </c>
      <c r="W4770" s="8">
        <f>IF(AND(V4770=1,D4770&lt;&gt;""),IF(D4770&gt;=corte,(B4770="CRÍTICO")*1E9+(100000-D4770)*10000+10000-ROW(),""),"")</f>
        <v/>
      </c>
      <c r="X4770" s="8">
        <f>IF(AND(V4770=1,D4770=pas_data,E4770=pas_turno),10000-ROW(),"")</f>
        <v/>
      </c>
    </row>
    <row r="4771">
      <c r="A4771" s="3">
        <f>IF(D4771="","","TT-"&amp;TEXT(ROW()-1,"00000"))</f>
        <v/>
      </c>
      <c r="B4771" s="3">
        <f>IF(D4771="","",IF(V4771=0,"CONCLUÍDO",IF(D4771&lt;corte,"HISTÓRICO",IF(OR(AND(ISNUMBER(R4771),R4771&lt;TODAY()),AND(OR(N4771="PENDENTE",N4771="PARCIAL"),D4771&lt;TODAY()-1)),"CRÍTICO",IF(OR(AND(P4771&lt;&gt;"",S4771=""),AND(N4771="REALIZADO",M4771="PENDENTE"),AND(ISNUMBER(R4771),R4771=TODAY())),"ATENÇÃO",IF(N(K4771)=0,"PENDENTE","EM ANDAMENTO"))))))</f>
        <v/>
      </c>
      <c r="C4771" s="3">
        <f>IF(D4771="","",IF(V4771=0,"🟢 OK",IF(D4771&lt;corte,"⚪ HISTÓRICO (sem baixa)",IF(AND(ISNUMBER(R4771),R4771&lt;TODAY()),"🔴 PRAZO VENCIDO",IF(AND(OR(N4771="PENDENTE",N4771="PARCIAL"),D4771&lt;TODAY()-1),"🔴 EMBARQUE ATRASADO",IF(AND(N4771="REALIZADO",M4771="PENDENTE"),"🟡 EMBARCADO SEM FATURAR",IF(AND(P4771&lt;&gt;"",S4771="",OR(Q4771="",R4771="")),"🟡 PENDÊNCIA SEM RESPONSÁVEL/PRAZO",IF(AND(ISNUMBER(R4771),R4771=TODAY()),"🟡 VENCE HOJE",IF(AND(P4771&lt;&gt;"",S4771=""),"🟡 PENDÊNCIA ABERTA",IF(AND(N(J4771)&gt;0,N(K4771)&lt;J4771),"🟡 FALTA EXECUTAR",IF(OR(M4771="PENDENTE",M4771="PARCIAL"),"🟡 FATURAMENTO PENDENTE","🟡 EMBARQUE PENDENTE")))))))))))</f>
        <v/>
      </c>
      <c r="D4771" s="4" t="n"/>
      <c r="E4771" s="5" t="n"/>
      <c r="F4771" s="5" t="n"/>
      <c r="G4771" s="5" t="n"/>
      <c r="H4771" s="5" t="n"/>
      <c r="I4771" s="5" t="n"/>
      <c r="J4771" s="6" t="n"/>
      <c r="K4771" s="6" t="n"/>
      <c r="L4771" s="7">
        <f>IF(OR(D4771="",N(J4771)=0),"",MIN(1,N(K4771)/J4771))</f>
        <v/>
      </c>
      <c r="M4771" s="5" t="n"/>
      <c r="N4771" s="5" t="n"/>
      <c r="O4771" s="5" t="n"/>
      <c r="P4771" s="5" t="n"/>
      <c r="Q4771" s="5" t="n"/>
      <c r="R4771" s="4" t="n"/>
      <c r="S4771" s="4" t="n"/>
      <c r="T4771" s="5" t="n"/>
      <c r="U4771" s="8">
        <f>IF(AND(V4771=1,D4771&lt;&gt;""),IF(D4771&gt;=corte,TODAY()-D4771,""),"")</f>
        <v/>
      </c>
      <c r="V4771" s="8">
        <f>IF(D4771="",0,IF(OR(AND(P4771&lt;&gt;"",S4771=""),AND(N(J4771)&gt;0,N(K4771)&lt;J4771),OR(M4771="PENDENTE",M4771="PARCIAL"),OR(N4771="PENDENTE",N4771="PARCIAL")),1,0))</f>
        <v/>
      </c>
      <c r="W4771" s="8">
        <f>IF(AND(V4771=1,D4771&lt;&gt;""),IF(D4771&gt;=corte,(B4771="CRÍTICO")*1E9+(100000-D4771)*10000+10000-ROW(),""),"")</f>
        <v/>
      </c>
      <c r="X4771" s="8">
        <f>IF(AND(V4771=1,D4771=pas_data,E4771=pas_turno),10000-ROW(),"")</f>
        <v/>
      </c>
    </row>
    <row r="4772">
      <c r="A4772" s="3">
        <f>IF(D4772="","","TT-"&amp;TEXT(ROW()-1,"00000"))</f>
        <v/>
      </c>
      <c r="B4772" s="3">
        <f>IF(D4772="","",IF(V4772=0,"CONCLUÍDO",IF(D4772&lt;corte,"HISTÓRICO",IF(OR(AND(ISNUMBER(R4772),R4772&lt;TODAY()),AND(OR(N4772="PENDENTE",N4772="PARCIAL"),D4772&lt;TODAY()-1)),"CRÍTICO",IF(OR(AND(P4772&lt;&gt;"",S4772=""),AND(N4772="REALIZADO",M4772="PENDENTE"),AND(ISNUMBER(R4772),R4772=TODAY())),"ATENÇÃO",IF(N(K4772)=0,"PENDENTE","EM ANDAMENTO"))))))</f>
        <v/>
      </c>
      <c r="C4772" s="3">
        <f>IF(D4772="","",IF(V4772=0,"🟢 OK",IF(D4772&lt;corte,"⚪ HISTÓRICO (sem baixa)",IF(AND(ISNUMBER(R4772),R4772&lt;TODAY()),"🔴 PRAZO VENCIDO",IF(AND(OR(N4772="PENDENTE",N4772="PARCIAL"),D4772&lt;TODAY()-1),"🔴 EMBARQUE ATRASADO",IF(AND(N4772="REALIZADO",M4772="PENDENTE"),"🟡 EMBARCADO SEM FATURAR",IF(AND(P4772&lt;&gt;"",S4772="",OR(Q4772="",R4772="")),"🟡 PENDÊNCIA SEM RESPONSÁVEL/PRAZO",IF(AND(ISNUMBER(R4772),R4772=TODAY()),"🟡 VENCE HOJE",IF(AND(P4772&lt;&gt;"",S4772=""),"🟡 PENDÊNCIA ABERTA",IF(AND(N(J4772)&gt;0,N(K4772)&lt;J4772),"🟡 FALTA EXECUTAR",IF(OR(M4772="PENDENTE",M4772="PARCIAL"),"🟡 FATURAMENTO PENDENTE","🟡 EMBARQUE PENDENTE")))))))))))</f>
        <v/>
      </c>
      <c r="D4772" s="4" t="n"/>
      <c r="E4772" s="5" t="n"/>
      <c r="F4772" s="5" t="n"/>
      <c r="G4772" s="5" t="n"/>
      <c r="H4772" s="5" t="n"/>
      <c r="I4772" s="5" t="n"/>
      <c r="J4772" s="6" t="n"/>
      <c r="K4772" s="6" t="n"/>
      <c r="L4772" s="7">
        <f>IF(OR(D4772="",N(J4772)=0),"",MIN(1,N(K4772)/J4772))</f>
        <v/>
      </c>
      <c r="M4772" s="5" t="n"/>
      <c r="N4772" s="5" t="n"/>
      <c r="O4772" s="5" t="n"/>
      <c r="P4772" s="5" t="n"/>
      <c r="Q4772" s="5" t="n"/>
      <c r="R4772" s="4" t="n"/>
      <c r="S4772" s="4" t="n"/>
      <c r="T4772" s="5" t="n"/>
      <c r="U4772" s="8">
        <f>IF(AND(V4772=1,D4772&lt;&gt;""),IF(D4772&gt;=corte,TODAY()-D4772,""),"")</f>
        <v/>
      </c>
      <c r="V4772" s="8">
        <f>IF(D4772="",0,IF(OR(AND(P4772&lt;&gt;"",S4772=""),AND(N(J4772)&gt;0,N(K4772)&lt;J4772),OR(M4772="PENDENTE",M4772="PARCIAL"),OR(N4772="PENDENTE",N4772="PARCIAL")),1,0))</f>
        <v/>
      </c>
      <c r="W4772" s="8">
        <f>IF(AND(V4772=1,D4772&lt;&gt;""),IF(D4772&gt;=corte,(B4772="CRÍTICO")*1E9+(100000-D4772)*10000+10000-ROW(),""),"")</f>
        <v/>
      </c>
      <c r="X4772" s="8">
        <f>IF(AND(V4772=1,D4772=pas_data,E4772=pas_turno),10000-ROW(),"")</f>
        <v/>
      </c>
    </row>
    <row r="4773">
      <c r="A4773" s="3">
        <f>IF(D4773="","","TT-"&amp;TEXT(ROW()-1,"00000"))</f>
        <v/>
      </c>
      <c r="B4773" s="3">
        <f>IF(D4773="","",IF(V4773=0,"CONCLUÍDO",IF(D4773&lt;corte,"HISTÓRICO",IF(OR(AND(ISNUMBER(R4773),R4773&lt;TODAY()),AND(OR(N4773="PENDENTE",N4773="PARCIAL"),D4773&lt;TODAY()-1)),"CRÍTICO",IF(OR(AND(P4773&lt;&gt;"",S4773=""),AND(N4773="REALIZADO",M4773="PENDENTE"),AND(ISNUMBER(R4773),R4773=TODAY())),"ATENÇÃO",IF(N(K4773)=0,"PENDENTE","EM ANDAMENTO"))))))</f>
        <v/>
      </c>
      <c r="C4773" s="3">
        <f>IF(D4773="","",IF(V4773=0,"🟢 OK",IF(D4773&lt;corte,"⚪ HISTÓRICO (sem baixa)",IF(AND(ISNUMBER(R4773),R4773&lt;TODAY()),"🔴 PRAZO VENCIDO",IF(AND(OR(N4773="PENDENTE",N4773="PARCIAL"),D4773&lt;TODAY()-1),"🔴 EMBARQUE ATRASADO",IF(AND(N4773="REALIZADO",M4773="PENDENTE"),"🟡 EMBARCADO SEM FATURAR",IF(AND(P4773&lt;&gt;"",S4773="",OR(Q4773="",R4773="")),"🟡 PENDÊNCIA SEM RESPONSÁVEL/PRAZO",IF(AND(ISNUMBER(R4773),R4773=TODAY()),"🟡 VENCE HOJE",IF(AND(P4773&lt;&gt;"",S4773=""),"🟡 PENDÊNCIA ABERTA",IF(AND(N(J4773)&gt;0,N(K4773)&lt;J4773),"🟡 FALTA EXECUTAR",IF(OR(M4773="PENDENTE",M4773="PARCIAL"),"🟡 FATURAMENTO PENDENTE","🟡 EMBARQUE PENDENTE")))))))))))</f>
        <v/>
      </c>
      <c r="D4773" s="4" t="n"/>
      <c r="E4773" s="5" t="n"/>
      <c r="F4773" s="5" t="n"/>
      <c r="G4773" s="5" t="n"/>
      <c r="H4773" s="5" t="n"/>
      <c r="I4773" s="5" t="n"/>
      <c r="J4773" s="6" t="n"/>
      <c r="K4773" s="6" t="n"/>
      <c r="L4773" s="7">
        <f>IF(OR(D4773="",N(J4773)=0),"",MIN(1,N(K4773)/J4773))</f>
        <v/>
      </c>
      <c r="M4773" s="5" t="n"/>
      <c r="N4773" s="5" t="n"/>
      <c r="O4773" s="5" t="n"/>
      <c r="P4773" s="5" t="n"/>
      <c r="Q4773" s="5" t="n"/>
      <c r="R4773" s="4" t="n"/>
      <c r="S4773" s="4" t="n"/>
      <c r="T4773" s="5" t="n"/>
      <c r="U4773" s="8">
        <f>IF(AND(V4773=1,D4773&lt;&gt;""),IF(D4773&gt;=corte,TODAY()-D4773,""),"")</f>
        <v/>
      </c>
      <c r="V4773" s="8">
        <f>IF(D4773="",0,IF(OR(AND(P4773&lt;&gt;"",S4773=""),AND(N(J4773)&gt;0,N(K4773)&lt;J4773),OR(M4773="PENDENTE",M4773="PARCIAL"),OR(N4773="PENDENTE",N4773="PARCIAL")),1,0))</f>
        <v/>
      </c>
      <c r="W4773" s="8">
        <f>IF(AND(V4773=1,D4773&lt;&gt;""),IF(D4773&gt;=corte,(B4773="CRÍTICO")*1E9+(100000-D4773)*10000+10000-ROW(),""),"")</f>
        <v/>
      </c>
      <c r="X4773" s="8">
        <f>IF(AND(V4773=1,D4773=pas_data,E4773=pas_turno),10000-ROW(),"")</f>
        <v/>
      </c>
    </row>
    <row r="4774">
      <c r="A4774" s="3">
        <f>IF(D4774="","","TT-"&amp;TEXT(ROW()-1,"00000"))</f>
        <v/>
      </c>
      <c r="B4774" s="3">
        <f>IF(D4774="","",IF(V4774=0,"CONCLUÍDO",IF(D4774&lt;corte,"HISTÓRICO",IF(OR(AND(ISNUMBER(R4774),R4774&lt;TODAY()),AND(OR(N4774="PENDENTE",N4774="PARCIAL"),D4774&lt;TODAY()-1)),"CRÍTICO",IF(OR(AND(P4774&lt;&gt;"",S4774=""),AND(N4774="REALIZADO",M4774="PENDENTE"),AND(ISNUMBER(R4774),R4774=TODAY())),"ATENÇÃO",IF(N(K4774)=0,"PENDENTE","EM ANDAMENTO"))))))</f>
        <v/>
      </c>
      <c r="C4774" s="3">
        <f>IF(D4774="","",IF(V4774=0,"🟢 OK",IF(D4774&lt;corte,"⚪ HISTÓRICO (sem baixa)",IF(AND(ISNUMBER(R4774),R4774&lt;TODAY()),"🔴 PRAZO VENCIDO",IF(AND(OR(N4774="PENDENTE",N4774="PARCIAL"),D4774&lt;TODAY()-1),"🔴 EMBARQUE ATRASADO",IF(AND(N4774="REALIZADO",M4774="PENDENTE"),"🟡 EMBARCADO SEM FATURAR",IF(AND(P4774&lt;&gt;"",S4774="",OR(Q4774="",R4774="")),"🟡 PENDÊNCIA SEM RESPONSÁVEL/PRAZO",IF(AND(ISNUMBER(R4774),R4774=TODAY()),"🟡 VENCE HOJE",IF(AND(P4774&lt;&gt;"",S4774=""),"🟡 PENDÊNCIA ABERTA",IF(AND(N(J4774)&gt;0,N(K4774)&lt;J4774),"🟡 FALTA EXECUTAR",IF(OR(M4774="PENDENTE",M4774="PARCIAL"),"🟡 FATURAMENTO PENDENTE","🟡 EMBARQUE PENDENTE")))))))))))</f>
        <v/>
      </c>
      <c r="D4774" s="4" t="n"/>
      <c r="E4774" s="5" t="n"/>
      <c r="F4774" s="5" t="n"/>
      <c r="G4774" s="5" t="n"/>
      <c r="H4774" s="5" t="n"/>
      <c r="I4774" s="5" t="n"/>
      <c r="J4774" s="6" t="n"/>
      <c r="K4774" s="6" t="n"/>
      <c r="L4774" s="7">
        <f>IF(OR(D4774="",N(J4774)=0),"",MIN(1,N(K4774)/J4774))</f>
        <v/>
      </c>
      <c r="M4774" s="5" t="n"/>
      <c r="N4774" s="5" t="n"/>
      <c r="O4774" s="5" t="n"/>
      <c r="P4774" s="5" t="n"/>
      <c r="Q4774" s="5" t="n"/>
      <c r="R4774" s="4" t="n"/>
      <c r="S4774" s="4" t="n"/>
      <c r="T4774" s="5" t="n"/>
      <c r="U4774" s="8">
        <f>IF(AND(V4774=1,D4774&lt;&gt;""),IF(D4774&gt;=corte,TODAY()-D4774,""),"")</f>
        <v/>
      </c>
      <c r="V4774" s="8">
        <f>IF(D4774="",0,IF(OR(AND(P4774&lt;&gt;"",S4774=""),AND(N(J4774)&gt;0,N(K4774)&lt;J4774),OR(M4774="PENDENTE",M4774="PARCIAL"),OR(N4774="PENDENTE",N4774="PARCIAL")),1,0))</f>
        <v/>
      </c>
      <c r="W4774" s="8">
        <f>IF(AND(V4774=1,D4774&lt;&gt;""),IF(D4774&gt;=corte,(B4774="CRÍTICO")*1E9+(100000-D4774)*10000+10000-ROW(),""),"")</f>
        <v/>
      </c>
      <c r="X4774" s="8">
        <f>IF(AND(V4774=1,D4774=pas_data,E4774=pas_turno),10000-ROW(),"")</f>
        <v/>
      </c>
    </row>
    <row r="4775">
      <c r="A4775" s="3">
        <f>IF(D4775="","","TT-"&amp;TEXT(ROW()-1,"00000"))</f>
        <v/>
      </c>
      <c r="B4775" s="3">
        <f>IF(D4775="","",IF(V4775=0,"CONCLUÍDO",IF(D4775&lt;corte,"HISTÓRICO",IF(OR(AND(ISNUMBER(R4775),R4775&lt;TODAY()),AND(OR(N4775="PENDENTE",N4775="PARCIAL"),D4775&lt;TODAY()-1)),"CRÍTICO",IF(OR(AND(P4775&lt;&gt;"",S4775=""),AND(N4775="REALIZADO",M4775="PENDENTE"),AND(ISNUMBER(R4775),R4775=TODAY())),"ATENÇÃO",IF(N(K4775)=0,"PENDENTE","EM ANDAMENTO"))))))</f>
        <v/>
      </c>
      <c r="C4775" s="3">
        <f>IF(D4775="","",IF(V4775=0,"🟢 OK",IF(D4775&lt;corte,"⚪ HISTÓRICO (sem baixa)",IF(AND(ISNUMBER(R4775),R4775&lt;TODAY()),"🔴 PRAZO VENCIDO",IF(AND(OR(N4775="PENDENTE",N4775="PARCIAL"),D4775&lt;TODAY()-1),"🔴 EMBARQUE ATRASADO",IF(AND(N4775="REALIZADO",M4775="PENDENTE"),"🟡 EMBARCADO SEM FATURAR",IF(AND(P4775&lt;&gt;"",S4775="",OR(Q4775="",R4775="")),"🟡 PENDÊNCIA SEM RESPONSÁVEL/PRAZO",IF(AND(ISNUMBER(R4775),R4775=TODAY()),"🟡 VENCE HOJE",IF(AND(P4775&lt;&gt;"",S4775=""),"🟡 PENDÊNCIA ABERTA",IF(AND(N(J4775)&gt;0,N(K4775)&lt;J4775),"🟡 FALTA EXECUTAR",IF(OR(M4775="PENDENTE",M4775="PARCIAL"),"🟡 FATURAMENTO PENDENTE","🟡 EMBARQUE PENDENTE")))))))))))</f>
        <v/>
      </c>
      <c r="D4775" s="4" t="n"/>
      <c r="E4775" s="5" t="n"/>
      <c r="F4775" s="5" t="n"/>
      <c r="G4775" s="5" t="n"/>
      <c r="H4775" s="5" t="n"/>
      <c r="I4775" s="5" t="n"/>
      <c r="J4775" s="6" t="n"/>
      <c r="K4775" s="6" t="n"/>
      <c r="L4775" s="7">
        <f>IF(OR(D4775="",N(J4775)=0),"",MIN(1,N(K4775)/J4775))</f>
        <v/>
      </c>
      <c r="M4775" s="5" t="n"/>
      <c r="N4775" s="5" t="n"/>
      <c r="O4775" s="5" t="n"/>
      <c r="P4775" s="5" t="n"/>
      <c r="Q4775" s="5" t="n"/>
      <c r="R4775" s="4" t="n"/>
      <c r="S4775" s="4" t="n"/>
      <c r="T4775" s="5" t="n"/>
      <c r="U4775" s="8">
        <f>IF(AND(V4775=1,D4775&lt;&gt;""),IF(D4775&gt;=corte,TODAY()-D4775,""),"")</f>
        <v/>
      </c>
      <c r="V4775" s="8">
        <f>IF(D4775="",0,IF(OR(AND(P4775&lt;&gt;"",S4775=""),AND(N(J4775)&gt;0,N(K4775)&lt;J4775),OR(M4775="PENDENTE",M4775="PARCIAL"),OR(N4775="PENDENTE",N4775="PARCIAL")),1,0))</f>
        <v/>
      </c>
      <c r="W4775" s="8">
        <f>IF(AND(V4775=1,D4775&lt;&gt;""),IF(D4775&gt;=corte,(B4775="CRÍTICO")*1E9+(100000-D4775)*10000+10000-ROW(),""),"")</f>
        <v/>
      </c>
      <c r="X4775" s="8">
        <f>IF(AND(V4775=1,D4775=pas_data,E4775=pas_turno),10000-ROW(),"")</f>
        <v/>
      </c>
    </row>
    <row r="4776">
      <c r="A4776" s="3">
        <f>IF(D4776="","","TT-"&amp;TEXT(ROW()-1,"00000"))</f>
        <v/>
      </c>
      <c r="B4776" s="3">
        <f>IF(D4776="","",IF(V4776=0,"CONCLUÍDO",IF(D4776&lt;corte,"HISTÓRICO",IF(OR(AND(ISNUMBER(R4776),R4776&lt;TODAY()),AND(OR(N4776="PENDENTE",N4776="PARCIAL"),D4776&lt;TODAY()-1)),"CRÍTICO",IF(OR(AND(P4776&lt;&gt;"",S4776=""),AND(N4776="REALIZADO",M4776="PENDENTE"),AND(ISNUMBER(R4776),R4776=TODAY())),"ATENÇÃO",IF(N(K4776)=0,"PENDENTE","EM ANDAMENTO"))))))</f>
        <v/>
      </c>
      <c r="C4776" s="3">
        <f>IF(D4776="","",IF(V4776=0,"🟢 OK",IF(D4776&lt;corte,"⚪ HISTÓRICO (sem baixa)",IF(AND(ISNUMBER(R4776),R4776&lt;TODAY()),"🔴 PRAZO VENCIDO",IF(AND(OR(N4776="PENDENTE",N4776="PARCIAL"),D4776&lt;TODAY()-1),"🔴 EMBARQUE ATRASADO",IF(AND(N4776="REALIZADO",M4776="PENDENTE"),"🟡 EMBARCADO SEM FATURAR",IF(AND(P4776&lt;&gt;"",S4776="",OR(Q4776="",R4776="")),"🟡 PENDÊNCIA SEM RESPONSÁVEL/PRAZO",IF(AND(ISNUMBER(R4776),R4776=TODAY()),"🟡 VENCE HOJE",IF(AND(P4776&lt;&gt;"",S4776=""),"🟡 PENDÊNCIA ABERTA",IF(AND(N(J4776)&gt;0,N(K4776)&lt;J4776),"🟡 FALTA EXECUTAR",IF(OR(M4776="PENDENTE",M4776="PARCIAL"),"🟡 FATURAMENTO PENDENTE","🟡 EMBARQUE PENDENTE")))))))))))</f>
        <v/>
      </c>
      <c r="D4776" s="4" t="n"/>
      <c r="E4776" s="5" t="n"/>
      <c r="F4776" s="5" t="n"/>
      <c r="G4776" s="5" t="n"/>
      <c r="H4776" s="5" t="n"/>
      <c r="I4776" s="5" t="n"/>
      <c r="J4776" s="6" t="n"/>
      <c r="K4776" s="6" t="n"/>
      <c r="L4776" s="7">
        <f>IF(OR(D4776="",N(J4776)=0),"",MIN(1,N(K4776)/J4776))</f>
        <v/>
      </c>
      <c r="M4776" s="5" t="n"/>
      <c r="N4776" s="5" t="n"/>
      <c r="O4776" s="5" t="n"/>
      <c r="P4776" s="5" t="n"/>
      <c r="Q4776" s="5" t="n"/>
      <c r="R4776" s="4" t="n"/>
      <c r="S4776" s="4" t="n"/>
      <c r="T4776" s="5" t="n"/>
      <c r="U4776" s="8">
        <f>IF(AND(V4776=1,D4776&lt;&gt;""),IF(D4776&gt;=corte,TODAY()-D4776,""),"")</f>
        <v/>
      </c>
      <c r="V4776" s="8">
        <f>IF(D4776="",0,IF(OR(AND(P4776&lt;&gt;"",S4776=""),AND(N(J4776)&gt;0,N(K4776)&lt;J4776),OR(M4776="PENDENTE",M4776="PARCIAL"),OR(N4776="PENDENTE",N4776="PARCIAL")),1,0))</f>
        <v/>
      </c>
      <c r="W4776" s="8">
        <f>IF(AND(V4776=1,D4776&lt;&gt;""),IF(D4776&gt;=corte,(B4776="CRÍTICO")*1E9+(100000-D4776)*10000+10000-ROW(),""),"")</f>
        <v/>
      </c>
      <c r="X4776" s="8">
        <f>IF(AND(V4776=1,D4776=pas_data,E4776=pas_turno),10000-ROW(),"")</f>
        <v/>
      </c>
    </row>
    <row r="4777">
      <c r="A4777" s="3">
        <f>IF(D4777="","","TT-"&amp;TEXT(ROW()-1,"00000"))</f>
        <v/>
      </c>
      <c r="B4777" s="3">
        <f>IF(D4777="","",IF(V4777=0,"CONCLUÍDO",IF(D4777&lt;corte,"HISTÓRICO",IF(OR(AND(ISNUMBER(R4777),R4777&lt;TODAY()),AND(OR(N4777="PENDENTE",N4777="PARCIAL"),D4777&lt;TODAY()-1)),"CRÍTICO",IF(OR(AND(P4777&lt;&gt;"",S4777=""),AND(N4777="REALIZADO",M4777="PENDENTE"),AND(ISNUMBER(R4777),R4777=TODAY())),"ATENÇÃO",IF(N(K4777)=0,"PENDENTE","EM ANDAMENTO"))))))</f>
        <v/>
      </c>
      <c r="C4777" s="3">
        <f>IF(D4777="","",IF(V4777=0,"🟢 OK",IF(D4777&lt;corte,"⚪ HISTÓRICO (sem baixa)",IF(AND(ISNUMBER(R4777),R4777&lt;TODAY()),"🔴 PRAZO VENCIDO",IF(AND(OR(N4777="PENDENTE",N4777="PARCIAL"),D4777&lt;TODAY()-1),"🔴 EMBARQUE ATRASADO",IF(AND(N4777="REALIZADO",M4777="PENDENTE"),"🟡 EMBARCADO SEM FATURAR",IF(AND(P4777&lt;&gt;"",S4777="",OR(Q4777="",R4777="")),"🟡 PENDÊNCIA SEM RESPONSÁVEL/PRAZO",IF(AND(ISNUMBER(R4777),R4777=TODAY()),"🟡 VENCE HOJE",IF(AND(P4777&lt;&gt;"",S4777=""),"🟡 PENDÊNCIA ABERTA",IF(AND(N(J4777)&gt;0,N(K4777)&lt;J4777),"🟡 FALTA EXECUTAR",IF(OR(M4777="PENDENTE",M4777="PARCIAL"),"🟡 FATURAMENTO PENDENTE","🟡 EMBARQUE PENDENTE")))))))))))</f>
        <v/>
      </c>
      <c r="D4777" s="4" t="n"/>
      <c r="E4777" s="5" t="n"/>
      <c r="F4777" s="5" t="n"/>
      <c r="G4777" s="5" t="n"/>
      <c r="H4777" s="5" t="n"/>
      <c r="I4777" s="5" t="n"/>
      <c r="J4777" s="6" t="n"/>
      <c r="K4777" s="6" t="n"/>
      <c r="L4777" s="7">
        <f>IF(OR(D4777="",N(J4777)=0),"",MIN(1,N(K4777)/J4777))</f>
        <v/>
      </c>
      <c r="M4777" s="5" t="n"/>
      <c r="N4777" s="5" t="n"/>
      <c r="O4777" s="5" t="n"/>
      <c r="P4777" s="5" t="n"/>
      <c r="Q4777" s="5" t="n"/>
      <c r="R4777" s="4" t="n"/>
      <c r="S4777" s="4" t="n"/>
      <c r="T4777" s="5" t="n"/>
      <c r="U4777" s="8">
        <f>IF(AND(V4777=1,D4777&lt;&gt;""),IF(D4777&gt;=corte,TODAY()-D4777,""),"")</f>
        <v/>
      </c>
      <c r="V4777" s="8">
        <f>IF(D4777="",0,IF(OR(AND(P4777&lt;&gt;"",S4777=""),AND(N(J4777)&gt;0,N(K4777)&lt;J4777),OR(M4777="PENDENTE",M4777="PARCIAL"),OR(N4777="PENDENTE",N4777="PARCIAL")),1,0))</f>
        <v/>
      </c>
      <c r="W4777" s="8">
        <f>IF(AND(V4777=1,D4777&lt;&gt;""),IF(D4777&gt;=corte,(B4777="CRÍTICO")*1E9+(100000-D4777)*10000+10000-ROW(),""),"")</f>
        <v/>
      </c>
      <c r="X4777" s="8">
        <f>IF(AND(V4777=1,D4777=pas_data,E4777=pas_turno),10000-ROW(),"")</f>
        <v/>
      </c>
    </row>
    <row r="4778">
      <c r="A4778" s="3">
        <f>IF(D4778="","","TT-"&amp;TEXT(ROW()-1,"00000"))</f>
        <v/>
      </c>
      <c r="B4778" s="3">
        <f>IF(D4778="","",IF(V4778=0,"CONCLUÍDO",IF(D4778&lt;corte,"HISTÓRICO",IF(OR(AND(ISNUMBER(R4778),R4778&lt;TODAY()),AND(OR(N4778="PENDENTE",N4778="PARCIAL"),D4778&lt;TODAY()-1)),"CRÍTICO",IF(OR(AND(P4778&lt;&gt;"",S4778=""),AND(N4778="REALIZADO",M4778="PENDENTE"),AND(ISNUMBER(R4778),R4778=TODAY())),"ATENÇÃO",IF(N(K4778)=0,"PENDENTE","EM ANDAMENTO"))))))</f>
        <v/>
      </c>
      <c r="C4778" s="3">
        <f>IF(D4778="","",IF(V4778=0,"🟢 OK",IF(D4778&lt;corte,"⚪ HISTÓRICO (sem baixa)",IF(AND(ISNUMBER(R4778),R4778&lt;TODAY()),"🔴 PRAZO VENCIDO",IF(AND(OR(N4778="PENDENTE",N4778="PARCIAL"),D4778&lt;TODAY()-1),"🔴 EMBARQUE ATRASADO",IF(AND(N4778="REALIZADO",M4778="PENDENTE"),"🟡 EMBARCADO SEM FATURAR",IF(AND(P4778&lt;&gt;"",S4778="",OR(Q4778="",R4778="")),"🟡 PENDÊNCIA SEM RESPONSÁVEL/PRAZO",IF(AND(ISNUMBER(R4778),R4778=TODAY()),"🟡 VENCE HOJE",IF(AND(P4778&lt;&gt;"",S4778=""),"🟡 PENDÊNCIA ABERTA",IF(AND(N(J4778)&gt;0,N(K4778)&lt;J4778),"🟡 FALTA EXECUTAR",IF(OR(M4778="PENDENTE",M4778="PARCIAL"),"🟡 FATURAMENTO PENDENTE","🟡 EMBARQUE PENDENTE")))))))))))</f>
        <v/>
      </c>
      <c r="D4778" s="4" t="n"/>
      <c r="E4778" s="5" t="n"/>
      <c r="F4778" s="5" t="n"/>
      <c r="G4778" s="5" t="n"/>
      <c r="H4778" s="5" t="n"/>
      <c r="I4778" s="5" t="n"/>
      <c r="J4778" s="6" t="n"/>
      <c r="K4778" s="6" t="n"/>
      <c r="L4778" s="7">
        <f>IF(OR(D4778="",N(J4778)=0),"",MIN(1,N(K4778)/J4778))</f>
        <v/>
      </c>
      <c r="M4778" s="5" t="n"/>
      <c r="N4778" s="5" t="n"/>
      <c r="O4778" s="5" t="n"/>
      <c r="P4778" s="5" t="n"/>
      <c r="Q4778" s="5" t="n"/>
      <c r="R4778" s="4" t="n"/>
      <c r="S4778" s="4" t="n"/>
      <c r="T4778" s="5" t="n"/>
      <c r="U4778" s="8">
        <f>IF(AND(V4778=1,D4778&lt;&gt;""),IF(D4778&gt;=corte,TODAY()-D4778,""),"")</f>
        <v/>
      </c>
      <c r="V4778" s="8">
        <f>IF(D4778="",0,IF(OR(AND(P4778&lt;&gt;"",S4778=""),AND(N(J4778)&gt;0,N(K4778)&lt;J4778),OR(M4778="PENDENTE",M4778="PARCIAL"),OR(N4778="PENDENTE",N4778="PARCIAL")),1,0))</f>
        <v/>
      </c>
      <c r="W4778" s="8">
        <f>IF(AND(V4778=1,D4778&lt;&gt;""),IF(D4778&gt;=corte,(B4778="CRÍTICO")*1E9+(100000-D4778)*10000+10000-ROW(),""),"")</f>
        <v/>
      </c>
      <c r="X4778" s="8">
        <f>IF(AND(V4778=1,D4778=pas_data,E4778=pas_turno),10000-ROW(),"")</f>
        <v/>
      </c>
    </row>
    <row r="4779">
      <c r="A4779" s="3">
        <f>IF(D4779="","","TT-"&amp;TEXT(ROW()-1,"00000"))</f>
        <v/>
      </c>
      <c r="B4779" s="3">
        <f>IF(D4779="","",IF(V4779=0,"CONCLUÍDO",IF(D4779&lt;corte,"HISTÓRICO",IF(OR(AND(ISNUMBER(R4779),R4779&lt;TODAY()),AND(OR(N4779="PENDENTE",N4779="PARCIAL"),D4779&lt;TODAY()-1)),"CRÍTICO",IF(OR(AND(P4779&lt;&gt;"",S4779=""),AND(N4779="REALIZADO",M4779="PENDENTE"),AND(ISNUMBER(R4779),R4779=TODAY())),"ATENÇÃO",IF(N(K4779)=0,"PENDENTE","EM ANDAMENTO"))))))</f>
        <v/>
      </c>
      <c r="C4779" s="3">
        <f>IF(D4779="","",IF(V4779=0,"🟢 OK",IF(D4779&lt;corte,"⚪ HISTÓRICO (sem baixa)",IF(AND(ISNUMBER(R4779),R4779&lt;TODAY()),"🔴 PRAZO VENCIDO",IF(AND(OR(N4779="PENDENTE",N4779="PARCIAL"),D4779&lt;TODAY()-1),"🔴 EMBARQUE ATRASADO",IF(AND(N4779="REALIZADO",M4779="PENDENTE"),"🟡 EMBARCADO SEM FATURAR",IF(AND(P4779&lt;&gt;"",S4779="",OR(Q4779="",R4779="")),"🟡 PENDÊNCIA SEM RESPONSÁVEL/PRAZO",IF(AND(ISNUMBER(R4779),R4779=TODAY()),"🟡 VENCE HOJE",IF(AND(P4779&lt;&gt;"",S4779=""),"🟡 PENDÊNCIA ABERTA",IF(AND(N(J4779)&gt;0,N(K4779)&lt;J4779),"🟡 FALTA EXECUTAR",IF(OR(M4779="PENDENTE",M4779="PARCIAL"),"🟡 FATURAMENTO PENDENTE","🟡 EMBARQUE PENDENTE")))))))))))</f>
        <v/>
      </c>
      <c r="D4779" s="4" t="n"/>
      <c r="E4779" s="5" t="n"/>
      <c r="F4779" s="5" t="n"/>
      <c r="G4779" s="5" t="n"/>
      <c r="H4779" s="5" t="n"/>
      <c r="I4779" s="5" t="n"/>
      <c r="J4779" s="6" t="n"/>
      <c r="K4779" s="6" t="n"/>
      <c r="L4779" s="7">
        <f>IF(OR(D4779="",N(J4779)=0),"",MIN(1,N(K4779)/J4779))</f>
        <v/>
      </c>
      <c r="M4779" s="5" t="n"/>
      <c r="N4779" s="5" t="n"/>
      <c r="O4779" s="5" t="n"/>
      <c r="P4779" s="5" t="n"/>
      <c r="Q4779" s="5" t="n"/>
      <c r="R4779" s="4" t="n"/>
      <c r="S4779" s="4" t="n"/>
      <c r="T4779" s="5" t="n"/>
      <c r="U4779" s="8">
        <f>IF(AND(V4779=1,D4779&lt;&gt;""),IF(D4779&gt;=corte,TODAY()-D4779,""),"")</f>
        <v/>
      </c>
      <c r="V4779" s="8">
        <f>IF(D4779="",0,IF(OR(AND(P4779&lt;&gt;"",S4779=""),AND(N(J4779)&gt;0,N(K4779)&lt;J4779),OR(M4779="PENDENTE",M4779="PARCIAL"),OR(N4779="PENDENTE",N4779="PARCIAL")),1,0))</f>
        <v/>
      </c>
      <c r="W4779" s="8">
        <f>IF(AND(V4779=1,D4779&lt;&gt;""),IF(D4779&gt;=corte,(B4779="CRÍTICO")*1E9+(100000-D4779)*10000+10000-ROW(),""),"")</f>
        <v/>
      </c>
      <c r="X4779" s="8">
        <f>IF(AND(V4779=1,D4779=pas_data,E4779=pas_turno),10000-ROW(),"")</f>
        <v/>
      </c>
    </row>
    <row r="4780">
      <c r="A4780" s="3">
        <f>IF(D4780="","","TT-"&amp;TEXT(ROW()-1,"00000"))</f>
        <v/>
      </c>
      <c r="B4780" s="3">
        <f>IF(D4780="","",IF(V4780=0,"CONCLUÍDO",IF(D4780&lt;corte,"HISTÓRICO",IF(OR(AND(ISNUMBER(R4780),R4780&lt;TODAY()),AND(OR(N4780="PENDENTE",N4780="PARCIAL"),D4780&lt;TODAY()-1)),"CRÍTICO",IF(OR(AND(P4780&lt;&gt;"",S4780=""),AND(N4780="REALIZADO",M4780="PENDENTE"),AND(ISNUMBER(R4780),R4780=TODAY())),"ATENÇÃO",IF(N(K4780)=0,"PENDENTE","EM ANDAMENTO"))))))</f>
        <v/>
      </c>
      <c r="C4780" s="3">
        <f>IF(D4780="","",IF(V4780=0,"🟢 OK",IF(D4780&lt;corte,"⚪ HISTÓRICO (sem baixa)",IF(AND(ISNUMBER(R4780),R4780&lt;TODAY()),"🔴 PRAZO VENCIDO",IF(AND(OR(N4780="PENDENTE",N4780="PARCIAL"),D4780&lt;TODAY()-1),"🔴 EMBARQUE ATRASADO",IF(AND(N4780="REALIZADO",M4780="PENDENTE"),"🟡 EMBARCADO SEM FATURAR",IF(AND(P4780&lt;&gt;"",S4780="",OR(Q4780="",R4780="")),"🟡 PENDÊNCIA SEM RESPONSÁVEL/PRAZO",IF(AND(ISNUMBER(R4780),R4780=TODAY()),"🟡 VENCE HOJE",IF(AND(P4780&lt;&gt;"",S4780=""),"🟡 PENDÊNCIA ABERTA",IF(AND(N(J4780)&gt;0,N(K4780)&lt;J4780),"🟡 FALTA EXECUTAR",IF(OR(M4780="PENDENTE",M4780="PARCIAL"),"🟡 FATURAMENTO PENDENTE","🟡 EMBARQUE PENDENTE")))))))))))</f>
        <v/>
      </c>
      <c r="D4780" s="4" t="n"/>
      <c r="E4780" s="5" t="n"/>
      <c r="F4780" s="5" t="n"/>
      <c r="G4780" s="5" t="n"/>
      <c r="H4780" s="5" t="n"/>
      <c r="I4780" s="5" t="n"/>
      <c r="J4780" s="6" t="n"/>
      <c r="K4780" s="6" t="n"/>
      <c r="L4780" s="7">
        <f>IF(OR(D4780="",N(J4780)=0),"",MIN(1,N(K4780)/J4780))</f>
        <v/>
      </c>
      <c r="M4780" s="5" t="n"/>
      <c r="N4780" s="5" t="n"/>
      <c r="O4780" s="5" t="n"/>
      <c r="P4780" s="5" t="n"/>
      <c r="Q4780" s="5" t="n"/>
      <c r="R4780" s="4" t="n"/>
      <c r="S4780" s="4" t="n"/>
      <c r="T4780" s="5" t="n"/>
      <c r="U4780" s="8">
        <f>IF(AND(V4780=1,D4780&lt;&gt;""),IF(D4780&gt;=corte,TODAY()-D4780,""),"")</f>
        <v/>
      </c>
      <c r="V4780" s="8">
        <f>IF(D4780="",0,IF(OR(AND(P4780&lt;&gt;"",S4780=""),AND(N(J4780)&gt;0,N(K4780)&lt;J4780),OR(M4780="PENDENTE",M4780="PARCIAL"),OR(N4780="PENDENTE",N4780="PARCIAL")),1,0))</f>
        <v/>
      </c>
      <c r="W4780" s="8">
        <f>IF(AND(V4780=1,D4780&lt;&gt;""),IF(D4780&gt;=corte,(B4780="CRÍTICO")*1E9+(100000-D4780)*10000+10000-ROW(),""),"")</f>
        <v/>
      </c>
      <c r="X4780" s="8">
        <f>IF(AND(V4780=1,D4780=pas_data,E4780=pas_turno),10000-ROW(),"")</f>
        <v/>
      </c>
    </row>
    <row r="4781">
      <c r="A4781" s="3">
        <f>IF(D4781="","","TT-"&amp;TEXT(ROW()-1,"00000"))</f>
        <v/>
      </c>
      <c r="B4781" s="3">
        <f>IF(D4781="","",IF(V4781=0,"CONCLUÍDO",IF(D4781&lt;corte,"HISTÓRICO",IF(OR(AND(ISNUMBER(R4781),R4781&lt;TODAY()),AND(OR(N4781="PENDENTE",N4781="PARCIAL"),D4781&lt;TODAY()-1)),"CRÍTICO",IF(OR(AND(P4781&lt;&gt;"",S4781=""),AND(N4781="REALIZADO",M4781="PENDENTE"),AND(ISNUMBER(R4781),R4781=TODAY())),"ATENÇÃO",IF(N(K4781)=0,"PENDENTE","EM ANDAMENTO"))))))</f>
        <v/>
      </c>
      <c r="C4781" s="3">
        <f>IF(D4781="","",IF(V4781=0,"🟢 OK",IF(D4781&lt;corte,"⚪ HISTÓRICO (sem baixa)",IF(AND(ISNUMBER(R4781),R4781&lt;TODAY()),"🔴 PRAZO VENCIDO",IF(AND(OR(N4781="PENDENTE",N4781="PARCIAL"),D4781&lt;TODAY()-1),"🔴 EMBARQUE ATRASADO",IF(AND(N4781="REALIZADO",M4781="PENDENTE"),"🟡 EMBARCADO SEM FATURAR",IF(AND(P4781&lt;&gt;"",S4781="",OR(Q4781="",R4781="")),"🟡 PENDÊNCIA SEM RESPONSÁVEL/PRAZO",IF(AND(ISNUMBER(R4781),R4781=TODAY()),"🟡 VENCE HOJE",IF(AND(P4781&lt;&gt;"",S4781=""),"🟡 PENDÊNCIA ABERTA",IF(AND(N(J4781)&gt;0,N(K4781)&lt;J4781),"🟡 FALTA EXECUTAR",IF(OR(M4781="PENDENTE",M4781="PARCIAL"),"🟡 FATURAMENTO PENDENTE","🟡 EMBARQUE PENDENTE")))))))))))</f>
        <v/>
      </c>
      <c r="D4781" s="4" t="n"/>
      <c r="E4781" s="5" t="n"/>
      <c r="F4781" s="5" t="n"/>
      <c r="G4781" s="5" t="n"/>
      <c r="H4781" s="5" t="n"/>
      <c r="I4781" s="5" t="n"/>
      <c r="J4781" s="6" t="n"/>
      <c r="K4781" s="6" t="n"/>
      <c r="L4781" s="7">
        <f>IF(OR(D4781="",N(J4781)=0),"",MIN(1,N(K4781)/J4781))</f>
        <v/>
      </c>
      <c r="M4781" s="5" t="n"/>
      <c r="N4781" s="5" t="n"/>
      <c r="O4781" s="5" t="n"/>
      <c r="P4781" s="5" t="n"/>
      <c r="Q4781" s="5" t="n"/>
      <c r="R4781" s="4" t="n"/>
      <c r="S4781" s="4" t="n"/>
      <c r="T4781" s="5" t="n"/>
      <c r="U4781" s="8">
        <f>IF(AND(V4781=1,D4781&lt;&gt;""),IF(D4781&gt;=corte,TODAY()-D4781,""),"")</f>
        <v/>
      </c>
      <c r="V4781" s="8">
        <f>IF(D4781="",0,IF(OR(AND(P4781&lt;&gt;"",S4781=""),AND(N(J4781)&gt;0,N(K4781)&lt;J4781),OR(M4781="PENDENTE",M4781="PARCIAL"),OR(N4781="PENDENTE",N4781="PARCIAL")),1,0))</f>
        <v/>
      </c>
      <c r="W4781" s="8">
        <f>IF(AND(V4781=1,D4781&lt;&gt;""),IF(D4781&gt;=corte,(B4781="CRÍTICO")*1E9+(100000-D4781)*10000+10000-ROW(),""),"")</f>
        <v/>
      </c>
      <c r="X4781" s="8">
        <f>IF(AND(V4781=1,D4781=pas_data,E4781=pas_turno),10000-ROW(),"")</f>
        <v/>
      </c>
    </row>
    <row r="4782">
      <c r="A4782" s="3">
        <f>IF(D4782="","","TT-"&amp;TEXT(ROW()-1,"00000"))</f>
        <v/>
      </c>
      <c r="B4782" s="3">
        <f>IF(D4782="","",IF(V4782=0,"CONCLUÍDO",IF(D4782&lt;corte,"HISTÓRICO",IF(OR(AND(ISNUMBER(R4782),R4782&lt;TODAY()),AND(OR(N4782="PENDENTE",N4782="PARCIAL"),D4782&lt;TODAY()-1)),"CRÍTICO",IF(OR(AND(P4782&lt;&gt;"",S4782=""),AND(N4782="REALIZADO",M4782="PENDENTE"),AND(ISNUMBER(R4782),R4782=TODAY())),"ATENÇÃO",IF(N(K4782)=0,"PENDENTE","EM ANDAMENTO"))))))</f>
        <v/>
      </c>
      <c r="C4782" s="3">
        <f>IF(D4782="","",IF(V4782=0,"🟢 OK",IF(D4782&lt;corte,"⚪ HISTÓRICO (sem baixa)",IF(AND(ISNUMBER(R4782),R4782&lt;TODAY()),"🔴 PRAZO VENCIDO",IF(AND(OR(N4782="PENDENTE",N4782="PARCIAL"),D4782&lt;TODAY()-1),"🔴 EMBARQUE ATRASADO",IF(AND(N4782="REALIZADO",M4782="PENDENTE"),"🟡 EMBARCADO SEM FATURAR",IF(AND(P4782&lt;&gt;"",S4782="",OR(Q4782="",R4782="")),"🟡 PENDÊNCIA SEM RESPONSÁVEL/PRAZO",IF(AND(ISNUMBER(R4782),R4782=TODAY()),"🟡 VENCE HOJE",IF(AND(P4782&lt;&gt;"",S4782=""),"🟡 PENDÊNCIA ABERTA",IF(AND(N(J4782)&gt;0,N(K4782)&lt;J4782),"🟡 FALTA EXECUTAR",IF(OR(M4782="PENDENTE",M4782="PARCIAL"),"🟡 FATURAMENTO PENDENTE","🟡 EMBARQUE PENDENTE")))))))))))</f>
        <v/>
      </c>
      <c r="D4782" s="4" t="n"/>
      <c r="E4782" s="5" t="n"/>
      <c r="F4782" s="5" t="n"/>
      <c r="G4782" s="5" t="n"/>
      <c r="H4782" s="5" t="n"/>
      <c r="I4782" s="5" t="n"/>
      <c r="J4782" s="6" t="n"/>
      <c r="K4782" s="6" t="n"/>
      <c r="L4782" s="7">
        <f>IF(OR(D4782="",N(J4782)=0),"",MIN(1,N(K4782)/J4782))</f>
        <v/>
      </c>
      <c r="M4782" s="5" t="n"/>
      <c r="N4782" s="5" t="n"/>
      <c r="O4782" s="5" t="n"/>
      <c r="P4782" s="5" t="n"/>
      <c r="Q4782" s="5" t="n"/>
      <c r="R4782" s="4" t="n"/>
      <c r="S4782" s="4" t="n"/>
      <c r="T4782" s="5" t="n"/>
      <c r="U4782" s="8">
        <f>IF(AND(V4782=1,D4782&lt;&gt;""),IF(D4782&gt;=corte,TODAY()-D4782,""),"")</f>
        <v/>
      </c>
      <c r="V4782" s="8">
        <f>IF(D4782="",0,IF(OR(AND(P4782&lt;&gt;"",S4782=""),AND(N(J4782)&gt;0,N(K4782)&lt;J4782),OR(M4782="PENDENTE",M4782="PARCIAL"),OR(N4782="PENDENTE",N4782="PARCIAL")),1,0))</f>
        <v/>
      </c>
      <c r="W4782" s="8">
        <f>IF(AND(V4782=1,D4782&lt;&gt;""),IF(D4782&gt;=corte,(B4782="CRÍTICO")*1E9+(100000-D4782)*10000+10000-ROW(),""),"")</f>
        <v/>
      </c>
      <c r="X4782" s="8">
        <f>IF(AND(V4782=1,D4782=pas_data,E4782=pas_turno),10000-ROW(),"")</f>
        <v/>
      </c>
    </row>
    <row r="4783">
      <c r="A4783" s="3">
        <f>IF(D4783="","","TT-"&amp;TEXT(ROW()-1,"00000"))</f>
        <v/>
      </c>
      <c r="B4783" s="3">
        <f>IF(D4783="","",IF(V4783=0,"CONCLUÍDO",IF(D4783&lt;corte,"HISTÓRICO",IF(OR(AND(ISNUMBER(R4783),R4783&lt;TODAY()),AND(OR(N4783="PENDENTE",N4783="PARCIAL"),D4783&lt;TODAY()-1)),"CRÍTICO",IF(OR(AND(P4783&lt;&gt;"",S4783=""),AND(N4783="REALIZADO",M4783="PENDENTE"),AND(ISNUMBER(R4783),R4783=TODAY())),"ATENÇÃO",IF(N(K4783)=0,"PENDENTE","EM ANDAMENTO"))))))</f>
        <v/>
      </c>
      <c r="C4783" s="3">
        <f>IF(D4783="","",IF(V4783=0,"🟢 OK",IF(D4783&lt;corte,"⚪ HISTÓRICO (sem baixa)",IF(AND(ISNUMBER(R4783),R4783&lt;TODAY()),"🔴 PRAZO VENCIDO",IF(AND(OR(N4783="PENDENTE",N4783="PARCIAL"),D4783&lt;TODAY()-1),"🔴 EMBARQUE ATRASADO",IF(AND(N4783="REALIZADO",M4783="PENDENTE"),"🟡 EMBARCADO SEM FATURAR",IF(AND(P4783&lt;&gt;"",S4783="",OR(Q4783="",R4783="")),"🟡 PENDÊNCIA SEM RESPONSÁVEL/PRAZO",IF(AND(ISNUMBER(R4783),R4783=TODAY()),"🟡 VENCE HOJE",IF(AND(P4783&lt;&gt;"",S4783=""),"🟡 PENDÊNCIA ABERTA",IF(AND(N(J4783)&gt;0,N(K4783)&lt;J4783),"🟡 FALTA EXECUTAR",IF(OR(M4783="PENDENTE",M4783="PARCIAL"),"🟡 FATURAMENTO PENDENTE","🟡 EMBARQUE PENDENTE")))))))))))</f>
        <v/>
      </c>
      <c r="D4783" s="4" t="n"/>
      <c r="E4783" s="5" t="n"/>
      <c r="F4783" s="5" t="n"/>
      <c r="G4783" s="5" t="n"/>
      <c r="H4783" s="5" t="n"/>
      <c r="I4783" s="5" t="n"/>
      <c r="J4783" s="6" t="n"/>
      <c r="K4783" s="6" t="n"/>
      <c r="L4783" s="7">
        <f>IF(OR(D4783="",N(J4783)=0),"",MIN(1,N(K4783)/J4783))</f>
        <v/>
      </c>
      <c r="M4783" s="5" t="n"/>
      <c r="N4783" s="5" t="n"/>
      <c r="O4783" s="5" t="n"/>
      <c r="P4783" s="5" t="n"/>
      <c r="Q4783" s="5" t="n"/>
      <c r="R4783" s="4" t="n"/>
      <c r="S4783" s="4" t="n"/>
      <c r="T4783" s="5" t="n"/>
      <c r="U4783" s="8">
        <f>IF(AND(V4783=1,D4783&lt;&gt;""),IF(D4783&gt;=corte,TODAY()-D4783,""),"")</f>
        <v/>
      </c>
      <c r="V4783" s="8">
        <f>IF(D4783="",0,IF(OR(AND(P4783&lt;&gt;"",S4783=""),AND(N(J4783)&gt;0,N(K4783)&lt;J4783),OR(M4783="PENDENTE",M4783="PARCIAL"),OR(N4783="PENDENTE",N4783="PARCIAL")),1,0))</f>
        <v/>
      </c>
      <c r="W4783" s="8">
        <f>IF(AND(V4783=1,D4783&lt;&gt;""),IF(D4783&gt;=corte,(B4783="CRÍTICO")*1E9+(100000-D4783)*10000+10000-ROW(),""),"")</f>
        <v/>
      </c>
      <c r="X4783" s="8">
        <f>IF(AND(V4783=1,D4783=pas_data,E4783=pas_turno),10000-ROW(),"")</f>
        <v/>
      </c>
    </row>
    <row r="4784">
      <c r="A4784" s="3">
        <f>IF(D4784="","","TT-"&amp;TEXT(ROW()-1,"00000"))</f>
        <v/>
      </c>
      <c r="B4784" s="3">
        <f>IF(D4784="","",IF(V4784=0,"CONCLUÍDO",IF(D4784&lt;corte,"HISTÓRICO",IF(OR(AND(ISNUMBER(R4784),R4784&lt;TODAY()),AND(OR(N4784="PENDENTE",N4784="PARCIAL"),D4784&lt;TODAY()-1)),"CRÍTICO",IF(OR(AND(P4784&lt;&gt;"",S4784=""),AND(N4784="REALIZADO",M4784="PENDENTE"),AND(ISNUMBER(R4784),R4784=TODAY())),"ATENÇÃO",IF(N(K4784)=0,"PENDENTE","EM ANDAMENTO"))))))</f>
        <v/>
      </c>
      <c r="C4784" s="3">
        <f>IF(D4784="","",IF(V4784=0,"🟢 OK",IF(D4784&lt;corte,"⚪ HISTÓRICO (sem baixa)",IF(AND(ISNUMBER(R4784),R4784&lt;TODAY()),"🔴 PRAZO VENCIDO",IF(AND(OR(N4784="PENDENTE",N4784="PARCIAL"),D4784&lt;TODAY()-1),"🔴 EMBARQUE ATRASADO",IF(AND(N4784="REALIZADO",M4784="PENDENTE"),"🟡 EMBARCADO SEM FATURAR",IF(AND(P4784&lt;&gt;"",S4784="",OR(Q4784="",R4784="")),"🟡 PENDÊNCIA SEM RESPONSÁVEL/PRAZO",IF(AND(ISNUMBER(R4784),R4784=TODAY()),"🟡 VENCE HOJE",IF(AND(P4784&lt;&gt;"",S4784=""),"🟡 PENDÊNCIA ABERTA",IF(AND(N(J4784)&gt;0,N(K4784)&lt;J4784),"🟡 FALTA EXECUTAR",IF(OR(M4784="PENDENTE",M4784="PARCIAL"),"🟡 FATURAMENTO PENDENTE","🟡 EMBARQUE PENDENTE")))))))))))</f>
        <v/>
      </c>
      <c r="D4784" s="4" t="n"/>
      <c r="E4784" s="5" t="n"/>
      <c r="F4784" s="5" t="n"/>
      <c r="G4784" s="5" t="n"/>
      <c r="H4784" s="5" t="n"/>
      <c r="I4784" s="5" t="n"/>
      <c r="J4784" s="6" t="n"/>
      <c r="K4784" s="6" t="n"/>
      <c r="L4784" s="7">
        <f>IF(OR(D4784="",N(J4784)=0),"",MIN(1,N(K4784)/J4784))</f>
        <v/>
      </c>
      <c r="M4784" s="5" t="n"/>
      <c r="N4784" s="5" t="n"/>
      <c r="O4784" s="5" t="n"/>
      <c r="P4784" s="5" t="n"/>
      <c r="Q4784" s="5" t="n"/>
      <c r="R4784" s="4" t="n"/>
      <c r="S4784" s="4" t="n"/>
      <c r="T4784" s="5" t="n"/>
      <c r="U4784" s="8">
        <f>IF(AND(V4784=1,D4784&lt;&gt;""),IF(D4784&gt;=corte,TODAY()-D4784,""),"")</f>
        <v/>
      </c>
      <c r="V4784" s="8">
        <f>IF(D4784="",0,IF(OR(AND(P4784&lt;&gt;"",S4784=""),AND(N(J4784)&gt;0,N(K4784)&lt;J4784),OR(M4784="PENDENTE",M4784="PARCIAL"),OR(N4784="PENDENTE",N4784="PARCIAL")),1,0))</f>
        <v/>
      </c>
      <c r="W4784" s="8">
        <f>IF(AND(V4784=1,D4784&lt;&gt;""),IF(D4784&gt;=corte,(B4784="CRÍTICO")*1E9+(100000-D4784)*10000+10000-ROW(),""),"")</f>
        <v/>
      </c>
      <c r="X4784" s="8">
        <f>IF(AND(V4784=1,D4784=pas_data,E4784=pas_turno),10000-ROW(),"")</f>
        <v/>
      </c>
    </row>
    <row r="4785">
      <c r="A4785" s="3">
        <f>IF(D4785="","","TT-"&amp;TEXT(ROW()-1,"00000"))</f>
        <v/>
      </c>
      <c r="B4785" s="3">
        <f>IF(D4785="","",IF(V4785=0,"CONCLUÍDO",IF(D4785&lt;corte,"HISTÓRICO",IF(OR(AND(ISNUMBER(R4785),R4785&lt;TODAY()),AND(OR(N4785="PENDENTE",N4785="PARCIAL"),D4785&lt;TODAY()-1)),"CRÍTICO",IF(OR(AND(P4785&lt;&gt;"",S4785=""),AND(N4785="REALIZADO",M4785="PENDENTE"),AND(ISNUMBER(R4785),R4785=TODAY())),"ATENÇÃO",IF(N(K4785)=0,"PENDENTE","EM ANDAMENTO"))))))</f>
        <v/>
      </c>
      <c r="C4785" s="3">
        <f>IF(D4785="","",IF(V4785=0,"🟢 OK",IF(D4785&lt;corte,"⚪ HISTÓRICO (sem baixa)",IF(AND(ISNUMBER(R4785),R4785&lt;TODAY()),"🔴 PRAZO VENCIDO",IF(AND(OR(N4785="PENDENTE",N4785="PARCIAL"),D4785&lt;TODAY()-1),"🔴 EMBARQUE ATRASADO",IF(AND(N4785="REALIZADO",M4785="PENDENTE"),"🟡 EMBARCADO SEM FATURAR",IF(AND(P4785&lt;&gt;"",S4785="",OR(Q4785="",R4785="")),"🟡 PENDÊNCIA SEM RESPONSÁVEL/PRAZO",IF(AND(ISNUMBER(R4785),R4785=TODAY()),"🟡 VENCE HOJE",IF(AND(P4785&lt;&gt;"",S4785=""),"🟡 PENDÊNCIA ABERTA",IF(AND(N(J4785)&gt;0,N(K4785)&lt;J4785),"🟡 FALTA EXECUTAR",IF(OR(M4785="PENDENTE",M4785="PARCIAL"),"🟡 FATURAMENTO PENDENTE","🟡 EMBARQUE PENDENTE")))))))))))</f>
        <v/>
      </c>
      <c r="D4785" s="4" t="n"/>
      <c r="E4785" s="5" t="n"/>
      <c r="F4785" s="5" t="n"/>
      <c r="G4785" s="5" t="n"/>
      <c r="H4785" s="5" t="n"/>
      <c r="I4785" s="5" t="n"/>
      <c r="J4785" s="6" t="n"/>
      <c r="K4785" s="6" t="n"/>
      <c r="L4785" s="7">
        <f>IF(OR(D4785="",N(J4785)=0),"",MIN(1,N(K4785)/J4785))</f>
        <v/>
      </c>
      <c r="M4785" s="5" t="n"/>
      <c r="N4785" s="5" t="n"/>
      <c r="O4785" s="5" t="n"/>
      <c r="P4785" s="5" t="n"/>
      <c r="Q4785" s="5" t="n"/>
      <c r="R4785" s="4" t="n"/>
      <c r="S4785" s="4" t="n"/>
      <c r="T4785" s="5" t="n"/>
      <c r="U4785" s="8">
        <f>IF(AND(V4785=1,D4785&lt;&gt;""),IF(D4785&gt;=corte,TODAY()-D4785,""),"")</f>
        <v/>
      </c>
      <c r="V4785" s="8">
        <f>IF(D4785="",0,IF(OR(AND(P4785&lt;&gt;"",S4785=""),AND(N(J4785)&gt;0,N(K4785)&lt;J4785),OR(M4785="PENDENTE",M4785="PARCIAL"),OR(N4785="PENDENTE",N4785="PARCIAL")),1,0))</f>
        <v/>
      </c>
      <c r="W4785" s="8">
        <f>IF(AND(V4785=1,D4785&lt;&gt;""),IF(D4785&gt;=corte,(B4785="CRÍTICO")*1E9+(100000-D4785)*10000+10000-ROW(),""),"")</f>
        <v/>
      </c>
      <c r="X4785" s="8">
        <f>IF(AND(V4785=1,D4785=pas_data,E4785=pas_turno),10000-ROW(),"")</f>
        <v/>
      </c>
    </row>
    <row r="4786">
      <c r="A4786" s="3">
        <f>IF(D4786="","","TT-"&amp;TEXT(ROW()-1,"00000"))</f>
        <v/>
      </c>
      <c r="B4786" s="3">
        <f>IF(D4786="","",IF(V4786=0,"CONCLUÍDO",IF(D4786&lt;corte,"HISTÓRICO",IF(OR(AND(ISNUMBER(R4786),R4786&lt;TODAY()),AND(OR(N4786="PENDENTE",N4786="PARCIAL"),D4786&lt;TODAY()-1)),"CRÍTICO",IF(OR(AND(P4786&lt;&gt;"",S4786=""),AND(N4786="REALIZADO",M4786="PENDENTE"),AND(ISNUMBER(R4786),R4786=TODAY())),"ATENÇÃO",IF(N(K4786)=0,"PENDENTE","EM ANDAMENTO"))))))</f>
        <v/>
      </c>
      <c r="C4786" s="3">
        <f>IF(D4786="","",IF(V4786=0,"🟢 OK",IF(D4786&lt;corte,"⚪ HISTÓRICO (sem baixa)",IF(AND(ISNUMBER(R4786),R4786&lt;TODAY()),"🔴 PRAZO VENCIDO",IF(AND(OR(N4786="PENDENTE",N4786="PARCIAL"),D4786&lt;TODAY()-1),"🔴 EMBARQUE ATRASADO",IF(AND(N4786="REALIZADO",M4786="PENDENTE"),"🟡 EMBARCADO SEM FATURAR",IF(AND(P4786&lt;&gt;"",S4786="",OR(Q4786="",R4786="")),"🟡 PENDÊNCIA SEM RESPONSÁVEL/PRAZO",IF(AND(ISNUMBER(R4786),R4786=TODAY()),"🟡 VENCE HOJE",IF(AND(P4786&lt;&gt;"",S4786=""),"🟡 PENDÊNCIA ABERTA",IF(AND(N(J4786)&gt;0,N(K4786)&lt;J4786),"🟡 FALTA EXECUTAR",IF(OR(M4786="PENDENTE",M4786="PARCIAL"),"🟡 FATURAMENTO PENDENTE","🟡 EMBARQUE PENDENTE")))))))))))</f>
        <v/>
      </c>
      <c r="D4786" s="4" t="n"/>
      <c r="E4786" s="5" t="n"/>
      <c r="F4786" s="5" t="n"/>
      <c r="G4786" s="5" t="n"/>
      <c r="H4786" s="5" t="n"/>
      <c r="I4786" s="5" t="n"/>
      <c r="J4786" s="6" t="n"/>
      <c r="K4786" s="6" t="n"/>
      <c r="L4786" s="7">
        <f>IF(OR(D4786="",N(J4786)=0),"",MIN(1,N(K4786)/J4786))</f>
        <v/>
      </c>
      <c r="M4786" s="5" t="n"/>
      <c r="N4786" s="5" t="n"/>
      <c r="O4786" s="5" t="n"/>
      <c r="P4786" s="5" t="n"/>
      <c r="Q4786" s="5" t="n"/>
      <c r="R4786" s="4" t="n"/>
      <c r="S4786" s="4" t="n"/>
      <c r="T4786" s="5" t="n"/>
      <c r="U4786" s="8">
        <f>IF(AND(V4786=1,D4786&lt;&gt;""),IF(D4786&gt;=corte,TODAY()-D4786,""),"")</f>
        <v/>
      </c>
      <c r="V4786" s="8">
        <f>IF(D4786="",0,IF(OR(AND(P4786&lt;&gt;"",S4786=""),AND(N(J4786)&gt;0,N(K4786)&lt;J4786),OR(M4786="PENDENTE",M4786="PARCIAL"),OR(N4786="PENDENTE",N4786="PARCIAL")),1,0))</f>
        <v/>
      </c>
      <c r="W4786" s="8">
        <f>IF(AND(V4786=1,D4786&lt;&gt;""),IF(D4786&gt;=corte,(B4786="CRÍTICO")*1E9+(100000-D4786)*10000+10000-ROW(),""),"")</f>
        <v/>
      </c>
      <c r="X4786" s="8">
        <f>IF(AND(V4786=1,D4786=pas_data,E4786=pas_turno),10000-ROW(),"")</f>
        <v/>
      </c>
    </row>
    <row r="4787">
      <c r="A4787" s="3">
        <f>IF(D4787="","","TT-"&amp;TEXT(ROW()-1,"00000"))</f>
        <v/>
      </c>
      <c r="B4787" s="3">
        <f>IF(D4787="","",IF(V4787=0,"CONCLUÍDO",IF(D4787&lt;corte,"HISTÓRICO",IF(OR(AND(ISNUMBER(R4787),R4787&lt;TODAY()),AND(OR(N4787="PENDENTE",N4787="PARCIAL"),D4787&lt;TODAY()-1)),"CRÍTICO",IF(OR(AND(P4787&lt;&gt;"",S4787=""),AND(N4787="REALIZADO",M4787="PENDENTE"),AND(ISNUMBER(R4787),R4787=TODAY())),"ATENÇÃO",IF(N(K4787)=0,"PENDENTE","EM ANDAMENTO"))))))</f>
        <v/>
      </c>
      <c r="C4787" s="3">
        <f>IF(D4787="","",IF(V4787=0,"🟢 OK",IF(D4787&lt;corte,"⚪ HISTÓRICO (sem baixa)",IF(AND(ISNUMBER(R4787),R4787&lt;TODAY()),"🔴 PRAZO VENCIDO",IF(AND(OR(N4787="PENDENTE",N4787="PARCIAL"),D4787&lt;TODAY()-1),"🔴 EMBARQUE ATRASADO",IF(AND(N4787="REALIZADO",M4787="PENDENTE"),"🟡 EMBARCADO SEM FATURAR",IF(AND(P4787&lt;&gt;"",S4787="",OR(Q4787="",R4787="")),"🟡 PENDÊNCIA SEM RESPONSÁVEL/PRAZO",IF(AND(ISNUMBER(R4787),R4787=TODAY()),"🟡 VENCE HOJE",IF(AND(P4787&lt;&gt;"",S4787=""),"🟡 PENDÊNCIA ABERTA",IF(AND(N(J4787)&gt;0,N(K4787)&lt;J4787),"🟡 FALTA EXECUTAR",IF(OR(M4787="PENDENTE",M4787="PARCIAL"),"🟡 FATURAMENTO PENDENTE","🟡 EMBARQUE PENDENTE")))))))))))</f>
        <v/>
      </c>
      <c r="D4787" s="4" t="n"/>
      <c r="E4787" s="5" t="n"/>
      <c r="F4787" s="5" t="n"/>
      <c r="G4787" s="5" t="n"/>
      <c r="H4787" s="5" t="n"/>
      <c r="I4787" s="5" t="n"/>
      <c r="J4787" s="6" t="n"/>
      <c r="K4787" s="6" t="n"/>
      <c r="L4787" s="7">
        <f>IF(OR(D4787="",N(J4787)=0),"",MIN(1,N(K4787)/J4787))</f>
        <v/>
      </c>
      <c r="M4787" s="5" t="n"/>
      <c r="N4787" s="5" t="n"/>
      <c r="O4787" s="5" t="n"/>
      <c r="P4787" s="5" t="n"/>
      <c r="Q4787" s="5" t="n"/>
      <c r="R4787" s="4" t="n"/>
      <c r="S4787" s="4" t="n"/>
      <c r="T4787" s="5" t="n"/>
      <c r="U4787" s="8">
        <f>IF(AND(V4787=1,D4787&lt;&gt;""),IF(D4787&gt;=corte,TODAY()-D4787,""),"")</f>
        <v/>
      </c>
      <c r="V4787" s="8">
        <f>IF(D4787="",0,IF(OR(AND(P4787&lt;&gt;"",S4787=""),AND(N(J4787)&gt;0,N(K4787)&lt;J4787),OR(M4787="PENDENTE",M4787="PARCIAL"),OR(N4787="PENDENTE",N4787="PARCIAL")),1,0))</f>
        <v/>
      </c>
      <c r="W4787" s="8">
        <f>IF(AND(V4787=1,D4787&lt;&gt;""),IF(D4787&gt;=corte,(B4787="CRÍTICO")*1E9+(100000-D4787)*10000+10000-ROW(),""),"")</f>
        <v/>
      </c>
      <c r="X4787" s="8">
        <f>IF(AND(V4787=1,D4787=pas_data,E4787=pas_turno),10000-ROW(),"")</f>
        <v/>
      </c>
    </row>
    <row r="4788">
      <c r="A4788" s="3">
        <f>IF(D4788="","","TT-"&amp;TEXT(ROW()-1,"00000"))</f>
        <v/>
      </c>
      <c r="B4788" s="3">
        <f>IF(D4788="","",IF(V4788=0,"CONCLUÍDO",IF(D4788&lt;corte,"HISTÓRICO",IF(OR(AND(ISNUMBER(R4788),R4788&lt;TODAY()),AND(OR(N4788="PENDENTE",N4788="PARCIAL"),D4788&lt;TODAY()-1)),"CRÍTICO",IF(OR(AND(P4788&lt;&gt;"",S4788=""),AND(N4788="REALIZADO",M4788="PENDENTE"),AND(ISNUMBER(R4788),R4788=TODAY())),"ATENÇÃO",IF(N(K4788)=0,"PENDENTE","EM ANDAMENTO"))))))</f>
        <v/>
      </c>
      <c r="C4788" s="3">
        <f>IF(D4788="","",IF(V4788=0,"🟢 OK",IF(D4788&lt;corte,"⚪ HISTÓRICO (sem baixa)",IF(AND(ISNUMBER(R4788),R4788&lt;TODAY()),"🔴 PRAZO VENCIDO",IF(AND(OR(N4788="PENDENTE",N4788="PARCIAL"),D4788&lt;TODAY()-1),"🔴 EMBARQUE ATRASADO",IF(AND(N4788="REALIZADO",M4788="PENDENTE"),"🟡 EMBARCADO SEM FATURAR",IF(AND(P4788&lt;&gt;"",S4788="",OR(Q4788="",R4788="")),"🟡 PENDÊNCIA SEM RESPONSÁVEL/PRAZO",IF(AND(ISNUMBER(R4788),R4788=TODAY()),"🟡 VENCE HOJE",IF(AND(P4788&lt;&gt;"",S4788=""),"🟡 PENDÊNCIA ABERTA",IF(AND(N(J4788)&gt;0,N(K4788)&lt;J4788),"🟡 FALTA EXECUTAR",IF(OR(M4788="PENDENTE",M4788="PARCIAL"),"🟡 FATURAMENTO PENDENTE","🟡 EMBARQUE PENDENTE")))))))))))</f>
        <v/>
      </c>
      <c r="D4788" s="4" t="n"/>
      <c r="E4788" s="5" t="n"/>
      <c r="F4788" s="5" t="n"/>
      <c r="G4788" s="5" t="n"/>
      <c r="H4788" s="5" t="n"/>
      <c r="I4788" s="5" t="n"/>
      <c r="J4788" s="6" t="n"/>
      <c r="K4788" s="6" t="n"/>
      <c r="L4788" s="7">
        <f>IF(OR(D4788="",N(J4788)=0),"",MIN(1,N(K4788)/J4788))</f>
        <v/>
      </c>
      <c r="M4788" s="5" t="n"/>
      <c r="N4788" s="5" t="n"/>
      <c r="O4788" s="5" t="n"/>
      <c r="P4788" s="5" t="n"/>
      <c r="Q4788" s="5" t="n"/>
      <c r="R4788" s="4" t="n"/>
      <c r="S4788" s="4" t="n"/>
      <c r="T4788" s="5" t="n"/>
      <c r="U4788" s="8">
        <f>IF(AND(V4788=1,D4788&lt;&gt;""),IF(D4788&gt;=corte,TODAY()-D4788,""),"")</f>
        <v/>
      </c>
      <c r="V4788" s="8">
        <f>IF(D4788="",0,IF(OR(AND(P4788&lt;&gt;"",S4788=""),AND(N(J4788)&gt;0,N(K4788)&lt;J4788),OR(M4788="PENDENTE",M4788="PARCIAL"),OR(N4788="PENDENTE",N4788="PARCIAL")),1,0))</f>
        <v/>
      </c>
      <c r="W4788" s="8">
        <f>IF(AND(V4788=1,D4788&lt;&gt;""),IF(D4788&gt;=corte,(B4788="CRÍTICO")*1E9+(100000-D4788)*10000+10000-ROW(),""),"")</f>
        <v/>
      </c>
      <c r="X4788" s="8">
        <f>IF(AND(V4788=1,D4788=pas_data,E4788=pas_turno),10000-ROW(),"")</f>
        <v/>
      </c>
    </row>
    <row r="4789">
      <c r="A4789" s="3">
        <f>IF(D4789="","","TT-"&amp;TEXT(ROW()-1,"00000"))</f>
        <v/>
      </c>
      <c r="B4789" s="3">
        <f>IF(D4789="","",IF(V4789=0,"CONCLUÍDO",IF(D4789&lt;corte,"HISTÓRICO",IF(OR(AND(ISNUMBER(R4789),R4789&lt;TODAY()),AND(OR(N4789="PENDENTE",N4789="PARCIAL"),D4789&lt;TODAY()-1)),"CRÍTICO",IF(OR(AND(P4789&lt;&gt;"",S4789=""),AND(N4789="REALIZADO",M4789="PENDENTE"),AND(ISNUMBER(R4789),R4789=TODAY())),"ATENÇÃO",IF(N(K4789)=0,"PENDENTE","EM ANDAMENTO"))))))</f>
        <v/>
      </c>
      <c r="C4789" s="3">
        <f>IF(D4789="","",IF(V4789=0,"🟢 OK",IF(D4789&lt;corte,"⚪ HISTÓRICO (sem baixa)",IF(AND(ISNUMBER(R4789),R4789&lt;TODAY()),"🔴 PRAZO VENCIDO",IF(AND(OR(N4789="PENDENTE",N4789="PARCIAL"),D4789&lt;TODAY()-1),"🔴 EMBARQUE ATRASADO",IF(AND(N4789="REALIZADO",M4789="PENDENTE"),"🟡 EMBARCADO SEM FATURAR",IF(AND(P4789&lt;&gt;"",S4789="",OR(Q4789="",R4789="")),"🟡 PENDÊNCIA SEM RESPONSÁVEL/PRAZO",IF(AND(ISNUMBER(R4789),R4789=TODAY()),"🟡 VENCE HOJE",IF(AND(P4789&lt;&gt;"",S4789=""),"🟡 PENDÊNCIA ABERTA",IF(AND(N(J4789)&gt;0,N(K4789)&lt;J4789),"🟡 FALTA EXECUTAR",IF(OR(M4789="PENDENTE",M4789="PARCIAL"),"🟡 FATURAMENTO PENDENTE","🟡 EMBARQUE PENDENTE")))))))))))</f>
        <v/>
      </c>
      <c r="D4789" s="4" t="n"/>
      <c r="E4789" s="5" t="n"/>
      <c r="F4789" s="5" t="n"/>
      <c r="G4789" s="5" t="n"/>
      <c r="H4789" s="5" t="n"/>
      <c r="I4789" s="5" t="n"/>
      <c r="J4789" s="6" t="n"/>
      <c r="K4789" s="6" t="n"/>
      <c r="L4789" s="7">
        <f>IF(OR(D4789="",N(J4789)=0),"",MIN(1,N(K4789)/J4789))</f>
        <v/>
      </c>
      <c r="M4789" s="5" t="n"/>
      <c r="N4789" s="5" t="n"/>
      <c r="O4789" s="5" t="n"/>
      <c r="P4789" s="5" t="n"/>
      <c r="Q4789" s="5" t="n"/>
      <c r="R4789" s="4" t="n"/>
      <c r="S4789" s="4" t="n"/>
      <c r="T4789" s="5" t="n"/>
      <c r="U4789" s="8">
        <f>IF(AND(V4789=1,D4789&lt;&gt;""),IF(D4789&gt;=corte,TODAY()-D4789,""),"")</f>
        <v/>
      </c>
      <c r="V4789" s="8">
        <f>IF(D4789="",0,IF(OR(AND(P4789&lt;&gt;"",S4789=""),AND(N(J4789)&gt;0,N(K4789)&lt;J4789),OR(M4789="PENDENTE",M4789="PARCIAL"),OR(N4789="PENDENTE",N4789="PARCIAL")),1,0))</f>
        <v/>
      </c>
      <c r="W4789" s="8">
        <f>IF(AND(V4789=1,D4789&lt;&gt;""),IF(D4789&gt;=corte,(B4789="CRÍTICO")*1E9+(100000-D4789)*10000+10000-ROW(),""),"")</f>
        <v/>
      </c>
      <c r="X4789" s="8">
        <f>IF(AND(V4789=1,D4789=pas_data,E4789=pas_turno),10000-ROW(),"")</f>
        <v/>
      </c>
    </row>
    <row r="4790">
      <c r="A4790" s="3">
        <f>IF(D4790="","","TT-"&amp;TEXT(ROW()-1,"00000"))</f>
        <v/>
      </c>
      <c r="B4790" s="3">
        <f>IF(D4790="","",IF(V4790=0,"CONCLUÍDO",IF(D4790&lt;corte,"HISTÓRICO",IF(OR(AND(ISNUMBER(R4790),R4790&lt;TODAY()),AND(OR(N4790="PENDENTE",N4790="PARCIAL"),D4790&lt;TODAY()-1)),"CRÍTICO",IF(OR(AND(P4790&lt;&gt;"",S4790=""),AND(N4790="REALIZADO",M4790="PENDENTE"),AND(ISNUMBER(R4790),R4790=TODAY())),"ATENÇÃO",IF(N(K4790)=0,"PENDENTE","EM ANDAMENTO"))))))</f>
        <v/>
      </c>
      <c r="C4790" s="3">
        <f>IF(D4790="","",IF(V4790=0,"🟢 OK",IF(D4790&lt;corte,"⚪ HISTÓRICO (sem baixa)",IF(AND(ISNUMBER(R4790),R4790&lt;TODAY()),"🔴 PRAZO VENCIDO",IF(AND(OR(N4790="PENDENTE",N4790="PARCIAL"),D4790&lt;TODAY()-1),"🔴 EMBARQUE ATRASADO",IF(AND(N4790="REALIZADO",M4790="PENDENTE"),"🟡 EMBARCADO SEM FATURAR",IF(AND(P4790&lt;&gt;"",S4790="",OR(Q4790="",R4790="")),"🟡 PENDÊNCIA SEM RESPONSÁVEL/PRAZO",IF(AND(ISNUMBER(R4790),R4790=TODAY()),"🟡 VENCE HOJE",IF(AND(P4790&lt;&gt;"",S4790=""),"🟡 PENDÊNCIA ABERTA",IF(AND(N(J4790)&gt;0,N(K4790)&lt;J4790),"🟡 FALTA EXECUTAR",IF(OR(M4790="PENDENTE",M4790="PARCIAL"),"🟡 FATURAMENTO PENDENTE","🟡 EMBARQUE PENDENTE")))))))))))</f>
        <v/>
      </c>
      <c r="D4790" s="4" t="n"/>
      <c r="E4790" s="5" t="n"/>
      <c r="F4790" s="5" t="n"/>
      <c r="G4790" s="5" t="n"/>
      <c r="H4790" s="5" t="n"/>
      <c r="I4790" s="5" t="n"/>
      <c r="J4790" s="6" t="n"/>
      <c r="K4790" s="6" t="n"/>
      <c r="L4790" s="7">
        <f>IF(OR(D4790="",N(J4790)=0),"",MIN(1,N(K4790)/J4790))</f>
        <v/>
      </c>
      <c r="M4790" s="5" t="n"/>
      <c r="N4790" s="5" t="n"/>
      <c r="O4790" s="5" t="n"/>
      <c r="P4790" s="5" t="n"/>
      <c r="Q4790" s="5" t="n"/>
      <c r="R4790" s="4" t="n"/>
      <c r="S4790" s="4" t="n"/>
      <c r="T4790" s="5" t="n"/>
      <c r="U4790" s="8">
        <f>IF(AND(V4790=1,D4790&lt;&gt;""),IF(D4790&gt;=corte,TODAY()-D4790,""),"")</f>
        <v/>
      </c>
      <c r="V4790" s="8">
        <f>IF(D4790="",0,IF(OR(AND(P4790&lt;&gt;"",S4790=""),AND(N(J4790)&gt;0,N(K4790)&lt;J4790),OR(M4790="PENDENTE",M4790="PARCIAL"),OR(N4790="PENDENTE",N4790="PARCIAL")),1,0))</f>
        <v/>
      </c>
      <c r="W4790" s="8">
        <f>IF(AND(V4790=1,D4790&lt;&gt;""),IF(D4790&gt;=corte,(B4790="CRÍTICO")*1E9+(100000-D4790)*10000+10000-ROW(),""),"")</f>
        <v/>
      </c>
      <c r="X4790" s="8">
        <f>IF(AND(V4790=1,D4790=pas_data,E4790=pas_turno),10000-ROW(),"")</f>
        <v/>
      </c>
    </row>
    <row r="4791">
      <c r="A4791" s="3">
        <f>IF(D4791="","","TT-"&amp;TEXT(ROW()-1,"00000"))</f>
        <v/>
      </c>
      <c r="B4791" s="3">
        <f>IF(D4791="","",IF(V4791=0,"CONCLUÍDO",IF(D4791&lt;corte,"HISTÓRICO",IF(OR(AND(ISNUMBER(R4791),R4791&lt;TODAY()),AND(OR(N4791="PENDENTE",N4791="PARCIAL"),D4791&lt;TODAY()-1)),"CRÍTICO",IF(OR(AND(P4791&lt;&gt;"",S4791=""),AND(N4791="REALIZADO",M4791="PENDENTE"),AND(ISNUMBER(R4791),R4791=TODAY())),"ATENÇÃO",IF(N(K4791)=0,"PENDENTE","EM ANDAMENTO"))))))</f>
        <v/>
      </c>
      <c r="C4791" s="3">
        <f>IF(D4791="","",IF(V4791=0,"🟢 OK",IF(D4791&lt;corte,"⚪ HISTÓRICO (sem baixa)",IF(AND(ISNUMBER(R4791),R4791&lt;TODAY()),"🔴 PRAZO VENCIDO",IF(AND(OR(N4791="PENDENTE",N4791="PARCIAL"),D4791&lt;TODAY()-1),"🔴 EMBARQUE ATRASADO",IF(AND(N4791="REALIZADO",M4791="PENDENTE"),"🟡 EMBARCADO SEM FATURAR",IF(AND(P4791&lt;&gt;"",S4791="",OR(Q4791="",R4791="")),"🟡 PENDÊNCIA SEM RESPONSÁVEL/PRAZO",IF(AND(ISNUMBER(R4791),R4791=TODAY()),"🟡 VENCE HOJE",IF(AND(P4791&lt;&gt;"",S4791=""),"🟡 PENDÊNCIA ABERTA",IF(AND(N(J4791)&gt;0,N(K4791)&lt;J4791),"🟡 FALTA EXECUTAR",IF(OR(M4791="PENDENTE",M4791="PARCIAL"),"🟡 FATURAMENTO PENDENTE","🟡 EMBARQUE PENDENTE")))))))))))</f>
        <v/>
      </c>
      <c r="D4791" s="4" t="n"/>
      <c r="E4791" s="5" t="n"/>
      <c r="F4791" s="5" t="n"/>
      <c r="G4791" s="5" t="n"/>
      <c r="H4791" s="5" t="n"/>
      <c r="I4791" s="5" t="n"/>
      <c r="J4791" s="6" t="n"/>
      <c r="K4791" s="6" t="n"/>
      <c r="L4791" s="7">
        <f>IF(OR(D4791="",N(J4791)=0),"",MIN(1,N(K4791)/J4791))</f>
        <v/>
      </c>
      <c r="M4791" s="5" t="n"/>
      <c r="N4791" s="5" t="n"/>
      <c r="O4791" s="5" t="n"/>
      <c r="P4791" s="5" t="n"/>
      <c r="Q4791" s="5" t="n"/>
      <c r="R4791" s="4" t="n"/>
      <c r="S4791" s="4" t="n"/>
      <c r="T4791" s="5" t="n"/>
      <c r="U4791" s="8">
        <f>IF(AND(V4791=1,D4791&lt;&gt;""),IF(D4791&gt;=corte,TODAY()-D4791,""),"")</f>
        <v/>
      </c>
      <c r="V4791" s="8">
        <f>IF(D4791="",0,IF(OR(AND(P4791&lt;&gt;"",S4791=""),AND(N(J4791)&gt;0,N(K4791)&lt;J4791),OR(M4791="PENDENTE",M4791="PARCIAL"),OR(N4791="PENDENTE",N4791="PARCIAL")),1,0))</f>
        <v/>
      </c>
      <c r="W4791" s="8">
        <f>IF(AND(V4791=1,D4791&lt;&gt;""),IF(D4791&gt;=corte,(B4791="CRÍTICO")*1E9+(100000-D4791)*10000+10000-ROW(),""),"")</f>
        <v/>
      </c>
      <c r="X4791" s="8">
        <f>IF(AND(V4791=1,D4791=pas_data,E4791=pas_turno),10000-ROW(),"")</f>
        <v/>
      </c>
    </row>
    <row r="4792">
      <c r="A4792" s="3">
        <f>IF(D4792="","","TT-"&amp;TEXT(ROW()-1,"00000"))</f>
        <v/>
      </c>
      <c r="B4792" s="3">
        <f>IF(D4792="","",IF(V4792=0,"CONCLUÍDO",IF(D4792&lt;corte,"HISTÓRICO",IF(OR(AND(ISNUMBER(R4792),R4792&lt;TODAY()),AND(OR(N4792="PENDENTE",N4792="PARCIAL"),D4792&lt;TODAY()-1)),"CRÍTICO",IF(OR(AND(P4792&lt;&gt;"",S4792=""),AND(N4792="REALIZADO",M4792="PENDENTE"),AND(ISNUMBER(R4792),R4792=TODAY())),"ATENÇÃO",IF(N(K4792)=0,"PENDENTE","EM ANDAMENTO"))))))</f>
        <v/>
      </c>
      <c r="C4792" s="3">
        <f>IF(D4792="","",IF(V4792=0,"🟢 OK",IF(D4792&lt;corte,"⚪ HISTÓRICO (sem baixa)",IF(AND(ISNUMBER(R4792),R4792&lt;TODAY()),"🔴 PRAZO VENCIDO",IF(AND(OR(N4792="PENDENTE",N4792="PARCIAL"),D4792&lt;TODAY()-1),"🔴 EMBARQUE ATRASADO",IF(AND(N4792="REALIZADO",M4792="PENDENTE"),"🟡 EMBARCADO SEM FATURAR",IF(AND(P4792&lt;&gt;"",S4792="",OR(Q4792="",R4792="")),"🟡 PENDÊNCIA SEM RESPONSÁVEL/PRAZO",IF(AND(ISNUMBER(R4792),R4792=TODAY()),"🟡 VENCE HOJE",IF(AND(P4792&lt;&gt;"",S4792=""),"🟡 PENDÊNCIA ABERTA",IF(AND(N(J4792)&gt;0,N(K4792)&lt;J4792),"🟡 FALTA EXECUTAR",IF(OR(M4792="PENDENTE",M4792="PARCIAL"),"🟡 FATURAMENTO PENDENTE","🟡 EMBARQUE PENDENTE")))))))))))</f>
        <v/>
      </c>
      <c r="D4792" s="4" t="n"/>
      <c r="E4792" s="5" t="n"/>
      <c r="F4792" s="5" t="n"/>
      <c r="G4792" s="5" t="n"/>
      <c r="H4792" s="5" t="n"/>
      <c r="I4792" s="5" t="n"/>
      <c r="J4792" s="6" t="n"/>
      <c r="K4792" s="6" t="n"/>
      <c r="L4792" s="7">
        <f>IF(OR(D4792="",N(J4792)=0),"",MIN(1,N(K4792)/J4792))</f>
        <v/>
      </c>
      <c r="M4792" s="5" t="n"/>
      <c r="N4792" s="5" t="n"/>
      <c r="O4792" s="5" t="n"/>
      <c r="P4792" s="5" t="n"/>
      <c r="Q4792" s="5" t="n"/>
      <c r="R4792" s="4" t="n"/>
      <c r="S4792" s="4" t="n"/>
      <c r="T4792" s="5" t="n"/>
      <c r="U4792" s="8">
        <f>IF(AND(V4792=1,D4792&lt;&gt;""),IF(D4792&gt;=corte,TODAY()-D4792,""),"")</f>
        <v/>
      </c>
      <c r="V4792" s="8">
        <f>IF(D4792="",0,IF(OR(AND(P4792&lt;&gt;"",S4792=""),AND(N(J4792)&gt;0,N(K4792)&lt;J4792),OR(M4792="PENDENTE",M4792="PARCIAL"),OR(N4792="PENDENTE",N4792="PARCIAL")),1,0))</f>
        <v/>
      </c>
      <c r="W4792" s="8">
        <f>IF(AND(V4792=1,D4792&lt;&gt;""),IF(D4792&gt;=corte,(B4792="CRÍTICO")*1E9+(100000-D4792)*10000+10000-ROW(),""),"")</f>
        <v/>
      </c>
      <c r="X4792" s="8">
        <f>IF(AND(V4792=1,D4792=pas_data,E4792=pas_turno),10000-ROW(),"")</f>
        <v/>
      </c>
    </row>
    <row r="4793">
      <c r="A4793" s="3">
        <f>IF(D4793="","","TT-"&amp;TEXT(ROW()-1,"00000"))</f>
        <v/>
      </c>
      <c r="B4793" s="3">
        <f>IF(D4793="","",IF(V4793=0,"CONCLUÍDO",IF(D4793&lt;corte,"HISTÓRICO",IF(OR(AND(ISNUMBER(R4793),R4793&lt;TODAY()),AND(OR(N4793="PENDENTE",N4793="PARCIAL"),D4793&lt;TODAY()-1)),"CRÍTICO",IF(OR(AND(P4793&lt;&gt;"",S4793=""),AND(N4793="REALIZADO",M4793="PENDENTE"),AND(ISNUMBER(R4793),R4793=TODAY())),"ATENÇÃO",IF(N(K4793)=0,"PENDENTE","EM ANDAMENTO"))))))</f>
        <v/>
      </c>
      <c r="C4793" s="3">
        <f>IF(D4793="","",IF(V4793=0,"🟢 OK",IF(D4793&lt;corte,"⚪ HISTÓRICO (sem baixa)",IF(AND(ISNUMBER(R4793),R4793&lt;TODAY()),"🔴 PRAZO VENCIDO",IF(AND(OR(N4793="PENDENTE",N4793="PARCIAL"),D4793&lt;TODAY()-1),"🔴 EMBARQUE ATRASADO",IF(AND(N4793="REALIZADO",M4793="PENDENTE"),"🟡 EMBARCADO SEM FATURAR",IF(AND(P4793&lt;&gt;"",S4793="",OR(Q4793="",R4793="")),"🟡 PENDÊNCIA SEM RESPONSÁVEL/PRAZO",IF(AND(ISNUMBER(R4793),R4793=TODAY()),"🟡 VENCE HOJE",IF(AND(P4793&lt;&gt;"",S4793=""),"🟡 PENDÊNCIA ABERTA",IF(AND(N(J4793)&gt;0,N(K4793)&lt;J4793),"🟡 FALTA EXECUTAR",IF(OR(M4793="PENDENTE",M4793="PARCIAL"),"🟡 FATURAMENTO PENDENTE","🟡 EMBARQUE PENDENTE")))))))))))</f>
        <v/>
      </c>
      <c r="D4793" s="4" t="n"/>
      <c r="E4793" s="5" t="n"/>
      <c r="F4793" s="5" t="n"/>
      <c r="G4793" s="5" t="n"/>
      <c r="H4793" s="5" t="n"/>
      <c r="I4793" s="5" t="n"/>
      <c r="J4793" s="6" t="n"/>
      <c r="K4793" s="6" t="n"/>
      <c r="L4793" s="7">
        <f>IF(OR(D4793="",N(J4793)=0),"",MIN(1,N(K4793)/J4793))</f>
        <v/>
      </c>
      <c r="M4793" s="5" t="n"/>
      <c r="N4793" s="5" t="n"/>
      <c r="O4793" s="5" t="n"/>
      <c r="P4793" s="5" t="n"/>
      <c r="Q4793" s="5" t="n"/>
      <c r="R4793" s="4" t="n"/>
      <c r="S4793" s="4" t="n"/>
      <c r="T4793" s="5" t="n"/>
      <c r="U4793" s="8">
        <f>IF(AND(V4793=1,D4793&lt;&gt;""),IF(D4793&gt;=corte,TODAY()-D4793,""),"")</f>
        <v/>
      </c>
      <c r="V4793" s="8">
        <f>IF(D4793="",0,IF(OR(AND(P4793&lt;&gt;"",S4793=""),AND(N(J4793)&gt;0,N(K4793)&lt;J4793),OR(M4793="PENDENTE",M4793="PARCIAL"),OR(N4793="PENDENTE",N4793="PARCIAL")),1,0))</f>
        <v/>
      </c>
      <c r="W4793" s="8">
        <f>IF(AND(V4793=1,D4793&lt;&gt;""),IF(D4793&gt;=corte,(B4793="CRÍTICO")*1E9+(100000-D4793)*10000+10000-ROW(),""),"")</f>
        <v/>
      </c>
      <c r="X4793" s="8">
        <f>IF(AND(V4793=1,D4793=pas_data,E4793=pas_turno),10000-ROW(),"")</f>
        <v/>
      </c>
    </row>
    <row r="4794">
      <c r="A4794" s="3">
        <f>IF(D4794="","","TT-"&amp;TEXT(ROW()-1,"00000"))</f>
        <v/>
      </c>
      <c r="B4794" s="3">
        <f>IF(D4794="","",IF(V4794=0,"CONCLUÍDO",IF(D4794&lt;corte,"HISTÓRICO",IF(OR(AND(ISNUMBER(R4794),R4794&lt;TODAY()),AND(OR(N4794="PENDENTE",N4794="PARCIAL"),D4794&lt;TODAY()-1)),"CRÍTICO",IF(OR(AND(P4794&lt;&gt;"",S4794=""),AND(N4794="REALIZADO",M4794="PENDENTE"),AND(ISNUMBER(R4794),R4794=TODAY())),"ATENÇÃO",IF(N(K4794)=0,"PENDENTE","EM ANDAMENTO"))))))</f>
        <v/>
      </c>
      <c r="C4794" s="3">
        <f>IF(D4794="","",IF(V4794=0,"🟢 OK",IF(D4794&lt;corte,"⚪ HISTÓRICO (sem baixa)",IF(AND(ISNUMBER(R4794),R4794&lt;TODAY()),"🔴 PRAZO VENCIDO",IF(AND(OR(N4794="PENDENTE",N4794="PARCIAL"),D4794&lt;TODAY()-1),"🔴 EMBARQUE ATRASADO",IF(AND(N4794="REALIZADO",M4794="PENDENTE"),"🟡 EMBARCADO SEM FATURAR",IF(AND(P4794&lt;&gt;"",S4794="",OR(Q4794="",R4794="")),"🟡 PENDÊNCIA SEM RESPONSÁVEL/PRAZO",IF(AND(ISNUMBER(R4794),R4794=TODAY()),"🟡 VENCE HOJE",IF(AND(P4794&lt;&gt;"",S4794=""),"🟡 PENDÊNCIA ABERTA",IF(AND(N(J4794)&gt;0,N(K4794)&lt;J4794),"🟡 FALTA EXECUTAR",IF(OR(M4794="PENDENTE",M4794="PARCIAL"),"🟡 FATURAMENTO PENDENTE","🟡 EMBARQUE PENDENTE")))))))))))</f>
        <v/>
      </c>
      <c r="D4794" s="4" t="n"/>
      <c r="E4794" s="5" t="n"/>
      <c r="F4794" s="5" t="n"/>
      <c r="G4794" s="5" t="n"/>
      <c r="H4794" s="5" t="n"/>
      <c r="I4794" s="5" t="n"/>
      <c r="J4794" s="6" t="n"/>
      <c r="K4794" s="6" t="n"/>
      <c r="L4794" s="7">
        <f>IF(OR(D4794="",N(J4794)=0),"",MIN(1,N(K4794)/J4794))</f>
        <v/>
      </c>
      <c r="M4794" s="5" t="n"/>
      <c r="N4794" s="5" t="n"/>
      <c r="O4794" s="5" t="n"/>
      <c r="P4794" s="5" t="n"/>
      <c r="Q4794" s="5" t="n"/>
      <c r="R4794" s="4" t="n"/>
      <c r="S4794" s="4" t="n"/>
      <c r="T4794" s="5" t="n"/>
      <c r="U4794" s="8">
        <f>IF(AND(V4794=1,D4794&lt;&gt;""),IF(D4794&gt;=corte,TODAY()-D4794,""),"")</f>
        <v/>
      </c>
      <c r="V4794" s="8">
        <f>IF(D4794="",0,IF(OR(AND(P4794&lt;&gt;"",S4794=""),AND(N(J4794)&gt;0,N(K4794)&lt;J4794),OR(M4794="PENDENTE",M4794="PARCIAL"),OR(N4794="PENDENTE",N4794="PARCIAL")),1,0))</f>
        <v/>
      </c>
      <c r="W4794" s="8">
        <f>IF(AND(V4794=1,D4794&lt;&gt;""),IF(D4794&gt;=corte,(B4794="CRÍTICO")*1E9+(100000-D4794)*10000+10000-ROW(),""),"")</f>
        <v/>
      </c>
      <c r="X4794" s="8">
        <f>IF(AND(V4794=1,D4794=pas_data,E4794=pas_turno),10000-ROW(),"")</f>
        <v/>
      </c>
    </row>
    <row r="4795">
      <c r="A4795" s="3">
        <f>IF(D4795="","","TT-"&amp;TEXT(ROW()-1,"00000"))</f>
        <v/>
      </c>
      <c r="B4795" s="3">
        <f>IF(D4795="","",IF(V4795=0,"CONCLUÍDO",IF(D4795&lt;corte,"HISTÓRICO",IF(OR(AND(ISNUMBER(R4795),R4795&lt;TODAY()),AND(OR(N4795="PENDENTE",N4795="PARCIAL"),D4795&lt;TODAY()-1)),"CRÍTICO",IF(OR(AND(P4795&lt;&gt;"",S4795=""),AND(N4795="REALIZADO",M4795="PENDENTE"),AND(ISNUMBER(R4795),R4795=TODAY())),"ATENÇÃO",IF(N(K4795)=0,"PENDENTE","EM ANDAMENTO"))))))</f>
        <v/>
      </c>
      <c r="C4795" s="3">
        <f>IF(D4795="","",IF(V4795=0,"🟢 OK",IF(D4795&lt;corte,"⚪ HISTÓRICO (sem baixa)",IF(AND(ISNUMBER(R4795),R4795&lt;TODAY()),"🔴 PRAZO VENCIDO",IF(AND(OR(N4795="PENDENTE",N4795="PARCIAL"),D4795&lt;TODAY()-1),"🔴 EMBARQUE ATRASADO",IF(AND(N4795="REALIZADO",M4795="PENDENTE"),"🟡 EMBARCADO SEM FATURAR",IF(AND(P4795&lt;&gt;"",S4795="",OR(Q4795="",R4795="")),"🟡 PENDÊNCIA SEM RESPONSÁVEL/PRAZO",IF(AND(ISNUMBER(R4795),R4795=TODAY()),"🟡 VENCE HOJE",IF(AND(P4795&lt;&gt;"",S4795=""),"🟡 PENDÊNCIA ABERTA",IF(AND(N(J4795)&gt;0,N(K4795)&lt;J4795),"🟡 FALTA EXECUTAR",IF(OR(M4795="PENDENTE",M4795="PARCIAL"),"🟡 FATURAMENTO PENDENTE","🟡 EMBARQUE PENDENTE")))))))))))</f>
        <v/>
      </c>
      <c r="D4795" s="4" t="n"/>
      <c r="E4795" s="5" t="n"/>
      <c r="F4795" s="5" t="n"/>
      <c r="G4795" s="5" t="n"/>
      <c r="H4795" s="5" t="n"/>
      <c r="I4795" s="5" t="n"/>
      <c r="J4795" s="6" t="n"/>
      <c r="K4795" s="6" t="n"/>
      <c r="L4795" s="7">
        <f>IF(OR(D4795="",N(J4795)=0),"",MIN(1,N(K4795)/J4795))</f>
        <v/>
      </c>
      <c r="M4795" s="5" t="n"/>
      <c r="N4795" s="5" t="n"/>
      <c r="O4795" s="5" t="n"/>
      <c r="P4795" s="5" t="n"/>
      <c r="Q4795" s="5" t="n"/>
      <c r="R4795" s="4" t="n"/>
      <c r="S4795" s="4" t="n"/>
      <c r="T4795" s="5" t="n"/>
      <c r="U4795" s="8">
        <f>IF(AND(V4795=1,D4795&lt;&gt;""),IF(D4795&gt;=corte,TODAY()-D4795,""),"")</f>
        <v/>
      </c>
      <c r="V4795" s="8">
        <f>IF(D4795="",0,IF(OR(AND(P4795&lt;&gt;"",S4795=""),AND(N(J4795)&gt;0,N(K4795)&lt;J4795),OR(M4795="PENDENTE",M4795="PARCIAL"),OR(N4795="PENDENTE",N4795="PARCIAL")),1,0))</f>
        <v/>
      </c>
      <c r="W4795" s="8">
        <f>IF(AND(V4795=1,D4795&lt;&gt;""),IF(D4795&gt;=corte,(B4795="CRÍTICO")*1E9+(100000-D4795)*10000+10000-ROW(),""),"")</f>
        <v/>
      </c>
      <c r="X4795" s="8">
        <f>IF(AND(V4795=1,D4795=pas_data,E4795=pas_turno),10000-ROW(),"")</f>
        <v/>
      </c>
    </row>
    <row r="4796">
      <c r="A4796" s="3">
        <f>IF(D4796="","","TT-"&amp;TEXT(ROW()-1,"00000"))</f>
        <v/>
      </c>
      <c r="B4796" s="3">
        <f>IF(D4796="","",IF(V4796=0,"CONCLUÍDO",IF(D4796&lt;corte,"HISTÓRICO",IF(OR(AND(ISNUMBER(R4796),R4796&lt;TODAY()),AND(OR(N4796="PENDENTE",N4796="PARCIAL"),D4796&lt;TODAY()-1)),"CRÍTICO",IF(OR(AND(P4796&lt;&gt;"",S4796=""),AND(N4796="REALIZADO",M4796="PENDENTE"),AND(ISNUMBER(R4796),R4796=TODAY())),"ATENÇÃO",IF(N(K4796)=0,"PENDENTE","EM ANDAMENTO"))))))</f>
        <v/>
      </c>
      <c r="C4796" s="3">
        <f>IF(D4796="","",IF(V4796=0,"🟢 OK",IF(D4796&lt;corte,"⚪ HISTÓRICO (sem baixa)",IF(AND(ISNUMBER(R4796),R4796&lt;TODAY()),"🔴 PRAZO VENCIDO",IF(AND(OR(N4796="PENDENTE",N4796="PARCIAL"),D4796&lt;TODAY()-1),"🔴 EMBARQUE ATRASADO",IF(AND(N4796="REALIZADO",M4796="PENDENTE"),"🟡 EMBARCADO SEM FATURAR",IF(AND(P4796&lt;&gt;"",S4796="",OR(Q4796="",R4796="")),"🟡 PENDÊNCIA SEM RESPONSÁVEL/PRAZO",IF(AND(ISNUMBER(R4796),R4796=TODAY()),"🟡 VENCE HOJE",IF(AND(P4796&lt;&gt;"",S4796=""),"🟡 PENDÊNCIA ABERTA",IF(AND(N(J4796)&gt;0,N(K4796)&lt;J4796),"🟡 FALTA EXECUTAR",IF(OR(M4796="PENDENTE",M4796="PARCIAL"),"🟡 FATURAMENTO PENDENTE","🟡 EMBARQUE PENDENTE")))))))))))</f>
        <v/>
      </c>
      <c r="D4796" s="4" t="n"/>
      <c r="E4796" s="5" t="n"/>
      <c r="F4796" s="5" t="n"/>
      <c r="G4796" s="5" t="n"/>
      <c r="H4796" s="5" t="n"/>
      <c r="I4796" s="5" t="n"/>
      <c r="J4796" s="6" t="n"/>
      <c r="K4796" s="6" t="n"/>
      <c r="L4796" s="7">
        <f>IF(OR(D4796="",N(J4796)=0),"",MIN(1,N(K4796)/J4796))</f>
        <v/>
      </c>
      <c r="M4796" s="5" t="n"/>
      <c r="N4796" s="5" t="n"/>
      <c r="O4796" s="5" t="n"/>
      <c r="P4796" s="5" t="n"/>
      <c r="Q4796" s="5" t="n"/>
      <c r="R4796" s="4" t="n"/>
      <c r="S4796" s="4" t="n"/>
      <c r="T4796" s="5" t="n"/>
      <c r="U4796" s="8">
        <f>IF(AND(V4796=1,D4796&lt;&gt;""),IF(D4796&gt;=corte,TODAY()-D4796,""),"")</f>
        <v/>
      </c>
      <c r="V4796" s="8">
        <f>IF(D4796="",0,IF(OR(AND(P4796&lt;&gt;"",S4796=""),AND(N(J4796)&gt;0,N(K4796)&lt;J4796),OR(M4796="PENDENTE",M4796="PARCIAL"),OR(N4796="PENDENTE",N4796="PARCIAL")),1,0))</f>
        <v/>
      </c>
      <c r="W4796" s="8">
        <f>IF(AND(V4796=1,D4796&lt;&gt;""),IF(D4796&gt;=corte,(B4796="CRÍTICO")*1E9+(100000-D4796)*10000+10000-ROW(),""),"")</f>
        <v/>
      </c>
      <c r="X4796" s="8">
        <f>IF(AND(V4796=1,D4796=pas_data,E4796=pas_turno),10000-ROW(),"")</f>
        <v/>
      </c>
    </row>
    <row r="4797">
      <c r="A4797" s="3">
        <f>IF(D4797="","","TT-"&amp;TEXT(ROW()-1,"00000"))</f>
        <v/>
      </c>
      <c r="B4797" s="3">
        <f>IF(D4797="","",IF(V4797=0,"CONCLUÍDO",IF(D4797&lt;corte,"HISTÓRICO",IF(OR(AND(ISNUMBER(R4797),R4797&lt;TODAY()),AND(OR(N4797="PENDENTE",N4797="PARCIAL"),D4797&lt;TODAY()-1)),"CRÍTICO",IF(OR(AND(P4797&lt;&gt;"",S4797=""),AND(N4797="REALIZADO",M4797="PENDENTE"),AND(ISNUMBER(R4797),R4797=TODAY())),"ATENÇÃO",IF(N(K4797)=0,"PENDENTE","EM ANDAMENTO"))))))</f>
        <v/>
      </c>
      <c r="C4797" s="3">
        <f>IF(D4797="","",IF(V4797=0,"🟢 OK",IF(D4797&lt;corte,"⚪ HISTÓRICO (sem baixa)",IF(AND(ISNUMBER(R4797),R4797&lt;TODAY()),"🔴 PRAZO VENCIDO",IF(AND(OR(N4797="PENDENTE",N4797="PARCIAL"),D4797&lt;TODAY()-1),"🔴 EMBARQUE ATRASADO",IF(AND(N4797="REALIZADO",M4797="PENDENTE"),"🟡 EMBARCADO SEM FATURAR",IF(AND(P4797&lt;&gt;"",S4797="",OR(Q4797="",R4797="")),"🟡 PENDÊNCIA SEM RESPONSÁVEL/PRAZO",IF(AND(ISNUMBER(R4797),R4797=TODAY()),"🟡 VENCE HOJE",IF(AND(P4797&lt;&gt;"",S4797=""),"🟡 PENDÊNCIA ABERTA",IF(AND(N(J4797)&gt;0,N(K4797)&lt;J4797),"🟡 FALTA EXECUTAR",IF(OR(M4797="PENDENTE",M4797="PARCIAL"),"🟡 FATURAMENTO PENDENTE","🟡 EMBARQUE PENDENTE")))))))))))</f>
        <v/>
      </c>
      <c r="D4797" s="4" t="n"/>
      <c r="E4797" s="5" t="n"/>
      <c r="F4797" s="5" t="n"/>
      <c r="G4797" s="5" t="n"/>
      <c r="H4797" s="5" t="n"/>
      <c r="I4797" s="5" t="n"/>
      <c r="J4797" s="6" t="n"/>
      <c r="K4797" s="6" t="n"/>
      <c r="L4797" s="7">
        <f>IF(OR(D4797="",N(J4797)=0),"",MIN(1,N(K4797)/J4797))</f>
        <v/>
      </c>
      <c r="M4797" s="5" t="n"/>
      <c r="N4797" s="5" t="n"/>
      <c r="O4797" s="5" t="n"/>
      <c r="P4797" s="5" t="n"/>
      <c r="Q4797" s="5" t="n"/>
      <c r="R4797" s="4" t="n"/>
      <c r="S4797" s="4" t="n"/>
      <c r="T4797" s="5" t="n"/>
      <c r="U4797" s="8">
        <f>IF(AND(V4797=1,D4797&lt;&gt;""),IF(D4797&gt;=corte,TODAY()-D4797,""),"")</f>
        <v/>
      </c>
      <c r="V4797" s="8">
        <f>IF(D4797="",0,IF(OR(AND(P4797&lt;&gt;"",S4797=""),AND(N(J4797)&gt;0,N(K4797)&lt;J4797),OR(M4797="PENDENTE",M4797="PARCIAL"),OR(N4797="PENDENTE",N4797="PARCIAL")),1,0))</f>
        <v/>
      </c>
      <c r="W4797" s="8">
        <f>IF(AND(V4797=1,D4797&lt;&gt;""),IF(D4797&gt;=corte,(B4797="CRÍTICO")*1E9+(100000-D4797)*10000+10000-ROW(),""),"")</f>
        <v/>
      </c>
      <c r="X4797" s="8">
        <f>IF(AND(V4797=1,D4797=pas_data,E4797=pas_turno),10000-ROW(),"")</f>
        <v/>
      </c>
    </row>
    <row r="4798">
      <c r="A4798" s="3">
        <f>IF(D4798="","","TT-"&amp;TEXT(ROW()-1,"00000"))</f>
        <v/>
      </c>
      <c r="B4798" s="3">
        <f>IF(D4798="","",IF(V4798=0,"CONCLUÍDO",IF(D4798&lt;corte,"HISTÓRICO",IF(OR(AND(ISNUMBER(R4798),R4798&lt;TODAY()),AND(OR(N4798="PENDENTE",N4798="PARCIAL"),D4798&lt;TODAY()-1)),"CRÍTICO",IF(OR(AND(P4798&lt;&gt;"",S4798=""),AND(N4798="REALIZADO",M4798="PENDENTE"),AND(ISNUMBER(R4798),R4798=TODAY())),"ATENÇÃO",IF(N(K4798)=0,"PENDENTE","EM ANDAMENTO"))))))</f>
        <v/>
      </c>
      <c r="C4798" s="3">
        <f>IF(D4798="","",IF(V4798=0,"🟢 OK",IF(D4798&lt;corte,"⚪ HISTÓRICO (sem baixa)",IF(AND(ISNUMBER(R4798),R4798&lt;TODAY()),"🔴 PRAZO VENCIDO",IF(AND(OR(N4798="PENDENTE",N4798="PARCIAL"),D4798&lt;TODAY()-1),"🔴 EMBARQUE ATRASADO",IF(AND(N4798="REALIZADO",M4798="PENDENTE"),"🟡 EMBARCADO SEM FATURAR",IF(AND(P4798&lt;&gt;"",S4798="",OR(Q4798="",R4798="")),"🟡 PENDÊNCIA SEM RESPONSÁVEL/PRAZO",IF(AND(ISNUMBER(R4798),R4798=TODAY()),"🟡 VENCE HOJE",IF(AND(P4798&lt;&gt;"",S4798=""),"🟡 PENDÊNCIA ABERTA",IF(AND(N(J4798)&gt;0,N(K4798)&lt;J4798),"🟡 FALTA EXECUTAR",IF(OR(M4798="PENDENTE",M4798="PARCIAL"),"🟡 FATURAMENTO PENDENTE","🟡 EMBARQUE PENDENTE")))))))))))</f>
        <v/>
      </c>
      <c r="D4798" s="4" t="n"/>
      <c r="E4798" s="5" t="n"/>
      <c r="F4798" s="5" t="n"/>
      <c r="G4798" s="5" t="n"/>
      <c r="H4798" s="5" t="n"/>
      <c r="I4798" s="5" t="n"/>
      <c r="J4798" s="6" t="n"/>
      <c r="K4798" s="6" t="n"/>
      <c r="L4798" s="7">
        <f>IF(OR(D4798="",N(J4798)=0),"",MIN(1,N(K4798)/J4798))</f>
        <v/>
      </c>
      <c r="M4798" s="5" t="n"/>
      <c r="N4798" s="5" t="n"/>
      <c r="O4798" s="5" t="n"/>
      <c r="P4798" s="5" t="n"/>
      <c r="Q4798" s="5" t="n"/>
      <c r="R4798" s="4" t="n"/>
      <c r="S4798" s="4" t="n"/>
      <c r="T4798" s="5" t="n"/>
      <c r="U4798" s="8">
        <f>IF(AND(V4798=1,D4798&lt;&gt;""),IF(D4798&gt;=corte,TODAY()-D4798,""),"")</f>
        <v/>
      </c>
      <c r="V4798" s="8">
        <f>IF(D4798="",0,IF(OR(AND(P4798&lt;&gt;"",S4798=""),AND(N(J4798)&gt;0,N(K4798)&lt;J4798),OR(M4798="PENDENTE",M4798="PARCIAL"),OR(N4798="PENDENTE",N4798="PARCIAL")),1,0))</f>
        <v/>
      </c>
      <c r="W4798" s="8">
        <f>IF(AND(V4798=1,D4798&lt;&gt;""),IF(D4798&gt;=corte,(B4798="CRÍTICO")*1E9+(100000-D4798)*10000+10000-ROW(),""),"")</f>
        <v/>
      </c>
      <c r="X4798" s="8">
        <f>IF(AND(V4798=1,D4798=pas_data,E4798=pas_turno),10000-ROW(),"")</f>
        <v/>
      </c>
    </row>
    <row r="4799">
      <c r="A4799" s="3">
        <f>IF(D4799="","","TT-"&amp;TEXT(ROW()-1,"00000"))</f>
        <v/>
      </c>
      <c r="B4799" s="3">
        <f>IF(D4799="","",IF(V4799=0,"CONCLUÍDO",IF(D4799&lt;corte,"HISTÓRICO",IF(OR(AND(ISNUMBER(R4799),R4799&lt;TODAY()),AND(OR(N4799="PENDENTE",N4799="PARCIAL"),D4799&lt;TODAY()-1)),"CRÍTICO",IF(OR(AND(P4799&lt;&gt;"",S4799=""),AND(N4799="REALIZADO",M4799="PENDENTE"),AND(ISNUMBER(R4799),R4799=TODAY())),"ATENÇÃO",IF(N(K4799)=0,"PENDENTE","EM ANDAMENTO"))))))</f>
        <v/>
      </c>
      <c r="C4799" s="3">
        <f>IF(D4799="","",IF(V4799=0,"🟢 OK",IF(D4799&lt;corte,"⚪ HISTÓRICO (sem baixa)",IF(AND(ISNUMBER(R4799),R4799&lt;TODAY()),"🔴 PRAZO VENCIDO",IF(AND(OR(N4799="PENDENTE",N4799="PARCIAL"),D4799&lt;TODAY()-1),"🔴 EMBARQUE ATRASADO",IF(AND(N4799="REALIZADO",M4799="PENDENTE"),"🟡 EMBARCADO SEM FATURAR",IF(AND(P4799&lt;&gt;"",S4799="",OR(Q4799="",R4799="")),"🟡 PENDÊNCIA SEM RESPONSÁVEL/PRAZO",IF(AND(ISNUMBER(R4799),R4799=TODAY()),"🟡 VENCE HOJE",IF(AND(P4799&lt;&gt;"",S4799=""),"🟡 PENDÊNCIA ABERTA",IF(AND(N(J4799)&gt;0,N(K4799)&lt;J4799),"🟡 FALTA EXECUTAR",IF(OR(M4799="PENDENTE",M4799="PARCIAL"),"🟡 FATURAMENTO PENDENTE","🟡 EMBARQUE PENDENTE")))))))))))</f>
        <v/>
      </c>
      <c r="D4799" s="4" t="n"/>
      <c r="E4799" s="5" t="n"/>
      <c r="F4799" s="5" t="n"/>
      <c r="G4799" s="5" t="n"/>
      <c r="H4799" s="5" t="n"/>
      <c r="I4799" s="5" t="n"/>
      <c r="J4799" s="6" t="n"/>
      <c r="K4799" s="6" t="n"/>
      <c r="L4799" s="7">
        <f>IF(OR(D4799="",N(J4799)=0),"",MIN(1,N(K4799)/J4799))</f>
        <v/>
      </c>
      <c r="M4799" s="5" t="n"/>
      <c r="N4799" s="5" t="n"/>
      <c r="O4799" s="5" t="n"/>
      <c r="P4799" s="5" t="n"/>
      <c r="Q4799" s="5" t="n"/>
      <c r="R4799" s="4" t="n"/>
      <c r="S4799" s="4" t="n"/>
      <c r="T4799" s="5" t="n"/>
      <c r="U4799" s="8">
        <f>IF(AND(V4799=1,D4799&lt;&gt;""),IF(D4799&gt;=corte,TODAY()-D4799,""),"")</f>
        <v/>
      </c>
      <c r="V4799" s="8">
        <f>IF(D4799="",0,IF(OR(AND(P4799&lt;&gt;"",S4799=""),AND(N(J4799)&gt;0,N(K4799)&lt;J4799),OR(M4799="PENDENTE",M4799="PARCIAL"),OR(N4799="PENDENTE",N4799="PARCIAL")),1,0))</f>
        <v/>
      </c>
      <c r="W4799" s="8">
        <f>IF(AND(V4799=1,D4799&lt;&gt;""),IF(D4799&gt;=corte,(B4799="CRÍTICO")*1E9+(100000-D4799)*10000+10000-ROW(),""),"")</f>
        <v/>
      </c>
      <c r="X4799" s="8">
        <f>IF(AND(V4799=1,D4799=pas_data,E4799=pas_turno),10000-ROW(),"")</f>
        <v/>
      </c>
    </row>
    <row r="4800">
      <c r="A4800" s="3">
        <f>IF(D4800="","","TT-"&amp;TEXT(ROW()-1,"00000"))</f>
        <v/>
      </c>
      <c r="B4800" s="3">
        <f>IF(D4800="","",IF(V4800=0,"CONCLUÍDO",IF(D4800&lt;corte,"HISTÓRICO",IF(OR(AND(ISNUMBER(R4800),R4800&lt;TODAY()),AND(OR(N4800="PENDENTE",N4800="PARCIAL"),D4800&lt;TODAY()-1)),"CRÍTICO",IF(OR(AND(P4800&lt;&gt;"",S4800=""),AND(N4800="REALIZADO",M4800="PENDENTE"),AND(ISNUMBER(R4800),R4800=TODAY())),"ATENÇÃO",IF(N(K4800)=0,"PENDENTE","EM ANDAMENTO"))))))</f>
        <v/>
      </c>
      <c r="C4800" s="3">
        <f>IF(D4800="","",IF(V4800=0,"🟢 OK",IF(D4800&lt;corte,"⚪ HISTÓRICO (sem baixa)",IF(AND(ISNUMBER(R4800),R4800&lt;TODAY()),"🔴 PRAZO VENCIDO",IF(AND(OR(N4800="PENDENTE",N4800="PARCIAL"),D4800&lt;TODAY()-1),"🔴 EMBARQUE ATRASADO",IF(AND(N4800="REALIZADO",M4800="PENDENTE"),"🟡 EMBARCADO SEM FATURAR",IF(AND(P4800&lt;&gt;"",S4800="",OR(Q4800="",R4800="")),"🟡 PENDÊNCIA SEM RESPONSÁVEL/PRAZO",IF(AND(ISNUMBER(R4800),R4800=TODAY()),"🟡 VENCE HOJE",IF(AND(P4800&lt;&gt;"",S4800=""),"🟡 PENDÊNCIA ABERTA",IF(AND(N(J4800)&gt;0,N(K4800)&lt;J4800),"🟡 FALTA EXECUTAR",IF(OR(M4800="PENDENTE",M4800="PARCIAL"),"🟡 FATURAMENTO PENDENTE","🟡 EMBARQUE PENDENTE")))))))))))</f>
        <v/>
      </c>
      <c r="D4800" s="4" t="n"/>
      <c r="E4800" s="5" t="n"/>
      <c r="F4800" s="5" t="n"/>
      <c r="G4800" s="5" t="n"/>
      <c r="H4800" s="5" t="n"/>
      <c r="I4800" s="5" t="n"/>
      <c r="J4800" s="6" t="n"/>
      <c r="K4800" s="6" t="n"/>
      <c r="L4800" s="7">
        <f>IF(OR(D4800="",N(J4800)=0),"",MIN(1,N(K4800)/J4800))</f>
        <v/>
      </c>
      <c r="M4800" s="5" t="n"/>
      <c r="N4800" s="5" t="n"/>
      <c r="O4800" s="5" t="n"/>
      <c r="P4800" s="5" t="n"/>
      <c r="Q4800" s="5" t="n"/>
      <c r="R4800" s="4" t="n"/>
      <c r="S4800" s="4" t="n"/>
      <c r="T4800" s="5" t="n"/>
      <c r="U4800" s="8">
        <f>IF(AND(V4800=1,D4800&lt;&gt;""),IF(D4800&gt;=corte,TODAY()-D4800,""),"")</f>
        <v/>
      </c>
      <c r="V4800" s="8">
        <f>IF(D4800="",0,IF(OR(AND(P4800&lt;&gt;"",S4800=""),AND(N(J4800)&gt;0,N(K4800)&lt;J4800),OR(M4800="PENDENTE",M4800="PARCIAL"),OR(N4800="PENDENTE",N4800="PARCIAL")),1,0))</f>
        <v/>
      </c>
      <c r="W4800" s="8">
        <f>IF(AND(V4800=1,D4800&lt;&gt;""),IF(D4800&gt;=corte,(B4800="CRÍTICO")*1E9+(100000-D4800)*10000+10000-ROW(),""),"")</f>
        <v/>
      </c>
      <c r="X4800" s="8">
        <f>IF(AND(V4800=1,D4800=pas_data,E4800=pas_turno),10000-ROW(),"")</f>
        <v/>
      </c>
    </row>
    <row r="4801">
      <c r="A4801" s="3">
        <f>IF(D4801="","","TT-"&amp;TEXT(ROW()-1,"00000"))</f>
        <v/>
      </c>
      <c r="B4801" s="3">
        <f>IF(D4801="","",IF(V4801=0,"CONCLUÍDO",IF(D4801&lt;corte,"HISTÓRICO",IF(OR(AND(ISNUMBER(R4801),R4801&lt;TODAY()),AND(OR(N4801="PENDENTE",N4801="PARCIAL"),D4801&lt;TODAY()-1)),"CRÍTICO",IF(OR(AND(P4801&lt;&gt;"",S4801=""),AND(N4801="REALIZADO",M4801="PENDENTE"),AND(ISNUMBER(R4801),R4801=TODAY())),"ATENÇÃO",IF(N(K4801)=0,"PENDENTE","EM ANDAMENTO"))))))</f>
        <v/>
      </c>
      <c r="C4801" s="3">
        <f>IF(D4801="","",IF(V4801=0,"🟢 OK",IF(D4801&lt;corte,"⚪ HISTÓRICO (sem baixa)",IF(AND(ISNUMBER(R4801),R4801&lt;TODAY()),"🔴 PRAZO VENCIDO",IF(AND(OR(N4801="PENDENTE",N4801="PARCIAL"),D4801&lt;TODAY()-1),"🔴 EMBARQUE ATRASADO",IF(AND(N4801="REALIZADO",M4801="PENDENTE"),"🟡 EMBARCADO SEM FATURAR",IF(AND(P4801&lt;&gt;"",S4801="",OR(Q4801="",R4801="")),"🟡 PENDÊNCIA SEM RESPONSÁVEL/PRAZO",IF(AND(ISNUMBER(R4801),R4801=TODAY()),"🟡 VENCE HOJE",IF(AND(P4801&lt;&gt;"",S4801=""),"🟡 PENDÊNCIA ABERTA",IF(AND(N(J4801)&gt;0,N(K4801)&lt;J4801),"🟡 FALTA EXECUTAR",IF(OR(M4801="PENDENTE",M4801="PARCIAL"),"🟡 FATURAMENTO PENDENTE","🟡 EMBARQUE PENDENTE")))))))))))</f>
        <v/>
      </c>
      <c r="D4801" s="4" t="n"/>
      <c r="E4801" s="5" t="n"/>
      <c r="F4801" s="5" t="n"/>
      <c r="G4801" s="5" t="n"/>
      <c r="H4801" s="5" t="n"/>
      <c r="I4801" s="5" t="n"/>
      <c r="J4801" s="6" t="n"/>
      <c r="K4801" s="6" t="n"/>
      <c r="L4801" s="7">
        <f>IF(OR(D4801="",N(J4801)=0),"",MIN(1,N(K4801)/J4801))</f>
        <v/>
      </c>
      <c r="M4801" s="5" t="n"/>
      <c r="N4801" s="5" t="n"/>
      <c r="O4801" s="5" t="n"/>
      <c r="P4801" s="5" t="n"/>
      <c r="Q4801" s="5" t="n"/>
      <c r="R4801" s="4" t="n"/>
      <c r="S4801" s="4" t="n"/>
      <c r="T4801" s="5" t="n"/>
      <c r="U4801" s="8">
        <f>IF(AND(V4801=1,D4801&lt;&gt;""),IF(D4801&gt;=corte,TODAY()-D4801,""),"")</f>
        <v/>
      </c>
      <c r="V4801" s="8">
        <f>IF(D4801="",0,IF(OR(AND(P4801&lt;&gt;"",S4801=""),AND(N(J4801)&gt;0,N(K4801)&lt;J4801),OR(M4801="PENDENTE",M4801="PARCIAL"),OR(N4801="PENDENTE",N4801="PARCIAL")),1,0))</f>
        <v/>
      </c>
      <c r="W4801" s="8">
        <f>IF(AND(V4801=1,D4801&lt;&gt;""),IF(D4801&gt;=corte,(B4801="CRÍTICO")*1E9+(100000-D4801)*10000+10000-ROW(),""),"")</f>
        <v/>
      </c>
      <c r="X4801" s="8">
        <f>IF(AND(V4801=1,D4801=pas_data,E4801=pas_turno),10000-ROW(),"")</f>
        <v/>
      </c>
    </row>
    <row r="4802">
      <c r="A4802" s="3">
        <f>IF(D4802="","","TT-"&amp;TEXT(ROW()-1,"00000"))</f>
        <v/>
      </c>
      <c r="B4802" s="3">
        <f>IF(D4802="","",IF(V4802=0,"CONCLUÍDO",IF(D4802&lt;corte,"HISTÓRICO",IF(OR(AND(ISNUMBER(R4802),R4802&lt;TODAY()),AND(OR(N4802="PENDENTE",N4802="PARCIAL"),D4802&lt;TODAY()-1)),"CRÍTICO",IF(OR(AND(P4802&lt;&gt;"",S4802=""),AND(N4802="REALIZADO",M4802="PENDENTE"),AND(ISNUMBER(R4802),R4802=TODAY())),"ATENÇÃO",IF(N(K4802)=0,"PENDENTE","EM ANDAMENTO"))))))</f>
        <v/>
      </c>
      <c r="C4802" s="3">
        <f>IF(D4802="","",IF(V4802=0,"🟢 OK",IF(D4802&lt;corte,"⚪ HISTÓRICO (sem baixa)",IF(AND(ISNUMBER(R4802),R4802&lt;TODAY()),"🔴 PRAZO VENCIDO",IF(AND(OR(N4802="PENDENTE",N4802="PARCIAL"),D4802&lt;TODAY()-1),"🔴 EMBARQUE ATRASADO",IF(AND(N4802="REALIZADO",M4802="PENDENTE"),"🟡 EMBARCADO SEM FATURAR",IF(AND(P4802&lt;&gt;"",S4802="",OR(Q4802="",R4802="")),"🟡 PENDÊNCIA SEM RESPONSÁVEL/PRAZO",IF(AND(ISNUMBER(R4802),R4802=TODAY()),"🟡 VENCE HOJE",IF(AND(P4802&lt;&gt;"",S4802=""),"🟡 PENDÊNCIA ABERTA",IF(AND(N(J4802)&gt;0,N(K4802)&lt;J4802),"🟡 FALTA EXECUTAR",IF(OR(M4802="PENDENTE",M4802="PARCIAL"),"🟡 FATURAMENTO PENDENTE","🟡 EMBARQUE PENDENTE")))))))))))</f>
        <v/>
      </c>
      <c r="D4802" s="4" t="n"/>
      <c r="E4802" s="5" t="n"/>
      <c r="F4802" s="5" t="n"/>
      <c r="G4802" s="5" t="n"/>
      <c r="H4802" s="5" t="n"/>
      <c r="I4802" s="5" t="n"/>
      <c r="J4802" s="6" t="n"/>
      <c r="K4802" s="6" t="n"/>
      <c r="L4802" s="7">
        <f>IF(OR(D4802="",N(J4802)=0),"",MIN(1,N(K4802)/J4802))</f>
        <v/>
      </c>
      <c r="M4802" s="5" t="n"/>
      <c r="N4802" s="5" t="n"/>
      <c r="O4802" s="5" t="n"/>
      <c r="P4802" s="5" t="n"/>
      <c r="Q4802" s="5" t="n"/>
      <c r="R4802" s="4" t="n"/>
      <c r="S4802" s="4" t="n"/>
      <c r="T4802" s="5" t="n"/>
      <c r="U4802" s="8">
        <f>IF(AND(V4802=1,D4802&lt;&gt;""),IF(D4802&gt;=corte,TODAY()-D4802,""),"")</f>
        <v/>
      </c>
      <c r="V4802" s="8">
        <f>IF(D4802="",0,IF(OR(AND(P4802&lt;&gt;"",S4802=""),AND(N(J4802)&gt;0,N(K4802)&lt;J4802),OR(M4802="PENDENTE",M4802="PARCIAL"),OR(N4802="PENDENTE",N4802="PARCIAL")),1,0))</f>
        <v/>
      </c>
      <c r="W4802" s="8">
        <f>IF(AND(V4802=1,D4802&lt;&gt;""),IF(D4802&gt;=corte,(B4802="CRÍTICO")*1E9+(100000-D4802)*10000+10000-ROW(),""),"")</f>
        <v/>
      </c>
      <c r="X4802" s="8">
        <f>IF(AND(V4802=1,D4802=pas_data,E4802=pas_turno),10000-ROW(),"")</f>
        <v/>
      </c>
    </row>
    <row r="4803">
      <c r="A4803" s="3">
        <f>IF(D4803="","","TT-"&amp;TEXT(ROW()-1,"00000"))</f>
        <v/>
      </c>
      <c r="B4803" s="3">
        <f>IF(D4803="","",IF(V4803=0,"CONCLUÍDO",IF(D4803&lt;corte,"HISTÓRICO",IF(OR(AND(ISNUMBER(R4803),R4803&lt;TODAY()),AND(OR(N4803="PENDENTE",N4803="PARCIAL"),D4803&lt;TODAY()-1)),"CRÍTICO",IF(OR(AND(P4803&lt;&gt;"",S4803=""),AND(N4803="REALIZADO",M4803="PENDENTE"),AND(ISNUMBER(R4803),R4803=TODAY())),"ATENÇÃO",IF(N(K4803)=0,"PENDENTE","EM ANDAMENTO"))))))</f>
        <v/>
      </c>
      <c r="C4803" s="3">
        <f>IF(D4803="","",IF(V4803=0,"🟢 OK",IF(D4803&lt;corte,"⚪ HISTÓRICO (sem baixa)",IF(AND(ISNUMBER(R4803),R4803&lt;TODAY()),"🔴 PRAZO VENCIDO",IF(AND(OR(N4803="PENDENTE",N4803="PARCIAL"),D4803&lt;TODAY()-1),"🔴 EMBARQUE ATRASADO",IF(AND(N4803="REALIZADO",M4803="PENDENTE"),"🟡 EMBARCADO SEM FATURAR",IF(AND(P4803&lt;&gt;"",S4803="",OR(Q4803="",R4803="")),"🟡 PENDÊNCIA SEM RESPONSÁVEL/PRAZO",IF(AND(ISNUMBER(R4803),R4803=TODAY()),"🟡 VENCE HOJE",IF(AND(P4803&lt;&gt;"",S4803=""),"🟡 PENDÊNCIA ABERTA",IF(AND(N(J4803)&gt;0,N(K4803)&lt;J4803),"🟡 FALTA EXECUTAR",IF(OR(M4803="PENDENTE",M4803="PARCIAL"),"🟡 FATURAMENTO PENDENTE","🟡 EMBARQUE PENDENTE")))))))))))</f>
        <v/>
      </c>
      <c r="D4803" s="4" t="n"/>
      <c r="E4803" s="5" t="n"/>
      <c r="F4803" s="5" t="n"/>
      <c r="G4803" s="5" t="n"/>
      <c r="H4803" s="5" t="n"/>
      <c r="I4803" s="5" t="n"/>
      <c r="J4803" s="6" t="n"/>
      <c r="K4803" s="6" t="n"/>
      <c r="L4803" s="7">
        <f>IF(OR(D4803="",N(J4803)=0),"",MIN(1,N(K4803)/J4803))</f>
        <v/>
      </c>
      <c r="M4803" s="5" t="n"/>
      <c r="N4803" s="5" t="n"/>
      <c r="O4803" s="5" t="n"/>
      <c r="P4803" s="5" t="n"/>
      <c r="Q4803" s="5" t="n"/>
      <c r="R4803" s="4" t="n"/>
      <c r="S4803" s="4" t="n"/>
      <c r="T4803" s="5" t="n"/>
      <c r="U4803" s="8">
        <f>IF(AND(V4803=1,D4803&lt;&gt;""),IF(D4803&gt;=corte,TODAY()-D4803,""),"")</f>
        <v/>
      </c>
      <c r="V4803" s="8">
        <f>IF(D4803="",0,IF(OR(AND(P4803&lt;&gt;"",S4803=""),AND(N(J4803)&gt;0,N(K4803)&lt;J4803),OR(M4803="PENDENTE",M4803="PARCIAL"),OR(N4803="PENDENTE",N4803="PARCIAL")),1,0))</f>
        <v/>
      </c>
      <c r="W4803" s="8">
        <f>IF(AND(V4803=1,D4803&lt;&gt;""),IF(D4803&gt;=corte,(B4803="CRÍTICO")*1E9+(100000-D4803)*10000+10000-ROW(),""),"")</f>
        <v/>
      </c>
      <c r="X4803" s="8">
        <f>IF(AND(V4803=1,D4803=pas_data,E4803=pas_turno),10000-ROW(),"")</f>
        <v/>
      </c>
    </row>
    <row r="4804">
      <c r="A4804" s="3">
        <f>IF(D4804="","","TT-"&amp;TEXT(ROW()-1,"00000"))</f>
        <v/>
      </c>
      <c r="B4804" s="3">
        <f>IF(D4804="","",IF(V4804=0,"CONCLUÍDO",IF(D4804&lt;corte,"HISTÓRICO",IF(OR(AND(ISNUMBER(R4804),R4804&lt;TODAY()),AND(OR(N4804="PENDENTE",N4804="PARCIAL"),D4804&lt;TODAY()-1)),"CRÍTICO",IF(OR(AND(P4804&lt;&gt;"",S4804=""),AND(N4804="REALIZADO",M4804="PENDENTE"),AND(ISNUMBER(R4804),R4804=TODAY())),"ATENÇÃO",IF(N(K4804)=0,"PENDENTE","EM ANDAMENTO"))))))</f>
        <v/>
      </c>
      <c r="C4804" s="3">
        <f>IF(D4804="","",IF(V4804=0,"🟢 OK",IF(D4804&lt;corte,"⚪ HISTÓRICO (sem baixa)",IF(AND(ISNUMBER(R4804),R4804&lt;TODAY()),"🔴 PRAZO VENCIDO",IF(AND(OR(N4804="PENDENTE",N4804="PARCIAL"),D4804&lt;TODAY()-1),"🔴 EMBARQUE ATRASADO",IF(AND(N4804="REALIZADO",M4804="PENDENTE"),"🟡 EMBARCADO SEM FATURAR",IF(AND(P4804&lt;&gt;"",S4804="",OR(Q4804="",R4804="")),"🟡 PENDÊNCIA SEM RESPONSÁVEL/PRAZO",IF(AND(ISNUMBER(R4804),R4804=TODAY()),"🟡 VENCE HOJE",IF(AND(P4804&lt;&gt;"",S4804=""),"🟡 PENDÊNCIA ABERTA",IF(AND(N(J4804)&gt;0,N(K4804)&lt;J4804),"🟡 FALTA EXECUTAR",IF(OR(M4804="PENDENTE",M4804="PARCIAL"),"🟡 FATURAMENTO PENDENTE","🟡 EMBARQUE PENDENTE")))))))))))</f>
        <v/>
      </c>
      <c r="D4804" s="4" t="n"/>
      <c r="E4804" s="5" t="n"/>
      <c r="F4804" s="5" t="n"/>
      <c r="G4804" s="5" t="n"/>
      <c r="H4804" s="5" t="n"/>
      <c r="I4804" s="5" t="n"/>
      <c r="J4804" s="6" t="n"/>
      <c r="K4804" s="6" t="n"/>
      <c r="L4804" s="7">
        <f>IF(OR(D4804="",N(J4804)=0),"",MIN(1,N(K4804)/J4804))</f>
        <v/>
      </c>
      <c r="M4804" s="5" t="n"/>
      <c r="N4804" s="5" t="n"/>
      <c r="O4804" s="5" t="n"/>
      <c r="P4804" s="5" t="n"/>
      <c r="Q4804" s="5" t="n"/>
      <c r="R4804" s="4" t="n"/>
      <c r="S4804" s="4" t="n"/>
      <c r="T4804" s="5" t="n"/>
      <c r="U4804" s="8">
        <f>IF(AND(V4804=1,D4804&lt;&gt;""),IF(D4804&gt;=corte,TODAY()-D4804,""),"")</f>
        <v/>
      </c>
      <c r="V4804" s="8">
        <f>IF(D4804="",0,IF(OR(AND(P4804&lt;&gt;"",S4804=""),AND(N(J4804)&gt;0,N(K4804)&lt;J4804),OR(M4804="PENDENTE",M4804="PARCIAL"),OR(N4804="PENDENTE",N4804="PARCIAL")),1,0))</f>
        <v/>
      </c>
      <c r="W4804" s="8">
        <f>IF(AND(V4804=1,D4804&lt;&gt;""),IF(D4804&gt;=corte,(B4804="CRÍTICO")*1E9+(100000-D4804)*10000+10000-ROW(),""),"")</f>
        <v/>
      </c>
      <c r="X4804" s="8">
        <f>IF(AND(V4804=1,D4804=pas_data,E4804=pas_turno),10000-ROW(),"")</f>
        <v/>
      </c>
    </row>
    <row r="4805">
      <c r="A4805" s="3">
        <f>IF(D4805="","","TT-"&amp;TEXT(ROW()-1,"00000"))</f>
        <v/>
      </c>
      <c r="B4805" s="3">
        <f>IF(D4805="","",IF(V4805=0,"CONCLUÍDO",IF(D4805&lt;corte,"HISTÓRICO",IF(OR(AND(ISNUMBER(R4805),R4805&lt;TODAY()),AND(OR(N4805="PENDENTE",N4805="PARCIAL"),D4805&lt;TODAY()-1)),"CRÍTICO",IF(OR(AND(P4805&lt;&gt;"",S4805=""),AND(N4805="REALIZADO",M4805="PENDENTE"),AND(ISNUMBER(R4805),R4805=TODAY())),"ATENÇÃO",IF(N(K4805)=0,"PENDENTE","EM ANDAMENTO"))))))</f>
        <v/>
      </c>
      <c r="C4805" s="3">
        <f>IF(D4805="","",IF(V4805=0,"🟢 OK",IF(D4805&lt;corte,"⚪ HISTÓRICO (sem baixa)",IF(AND(ISNUMBER(R4805),R4805&lt;TODAY()),"🔴 PRAZO VENCIDO",IF(AND(OR(N4805="PENDENTE",N4805="PARCIAL"),D4805&lt;TODAY()-1),"🔴 EMBARQUE ATRASADO",IF(AND(N4805="REALIZADO",M4805="PENDENTE"),"🟡 EMBARCADO SEM FATURAR",IF(AND(P4805&lt;&gt;"",S4805="",OR(Q4805="",R4805="")),"🟡 PENDÊNCIA SEM RESPONSÁVEL/PRAZO",IF(AND(ISNUMBER(R4805),R4805=TODAY()),"🟡 VENCE HOJE",IF(AND(P4805&lt;&gt;"",S4805=""),"🟡 PENDÊNCIA ABERTA",IF(AND(N(J4805)&gt;0,N(K4805)&lt;J4805),"🟡 FALTA EXECUTAR",IF(OR(M4805="PENDENTE",M4805="PARCIAL"),"🟡 FATURAMENTO PENDENTE","🟡 EMBARQUE PENDENTE")))))))))))</f>
        <v/>
      </c>
      <c r="D4805" s="4" t="n"/>
      <c r="E4805" s="5" t="n"/>
      <c r="F4805" s="5" t="n"/>
      <c r="G4805" s="5" t="n"/>
      <c r="H4805" s="5" t="n"/>
      <c r="I4805" s="5" t="n"/>
      <c r="J4805" s="6" t="n"/>
      <c r="K4805" s="6" t="n"/>
      <c r="L4805" s="7">
        <f>IF(OR(D4805="",N(J4805)=0),"",MIN(1,N(K4805)/J4805))</f>
        <v/>
      </c>
      <c r="M4805" s="5" t="n"/>
      <c r="N4805" s="5" t="n"/>
      <c r="O4805" s="5" t="n"/>
      <c r="P4805" s="5" t="n"/>
      <c r="Q4805" s="5" t="n"/>
      <c r="R4805" s="4" t="n"/>
      <c r="S4805" s="4" t="n"/>
      <c r="T4805" s="5" t="n"/>
      <c r="U4805" s="8">
        <f>IF(AND(V4805=1,D4805&lt;&gt;""),IF(D4805&gt;=corte,TODAY()-D4805,""),"")</f>
        <v/>
      </c>
      <c r="V4805" s="8">
        <f>IF(D4805="",0,IF(OR(AND(P4805&lt;&gt;"",S4805=""),AND(N(J4805)&gt;0,N(K4805)&lt;J4805),OR(M4805="PENDENTE",M4805="PARCIAL"),OR(N4805="PENDENTE",N4805="PARCIAL")),1,0))</f>
        <v/>
      </c>
      <c r="W4805" s="8">
        <f>IF(AND(V4805=1,D4805&lt;&gt;""),IF(D4805&gt;=corte,(B4805="CRÍTICO")*1E9+(100000-D4805)*10000+10000-ROW(),""),"")</f>
        <v/>
      </c>
      <c r="X4805" s="8">
        <f>IF(AND(V4805=1,D4805=pas_data,E4805=pas_turno),10000-ROW(),"")</f>
        <v/>
      </c>
    </row>
    <row r="4806">
      <c r="A4806" s="3">
        <f>IF(D4806="","","TT-"&amp;TEXT(ROW()-1,"00000"))</f>
        <v/>
      </c>
      <c r="B4806" s="3">
        <f>IF(D4806="","",IF(V4806=0,"CONCLUÍDO",IF(D4806&lt;corte,"HISTÓRICO",IF(OR(AND(ISNUMBER(R4806),R4806&lt;TODAY()),AND(OR(N4806="PENDENTE",N4806="PARCIAL"),D4806&lt;TODAY()-1)),"CRÍTICO",IF(OR(AND(P4806&lt;&gt;"",S4806=""),AND(N4806="REALIZADO",M4806="PENDENTE"),AND(ISNUMBER(R4806),R4806=TODAY())),"ATENÇÃO",IF(N(K4806)=0,"PENDENTE","EM ANDAMENTO"))))))</f>
        <v/>
      </c>
      <c r="C4806" s="3">
        <f>IF(D4806="","",IF(V4806=0,"🟢 OK",IF(D4806&lt;corte,"⚪ HISTÓRICO (sem baixa)",IF(AND(ISNUMBER(R4806),R4806&lt;TODAY()),"🔴 PRAZO VENCIDO",IF(AND(OR(N4806="PENDENTE",N4806="PARCIAL"),D4806&lt;TODAY()-1),"🔴 EMBARQUE ATRASADO",IF(AND(N4806="REALIZADO",M4806="PENDENTE"),"🟡 EMBARCADO SEM FATURAR",IF(AND(P4806&lt;&gt;"",S4806="",OR(Q4806="",R4806="")),"🟡 PENDÊNCIA SEM RESPONSÁVEL/PRAZO",IF(AND(ISNUMBER(R4806),R4806=TODAY()),"🟡 VENCE HOJE",IF(AND(P4806&lt;&gt;"",S4806=""),"🟡 PENDÊNCIA ABERTA",IF(AND(N(J4806)&gt;0,N(K4806)&lt;J4806),"🟡 FALTA EXECUTAR",IF(OR(M4806="PENDENTE",M4806="PARCIAL"),"🟡 FATURAMENTO PENDENTE","🟡 EMBARQUE PENDENTE")))))))))))</f>
        <v/>
      </c>
      <c r="D4806" s="4" t="n"/>
      <c r="E4806" s="5" t="n"/>
      <c r="F4806" s="5" t="n"/>
      <c r="G4806" s="5" t="n"/>
      <c r="H4806" s="5" t="n"/>
      <c r="I4806" s="5" t="n"/>
      <c r="J4806" s="6" t="n"/>
      <c r="K4806" s="6" t="n"/>
      <c r="L4806" s="7">
        <f>IF(OR(D4806="",N(J4806)=0),"",MIN(1,N(K4806)/J4806))</f>
        <v/>
      </c>
      <c r="M4806" s="5" t="n"/>
      <c r="N4806" s="5" t="n"/>
      <c r="O4806" s="5" t="n"/>
      <c r="P4806" s="5" t="n"/>
      <c r="Q4806" s="5" t="n"/>
      <c r="R4806" s="4" t="n"/>
      <c r="S4806" s="4" t="n"/>
      <c r="T4806" s="5" t="n"/>
      <c r="U4806" s="8">
        <f>IF(AND(V4806=1,D4806&lt;&gt;""),IF(D4806&gt;=corte,TODAY()-D4806,""),"")</f>
        <v/>
      </c>
      <c r="V4806" s="8">
        <f>IF(D4806="",0,IF(OR(AND(P4806&lt;&gt;"",S4806=""),AND(N(J4806)&gt;0,N(K4806)&lt;J4806),OR(M4806="PENDENTE",M4806="PARCIAL"),OR(N4806="PENDENTE",N4806="PARCIAL")),1,0))</f>
        <v/>
      </c>
      <c r="W4806" s="8">
        <f>IF(AND(V4806=1,D4806&lt;&gt;""),IF(D4806&gt;=corte,(B4806="CRÍTICO")*1E9+(100000-D4806)*10000+10000-ROW(),""),"")</f>
        <v/>
      </c>
      <c r="X4806" s="8">
        <f>IF(AND(V4806=1,D4806=pas_data,E4806=pas_turno),10000-ROW(),"")</f>
        <v/>
      </c>
    </row>
    <row r="4807">
      <c r="A4807" s="3">
        <f>IF(D4807="","","TT-"&amp;TEXT(ROW()-1,"00000"))</f>
        <v/>
      </c>
      <c r="B4807" s="3">
        <f>IF(D4807="","",IF(V4807=0,"CONCLUÍDO",IF(D4807&lt;corte,"HISTÓRICO",IF(OR(AND(ISNUMBER(R4807),R4807&lt;TODAY()),AND(OR(N4807="PENDENTE",N4807="PARCIAL"),D4807&lt;TODAY()-1)),"CRÍTICO",IF(OR(AND(P4807&lt;&gt;"",S4807=""),AND(N4807="REALIZADO",M4807="PENDENTE"),AND(ISNUMBER(R4807),R4807=TODAY())),"ATENÇÃO",IF(N(K4807)=0,"PENDENTE","EM ANDAMENTO"))))))</f>
        <v/>
      </c>
      <c r="C4807" s="3">
        <f>IF(D4807="","",IF(V4807=0,"🟢 OK",IF(D4807&lt;corte,"⚪ HISTÓRICO (sem baixa)",IF(AND(ISNUMBER(R4807),R4807&lt;TODAY()),"🔴 PRAZO VENCIDO",IF(AND(OR(N4807="PENDENTE",N4807="PARCIAL"),D4807&lt;TODAY()-1),"🔴 EMBARQUE ATRASADO",IF(AND(N4807="REALIZADO",M4807="PENDENTE"),"🟡 EMBARCADO SEM FATURAR",IF(AND(P4807&lt;&gt;"",S4807="",OR(Q4807="",R4807="")),"🟡 PENDÊNCIA SEM RESPONSÁVEL/PRAZO",IF(AND(ISNUMBER(R4807),R4807=TODAY()),"🟡 VENCE HOJE",IF(AND(P4807&lt;&gt;"",S4807=""),"🟡 PENDÊNCIA ABERTA",IF(AND(N(J4807)&gt;0,N(K4807)&lt;J4807),"🟡 FALTA EXECUTAR",IF(OR(M4807="PENDENTE",M4807="PARCIAL"),"🟡 FATURAMENTO PENDENTE","🟡 EMBARQUE PENDENTE")))))))))))</f>
        <v/>
      </c>
      <c r="D4807" s="4" t="n"/>
      <c r="E4807" s="5" t="n"/>
      <c r="F4807" s="5" t="n"/>
      <c r="G4807" s="5" t="n"/>
      <c r="H4807" s="5" t="n"/>
      <c r="I4807" s="5" t="n"/>
      <c r="J4807" s="6" t="n"/>
      <c r="K4807" s="6" t="n"/>
      <c r="L4807" s="7">
        <f>IF(OR(D4807="",N(J4807)=0),"",MIN(1,N(K4807)/J4807))</f>
        <v/>
      </c>
      <c r="M4807" s="5" t="n"/>
      <c r="N4807" s="5" t="n"/>
      <c r="O4807" s="5" t="n"/>
      <c r="P4807" s="5" t="n"/>
      <c r="Q4807" s="5" t="n"/>
      <c r="R4807" s="4" t="n"/>
      <c r="S4807" s="4" t="n"/>
      <c r="T4807" s="5" t="n"/>
      <c r="U4807" s="8">
        <f>IF(AND(V4807=1,D4807&lt;&gt;""),IF(D4807&gt;=corte,TODAY()-D4807,""),"")</f>
        <v/>
      </c>
      <c r="V4807" s="8">
        <f>IF(D4807="",0,IF(OR(AND(P4807&lt;&gt;"",S4807=""),AND(N(J4807)&gt;0,N(K4807)&lt;J4807),OR(M4807="PENDENTE",M4807="PARCIAL"),OR(N4807="PENDENTE",N4807="PARCIAL")),1,0))</f>
        <v/>
      </c>
      <c r="W4807" s="8">
        <f>IF(AND(V4807=1,D4807&lt;&gt;""),IF(D4807&gt;=corte,(B4807="CRÍTICO")*1E9+(100000-D4807)*10000+10000-ROW(),""),"")</f>
        <v/>
      </c>
      <c r="X4807" s="8">
        <f>IF(AND(V4807=1,D4807=pas_data,E4807=pas_turno),10000-ROW(),"")</f>
        <v/>
      </c>
    </row>
    <row r="4808">
      <c r="A4808" s="3">
        <f>IF(D4808="","","TT-"&amp;TEXT(ROW()-1,"00000"))</f>
        <v/>
      </c>
      <c r="B4808" s="3">
        <f>IF(D4808="","",IF(V4808=0,"CONCLUÍDO",IF(D4808&lt;corte,"HISTÓRICO",IF(OR(AND(ISNUMBER(R4808),R4808&lt;TODAY()),AND(OR(N4808="PENDENTE",N4808="PARCIAL"),D4808&lt;TODAY()-1)),"CRÍTICO",IF(OR(AND(P4808&lt;&gt;"",S4808=""),AND(N4808="REALIZADO",M4808="PENDENTE"),AND(ISNUMBER(R4808),R4808=TODAY())),"ATENÇÃO",IF(N(K4808)=0,"PENDENTE","EM ANDAMENTO"))))))</f>
        <v/>
      </c>
      <c r="C4808" s="3">
        <f>IF(D4808="","",IF(V4808=0,"🟢 OK",IF(D4808&lt;corte,"⚪ HISTÓRICO (sem baixa)",IF(AND(ISNUMBER(R4808),R4808&lt;TODAY()),"🔴 PRAZO VENCIDO",IF(AND(OR(N4808="PENDENTE",N4808="PARCIAL"),D4808&lt;TODAY()-1),"🔴 EMBARQUE ATRASADO",IF(AND(N4808="REALIZADO",M4808="PENDENTE"),"🟡 EMBARCADO SEM FATURAR",IF(AND(P4808&lt;&gt;"",S4808="",OR(Q4808="",R4808="")),"🟡 PENDÊNCIA SEM RESPONSÁVEL/PRAZO",IF(AND(ISNUMBER(R4808),R4808=TODAY()),"🟡 VENCE HOJE",IF(AND(P4808&lt;&gt;"",S4808=""),"🟡 PENDÊNCIA ABERTA",IF(AND(N(J4808)&gt;0,N(K4808)&lt;J4808),"🟡 FALTA EXECUTAR",IF(OR(M4808="PENDENTE",M4808="PARCIAL"),"🟡 FATURAMENTO PENDENTE","🟡 EMBARQUE PENDENTE")))))))))))</f>
        <v/>
      </c>
      <c r="D4808" s="4" t="n"/>
      <c r="E4808" s="5" t="n"/>
      <c r="F4808" s="5" t="n"/>
      <c r="G4808" s="5" t="n"/>
      <c r="H4808" s="5" t="n"/>
      <c r="I4808" s="5" t="n"/>
      <c r="J4808" s="6" t="n"/>
      <c r="K4808" s="6" t="n"/>
      <c r="L4808" s="7">
        <f>IF(OR(D4808="",N(J4808)=0),"",MIN(1,N(K4808)/J4808))</f>
        <v/>
      </c>
      <c r="M4808" s="5" t="n"/>
      <c r="N4808" s="5" t="n"/>
      <c r="O4808" s="5" t="n"/>
      <c r="P4808" s="5" t="n"/>
      <c r="Q4808" s="5" t="n"/>
      <c r="R4808" s="4" t="n"/>
      <c r="S4808" s="4" t="n"/>
      <c r="T4808" s="5" t="n"/>
      <c r="U4808" s="8">
        <f>IF(AND(V4808=1,D4808&lt;&gt;""),IF(D4808&gt;=corte,TODAY()-D4808,""),"")</f>
        <v/>
      </c>
      <c r="V4808" s="8">
        <f>IF(D4808="",0,IF(OR(AND(P4808&lt;&gt;"",S4808=""),AND(N(J4808)&gt;0,N(K4808)&lt;J4808),OR(M4808="PENDENTE",M4808="PARCIAL"),OR(N4808="PENDENTE",N4808="PARCIAL")),1,0))</f>
        <v/>
      </c>
      <c r="W4808" s="8">
        <f>IF(AND(V4808=1,D4808&lt;&gt;""),IF(D4808&gt;=corte,(B4808="CRÍTICO")*1E9+(100000-D4808)*10000+10000-ROW(),""),"")</f>
        <v/>
      </c>
      <c r="X4808" s="8">
        <f>IF(AND(V4808=1,D4808=pas_data,E4808=pas_turno),10000-ROW(),"")</f>
        <v/>
      </c>
    </row>
    <row r="4809">
      <c r="A4809" s="3">
        <f>IF(D4809="","","TT-"&amp;TEXT(ROW()-1,"00000"))</f>
        <v/>
      </c>
      <c r="B4809" s="3">
        <f>IF(D4809="","",IF(V4809=0,"CONCLUÍDO",IF(D4809&lt;corte,"HISTÓRICO",IF(OR(AND(ISNUMBER(R4809),R4809&lt;TODAY()),AND(OR(N4809="PENDENTE",N4809="PARCIAL"),D4809&lt;TODAY()-1)),"CRÍTICO",IF(OR(AND(P4809&lt;&gt;"",S4809=""),AND(N4809="REALIZADO",M4809="PENDENTE"),AND(ISNUMBER(R4809),R4809=TODAY())),"ATENÇÃO",IF(N(K4809)=0,"PENDENTE","EM ANDAMENTO"))))))</f>
        <v/>
      </c>
      <c r="C4809" s="3">
        <f>IF(D4809="","",IF(V4809=0,"🟢 OK",IF(D4809&lt;corte,"⚪ HISTÓRICO (sem baixa)",IF(AND(ISNUMBER(R4809),R4809&lt;TODAY()),"🔴 PRAZO VENCIDO",IF(AND(OR(N4809="PENDENTE",N4809="PARCIAL"),D4809&lt;TODAY()-1),"🔴 EMBARQUE ATRASADO",IF(AND(N4809="REALIZADO",M4809="PENDENTE"),"🟡 EMBARCADO SEM FATURAR",IF(AND(P4809&lt;&gt;"",S4809="",OR(Q4809="",R4809="")),"🟡 PENDÊNCIA SEM RESPONSÁVEL/PRAZO",IF(AND(ISNUMBER(R4809),R4809=TODAY()),"🟡 VENCE HOJE",IF(AND(P4809&lt;&gt;"",S4809=""),"🟡 PENDÊNCIA ABERTA",IF(AND(N(J4809)&gt;0,N(K4809)&lt;J4809),"🟡 FALTA EXECUTAR",IF(OR(M4809="PENDENTE",M4809="PARCIAL"),"🟡 FATURAMENTO PENDENTE","🟡 EMBARQUE PENDENTE")))))))))))</f>
        <v/>
      </c>
      <c r="D4809" s="4" t="n"/>
      <c r="E4809" s="5" t="n"/>
      <c r="F4809" s="5" t="n"/>
      <c r="G4809" s="5" t="n"/>
      <c r="H4809" s="5" t="n"/>
      <c r="I4809" s="5" t="n"/>
      <c r="J4809" s="6" t="n"/>
      <c r="K4809" s="6" t="n"/>
      <c r="L4809" s="7">
        <f>IF(OR(D4809="",N(J4809)=0),"",MIN(1,N(K4809)/J4809))</f>
        <v/>
      </c>
      <c r="M4809" s="5" t="n"/>
      <c r="N4809" s="5" t="n"/>
      <c r="O4809" s="5" t="n"/>
      <c r="P4809" s="5" t="n"/>
      <c r="Q4809" s="5" t="n"/>
      <c r="R4809" s="4" t="n"/>
      <c r="S4809" s="4" t="n"/>
      <c r="T4809" s="5" t="n"/>
      <c r="U4809" s="8">
        <f>IF(AND(V4809=1,D4809&lt;&gt;""),IF(D4809&gt;=corte,TODAY()-D4809,""),"")</f>
        <v/>
      </c>
      <c r="V4809" s="8">
        <f>IF(D4809="",0,IF(OR(AND(P4809&lt;&gt;"",S4809=""),AND(N(J4809)&gt;0,N(K4809)&lt;J4809),OR(M4809="PENDENTE",M4809="PARCIAL"),OR(N4809="PENDENTE",N4809="PARCIAL")),1,0))</f>
        <v/>
      </c>
      <c r="W4809" s="8">
        <f>IF(AND(V4809=1,D4809&lt;&gt;""),IF(D4809&gt;=corte,(B4809="CRÍTICO")*1E9+(100000-D4809)*10000+10000-ROW(),""),"")</f>
        <v/>
      </c>
      <c r="X4809" s="8">
        <f>IF(AND(V4809=1,D4809=pas_data,E4809=pas_turno),10000-ROW(),"")</f>
        <v/>
      </c>
    </row>
    <row r="4810">
      <c r="A4810" s="3">
        <f>IF(D4810="","","TT-"&amp;TEXT(ROW()-1,"00000"))</f>
        <v/>
      </c>
      <c r="B4810" s="3">
        <f>IF(D4810="","",IF(V4810=0,"CONCLUÍDO",IF(D4810&lt;corte,"HISTÓRICO",IF(OR(AND(ISNUMBER(R4810),R4810&lt;TODAY()),AND(OR(N4810="PENDENTE",N4810="PARCIAL"),D4810&lt;TODAY()-1)),"CRÍTICO",IF(OR(AND(P4810&lt;&gt;"",S4810=""),AND(N4810="REALIZADO",M4810="PENDENTE"),AND(ISNUMBER(R4810),R4810=TODAY())),"ATENÇÃO",IF(N(K4810)=0,"PENDENTE","EM ANDAMENTO"))))))</f>
        <v/>
      </c>
      <c r="C4810" s="3">
        <f>IF(D4810="","",IF(V4810=0,"🟢 OK",IF(D4810&lt;corte,"⚪ HISTÓRICO (sem baixa)",IF(AND(ISNUMBER(R4810),R4810&lt;TODAY()),"🔴 PRAZO VENCIDO",IF(AND(OR(N4810="PENDENTE",N4810="PARCIAL"),D4810&lt;TODAY()-1),"🔴 EMBARQUE ATRASADO",IF(AND(N4810="REALIZADO",M4810="PENDENTE"),"🟡 EMBARCADO SEM FATURAR",IF(AND(P4810&lt;&gt;"",S4810="",OR(Q4810="",R4810="")),"🟡 PENDÊNCIA SEM RESPONSÁVEL/PRAZO",IF(AND(ISNUMBER(R4810),R4810=TODAY()),"🟡 VENCE HOJE",IF(AND(P4810&lt;&gt;"",S4810=""),"🟡 PENDÊNCIA ABERTA",IF(AND(N(J4810)&gt;0,N(K4810)&lt;J4810),"🟡 FALTA EXECUTAR",IF(OR(M4810="PENDENTE",M4810="PARCIAL"),"🟡 FATURAMENTO PENDENTE","🟡 EMBARQUE PENDENTE")))))))))))</f>
        <v/>
      </c>
      <c r="D4810" s="4" t="n"/>
      <c r="E4810" s="5" t="n"/>
      <c r="F4810" s="5" t="n"/>
      <c r="G4810" s="5" t="n"/>
      <c r="H4810" s="5" t="n"/>
      <c r="I4810" s="5" t="n"/>
      <c r="J4810" s="6" t="n"/>
      <c r="K4810" s="6" t="n"/>
      <c r="L4810" s="7">
        <f>IF(OR(D4810="",N(J4810)=0),"",MIN(1,N(K4810)/J4810))</f>
        <v/>
      </c>
      <c r="M4810" s="5" t="n"/>
      <c r="N4810" s="5" t="n"/>
      <c r="O4810" s="5" t="n"/>
      <c r="P4810" s="5" t="n"/>
      <c r="Q4810" s="5" t="n"/>
      <c r="R4810" s="4" t="n"/>
      <c r="S4810" s="4" t="n"/>
      <c r="T4810" s="5" t="n"/>
      <c r="U4810" s="8">
        <f>IF(AND(V4810=1,D4810&lt;&gt;""),IF(D4810&gt;=corte,TODAY()-D4810,""),"")</f>
        <v/>
      </c>
      <c r="V4810" s="8">
        <f>IF(D4810="",0,IF(OR(AND(P4810&lt;&gt;"",S4810=""),AND(N(J4810)&gt;0,N(K4810)&lt;J4810),OR(M4810="PENDENTE",M4810="PARCIAL"),OR(N4810="PENDENTE",N4810="PARCIAL")),1,0))</f>
        <v/>
      </c>
      <c r="W4810" s="8">
        <f>IF(AND(V4810=1,D4810&lt;&gt;""),IF(D4810&gt;=corte,(B4810="CRÍTICO")*1E9+(100000-D4810)*10000+10000-ROW(),""),"")</f>
        <v/>
      </c>
      <c r="X4810" s="8">
        <f>IF(AND(V4810=1,D4810=pas_data,E4810=pas_turno),10000-ROW(),"")</f>
        <v/>
      </c>
    </row>
    <row r="4811">
      <c r="A4811" s="3">
        <f>IF(D4811="","","TT-"&amp;TEXT(ROW()-1,"00000"))</f>
        <v/>
      </c>
      <c r="B4811" s="3">
        <f>IF(D4811="","",IF(V4811=0,"CONCLUÍDO",IF(D4811&lt;corte,"HISTÓRICO",IF(OR(AND(ISNUMBER(R4811),R4811&lt;TODAY()),AND(OR(N4811="PENDENTE",N4811="PARCIAL"),D4811&lt;TODAY()-1)),"CRÍTICO",IF(OR(AND(P4811&lt;&gt;"",S4811=""),AND(N4811="REALIZADO",M4811="PENDENTE"),AND(ISNUMBER(R4811),R4811=TODAY())),"ATENÇÃO",IF(N(K4811)=0,"PENDENTE","EM ANDAMENTO"))))))</f>
        <v/>
      </c>
      <c r="C4811" s="3">
        <f>IF(D4811="","",IF(V4811=0,"🟢 OK",IF(D4811&lt;corte,"⚪ HISTÓRICO (sem baixa)",IF(AND(ISNUMBER(R4811),R4811&lt;TODAY()),"🔴 PRAZO VENCIDO",IF(AND(OR(N4811="PENDENTE",N4811="PARCIAL"),D4811&lt;TODAY()-1),"🔴 EMBARQUE ATRASADO",IF(AND(N4811="REALIZADO",M4811="PENDENTE"),"🟡 EMBARCADO SEM FATURAR",IF(AND(P4811&lt;&gt;"",S4811="",OR(Q4811="",R4811="")),"🟡 PENDÊNCIA SEM RESPONSÁVEL/PRAZO",IF(AND(ISNUMBER(R4811),R4811=TODAY()),"🟡 VENCE HOJE",IF(AND(P4811&lt;&gt;"",S4811=""),"🟡 PENDÊNCIA ABERTA",IF(AND(N(J4811)&gt;0,N(K4811)&lt;J4811),"🟡 FALTA EXECUTAR",IF(OR(M4811="PENDENTE",M4811="PARCIAL"),"🟡 FATURAMENTO PENDENTE","🟡 EMBARQUE PENDENTE")))))))))))</f>
        <v/>
      </c>
      <c r="D4811" s="4" t="n"/>
      <c r="E4811" s="5" t="n"/>
      <c r="F4811" s="5" t="n"/>
      <c r="G4811" s="5" t="n"/>
      <c r="H4811" s="5" t="n"/>
      <c r="I4811" s="5" t="n"/>
      <c r="J4811" s="6" t="n"/>
      <c r="K4811" s="6" t="n"/>
      <c r="L4811" s="7">
        <f>IF(OR(D4811="",N(J4811)=0),"",MIN(1,N(K4811)/J4811))</f>
        <v/>
      </c>
      <c r="M4811" s="5" t="n"/>
      <c r="N4811" s="5" t="n"/>
      <c r="O4811" s="5" t="n"/>
      <c r="P4811" s="5" t="n"/>
      <c r="Q4811" s="5" t="n"/>
      <c r="R4811" s="4" t="n"/>
      <c r="S4811" s="4" t="n"/>
      <c r="T4811" s="5" t="n"/>
      <c r="U4811" s="8">
        <f>IF(AND(V4811=1,D4811&lt;&gt;""),IF(D4811&gt;=corte,TODAY()-D4811,""),"")</f>
        <v/>
      </c>
      <c r="V4811" s="8">
        <f>IF(D4811="",0,IF(OR(AND(P4811&lt;&gt;"",S4811=""),AND(N(J4811)&gt;0,N(K4811)&lt;J4811),OR(M4811="PENDENTE",M4811="PARCIAL"),OR(N4811="PENDENTE",N4811="PARCIAL")),1,0))</f>
        <v/>
      </c>
      <c r="W4811" s="8">
        <f>IF(AND(V4811=1,D4811&lt;&gt;""),IF(D4811&gt;=corte,(B4811="CRÍTICO")*1E9+(100000-D4811)*10000+10000-ROW(),""),"")</f>
        <v/>
      </c>
      <c r="X4811" s="8">
        <f>IF(AND(V4811=1,D4811=pas_data,E4811=pas_turno),10000-ROW(),"")</f>
        <v/>
      </c>
    </row>
    <row r="4812">
      <c r="A4812" s="3">
        <f>IF(D4812="","","TT-"&amp;TEXT(ROW()-1,"00000"))</f>
        <v/>
      </c>
      <c r="B4812" s="3">
        <f>IF(D4812="","",IF(V4812=0,"CONCLUÍDO",IF(D4812&lt;corte,"HISTÓRICO",IF(OR(AND(ISNUMBER(R4812),R4812&lt;TODAY()),AND(OR(N4812="PENDENTE",N4812="PARCIAL"),D4812&lt;TODAY()-1)),"CRÍTICO",IF(OR(AND(P4812&lt;&gt;"",S4812=""),AND(N4812="REALIZADO",M4812="PENDENTE"),AND(ISNUMBER(R4812),R4812=TODAY())),"ATENÇÃO",IF(N(K4812)=0,"PENDENTE","EM ANDAMENTO"))))))</f>
        <v/>
      </c>
      <c r="C4812" s="3">
        <f>IF(D4812="","",IF(V4812=0,"🟢 OK",IF(D4812&lt;corte,"⚪ HISTÓRICO (sem baixa)",IF(AND(ISNUMBER(R4812),R4812&lt;TODAY()),"🔴 PRAZO VENCIDO",IF(AND(OR(N4812="PENDENTE",N4812="PARCIAL"),D4812&lt;TODAY()-1),"🔴 EMBARQUE ATRASADO",IF(AND(N4812="REALIZADO",M4812="PENDENTE"),"🟡 EMBARCADO SEM FATURAR",IF(AND(P4812&lt;&gt;"",S4812="",OR(Q4812="",R4812="")),"🟡 PENDÊNCIA SEM RESPONSÁVEL/PRAZO",IF(AND(ISNUMBER(R4812),R4812=TODAY()),"🟡 VENCE HOJE",IF(AND(P4812&lt;&gt;"",S4812=""),"🟡 PENDÊNCIA ABERTA",IF(AND(N(J4812)&gt;0,N(K4812)&lt;J4812),"🟡 FALTA EXECUTAR",IF(OR(M4812="PENDENTE",M4812="PARCIAL"),"🟡 FATURAMENTO PENDENTE","🟡 EMBARQUE PENDENTE")))))))))))</f>
        <v/>
      </c>
      <c r="D4812" s="4" t="n"/>
      <c r="E4812" s="5" t="n"/>
      <c r="F4812" s="5" t="n"/>
      <c r="G4812" s="5" t="n"/>
      <c r="H4812" s="5" t="n"/>
      <c r="I4812" s="5" t="n"/>
      <c r="J4812" s="6" t="n"/>
      <c r="K4812" s="6" t="n"/>
      <c r="L4812" s="7">
        <f>IF(OR(D4812="",N(J4812)=0),"",MIN(1,N(K4812)/J4812))</f>
        <v/>
      </c>
      <c r="M4812" s="5" t="n"/>
      <c r="N4812" s="5" t="n"/>
      <c r="O4812" s="5" t="n"/>
      <c r="P4812" s="5" t="n"/>
      <c r="Q4812" s="5" t="n"/>
      <c r="R4812" s="4" t="n"/>
      <c r="S4812" s="4" t="n"/>
      <c r="T4812" s="5" t="n"/>
      <c r="U4812" s="8">
        <f>IF(AND(V4812=1,D4812&lt;&gt;""),IF(D4812&gt;=corte,TODAY()-D4812,""),"")</f>
        <v/>
      </c>
      <c r="V4812" s="8">
        <f>IF(D4812="",0,IF(OR(AND(P4812&lt;&gt;"",S4812=""),AND(N(J4812)&gt;0,N(K4812)&lt;J4812),OR(M4812="PENDENTE",M4812="PARCIAL"),OR(N4812="PENDENTE",N4812="PARCIAL")),1,0))</f>
        <v/>
      </c>
      <c r="W4812" s="8">
        <f>IF(AND(V4812=1,D4812&lt;&gt;""),IF(D4812&gt;=corte,(B4812="CRÍTICO")*1E9+(100000-D4812)*10000+10000-ROW(),""),"")</f>
        <v/>
      </c>
      <c r="X4812" s="8">
        <f>IF(AND(V4812=1,D4812=pas_data,E4812=pas_turno),10000-ROW(),"")</f>
        <v/>
      </c>
    </row>
    <row r="4813">
      <c r="A4813" s="3">
        <f>IF(D4813="","","TT-"&amp;TEXT(ROW()-1,"00000"))</f>
        <v/>
      </c>
      <c r="B4813" s="3">
        <f>IF(D4813="","",IF(V4813=0,"CONCLUÍDO",IF(D4813&lt;corte,"HISTÓRICO",IF(OR(AND(ISNUMBER(R4813),R4813&lt;TODAY()),AND(OR(N4813="PENDENTE",N4813="PARCIAL"),D4813&lt;TODAY()-1)),"CRÍTICO",IF(OR(AND(P4813&lt;&gt;"",S4813=""),AND(N4813="REALIZADO",M4813="PENDENTE"),AND(ISNUMBER(R4813),R4813=TODAY())),"ATENÇÃO",IF(N(K4813)=0,"PENDENTE","EM ANDAMENTO"))))))</f>
        <v/>
      </c>
      <c r="C4813" s="3">
        <f>IF(D4813="","",IF(V4813=0,"🟢 OK",IF(D4813&lt;corte,"⚪ HISTÓRICO (sem baixa)",IF(AND(ISNUMBER(R4813),R4813&lt;TODAY()),"🔴 PRAZO VENCIDO",IF(AND(OR(N4813="PENDENTE",N4813="PARCIAL"),D4813&lt;TODAY()-1),"🔴 EMBARQUE ATRASADO",IF(AND(N4813="REALIZADO",M4813="PENDENTE"),"🟡 EMBARCADO SEM FATURAR",IF(AND(P4813&lt;&gt;"",S4813="",OR(Q4813="",R4813="")),"🟡 PENDÊNCIA SEM RESPONSÁVEL/PRAZO",IF(AND(ISNUMBER(R4813),R4813=TODAY()),"🟡 VENCE HOJE",IF(AND(P4813&lt;&gt;"",S4813=""),"🟡 PENDÊNCIA ABERTA",IF(AND(N(J4813)&gt;0,N(K4813)&lt;J4813),"🟡 FALTA EXECUTAR",IF(OR(M4813="PENDENTE",M4813="PARCIAL"),"🟡 FATURAMENTO PENDENTE","🟡 EMBARQUE PENDENTE")))))))))))</f>
        <v/>
      </c>
      <c r="D4813" s="4" t="n"/>
      <c r="E4813" s="5" t="n"/>
      <c r="F4813" s="5" t="n"/>
      <c r="G4813" s="5" t="n"/>
      <c r="H4813" s="5" t="n"/>
      <c r="I4813" s="5" t="n"/>
      <c r="J4813" s="6" t="n"/>
      <c r="K4813" s="6" t="n"/>
      <c r="L4813" s="7">
        <f>IF(OR(D4813="",N(J4813)=0),"",MIN(1,N(K4813)/J4813))</f>
        <v/>
      </c>
      <c r="M4813" s="5" t="n"/>
      <c r="N4813" s="5" t="n"/>
      <c r="O4813" s="5" t="n"/>
      <c r="P4813" s="5" t="n"/>
      <c r="Q4813" s="5" t="n"/>
      <c r="R4813" s="4" t="n"/>
      <c r="S4813" s="4" t="n"/>
      <c r="T4813" s="5" t="n"/>
      <c r="U4813" s="8">
        <f>IF(AND(V4813=1,D4813&lt;&gt;""),IF(D4813&gt;=corte,TODAY()-D4813,""),"")</f>
        <v/>
      </c>
      <c r="V4813" s="8">
        <f>IF(D4813="",0,IF(OR(AND(P4813&lt;&gt;"",S4813=""),AND(N(J4813)&gt;0,N(K4813)&lt;J4813),OR(M4813="PENDENTE",M4813="PARCIAL"),OR(N4813="PENDENTE",N4813="PARCIAL")),1,0))</f>
        <v/>
      </c>
      <c r="W4813" s="8">
        <f>IF(AND(V4813=1,D4813&lt;&gt;""),IF(D4813&gt;=corte,(B4813="CRÍTICO")*1E9+(100000-D4813)*10000+10000-ROW(),""),"")</f>
        <v/>
      </c>
      <c r="X4813" s="8">
        <f>IF(AND(V4813=1,D4813=pas_data,E4813=pas_turno),10000-ROW(),"")</f>
        <v/>
      </c>
    </row>
    <row r="4814">
      <c r="A4814" s="3">
        <f>IF(D4814="","","TT-"&amp;TEXT(ROW()-1,"00000"))</f>
        <v/>
      </c>
      <c r="B4814" s="3">
        <f>IF(D4814="","",IF(V4814=0,"CONCLUÍDO",IF(D4814&lt;corte,"HISTÓRICO",IF(OR(AND(ISNUMBER(R4814),R4814&lt;TODAY()),AND(OR(N4814="PENDENTE",N4814="PARCIAL"),D4814&lt;TODAY()-1)),"CRÍTICO",IF(OR(AND(P4814&lt;&gt;"",S4814=""),AND(N4814="REALIZADO",M4814="PENDENTE"),AND(ISNUMBER(R4814),R4814=TODAY())),"ATENÇÃO",IF(N(K4814)=0,"PENDENTE","EM ANDAMENTO"))))))</f>
        <v/>
      </c>
      <c r="C4814" s="3">
        <f>IF(D4814="","",IF(V4814=0,"🟢 OK",IF(D4814&lt;corte,"⚪ HISTÓRICO (sem baixa)",IF(AND(ISNUMBER(R4814),R4814&lt;TODAY()),"🔴 PRAZO VENCIDO",IF(AND(OR(N4814="PENDENTE",N4814="PARCIAL"),D4814&lt;TODAY()-1),"🔴 EMBARQUE ATRASADO",IF(AND(N4814="REALIZADO",M4814="PENDENTE"),"🟡 EMBARCADO SEM FATURAR",IF(AND(P4814&lt;&gt;"",S4814="",OR(Q4814="",R4814="")),"🟡 PENDÊNCIA SEM RESPONSÁVEL/PRAZO",IF(AND(ISNUMBER(R4814),R4814=TODAY()),"🟡 VENCE HOJE",IF(AND(P4814&lt;&gt;"",S4814=""),"🟡 PENDÊNCIA ABERTA",IF(AND(N(J4814)&gt;0,N(K4814)&lt;J4814),"🟡 FALTA EXECUTAR",IF(OR(M4814="PENDENTE",M4814="PARCIAL"),"🟡 FATURAMENTO PENDENTE","🟡 EMBARQUE PENDENTE")))))))))))</f>
        <v/>
      </c>
      <c r="D4814" s="4" t="n"/>
      <c r="E4814" s="5" t="n"/>
      <c r="F4814" s="5" t="n"/>
      <c r="G4814" s="5" t="n"/>
      <c r="H4814" s="5" t="n"/>
      <c r="I4814" s="5" t="n"/>
      <c r="J4814" s="6" t="n"/>
      <c r="K4814" s="6" t="n"/>
      <c r="L4814" s="7">
        <f>IF(OR(D4814="",N(J4814)=0),"",MIN(1,N(K4814)/J4814))</f>
        <v/>
      </c>
      <c r="M4814" s="5" t="n"/>
      <c r="N4814" s="5" t="n"/>
      <c r="O4814" s="5" t="n"/>
      <c r="P4814" s="5" t="n"/>
      <c r="Q4814" s="5" t="n"/>
      <c r="R4814" s="4" t="n"/>
      <c r="S4814" s="4" t="n"/>
      <c r="T4814" s="5" t="n"/>
      <c r="U4814" s="8">
        <f>IF(AND(V4814=1,D4814&lt;&gt;""),IF(D4814&gt;=corte,TODAY()-D4814,""),"")</f>
        <v/>
      </c>
      <c r="V4814" s="8">
        <f>IF(D4814="",0,IF(OR(AND(P4814&lt;&gt;"",S4814=""),AND(N(J4814)&gt;0,N(K4814)&lt;J4814),OR(M4814="PENDENTE",M4814="PARCIAL"),OR(N4814="PENDENTE",N4814="PARCIAL")),1,0))</f>
        <v/>
      </c>
      <c r="W4814" s="8">
        <f>IF(AND(V4814=1,D4814&lt;&gt;""),IF(D4814&gt;=corte,(B4814="CRÍTICO")*1E9+(100000-D4814)*10000+10000-ROW(),""),"")</f>
        <v/>
      </c>
      <c r="X4814" s="8">
        <f>IF(AND(V4814=1,D4814=pas_data,E4814=pas_turno),10000-ROW(),"")</f>
        <v/>
      </c>
    </row>
    <row r="4815">
      <c r="A4815" s="3">
        <f>IF(D4815="","","TT-"&amp;TEXT(ROW()-1,"00000"))</f>
        <v/>
      </c>
      <c r="B4815" s="3">
        <f>IF(D4815="","",IF(V4815=0,"CONCLUÍDO",IF(D4815&lt;corte,"HISTÓRICO",IF(OR(AND(ISNUMBER(R4815),R4815&lt;TODAY()),AND(OR(N4815="PENDENTE",N4815="PARCIAL"),D4815&lt;TODAY()-1)),"CRÍTICO",IF(OR(AND(P4815&lt;&gt;"",S4815=""),AND(N4815="REALIZADO",M4815="PENDENTE"),AND(ISNUMBER(R4815),R4815=TODAY())),"ATENÇÃO",IF(N(K4815)=0,"PENDENTE","EM ANDAMENTO"))))))</f>
        <v/>
      </c>
      <c r="C4815" s="3">
        <f>IF(D4815="","",IF(V4815=0,"🟢 OK",IF(D4815&lt;corte,"⚪ HISTÓRICO (sem baixa)",IF(AND(ISNUMBER(R4815),R4815&lt;TODAY()),"🔴 PRAZO VENCIDO",IF(AND(OR(N4815="PENDENTE",N4815="PARCIAL"),D4815&lt;TODAY()-1),"🔴 EMBARQUE ATRASADO",IF(AND(N4815="REALIZADO",M4815="PENDENTE"),"🟡 EMBARCADO SEM FATURAR",IF(AND(P4815&lt;&gt;"",S4815="",OR(Q4815="",R4815="")),"🟡 PENDÊNCIA SEM RESPONSÁVEL/PRAZO",IF(AND(ISNUMBER(R4815),R4815=TODAY()),"🟡 VENCE HOJE",IF(AND(P4815&lt;&gt;"",S4815=""),"🟡 PENDÊNCIA ABERTA",IF(AND(N(J4815)&gt;0,N(K4815)&lt;J4815),"🟡 FALTA EXECUTAR",IF(OR(M4815="PENDENTE",M4815="PARCIAL"),"🟡 FATURAMENTO PENDENTE","🟡 EMBARQUE PENDENTE")))))))))))</f>
        <v/>
      </c>
      <c r="D4815" s="4" t="n"/>
      <c r="E4815" s="5" t="n"/>
      <c r="F4815" s="5" t="n"/>
      <c r="G4815" s="5" t="n"/>
      <c r="H4815" s="5" t="n"/>
      <c r="I4815" s="5" t="n"/>
      <c r="J4815" s="6" t="n"/>
      <c r="K4815" s="6" t="n"/>
      <c r="L4815" s="7">
        <f>IF(OR(D4815="",N(J4815)=0),"",MIN(1,N(K4815)/J4815))</f>
        <v/>
      </c>
      <c r="M4815" s="5" t="n"/>
      <c r="N4815" s="5" t="n"/>
      <c r="O4815" s="5" t="n"/>
      <c r="P4815" s="5" t="n"/>
      <c r="Q4815" s="5" t="n"/>
      <c r="R4815" s="4" t="n"/>
      <c r="S4815" s="4" t="n"/>
      <c r="T4815" s="5" t="n"/>
      <c r="U4815" s="8">
        <f>IF(AND(V4815=1,D4815&lt;&gt;""),IF(D4815&gt;=corte,TODAY()-D4815,""),"")</f>
        <v/>
      </c>
      <c r="V4815" s="8">
        <f>IF(D4815="",0,IF(OR(AND(P4815&lt;&gt;"",S4815=""),AND(N(J4815)&gt;0,N(K4815)&lt;J4815),OR(M4815="PENDENTE",M4815="PARCIAL"),OR(N4815="PENDENTE",N4815="PARCIAL")),1,0))</f>
        <v/>
      </c>
      <c r="W4815" s="8">
        <f>IF(AND(V4815=1,D4815&lt;&gt;""),IF(D4815&gt;=corte,(B4815="CRÍTICO")*1E9+(100000-D4815)*10000+10000-ROW(),""),"")</f>
        <v/>
      </c>
      <c r="X4815" s="8">
        <f>IF(AND(V4815=1,D4815=pas_data,E4815=pas_turno),10000-ROW(),"")</f>
        <v/>
      </c>
    </row>
    <row r="4816">
      <c r="A4816" s="3">
        <f>IF(D4816="","","TT-"&amp;TEXT(ROW()-1,"00000"))</f>
        <v/>
      </c>
      <c r="B4816" s="3">
        <f>IF(D4816="","",IF(V4816=0,"CONCLUÍDO",IF(D4816&lt;corte,"HISTÓRICO",IF(OR(AND(ISNUMBER(R4816),R4816&lt;TODAY()),AND(OR(N4816="PENDENTE",N4816="PARCIAL"),D4816&lt;TODAY()-1)),"CRÍTICO",IF(OR(AND(P4816&lt;&gt;"",S4816=""),AND(N4816="REALIZADO",M4816="PENDENTE"),AND(ISNUMBER(R4816),R4816=TODAY())),"ATENÇÃO",IF(N(K4816)=0,"PENDENTE","EM ANDAMENTO"))))))</f>
        <v/>
      </c>
      <c r="C4816" s="3">
        <f>IF(D4816="","",IF(V4816=0,"🟢 OK",IF(D4816&lt;corte,"⚪ HISTÓRICO (sem baixa)",IF(AND(ISNUMBER(R4816),R4816&lt;TODAY()),"🔴 PRAZO VENCIDO",IF(AND(OR(N4816="PENDENTE",N4816="PARCIAL"),D4816&lt;TODAY()-1),"🔴 EMBARQUE ATRASADO",IF(AND(N4816="REALIZADO",M4816="PENDENTE"),"🟡 EMBARCADO SEM FATURAR",IF(AND(P4816&lt;&gt;"",S4816="",OR(Q4816="",R4816="")),"🟡 PENDÊNCIA SEM RESPONSÁVEL/PRAZO",IF(AND(ISNUMBER(R4816),R4816=TODAY()),"🟡 VENCE HOJE",IF(AND(P4816&lt;&gt;"",S4816=""),"🟡 PENDÊNCIA ABERTA",IF(AND(N(J4816)&gt;0,N(K4816)&lt;J4816),"🟡 FALTA EXECUTAR",IF(OR(M4816="PENDENTE",M4816="PARCIAL"),"🟡 FATURAMENTO PENDENTE","🟡 EMBARQUE PENDENTE")))))))))))</f>
        <v/>
      </c>
      <c r="D4816" s="4" t="n"/>
      <c r="E4816" s="5" t="n"/>
      <c r="F4816" s="5" t="n"/>
      <c r="G4816" s="5" t="n"/>
      <c r="H4816" s="5" t="n"/>
      <c r="I4816" s="5" t="n"/>
      <c r="J4816" s="6" t="n"/>
      <c r="K4816" s="6" t="n"/>
      <c r="L4816" s="7">
        <f>IF(OR(D4816="",N(J4816)=0),"",MIN(1,N(K4816)/J4816))</f>
        <v/>
      </c>
      <c r="M4816" s="5" t="n"/>
      <c r="N4816" s="5" t="n"/>
      <c r="O4816" s="5" t="n"/>
      <c r="P4816" s="5" t="n"/>
      <c r="Q4816" s="5" t="n"/>
      <c r="R4816" s="4" t="n"/>
      <c r="S4816" s="4" t="n"/>
      <c r="T4816" s="5" t="n"/>
      <c r="U4816" s="8">
        <f>IF(AND(V4816=1,D4816&lt;&gt;""),IF(D4816&gt;=corte,TODAY()-D4816,""),"")</f>
        <v/>
      </c>
      <c r="V4816" s="8">
        <f>IF(D4816="",0,IF(OR(AND(P4816&lt;&gt;"",S4816=""),AND(N(J4816)&gt;0,N(K4816)&lt;J4816),OR(M4816="PENDENTE",M4816="PARCIAL"),OR(N4816="PENDENTE",N4816="PARCIAL")),1,0))</f>
        <v/>
      </c>
      <c r="W4816" s="8">
        <f>IF(AND(V4816=1,D4816&lt;&gt;""),IF(D4816&gt;=corte,(B4816="CRÍTICO")*1E9+(100000-D4816)*10000+10000-ROW(),""),"")</f>
        <v/>
      </c>
      <c r="X4816" s="8">
        <f>IF(AND(V4816=1,D4816=pas_data,E4816=pas_turno),10000-ROW(),"")</f>
        <v/>
      </c>
    </row>
    <row r="4817">
      <c r="A4817" s="3">
        <f>IF(D4817="","","TT-"&amp;TEXT(ROW()-1,"00000"))</f>
        <v/>
      </c>
      <c r="B4817" s="3">
        <f>IF(D4817="","",IF(V4817=0,"CONCLUÍDO",IF(D4817&lt;corte,"HISTÓRICO",IF(OR(AND(ISNUMBER(R4817),R4817&lt;TODAY()),AND(OR(N4817="PENDENTE",N4817="PARCIAL"),D4817&lt;TODAY()-1)),"CRÍTICO",IF(OR(AND(P4817&lt;&gt;"",S4817=""),AND(N4817="REALIZADO",M4817="PENDENTE"),AND(ISNUMBER(R4817),R4817=TODAY())),"ATENÇÃO",IF(N(K4817)=0,"PENDENTE","EM ANDAMENTO"))))))</f>
        <v/>
      </c>
      <c r="C4817" s="3">
        <f>IF(D4817="","",IF(V4817=0,"🟢 OK",IF(D4817&lt;corte,"⚪ HISTÓRICO (sem baixa)",IF(AND(ISNUMBER(R4817),R4817&lt;TODAY()),"🔴 PRAZO VENCIDO",IF(AND(OR(N4817="PENDENTE",N4817="PARCIAL"),D4817&lt;TODAY()-1),"🔴 EMBARQUE ATRASADO",IF(AND(N4817="REALIZADO",M4817="PENDENTE"),"🟡 EMBARCADO SEM FATURAR",IF(AND(P4817&lt;&gt;"",S4817="",OR(Q4817="",R4817="")),"🟡 PENDÊNCIA SEM RESPONSÁVEL/PRAZO",IF(AND(ISNUMBER(R4817),R4817=TODAY()),"🟡 VENCE HOJE",IF(AND(P4817&lt;&gt;"",S4817=""),"🟡 PENDÊNCIA ABERTA",IF(AND(N(J4817)&gt;0,N(K4817)&lt;J4817),"🟡 FALTA EXECUTAR",IF(OR(M4817="PENDENTE",M4817="PARCIAL"),"🟡 FATURAMENTO PENDENTE","🟡 EMBARQUE PENDENTE")))))))))))</f>
        <v/>
      </c>
      <c r="D4817" s="4" t="n"/>
      <c r="E4817" s="5" t="n"/>
      <c r="F4817" s="5" t="n"/>
      <c r="G4817" s="5" t="n"/>
      <c r="H4817" s="5" t="n"/>
      <c r="I4817" s="5" t="n"/>
      <c r="J4817" s="6" t="n"/>
      <c r="K4817" s="6" t="n"/>
      <c r="L4817" s="7">
        <f>IF(OR(D4817="",N(J4817)=0),"",MIN(1,N(K4817)/J4817))</f>
        <v/>
      </c>
      <c r="M4817" s="5" t="n"/>
      <c r="N4817" s="5" t="n"/>
      <c r="O4817" s="5" t="n"/>
      <c r="P4817" s="5" t="n"/>
      <c r="Q4817" s="5" t="n"/>
      <c r="R4817" s="4" t="n"/>
      <c r="S4817" s="4" t="n"/>
      <c r="T4817" s="5" t="n"/>
      <c r="U4817" s="8">
        <f>IF(AND(V4817=1,D4817&lt;&gt;""),IF(D4817&gt;=corte,TODAY()-D4817,""),"")</f>
        <v/>
      </c>
      <c r="V4817" s="8">
        <f>IF(D4817="",0,IF(OR(AND(P4817&lt;&gt;"",S4817=""),AND(N(J4817)&gt;0,N(K4817)&lt;J4817),OR(M4817="PENDENTE",M4817="PARCIAL"),OR(N4817="PENDENTE",N4817="PARCIAL")),1,0))</f>
        <v/>
      </c>
      <c r="W4817" s="8">
        <f>IF(AND(V4817=1,D4817&lt;&gt;""),IF(D4817&gt;=corte,(B4817="CRÍTICO")*1E9+(100000-D4817)*10000+10000-ROW(),""),"")</f>
        <v/>
      </c>
      <c r="X4817" s="8">
        <f>IF(AND(V4817=1,D4817=pas_data,E4817=pas_turno),10000-ROW(),"")</f>
        <v/>
      </c>
    </row>
    <row r="4818">
      <c r="A4818" s="3">
        <f>IF(D4818="","","TT-"&amp;TEXT(ROW()-1,"00000"))</f>
        <v/>
      </c>
      <c r="B4818" s="3">
        <f>IF(D4818="","",IF(V4818=0,"CONCLUÍDO",IF(D4818&lt;corte,"HISTÓRICO",IF(OR(AND(ISNUMBER(R4818),R4818&lt;TODAY()),AND(OR(N4818="PENDENTE",N4818="PARCIAL"),D4818&lt;TODAY()-1)),"CRÍTICO",IF(OR(AND(P4818&lt;&gt;"",S4818=""),AND(N4818="REALIZADO",M4818="PENDENTE"),AND(ISNUMBER(R4818),R4818=TODAY())),"ATENÇÃO",IF(N(K4818)=0,"PENDENTE","EM ANDAMENTO"))))))</f>
        <v/>
      </c>
      <c r="C4818" s="3">
        <f>IF(D4818="","",IF(V4818=0,"🟢 OK",IF(D4818&lt;corte,"⚪ HISTÓRICO (sem baixa)",IF(AND(ISNUMBER(R4818),R4818&lt;TODAY()),"🔴 PRAZO VENCIDO",IF(AND(OR(N4818="PENDENTE",N4818="PARCIAL"),D4818&lt;TODAY()-1),"🔴 EMBARQUE ATRASADO",IF(AND(N4818="REALIZADO",M4818="PENDENTE"),"🟡 EMBARCADO SEM FATURAR",IF(AND(P4818&lt;&gt;"",S4818="",OR(Q4818="",R4818="")),"🟡 PENDÊNCIA SEM RESPONSÁVEL/PRAZO",IF(AND(ISNUMBER(R4818),R4818=TODAY()),"🟡 VENCE HOJE",IF(AND(P4818&lt;&gt;"",S4818=""),"🟡 PENDÊNCIA ABERTA",IF(AND(N(J4818)&gt;0,N(K4818)&lt;J4818),"🟡 FALTA EXECUTAR",IF(OR(M4818="PENDENTE",M4818="PARCIAL"),"🟡 FATURAMENTO PENDENTE","🟡 EMBARQUE PENDENTE")))))))))))</f>
        <v/>
      </c>
      <c r="D4818" s="4" t="n"/>
      <c r="E4818" s="5" t="n"/>
      <c r="F4818" s="5" t="n"/>
      <c r="G4818" s="5" t="n"/>
      <c r="H4818" s="5" t="n"/>
      <c r="I4818" s="5" t="n"/>
      <c r="J4818" s="6" t="n"/>
      <c r="K4818" s="6" t="n"/>
      <c r="L4818" s="7">
        <f>IF(OR(D4818="",N(J4818)=0),"",MIN(1,N(K4818)/J4818))</f>
        <v/>
      </c>
      <c r="M4818" s="5" t="n"/>
      <c r="N4818" s="5" t="n"/>
      <c r="O4818" s="5" t="n"/>
      <c r="P4818" s="5" t="n"/>
      <c r="Q4818" s="5" t="n"/>
      <c r="R4818" s="4" t="n"/>
      <c r="S4818" s="4" t="n"/>
      <c r="T4818" s="5" t="n"/>
      <c r="U4818" s="8">
        <f>IF(AND(V4818=1,D4818&lt;&gt;""),IF(D4818&gt;=corte,TODAY()-D4818,""),"")</f>
        <v/>
      </c>
      <c r="V4818" s="8">
        <f>IF(D4818="",0,IF(OR(AND(P4818&lt;&gt;"",S4818=""),AND(N(J4818)&gt;0,N(K4818)&lt;J4818),OR(M4818="PENDENTE",M4818="PARCIAL"),OR(N4818="PENDENTE",N4818="PARCIAL")),1,0))</f>
        <v/>
      </c>
      <c r="W4818" s="8">
        <f>IF(AND(V4818=1,D4818&lt;&gt;""),IF(D4818&gt;=corte,(B4818="CRÍTICO")*1E9+(100000-D4818)*10000+10000-ROW(),""),"")</f>
        <v/>
      </c>
      <c r="X4818" s="8">
        <f>IF(AND(V4818=1,D4818=pas_data,E4818=pas_turno),10000-ROW(),"")</f>
        <v/>
      </c>
    </row>
    <row r="4819">
      <c r="A4819" s="3">
        <f>IF(D4819="","","TT-"&amp;TEXT(ROW()-1,"00000"))</f>
        <v/>
      </c>
      <c r="B4819" s="3">
        <f>IF(D4819="","",IF(V4819=0,"CONCLUÍDO",IF(D4819&lt;corte,"HISTÓRICO",IF(OR(AND(ISNUMBER(R4819),R4819&lt;TODAY()),AND(OR(N4819="PENDENTE",N4819="PARCIAL"),D4819&lt;TODAY()-1)),"CRÍTICO",IF(OR(AND(P4819&lt;&gt;"",S4819=""),AND(N4819="REALIZADO",M4819="PENDENTE"),AND(ISNUMBER(R4819),R4819=TODAY())),"ATENÇÃO",IF(N(K4819)=0,"PENDENTE","EM ANDAMENTO"))))))</f>
        <v/>
      </c>
      <c r="C4819" s="3">
        <f>IF(D4819="","",IF(V4819=0,"🟢 OK",IF(D4819&lt;corte,"⚪ HISTÓRICO (sem baixa)",IF(AND(ISNUMBER(R4819),R4819&lt;TODAY()),"🔴 PRAZO VENCIDO",IF(AND(OR(N4819="PENDENTE",N4819="PARCIAL"),D4819&lt;TODAY()-1),"🔴 EMBARQUE ATRASADO",IF(AND(N4819="REALIZADO",M4819="PENDENTE"),"🟡 EMBARCADO SEM FATURAR",IF(AND(P4819&lt;&gt;"",S4819="",OR(Q4819="",R4819="")),"🟡 PENDÊNCIA SEM RESPONSÁVEL/PRAZO",IF(AND(ISNUMBER(R4819),R4819=TODAY()),"🟡 VENCE HOJE",IF(AND(P4819&lt;&gt;"",S4819=""),"🟡 PENDÊNCIA ABERTA",IF(AND(N(J4819)&gt;0,N(K4819)&lt;J4819),"🟡 FALTA EXECUTAR",IF(OR(M4819="PENDENTE",M4819="PARCIAL"),"🟡 FATURAMENTO PENDENTE","🟡 EMBARQUE PENDENTE")))))))))))</f>
        <v/>
      </c>
      <c r="D4819" s="4" t="n"/>
      <c r="E4819" s="5" t="n"/>
      <c r="F4819" s="5" t="n"/>
      <c r="G4819" s="5" t="n"/>
      <c r="H4819" s="5" t="n"/>
      <c r="I4819" s="5" t="n"/>
      <c r="J4819" s="6" t="n"/>
      <c r="K4819" s="6" t="n"/>
      <c r="L4819" s="7">
        <f>IF(OR(D4819="",N(J4819)=0),"",MIN(1,N(K4819)/J4819))</f>
        <v/>
      </c>
      <c r="M4819" s="5" t="n"/>
      <c r="N4819" s="5" t="n"/>
      <c r="O4819" s="5" t="n"/>
      <c r="P4819" s="5" t="n"/>
      <c r="Q4819" s="5" t="n"/>
      <c r="R4819" s="4" t="n"/>
      <c r="S4819" s="4" t="n"/>
      <c r="T4819" s="5" t="n"/>
      <c r="U4819" s="8">
        <f>IF(AND(V4819=1,D4819&lt;&gt;""),IF(D4819&gt;=corte,TODAY()-D4819,""),"")</f>
        <v/>
      </c>
      <c r="V4819" s="8">
        <f>IF(D4819="",0,IF(OR(AND(P4819&lt;&gt;"",S4819=""),AND(N(J4819)&gt;0,N(K4819)&lt;J4819),OR(M4819="PENDENTE",M4819="PARCIAL"),OR(N4819="PENDENTE",N4819="PARCIAL")),1,0))</f>
        <v/>
      </c>
      <c r="W4819" s="8">
        <f>IF(AND(V4819=1,D4819&lt;&gt;""),IF(D4819&gt;=corte,(B4819="CRÍTICO")*1E9+(100000-D4819)*10000+10000-ROW(),""),"")</f>
        <v/>
      </c>
      <c r="X4819" s="8">
        <f>IF(AND(V4819=1,D4819=pas_data,E4819=pas_turno),10000-ROW(),"")</f>
        <v/>
      </c>
    </row>
    <row r="4820">
      <c r="A4820" s="3">
        <f>IF(D4820="","","TT-"&amp;TEXT(ROW()-1,"00000"))</f>
        <v/>
      </c>
      <c r="B4820" s="3">
        <f>IF(D4820="","",IF(V4820=0,"CONCLUÍDO",IF(D4820&lt;corte,"HISTÓRICO",IF(OR(AND(ISNUMBER(R4820),R4820&lt;TODAY()),AND(OR(N4820="PENDENTE",N4820="PARCIAL"),D4820&lt;TODAY()-1)),"CRÍTICO",IF(OR(AND(P4820&lt;&gt;"",S4820=""),AND(N4820="REALIZADO",M4820="PENDENTE"),AND(ISNUMBER(R4820),R4820=TODAY())),"ATENÇÃO",IF(N(K4820)=0,"PENDENTE","EM ANDAMENTO"))))))</f>
        <v/>
      </c>
      <c r="C4820" s="3">
        <f>IF(D4820="","",IF(V4820=0,"🟢 OK",IF(D4820&lt;corte,"⚪ HISTÓRICO (sem baixa)",IF(AND(ISNUMBER(R4820),R4820&lt;TODAY()),"🔴 PRAZO VENCIDO",IF(AND(OR(N4820="PENDENTE",N4820="PARCIAL"),D4820&lt;TODAY()-1),"🔴 EMBARQUE ATRASADO",IF(AND(N4820="REALIZADO",M4820="PENDENTE"),"🟡 EMBARCADO SEM FATURAR",IF(AND(P4820&lt;&gt;"",S4820="",OR(Q4820="",R4820="")),"🟡 PENDÊNCIA SEM RESPONSÁVEL/PRAZO",IF(AND(ISNUMBER(R4820),R4820=TODAY()),"🟡 VENCE HOJE",IF(AND(P4820&lt;&gt;"",S4820=""),"🟡 PENDÊNCIA ABERTA",IF(AND(N(J4820)&gt;0,N(K4820)&lt;J4820),"🟡 FALTA EXECUTAR",IF(OR(M4820="PENDENTE",M4820="PARCIAL"),"🟡 FATURAMENTO PENDENTE","🟡 EMBARQUE PENDENTE")))))))))))</f>
        <v/>
      </c>
      <c r="D4820" s="4" t="n"/>
      <c r="E4820" s="5" t="n"/>
      <c r="F4820" s="5" t="n"/>
      <c r="G4820" s="5" t="n"/>
      <c r="H4820" s="5" t="n"/>
      <c r="I4820" s="5" t="n"/>
      <c r="J4820" s="6" t="n"/>
      <c r="K4820" s="6" t="n"/>
      <c r="L4820" s="7">
        <f>IF(OR(D4820="",N(J4820)=0),"",MIN(1,N(K4820)/J4820))</f>
        <v/>
      </c>
      <c r="M4820" s="5" t="n"/>
      <c r="N4820" s="5" t="n"/>
      <c r="O4820" s="5" t="n"/>
      <c r="P4820" s="5" t="n"/>
      <c r="Q4820" s="5" t="n"/>
      <c r="R4820" s="4" t="n"/>
      <c r="S4820" s="4" t="n"/>
      <c r="T4820" s="5" t="n"/>
      <c r="U4820" s="8">
        <f>IF(AND(V4820=1,D4820&lt;&gt;""),IF(D4820&gt;=corte,TODAY()-D4820,""),"")</f>
        <v/>
      </c>
      <c r="V4820" s="8">
        <f>IF(D4820="",0,IF(OR(AND(P4820&lt;&gt;"",S4820=""),AND(N(J4820)&gt;0,N(K4820)&lt;J4820),OR(M4820="PENDENTE",M4820="PARCIAL"),OR(N4820="PENDENTE",N4820="PARCIAL")),1,0))</f>
        <v/>
      </c>
      <c r="W4820" s="8">
        <f>IF(AND(V4820=1,D4820&lt;&gt;""),IF(D4820&gt;=corte,(B4820="CRÍTICO")*1E9+(100000-D4820)*10000+10000-ROW(),""),"")</f>
        <v/>
      </c>
      <c r="X4820" s="8">
        <f>IF(AND(V4820=1,D4820=pas_data,E4820=pas_turno),10000-ROW(),"")</f>
        <v/>
      </c>
    </row>
    <row r="4821">
      <c r="A4821" s="3">
        <f>IF(D4821="","","TT-"&amp;TEXT(ROW()-1,"00000"))</f>
        <v/>
      </c>
      <c r="B4821" s="3">
        <f>IF(D4821="","",IF(V4821=0,"CONCLUÍDO",IF(D4821&lt;corte,"HISTÓRICO",IF(OR(AND(ISNUMBER(R4821),R4821&lt;TODAY()),AND(OR(N4821="PENDENTE",N4821="PARCIAL"),D4821&lt;TODAY()-1)),"CRÍTICO",IF(OR(AND(P4821&lt;&gt;"",S4821=""),AND(N4821="REALIZADO",M4821="PENDENTE"),AND(ISNUMBER(R4821),R4821=TODAY())),"ATENÇÃO",IF(N(K4821)=0,"PENDENTE","EM ANDAMENTO"))))))</f>
        <v/>
      </c>
      <c r="C4821" s="3">
        <f>IF(D4821="","",IF(V4821=0,"🟢 OK",IF(D4821&lt;corte,"⚪ HISTÓRICO (sem baixa)",IF(AND(ISNUMBER(R4821),R4821&lt;TODAY()),"🔴 PRAZO VENCIDO",IF(AND(OR(N4821="PENDENTE",N4821="PARCIAL"),D4821&lt;TODAY()-1),"🔴 EMBARQUE ATRASADO",IF(AND(N4821="REALIZADO",M4821="PENDENTE"),"🟡 EMBARCADO SEM FATURAR",IF(AND(P4821&lt;&gt;"",S4821="",OR(Q4821="",R4821="")),"🟡 PENDÊNCIA SEM RESPONSÁVEL/PRAZO",IF(AND(ISNUMBER(R4821),R4821=TODAY()),"🟡 VENCE HOJE",IF(AND(P4821&lt;&gt;"",S4821=""),"🟡 PENDÊNCIA ABERTA",IF(AND(N(J4821)&gt;0,N(K4821)&lt;J4821),"🟡 FALTA EXECUTAR",IF(OR(M4821="PENDENTE",M4821="PARCIAL"),"🟡 FATURAMENTO PENDENTE","🟡 EMBARQUE PENDENTE")))))))))))</f>
        <v/>
      </c>
      <c r="D4821" s="4" t="n"/>
      <c r="E4821" s="5" t="n"/>
      <c r="F4821" s="5" t="n"/>
      <c r="G4821" s="5" t="n"/>
      <c r="H4821" s="5" t="n"/>
      <c r="I4821" s="5" t="n"/>
      <c r="J4821" s="6" t="n"/>
      <c r="K4821" s="6" t="n"/>
      <c r="L4821" s="7">
        <f>IF(OR(D4821="",N(J4821)=0),"",MIN(1,N(K4821)/J4821))</f>
        <v/>
      </c>
      <c r="M4821" s="5" t="n"/>
      <c r="N4821" s="5" t="n"/>
      <c r="O4821" s="5" t="n"/>
      <c r="P4821" s="5" t="n"/>
      <c r="Q4821" s="5" t="n"/>
      <c r="R4821" s="4" t="n"/>
      <c r="S4821" s="4" t="n"/>
      <c r="T4821" s="5" t="n"/>
      <c r="U4821" s="8">
        <f>IF(AND(V4821=1,D4821&lt;&gt;""),IF(D4821&gt;=corte,TODAY()-D4821,""),"")</f>
        <v/>
      </c>
      <c r="V4821" s="8">
        <f>IF(D4821="",0,IF(OR(AND(P4821&lt;&gt;"",S4821=""),AND(N(J4821)&gt;0,N(K4821)&lt;J4821),OR(M4821="PENDENTE",M4821="PARCIAL"),OR(N4821="PENDENTE",N4821="PARCIAL")),1,0))</f>
        <v/>
      </c>
      <c r="W4821" s="8">
        <f>IF(AND(V4821=1,D4821&lt;&gt;""),IF(D4821&gt;=corte,(B4821="CRÍTICO")*1E9+(100000-D4821)*10000+10000-ROW(),""),"")</f>
        <v/>
      </c>
      <c r="X4821" s="8">
        <f>IF(AND(V4821=1,D4821=pas_data,E4821=pas_turno),10000-ROW(),"")</f>
        <v/>
      </c>
    </row>
    <row r="4822">
      <c r="A4822" s="3">
        <f>IF(D4822="","","TT-"&amp;TEXT(ROW()-1,"00000"))</f>
        <v/>
      </c>
      <c r="B4822" s="3">
        <f>IF(D4822="","",IF(V4822=0,"CONCLUÍDO",IF(D4822&lt;corte,"HISTÓRICO",IF(OR(AND(ISNUMBER(R4822),R4822&lt;TODAY()),AND(OR(N4822="PENDENTE",N4822="PARCIAL"),D4822&lt;TODAY()-1)),"CRÍTICO",IF(OR(AND(P4822&lt;&gt;"",S4822=""),AND(N4822="REALIZADO",M4822="PENDENTE"),AND(ISNUMBER(R4822),R4822=TODAY())),"ATENÇÃO",IF(N(K4822)=0,"PENDENTE","EM ANDAMENTO"))))))</f>
        <v/>
      </c>
      <c r="C4822" s="3">
        <f>IF(D4822="","",IF(V4822=0,"🟢 OK",IF(D4822&lt;corte,"⚪ HISTÓRICO (sem baixa)",IF(AND(ISNUMBER(R4822),R4822&lt;TODAY()),"🔴 PRAZO VENCIDO",IF(AND(OR(N4822="PENDENTE",N4822="PARCIAL"),D4822&lt;TODAY()-1),"🔴 EMBARQUE ATRASADO",IF(AND(N4822="REALIZADO",M4822="PENDENTE"),"🟡 EMBARCADO SEM FATURAR",IF(AND(P4822&lt;&gt;"",S4822="",OR(Q4822="",R4822="")),"🟡 PENDÊNCIA SEM RESPONSÁVEL/PRAZO",IF(AND(ISNUMBER(R4822),R4822=TODAY()),"🟡 VENCE HOJE",IF(AND(P4822&lt;&gt;"",S4822=""),"🟡 PENDÊNCIA ABERTA",IF(AND(N(J4822)&gt;0,N(K4822)&lt;J4822),"🟡 FALTA EXECUTAR",IF(OR(M4822="PENDENTE",M4822="PARCIAL"),"🟡 FATURAMENTO PENDENTE","🟡 EMBARQUE PENDENTE")))))))))))</f>
        <v/>
      </c>
      <c r="D4822" s="4" t="n"/>
      <c r="E4822" s="5" t="n"/>
      <c r="F4822" s="5" t="n"/>
      <c r="G4822" s="5" t="n"/>
      <c r="H4822" s="5" t="n"/>
      <c r="I4822" s="5" t="n"/>
      <c r="J4822" s="6" t="n"/>
      <c r="K4822" s="6" t="n"/>
      <c r="L4822" s="7">
        <f>IF(OR(D4822="",N(J4822)=0),"",MIN(1,N(K4822)/J4822))</f>
        <v/>
      </c>
      <c r="M4822" s="5" t="n"/>
      <c r="N4822" s="5" t="n"/>
      <c r="O4822" s="5" t="n"/>
      <c r="P4822" s="5" t="n"/>
      <c r="Q4822" s="5" t="n"/>
      <c r="R4822" s="4" t="n"/>
      <c r="S4822" s="4" t="n"/>
      <c r="T4822" s="5" t="n"/>
      <c r="U4822" s="8">
        <f>IF(AND(V4822=1,D4822&lt;&gt;""),IF(D4822&gt;=corte,TODAY()-D4822,""),"")</f>
        <v/>
      </c>
      <c r="V4822" s="8">
        <f>IF(D4822="",0,IF(OR(AND(P4822&lt;&gt;"",S4822=""),AND(N(J4822)&gt;0,N(K4822)&lt;J4822),OR(M4822="PENDENTE",M4822="PARCIAL"),OR(N4822="PENDENTE",N4822="PARCIAL")),1,0))</f>
        <v/>
      </c>
      <c r="W4822" s="8">
        <f>IF(AND(V4822=1,D4822&lt;&gt;""),IF(D4822&gt;=corte,(B4822="CRÍTICO")*1E9+(100000-D4822)*10000+10000-ROW(),""),"")</f>
        <v/>
      </c>
      <c r="X4822" s="8">
        <f>IF(AND(V4822=1,D4822=pas_data,E4822=pas_turno),10000-ROW(),"")</f>
        <v/>
      </c>
    </row>
    <row r="4823">
      <c r="A4823" s="3">
        <f>IF(D4823="","","TT-"&amp;TEXT(ROW()-1,"00000"))</f>
        <v/>
      </c>
      <c r="B4823" s="3">
        <f>IF(D4823="","",IF(V4823=0,"CONCLUÍDO",IF(D4823&lt;corte,"HISTÓRICO",IF(OR(AND(ISNUMBER(R4823),R4823&lt;TODAY()),AND(OR(N4823="PENDENTE",N4823="PARCIAL"),D4823&lt;TODAY()-1)),"CRÍTICO",IF(OR(AND(P4823&lt;&gt;"",S4823=""),AND(N4823="REALIZADO",M4823="PENDENTE"),AND(ISNUMBER(R4823),R4823=TODAY())),"ATENÇÃO",IF(N(K4823)=0,"PENDENTE","EM ANDAMENTO"))))))</f>
        <v/>
      </c>
      <c r="C4823" s="3">
        <f>IF(D4823="","",IF(V4823=0,"🟢 OK",IF(D4823&lt;corte,"⚪ HISTÓRICO (sem baixa)",IF(AND(ISNUMBER(R4823),R4823&lt;TODAY()),"🔴 PRAZO VENCIDO",IF(AND(OR(N4823="PENDENTE",N4823="PARCIAL"),D4823&lt;TODAY()-1),"🔴 EMBARQUE ATRASADO",IF(AND(N4823="REALIZADO",M4823="PENDENTE"),"🟡 EMBARCADO SEM FATURAR",IF(AND(P4823&lt;&gt;"",S4823="",OR(Q4823="",R4823="")),"🟡 PENDÊNCIA SEM RESPONSÁVEL/PRAZO",IF(AND(ISNUMBER(R4823),R4823=TODAY()),"🟡 VENCE HOJE",IF(AND(P4823&lt;&gt;"",S4823=""),"🟡 PENDÊNCIA ABERTA",IF(AND(N(J4823)&gt;0,N(K4823)&lt;J4823),"🟡 FALTA EXECUTAR",IF(OR(M4823="PENDENTE",M4823="PARCIAL"),"🟡 FATURAMENTO PENDENTE","🟡 EMBARQUE PENDENTE")))))))))))</f>
        <v/>
      </c>
      <c r="D4823" s="4" t="n"/>
      <c r="E4823" s="5" t="n"/>
      <c r="F4823" s="5" t="n"/>
      <c r="G4823" s="5" t="n"/>
      <c r="H4823" s="5" t="n"/>
      <c r="I4823" s="5" t="n"/>
      <c r="J4823" s="6" t="n"/>
      <c r="K4823" s="6" t="n"/>
      <c r="L4823" s="7">
        <f>IF(OR(D4823="",N(J4823)=0),"",MIN(1,N(K4823)/J4823))</f>
        <v/>
      </c>
      <c r="M4823" s="5" t="n"/>
      <c r="N4823" s="5" t="n"/>
      <c r="O4823" s="5" t="n"/>
      <c r="P4823" s="5" t="n"/>
      <c r="Q4823" s="5" t="n"/>
      <c r="R4823" s="4" t="n"/>
      <c r="S4823" s="4" t="n"/>
      <c r="T4823" s="5" t="n"/>
      <c r="U4823" s="8">
        <f>IF(AND(V4823=1,D4823&lt;&gt;""),IF(D4823&gt;=corte,TODAY()-D4823,""),"")</f>
        <v/>
      </c>
      <c r="V4823" s="8">
        <f>IF(D4823="",0,IF(OR(AND(P4823&lt;&gt;"",S4823=""),AND(N(J4823)&gt;0,N(K4823)&lt;J4823),OR(M4823="PENDENTE",M4823="PARCIAL"),OR(N4823="PENDENTE",N4823="PARCIAL")),1,0))</f>
        <v/>
      </c>
      <c r="W4823" s="8">
        <f>IF(AND(V4823=1,D4823&lt;&gt;""),IF(D4823&gt;=corte,(B4823="CRÍTICO")*1E9+(100000-D4823)*10000+10000-ROW(),""),"")</f>
        <v/>
      </c>
      <c r="X4823" s="8">
        <f>IF(AND(V4823=1,D4823=pas_data,E4823=pas_turno),10000-ROW(),"")</f>
        <v/>
      </c>
    </row>
    <row r="4824">
      <c r="A4824" s="3">
        <f>IF(D4824="","","TT-"&amp;TEXT(ROW()-1,"00000"))</f>
        <v/>
      </c>
      <c r="B4824" s="3">
        <f>IF(D4824="","",IF(V4824=0,"CONCLUÍDO",IF(D4824&lt;corte,"HISTÓRICO",IF(OR(AND(ISNUMBER(R4824),R4824&lt;TODAY()),AND(OR(N4824="PENDENTE",N4824="PARCIAL"),D4824&lt;TODAY()-1)),"CRÍTICO",IF(OR(AND(P4824&lt;&gt;"",S4824=""),AND(N4824="REALIZADO",M4824="PENDENTE"),AND(ISNUMBER(R4824),R4824=TODAY())),"ATENÇÃO",IF(N(K4824)=0,"PENDENTE","EM ANDAMENTO"))))))</f>
        <v/>
      </c>
      <c r="C4824" s="3">
        <f>IF(D4824="","",IF(V4824=0,"🟢 OK",IF(D4824&lt;corte,"⚪ HISTÓRICO (sem baixa)",IF(AND(ISNUMBER(R4824),R4824&lt;TODAY()),"🔴 PRAZO VENCIDO",IF(AND(OR(N4824="PENDENTE",N4824="PARCIAL"),D4824&lt;TODAY()-1),"🔴 EMBARQUE ATRASADO",IF(AND(N4824="REALIZADO",M4824="PENDENTE"),"🟡 EMBARCADO SEM FATURAR",IF(AND(P4824&lt;&gt;"",S4824="",OR(Q4824="",R4824="")),"🟡 PENDÊNCIA SEM RESPONSÁVEL/PRAZO",IF(AND(ISNUMBER(R4824),R4824=TODAY()),"🟡 VENCE HOJE",IF(AND(P4824&lt;&gt;"",S4824=""),"🟡 PENDÊNCIA ABERTA",IF(AND(N(J4824)&gt;0,N(K4824)&lt;J4824),"🟡 FALTA EXECUTAR",IF(OR(M4824="PENDENTE",M4824="PARCIAL"),"🟡 FATURAMENTO PENDENTE","🟡 EMBARQUE PENDENTE")))))))))))</f>
        <v/>
      </c>
      <c r="D4824" s="4" t="n"/>
      <c r="E4824" s="5" t="n"/>
      <c r="F4824" s="5" t="n"/>
      <c r="G4824" s="5" t="n"/>
      <c r="H4824" s="5" t="n"/>
      <c r="I4824" s="5" t="n"/>
      <c r="J4824" s="6" t="n"/>
      <c r="K4824" s="6" t="n"/>
      <c r="L4824" s="7">
        <f>IF(OR(D4824="",N(J4824)=0),"",MIN(1,N(K4824)/J4824))</f>
        <v/>
      </c>
      <c r="M4824" s="5" t="n"/>
      <c r="N4824" s="5" t="n"/>
      <c r="O4824" s="5" t="n"/>
      <c r="P4824" s="5" t="n"/>
      <c r="Q4824" s="5" t="n"/>
      <c r="R4824" s="4" t="n"/>
      <c r="S4824" s="4" t="n"/>
      <c r="T4824" s="5" t="n"/>
      <c r="U4824" s="8">
        <f>IF(AND(V4824=1,D4824&lt;&gt;""),IF(D4824&gt;=corte,TODAY()-D4824,""),"")</f>
        <v/>
      </c>
      <c r="V4824" s="8">
        <f>IF(D4824="",0,IF(OR(AND(P4824&lt;&gt;"",S4824=""),AND(N(J4824)&gt;0,N(K4824)&lt;J4824),OR(M4824="PENDENTE",M4824="PARCIAL"),OR(N4824="PENDENTE",N4824="PARCIAL")),1,0))</f>
        <v/>
      </c>
      <c r="W4824" s="8">
        <f>IF(AND(V4824=1,D4824&lt;&gt;""),IF(D4824&gt;=corte,(B4824="CRÍTICO")*1E9+(100000-D4824)*10000+10000-ROW(),""),"")</f>
        <v/>
      </c>
      <c r="X4824" s="8">
        <f>IF(AND(V4824=1,D4824=pas_data,E4824=pas_turno),10000-ROW(),"")</f>
        <v/>
      </c>
    </row>
    <row r="4825">
      <c r="A4825" s="3">
        <f>IF(D4825="","","TT-"&amp;TEXT(ROW()-1,"00000"))</f>
        <v/>
      </c>
      <c r="B4825" s="3">
        <f>IF(D4825="","",IF(V4825=0,"CONCLUÍDO",IF(D4825&lt;corte,"HISTÓRICO",IF(OR(AND(ISNUMBER(R4825),R4825&lt;TODAY()),AND(OR(N4825="PENDENTE",N4825="PARCIAL"),D4825&lt;TODAY()-1)),"CRÍTICO",IF(OR(AND(P4825&lt;&gt;"",S4825=""),AND(N4825="REALIZADO",M4825="PENDENTE"),AND(ISNUMBER(R4825),R4825=TODAY())),"ATENÇÃO",IF(N(K4825)=0,"PENDENTE","EM ANDAMENTO"))))))</f>
        <v/>
      </c>
      <c r="C4825" s="3">
        <f>IF(D4825="","",IF(V4825=0,"🟢 OK",IF(D4825&lt;corte,"⚪ HISTÓRICO (sem baixa)",IF(AND(ISNUMBER(R4825),R4825&lt;TODAY()),"🔴 PRAZO VENCIDO",IF(AND(OR(N4825="PENDENTE",N4825="PARCIAL"),D4825&lt;TODAY()-1),"🔴 EMBARQUE ATRASADO",IF(AND(N4825="REALIZADO",M4825="PENDENTE"),"🟡 EMBARCADO SEM FATURAR",IF(AND(P4825&lt;&gt;"",S4825="",OR(Q4825="",R4825="")),"🟡 PENDÊNCIA SEM RESPONSÁVEL/PRAZO",IF(AND(ISNUMBER(R4825),R4825=TODAY()),"🟡 VENCE HOJE",IF(AND(P4825&lt;&gt;"",S4825=""),"🟡 PENDÊNCIA ABERTA",IF(AND(N(J4825)&gt;0,N(K4825)&lt;J4825),"🟡 FALTA EXECUTAR",IF(OR(M4825="PENDENTE",M4825="PARCIAL"),"🟡 FATURAMENTO PENDENTE","🟡 EMBARQUE PENDENTE")))))))))))</f>
        <v/>
      </c>
      <c r="D4825" s="4" t="n"/>
      <c r="E4825" s="5" t="n"/>
      <c r="F4825" s="5" t="n"/>
      <c r="G4825" s="5" t="n"/>
      <c r="H4825" s="5" t="n"/>
      <c r="I4825" s="5" t="n"/>
      <c r="J4825" s="6" t="n"/>
      <c r="K4825" s="6" t="n"/>
      <c r="L4825" s="7">
        <f>IF(OR(D4825="",N(J4825)=0),"",MIN(1,N(K4825)/J4825))</f>
        <v/>
      </c>
      <c r="M4825" s="5" t="n"/>
      <c r="N4825" s="5" t="n"/>
      <c r="O4825" s="5" t="n"/>
      <c r="P4825" s="5" t="n"/>
      <c r="Q4825" s="5" t="n"/>
      <c r="R4825" s="4" t="n"/>
      <c r="S4825" s="4" t="n"/>
      <c r="T4825" s="5" t="n"/>
      <c r="U4825" s="8">
        <f>IF(AND(V4825=1,D4825&lt;&gt;""),IF(D4825&gt;=corte,TODAY()-D4825,""),"")</f>
        <v/>
      </c>
      <c r="V4825" s="8">
        <f>IF(D4825="",0,IF(OR(AND(P4825&lt;&gt;"",S4825=""),AND(N(J4825)&gt;0,N(K4825)&lt;J4825),OR(M4825="PENDENTE",M4825="PARCIAL"),OR(N4825="PENDENTE",N4825="PARCIAL")),1,0))</f>
        <v/>
      </c>
      <c r="W4825" s="8">
        <f>IF(AND(V4825=1,D4825&lt;&gt;""),IF(D4825&gt;=corte,(B4825="CRÍTICO")*1E9+(100000-D4825)*10000+10000-ROW(),""),"")</f>
        <v/>
      </c>
      <c r="X4825" s="8">
        <f>IF(AND(V4825=1,D4825=pas_data,E4825=pas_turno),10000-ROW(),"")</f>
        <v/>
      </c>
    </row>
    <row r="4826">
      <c r="A4826" s="3">
        <f>IF(D4826="","","TT-"&amp;TEXT(ROW()-1,"00000"))</f>
        <v/>
      </c>
      <c r="B4826" s="3">
        <f>IF(D4826="","",IF(V4826=0,"CONCLUÍDO",IF(D4826&lt;corte,"HISTÓRICO",IF(OR(AND(ISNUMBER(R4826),R4826&lt;TODAY()),AND(OR(N4826="PENDENTE",N4826="PARCIAL"),D4826&lt;TODAY()-1)),"CRÍTICO",IF(OR(AND(P4826&lt;&gt;"",S4826=""),AND(N4826="REALIZADO",M4826="PENDENTE"),AND(ISNUMBER(R4826),R4826=TODAY())),"ATENÇÃO",IF(N(K4826)=0,"PENDENTE","EM ANDAMENTO"))))))</f>
        <v/>
      </c>
      <c r="C4826" s="3">
        <f>IF(D4826="","",IF(V4826=0,"🟢 OK",IF(D4826&lt;corte,"⚪ HISTÓRICO (sem baixa)",IF(AND(ISNUMBER(R4826),R4826&lt;TODAY()),"🔴 PRAZO VENCIDO",IF(AND(OR(N4826="PENDENTE",N4826="PARCIAL"),D4826&lt;TODAY()-1),"🔴 EMBARQUE ATRASADO",IF(AND(N4826="REALIZADO",M4826="PENDENTE"),"🟡 EMBARCADO SEM FATURAR",IF(AND(P4826&lt;&gt;"",S4826="",OR(Q4826="",R4826="")),"🟡 PENDÊNCIA SEM RESPONSÁVEL/PRAZO",IF(AND(ISNUMBER(R4826),R4826=TODAY()),"🟡 VENCE HOJE",IF(AND(P4826&lt;&gt;"",S4826=""),"🟡 PENDÊNCIA ABERTA",IF(AND(N(J4826)&gt;0,N(K4826)&lt;J4826),"🟡 FALTA EXECUTAR",IF(OR(M4826="PENDENTE",M4826="PARCIAL"),"🟡 FATURAMENTO PENDENTE","🟡 EMBARQUE PENDENTE")))))))))))</f>
        <v/>
      </c>
      <c r="D4826" s="4" t="n"/>
      <c r="E4826" s="5" t="n"/>
      <c r="F4826" s="5" t="n"/>
      <c r="G4826" s="5" t="n"/>
      <c r="H4826" s="5" t="n"/>
      <c r="I4826" s="5" t="n"/>
      <c r="J4826" s="6" t="n"/>
      <c r="K4826" s="6" t="n"/>
      <c r="L4826" s="7">
        <f>IF(OR(D4826="",N(J4826)=0),"",MIN(1,N(K4826)/J4826))</f>
        <v/>
      </c>
      <c r="M4826" s="5" t="n"/>
      <c r="N4826" s="5" t="n"/>
      <c r="O4826" s="5" t="n"/>
      <c r="P4826" s="5" t="n"/>
      <c r="Q4826" s="5" t="n"/>
      <c r="R4826" s="4" t="n"/>
      <c r="S4826" s="4" t="n"/>
      <c r="T4826" s="5" t="n"/>
      <c r="U4826" s="8">
        <f>IF(AND(V4826=1,D4826&lt;&gt;""),IF(D4826&gt;=corte,TODAY()-D4826,""),"")</f>
        <v/>
      </c>
      <c r="V4826" s="8">
        <f>IF(D4826="",0,IF(OR(AND(P4826&lt;&gt;"",S4826=""),AND(N(J4826)&gt;0,N(K4826)&lt;J4826),OR(M4826="PENDENTE",M4826="PARCIAL"),OR(N4826="PENDENTE",N4826="PARCIAL")),1,0))</f>
        <v/>
      </c>
      <c r="W4826" s="8">
        <f>IF(AND(V4826=1,D4826&lt;&gt;""),IF(D4826&gt;=corte,(B4826="CRÍTICO")*1E9+(100000-D4826)*10000+10000-ROW(),""),"")</f>
        <v/>
      </c>
      <c r="X4826" s="8">
        <f>IF(AND(V4826=1,D4826=pas_data,E4826=pas_turno),10000-ROW(),"")</f>
        <v/>
      </c>
    </row>
    <row r="4827">
      <c r="A4827" s="3">
        <f>IF(D4827="","","TT-"&amp;TEXT(ROW()-1,"00000"))</f>
        <v/>
      </c>
      <c r="B4827" s="3">
        <f>IF(D4827="","",IF(V4827=0,"CONCLUÍDO",IF(D4827&lt;corte,"HISTÓRICO",IF(OR(AND(ISNUMBER(R4827),R4827&lt;TODAY()),AND(OR(N4827="PENDENTE",N4827="PARCIAL"),D4827&lt;TODAY()-1)),"CRÍTICO",IF(OR(AND(P4827&lt;&gt;"",S4827=""),AND(N4827="REALIZADO",M4827="PENDENTE"),AND(ISNUMBER(R4827),R4827=TODAY())),"ATENÇÃO",IF(N(K4827)=0,"PENDENTE","EM ANDAMENTO"))))))</f>
        <v/>
      </c>
      <c r="C4827" s="3">
        <f>IF(D4827="","",IF(V4827=0,"🟢 OK",IF(D4827&lt;corte,"⚪ HISTÓRICO (sem baixa)",IF(AND(ISNUMBER(R4827),R4827&lt;TODAY()),"🔴 PRAZO VENCIDO",IF(AND(OR(N4827="PENDENTE",N4827="PARCIAL"),D4827&lt;TODAY()-1),"🔴 EMBARQUE ATRASADO",IF(AND(N4827="REALIZADO",M4827="PENDENTE"),"🟡 EMBARCADO SEM FATURAR",IF(AND(P4827&lt;&gt;"",S4827="",OR(Q4827="",R4827="")),"🟡 PENDÊNCIA SEM RESPONSÁVEL/PRAZO",IF(AND(ISNUMBER(R4827),R4827=TODAY()),"🟡 VENCE HOJE",IF(AND(P4827&lt;&gt;"",S4827=""),"🟡 PENDÊNCIA ABERTA",IF(AND(N(J4827)&gt;0,N(K4827)&lt;J4827),"🟡 FALTA EXECUTAR",IF(OR(M4827="PENDENTE",M4827="PARCIAL"),"🟡 FATURAMENTO PENDENTE","🟡 EMBARQUE PENDENTE")))))))))))</f>
        <v/>
      </c>
      <c r="D4827" s="4" t="n"/>
      <c r="E4827" s="5" t="n"/>
      <c r="F4827" s="5" t="n"/>
      <c r="G4827" s="5" t="n"/>
      <c r="H4827" s="5" t="n"/>
      <c r="I4827" s="5" t="n"/>
      <c r="J4827" s="6" t="n"/>
      <c r="K4827" s="6" t="n"/>
      <c r="L4827" s="7">
        <f>IF(OR(D4827="",N(J4827)=0),"",MIN(1,N(K4827)/J4827))</f>
        <v/>
      </c>
      <c r="M4827" s="5" t="n"/>
      <c r="N4827" s="5" t="n"/>
      <c r="O4827" s="5" t="n"/>
      <c r="P4827" s="5" t="n"/>
      <c r="Q4827" s="5" t="n"/>
      <c r="R4827" s="4" t="n"/>
      <c r="S4827" s="4" t="n"/>
      <c r="T4827" s="5" t="n"/>
      <c r="U4827" s="8">
        <f>IF(AND(V4827=1,D4827&lt;&gt;""),IF(D4827&gt;=corte,TODAY()-D4827,""),"")</f>
        <v/>
      </c>
      <c r="V4827" s="8">
        <f>IF(D4827="",0,IF(OR(AND(P4827&lt;&gt;"",S4827=""),AND(N(J4827)&gt;0,N(K4827)&lt;J4827),OR(M4827="PENDENTE",M4827="PARCIAL"),OR(N4827="PENDENTE",N4827="PARCIAL")),1,0))</f>
        <v/>
      </c>
      <c r="W4827" s="8">
        <f>IF(AND(V4827=1,D4827&lt;&gt;""),IF(D4827&gt;=corte,(B4827="CRÍTICO")*1E9+(100000-D4827)*10000+10000-ROW(),""),"")</f>
        <v/>
      </c>
      <c r="X4827" s="8">
        <f>IF(AND(V4827=1,D4827=pas_data,E4827=pas_turno),10000-ROW(),"")</f>
        <v/>
      </c>
    </row>
    <row r="4828">
      <c r="A4828" s="3">
        <f>IF(D4828="","","TT-"&amp;TEXT(ROW()-1,"00000"))</f>
        <v/>
      </c>
      <c r="B4828" s="3">
        <f>IF(D4828="","",IF(V4828=0,"CONCLUÍDO",IF(D4828&lt;corte,"HISTÓRICO",IF(OR(AND(ISNUMBER(R4828),R4828&lt;TODAY()),AND(OR(N4828="PENDENTE",N4828="PARCIAL"),D4828&lt;TODAY()-1)),"CRÍTICO",IF(OR(AND(P4828&lt;&gt;"",S4828=""),AND(N4828="REALIZADO",M4828="PENDENTE"),AND(ISNUMBER(R4828),R4828=TODAY())),"ATENÇÃO",IF(N(K4828)=0,"PENDENTE","EM ANDAMENTO"))))))</f>
        <v/>
      </c>
      <c r="C4828" s="3">
        <f>IF(D4828="","",IF(V4828=0,"🟢 OK",IF(D4828&lt;corte,"⚪ HISTÓRICO (sem baixa)",IF(AND(ISNUMBER(R4828),R4828&lt;TODAY()),"🔴 PRAZO VENCIDO",IF(AND(OR(N4828="PENDENTE",N4828="PARCIAL"),D4828&lt;TODAY()-1),"🔴 EMBARQUE ATRASADO",IF(AND(N4828="REALIZADO",M4828="PENDENTE"),"🟡 EMBARCADO SEM FATURAR",IF(AND(P4828&lt;&gt;"",S4828="",OR(Q4828="",R4828="")),"🟡 PENDÊNCIA SEM RESPONSÁVEL/PRAZO",IF(AND(ISNUMBER(R4828),R4828=TODAY()),"🟡 VENCE HOJE",IF(AND(P4828&lt;&gt;"",S4828=""),"🟡 PENDÊNCIA ABERTA",IF(AND(N(J4828)&gt;0,N(K4828)&lt;J4828),"🟡 FALTA EXECUTAR",IF(OR(M4828="PENDENTE",M4828="PARCIAL"),"🟡 FATURAMENTO PENDENTE","🟡 EMBARQUE PENDENTE")))))))))))</f>
        <v/>
      </c>
      <c r="D4828" s="4" t="n"/>
      <c r="E4828" s="5" t="n"/>
      <c r="F4828" s="5" t="n"/>
      <c r="G4828" s="5" t="n"/>
      <c r="H4828" s="5" t="n"/>
      <c r="I4828" s="5" t="n"/>
      <c r="J4828" s="6" t="n"/>
      <c r="K4828" s="6" t="n"/>
      <c r="L4828" s="7">
        <f>IF(OR(D4828="",N(J4828)=0),"",MIN(1,N(K4828)/J4828))</f>
        <v/>
      </c>
      <c r="M4828" s="5" t="n"/>
      <c r="N4828" s="5" t="n"/>
      <c r="O4828" s="5" t="n"/>
      <c r="P4828" s="5" t="n"/>
      <c r="Q4828" s="5" t="n"/>
      <c r="R4828" s="4" t="n"/>
      <c r="S4828" s="4" t="n"/>
      <c r="T4828" s="5" t="n"/>
      <c r="U4828" s="8">
        <f>IF(AND(V4828=1,D4828&lt;&gt;""),IF(D4828&gt;=corte,TODAY()-D4828,""),"")</f>
        <v/>
      </c>
      <c r="V4828" s="8">
        <f>IF(D4828="",0,IF(OR(AND(P4828&lt;&gt;"",S4828=""),AND(N(J4828)&gt;0,N(K4828)&lt;J4828),OR(M4828="PENDENTE",M4828="PARCIAL"),OR(N4828="PENDENTE",N4828="PARCIAL")),1,0))</f>
        <v/>
      </c>
      <c r="W4828" s="8">
        <f>IF(AND(V4828=1,D4828&lt;&gt;""),IF(D4828&gt;=corte,(B4828="CRÍTICO")*1E9+(100000-D4828)*10000+10000-ROW(),""),"")</f>
        <v/>
      </c>
      <c r="X4828" s="8">
        <f>IF(AND(V4828=1,D4828=pas_data,E4828=pas_turno),10000-ROW(),"")</f>
        <v/>
      </c>
    </row>
    <row r="4829">
      <c r="A4829" s="3">
        <f>IF(D4829="","","TT-"&amp;TEXT(ROW()-1,"00000"))</f>
        <v/>
      </c>
      <c r="B4829" s="3">
        <f>IF(D4829="","",IF(V4829=0,"CONCLUÍDO",IF(D4829&lt;corte,"HISTÓRICO",IF(OR(AND(ISNUMBER(R4829),R4829&lt;TODAY()),AND(OR(N4829="PENDENTE",N4829="PARCIAL"),D4829&lt;TODAY()-1)),"CRÍTICO",IF(OR(AND(P4829&lt;&gt;"",S4829=""),AND(N4829="REALIZADO",M4829="PENDENTE"),AND(ISNUMBER(R4829),R4829=TODAY())),"ATENÇÃO",IF(N(K4829)=0,"PENDENTE","EM ANDAMENTO"))))))</f>
        <v/>
      </c>
      <c r="C4829" s="3">
        <f>IF(D4829="","",IF(V4829=0,"🟢 OK",IF(D4829&lt;corte,"⚪ HISTÓRICO (sem baixa)",IF(AND(ISNUMBER(R4829),R4829&lt;TODAY()),"🔴 PRAZO VENCIDO",IF(AND(OR(N4829="PENDENTE",N4829="PARCIAL"),D4829&lt;TODAY()-1),"🔴 EMBARQUE ATRASADO",IF(AND(N4829="REALIZADO",M4829="PENDENTE"),"🟡 EMBARCADO SEM FATURAR",IF(AND(P4829&lt;&gt;"",S4829="",OR(Q4829="",R4829="")),"🟡 PENDÊNCIA SEM RESPONSÁVEL/PRAZO",IF(AND(ISNUMBER(R4829),R4829=TODAY()),"🟡 VENCE HOJE",IF(AND(P4829&lt;&gt;"",S4829=""),"🟡 PENDÊNCIA ABERTA",IF(AND(N(J4829)&gt;0,N(K4829)&lt;J4829),"🟡 FALTA EXECUTAR",IF(OR(M4829="PENDENTE",M4829="PARCIAL"),"🟡 FATURAMENTO PENDENTE","🟡 EMBARQUE PENDENTE")))))))))))</f>
        <v/>
      </c>
      <c r="D4829" s="4" t="n"/>
      <c r="E4829" s="5" t="n"/>
      <c r="F4829" s="5" t="n"/>
      <c r="G4829" s="5" t="n"/>
      <c r="H4829" s="5" t="n"/>
      <c r="I4829" s="5" t="n"/>
      <c r="J4829" s="6" t="n"/>
      <c r="K4829" s="6" t="n"/>
      <c r="L4829" s="7">
        <f>IF(OR(D4829="",N(J4829)=0),"",MIN(1,N(K4829)/J4829))</f>
        <v/>
      </c>
      <c r="M4829" s="5" t="n"/>
      <c r="N4829" s="5" t="n"/>
      <c r="O4829" s="5" t="n"/>
      <c r="P4829" s="5" t="n"/>
      <c r="Q4829" s="5" t="n"/>
      <c r="R4829" s="4" t="n"/>
      <c r="S4829" s="4" t="n"/>
      <c r="T4829" s="5" t="n"/>
      <c r="U4829" s="8">
        <f>IF(AND(V4829=1,D4829&lt;&gt;""),IF(D4829&gt;=corte,TODAY()-D4829,""),"")</f>
        <v/>
      </c>
      <c r="V4829" s="8">
        <f>IF(D4829="",0,IF(OR(AND(P4829&lt;&gt;"",S4829=""),AND(N(J4829)&gt;0,N(K4829)&lt;J4829),OR(M4829="PENDENTE",M4829="PARCIAL"),OR(N4829="PENDENTE",N4829="PARCIAL")),1,0))</f>
        <v/>
      </c>
      <c r="W4829" s="8">
        <f>IF(AND(V4829=1,D4829&lt;&gt;""),IF(D4829&gt;=corte,(B4829="CRÍTICO")*1E9+(100000-D4829)*10000+10000-ROW(),""),"")</f>
        <v/>
      </c>
      <c r="X4829" s="8">
        <f>IF(AND(V4829=1,D4829=pas_data,E4829=pas_turno),10000-ROW(),"")</f>
        <v/>
      </c>
    </row>
    <row r="4830">
      <c r="A4830" s="3">
        <f>IF(D4830="","","TT-"&amp;TEXT(ROW()-1,"00000"))</f>
        <v/>
      </c>
      <c r="B4830" s="3">
        <f>IF(D4830="","",IF(V4830=0,"CONCLUÍDO",IF(D4830&lt;corte,"HISTÓRICO",IF(OR(AND(ISNUMBER(R4830),R4830&lt;TODAY()),AND(OR(N4830="PENDENTE",N4830="PARCIAL"),D4830&lt;TODAY()-1)),"CRÍTICO",IF(OR(AND(P4830&lt;&gt;"",S4830=""),AND(N4830="REALIZADO",M4830="PENDENTE"),AND(ISNUMBER(R4830),R4830=TODAY())),"ATENÇÃO",IF(N(K4830)=0,"PENDENTE","EM ANDAMENTO"))))))</f>
        <v/>
      </c>
      <c r="C4830" s="3">
        <f>IF(D4830="","",IF(V4830=0,"🟢 OK",IF(D4830&lt;corte,"⚪ HISTÓRICO (sem baixa)",IF(AND(ISNUMBER(R4830),R4830&lt;TODAY()),"🔴 PRAZO VENCIDO",IF(AND(OR(N4830="PENDENTE",N4830="PARCIAL"),D4830&lt;TODAY()-1),"🔴 EMBARQUE ATRASADO",IF(AND(N4830="REALIZADO",M4830="PENDENTE"),"🟡 EMBARCADO SEM FATURAR",IF(AND(P4830&lt;&gt;"",S4830="",OR(Q4830="",R4830="")),"🟡 PENDÊNCIA SEM RESPONSÁVEL/PRAZO",IF(AND(ISNUMBER(R4830),R4830=TODAY()),"🟡 VENCE HOJE",IF(AND(P4830&lt;&gt;"",S4830=""),"🟡 PENDÊNCIA ABERTA",IF(AND(N(J4830)&gt;0,N(K4830)&lt;J4830),"🟡 FALTA EXECUTAR",IF(OR(M4830="PENDENTE",M4830="PARCIAL"),"🟡 FATURAMENTO PENDENTE","🟡 EMBARQUE PENDENTE")))))))))))</f>
        <v/>
      </c>
      <c r="D4830" s="4" t="n"/>
      <c r="E4830" s="5" t="n"/>
      <c r="F4830" s="5" t="n"/>
      <c r="G4830" s="5" t="n"/>
      <c r="H4830" s="5" t="n"/>
      <c r="I4830" s="5" t="n"/>
      <c r="J4830" s="6" t="n"/>
      <c r="K4830" s="6" t="n"/>
      <c r="L4830" s="7">
        <f>IF(OR(D4830="",N(J4830)=0),"",MIN(1,N(K4830)/J4830))</f>
        <v/>
      </c>
      <c r="M4830" s="5" t="n"/>
      <c r="N4830" s="5" t="n"/>
      <c r="O4830" s="5" t="n"/>
      <c r="P4830" s="5" t="n"/>
      <c r="Q4830" s="5" t="n"/>
      <c r="R4830" s="4" t="n"/>
      <c r="S4830" s="4" t="n"/>
      <c r="T4830" s="5" t="n"/>
      <c r="U4830" s="8">
        <f>IF(AND(V4830=1,D4830&lt;&gt;""),IF(D4830&gt;=corte,TODAY()-D4830,""),"")</f>
        <v/>
      </c>
      <c r="V4830" s="8">
        <f>IF(D4830="",0,IF(OR(AND(P4830&lt;&gt;"",S4830=""),AND(N(J4830)&gt;0,N(K4830)&lt;J4830),OR(M4830="PENDENTE",M4830="PARCIAL"),OR(N4830="PENDENTE",N4830="PARCIAL")),1,0))</f>
        <v/>
      </c>
      <c r="W4830" s="8">
        <f>IF(AND(V4830=1,D4830&lt;&gt;""),IF(D4830&gt;=corte,(B4830="CRÍTICO")*1E9+(100000-D4830)*10000+10000-ROW(),""),"")</f>
        <v/>
      </c>
      <c r="X4830" s="8">
        <f>IF(AND(V4830=1,D4830=pas_data,E4830=pas_turno),10000-ROW(),"")</f>
        <v/>
      </c>
    </row>
    <row r="4831">
      <c r="A4831" s="3">
        <f>IF(D4831="","","TT-"&amp;TEXT(ROW()-1,"00000"))</f>
        <v/>
      </c>
      <c r="B4831" s="3">
        <f>IF(D4831="","",IF(V4831=0,"CONCLUÍDO",IF(D4831&lt;corte,"HISTÓRICO",IF(OR(AND(ISNUMBER(R4831),R4831&lt;TODAY()),AND(OR(N4831="PENDENTE",N4831="PARCIAL"),D4831&lt;TODAY()-1)),"CRÍTICO",IF(OR(AND(P4831&lt;&gt;"",S4831=""),AND(N4831="REALIZADO",M4831="PENDENTE"),AND(ISNUMBER(R4831),R4831=TODAY())),"ATENÇÃO",IF(N(K4831)=0,"PENDENTE","EM ANDAMENTO"))))))</f>
        <v/>
      </c>
      <c r="C4831" s="3">
        <f>IF(D4831="","",IF(V4831=0,"🟢 OK",IF(D4831&lt;corte,"⚪ HISTÓRICO (sem baixa)",IF(AND(ISNUMBER(R4831),R4831&lt;TODAY()),"🔴 PRAZO VENCIDO",IF(AND(OR(N4831="PENDENTE",N4831="PARCIAL"),D4831&lt;TODAY()-1),"🔴 EMBARQUE ATRASADO",IF(AND(N4831="REALIZADO",M4831="PENDENTE"),"🟡 EMBARCADO SEM FATURAR",IF(AND(P4831&lt;&gt;"",S4831="",OR(Q4831="",R4831="")),"🟡 PENDÊNCIA SEM RESPONSÁVEL/PRAZO",IF(AND(ISNUMBER(R4831),R4831=TODAY()),"🟡 VENCE HOJE",IF(AND(P4831&lt;&gt;"",S4831=""),"🟡 PENDÊNCIA ABERTA",IF(AND(N(J4831)&gt;0,N(K4831)&lt;J4831),"🟡 FALTA EXECUTAR",IF(OR(M4831="PENDENTE",M4831="PARCIAL"),"🟡 FATURAMENTO PENDENTE","🟡 EMBARQUE PENDENTE")))))))))))</f>
        <v/>
      </c>
      <c r="D4831" s="4" t="n"/>
      <c r="E4831" s="5" t="n"/>
      <c r="F4831" s="5" t="n"/>
      <c r="G4831" s="5" t="n"/>
      <c r="H4831" s="5" t="n"/>
      <c r="I4831" s="5" t="n"/>
      <c r="J4831" s="6" t="n"/>
      <c r="K4831" s="6" t="n"/>
      <c r="L4831" s="7">
        <f>IF(OR(D4831="",N(J4831)=0),"",MIN(1,N(K4831)/J4831))</f>
        <v/>
      </c>
      <c r="M4831" s="5" t="n"/>
      <c r="N4831" s="5" t="n"/>
      <c r="O4831" s="5" t="n"/>
      <c r="P4831" s="5" t="n"/>
      <c r="Q4831" s="5" t="n"/>
      <c r="R4831" s="4" t="n"/>
      <c r="S4831" s="4" t="n"/>
      <c r="T4831" s="5" t="n"/>
      <c r="U4831" s="8">
        <f>IF(AND(V4831=1,D4831&lt;&gt;""),IF(D4831&gt;=corte,TODAY()-D4831,""),"")</f>
        <v/>
      </c>
      <c r="V4831" s="8">
        <f>IF(D4831="",0,IF(OR(AND(P4831&lt;&gt;"",S4831=""),AND(N(J4831)&gt;0,N(K4831)&lt;J4831),OR(M4831="PENDENTE",M4831="PARCIAL"),OR(N4831="PENDENTE",N4831="PARCIAL")),1,0))</f>
        <v/>
      </c>
      <c r="W4831" s="8">
        <f>IF(AND(V4831=1,D4831&lt;&gt;""),IF(D4831&gt;=corte,(B4831="CRÍTICO")*1E9+(100000-D4831)*10000+10000-ROW(),""),"")</f>
        <v/>
      </c>
      <c r="X4831" s="8">
        <f>IF(AND(V4831=1,D4831=pas_data,E4831=pas_turno),10000-ROW(),"")</f>
        <v/>
      </c>
    </row>
    <row r="4832">
      <c r="A4832" s="3">
        <f>IF(D4832="","","TT-"&amp;TEXT(ROW()-1,"00000"))</f>
        <v/>
      </c>
      <c r="B4832" s="3">
        <f>IF(D4832="","",IF(V4832=0,"CONCLUÍDO",IF(D4832&lt;corte,"HISTÓRICO",IF(OR(AND(ISNUMBER(R4832),R4832&lt;TODAY()),AND(OR(N4832="PENDENTE",N4832="PARCIAL"),D4832&lt;TODAY()-1)),"CRÍTICO",IF(OR(AND(P4832&lt;&gt;"",S4832=""),AND(N4832="REALIZADO",M4832="PENDENTE"),AND(ISNUMBER(R4832),R4832=TODAY())),"ATENÇÃO",IF(N(K4832)=0,"PENDENTE","EM ANDAMENTO"))))))</f>
        <v/>
      </c>
      <c r="C4832" s="3">
        <f>IF(D4832="","",IF(V4832=0,"🟢 OK",IF(D4832&lt;corte,"⚪ HISTÓRICO (sem baixa)",IF(AND(ISNUMBER(R4832),R4832&lt;TODAY()),"🔴 PRAZO VENCIDO",IF(AND(OR(N4832="PENDENTE",N4832="PARCIAL"),D4832&lt;TODAY()-1),"🔴 EMBARQUE ATRASADO",IF(AND(N4832="REALIZADO",M4832="PENDENTE"),"🟡 EMBARCADO SEM FATURAR",IF(AND(P4832&lt;&gt;"",S4832="",OR(Q4832="",R4832="")),"🟡 PENDÊNCIA SEM RESPONSÁVEL/PRAZO",IF(AND(ISNUMBER(R4832),R4832=TODAY()),"🟡 VENCE HOJE",IF(AND(P4832&lt;&gt;"",S4832=""),"🟡 PENDÊNCIA ABERTA",IF(AND(N(J4832)&gt;0,N(K4832)&lt;J4832),"🟡 FALTA EXECUTAR",IF(OR(M4832="PENDENTE",M4832="PARCIAL"),"🟡 FATURAMENTO PENDENTE","🟡 EMBARQUE PENDENTE")))))))))))</f>
        <v/>
      </c>
      <c r="D4832" s="4" t="n"/>
      <c r="E4832" s="5" t="n"/>
      <c r="F4832" s="5" t="n"/>
      <c r="G4832" s="5" t="n"/>
      <c r="H4832" s="5" t="n"/>
      <c r="I4832" s="5" t="n"/>
      <c r="J4832" s="6" t="n"/>
      <c r="K4832" s="6" t="n"/>
      <c r="L4832" s="7">
        <f>IF(OR(D4832="",N(J4832)=0),"",MIN(1,N(K4832)/J4832))</f>
        <v/>
      </c>
      <c r="M4832" s="5" t="n"/>
      <c r="N4832" s="5" t="n"/>
      <c r="O4832" s="5" t="n"/>
      <c r="P4832" s="5" t="n"/>
      <c r="Q4832" s="5" t="n"/>
      <c r="R4832" s="4" t="n"/>
      <c r="S4832" s="4" t="n"/>
      <c r="T4832" s="5" t="n"/>
      <c r="U4832" s="8">
        <f>IF(AND(V4832=1,D4832&lt;&gt;""),IF(D4832&gt;=corte,TODAY()-D4832,""),"")</f>
        <v/>
      </c>
      <c r="V4832" s="8">
        <f>IF(D4832="",0,IF(OR(AND(P4832&lt;&gt;"",S4832=""),AND(N(J4832)&gt;0,N(K4832)&lt;J4832),OR(M4832="PENDENTE",M4832="PARCIAL"),OR(N4832="PENDENTE",N4832="PARCIAL")),1,0))</f>
        <v/>
      </c>
      <c r="W4832" s="8">
        <f>IF(AND(V4832=1,D4832&lt;&gt;""),IF(D4832&gt;=corte,(B4832="CRÍTICO")*1E9+(100000-D4832)*10000+10000-ROW(),""),"")</f>
        <v/>
      </c>
      <c r="X4832" s="8">
        <f>IF(AND(V4832=1,D4832=pas_data,E4832=pas_turno),10000-ROW(),"")</f>
        <v/>
      </c>
    </row>
    <row r="4833">
      <c r="A4833" s="3">
        <f>IF(D4833="","","TT-"&amp;TEXT(ROW()-1,"00000"))</f>
        <v/>
      </c>
      <c r="B4833" s="3">
        <f>IF(D4833="","",IF(V4833=0,"CONCLUÍDO",IF(D4833&lt;corte,"HISTÓRICO",IF(OR(AND(ISNUMBER(R4833),R4833&lt;TODAY()),AND(OR(N4833="PENDENTE",N4833="PARCIAL"),D4833&lt;TODAY()-1)),"CRÍTICO",IF(OR(AND(P4833&lt;&gt;"",S4833=""),AND(N4833="REALIZADO",M4833="PENDENTE"),AND(ISNUMBER(R4833),R4833=TODAY())),"ATENÇÃO",IF(N(K4833)=0,"PENDENTE","EM ANDAMENTO"))))))</f>
        <v/>
      </c>
      <c r="C4833" s="3">
        <f>IF(D4833="","",IF(V4833=0,"🟢 OK",IF(D4833&lt;corte,"⚪ HISTÓRICO (sem baixa)",IF(AND(ISNUMBER(R4833),R4833&lt;TODAY()),"🔴 PRAZO VENCIDO",IF(AND(OR(N4833="PENDENTE",N4833="PARCIAL"),D4833&lt;TODAY()-1),"🔴 EMBARQUE ATRASADO",IF(AND(N4833="REALIZADO",M4833="PENDENTE"),"🟡 EMBARCADO SEM FATURAR",IF(AND(P4833&lt;&gt;"",S4833="",OR(Q4833="",R4833="")),"🟡 PENDÊNCIA SEM RESPONSÁVEL/PRAZO",IF(AND(ISNUMBER(R4833),R4833=TODAY()),"🟡 VENCE HOJE",IF(AND(P4833&lt;&gt;"",S4833=""),"🟡 PENDÊNCIA ABERTA",IF(AND(N(J4833)&gt;0,N(K4833)&lt;J4833),"🟡 FALTA EXECUTAR",IF(OR(M4833="PENDENTE",M4833="PARCIAL"),"🟡 FATURAMENTO PENDENTE","🟡 EMBARQUE PENDENTE")))))))))))</f>
        <v/>
      </c>
      <c r="D4833" s="4" t="n"/>
      <c r="E4833" s="5" t="n"/>
      <c r="F4833" s="5" t="n"/>
      <c r="G4833" s="5" t="n"/>
      <c r="H4833" s="5" t="n"/>
      <c r="I4833" s="5" t="n"/>
      <c r="J4833" s="6" t="n"/>
      <c r="K4833" s="6" t="n"/>
      <c r="L4833" s="7">
        <f>IF(OR(D4833="",N(J4833)=0),"",MIN(1,N(K4833)/J4833))</f>
        <v/>
      </c>
      <c r="M4833" s="5" t="n"/>
      <c r="N4833" s="5" t="n"/>
      <c r="O4833" s="5" t="n"/>
      <c r="P4833" s="5" t="n"/>
      <c r="Q4833" s="5" t="n"/>
      <c r="R4833" s="4" t="n"/>
      <c r="S4833" s="4" t="n"/>
      <c r="T4833" s="5" t="n"/>
      <c r="U4833" s="8">
        <f>IF(AND(V4833=1,D4833&lt;&gt;""),IF(D4833&gt;=corte,TODAY()-D4833,""),"")</f>
        <v/>
      </c>
      <c r="V4833" s="8">
        <f>IF(D4833="",0,IF(OR(AND(P4833&lt;&gt;"",S4833=""),AND(N(J4833)&gt;0,N(K4833)&lt;J4833),OR(M4833="PENDENTE",M4833="PARCIAL"),OR(N4833="PENDENTE",N4833="PARCIAL")),1,0))</f>
        <v/>
      </c>
      <c r="W4833" s="8">
        <f>IF(AND(V4833=1,D4833&lt;&gt;""),IF(D4833&gt;=corte,(B4833="CRÍTICO")*1E9+(100000-D4833)*10000+10000-ROW(),""),"")</f>
        <v/>
      </c>
      <c r="X4833" s="8">
        <f>IF(AND(V4833=1,D4833=pas_data,E4833=pas_turno),10000-ROW(),"")</f>
        <v/>
      </c>
    </row>
    <row r="4834">
      <c r="A4834" s="3">
        <f>IF(D4834="","","TT-"&amp;TEXT(ROW()-1,"00000"))</f>
        <v/>
      </c>
      <c r="B4834" s="3">
        <f>IF(D4834="","",IF(V4834=0,"CONCLUÍDO",IF(D4834&lt;corte,"HISTÓRICO",IF(OR(AND(ISNUMBER(R4834),R4834&lt;TODAY()),AND(OR(N4834="PENDENTE",N4834="PARCIAL"),D4834&lt;TODAY()-1)),"CRÍTICO",IF(OR(AND(P4834&lt;&gt;"",S4834=""),AND(N4834="REALIZADO",M4834="PENDENTE"),AND(ISNUMBER(R4834),R4834=TODAY())),"ATENÇÃO",IF(N(K4834)=0,"PENDENTE","EM ANDAMENTO"))))))</f>
        <v/>
      </c>
      <c r="C4834" s="3">
        <f>IF(D4834="","",IF(V4834=0,"🟢 OK",IF(D4834&lt;corte,"⚪ HISTÓRICO (sem baixa)",IF(AND(ISNUMBER(R4834),R4834&lt;TODAY()),"🔴 PRAZO VENCIDO",IF(AND(OR(N4834="PENDENTE",N4834="PARCIAL"),D4834&lt;TODAY()-1),"🔴 EMBARQUE ATRASADO",IF(AND(N4834="REALIZADO",M4834="PENDENTE"),"🟡 EMBARCADO SEM FATURAR",IF(AND(P4834&lt;&gt;"",S4834="",OR(Q4834="",R4834="")),"🟡 PENDÊNCIA SEM RESPONSÁVEL/PRAZO",IF(AND(ISNUMBER(R4834),R4834=TODAY()),"🟡 VENCE HOJE",IF(AND(P4834&lt;&gt;"",S4834=""),"🟡 PENDÊNCIA ABERTA",IF(AND(N(J4834)&gt;0,N(K4834)&lt;J4834),"🟡 FALTA EXECUTAR",IF(OR(M4834="PENDENTE",M4834="PARCIAL"),"🟡 FATURAMENTO PENDENTE","🟡 EMBARQUE PENDENTE")))))))))))</f>
        <v/>
      </c>
      <c r="D4834" s="4" t="n"/>
      <c r="E4834" s="5" t="n"/>
      <c r="F4834" s="5" t="n"/>
      <c r="G4834" s="5" t="n"/>
      <c r="H4834" s="5" t="n"/>
      <c r="I4834" s="5" t="n"/>
      <c r="J4834" s="6" t="n"/>
      <c r="K4834" s="6" t="n"/>
      <c r="L4834" s="7">
        <f>IF(OR(D4834="",N(J4834)=0),"",MIN(1,N(K4834)/J4834))</f>
        <v/>
      </c>
      <c r="M4834" s="5" t="n"/>
      <c r="N4834" s="5" t="n"/>
      <c r="O4834" s="5" t="n"/>
      <c r="P4834" s="5" t="n"/>
      <c r="Q4834" s="5" t="n"/>
      <c r="R4834" s="4" t="n"/>
      <c r="S4834" s="4" t="n"/>
      <c r="T4834" s="5" t="n"/>
      <c r="U4834" s="8">
        <f>IF(AND(V4834=1,D4834&lt;&gt;""),IF(D4834&gt;=corte,TODAY()-D4834,""),"")</f>
        <v/>
      </c>
      <c r="V4834" s="8">
        <f>IF(D4834="",0,IF(OR(AND(P4834&lt;&gt;"",S4834=""),AND(N(J4834)&gt;0,N(K4834)&lt;J4834),OR(M4834="PENDENTE",M4834="PARCIAL"),OR(N4834="PENDENTE",N4834="PARCIAL")),1,0))</f>
        <v/>
      </c>
      <c r="W4834" s="8">
        <f>IF(AND(V4834=1,D4834&lt;&gt;""),IF(D4834&gt;=corte,(B4834="CRÍTICO")*1E9+(100000-D4834)*10000+10000-ROW(),""),"")</f>
        <v/>
      </c>
      <c r="X4834" s="8">
        <f>IF(AND(V4834=1,D4834=pas_data,E4834=pas_turno),10000-ROW(),"")</f>
        <v/>
      </c>
    </row>
    <row r="4835">
      <c r="A4835" s="3">
        <f>IF(D4835="","","TT-"&amp;TEXT(ROW()-1,"00000"))</f>
        <v/>
      </c>
      <c r="B4835" s="3">
        <f>IF(D4835="","",IF(V4835=0,"CONCLUÍDO",IF(D4835&lt;corte,"HISTÓRICO",IF(OR(AND(ISNUMBER(R4835),R4835&lt;TODAY()),AND(OR(N4835="PENDENTE",N4835="PARCIAL"),D4835&lt;TODAY()-1)),"CRÍTICO",IF(OR(AND(P4835&lt;&gt;"",S4835=""),AND(N4835="REALIZADO",M4835="PENDENTE"),AND(ISNUMBER(R4835),R4835=TODAY())),"ATENÇÃO",IF(N(K4835)=0,"PENDENTE","EM ANDAMENTO"))))))</f>
        <v/>
      </c>
      <c r="C4835" s="3">
        <f>IF(D4835="","",IF(V4835=0,"🟢 OK",IF(D4835&lt;corte,"⚪ HISTÓRICO (sem baixa)",IF(AND(ISNUMBER(R4835),R4835&lt;TODAY()),"🔴 PRAZO VENCIDO",IF(AND(OR(N4835="PENDENTE",N4835="PARCIAL"),D4835&lt;TODAY()-1),"🔴 EMBARQUE ATRASADO",IF(AND(N4835="REALIZADO",M4835="PENDENTE"),"🟡 EMBARCADO SEM FATURAR",IF(AND(P4835&lt;&gt;"",S4835="",OR(Q4835="",R4835="")),"🟡 PENDÊNCIA SEM RESPONSÁVEL/PRAZO",IF(AND(ISNUMBER(R4835),R4835=TODAY()),"🟡 VENCE HOJE",IF(AND(P4835&lt;&gt;"",S4835=""),"🟡 PENDÊNCIA ABERTA",IF(AND(N(J4835)&gt;0,N(K4835)&lt;J4835),"🟡 FALTA EXECUTAR",IF(OR(M4835="PENDENTE",M4835="PARCIAL"),"🟡 FATURAMENTO PENDENTE","🟡 EMBARQUE PENDENTE")))))))))))</f>
        <v/>
      </c>
      <c r="D4835" s="4" t="n"/>
      <c r="E4835" s="5" t="n"/>
      <c r="F4835" s="5" t="n"/>
      <c r="G4835" s="5" t="n"/>
      <c r="H4835" s="5" t="n"/>
      <c r="I4835" s="5" t="n"/>
      <c r="J4835" s="6" t="n"/>
      <c r="K4835" s="6" t="n"/>
      <c r="L4835" s="7">
        <f>IF(OR(D4835="",N(J4835)=0),"",MIN(1,N(K4835)/J4835))</f>
        <v/>
      </c>
      <c r="M4835" s="5" t="n"/>
      <c r="N4835" s="5" t="n"/>
      <c r="O4835" s="5" t="n"/>
      <c r="P4835" s="5" t="n"/>
      <c r="Q4835" s="5" t="n"/>
      <c r="R4835" s="4" t="n"/>
      <c r="S4835" s="4" t="n"/>
      <c r="T4835" s="5" t="n"/>
      <c r="U4835" s="8">
        <f>IF(AND(V4835=1,D4835&lt;&gt;""),IF(D4835&gt;=corte,TODAY()-D4835,""),"")</f>
        <v/>
      </c>
      <c r="V4835" s="8">
        <f>IF(D4835="",0,IF(OR(AND(P4835&lt;&gt;"",S4835=""),AND(N(J4835)&gt;0,N(K4835)&lt;J4835),OR(M4835="PENDENTE",M4835="PARCIAL"),OR(N4835="PENDENTE",N4835="PARCIAL")),1,0))</f>
        <v/>
      </c>
      <c r="W4835" s="8">
        <f>IF(AND(V4835=1,D4835&lt;&gt;""),IF(D4835&gt;=corte,(B4835="CRÍTICO")*1E9+(100000-D4835)*10000+10000-ROW(),""),"")</f>
        <v/>
      </c>
      <c r="X4835" s="8">
        <f>IF(AND(V4835=1,D4835=pas_data,E4835=pas_turno),10000-ROW(),"")</f>
        <v/>
      </c>
    </row>
    <row r="4836">
      <c r="A4836" s="3">
        <f>IF(D4836="","","TT-"&amp;TEXT(ROW()-1,"00000"))</f>
        <v/>
      </c>
      <c r="B4836" s="3">
        <f>IF(D4836="","",IF(V4836=0,"CONCLUÍDO",IF(D4836&lt;corte,"HISTÓRICO",IF(OR(AND(ISNUMBER(R4836),R4836&lt;TODAY()),AND(OR(N4836="PENDENTE",N4836="PARCIAL"),D4836&lt;TODAY()-1)),"CRÍTICO",IF(OR(AND(P4836&lt;&gt;"",S4836=""),AND(N4836="REALIZADO",M4836="PENDENTE"),AND(ISNUMBER(R4836),R4836=TODAY())),"ATENÇÃO",IF(N(K4836)=0,"PENDENTE","EM ANDAMENTO"))))))</f>
        <v/>
      </c>
      <c r="C4836" s="3">
        <f>IF(D4836="","",IF(V4836=0,"🟢 OK",IF(D4836&lt;corte,"⚪ HISTÓRICO (sem baixa)",IF(AND(ISNUMBER(R4836),R4836&lt;TODAY()),"🔴 PRAZO VENCIDO",IF(AND(OR(N4836="PENDENTE",N4836="PARCIAL"),D4836&lt;TODAY()-1),"🔴 EMBARQUE ATRASADO",IF(AND(N4836="REALIZADO",M4836="PENDENTE"),"🟡 EMBARCADO SEM FATURAR",IF(AND(P4836&lt;&gt;"",S4836="",OR(Q4836="",R4836="")),"🟡 PENDÊNCIA SEM RESPONSÁVEL/PRAZO",IF(AND(ISNUMBER(R4836),R4836=TODAY()),"🟡 VENCE HOJE",IF(AND(P4836&lt;&gt;"",S4836=""),"🟡 PENDÊNCIA ABERTA",IF(AND(N(J4836)&gt;0,N(K4836)&lt;J4836),"🟡 FALTA EXECUTAR",IF(OR(M4836="PENDENTE",M4836="PARCIAL"),"🟡 FATURAMENTO PENDENTE","🟡 EMBARQUE PENDENTE")))))))))))</f>
        <v/>
      </c>
      <c r="D4836" s="4" t="n"/>
      <c r="E4836" s="5" t="n"/>
      <c r="F4836" s="5" t="n"/>
      <c r="G4836" s="5" t="n"/>
      <c r="H4836" s="5" t="n"/>
      <c r="I4836" s="5" t="n"/>
      <c r="J4836" s="6" t="n"/>
      <c r="K4836" s="6" t="n"/>
      <c r="L4836" s="7">
        <f>IF(OR(D4836="",N(J4836)=0),"",MIN(1,N(K4836)/J4836))</f>
        <v/>
      </c>
      <c r="M4836" s="5" t="n"/>
      <c r="N4836" s="5" t="n"/>
      <c r="O4836" s="5" t="n"/>
      <c r="P4836" s="5" t="n"/>
      <c r="Q4836" s="5" t="n"/>
      <c r="R4836" s="4" t="n"/>
      <c r="S4836" s="4" t="n"/>
      <c r="T4836" s="5" t="n"/>
      <c r="U4836" s="8">
        <f>IF(AND(V4836=1,D4836&lt;&gt;""),IF(D4836&gt;=corte,TODAY()-D4836,""),"")</f>
        <v/>
      </c>
      <c r="V4836" s="8">
        <f>IF(D4836="",0,IF(OR(AND(P4836&lt;&gt;"",S4836=""),AND(N(J4836)&gt;0,N(K4836)&lt;J4836),OR(M4836="PENDENTE",M4836="PARCIAL"),OR(N4836="PENDENTE",N4836="PARCIAL")),1,0))</f>
        <v/>
      </c>
      <c r="W4836" s="8">
        <f>IF(AND(V4836=1,D4836&lt;&gt;""),IF(D4836&gt;=corte,(B4836="CRÍTICO")*1E9+(100000-D4836)*10000+10000-ROW(),""),"")</f>
        <v/>
      </c>
      <c r="X4836" s="8">
        <f>IF(AND(V4836=1,D4836=pas_data,E4836=pas_turno),10000-ROW(),"")</f>
        <v/>
      </c>
    </row>
    <row r="4837">
      <c r="A4837" s="3">
        <f>IF(D4837="","","TT-"&amp;TEXT(ROW()-1,"00000"))</f>
        <v/>
      </c>
      <c r="B4837" s="3">
        <f>IF(D4837="","",IF(V4837=0,"CONCLUÍDO",IF(D4837&lt;corte,"HISTÓRICO",IF(OR(AND(ISNUMBER(R4837),R4837&lt;TODAY()),AND(OR(N4837="PENDENTE",N4837="PARCIAL"),D4837&lt;TODAY()-1)),"CRÍTICO",IF(OR(AND(P4837&lt;&gt;"",S4837=""),AND(N4837="REALIZADO",M4837="PENDENTE"),AND(ISNUMBER(R4837),R4837=TODAY())),"ATENÇÃO",IF(N(K4837)=0,"PENDENTE","EM ANDAMENTO"))))))</f>
        <v/>
      </c>
      <c r="C4837" s="3">
        <f>IF(D4837="","",IF(V4837=0,"🟢 OK",IF(D4837&lt;corte,"⚪ HISTÓRICO (sem baixa)",IF(AND(ISNUMBER(R4837),R4837&lt;TODAY()),"🔴 PRAZO VENCIDO",IF(AND(OR(N4837="PENDENTE",N4837="PARCIAL"),D4837&lt;TODAY()-1),"🔴 EMBARQUE ATRASADO",IF(AND(N4837="REALIZADO",M4837="PENDENTE"),"🟡 EMBARCADO SEM FATURAR",IF(AND(P4837&lt;&gt;"",S4837="",OR(Q4837="",R4837="")),"🟡 PENDÊNCIA SEM RESPONSÁVEL/PRAZO",IF(AND(ISNUMBER(R4837),R4837=TODAY()),"🟡 VENCE HOJE",IF(AND(P4837&lt;&gt;"",S4837=""),"🟡 PENDÊNCIA ABERTA",IF(AND(N(J4837)&gt;0,N(K4837)&lt;J4837),"🟡 FALTA EXECUTAR",IF(OR(M4837="PENDENTE",M4837="PARCIAL"),"🟡 FATURAMENTO PENDENTE","🟡 EMBARQUE PENDENTE")))))))))))</f>
        <v/>
      </c>
      <c r="D4837" s="4" t="n"/>
      <c r="E4837" s="5" t="n"/>
      <c r="F4837" s="5" t="n"/>
      <c r="G4837" s="5" t="n"/>
      <c r="H4837" s="5" t="n"/>
      <c r="I4837" s="5" t="n"/>
      <c r="J4837" s="6" t="n"/>
      <c r="K4837" s="6" t="n"/>
      <c r="L4837" s="7">
        <f>IF(OR(D4837="",N(J4837)=0),"",MIN(1,N(K4837)/J4837))</f>
        <v/>
      </c>
      <c r="M4837" s="5" t="n"/>
      <c r="N4837" s="5" t="n"/>
      <c r="O4837" s="5" t="n"/>
      <c r="P4837" s="5" t="n"/>
      <c r="Q4837" s="5" t="n"/>
      <c r="R4837" s="4" t="n"/>
      <c r="S4837" s="4" t="n"/>
      <c r="T4837" s="5" t="n"/>
      <c r="U4837" s="8">
        <f>IF(AND(V4837=1,D4837&lt;&gt;""),IF(D4837&gt;=corte,TODAY()-D4837,""),"")</f>
        <v/>
      </c>
      <c r="V4837" s="8">
        <f>IF(D4837="",0,IF(OR(AND(P4837&lt;&gt;"",S4837=""),AND(N(J4837)&gt;0,N(K4837)&lt;J4837),OR(M4837="PENDENTE",M4837="PARCIAL"),OR(N4837="PENDENTE",N4837="PARCIAL")),1,0))</f>
        <v/>
      </c>
      <c r="W4837" s="8">
        <f>IF(AND(V4837=1,D4837&lt;&gt;""),IF(D4837&gt;=corte,(B4837="CRÍTICO")*1E9+(100000-D4837)*10000+10000-ROW(),""),"")</f>
        <v/>
      </c>
      <c r="X4837" s="8">
        <f>IF(AND(V4837=1,D4837=pas_data,E4837=pas_turno),10000-ROW(),"")</f>
        <v/>
      </c>
    </row>
    <row r="4838">
      <c r="A4838" s="3">
        <f>IF(D4838="","","TT-"&amp;TEXT(ROW()-1,"00000"))</f>
        <v/>
      </c>
      <c r="B4838" s="3">
        <f>IF(D4838="","",IF(V4838=0,"CONCLUÍDO",IF(D4838&lt;corte,"HISTÓRICO",IF(OR(AND(ISNUMBER(R4838),R4838&lt;TODAY()),AND(OR(N4838="PENDENTE",N4838="PARCIAL"),D4838&lt;TODAY()-1)),"CRÍTICO",IF(OR(AND(P4838&lt;&gt;"",S4838=""),AND(N4838="REALIZADO",M4838="PENDENTE"),AND(ISNUMBER(R4838),R4838=TODAY())),"ATENÇÃO",IF(N(K4838)=0,"PENDENTE","EM ANDAMENTO"))))))</f>
        <v/>
      </c>
      <c r="C4838" s="3">
        <f>IF(D4838="","",IF(V4838=0,"🟢 OK",IF(D4838&lt;corte,"⚪ HISTÓRICO (sem baixa)",IF(AND(ISNUMBER(R4838),R4838&lt;TODAY()),"🔴 PRAZO VENCIDO",IF(AND(OR(N4838="PENDENTE",N4838="PARCIAL"),D4838&lt;TODAY()-1),"🔴 EMBARQUE ATRASADO",IF(AND(N4838="REALIZADO",M4838="PENDENTE"),"🟡 EMBARCADO SEM FATURAR",IF(AND(P4838&lt;&gt;"",S4838="",OR(Q4838="",R4838="")),"🟡 PENDÊNCIA SEM RESPONSÁVEL/PRAZO",IF(AND(ISNUMBER(R4838),R4838=TODAY()),"🟡 VENCE HOJE",IF(AND(P4838&lt;&gt;"",S4838=""),"🟡 PENDÊNCIA ABERTA",IF(AND(N(J4838)&gt;0,N(K4838)&lt;J4838),"🟡 FALTA EXECUTAR",IF(OR(M4838="PENDENTE",M4838="PARCIAL"),"🟡 FATURAMENTO PENDENTE","🟡 EMBARQUE PENDENTE")))))))))))</f>
        <v/>
      </c>
      <c r="D4838" s="4" t="n"/>
      <c r="E4838" s="5" t="n"/>
      <c r="F4838" s="5" t="n"/>
      <c r="G4838" s="5" t="n"/>
      <c r="H4838" s="5" t="n"/>
      <c r="I4838" s="5" t="n"/>
      <c r="J4838" s="6" t="n"/>
      <c r="K4838" s="6" t="n"/>
      <c r="L4838" s="7">
        <f>IF(OR(D4838="",N(J4838)=0),"",MIN(1,N(K4838)/J4838))</f>
        <v/>
      </c>
      <c r="M4838" s="5" t="n"/>
      <c r="N4838" s="5" t="n"/>
      <c r="O4838" s="5" t="n"/>
      <c r="P4838" s="5" t="n"/>
      <c r="Q4838" s="5" t="n"/>
      <c r="R4838" s="4" t="n"/>
      <c r="S4838" s="4" t="n"/>
      <c r="T4838" s="5" t="n"/>
      <c r="U4838" s="8">
        <f>IF(AND(V4838=1,D4838&lt;&gt;""),IF(D4838&gt;=corte,TODAY()-D4838,""),"")</f>
        <v/>
      </c>
      <c r="V4838" s="8">
        <f>IF(D4838="",0,IF(OR(AND(P4838&lt;&gt;"",S4838=""),AND(N(J4838)&gt;0,N(K4838)&lt;J4838),OR(M4838="PENDENTE",M4838="PARCIAL"),OR(N4838="PENDENTE",N4838="PARCIAL")),1,0))</f>
        <v/>
      </c>
      <c r="W4838" s="8">
        <f>IF(AND(V4838=1,D4838&lt;&gt;""),IF(D4838&gt;=corte,(B4838="CRÍTICO")*1E9+(100000-D4838)*10000+10000-ROW(),""),"")</f>
        <v/>
      </c>
      <c r="X4838" s="8">
        <f>IF(AND(V4838=1,D4838=pas_data,E4838=pas_turno),10000-ROW(),"")</f>
        <v/>
      </c>
    </row>
    <row r="4839">
      <c r="A4839" s="3">
        <f>IF(D4839="","","TT-"&amp;TEXT(ROW()-1,"00000"))</f>
        <v/>
      </c>
      <c r="B4839" s="3">
        <f>IF(D4839="","",IF(V4839=0,"CONCLUÍDO",IF(D4839&lt;corte,"HISTÓRICO",IF(OR(AND(ISNUMBER(R4839),R4839&lt;TODAY()),AND(OR(N4839="PENDENTE",N4839="PARCIAL"),D4839&lt;TODAY()-1)),"CRÍTICO",IF(OR(AND(P4839&lt;&gt;"",S4839=""),AND(N4839="REALIZADO",M4839="PENDENTE"),AND(ISNUMBER(R4839),R4839=TODAY())),"ATENÇÃO",IF(N(K4839)=0,"PENDENTE","EM ANDAMENTO"))))))</f>
        <v/>
      </c>
      <c r="C4839" s="3">
        <f>IF(D4839="","",IF(V4839=0,"🟢 OK",IF(D4839&lt;corte,"⚪ HISTÓRICO (sem baixa)",IF(AND(ISNUMBER(R4839),R4839&lt;TODAY()),"🔴 PRAZO VENCIDO",IF(AND(OR(N4839="PENDENTE",N4839="PARCIAL"),D4839&lt;TODAY()-1),"🔴 EMBARQUE ATRASADO",IF(AND(N4839="REALIZADO",M4839="PENDENTE"),"🟡 EMBARCADO SEM FATURAR",IF(AND(P4839&lt;&gt;"",S4839="",OR(Q4839="",R4839="")),"🟡 PENDÊNCIA SEM RESPONSÁVEL/PRAZO",IF(AND(ISNUMBER(R4839),R4839=TODAY()),"🟡 VENCE HOJE",IF(AND(P4839&lt;&gt;"",S4839=""),"🟡 PENDÊNCIA ABERTA",IF(AND(N(J4839)&gt;0,N(K4839)&lt;J4839),"🟡 FALTA EXECUTAR",IF(OR(M4839="PENDENTE",M4839="PARCIAL"),"🟡 FATURAMENTO PENDENTE","🟡 EMBARQUE PENDENTE")))))))))))</f>
        <v/>
      </c>
      <c r="D4839" s="4" t="n"/>
      <c r="E4839" s="5" t="n"/>
      <c r="F4839" s="5" t="n"/>
      <c r="G4839" s="5" t="n"/>
      <c r="H4839" s="5" t="n"/>
      <c r="I4839" s="5" t="n"/>
      <c r="J4839" s="6" t="n"/>
      <c r="K4839" s="6" t="n"/>
      <c r="L4839" s="7">
        <f>IF(OR(D4839="",N(J4839)=0),"",MIN(1,N(K4839)/J4839))</f>
        <v/>
      </c>
      <c r="M4839" s="5" t="n"/>
      <c r="N4839" s="5" t="n"/>
      <c r="O4839" s="5" t="n"/>
      <c r="P4839" s="5" t="n"/>
      <c r="Q4839" s="5" t="n"/>
      <c r="R4839" s="4" t="n"/>
      <c r="S4839" s="4" t="n"/>
      <c r="T4839" s="5" t="n"/>
      <c r="U4839" s="8">
        <f>IF(AND(V4839=1,D4839&lt;&gt;""),IF(D4839&gt;=corte,TODAY()-D4839,""),"")</f>
        <v/>
      </c>
      <c r="V4839" s="8">
        <f>IF(D4839="",0,IF(OR(AND(P4839&lt;&gt;"",S4839=""),AND(N(J4839)&gt;0,N(K4839)&lt;J4839),OR(M4839="PENDENTE",M4839="PARCIAL"),OR(N4839="PENDENTE",N4839="PARCIAL")),1,0))</f>
        <v/>
      </c>
      <c r="W4839" s="8">
        <f>IF(AND(V4839=1,D4839&lt;&gt;""),IF(D4839&gt;=corte,(B4839="CRÍTICO")*1E9+(100000-D4839)*10000+10000-ROW(),""),"")</f>
        <v/>
      </c>
      <c r="X4839" s="8">
        <f>IF(AND(V4839=1,D4839=pas_data,E4839=pas_turno),10000-ROW(),"")</f>
        <v/>
      </c>
    </row>
    <row r="4840">
      <c r="A4840" s="3">
        <f>IF(D4840="","","TT-"&amp;TEXT(ROW()-1,"00000"))</f>
        <v/>
      </c>
      <c r="B4840" s="3">
        <f>IF(D4840="","",IF(V4840=0,"CONCLUÍDO",IF(D4840&lt;corte,"HISTÓRICO",IF(OR(AND(ISNUMBER(R4840),R4840&lt;TODAY()),AND(OR(N4840="PENDENTE",N4840="PARCIAL"),D4840&lt;TODAY()-1)),"CRÍTICO",IF(OR(AND(P4840&lt;&gt;"",S4840=""),AND(N4840="REALIZADO",M4840="PENDENTE"),AND(ISNUMBER(R4840),R4840=TODAY())),"ATENÇÃO",IF(N(K4840)=0,"PENDENTE","EM ANDAMENTO"))))))</f>
        <v/>
      </c>
      <c r="C4840" s="3">
        <f>IF(D4840="","",IF(V4840=0,"🟢 OK",IF(D4840&lt;corte,"⚪ HISTÓRICO (sem baixa)",IF(AND(ISNUMBER(R4840),R4840&lt;TODAY()),"🔴 PRAZO VENCIDO",IF(AND(OR(N4840="PENDENTE",N4840="PARCIAL"),D4840&lt;TODAY()-1),"🔴 EMBARQUE ATRASADO",IF(AND(N4840="REALIZADO",M4840="PENDENTE"),"🟡 EMBARCADO SEM FATURAR",IF(AND(P4840&lt;&gt;"",S4840="",OR(Q4840="",R4840="")),"🟡 PENDÊNCIA SEM RESPONSÁVEL/PRAZO",IF(AND(ISNUMBER(R4840),R4840=TODAY()),"🟡 VENCE HOJE",IF(AND(P4840&lt;&gt;"",S4840=""),"🟡 PENDÊNCIA ABERTA",IF(AND(N(J4840)&gt;0,N(K4840)&lt;J4840),"🟡 FALTA EXECUTAR",IF(OR(M4840="PENDENTE",M4840="PARCIAL"),"🟡 FATURAMENTO PENDENTE","🟡 EMBARQUE PENDENTE")))))))))))</f>
        <v/>
      </c>
      <c r="D4840" s="4" t="n"/>
      <c r="E4840" s="5" t="n"/>
      <c r="F4840" s="5" t="n"/>
      <c r="G4840" s="5" t="n"/>
      <c r="H4840" s="5" t="n"/>
      <c r="I4840" s="5" t="n"/>
      <c r="J4840" s="6" t="n"/>
      <c r="K4840" s="6" t="n"/>
      <c r="L4840" s="7">
        <f>IF(OR(D4840="",N(J4840)=0),"",MIN(1,N(K4840)/J4840))</f>
        <v/>
      </c>
      <c r="M4840" s="5" t="n"/>
      <c r="N4840" s="5" t="n"/>
      <c r="O4840" s="5" t="n"/>
      <c r="P4840" s="5" t="n"/>
      <c r="Q4840" s="5" t="n"/>
      <c r="R4840" s="4" t="n"/>
      <c r="S4840" s="4" t="n"/>
      <c r="T4840" s="5" t="n"/>
      <c r="U4840" s="8">
        <f>IF(AND(V4840=1,D4840&lt;&gt;""),IF(D4840&gt;=corte,TODAY()-D4840,""),"")</f>
        <v/>
      </c>
      <c r="V4840" s="8">
        <f>IF(D4840="",0,IF(OR(AND(P4840&lt;&gt;"",S4840=""),AND(N(J4840)&gt;0,N(K4840)&lt;J4840),OR(M4840="PENDENTE",M4840="PARCIAL"),OR(N4840="PENDENTE",N4840="PARCIAL")),1,0))</f>
        <v/>
      </c>
      <c r="W4840" s="8">
        <f>IF(AND(V4840=1,D4840&lt;&gt;""),IF(D4840&gt;=corte,(B4840="CRÍTICO")*1E9+(100000-D4840)*10000+10000-ROW(),""),"")</f>
        <v/>
      </c>
      <c r="X4840" s="8">
        <f>IF(AND(V4840=1,D4840=pas_data,E4840=pas_turno),10000-ROW(),"")</f>
        <v/>
      </c>
    </row>
    <row r="4841">
      <c r="A4841" s="3">
        <f>IF(D4841="","","TT-"&amp;TEXT(ROW()-1,"00000"))</f>
        <v/>
      </c>
      <c r="B4841" s="3">
        <f>IF(D4841="","",IF(V4841=0,"CONCLUÍDO",IF(D4841&lt;corte,"HISTÓRICO",IF(OR(AND(ISNUMBER(R4841),R4841&lt;TODAY()),AND(OR(N4841="PENDENTE",N4841="PARCIAL"),D4841&lt;TODAY()-1)),"CRÍTICO",IF(OR(AND(P4841&lt;&gt;"",S4841=""),AND(N4841="REALIZADO",M4841="PENDENTE"),AND(ISNUMBER(R4841),R4841=TODAY())),"ATENÇÃO",IF(N(K4841)=0,"PENDENTE","EM ANDAMENTO"))))))</f>
        <v/>
      </c>
      <c r="C4841" s="3">
        <f>IF(D4841="","",IF(V4841=0,"🟢 OK",IF(D4841&lt;corte,"⚪ HISTÓRICO (sem baixa)",IF(AND(ISNUMBER(R4841),R4841&lt;TODAY()),"🔴 PRAZO VENCIDO",IF(AND(OR(N4841="PENDENTE",N4841="PARCIAL"),D4841&lt;TODAY()-1),"🔴 EMBARQUE ATRASADO",IF(AND(N4841="REALIZADO",M4841="PENDENTE"),"🟡 EMBARCADO SEM FATURAR",IF(AND(P4841&lt;&gt;"",S4841="",OR(Q4841="",R4841="")),"🟡 PENDÊNCIA SEM RESPONSÁVEL/PRAZO",IF(AND(ISNUMBER(R4841),R4841=TODAY()),"🟡 VENCE HOJE",IF(AND(P4841&lt;&gt;"",S4841=""),"🟡 PENDÊNCIA ABERTA",IF(AND(N(J4841)&gt;0,N(K4841)&lt;J4841),"🟡 FALTA EXECUTAR",IF(OR(M4841="PENDENTE",M4841="PARCIAL"),"🟡 FATURAMENTO PENDENTE","🟡 EMBARQUE PENDENTE")))))))))))</f>
        <v/>
      </c>
      <c r="D4841" s="4" t="n"/>
      <c r="E4841" s="5" t="n"/>
      <c r="F4841" s="5" t="n"/>
      <c r="G4841" s="5" t="n"/>
      <c r="H4841" s="5" t="n"/>
      <c r="I4841" s="5" t="n"/>
      <c r="J4841" s="6" t="n"/>
      <c r="K4841" s="6" t="n"/>
      <c r="L4841" s="7">
        <f>IF(OR(D4841="",N(J4841)=0),"",MIN(1,N(K4841)/J4841))</f>
        <v/>
      </c>
      <c r="M4841" s="5" t="n"/>
      <c r="N4841" s="5" t="n"/>
      <c r="O4841" s="5" t="n"/>
      <c r="P4841" s="5" t="n"/>
      <c r="Q4841" s="5" t="n"/>
      <c r="R4841" s="4" t="n"/>
      <c r="S4841" s="4" t="n"/>
      <c r="T4841" s="5" t="n"/>
      <c r="U4841" s="8">
        <f>IF(AND(V4841=1,D4841&lt;&gt;""),IF(D4841&gt;=corte,TODAY()-D4841,""),"")</f>
        <v/>
      </c>
      <c r="V4841" s="8">
        <f>IF(D4841="",0,IF(OR(AND(P4841&lt;&gt;"",S4841=""),AND(N(J4841)&gt;0,N(K4841)&lt;J4841),OR(M4841="PENDENTE",M4841="PARCIAL"),OR(N4841="PENDENTE",N4841="PARCIAL")),1,0))</f>
        <v/>
      </c>
      <c r="W4841" s="8">
        <f>IF(AND(V4841=1,D4841&lt;&gt;""),IF(D4841&gt;=corte,(B4841="CRÍTICO")*1E9+(100000-D4841)*10000+10000-ROW(),""),"")</f>
        <v/>
      </c>
      <c r="X4841" s="8">
        <f>IF(AND(V4841=1,D4841=pas_data,E4841=pas_turno),10000-ROW(),"")</f>
        <v/>
      </c>
    </row>
    <row r="4842">
      <c r="A4842" s="3">
        <f>IF(D4842="","","TT-"&amp;TEXT(ROW()-1,"00000"))</f>
        <v/>
      </c>
      <c r="B4842" s="3">
        <f>IF(D4842="","",IF(V4842=0,"CONCLUÍDO",IF(D4842&lt;corte,"HISTÓRICO",IF(OR(AND(ISNUMBER(R4842),R4842&lt;TODAY()),AND(OR(N4842="PENDENTE",N4842="PARCIAL"),D4842&lt;TODAY()-1)),"CRÍTICO",IF(OR(AND(P4842&lt;&gt;"",S4842=""),AND(N4842="REALIZADO",M4842="PENDENTE"),AND(ISNUMBER(R4842),R4842=TODAY())),"ATENÇÃO",IF(N(K4842)=0,"PENDENTE","EM ANDAMENTO"))))))</f>
        <v/>
      </c>
      <c r="C4842" s="3">
        <f>IF(D4842="","",IF(V4842=0,"🟢 OK",IF(D4842&lt;corte,"⚪ HISTÓRICO (sem baixa)",IF(AND(ISNUMBER(R4842),R4842&lt;TODAY()),"🔴 PRAZO VENCIDO",IF(AND(OR(N4842="PENDENTE",N4842="PARCIAL"),D4842&lt;TODAY()-1),"🔴 EMBARQUE ATRASADO",IF(AND(N4842="REALIZADO",M4842="PENDENTE"),"🟡 EMBARCADO SEM FATURAR",IF(AND(P4842&lt;&gt;"",S4842="",OR(Q4842="",R4842="")),"🟡 PENDÊNCIA SEM RESPONSÁVEL/PRAZO",IF(AND(ISNUMBER(R4842),R4842=TODAY()),"🟡 VENCE HOJE",IF(AND(P4842&lt;&gt;"",S4842=""),"🟡 PENDÊNCIA ABERTA",IF(AND(N(J4842)&gt;0,N(K4842)&lt;J4842),"🟡 FALTA EXECUTAR",IF(OR(M4842="PENDENTE",M4842="PARCIAL"),"🟡 FATURAMENTO PENDENTE","🟡 EMBARQUE PENDENTE")))))))))))</f>
        <v/>
      </c>
      <c r="D4842" s="4" t="n"/>
      <c r="E4842" s="5" t="n"/>
      <c r="F4842" s="5" t="n"/>
      <c r="G4842" s="5" t="n"/>
      <c r="H4842" s="5" t="n"/>
      <c r="I4842" s="5" t="n"/>
      <c r="J4842" s="6" t="n"/>
      <c r="K4842" s="6" t="n"/>
      <c r="L4842" s="7">
        <f>IF(OR(D4842="",N(J4842)=0),"",MIN(1,N(K4842)/J4842))</f>
        <v/>
      </c>
      <c r="M4842" s="5" t="n"/>
      <c r="N4842" s="5" t="n"/>
      <c r="O4842" s="5" t="n"/>
      <c r="P4842" s="5" t="n"/>
      <c r="Q4842" s="5" t="n"/>
      <c r="R4842" s="4" t="n"/>
      <c r="S4842" s="4" t="n"/>
      <c r="T4842" s="5" t="n"/>
      <c r="U4842" s="8">
        <f>IF(AND(V4842=1,D4842&lt;&gt;""),IF(D4842&gt;=corte,TODAY()-D4842,""),"")</f>
        <v/>
      </c>
      <c r="V4842" s="8">
        <f>IF(D4842="",0,IF(OR(AND(P4842&lt;&gt;"",S4842=""),AND(N(J4842)&gt;0,N(K4842)&lt;J4842),OR(M4842="PENDENTE",M4842="PARCIAL"),OR(N4842="PENDENTE",N4842="PARCIAL")),1,0))</f>
        <v/>
      </c>
      <c r="W4842" s="8">
        <f>IF(AND(V4842=1,D4842&lt;&gt;""),IF(D4842&gt;=corte,(B4842="CRÍTICO")*1E9+(100000-D4842)*10000+10000-ROW(),""),"")</f>
        <v/>
      </c>
      <c r="X4842" s="8">
        <f>IF(AND(V4842=1,D4842=pas_data,E4842=pas_turno),10000-ROW(),"")</f>
        <v/>
      </c>
    </row>
    <row r="4843">
      <c r="A4843" s="3">
        <f>IF(D4843="","","TT-"&amp;TEXT(ROW()-1,"00000"))</f>
        <v/>
      </c>
      <c r="B4843" s="3">
        <f>IF(D4843="","",IF(V4843=0,"CONCLUÍDO",IF(D4843&lt;corte,"HISTÓRICO",IF(OR(AND(ISNUMBER(R4843),R4843&lt;TODAY()),AND(OR(N4843="PENDENTE",N4843="PARCIAL"),D4843&lt;TODAY()-1)),"CRÍTICO",IF(OR(AND(P4843&lt;&gt;"",S4843=""),AND(N4843="REALIZADO",M4843="PENDENTE"),AND(ISNUMBER(R4843),R4843=TODAY())),"ATENÇÃO",IF(N(K4843)=0,"PENDENTE","EM ANDAMENTO"))))))</f>
        <v/>
      </c>
      <c r="C4843" s="3">
        <f>IF(D4843="","",IF(V4843=0,"🟢 OK",IF(D4843&lt;corte,"⚪ HISTÓRICO (sem baixa)",IF(AND(ISNUMBER(R4843),R4843&lt;TODAY()),"🔴 PRAZO VENCIDO",IF(AND(OR(N4843="PENDENTE",N4843="PARCIAL"),D4843&lt;TODAY()-1),"🔴 EMBARQUE ATRASADO",IF(AND(N4843="REALIZADO",M4843="PENDENTE"),"🟡 EMBARCADO SEM FATURAR",IF(AND(P4843&lt;&gt;"",S4843="",OR(Q4843="",R4843="")),"🟡 PENDÊNCIA SEM RESPONSÁVEL/PRAZO",IF(AND(ISNUMBER(R4843),R4843=TODAY()),"🟡 VENCE HOJE",IF(AND(P4843&lt;&gt;"",S4843=""),"🟡 PENDÊNCIA ABERTA",IF(AND(N(J4843)&gt;0,N(K4843)&lt;J4843),"🟡 FALTA EXECUTAR",IF(OR(M4843="PENDENTE",M4843="PARCIAL"),"🟡 FATURAMENTO PENDENTE","🟡 EMBARQUE PENDENTE")))))))))))</f>
        <v/>
      </c>
      <c r="D4843" s="4" t="n"/>
      <c r="E4843" s="5" t="n"/>
      <c r="F4843" s="5" t="n"/>
      <c r="G4843" s="5" t="n"/>
      <c r="H4843" s="5" t="n"/>
      <c r="I4843" s="5" t="n"/>
      <c r="J4843" s="6" t="n"/>
      <c r="K4843" s="6" t="n"/>
      <c r="L4843" s="7">
        <f>IF(OR(D4843="",N(J4843)=0),"",MIN(1,N(K4843)/J4843))</f>
        <v/>
      </c>
      <c r="M4843" s="5" t="n"/>
      <c r="N4843" s="5" t="n"/>
      <c r="O4843" s="5" t="n"/>
      <c r="P4843" s="5" t="n"/>
      <c r="Q4843" s="5" t="n"/>
      <c r="R4843" s="4" t="n"/>
      <c r="S4843" s="4" t="n"/>
      <c r="T4843" s="5" t="n"/>
      <c r="U4843" s="8">
        <f>IF(AND(V4843=1,D4843&lt;&gt;""),IF(D4843&gt;=corte,TODAY()-D4843,""),"")</f>
        <v/>
      </c>
      <c r="V4843" s="8">
        <f>IF(D4843="",0,IF(OR(AND(P4843&lt;&gt;"",S4843=""),AND(N(J4843)&gt;0,N(K4843)&lt;J4843),OR(M4843="PENDENTE",M4843="PARCIAL"),OR(N4843="PENDENTE",N4843="PARCIAL")),1,0))</f>
        <v/>
      </c>
      <c r="W4843" s="8">
        <f>IF(AND(V4843=1,D4843&lt;&gt;""),IF(D4843&gt;=corte,(B4843="CRÍTICO")*1E9+(100000-D4843)*10000+10000-ROW(),""),"")</f>
        <v/>
      </c>
      <c r="X4843" s="8">
        <f>IF(AND(V4843=1,D4843=pas_data,E4843=pas_turno),10000-ROW(),"")</f>
        <v/>
      </c>
    </row>
    <row r="4844">
      <c r="A4844" s="3">
        <f>IF(D4844="","","TT-"&amp;TEXT(ROW()-1,"00000"))</f>
        <v/>
      </c>
      <c r="B4844" s="3">
        <f>IF(D4844="","",IF(V4844=0,"CONCLUÍDO",IF(D4844&lt;corte,"HISTÓRICO",IF(OR(AND(ISNUMBER(R4844),R4844&lt;TODAY()),AND(OR(N4844="PENDENTE",N4844="PARCIAL"),D4844&lt;TODAY()-1)),"CRÍTICO",IF(OR(AND(P4844&lt;&gt;"",S4844=""),AND(N4844="REALIZADO",M4844="PENDENTE"),AND(ISNUMBER(R4844),R4844=TODAY())),"ATENÇÃO",IF(N(K4844)=0,"PENDENTE","EM ANDAMENTO"))))))</f>
        <v/>
      </c>
      <c r="C4844" s="3">
        <f>IF(D4844="","",IF(V4844=0,"🟢 OK",IF(D4844&lt;corte,"⚪ HISTÓRICO (sem baixa)",IF(AND(ISNUMBER(R4844),R4844&lt;TODAY()),"🔴 PRAZO VENCIDO",IF(AND(OR(N4844="PENDENTE",N4844="PARCIAL"),D4844&lt;TODAY()-1),"🔴 EMBARQUE ATRASADO",IF(AND(N4844="REALIZADO",M4844="PENDENTE"),"🟡 EMBARCADO SEM FATURAR",IF(AND(P4844&lt;&gt;"",S4844="",OR(Q4844="",R4844="")),"🟡 PENDÊNCIA SEM RESPONSÁVEL/PRAZO",IF(AND(ISNUMBER(R4844),R4844=TODAY()),"🟡 VENCE HOJE",IF(AND(P4844&lt;&gt;"",S4844=""),"🟡 PENDÊNCIA ABERTA",IF(AND(N(J4844)&gt;0,N(K4844)&lt;J4844),"🟡 FALTA EXECUTAR",IF(OR(M4844="PENDENTE",M4844="PARCIAL"),"🟡 FATURAMENTO PENDENTE","🟡 EMBARQUE PENDENTE")))))))))))</f>
        <v/>
      </c>
      <c r="D4844" s="4" t="n"/>
      <c r="E4844" s="5" t="n"/>
      <c r="F4844" s="5" t="n"/>
      <c r="G4844" s="5" t="n"/>
      <c r="H4844" s="5" t="n"/>
      <c r="I4844" s="5" t="n"/>
      <c r="J4844" s="6" t="n"/>
      <c r="K4844" s="6" t="n"/>
      <c r="L4844" s="7">
        <f>IF(OR(D4844="",N(J4844)=0),"",MIN(1,N(K4844)/J4844))</f>
        <v/>
      </c>
      <c r="M4844" s="5" t="n"/>
      <c r="N4844" s="5" t="n"/>
      <c r="O4844" s="5" t="n"/>
      <c r="P4844" s="5" t="n"/>
      <c r="Q4844" s="5" t="n"/>
      <c r="R4844" s="4" t="n"/>
      <c r="S4844" s="4" t="n"/>
      <c r="T4844" s="5" t="n"/>
      <c r="U4844" s="8">
        <f>IF(AND(V4844=1,D4844&lt;&gt;""),IF(D4844&gt;=corte,TODAY()-D4844,""),"")</f>
        <v/>
      </c>
      <c r="V4844" s="8">
        <f>IF(D4844="",0,IF(OR(AND(P4844&lt;&gt;"",S4844=""),AND(N(J4844)&gt;0,N(K4844)&lt;J4844),OR(M4844="PENDENTE",M4844="PARCIAL"),OR(N4844="PENDENTE",N4844="PARCIAL")),1,0))</f>
        <v/>
      </c>
      <c r="W4844" s="8">
        <f>IF(AND(V4844=1,D4844&lt;&gt;""),IF(D4844&gt;=corte,(B4844="CRÍTICO")*1E9+(100000-D4844)*10000+10000-ROW(),""),"")</f>
        <v/>
      </c>
      <c r="X4844" s="8">
        <f>IF(AND(V4844=1,D4844=pas_data,E4844=pas_turno),10000-ROW(),"")</f>
        <v/>
      </c>
    </row>
    <row r="4845">
      <c r="A4845" s="3">
        <f>IF(D4845="","","TT-"&amp;TEXT(ROW()-1,"00000"))</f>
        <v/>
      </c>
      <c r="B4845" s="3">
        <f>IF(D4845="","",IF(V4845=0,"CONCLUÍDO",IF(D4845&lt;corte,"HISTÓRICO",IF(OR(AND(ISNUMBER(R4845),R4845&lt;TODAY()),AND(OR(N4845="PENDENTE",N4845="PARCIAL"),D4845&lt;TODAY()-1)),"CRÍTICO",IF(OR(AND(P4845&lt;&gt;"",S4845=""),AND(N4845="REALIZADO",M4845="PENDENTE"),AND(ISNUMBER(R4845),R4845=TODAY())),"ATENÇÃO",IF(N(K4845)=0,"PENDENTE","EM ANDAMENTO"))))))</f>
        <v/>
      </c>
      <c r="C4845" s="3">
        <f>IF(D4845="","",IF(V4845=0,"🟢 OK",IF(D4845&lt;corte,"⚪ HISTÓRICO (sem baixa)",IF(AND(ISNUMBER(R4845),R4845&lt;TODAY()),"🔴 PRAZO VENCIDO",IF(AND(OR(N4845="PENDENTE",N4845="PARCIAL"),D4845&lt;TODAY()-1),"🔴 EMBARQUE ATRASADO",IF(AND(N4845="REALIZADO",M4845="PENDENTE"),"🟡 EMBARCADO SEM FATURAR",IF(AND(P4845&lt;&gt;"",S4845="",OR(Q4845="",R4845="")),"🟡 PENDÊNCIA SEM RESPONSÁVEL/PRAZO",IF(AND(ISNUMBER(R4845),R4845=TODAY()),"🟡 VENCE HOJE",IF(AND(P4845&lt;&gt;"",S4845=""),"🟡 PENDÊNCIA ABERTA",IF(AND(N(J4845)&gt;0,N(K4845)&lt;J4845),"🟡 FALTA EXECUTAR",IF(OR(M4845="PENDENTE",M4845="PARCIAL"),"🟡 FATURAMENTO PENDENTE","🟡 EMBARQUE PENDENTE")))))))))))</f>
        <v/>
      </c>
      <c r="D4845" s="4" t="n"/>
      <c r="E4845" s="5" t="n"/>
      <c r="F4845" s="5" t="n"/>
      <c r="G4845" s="5" t="n"/>
      <c r="H4845" s="5" t="n"/>
      <c r="I4845" s="5" t="n"/>
      <c r="J4845" s="6" t="n"/>
      <c r="K4845" s="6" t="n"/>
      <c r="L4845" s="7">
        <f>IF(OR(D4845="",N(J4845)=0),"",MIN(1,N(K4845)/J4845))</f>
        <v/>
      </c>
      <c r="M4845" s="5" t="n"/>
      <c r="N4845" s="5" t="n"/>
      <c r="O4845" s="5" t="n"/>
      <c r="P4845" s="5" t="n"/>
      <c r="Q4845" s="5" t="n"/>
      <c r="R4845" s="4" t="n"/>
      <c r="S4845" s="4" t="n"/>
      <c r="T4845" s="5" t="n"/>
      <c r="U4845" s="8">
        <f>IF(AND(V4845=1,D4845&lt;&gt;""),IF(D4845&gt;=corte,TODAY()-D4845,""),"")</f>
        <v/>
      </c>
      <c r="V4845" s="8">
        <f>IF(D4845="",0,IF(OR(AND(P4845&lt;&gt;"",S4845=""),AND(N(J4845)&gt;0,N(K4845)&lt;J4845),OR(M4845="PENDENTE",M4845="PARCIAL"),OR(N4845="PENDENTE",N4845="PARCIAL")),1,0))</f>
        <v/>
      </c>
      <c r="W4845" s="8">
        <f>IF(AND(V4845=1,D4845&lt;&gt;""),IF(D4845&gt;=corte,(B4845="CRÍTICO")*1E9+(100000-D4845)*10000+10000-ROW(),""),"")</f>
        <v/>
      </c>
      <c r="X4845" s="8">
        <f>IF(AND(V4845=1,D4845=pas_data,E4845=pas_turno),10000-ROW(),"")</f>
        <v/>
      </c>
    </row>
    <row r="4846">
      <c r="A4846" s="3">
        <f>IF(D4846="","","TT-"&amp;TEXT(ROW()-1,"00000"))</f>
        <v/>
      </c>
      <c r="B4846" s="3">
        <f>IF(D4846="","",IF(V4846=0,"CONCLUÍDO",IF(D4846&lt;corte,"HISTÓRICO",IF(OR(AND(ISNUMBER(R4846),R4846&lt;TODAY()),AND(OR(N4846="PENDENTE",N4846="PARCIAL"),D4846&lt;TODAY()-1)),"CRÍTICO",IF(OR(AND(P4846&lt;&gt;"",S4846=""),AND(N4846="REALIZADO",M4846="PENDENTE"),AND(ISNUMBER(R4846),R4846=TODAY())),"ATENÇÃO",IF(N(K4846)=0,"PENDENTE","EM ANDAMENTO"))))))</f>
        <v/>
      </c>
      <c r="C4846" s="3">
        <f>IF(D4846="","",IF(V4846=0,"🟢 OK",IF(D4846&lt;corte,"⚪ HISTÓRICO (sem baixa)",IF(AND(ISNUMBER(R4846),R4846&lt;TODAY()),"🔴 PRAZO VENCIDO",IF(AND(OR(N4846="PENDENTE",N4846="PARCIAL"),D4846&lt;TODAY()-1),"🔴 EMBARQUE ATRASADO",IF(AND(N4846="REALIZADO",M4846="PENDENTE"),"🟡 EMBARCADO SEM FATURAR",IF(AND(P4846&lt;&gt;"",S4846="",OR(Q4846="",R4846="")),"🟡 PENDÊNCIA SEM RESPONSÁVEL/PRAZO",IF(AND(ISNUMBER(R4846),R4846=TODAY()),"🟡 VENCE HOJE",IF(AND(P4846&lt;&gt;"",S4846=""),"🟡 PENDÊNCIA ABERTA",IF(AND(N(J4846)&gt;0,N(K4846)&lt;J4846),"🟡 FALTA EXECUTAR",IF(OR(M4846="PENDENTE",M4846="PARCIAL"),"🟡 FATURAMENTO PENDENTE","🟡 EMBARQUE PENDENTE")))))))))))</f>
        <v/>
      </c>
      <c r="D4846" s="4" t="n"/>
      <c r="E4846" s="5" t="n"/>
      <c r="F4846" s="5" t="n"/>
      <c r="G4846" s="5" t="n"/>
      <c r="H4846" s="5" t="n"/>
      <c r="I4846" s="5" t="n"/>
      <c r="J4846" s="6" t="n"/>
      <c r="K4846" s="6" t="n"/>
      <c r="L4846" s="7">
        <f>IF(OR(D4846="",N(J4846)=0),"",MIN(1,N(K4846)/J4846))</f>
        <v/>
      </c>
      <c r="M4846" s="5" t="n"/>
      <c r="N4846" s="5" t="n"/>
      <c r="O4846" s="5" t="n"/>
      <c r="P4846" s="5" t="n"/>
      <c r="Q4846" s="5" t="n"/>
      <c r="R4846" s="4" t="n"/>
      <c r="S4846" s="4" t="n"/>
      <c r="T4846" s="5" t="n"/>
      <c r="U4846" s="8">
        <f>IF(AND(V4846=1,D4846&lt;&gt;""),IF(D4846&gt;=corte,TODAY()-D4846,""),"")</f>
        <v/>
      </c>
      <c r="V4846" s="8">
        <f>IF(D4846="",0,IF(OR(AND(P4846&lt;&gt;"",S4846=""),AND(N(J4846)&gt;0,N(K4846)&lt;J4846),OR(M4846="PENDENTE",M4846="PARCIAL"),OR(N4846="PENDENTE",N4846="PARCIAL")),1,0))</f>
        <v/>
      </c>
      <c r="W4846" s="8">
        <f>IF(AND(V4846=1,D4846&lt;&gt;""),IF(D4846&gt;=corte,(B4846="CRÍTICO")*1E9+(100000-D4846)*10000+10000-ROW(),""),"")</f>
        <v/>
      </c>
      <c r="X4846" s="8">
        <f>IF(AND(V4846=1,D4846=pas_data,E4846=pas_turno),10000-ROW(),"")</f>
        <v/>
      </c>
    </row>
    <row r="4847">
      <c r="A4847" s="3">
        <f>IF(D4847="","","TT-"&amp;TEXT(ROW()-1,"00000"))</f>
        <v/>
      </c>
      <c r="B4847" s="3">
        <f>IF(D4847="","",IF(V4847=0,"CONCLUÍDO",IF(D4847&lt;corte,"HISTÓRICO",IF(OR(AND(ISNUMBER(R4847),R4847&lt;TODAY()),AND(OR(N4847="PENDENTE",N4847="PARCIAL"),D4847&lt;TODAY()-1)),"CRÍTICO",IF(OR(AND(P4847&lt;&gt;"",S4847=""),AND(N4847="REALIZADO",M4847="PENDENTE"),AND(ISNUMBER(R4847),R4847=TODAY())),"ATENÇÃO",IF(N(K4847)=0,"PENDENTE","EM ANDAMENTO"))))))</f>
        <v/>
      </c>
      <c r="C4847" s="3">
        <f>IF(D4847="","",IF(V4847=0,"🟢 OK",IF(D4847&lt;corte,"⚪ HISTÓRICO (sem baixa)",IF(AND(ISNUMBER(R4847),R4847&lt;TODAY()),"🔴 PRAZO VENCIDO",IF(AND(OR(N4847="PENDENTE",N4847="PARCIAL"),D4847&lt;TODAY()-1),"🔴 EMBARQUE ATRASADO",IF(AND(N4847="REALIZADO",M4847="PENDENTE"),"🟡 EMBARCADO SEM FATURAR",IF(AND(P4847&lt;&gt;"",S4847="",OR(Q4847="",R4847="")),"🟡 PENDÊNCIA SEM RESPONSÁVEL/PRAZO",IF(AND(ISNUMBER(R4847),R4847=TODAY()),"🟡 VENCE HOJE",IF(AND(P4847&lt;&gt;"",S4847=""),"🟡 PENDÊNCIA ABERTA",IF(AND(N(J4847)&gt;0,N(K4847)&lt;J4847),"🟡 FALTA EXECUTAR",IF(OR(M4847="PENDENTE",M4847="PARCIAL"),"🟡 FATURAMENTO PENDENTE","🟡 EMBARQUE PENDENTE")))))))))))</f>
        <v/>
      </c>
      <c r="D4847" s="4" t="n"/>
      <c r="E4847" s="5" t="n"/>
      <c r="F4847" s="5" t="n"/>
      <c r="G4847" s="5" t="n"/>
      <c r="H4847" s="5" t="n"/>
      <c r="I4847" s="5" t="n"/>
      <c r="J4847" s="6" t="n"/>
      <c r="K4847" s="6" t="n"/>
      <c r="L4847" s="7">
        <f>IF(OR(D4847="",N(J4847)=0),"",MIN(1,N(K4847)/J4847))</f>
        <v/>
      </c>
      <c r="M4847" s="5" t="n"/>
      <c r="N4847" s="5" t="n"/>
      <c r="O4847" s="5" t="n"/>
      <c r="P4847" s="5" t="n"/>
      <c r="Q4847" s="5" t="n"/>
      <c r="R4847" s="4" t="n"/>
      <c r="S4847" s="4" t="n"/>
      <c r="T4847" s="5" t="n"/>
      <c r="U4847" s="8">
        <f>IF(AND(V4847=1,D4847&lt;&gt;""),IF(D4847&gt;=corte,TODAY()-D4847,""),"")</f>
        <v/>
      </c>
      <c r="V4847" s="8">
        <f>IF(D4847="",0,IF(OR(AND(P4847&lt;&gt;"",S4847=""),AND(N(J4847)&gt;0,N(K4847)&lt;J4847),OR(M4847="PENDENTE",M4847="PARCIAL"),OR(N4847="PENDENTE",N4847="PARCIAL")),1,0))</f>
        <v/>
      </c>
      <c r="W4847" s="8">
        <f>IF(AND(V4847=1,D4847&lt;&gt;""),IF(D4847&gt;=corte,(B4847="CRÍTICO")*1E9+(100000-D4847)*10000+10000-ROW(),""),"")</f>
        <v/>
      </c>
      <c r="X4847" s="8">
        <f>IF(AND(V4847=1,D4847=pas_data,E4847=pas_turno),10000-ROW(),"")</f>
        <v/>
      </c>
    </row>
    <row r="4848">
      <c r="A4848" s="3">
        <f>IF(D4848="","","TT-"&amp;TEXT(ROW()-1,"00000"))</f>
        <v/>
      </c>
      <c r="B4848" s="3">
        <f>IF(D4848="","",IF(V4848=0,"CONCLUÍDO",IF(D4848&lt;corte,"HISTÓRICO",IF(OR(AND(ISNUMBER(R4848),R4848&lt;TODAY()),AND(OR(N4848="PENDENTE",N4848="PARCIAL"),D4848&lt;TODAY()-1)),"CRÍTICO",IF(OR(AND(P4848&lt;&gt;"",S4848=""),AND(N4848="REALIZADO",M4848="PENDENTE"),AND(ISNUMBER(R4848),R4848=TODAY())),"ATENÇÃO",IF(N(K4848)=0,"PENDENTE","EM ANDAMENTO"))))))</f>
        <v/>
      </c>
      <c r="C4848" s="3">
        <f>IF(D4848="","",IF(V4848=0,"🟢 OK",IF(D4848&lt;corte,"⚪ HISTÓRICO (sem baixa)",IF(AND(ISNUMBER(R4848),R4848&lt;TODAY()),"🔴 PRAZO VENCIDO",IF(AND(OR(N4848="PENDENTE",N4848="PARCIAL"),D4848&lt;TODAY()-1),"🔴 EMBARQUE ATRASADO",IF(AND(N4848="REALIZADO",M4848="PENDENTE"),"🟡 EMBARCADO SEM FATURAR",IF(AND(P4848&lt;&gt;"",S4848="",OR(Q4848="",R4848="")),"🟡 PENDÊNCIA SEM RESPONSÁVEL/PRAZO",IF(AND(ISNUMBER(R4848),R4848=TODAY()),"🟡 VENCE HOJE",IF(AND(P4848&lt;&gt;"",S4848=""),"🟡 PENDÊNCIA ABERTA",IF(AND(N(J4848)&gt;0,N(K4848)&lt;J4848),"🟡 FALTA EXECUTAR",IF(OR(M4848="PENDENTE",M4848="PARCIAL"),"🟡 FATURAMENTO PENDENTE","🟡 EMBARQUE PENDENTE")))))))))))</f>
        <v/>
      </c>
      <c r="D4848" s="4" t="n"/>
      <c r="E4848" s="5" t="n"/>
      <c r="F4848" s="5" t="n"/>
      <c r="G4848" s="5" t="n"/>
      <c r="H4848" s="5" t="n"/>
      <c r="I4848" s="5" t="n"/>
      <c r="J4848" s="6" t="n"/>
      <c r="K4848" s="6" t="n"/>
      <c r="L4848" s="7">
        <f>IF(OR(D4848="",N(J4848)=0),"",MIN(1,N(K4848)/J4848))</f>
        <v/>
      </c>
      <c r="M4848" s="5" t="n"/>
      <c r="N4848" s="5" t="n"/>
      <c r="O4848" s="5" t="n"/>
      <c r="P4848" s="5" t="n"/>
      <c r="Q4848" s="5" t="n"/>
      <c r="R4848" s="4" t="n"/>
      <c r="S4848" s="4" t="n"/>
      <c r="T4848" s="5" t="n"/>
      <c r="U4848" s="8">
        <f>IF(AND(V4848=1,D4848&lt;&gt;""),IF(D4848&gt;=corte,TODAY()-D4848,""),"")</f>
        <v/>
      </c>
      <c r="V4848" s="8">
        <f>IF(D4848="",0,IF(OR(AND(P4848&lt;&gt;"",S4848=""),AND(N(J4848)&gt;0,N(K4848)&lt;J4848),OR(M4848="PENDENTE",M4848="PARCIAL"),OR(N4848="PENDENTE",N4848="PARCIAL")),1,0))</f>
        <v/>
      </c>
      <c r="W4848" s="8">
        <f>IF(AND(V4848=1,D4848&lt;&gt;""),IF(D4848&gt;=corte,(B4848="CRÍTICO")*1E9+(100000-D4848)*10000+10000-ROW(),""),"")</f>
        <v/>
      </c>
      <c r="X4848" s="8">
        <f>IF(AND(V4848=1,D4848=pas_data,E4848=pas_turno),10000-ROW(),"")</f>
        <v/>
      </c>
    </row>
    <row r="4849">
      <c r="A4849" s="3">
        <f>IF(D4849="","","TT-"&amp;TEXT(ROW()-1,"00000"))</f>
        <v/>
      </c>
      <c r="B4849" s="3">
        <f>IF(D4849="","",IF(V4849=0,"CONCLUÍDO",IF(D4849&lt;corte,"HISTÓRICO",IF(OR(AND(ISNUMBER(R4849),R4849&lt;TODAY()),AND(OR(N4849="PENDENTE",N4849="PARCIAL"),D4849&lt;TODAY()-1)),"CRÍTICO",IF(OR(AND(P4849&lt;&gt;"",S4849=""),AND(N4849="REALIZADO",M4849="PENDENTE"),AND(ISNUMBER(R4849),R4849=TODAY())),"ATENÇÃO",IF(N(K4849)=0,"PENDENTE","EM ANDAMENTO"))))))</f>
        <v/>
      </c>
      <c r="C4849" s="3">
        <f>IF(D4849="","",IF(V4849=0,"🟢 OK",IF(D4849&lt;corte,"⚪ HISTÓRICO (sem baixa)",IF(AND(ISNUMBER(R4849),R4849&lt;TODAY()),"🔴 PRAZO VENCIDO",IF(AND(OR(N4849="PENDENTE",N4849="PARCIAL"),D4849&lt;TODAY()-1),"🔴 EMBARQUE ATRASADO",IF(AND(N4849="REALIZADO",M4849="PENDENTE"),"🟡 EMBARCADO SEM FATURAR",IF(AND(P4849&lt;&gt;"",S4849="",OR(Q4849="",R4849="")),"🟡 PENDÊNCIA SEM RESPONSÁVEL/PRAZO",IF(AND(ISNUMBER(R4849),R4849=TODAY()),"🟡 VENCE HOJE",IF(AND(P4849&lt;&gt;"",S4849=""),"🟡 PENDÊNCIA ABERTA",IF(AND(N(J4849)&gt;0,N(K4849)&lt;J4849),"🟡 FALTA EXECUTAR",IF(OR(M4849="PENDENTE",M4849="PARCIAL"),"🟡 FATURAMENTO PENDENTE","🟡 EMBARQUE PENDENTE")))))))))))</f>
        <v/>
      </c>
      <c r="D4849" s="4" t="n"/>
      <c r="E4849" s="5" t="n"/>
      <c r="F4849" s="5" t="n"/>
      <c r="G4849" s="5" t="n"/>
      <c r="H4849" s="5" t="n"/>
      <c r="I4849" s="5" t="n"/>
      <c r="J4849" s="6" t="n"/>
      <c r="K4849" s="6" t="n"/>
      <c r="L4849" s="7">
        <f>IF(OR(D4849="",N(J4849)=0),"",MIN(1,N(K4849)/J4849))</f>
        <v/>
      </c>
      <c r="M4849" s="5" t="n"/>
      <c r="N4849" s="5" t="n"/>
      <c r="O4849" s="5" t="n"/>
      <c r="P4849" s="5" t="n"/>
      <c r="Q4849" s="5" t="n"/>
      <c r="R4849" s="4" t="n"/>
      <c r="S4849" s="4" t="n"/>
      <c r="T4849" s="5" t="n"/>
      <c r="U4849" s="8">
        <f>IF(AND(V4849=1,D4849&lt;&gt;""),IF(D4849&gt;=corte,TODAY()-D4849,""),"")</f>
        <v/>
      </c>
      <c r="V4849" s="8">
        <f>IF(D4849="",0,IF(OR(AND(P4849&lt;&gt;"",S4849=""),AND(N(J4849)&gt;0,N(K4849)&lt;J4849),OR(M4849="PENDENTE",M4849="PARCIAL"),OR(N4849="PENDENTE",N4849="PARCIAL")),1,0))</f>
        <v/>
      </c>
      <c r="W4849" s="8">
        <f>IF(AND(V4849=1,D4849&lt;&gt;""),IF(D4849&gt;=corte,(B4849="CRÍTICO")*1E9+(100000-D4849)*10000+10000-ROW(),""),"")</f>
        <v/>
      </c>
      <c r="X4849" s="8">
        <f>IF(AND(V4849=1,D4849=pas_data,E4849=pas_turno),10000-ROW(),"")</f>
        <v/>
      </c>
    </row>
    <row r="4850">
      <c r="A4850" s="3">
        <f>IF(D4850="","","TT-"&amp;TEXT(ROW()-1,"00000"))</f>
        <v/>
      </c>
      <c r="B4850" s="3">
        <f>IF(D4850="","",IF(V4850=0,"CONCLUÍDO",IF(D4850&lt;corte,"HISTÓRICO",IF(OR(AND(ISNUMBER(R4850),R4850&lt;TODAY()),AND(OR(N4850="PENDENTE",N4850="PARCIAL"),D4850&lt;TODAY()-1)),"CRÍTICO",IF(OR(AND(P4850&lt;&gt;"",S4850=""),AND(N4850="REALIZADO",M4850="PENDENTE"),AND(ISNUMBER(R4850),R4850=TODAY())),"ATENÇÃO",IF(N(K4850)=0,"PENDENTE","EM ANDAMENTO"))))))</f>
        <v/>
      </c>
      <c r="C4850" s="3">
        <f>IF(D4850="","",IF(V4850=0,"🟢 OK",IF(D4850&lt;corte,"⚪ HISTÓRICO (sem baixa)",IF(AND(ISNUMBER(R4850),R4850&lt;TODAY()),"🔴 PRAZO VENCIDO",IF(AND(OR(N4850="PENDENTE",N4850="PARCIAL"),D4850&lt;TODAY()-1),"🔴 EMBARQUE ATRASADO",IF(AND(N4850="REALIZADO",M4850="PENDENTE"),"🟡 EMBARCADO SEM FATURAR",IF(AND(P4850&lt;&gt;"",S4850="",OR(Q4850="",R4850="")),"🟡 PENDÊNCIA SEM RESPONSÁVEL/PRAZO",IF(AND(ISNUMBER(R4850),R4850=TODAY()),"🟡 VENCE HOJE",IF(AND(P4850&lt;&gt;"",S4850=""),"🟡 PENDÊNCIA ABERTA",IF(AND(N(J4850)&gt;0,N(K4850)&lt;J4850),"🟡 FALTA EXECUTAR",IF(OR(M4850="PENDENTE",M4850="PARCIAL"),"🟡 FATURAMENTO PENDENTE","🟡 EMBARQUE PENDENTE")))))))))))</f>
        <v/>
      </c>
      <c r="D4850" s="4" t="n"/>
      <c r="E4850" s="5" t="n"/>
      <c r="F4850" s="5" t="n"/>
      <c r="G4850" s="5" t="n"/>
      <c r="H4850" s="5" t="n"/>
      <c r="I4850" s="5" t="n"/>
      <c r="J4850" s="6" t="n"/>
      <c r="K4850" s="6" t="n"/>
      <c r="L4850" s="7">
        <f>IF(OR(D4850="",N(J4850)=0),"",MIN(1,N(K4850)/J4850))</f>
        <v/>
      </c>
      <c r="M4850" s="5" t="n"/>
      <c r="N4850" s="5" t="n"/>
      <c r="O4850" s="5" t="n"/>
      <c r="P4850" s="5" t="n"/>
      <c r="Q4850" s="5" t="n"/>
      <c r="R4850" s="4" t="n"/>
      <c r="S4850" s="4" t="n"/>
      <c r="T4850" s="5" t="n"/>
      <c r="U4850" s="8">
        <f>IF(AND(V4850=1,D4850&lt;&gt;""),IF(D4850&gt;=corte,TODAY()-D4850,""),"")</f>
        <v/>
      </c>
      <c r="V4850" s="8">
        <f>IF(D4850="",0,IF(OR(AND(P4850&lt;&gt;"",S4850=""),AND(N(J4850)&gt;0,N(K4850)&lt;J4850),OR(M4850="PENDENTE",M4850="PARCIAL"),OR(N4850="PENDENTE",N4850="PARCIAL")),1,0))</f>
        <v/>
      </c>
      <c r="W4850" s="8">
        <f>IF(AND(V4850=1,D4850&lt;&gt;""),IF(D4850&gt;=corte,(B4850="CRÍTICO")*1E9+(100000-D4850)*10000+10000-ROW(),""),"")</f>
        <v/>
      </c>
      <c r="X4850" s="8">
        <f>IF(AND(V4850=1,D4850=pas_data,E4850=pas_turno),10000-ROW(),"")</f>
        <v/>
      </c>
    </row>
    <row r="4851">
      <c r="A4851" s="3">
        <f>IF(D4851="","","TT-"&amp;TEXT(ROW()-1,"00000"))</f>
        <v/>
      </c>
      <c r="B4851" s="3">
        <f>IF(D4851="","",IF(V4851=0,"CONCLUÍDO",IF(D4851&lt;corte,"HISTÓRICO",IF(OR(AND(ISNUMBER(R4851),R4851&lt;TODAY()),AND(OR(N4851="PENDENTE",N4851="PARCIAL"),D4851&lt;TODAY()-1)),"CRÍTICO",IF(OR(AND(P4851&lt;&gt;"",S4851=""),AND(N4851="REALIZADO",M4851="PENDENTE"),AND(ISNUMBER(R4851),R4851=TODAY())),"ATENÇÃO",IF(N(K4851)=0,"PENDENTE","EM ANDAMENTO"))))))</f>
        <v/>
      </c>
      <c r="C4851" s="3">
        <f>IF(D4851="","",IF(V4851=0,"🟢 OK",IF(D4851&lt;corte,"⚪ HISTÓRICO (sem baixa)",IF(AND(ISNUMBER(R4851),R4851&lt;TODAY()),"🔴 PRAZO VENCIDO",IF(AND(OR(N4851="PENDENTE",N4851="PARCIAL"),D4851&lt;TODAY()-1),"🔴 EMBARQUE ATRASADO",IF(AND(N4851="REALIZADO",M4851="PENDENTE"),"🟡 EMBARCADO SEM FATURAR",IF(AND(P4851&lt;&gt;"",S4851="",OR(Q4851="",R4851="")),"🟡 PENDÊNCIA SEM RESPONSÁVEL/PRAZO",IF(AND(ISNUMBER(R4851),R4851=TODAY()),"🟡 VENCE HOJE",IF(AND(P4851&lt;&gt;"",S4851=""),"🟡 PENDÊNCIA ABERTA",IF(AND(N(J4851)&gt;0,N(K4851)&lt;J4851),"🟡 FALTA EXECUTAR",IF(OR(M4851="PENDENTE",M4851="PARCIAL"),"🟡 FATURAMENTO PENDENTE","🟡 EMBARQUE PENDENTE")))))))))))</f>
        <v/>
      </c>
      <c r="D4851" s="4" t="n"/>
      <c r="E4851" s="5" t="n"/>
      <c r="F4851" s="5" t="n"/>
      <c r="G4851" s="5" t="n"/>
      <c r="H4851" s="5" t="n"/>
      <c r="I4851" s="5" t="n"/>
      <c r="J4851" s="6" t="n"/>
      <c r="K4851" s="6" t="n"/>
      <c r="L4851" s="7">
        <f>IF(OR(D4851="",N(J4851)=0),"",MIN(1,N(K4851)/J4851))</f>
        <v/>
      </c>
      <c r="M4851" s="5" t="n"/>
      <c r="N4851" s="5" t="n"/>
      <c r="O4851" s="5" t="n"/>
      <c r="P4851" s="5" t="n"/>
      <c r="Q4851" s="5" t="n"/>
      <c r="R4851" s="4" t="n"/>
      <c r="S4851" s="4" t="n"/>
      <c r="T4851" s="5" t="n"/>
      <c r="U4851" s="8">
        <f>IF(AND(V4851=1,D4851&lt;&gt;""),IF(D4851&gt;=corte,TODAY()-D4851,""),"")</f>
        <v/>
      </c>
      <c r="V4851" s="8">
        <f>IF(D4851="",0,IF(OR(AND(P4851&lt;&gt;"",S4851=""),AND(N(J4851)&gt;0,N(K4851)&lt;J4851),OR(M4851="PENDENTE",M4851="PARCIAL"),OR(N4851="PENDENTE",N4851="PARCIAL")),1,0))</f>
        <v/>
      </c>
      <c r="W4851" s="8">
        <f>IF(AND(V4851=1,D4851&lt;&gt;""),IF(D4851&gt;=corte,(B4851="CRÍTICO")*1E9+(100000-D4851)*10000+10000-ROW(),""),"")</f>
        <v/>
      </c>
      <c r="X4851" s="8">
        <f>IF(AND(V4851=1,D4851=pas_data,E4851=pas_turno),10000-ROW(),"")</f>
        <v/>
      </c>
    </row>
    <row r="4852">
      <c r="A4852" s="3">
        <f>IF(D4852="","","TT-"&amp;TEXT(ROW()-1,"00000"))</f>
        <v/>
      </c>
      <c r="B4852" s="3">
        <f>IF(D4852="","",IF(V4852=0,"CONCLUÍDO",IF(D4852&lt;corte,"HISTÓRICO",IF(OR(AND(ISNUMBER(R4852),R4852&lt;TODAY()),AND(OR(N4852="PENDENTE",N4852="PARCIAL"),D4852&lt;TODAY()-1)),"CRÍTICO",IF(OR(AND(P4852&lt;&gt;"",S4852=""),AND(N4852="REALIZADO",M4852="PENDENTE"),AND(ISNUMBER(R4852),R4852=TODAY())),"ATENÇÃO",IF(N(K4852)=0,"PENDENTE","EM ANDAMENTO"))))))</f>
        <v/>
      </c>
      <c r="C4852" s="3">
        <f>IF(D4852="","",IF(V4852=0,"🟢 OK",IF(D4852&lt;corte,"⚪ HISTÓRICO (sem baixa)",IF(AND(ISNUMBER(R4852),R4852&lt;TODAY()),"🔴 PRAZO VENCIDO",IF(AND(OR(N4852="PENDENTE",N4852="PARCIAL"),D4852&lt;TODAY()-1),"🔴 EMBARQUE ATRASADO",IF(AND(N4852="REALIZADO",M4852="PENDENTE"),"🟡 EMBARCADO SEM FATURAR",IF(AND(P4852&lt;&gt;"",S4852="",OR(Q4852="",R4852="")),"🟡 PENDÊNCIA SEM RESPONSÁVEL/PRAZO",IF(AND(ISNUMBER(R4852),R4852=TODAY()),"🟡 VENCE HOJE",IF(AND(P4852&lt;&gt;"",S4852=""),"🟡 PENDÊNCIA ABERTA",IF(AND(N(J4852)&gt;0,N(K4852)&lt;J4852),"🟡 FALTA EXECUTAR",IF(OR(M4852="PENDENTE",M4852="PARCIAL"),"🟡 FATURAMENTO PENDENTE","🟡 EMBARQUE PENDENTE")))))))))))</f>
        <v/>
      </c>
      <c r="D4852" s="4" t="n"/>
      <c r="E4852" s="5" t="n"/>
      <c r="F4852" s="5" t="n"/>
      <c r="G4852" s="5" t="n"/>
      <c r="H4852" s="5" t="n"/>
      <c r="I4852" s="5" t="n"/>
      <c r="J4852" s="6" t="n"/>
      <c r="K4852" s="6" t="n"/>
      <c r="L4852" s="7">
        <f>IF(OR(D4852="",N(J4852)=0),"",MIN(1,N(K4852)/J4852))</f>
        <v/>
      </c>
      <c r="M4852" s="5" t="n"/>
      <c r="N4852" s="5" t="n"/>
      <c r="O4852" s="5" t="n"/>
      <c r="P4852" s="5" t="n"/>
      <c r="Q4852" s="5" t="n"/>
      <c r="R4852" s="4" t="n"/>
      <c r="S4852" s="4" t="n"/>
      <c r="T4852" s="5" t="n"/>
      <c r="U4852" s="8">
        <f>IF(AND(V4852=1,D4852&lt;&gt;""),IF(D4852&gt;=corte,TODAY()-D4852,""),"")</f>
        <v/>
      </c>
      <c r="V4852" s="8">
        <f>IF(D4852="",0,IF(OR(AND(P4852&lt;&gt;"",S4852=""),AND(N(J4852)&gt;0,N(K4852)&lt;J4852),OR(M4852="PENDENTE",M4852="PARCIAL"),OR(N4852="PENDENTE",N4852="PARCIAL")),1,0))</f>
        <v/>
      </c>
      <c r="W4852" s="8">
        <f>IF(AND(V4852=1,D4852&lt;&gt;""),IF(D4852&gt;=corte,(B4852="CRÍTICO")*1E9+(100000-D4852)*10000+10000-ROW(),""),"")</f>
        <v/>
      </c>
      <c r="X4852" s="8">
        <f>IF(AND(V4852=1,D4852=pas_data,E4852=pas_turno),10000-ROW(),"")</f>
        <v/>
      </c>
    </row>
    <row r="4853">
      <c r="A4853" s="3">
        <f>IF(D4853="","","TT-"&amp;TEXT(ROW()-1,"00000"))</f>
        <v/>
      </c>
      <c r="B4853" s="3">
        <f>IF(D4853="","",IF(V4853=0,"CONCLUÍDO",IF(D4853&lt;corte,"HISTÓRICO",IF(OR(AND(ISNUMBER(R4853),R4853&lt;TODAY()),AND(OR(N4853="PENDENTE",N4853="PARCIAL"),D4853&lt;TODAY()-1)),"CRÍTICO",IF(OR(AND(P4853&lt;&gt;"",S4853=""),AND(N4853="REALIZADO",M4853="PENDENTE"),AND(ISNUMBER(R4853),R4853=TODAY())),"ATENÇÃO",IF(N(K4853)=0,"PENDENTE","EM ANDAMENTO"))))))</f>
        <v/>
      </c>
      <c r="C4853" s="3">
        <f>IF(D4853="","",IF(V4853=0,"🟢 OK",IF(D4853&lt;corte,"⚪ HISTÓRICO (sem baixa)",IF(AND(ISNUMBER(R4853),R4853&lt;TODAY()),"🔴 PRAZO VENCIDO",IF(AND(OR(N4853="PENDENTE",N4853="PARCIAL"),D4853&lt;TODAY()-1),"🔴 EMBARQUE ATRASADO",IF(AND(N4853="REALIZADO",M4853="PENDENTE"),"🟡 EMBARCADO SEM FATURAR",IF(AND(P4853&lt;&gt;"",S4853="",OR(Q4853="",R4853="")),"🟡 PENDÊNCIA SEM RESPONSÁVEL/PRAZO",IF(AND(ISNUMBER(R4853),R4853=TODAY()),"🟡 VENCE HOJE",IF(AND(P4853&lt;&gt;"",S4853=""),"🟡 PENDÊNCIA ABERTA",IF(AND(N(J4853)&gt;0,N(K4853)&lt;J4853),"🟡 FALTA EXECUTAR",IF(OR(M4853="PENDENTE",M4853="PARCIAL"),"🟡 FATURAMENTO PENDENTE","🟡 EMBARQUE PENDENTE")))))))))))</f>
        <v/>
      </c>
      <c r="D4853" s="4" t="n"/>
      <c r="E4853" s="5" t="n"/>
      <c r="F4853" s="5" t="n"/>
      <c r="G4853" s="5" t="n"/>
      <c r="H4853" s="5" t="n"/>
      <c r="I4853" s="5" t="n"/>
      <c r="J4853" s="6" t="n"/>
      <c r="K4853" s="6" t="n"/>
      <c r="L4853" s="7">
        <f>IF(OR(D4853="",N(J4853)=0),"",MIN(1,N(K4853)/J4853))</f>
        <v/>
      </c>
      <c r="M4853" s="5" t="n"/>
      <c r="N4853" s="5" t="n"/>
      <c r="O4853" s="5" t="n"/>
      <c r="P4853" s="5" t="n"/>
      <c r="Q4853" s="5" t="n"/>
      <c r="R4853" s="4" t="n"/>
      <c r="S4853" s="4" t="n"/>
      <c r="T4853" s="5" t="n"/>
      <c r="U4853" s="8">
        <f>IF(AND(V4853=1,D4853&lt;&gt;""),IF(D4853&gt;=corte,TODAY()-D4853,""),"")</f>
        <v/>
      </c>
      <c r="V4853" s="8">
        <f>IF(D4853="",0,IF(OR(AND(P4853&lt;&gt;"",S4853=""),AND(N(J4853)&gt;0,N(K4853)&lt;J4853),OR(M4853="PENDENTE",M4853="PARCIAL"),OR(N4853="PENDENTE",N4853="PARCIAL")),1,0))</f>
        <v/>
      </c>
      <c r="W4853" s="8">
        <f>IF(AND(V4853=1,D4853&lt;&gt;""),IF(D4853&gt;=corte,(B4853="CRÍTICO")*1E9+(100000-D4853)*10000+10000-ROW(),""),"")</f>
        <v/>
      </c>
      <c r="X4853" s="8">
        <f>IF(AND(V4853=1,D4853=pas_data,E4853=pas_turno),10000-ROW(),"")</f>
        <v/>
      </c>
    </row>
    <row r="4854">
      <c r="A4854" s="3">
        <f>IF(D4854="","","TT-"&amp;TEXT(ROW()-1,"00000"))</f>
        <v/>
      </c>
      <c r="B4854" s="3">
        <f>IF(D4854="","",IF(V4854=0,"CONCLUÍDO",IF(D4854&lt;corte,"HISTÓRICO",IF(OR(AND(ISNUMBER(R4854),R4854&lt;TODAY()),AND(OR(N4854="PENDENTE",N4854="PARCIAL"),D4854&lt;TODAY()-1)),"CRÍTICO",IF(OR(AND(P4854&lt;&gt;"",S4854=""),AND(N4854="REALIZADO",M4854="PENDENTE"),AND(ISNUMBER(R4854),R4854=TODAY())),"ATENÇÃO",IF(N(K4854)=0,"PENDENTE","EM ANDAMENTO"))))))</f>
        <v/>
      </c>
      <c r="C4854" s="3">
        <f>IF(D4854="","",IF(V4854=0,"🟢 OK",IF(D4854&lt;corte,"⚪ HISTÓRICO (sem baixa)",IF(AND(ISNUMBER(R4854),R4854&lt;TODAY()),"🔴 PRAZO VENCIDO",IF(AND(OR(N4854="PENDENTE",N4854="PARCIAL"),D4854&lt;TODAY()-1),"🔴 EMBARQUE ATRASADO",IF(AND(N4854="REALIZADO",M4854="PENDENTE"),"🟡 EMBARCADO SEM FATURAR",IF(AND(P4854&lt;&gt;"",S4854="",OR(Q4854="",R4854="")),"🟡 PENDÊNCIA SEM RESPONSÁVEL/PRAZO",IF(AND(ISNUMBER(R4854),R4854=TODAY()),"🟡 VENCE HOJE",IF(AND(P4854&lt;&gt;"",S4854=""),"🟡 PENDÊNCIA ABERTA",IF(AND(N(J4854)&gt;0,N(K4854)&lt;J4854),"🟡 FALTA EXECUTAR",IF(OR(M4854="PENDENTE",M4854="PARCIAL"),"🟡 FATURAMENTO PENDENTE","🟡 EMBARQUE PENDENTE")))))))))))</f>
        <v/>
      </c>
      <c r="D4854" s="4" t="n"/>
      <c r="E4854" s="5" t="n"/>
      <c r="F4854" s="5" t="n"/>
      <c r="G4854" s="5" t="n"/>
      <c r="H4854" s="5" t="n"/>
      <c r="I4854" s="5" t="n"/>
      <c r="J4854" s="6" t="n"/>
      <c r="K4854" s="6" t="n"/>
      <c r="L4854" s="7">
        <f>IF(OR(D4854="",N(J4854)=0),"",MIN(1,N(K4854)/J4854))</f>
        <v/>
      </c>
      <c r="M4854" s="5" t="n"/>
      <c r="N4854" s="5" t="n"/>
      <c r="O4854" s="5" t="n"/>
      <c r="P4854" s="5" t="n"/>
      <c r="Q4854" s="5" t="n"/>
      <c r="R4854" s="4" t="n"/>
      <c r="S4854" s="4" t="n"/>
      <c r="T4854" s="5" t="n"/>
      <c r="U4854" s="8">
        <f>IF(AND(V4854=1,D4854&lt;&gt;""),IF(D4854&gt;=corte,TODAY()-D4854,""),"")</f>
        <v/>
      </c>
      <c r="V4854" s="8">
        <f>IF(D4854="",0,IF(OR(AND(P4854&lt;&gt;"",S4854=""),AND(N(J4854)&gt;0,N(K4854)&lt;J4854),OR(M4854="PENDENTE",M4854="PARCIAL"),OR(N4854="PENDENTE",N4854="PARCIAL")),1,0))</f>
        <v/>
      </c>
      <c r="W4854" s="8">
        <f>IF(AND(V4854=1,D4854&lt;&gt;""),IF(D4854&gt;=corte,(B4854="CRÍTICO")*1E9+(100000-D4854)*10000+10000-ROW(),""),"")</f>
        <v/>
      </c>
      <c r="X4854" s="8">
        <f>IF(AND(V4854=1,D4854=pas_data,E4854=pas_turno),10000-ROW(),"")</f>
        <v/>
      </c>
    </row>
    <row r="4855">
      <c r="A4855" s="3">
        <f>IF(D4855="","","TT-"&amp;TEXT(ROW()-1,"00000"))</f>
        <v/>
      </c>
      <c r="B4855" s="3">
        <f>IF(D4855="","",IF(V4855=0,"CONCLUÍDO",IF(D4855&lt;corte,"HISTÓRICO",IF(OR(AND(ISNUMBER(R4855),R4855&lt;TODAY()),AND(OR(N4855="PENDENTE",N4855="PARCIAL"),D4855&lt;TODAY()-1)),"CRÍTICO",IF(OR(AND(P4855&lt;&gt;"",S4855=""),AND(N4855="REALIZADO",M4855="PENDENTE"),AND(ISNUMBER(R4855),R4855=TODAY())),"ATENÇÃO",IF(N(K4855)=0,"PENDENTE","EM ANDAMENTO"))))))</f>
        <v/>
      </c>
      <c r="C4855" s="3">
        <f>IF(D4855="","",IF(V4855=0,"🟢 OK",IF(D4855&lt;corte,"⚪ HISTÓRICO (sem baixa)",IF(AND(ISNUMBER(R4855),R4855&lt;TODAY()),"🔴 PRAZO VENCIDO",IF(AND(OR(N4855="PENDENTE",N4855="PARCIAL"),D4855&lt;TODAY()-1),"🔴 EMBARQUE ATRASADO",IF(AND(N4855="REALIZADO",M4855="PENDENTE"),"🟡 EMBARCADO SEM FATURAR",IF(AND(P4855&lt;&gt;"",S4855="",OR(Q4855="",R4855="")),"🟡 PENDÊNCIA SEM RESPONSÁVEL/PRAZO",IF(AND(ISNUMBER(R4855),R4855=TODAY()),"🟡 VENCE HOJE",IF(AND(P4855&lt;&gt;"",S4855=""),"🟡 PENDÊNCIA ABERTA",IF(AND(N(J4855)&gt;0,N(K4855)&lt;J4855),"🟡 FALTA EXECUTAR",IF(OR(M4855="PENDENTE",M4855="PARCIAL"),"🟡 FATURAMENTO PENDENTE","🟡 EMBARQUE PENDENTE")))))))))))</f>
        <v/>
      </c>
      <c r="D4855" s="4" t="n"/>
      <c r="E4855" s="5" t="n"/>
      <c r="F4855" s="5" t="n"/>
      <c r="G4855" s="5" t="n"/>
      <c r="H4855" s="5" t="n"/>
      <c r="I4855" s="5" t="n"/>
      <c r="J4855" s="6" t="n"/>
      <c r="K4855" s="6" t="n"/>
      <c r="L4855" s="7">
        <f>IF(OR(D4855="",N(J4855)=0),"",MIN(1,N(K4855)/J4855))</f>
        <v/>
      </c>
      <c r="M4855" s="5" t="n"/>
      <c r="N4855" s="5" t="n"/>
      <c r="O4855" s="5" t="n"/>
      <c r="P4855" s="5" t="n"/>
      <c r="Q4855" s="5" t="n"/>
      <c r="R4855" s="4" t="n"/>
      <c r="S4855" s="4" t="n"/>
      <c r="T4855" s="5" t="n"/>
      <c r="U4855" s="8">
        <f>IF(AND(V4855=1,D4855&lt;&gt;""),IF(D4855&gt;=corte,TODAY()-D4855,""),"")</f>
        <v/>
      </c>
      <c r="V4855" s="8">
        <f>IF(D4855="",0,IF(OR(AND(P4855&lt;&gt;"",S4855=""),AND(N(J4855)&gt;0,N(K4855)&lt;J4855),OR(M4855="PENDENTE",M4855="PARCIAL"),OR(N4855="PENDENTE",N4855="PARCIAL")),1,0))</f>
        <v/>
      </c>
      <c r="W4855" s="8">
        <f>IF(AND(V4855=1,D4855&lt;&gt;""),IF(D4855&gt;=corte,(B4855="CRÍTICO")*1E9+(100000-D4855)*10000+10000-ROW(),""),"")</f>
        <v/>
      </c>
      <c r="X4855" s="8">
        <f>IF(AND(V4855=1,D4855=pas_data,E4855=pas_turno),10000-ROW(),"")</f>
        <v/>
      </c>
    </row>
    <row r="4856">
      <c r="A4856" s="3">
        <f>IF(D4856="","","TT-"&amp;TEXT(ROW()-1,"00000"))</f>
        <v/>
      </c>
      <c r="B4856" s="3">
        <f>IF(D4856="","",IF(V4856=0,"CONCLUÍDO",IF(D4856&lt;corte,"HISTÓRICO",IF(OR(AND(ISNUMBER(R4856),R4856&lt;TODAY()),AND(OR(N4856="PENDENTE",N4856="PARCIAL"),D4856&lt;TODAY()-1)),"CRÍTICO",IF(OR(AND(P4856&lt;&gt;"",S4856=""),AND(N4856="REALIZADO",M4856="PENDENTE"),AND(ISNUMBER(R4856),R4856=TODAY())),"ATENÇÃO",IF(N(K4856)=0,"PENDENTE","EM ANDAMENTO"))))))</f>
        <v/>
      </c>
      <c r="C4856" s="3">
        <f>IF(D4856="","",IF(V4856=0,"🟢 OK",IF(D4856&lt;corte,"⚪ HISTÓRICO (sem baixa)",IF(AND(ISNUMBER(R4856),R4856&lt;TODAY()),"🔴 PRAZO VENCIDO",IF(AND(OR(N4856="PENDENTE",N4856="PARCIAL"),D4856&lt;TODAY()-1),"🔴 EMBARQUE ATRASADO",IF(AND(N4856="REALIZADO",M4856="PENDENTE"),"🟡 EMBARCADO SEM FATURAR",IF(AND(P4856&lt;&gt;"",S4856="",OR(Q4856="",R4856="")),"🟡 PENDÊNCIA SEM RESPONSÁVEL/PRAZO",IF(AND(ISNUMBER(R4856),R4856=TODAY()),"🟡 VENCE HOJE",IF(AND(P4856&lt;&gt;"",S4856=""),"🟡 PENDÊNCIA ABERTA",IF(AND(N(J4856)&gt;0,N(K4856)&lt;J4856),"🟡 FALTA EXECUTAR",IF(OR(M4856="PENDENTE",M4856="PARCIAL"),"🟡 FATURAMENTO PENDENTE","🟡 EMBARQUE PENDENTE")))))))))))</f>
        <v/>
      </c>
      <c r="D4856" s="4" t="n"/>
      <c r="E4856" s="5" t="n"/>
      <c r="F4856" s="5" t="n"/>
      <c r="G4856" s="5" t="n"/>
      <c r="H4856" s="5" t="n"/>
      <c r="I4856" s="5" t="n"/>
      <c r="J4856" s="6" t="n"/>
      <c r="K4856" s="6" t="n"/>
      <c r="L4856" s="7">
        <f>IF(OR(D4856="",N(J4856)=0),"",MIN(1,N(K4856)/J4856))</f>
        <v/>
      </c>
      <c r="M4856" s="5" t="n"/>
      <c r="N4856" s="5" t="n"/>
      <c r="O4856" s="5" t="n"/>
      <c r="P4856" s="5" t="n"/>
      <c r="Q4856" s="5" t="n"/>
      <c r="R4856" s="4" t="n"/>
      <c r="S4856" s="4" t="n"/>
      <c r="T4856" s="5" t="n"/>
      <c r="U4856" s="8">
        <f>IF(AND(V4856=1,D4856&lt;&gt;""),IF(D4856&gt;=corte,TODAY()-D4856,""),"")</f>
        <v/>
      </c>
      <c r="V4856" s="8">
        <f>IF(D4856="",0,IF(OR(AND(P4856&lt;&gt;"",S4856=""),AND(N(J4856)&gt;0,N(K4856)&lt;J4856),OR(M4856="PENDENTE",M4856="PARCIAL"),OR(N4856="PENDENTE",N4856="PARCIAL")),1,0))</f>
        <v/>
      </c>
      <c r="W4856" s="8">
        <f>IF(AND(V4856=1,D4856&lt;&gt;""),IF(D4856&gt;=corte,(B4856="CRÍTICO")*1E9+(100000-D4856)*10000+10000-ROW(),""),"")</f>
        <v/>
      </c>
      <c r="X4856" s="8">
        <f>IF(AND(V4856=1,D4856=pas_data,E4856=pas_turno),10000-ROW(),"")</f>
        <v/>
      </c>
    </row>
    <row r="4857">
      <c r="A4857" s="3">
        <f>IF(D4857="","","TT-"&amp;TEXT(ROW()-1,"00000"))</f>
        <v/>
      </c>
      <c r="B4857" s="3">
        <f>IF(D4857="","",IF(V4857=0,"CONCLUÍDO",IF(D4857&lt;corte,"HISTÓRICO",IF(OR(AND(ISNUMBER(R4857),R4857&lt;TODAY()),AND(OR(N4857="PENDENTE",N4857="PARCIAL"),D4857&lt;TODAY()-1)),"CRÍTICO",IF(OR(AND(P4857&lt;&gt;"",S4857=""),AND(N4857="REALIZADO",M4857="PENDENTE"),AND(ISNUMBER(R4857),R4857=TODAY())),"ATENÇÃO",IF(N(K4857)=0,"PENDENTE","EM ANDAMENTO"))))))</f>
        <v/>
      </c>
      <c r="C4857" s="3">
        <f>IF(D4857="","",IF(V4857=0,"🟢 OK",IF(D4857&lt;corte,"⚪ HISTÓRICO (sem baixa)",IF(AND(ISNUMBER(R4857),R4857&lt;TODAY()),"🔴 PRAZO VENCIDO",IF(AND(OR(N4857="PENDENTE",N4857="PARCIAL"),D4857&lt;TODAY()-1),"🔴 EMBARQUE ATRASADO",IF(AND(N4857="REALIZADO",M4857="PENDENTE"),"🟡 EMBARCADO SEM FATURAR",IF(AND(P4857&lt;&gt;"",S4857="",OR(Q4857="",R4857="")),"🟡 PENDÊNCIA SEM RESPONSÁVEL/PRAZO",IF(AND(ISNUMBER(R4857),R4857=TODAY()),"🟡 VENCE HOJE",IF(AND(P4857&lt;&gt;"",S4857=""),"🟡 PENDÊNCIA ABERTA",IF(AND(N(J4857)&gt;0,N(K4857)&lt;J4857),"🟡 FALTA EXECUTAR",IF(OR(M4857="PENDENTE",M4857="PARCIAL"),"🟡 FATURAMENTO PENDENTE","🟡 EMBARQUE PENDENTE")))))))))))</f>
        <v/>
      </c>
      <c r="D4857" s="4" t="n"/>
      <c r="E4857" s="5" t="n"/>
      <c r="F4857" s="5" t="n"/>
      <c r="G4857" s="5" t="n"/>
      <c r="H4857" s="5" t="n"/>
      <c r="I4857" s="5" t="n"/>
      <c r="J4857" s="6" t="n"/>
      <c r="K4857" s="6" t="n"/>
      <c r="L4857" s="7">
        <f>IF(OR(D4857="",N(J4857)=0),"",MIN(1,N(K4857)/J4857))</f>
        <v/>
      </c>
      <c r="M4857" s="5" t="n"/>
      <c r="N4857" s="5" t="n"/>
      <c r="O4857" s="5" t="n"/>
      <c r="P4857" s="5" t="n"/>
      <c r="Q4857" s="5" t="n"/>
      <c r="R4857" s="4" t="n"/>
      <c r="S4857" s="4" t="n"/>
      <c r="T4857" s="5" t="n"/>
      <c r="U4857" s="8">
        <f>IF(AND(V4857=1,D4857&lt;&gt;""),IF(D4857&gt;=corte,TODAY()-D4857,""),"")</f>
        <v/>
      </c>
      <c r="V4857" s="8">
        <f>IF(D4857="",0,IF(OR(AND(P4857&lt;&gt;"",S4857=""),AND(N(J4857)&gt;0,N(K4857)&lt;J4857),OR(M4857="PENDENTE",M4857="PARCIAL"),OR(N4857="PENDENTE",N4857="PARCIAL")),1,0))</f>
        <v/>
      </c>
      <c r="W4857" s="8">
        <f>IF(AND(V4857=1,D4857&lt;&gt;""),IF(D4857&gt;=corte,(B4857="CRÍTICO")*1E9+(100000-D4857)*10000+10000-ROW(),""),"")</f>
        <v/>
      </c>
      <c r="X4857" s="8">
        <f>IF(AND(V4857=1,D4857=pas_data,E4857=pas_turno),10000-ROW(),"")</f>
        <v/>
      </c>
    </row>
    <row r="4858">
      <c r="A4858" s="3">
        <f>IF(D4858="","","TT-"&amp;TEXT(ROW()-1,"00000"))</f>
        <v/>
      </c>
      <c r="B4858" s="3">
        <f>IF(D4858="","",IF(V4858=0,"CONCLUÍDO",IF(D4858&lt;corte,"HISTÓRICO",IF(OR(AND(ISNUMBER(R4858),R4858&lt;TODAY()),AND(OR(N4858="PENDENTE",N4858="PARCIAL"),D4858&lt;TODAY()-1)),"CRÍTICO",IF(OR(AND(P4858&lt;&gt;"",S4858=""),AND(N4858="REALIZADO",M4858="PENDENTE"),AND(ISNUMBER(R4858),R4858=TODAY())),"ATENÇÃO",IF(N(K4858)=0,"PENDENTE","EM ANDAMENTO"))))))</f>
        <v/>
      </c>
      <c r="C4858" s="3">
        <f>IF(D4858="","",IF(V4858=0,"🟢 OK",IF(D4858&lt;corte,"⚪ HISTÓRICO (sem baixa)",IF(AND(ISNUMBER(R4858),R4858&lt;TODAY()),"🔴 PRAZO VENCIDO",IF(AND(OR(N4858="PENDENTE",N4858="PARCIAL"),D4858&lt;TODAY()-1),"🔴 EMBARQUE ATRASADO",IF(AND(N4858="REALIZADO",M4858="PENDENTE"),"🟡 EMBARCADO SEM FATURAR",IF(AND(P4858&lt;&gt;"",S4858="",OR(Q4858="",R4858="")),"🟡 PENDÊNCIA SEM RESPONSÁVEL/PRAZO",IF(AND(ISNUMBER(R4858),R4858=TODAY()),"🟡 VENCE HOJE",IF(AND(P4858&lt;&gt;"",S4858=""),"🟡 PENDÊNCIA ABERTA",IF(AND(N(J4858)&gt;0,N(K4858)&lt;J4858),"🟡 FALTA EXECUTAR",IF(OR(M4858="PENDENTE",M4858="PARCIAL"),"🟡 FATURAMENTO PENDENTE","🟡 EMBARQUE PENDENTE")))))))))))</f>
        <v/>
      </c>
      <c r="D4858" s="4" t="n"/>
      <c r="E4858" s="5" t="n"/>
      <c r="F4858" s="5" t="n"/>
      <c r="G4858" s="5" t="n"/>
      <c r="H4858" s="5" t="n"/>
      <c r="I4858" s="5" t="n"/>
      <c r="J4858" s="6" t="n"/>
      <c r="K4858" s="6" t="n"/>
      <c r="L4858" s="7">
        <f>IF(OR(D4858="",N(J4858)=0),"",MIN(1,N(K4858)/J4858))</f>
        <v/>
      </c>
      <c r="M4858" s="5" t="n"/>
      <c r="N4858" s="5" t="n"/>
      <c r="O4858" s="5" t="n"/>
      <c r="P4858" s="5" t="n"/>
      <c r="Q4858" s="5" t="n"/>
      <c r="R4858" s="4" t="n"/>
      <c r="S4858" s="4" t="n"/>
      <c r="T4858" s="5" t="n"/>
      <c r="U4858" s="8">
        <f>IF(AND(V4858=1,D4858&lt;&gt;""),IF(D4858&gt;=corte,TODAY()-D4858,""),"")</f>
        <v/>
      </c>
      <c r="V4858" s="8">
        <f>IF(D4858="",0,IF(OR(AND(P4858&lt;&gt;"",S4858=""),AND(N(J4858)&gt;0,N(K4858)&lt;J4858),OR(M4858="PENDENTE",M4858="PARCIAL"),OR(N4858="PENDENTE",N4858="PARCIAL")),1,0))</f>
        <v/>
      </c>
      <c r="W4858" s="8">
        <f>IF(AND(V4858=1,D4858&lt;&gt;""),IF(D4858&gt;=corte,(B4858="CRÍTICO")*1E9+(100000-D4858)*10000+10000-ROW(),""),"")</f>
        <v/>
      </c>
      <c r="X4858" s="8">
        <f>IF(AND(V4858=1,D4858=pas_data,E4858=pas_turno),10000-ROW(),"")</f>
        <v/>
      </c>
    </row>
    <row r="4859">
      <c r="A4859" s="3">
        <f>IF(D4859="","","TT-"&amp;TEXT(ROW()-1,"00000"))</f>
        <v/>
      </c>
      <c r="B4859" s="3">
        <f>IF(D4859="","",IF(V4859=0,"CONCLUÍDO",IF(D4859&lt;corte,"HISTÓRICO",IF(OR(AND(ISNUMBER(R4859),R4859&lt;TODAY()),AND(OR(N4859="PENDENTE",N4859="PARCIAL"),D4859&lt;TODAY()-1)),"CRÍTICO",IF(OR(AND(P4859&lt;&gt;"",S4859=""),AND(N4859="REALIZADO",M4859="PENDENTE"),AND(ISNUMBER(R4859),R4859=TODAY())),"ATENÇÃO",IF(N(K4859)=0,"PENDENTE","EM ANDAMENTO"))))))</f>
        <v/>
      </c>
      <c r="C4859" s="3">
        <f>IF(D4859="","",IF(V4859=0,"🟢 OK",IF(D4859&lt;corte,"⚪ HISTÓRICO (sem baixa)",IF(AND(ISNUMBER(R4859),R4859&lt;TODAY()),"🔴 PRAZO VENCIDO",IF(AND(OR(N4859="PENDENTE",N4859="PARCIAL"),D4859&lt;TODAY()-1),"🔴 EMBARQUE ATRASADO",IF(AND(N4859="REALIZADO",M4859="PENDENTE"),"🟡 EMBARCADO SEM FATURAR",IF(AND(P4859&lt;&gt;"",S4859="",OR(Q4859="",R4859="")),"🟡 PENDÊNCIA SEM RESPONSÁVEL/PRAZO",IF(AND(ISNUMBER(R4859),R4859=TODAY()),"🟡 VENCE HOJE",IF(AND(P4859&lt;&gt;"",S4859=""),"🟡 PENDÊNCIA ABERTA",IF(AND(N(J4859)&gt;0,N(K4859)&lt;J4859),"🟡 FALTA EXECUTAR",IF(OR(M4859="PENDENTE",M4859="PARCIAL"),"🟡 FATURAMENTO PENDENTE","🟡 EMBARQUE PENDENTE")))))))))))</f>
        <v/>
      </c>
      <c r="D4859" s="4" t="n"/>
      <c r="E4859" s="5" t="n"/>
      <c r="F4859" s="5" t="n"/>
      <c r="G4859" s="5" t="n"/>
      <c r="H4859" s="5" t="n"/>
      <c r="I4859" s="5" t="n"/>
      <c r="J4859" s="6" t="n"/>
      <c r="K4859" s="6" t="n"/>
      <c r="L4859" s="7">
        <f>IF(OR(D4859="",N(J4859)=0),"",MIN(1,N(K4859)/J4859))</f>
        <v/>
      </c>
      <c r="M4859" s="5" t="n"/>
      <c r="N4859" s="5" t="n"/>
      <c r="O4859" s="5" t="n"/>
      <c r="P4859" s="5" t="n"/>
      <c r="Q4859" s="5" t="n"/>
      <c r="R4859" s="4" t="n"/>
      <c r="S4859" s="4" t="n"/>
      <c r="T4859" s="5" t="n"/>
      <c r="U4859" s="8">
        <f>IF(AND(V4859=1,D4859&lt;&gt;""),IF(D4859&gt;=corte,TODAY()-D4859,""),"")</f>
        <v/>
      </c>
      <c r="V4859" s="8">
        <f>IF(D4859="",0,IF(OR(AND(P4859&lt;&gt;"",S4859=""),AND(N(J4859)&gt;0,N(K4859)&lt;J4859),OR(M4859="PENDENTE",M4859="PARCIAL"),OR(N4859="PENDENTE",N4859="PARCIAL")),1,0))</f>
        <v/>
      </c>
      <c r="W4859" s="8">
        <f>IF(AND(V4859=1,D4859&lt;&gt;""),IF(D4859&gt;=corte,(B4859="CRÍTICO")*1E9+(100000-D4859)*10000+10000-ROW(),""),"")</f>
        <v/>
      </c>
      <c r="X4859" s="8">
        <f>IF(AND(V4859=1,D4859=pas_data,E4859=pas_turno),10000-ROW(),"")</f>
        <v/>
      </c>
    </row>
    <row r="4860">
      <c r="A4860" s="3">
        <f>IF(D4860="","","TT-"&amp;TEXT(ROW()-1,"00000"))</f>
        <v/>
      </c>
      <c r="B4860" s="3">
        <f>IF(D4860="","",IF(V4860=0,"CONCLUÍDO",IF(D4860&lt;corte,"HISTÓRICO",IF(OR(AND(ISNUMBER(R4860),R4860&lt;TODAY()),AND(OR(N4860="PENDENTE",N4860="PARCIAL"),D4860&lt;TODAY()-1)),"CRÍTICO",IF(OR(AND(P4860&lt;&gt;"",S4860=""),AND(N4860="REALIZADO",M4860="PENDENTE"),AND(ISNUMBER(R4860),R4860=TODAY())),"ATENÇÃO",IF(N(K4860)=0,"PENDENTE","EM ANDAMENTO"))))))</f>
        <v/>
      </c>
      <c r="C4860" s="3">
        <f>IF(D4860="","",IF(V4860=0,"🟢 OK",IF(D4860&lt;corte,"⚪ HISTÓRICO (sem baixa)",IF(AND(ISNUMBER(R4860),R4860&lt;TODAY()),"🔴 PRAZO VENCIDO",IF(AND(OR(N4860="PENDENTE",N4860="PARCIAL"),D4860&lt;TODAY()-1),"🔴 EMBARQUE ATRASADO",IF(AND(N4860="REALIZADO",M4860="PENDENTE"),"🟡 EMBARCADO SEM FATURAR",IF(AND(P4860&lt;&gt;"",S4860="",OR(Q4860="",R4860="")),"🟡 PENDÊNCIA SEM RESPONSÁVEL/PRAZO",IF(AND(ISNUMBER(R4860),R4860=TODAY()),"🟡 VENCE HOJE",IF(AND(P4860&lt;&gt;"",S4860=""),"🟡 PENDÊNCIA ABERTA",IF(AND(N(J4860)&gt;0,N(K4860)&lt;J4860),"🟡 FALTA EXECUTAR",IF(OR(M4860="PENDENTE",M4860="PARCIAL"),"🟡 FATURAMENTO PENDENTE","🟡 EMBARQUE PENDENTE")))))))))))</f>
        <v/>
      </c>
      <c r="D4860" s="4" t="n"/>
      <c r="E4860" s="5" t="n"/>
      <c r="F4860" s="5" t="n"/>
      <c r="G4860" s="5" t="n"/>
      <c r="H4860" s="5" t="n"/>
      <c r="I4860" s="5" t="n"/>
      <c r="J4860" s="6" t="n"/>
      <c r="K4860" s="6" t="n"/>
      <c r="L4860" s="7">
        <f>IF(OR(D4860="",N(J4860)=0),"",MIN(1,N(K4860)/J4860))</f>
        <v/>
      </c>
      <c r="M4860" s="5" t="n"/>
      <c r="N4860" s="5" t="n"/>
      <c r="O4860" s="5" t="n"/>
      <c r="P4860" s="5" t="n"/>
      <c r="Q4860" s="5" t="n"/>
      <c r="R4860" s="4" t="n"/>
      <c r="S4860" s="4" t="n"/>
      <c r="T4860" s="5" t="n"/>
      <c r="U4860" s="8">
        <f>IF(AND(V4860=1,D4860&lt;&gt;""),IF(D4860&gt;=corte,TODAY()-D4860,""),"")</f>
        <v/>
      </c>
      <c r="V4860" s="8">
        <f>IF(D4860="",0,IF(OR(AND(P4860&lt;&gt;"",S4860=""),AND(N(J4860)&gt;0,N(K4860)&lt;J4860),OR(M4860="PENDENTE",M4860="PARCIAL"),OR(N4860="PENDENTE",N4860="PARCIAL")),1,0))</f>
        <v/>
      </c>
      <c r="W4860" s="8">
        <f>IF(AND(V4860=1,D4860&lt;&gt;""),IF(D4860&gt;=corte,(B4860="CRÍTICO")*1E9+(100000-D4860)*10000+10000-ROW(),""),"")</f>
        <v/>
      </c>
      <c r="X4860" s="8">
        <f>IF(AND(V4860=1,D4860=pas_data,E4860=pas_turno),10000-ROW(),"")</f>
        <v/>
      </c>
    </row>
    <row r="4861">
      <c r="A4861" s="3">
        <f>IF(D4861="","","TT-"&amp;TEXT(ROW()-1,"00000"))</f>
        <v/>
      </c>
      <c r="B4861" s="3">
        <f>IF(D4861="","",IF(V4861=0,"CONCLUÍDO",IF(D4861&lt;corte,"HISTÓRICO",IF(OR(AND(ISNUMBER(R4861),R4861&lt;TODAY()),AND(OR(N4861="PENDENTE",N4861="PARCIAL"),D4861&lt;TODAY()-1)),"CRÍTICO",IF(OR(AND(P4861&lt;&gt;"",S4861=""),AND(N4861="REALIZADO",M4861="PENDENTE"),AND(ISNUMBER(R4861),R4861=TODAY())),"ATENÇÃO",IF(N(K4861)=0,"PENDENTE","EM ANDAMENTO"))))))</f>
        <v/>
      </c>
      <c r="C4861" s="3">
        <f>IF(D4861="","",IF(V4861=0,"🟢 OK",IF(D4861&lt;corte,"⚪ HISTÓRICO (sem baixa)",IF(AND(ISNUMBER(R4861),R4861&lt;TODAY()),"🔴 PRAZO VENCIDO",IF(AND(OR(N4861="PENDENTE",N4861="PARCIAL"),D4861&lt;TODAY()-1),"🔴 EMBARQUE ATRASADO",IF(AND(N4861="REALIZADO",M4861="PENDENTE"),"🟡 EMBARCADO SEM FATURAR",IF(AND(P4861&lt;&gt;"",S4861="",OR(Q4861="",R4861="")),"🟡 PENDÊNCIA SEM RESPONSÁVEL/PRAZO",IF(AND(ISNUMBER(R4861),R4861=TODAY()),"🟡 VENCE HOJE",IF(AND(P4861&lt;&gt;"",S4861=""),"🟡 PENDÊNCIA ABERTA",IF(AND(N(J4861)&gt;0,N(K4861)&lt;J4861),"🟡 FALTA EXECUTAR",IF(OR(M4861="PENDENTE",M4861="PARCIAL"),"🟡 FATURAMENTO PENDENTE","🟡 EMBARQUE PENDENTE")))))))))))</f>
        <v/>
      </c>
      <c r="D4861" s="4" t="n"/>
      <c r="E4861" s="5" t="n"/>
      <c r="F4861" s="5" t="n"/>
      <c r="G4861" s="5" t="n"/>
      <c r="H4861" s="5" t="n"/>
      <c r="I4861" s="5" t="n"/>
      <c r="J4861" s="6" t="n"/>
      <c r="K4861" s="6" t="n"/>
      <c r="L4861" s="7">
        <f>IF(OR(D4861="",N(J4861)=0),"",MIN(1,N(K4861)/J4861))</f>
        <v/>
      </c>
      <c r="M4861" s="5" t="n"/>
      <c r="N4861" s="5" t="n"/>
      <c r="O4861" s="5" t="n"/>
      <c r="P4861" s="5" t="n"/>
      <c r="Q4861" s="5" t="n"/>
      <c r="R4861" s="4" t="n"/>
      <c r="S4861" s="4" t="n"/>
      <c r="T4861" s="5" t="n"/>
      <c r="U4861" s="8">
        <f>IF(AND(V4861=1,D4861&lt;&gt;""),IF(D4861&gt;=corte,TODAY()-D4861,""),"")</f>
        <v/>
      </c>
      <c r="V4861" s="8">
        <f>IF(D4861="",0,IF(OR(AND(P4861&lt;&gt;"",S4861=""),AND(N(J4861)&gt;0,N(K4861)&lt;J4861),OR(M4861="PENDENTE",M4861="PARCIAL"),OR(N4861="PENDENTE",N4861="PARCIAL")),1,0))</f>
        <v/>
      </c>
      <c r="W4861" s="8">
        <f>IF(AND(V4861=1,D4861&lt;&gt;""),IF(D4861&gt;=corte,(B4861="CRÍTICO")*1E9+(100000-D4861)*10000+10000-ROW(),""),"")</f>
        <v/>
      </c>
      <c r="X4861" s="8">
        <f>IF(AND(V4861=1,D4861=pas_data,E4861=pas_turno),10000-ROW(),"")</f>
        <v/>
      </c>
    </row>
    <row r="4862">
      <c r="A4862" s="3">
        <f>IF(D4862="","","TT-"&amp;TEXT(ROW()-1,"00000"))</f>
        <v/>
      </c>
      <c r="B4862" s="3">
        <f>IF(D4862="","",IF(V4862=0,"CONCLUÍDO",IF(D4862&lt;corte,"HISTÓRICO",IF(OR(AND(ISNUMBER(R4862),R4862&lt;TODAY()),AND(OR(N4862="PENDENTE",N4862="PARCIAL"),D4862&lt;TODAY()-1)),"CRÍTICO",IF(OR(AND(P4862&lt;&gt;"",S4862=""),AND(N4862="REALIZADO",M4862="PENDENTE"),AND(ISNUMBER(R4862),R4862=TODAY())),"ATENÇÃO",IF(N(K4862)=0,"PENDENTE","EM ANDAMENTO"))))))</f>
        <v/>
      </c>
      <c r="C4862" s="3">
        <f>IF(D4862="","",IF(V4862=0,"🟢 OK",IF(D4862&lt;corte,"⚪ HISTÓRICO (sem baixa)",IF(AND(ISNUMBER(R4862),R4862&lt;TODAY()),"🔴 PRAZO VENCIDO",IF(AND(OR(N4862="PENDENTE",N4862="PARCIAL"),D4862&lt;TODAY()-1),"🔴 EMBARQUE ATRASADO",IF(AND(N4862="REALIZADO",M4862="PENDENTE"),"🟡 EMBARCADO SEM FATURAR",IF(AND(P4862&lt;&gt;"",S4862="",OR(Q4862="",R4862="")),"🟡 PENDÊNCIA SEM RESPONSÁVEL/PRAZO",IF(AND(ISNUMBER(R4862),R4862=TODAY()),"🟡 VENCE HOJE",IF(AND(P4862&lt;&gt;"",S4862=""),"🟡 PENDÊNCIA ABERTA",IF(AND(N(J4862)&gt;0,N(K4862)&lt;J4862),"🟡 FALTA EXECUTAR",IF(OR(M4862="PENDENTE",M4862="PARCIAL"),"🟡 FATURAMENTO PENDENTE","🟡 EMBARQUE PENDENTE")))))))))))</f>
        <v/>
      </c>
      <c r="D4862" s="4" t="n"/>
      <c r="E4862" s="5" t="n"/>
      <c r="F4862" s="5" t="n"/>
      <c r="G4862" s="5" t="n"/>
      <c r="H4862" s="5" t="n"/>
      <c r="I4862" s="5" t="n"/>
      <c r="J4862" s="6" t="n"/>
      <c r="K4862" s="6" t="n"/>
      <c r="L4862" s="7">
        <f>IF(OR(D4862="",N(J4862)=0),"",MIN(1,N(K4862)/J4862))</f>
        <v/>
      </c>
      <c r="M4862" s="5" t="n"/>
      <c r="N4862" s="5" t="n"/>
      <c r="O4862" s="5" t="n"/>
      <c r="P4862" s="5" t="n"/>
      <c r="Q4862" s="5" t="n"/>
      <c r="R4862" s="4" t="n"/>
      <c r="S4862" s="4" t="n"/>
      <c r="T4862" s="5" t="n"/>
      <c r="U4862" s="8">
        <f>IF(AND(V4862=1,D4862&lt;&gt;""),IF(D4862&gt;=corte,TODAY()-D4862,""),"")</f>
        <v/>
      </c>
      <c r="V4862" s="8">
        <f>IF(D4862="",0,IF(OR(AND(P4862&lt;&gt;"",S4862=""),AND(N(J4862)&gt;0,N(K4862)&lt;J4862),OR(M4862="PENDENTE",M4862="PARCIAL"),OR(N4862="PENDENTE",N4862="PARCIAL")),1,0))</f>
        <v/>
      </c>
      <c r="W4862" s="8">
        <f>IF(AND(V4862=1,D4862&lt;&gt;""),IF(D4862&gt;=corte,(B4862="CRÍTICO")*1E9+(100000-D4862)*10000+10000-ROW(),""),"")</f>
        <v/>
      </c>
      <c r="X4862" s="8">
        <f>IF(AND(V4862=1,D4862=pas_data,E4862=pas_turno),10000-ROW(),"")</f>
        <v/>
      </c>
    </row>
    <row r="4863">
      <c r="A4863" s="3">
        <f>IF(D4863="","","TT-"&amp;TEXT(ROW()-1,"00000"))</f>
        <v/>
      </c>
      <c r="B4863" s="3">
        <f>IF(D4863="","",IF(V4863=0,"CONCLUÍDO",IF(D4863&lt;corte,"HISTÓRICO",IF(OR(AND(ISNUMBER(R4863),R4863&lt;TODAY()),AND(OR(N4863="PENDENTE",N4863="PARCIAL"),D4863&lt;TODAY()-1)),"CRÍTICO",IF(OR(AND(P4863&lt;&gt;"",S4863=""),AND(N4863="REALIZADO",M4863="PENDENTE"),AND(ISNUMBER(R4863),R4863=TODAY())),"ATENÇÃO",IF(N(K4863)=0,"PENDENTE","EM ANDAMENTO"))))))</f>
        <v/>
      </c>
      <c r="C4863" s="3">
        <f>IF(D4863="","",IF(V4863=0,"🟢 OK",IF(D4863&lt;corte,"⚪ HISTÓRICO (sem baixa)",IF(AND(ISNUMBER(R4863),R4863&lt;TODAY()),"🔴 PRAZO VENCIDO",IF(AND(OR(N4863="PENDENTE",N4863="PARCIAL"),D4863&lt;TODAY()-1),"🔴 EMBARQUE ATRASADO",IF(AND(N4863="REALIZADO",M4863="PENDENTE"),"🟡 EMBARCADO SEM FATURAR",IF(AND(P4863&lt;&gt;"",S4863="",OR(Q4863="",R4863="")),"🟡 PENDÊNCIA SEM RESPONSÁVEL/PRAZO",IF(AND(ISNUMBER(R4863),R4863=TODAY()),"🟡 VENCE HOJE",IF(AND(P4863&lt;&gt;"",S4863=""),"🟡 PENDÊNCIA ABERTA",IF(AND(N(J4863)&gt;0,N(K4863)&lt;J4863),"🟡 FALTA EXECUTAR",IF(OR(M4863="PENDENTE",M4863="PARCIAL"),"🟡 FATURAMENTO PENDENTE","🟡 EMBARQUE PENDENTE")))))))))))</f>
        <v/>
      </c>
      <c r="D4863" s="4" t="n"/>
      <c r="E4863" s="5" t="n"/>
      <c r="F4863" s="5" t="n"/>
      <c r="G4863" s="5" t="n"/>
      <c r="H4863" s="5" t="n"/>
      <c r="I4863" s="5" t="n"/>
      <c r="J4863" s="6" t="n"/>
      <c r="K4863" s="6" t="n"/>
      <c r="L4863" s="7">
        <f>IF(OR(D4863="",N(J4863)=0),"",MIN(1,N(K4863)/J4863))</f>
        <v/>
      </c>
      <c r="M4863" s="5" t="n"/>
      <c r="N4863" s="5" t="n"/>
      <c r="O4863" s="5" t="n"/>
      <c r="P4863" s="5" t="n"/>
      <c r="Q4863" s="5" t="n"/>
      <c r="R4863" s="4" t="n"/>
      <c r="S4863" s="4" t="n"/>
      <c r="T4863" s="5" t="n"/>
      <c r="U4863" s="8">
        <f>IF(AND(V4863=1,D4863&lt;&gt;""),IF(D4863&gt;=corte,TODAY()-D4863,""),"")</f>
        <v/>
      </c>
      <c r="V4863" s="8">
        <f>IF(D4863="",0,IF(OR(AND(P4863&lt;&gt;"",S4863=""),AND(N(J4863)&gt;0,N(K4863)&lt;J4863),OR(M4863="PENDENTE",M4863="PARCIAL"),OR(N4863="PENDENTE",N4863="PARCIAL")),1,0))</f>
        <v/>
      </c>
      <c r="W4863" s="8">
        <f>IF(AND(V4863=1,D4863&lt;&gt;""),IF(D4863&gt;=corte,(B4863="CRÍTICO")*1E9+(100000-D4863)*10000+10000-ROW(),""),"")</f>
        <v/>
      </c>
      <c r="X4863" s="8">
        <f>IF(AND(V4863=1,D4863=pas_data,E4863=pas_turno),10000-ROW(),"")</f>
        <v/>
      </c>
    </row>
    <row r="4864">
      <c r="A4864" s="3">
        <f>IF(D4864="","","TT-"&amp;TEXT(ROW()-1,"00000"))</f>
        <v/>
      </c>
      <c r="B4864" s="3">
        <f>IF(D4864="","",IF(V4864=0,"CONCLUÍDO",IF(D4864&lt;corte,"HISTÓRICO",IF(OR(AND(ISNUMBER(R4864),R4864&lt;TODAY()),AND(OR(N4864="PENDENTE",N4864="PARCIAL"),D4864&lt;TODAY()-1)),"CRÍTICO",IF(OR(AND(P4864&lt;&gt;"",S4864=""),AND(N4864="REALIZADO",M4864="PENDENTE"),AND(ISNUMBER(R4864),R4864=TODAY())),"ATENÇÃO",IF(N(K4864)=0,"PENDENTE","EM ANDAMENTO"))))))</f>
        <v/>
      </c>
      <c r="C4864" s="3">
        <f>IF(D4864="","",IF(V4864=0,"🟢 OK",IF(D4864&lt;corte,"⚪ HISTÓRICO (sem baixa)",IF(AND(ISNUMBER(R4864),R4864&lt;TODAY()),"🔴 PRAZO VENCIDO",IF(AND(OR(N4864="PENDENTE",N4864="PARCIAL"),D4864&lt;TODAY()-1),"🔴 EMBARQUE ATRASADO",IF(AND(N4864="REALIZADO",M4864="PENDENTE"),"🟡 EMBARCADO SEM FATURAR",IF(AND(P4864&lt;&gt;"",S4864="",OR(Q4864="",R4864="")),"🟡 PENDÊNCIA SEM RESPONSÁVEL/PRAZO",IF(AND(ISNUMBER(R4864),R4864=TODAY()),"🟡 VENCE HOJE",IF(AND(P4864&lt;&gt;"",S4864=""),"🟡 PENDÊNCIA ABERTA",IF(AND(N(J4864)&gt;0,N(K4864)&lt;J4864),"🟡 FALTA EXECUTAR",IF(OR(M4864="PENDENTE",M4864="PARCIAL"),"🟡 FATURAMENTO PENDENTE","🟡 EMBARQUE PENDENTE")))))))))))</f>
        <v/>
      </c>
      <c r="D4864" s="4" t="n"/>
      <c r="E4864" s="5" t="n"/>
      <c r="F4864" s="5" t="n"/>
      <c r="G4864" s="5" t="n"/>
      <c r="H4864" s="5" t="n"/>
      <c r="I4864" s="5" t="n"/>
      <c r="J4864" s="6" t="n"/>
      <c r="K4864" s="6" t="n"/>
      <c r="L4864" s="7">
        <f>IF(OR(D4864="",N(J4864)=0),"",MIN(1,N(K4864)/J4864))</f>
        <v/>
      </c>
      <c r="M4864" s="5" t="n"/>
      <c r="N4864" s="5" t="n"/>
      <c r="O4864" s="5" t="n"/>
      <c r="P4864" s="5" t="n"/>
      <c r="Q4864" s="5" t="n"/>
      <c r="R4864" s="4" t="n"/>
      <c r="S4864" s="4" t="n"/>
      <c r="T4864" s="5" t="n"/>
      <c r="U4864" s="8">
        <f>IF(AND(V4864=1,D4864&lt;&gt;""),IF(D4864&gt;=corte,TODAY()-D4864,""),"")</f>
        <v/>
      </c>
      <c r="V4864" s="8">
        <f>IF(D4864="",0,IF(OR(AND(P4864&lt;&gt;"",S4864=""),AND(N(J4864)&gt;0,N(K4864)&lt;J4864),OR(M4864="PENDENTE",M4864="PARCIAL"),OR(N4864="PENDENTE",N4864="PARCIAL")),1,0))</f>
        <v/>
      </c>
      <c r="W4864" s="8">
        <f>IF(AND(V4864=1,D4864&lt;&gt;""),IF(D4864&gt;=corte,(B4864="CRÍTICO")*1E9+(100000-D4864)*10000+10000-ROW(),""),"")</f>
        <v/>
      </c>
      <c r="X4864" s="8">
        <f>IF(AND(V4864=1,D4864=pas_data,E4864=pas_turno),10000-ROW(),"")</f>
        <v/>
      </c>
    </row>
    <row r="4865">
      <c r="A4865" s="3">
        <f>IF(D4865="","","TT-"&amp;TEXT(ROW()-1,"00000"))</f>
        <v/>
      </c>
      <c r="B4865" s="3">
        <f>IF(D4865="","",IF(V4865=0,"CONCLUÍDO",IF(D4865&lt;corte,"HISTÓRICO",IF(OR(AND(ISNUMBER(R4865),R4865&lt;TODAY()),AND(OR(N4865="PENDENTE",N4865="PARCIAL"),D4865&lt;TODAY()-1)),"CRÍTICO",IF(OR(AND(P4865&lt;&gt;"",S4865=""),AND(N4865="REALIZADO",M4865="PENDENTE"),AND(ISNUMBER(R4865),R4865=TODAY())),"ATENÇÃO",IF(N(K4865)=0,"PENDENTE","EM ANDAMENTO"))))))</f>
        <v/>
      </c>
      <c r="C4865" s="3">
        <f>IF(D4865="","",IF(V4865=0,"🟢 OK",IF(D4865&lt;corte,"⚪ HISTÓRICO (sem baixa)",IF(AND(ISNUMBER(R4865),R4865&lt;TODAY()),"🔴 PRAZO VENCIDO",IF(AND(OR(N4865="PENDENTE",N4865="PARCIAL"),D4865&lt;TODAY()-1),"🔴 EMBARQUE ATRASADO",IF(AND(N4865="REALIZADO",M4865="PENDENTE"),"🟡 EMBARCADO SEM FATURAR",IF(AND(P4865&lt;&gt;"",S4865="",OR(Q4865="",R4865="")),"🟡 PENDÊNCIA SEM RESPONSÁVEL/PRAZO",IF(AND(ISNUMBER(R4865),R4865=TODAY()),"🟡 VENCE HOJE",IF(AND(P4865&lt;&gt;"",S4865=""),"🟡 PENDÊNCIA ABERTA",IF(AND(N(J4865)&gt;0,N(K4865)&lt;J4865),"🟡 FALTA EXECUTAR",IF(OR(M4865="PENDENTE",M4865="PARCIAL"),"🟡 FATURAMENTO PENDENTE","🟡 EMBARQUE PENDENTE")))))))))))</f>
        <v/>
      </c>
      <c r="D4865" s="4" t="n"/>
      <c r="E4865" s="5" t="n"/>
      <c r="F4865" s="5" t="n"/>
      <c r="G4865" s="5" t="n"/>
      <c r="H4865" s="5" t="n"/>
      <c r="I4865" s="5" t="n"/>
      <c r="J4865" s="6" t="n"/>
      <c r="K4865" s="6" t="n"/>
      <c r="L4865" s="7">
        <f>IF(OR(D4865="",N(J4865)=0),"",MIN(1,N(K4865)/J4865))</f>
        <v/>
      </c>
      <c r="M4865" s="5" t="n"/>
      <c r="N4865" s="5" t="n"/>
      <c r="O4865" s="5" t="n"/>
      <c r="P4865" s="5" t="n"/>
      <c r="Q4865" s="5" t="n"/>
      <c r="R4865" s="4" t="n"/>
      <c r="S4865" s="4" t="n"/>
      <c r="T4865" s="5" t="n"/>
      <c r="U4865" s="8">
        <f>IF(AND(V4865=1,D4865&lt;&gt;""),IF(D4865&gt;=corte,TODAY()-D4865,""),"")</f>
        <v/>
      </c>
      <c r="V4865" s="8">
        <f>IF(D4865="",0,IF(OR(AND(P4865&lt;&gt;"",S4865=""),AND(N(J4865)&gt;0,N(K4865)&lt;J4865),OR(M4865="PENDENTE",M4865="PARCIAL"),OR(N4865="PENDENTE",N4865="PARCIAL")),1,0))</f>
        <v/>
      </c>
      <c r="W4865" s="8">
        <f>IF(AND(V4865=1,D4865&lt;&gt;""),IF(D4865&gt;=corte,(B4865="CRÍTICO")*1E9+(100000-D4865)*10000+10000-ROW(),""),"")</f>
        <v/>
      </c>
      <c r="X4865" s="8">
        <f>IF(AND(V4865=1,D4865=pas_data,E4865=pas_turno),10000-ROW(),"")</f>
        <v/>
      </c>
    </row>
    <row r="4866">
      <c r="A4866" s="3">
        <f>IF(D4866="","","TT-"&amp;TEXT(ROW()-1,"00000"))</f>
        <v/>
      </c>
      <c r="B4866" s="3">
        <f>IF(D4866="","",IF(V4866=0,"CONCLUÍDO",IF(D4866&lt;corte,"HISTÓRICO",IF(OR(AND(ISNUMBER(R4866),R4866&lt;TODAY()),AND(OR(N4866="PENDENTE",N4866="PARCIAL"),D4866&lt;TODAY()-1)),"CRÍTICO",IF(OR(AND(P4866&lt;&gt;"",S4866=""),AND(N4866="REALIZADO",M4866="PENDENTE"),AND(ISNUMBER(R4866),R4866=TODAY())),"ATENÇÃO",IF(N(K4866)=0,"PENDENTE","EM ANDAMENTO"))))))</f>
        <v/>
      </c>
      <c r="C4866" s="3">
        <f>IF(D4866="","",IF(V4866=0,"🟢 OK",IF(D4866&lt;corte,"⚪ HISTÓRICO (sem baixa)",IF(AND(ISNUMBER(R4866),R4866&lt;TODAY()),"🔴 PRAZO VENCIDO",IF(AND(OR(N4866="PENDENTE",N4866="PARCIAL"),D4866&lt;TODAY()-1),"🔴 EMBARQUE ATRASADO",IF(AND(N4866="REALIZADO",M4866="PENDENTE"),"🟡 EMBARCADO SEM FATURAR",IF(AND(P4866&lt;&gt;"",S4866="",OR(Q4866="",R4866="")),"🟡 PENDÊNCIA SEM RESPONSÁVEL/PRAZO",IF(AND(ISNUMBER(R4866),R4866=TODAY()),"🟡 VENCE HOJE",IF(AND(P4866&lt;&gt;"",S4866=""),"🟡 PENDÊNCIA ABERTA",IF(AND(N(J4866)&gt;0,N(K4866)&lt;J4866),"🟡 FALTA EXECUTAR",IF(OR(M4866="PENDENTE",M4866="PARCIAL"),"🟡 FATURAMENTO PENDENTE","🟡 EMBARQUE PENDENTE")))))))))))</f>
        <v/>
      </c>
      <c r="D4866" s="4" t="n"/>
      <c r="E4866" s="5" t="n"/>
      <c r="F4866" s="5" t="n"/>
      <c r="G4866" s="5" t="n"/>
      <c r="H4866" s="5" t="n"/>
      <c r="I4866" s="5" t="n"/>
      <c r="J4866" s="6" t="n"/>
      <c r="K4866" s="6" t="n"/>
      <c r="L4866" s="7">
        <f>IF(OR(D4866="",N(J4866)=0),"",MIN(1,N(K4866)/J4866))</f>
        <v/>
      </c>
      <c r="M4866" s="5" t="n"/>
      <c r="N4866" s="5" t="n"/>
      <c r="O4866" s="5" t="n"/>
      <c r="P4866" s="5" t="n"/>
      <c r="Q4866" s="5" t="n"/>
      <c r="R4866" s="4" t="n"/>
      <c r="S4866" s="4" t="n"/>
      <c r="T4866" s="5" t="n"/>
      <c r="U4866" s="8">
        <f>IF(AND(V4866=1,D4866&lt;&gt;""),IF(D4866&gt;=corte,TODAY()-D4866,""),"")</f>
        <v/>
      </c>
      <c r="V4866" s="8">
        <f>IF(D4866="",0,IF(OR(AND(P4866&lt;&gt;"",S4866=""),AND(N(J4866)&gt;0,N(K4866)&lt;J4866),OR(M4866="PENDENTE",M4866="PARCIAL"),OR(N4866="PENDENTE",N4866="PARCIAL")),1,0))</f>
        <v/>
      </c>
      <c r="W4866" s="8">
        <f>IF(AND(V4866=1,D4866&lt;&gt;""),IF(D4866&gt;=corte,(B4866="CRÍTICO")*1E9+(100000-D4866)*10000+10000-ROW(),""),"")</f>
        <v/>
      </c>
      <c r="X4866" s="8">
        <f>IF(AND(V4866=1,D4866=pas_data,E4866=pas_turno),10000-ROW(),"")</f>
        <v/>
      </c>
    </row>
    <row r="4867">
      <c r="A4867" s="3">
        <f>IF(D4867="","","TT-"&amp;TEXT(ROW()-1,"00000"))</f>
        <v/>
      </c>
      <c r="B4867" s="3">
        <f>IF(D4867="","",IF(V4867=0,"CONCLUÍDO",IF(D4867&lt;corte,"HISTÓRICO",IF(OR(AND(ISNUMBER(R4867),R4867&lt;TODAY()),AND(OR(N4867="PENDENTE",N4867="PARCIAL"),D4867&lt;TODAY()-1)),"CRÍTICO",IF(OR(AND(P4867&lt;&gt;"",S4867=""),AND(N4867="REALIZADO",M4867="PENDENTE"),AND(ISNUMBER(R4867),R4867=TODAY())),"ATENÇÃO",IF(N(K4867)=0,"PENDENTE","EM ANDAMENTO"))))))</f>
        <v/>
      </c>
      <c r="C4867" s="3">
        <f>IF(D4867="","",IF(V4867=0,"🟢 OK",IF(D4867&lt;corte,"⚪ HISTÓRICO (sem baixa)",IF(AND(ISNUMBER(R4867),R4867&lt;TODAY()),"🔴 PRAZO VENCIDO",IF(AND(OR(N4867="PENDENTE",N4867="PARCIAL"),D4867&lt;TODAY()-1),"🔴 EMBARQUE ATRASADO",IF(AND(N4867="REALIZADO",M4867="PENDENTE"),"🟡 EMBARCADO SEM FATURAR",IF(AND(P4867&lt;&gt;"",S4867="",OR(Q4867="",R4867="")),"🟡 PENDÊNCIA SEM RESPONSÁVEL/PRAZO",IF(AND(ISNUMBER(R4867),R4867=TODAY()),"🟡 VENCE HOJE",IF(AND(P4867&lt;&gt;"",S4867=""),"🟡 PENDÊNCIA ABERTA",IF(AND(N(J4867)&gt;0,N(K4867)&lt;J4867),"🟡 FALTA EXECUTAR",IF(OR(M4867="PENDENTE",M4867="PARCIAL"),"🟡 FATURAMENTO PENDENTE","🟡 EMBARQUE PENDENTE")))))))))))</f>
        <v/>
      </c>
      <c r="D4867" s="4" t="n"/>
      <c r="E4867" s="5" t="n"/>
      <c r="F4867" s="5" t="n"/>
      <c r="G4867" s="5" t="n"/>
      <c r="H4867" s="5" t="n"/>
      <c r="I4867" s="5" t="n"/>
      <c r="J4867" s="6" t="n"/>
      <c r="K4867" s="6" t="n"/>
      <c r="L4867" s="7">
        <f>IF(OR(D4867="",N(J4867)=0),"",MIN(1,N(K4867)/J4867))</f>
        <v/>
      </c>
      <c r="M4867" s="5" t="n"/>
      <c r="N4867" s="5" t="n"/>
      <c r="O4867" s="5" t="n"/>
      <c r="P4867" s="5" t="n"/>
      <c r="Q4867" s="5" t="n"/>
      <c r="R4867" s="4" t="n"/>
      <c r="S4867" s="4" t="n"/>
      <c r="T4867" s="5" t="n"/>
      <c r="U4867" s="8">
        <f>IF(AND(V4867=1,D4867&lt;&gt;""),IF(D4867&gt;=corte,TODAY()-D4867,""),"")</f>
        <v/>
      </c>
      <c r="V4867" s="8">
        <f>IF(D4867="",0,IF(OR(AND(P4867&lt;&gt;"",S4867=""),AND(N(J4867)&gt;0,N(K4867)&lt;J4867),OR(M4867="PENDENTE",M4867="PARCIAL"),OR(N4867="PENDENTE",N4867="PARCIAL")),1,0))</f>
        <v/>
      </c>
      <c r="W4867" s="8">
        <f>IF(AND(V4867=1,D4867&lt;&gt;""),IF(D4867&gt;=corte,(B4867="CRÍTICO")*1E9+(100000-D4867)*10000+10000-ROW(),""),"")</f>
        <v/>
      </c>
      <c r="X4867" s="8">
        <f>IF(AND(V4867=1,D4867=pas_data,E4867=pas_turno),10000-ROW(),"")</f>
        <v/>
      </c>
    </row>
    <row r="4868">
      <c r="A4868" s="3">
        <f>IF(D4868="","","TT-"&amp;TEXT(ROW()-1,"00000"))</f>
        <v/>
      </c>
      <c r="B4868" s="3">
        <f>IF(D4868="","",IF(V4868=0,"CONCLUÍDO",IF(D4868&lt;corte,"HISTÓRICO",IF(OR(AND(ISNUMBER(R4868),R4868&lt;TODAY()),AND(OR(N4868="PENDENTE",N4868="PARCIAL"),D4868&lt;TODAY()-1)),"CRÍTICO",IF(OR(AND(P4868&lt;&gt;"",S4868=""),AND(N4868="REALIZADO",M4868="PENDENTE"),AND(ISNUMBER(R4868),R4868=TODAY())),"ATENÇÃO",IF(N(K4868)=0,"PENDENTE","EM ANDAMENTO"))))))</f>
        <v/>
      </c>
      <c r="C4868" s="3">
        <f>IF(D4868="","",IF(V4868=0,"🟢 OK",IF(D4868&lt;corte,"⚪ HISTÓRICO (sem baixa)",IF(AND(ISNUMBER(R4868),R4868&lt;TODAY()),"🔴 PRAZO VENCIDO",IF(AND(OR(N4868="PENDENTE",N4868="PARCIAL"),D4868&lt;TODAY()-1),"🔴 EMBARQUE ATRASADO",IF(AND(N4868="REALIZADO",M4868="PENDENTE"),"🟡 EMBARCADO SEM FATURAR",IF(AND(P4868&lt;&gt;"",S4868="",OR(Q4868="",R4868="")),"🟡 PENDÊNCIA SEM RESPONSÁVEL/PRAZO",IF(AND(ISNUMBER(R4868),R4868=TODAY()),"🟡 VENCE HOJE",IF(AND(P4868&lt;&gt;"",S4868=""),"🟡 PENDÊNCIA ABERTA",IF(AND(N(J4868)&gt;0,N(K4868)&lt;J4868),"🟡 FALTA EXECUTAR",IF(OR(M4868="PENDENTE",M4868="PARCIAL"),"🟡 FATURAMENTO PENDENTE","🟡 EMBARQUE PENDENTE")))))))))))</f>
        <v/>
      </c>
      <c r="D4868" s="4" t="n"/>
      <c r="E4868" s="5" t="n"/>
      <c r="F4868" s="5" t="n"/>
      <c r="G4868" s="5" t="n"/>
      <c r="H4868" s="5" t="n"/>
      <c r="I4868" s="5" t="n"/>
      <c r="J4868" s="6" t="n"/>
      <c r="K4868" s="6" t="n"/>
      <c r="L4868" s="7">
        <f>IF(OR(D4868="",N(J4868)=0),"",MIN(1,N(K4868)/J4868))</f>
        <v/>
      </c>
      <c r="M4868" s="5" t="n"/>
      <c r="N4868" s="5" t="n"/>
      <c r="O4868" s="5" t="n"/>
      <c r="P4868" s="5" t="n"/>
      <c r="Q4868" s="5" t="n"/>
      <c r="R4868" s="4" t="n"/>
      <c r="S4868" s="4" t="n"/>
      <c r="T4868" s="5" t="n"/>
      <c r="U4868" s="8">
        <f>IF(AND(V4868=1,D4868&lt;&gt;""),IF(D4868&gt;=corte,TODAY()-D4868,""),"")</f>
        <v/>
      </c>
      <c r="V4868" s="8">
        <f>IF(D4868="",0,IF(OR(AND(P4868&lt;&gt;"",S4868=""),AND(N(J4868)&gt;0,N(K4868)&lt;J4868),OR(M4868="PENDENTE",M4868="PARCIAL"),OR(N4868="PENDENTE",N4868="PARCIAL")),1,0))</f>
        <v/>
      </c>
      <c r="W4868" s="8">
        <f>IF(AND(V4868=1,D4868&lt;&gt;""),IF(D4868&gt;=corte,(B4868="CRÍTICO")*1E9+(100000-D4868)*10000+10000-ROW(),""),"")</f>
        <v/>
      </c>
      <c r="X4868" s="8">
        <f>IF(AND(V4868=1,D4868=pas_data,E4868=pas_turno),10000-ROW(),"")</f>
        <v/>
      </c>
    </row>
    <row r="4869">
      <c r="A4869" s="3">
        <f>IF(D4869="","","TT-"&amp;TEXT(ROW()-1,"00000"))</f>
        <v/>
      </c>
      <c r="B4869" s="3">
        <f>IF(D4869="","",IF(V4869=0,"CONCLUÍDO",IF(D4869&lt;corte,"HISTÓRICO",IF(OR(AND(ISNUMBER(R4869),R4869&lt;TODAY()),AND(OR(N4869="PENDENTE",N4869="PARCIAL"),D4869&lt;TODAY()-1)),"CRÍTICO",IF(OR(AND(P4869&lt;&gt;"",S4869=""),AND(N4869="REALIZADO",M4869="PENDENTE"),AND(ISNUMBER(R4869),R4869=TODAY())),"ATENÇÃO",IF(N(K4869)=0,"PENDENTE","EM ANDAMENTO"))))))</f>
        <v/>
      </c>
      <c r="C4869" s="3">
        <f>IF(D4869="","",IF(V4869=0,"🟢 OK",IF(D4869&lt;corte,"⚪ HISTÓRICO (sem baixa)",IF(AND(ISNUMBER(R4869),R4869&lt;TODAY()),"🔴 PRAZO VENCIDO",IF(AND(OR(N4869="PENDENTE",N4869="PARCIAL"),D4869&lt;TODAY()-1),"🔴 EMBARQUE ATRASADO",IF(AND(N4869="REALIZADO",M4869="PENDENTE"),"🟡 EMBARCADO SEM FATURAR",IF(AND(P4869&lt;&gt;"",S4869="",OR(Q4869="",R4869="")),"🟡 PENDÊNCIA SEM RESPONSÁVEL/PRAZO",IF(AND(ISNUMBER(R4869),R4869=TODAY()),"🟡 VENCE HOJE",IF(AND(P4869&lt;&gt;"",S4869=""),"🟡 PENDÊNCIA ABERTA",IF(AND(N(J4869)&gt;0,N(K4869)&lt;J4869),"🟡 FALTA EXECUTAR",IF(OR(M4869="PENDENTE",M4869="PARCIAL"),"🟡 FATURAMENTO PENDENTE","🟡 EMBARQUE PENDENTE")))))))))))</f>
        <v/>
      </c>
      <c r="D4869" s="4" t="n"/>
      <c r="E4869" s="5" t="n"/>
      <c r="F4869" s="5" t="n"/>
      <c r="G4869" s="5" t="n"/>
      <c r="H4869" s="5" t="n"/>
      <c r="I4869" s="5" t="n"/>
      <c r="J4869" s="6" t="n"/>
      <c r="K4869" s="6" t="n"/>
      <c r="L4869" s="7">
        <f>IF(OR(D4869="",N(J4869)=0),"",MIN(1,N(K4869)/J4869))</f>
        <v/>
      </c>
      <c r="M4869" s="5" t="n"/>
      <c r="N4869" s="5" t="n"/>
      <c r="O4869" s="5" t="n"/>
      <c r="P4869" s="5" t="n"/>
      <c r="Q4869" s="5" t="n"/>
      <c r="R4869" s="4" t="n"/>
      <c r="S4869" s="4" t="n"/>
      <c r="T4869" s="5" t="n"/>
      <c r="U4869" s="8">
        <f>IF(AND(V4869=1,D4869&lt;&gt;""),IF(D4869&gt;=corte,TODAY()-D4869,""),"")</f>
        <v/>
      </c>
      <c r="V4869" s="8">
        <f>IF(D4869="",0,IF(OR(AND(P4869&lt;&gt;"",S4869=""),AND(N(J4869)&gt;0,N(K4869)&lt;J4869),OR(M4869="PENDENTE",M4869="PARCIAL"),OR(N4869="PENDENTE",N4869="PARCIAL")),1,0))</f>
        <v/>
      </c>
      <c r="W4869" s="8">
        <f>IF(AND(V4869=1,D4869&lt;&gt;""),IF(D4869&gt;=corte,(B4869="CRÍTICO")*1E9+(100000-D4869)*10000+10000-ROW(),""),"")</f>
        <v/>
      </c>
      <c r="X4869" s="8">
        <f>IF(AND(V4869=1,D4869=pas_data,E4869=pas_turno),10000-ROW(),"")</f>
        <v/>
      </c>
    </row>
    <row r="4870">
      <c r="A4870" s="3">
        <f>IF(D4870="","","TT-"&amp;TEXT(ROW()-1,"00000"))</f>
        <v/>
      </c>
      <c r="B4870" s="3">
        <f>IF(D4870="","",IF(V4870=0,"CONCLUÍDO",IF(D4870&lt;corte,"HISTÓRICO",IF(OR(AND(ISNUMBER(R4870),R4870&lt;TODAY()),AND(OR(N4870="PENDENTE",N4870="PARCIAL"),D4870&lt;TODAY()-1)),"CRÍTICO",IF(OR(AND(P4870&lt;&gt;"",S4870=""),AND(N4870="REALIZADO",M4870="PENDENTE"),AND(ISNUMBER(R4870),R4870=TODAY())),"ATENÇÃO",IF(N(K4870)=0,"PENDENTE","EM ANDAMENTO"))))))</f>
        <v/>
      </c>
      <c r="C4870" s="3">
        <f>IF(D4870="","",IF(V4870=0,"🟢 OK",IF(D4870&lt;corte,"⚪ HISTÓRICO (sem baixa)",IF(AND(ISNUMBER(R4870),R4870&lt;TODAY()),"🔴 PRAZO VENCIDO",IF(AND(OR(N4870="PENDENTE",N4870="PARCIAL"),D4870&lt;TODAY()-1),"🔴 EMBARQUE ATRASADO",IF(AND(N4870="REALIZADO",M4870="PENDENTE"),"🟡 EMBARCADO SEM FATURAR",IF(AND(P4870&lt;&gt;"",S4870="",OR(Q4870="",R4870="")),"🟡 PENDÊNCIA SEM RESPONSÁVEL/PRAZO",IF(AND(ISNUMBER(R4870),R4870=TODAY()),"🟡 VENCE HOJE",IF(AND(P4870&lt;&gt;"",S4870=""),"🟡 PENDÊNCIA ABERTA",IF(AND(N(J4870)&gt;0,N(K4870)&lt;J4870),"🟡 FALTA EXECUTAR",IF(OR(M4870="PENDENTE",M4870="PARCIAL"),"🟡 FATURAMENTO PENDENTE","🟡 EMBARQUE PENDENTE")))))))))))</f>
        <v/>
      </c>
      <c r="D4870" s="4" t="n"/>
      <c r="E4870" s="5" t="n"/>
      <c r="F4870" s="5" t="n"/>
      <c r="G4870" s="5" t="n"/>
      <c r="H4870" s="5" t="n"/>
      <c r="I4870" s="5" t="n"/>
      <c r="J4870" s="6" t="n"/>
      <c r="K4870" s="6" t="n"/>
      <c r="L4870" s="7">
        <f>IF(OR(D4870="",N(J4870)=0),"",MIN(1,N(K4870)/J4870))</f>
        <v/>
      </c>
      <c r="M4870" s="5" t="n"/>
      <c r="N4870" s="5" t="n"/>
      <c r="O4870" s="5" t="n"/>
      <c r="P4870" s="5" t="n"/>
      <c r="Q4870" s="5" t="n"/>
      <c r="R4870" s="4" t="n"/>
      <c r="S4870" s="4" t="n"/>
      <c r="T4870" s="5" t="n"/>
      <c r="U4870" s="8">
        <f>IF(AND(V4870=1,D4870&lt;&gt;""),IF(D4870&gt;=corte,TODAY()-D4870,""),"")</f>
        <v/>
      </c>
      <c r="V4870" s="8">
        <f>IF(D4870="",0,IF(OR(AND(P4870&lt;&gt;"",S4870=""),AND(N(J4870)&gt;0,N(K4870)&lt;J4870),OR(M4870="PENDENTE",M4870="PARCIAL"),OR(N4870="PENDENTE",N4870="PARCIAL")),1,0))</f>
        <v/>
      </c>
      <c r="W4870" s="8">
        <f>IF(AND(V4870=1,D4870&lt;&gt;""),IF(D4870&gt;=corte,(B4870="CRÍTICO")*1E9+(100000-D4870)*10000+10000-ROW(),""),"")</f>
        <v/>
      </c>
      <c r="X4870" s="8">
        <f>IF(AND(V4870=1,D4870=pas_data,E4870=pas_turno),10000-ROW(),"")</f>
        <v/>
      </c>
    </row>
    <row r="4871">
      <c r="A4871" s="3">
        <f>IF(D4871="","","TT-"&amp;TEXT(ROW()-1,"00000"))</f>
        <v/>
      </c>
      <c r="B4871" s="3">
        <f>IF(D4871="","",IF(V4871=0,"CONCLUÍDO",IF(D4871&lt;corte,"HISTÓRICO",IF(OR(AND(ISNUMBER(R4871),R4871&lt;TODAY()),AND(OR(N4871="PENDENTE",N4871="PARCIAL"),D4871&lt;TODAY()-1)),"CRÍTICO",IF(OR(AND(P4871&lt;&gt;"",S4871=""),AND(N4871="REALIZADO",M4871="PENDENTE"),AND(ISNUMBER(R4871),R4871=TODAY())),"ATENÇÃO",IF(N(K4871)=0,"PENDENTE","EM ANDAMENTO"))))))</f>
        <v/>
      </c>
      <c r="C4871" s="3">
        <f>IF(D4871="","",IF(V4871=0,"🟢 OK",IF(D4871&lt;corte,"⚪ HISTÓRICO (sem baixa)",IF(AND(ISNUMBER(R4871),R4871&lt;TODAY()),"🔴 PRAZO VENCIDO",IF(AND(OR(N4871="PENDENTE",N4871="PARCIAL"),D4871&lt;TODAY()-1),"🔴 EMBARQUE ATRASADO",IF(AND(N4871="REALIZADO",M4871="PENDENTE"),"🟡 EMBARCADO SEM FATURAR",IF(AND(P4871&lt;&gt;"",S4871="",OR(Q4871="",R4871="")),"🟡 PENDÊNCIA SEM RESPONSÁVEL/PRAZO",IF(AND(ISNUMBER(R4871),R4871=TODAY()),"🟡 VENCE HOJE",IF(AND(P4871&lt;&gt;"",S4871=""),"🟡 PENDÊNCIA ABERTA",IF(AND(N(J4871)&gt;0,N(K4871)&lt;J4871),"🟡 FALTA EXECUTAR",IF(OR(M4871="PENDENTE",M4871="PARCIAL"),"🟡 FATURAMENTO PENDENTE","🟡 EMBARQUE PENDENTE")))))))))))</f>
        <v/>
      </c>
      <c r="D4871" s="4" t="n"/>
      <c r="E4871" s="5" t="n"/>
      <c r="F4871" s="5" t="n"/>
      <c r="G4871" s="5" t="n"/>
      <c r="H4871" s="5" t="n"/>
      <c r="I4871" s="5" t="n"/>
      <c r="J4871" s="6" t="n"/>
      <c r="K4871" s="6" t="n"/>
      <c r="L4871" s="7">
        <f>IF(OR(D4871="",N(J4871)=0),"",MIN(1,N(K4871)/J4871))</f>
        <v/>
      </c>
      <c r="M4871" s="5" t="n"/>
      <c r="N4871" s="5" t="n"/>
      <c r="O4871" s="5" t="n"/>
      <c r="P4871" s="5" t="n"/>
      <c r="Q4871" s="5" t="n"/>
      <c r="R4871" s="4" t="n"/>
      <c r="S4871" s="4" t="n"/>
      <c r="T4871" s="5" t="n"/>
      <c r="U4871" s="8">
        <f>IF(AND(V4871=1,D4871&lt;&gt;""),IF(D4871&gt;=corte,TODAY()-D4871,""),"")</f>
        <v/>
      </c>
      <c r="V4871" s="8">
        <f>IF(D4871="",0,IF(OR(AND(P4871&lt;&gt;"",S4871=""),AND(N(J4871)&gt;0,N(K4871)&lt;J4871),OR(M4871="PENDENTE",M4871="PARCIAL"),OR(N4871="PENDENTE",N4871="PARCIAL")),1,0))</f>
        <v/>
      </c>
      <c r="W4871" s="8">
        <f>IF(AND(V4871=1,D4871&lt;&gt;""),IF(D4871&gt;=corte,(B4871="CRÍTICO")*1E9+(100000-D4871)*10000+10000-ROW(),""),"")</f>
        <v/>
      </c>
      <c r="X4871" s="8">
        <f>IF(AND(V4871=1,D4871=pas_data,E4871=pas_turno),10000-ROW(),"")</f>
        <v/>
      </c>
    </row>
    <row r="4872">
      <c r="A4872" s="3">
        <f>IF(D4872="","","TT-"&amp;TEXT(ROW()-1,"00000"))</f>
        <v/>
      </c>
      <c r="B4872" s="3">
        <f>IF(D4872="","",IF(V4872=0,"CONCLUÍDO",IF(D4872&lt;corte,"HISTÓRICO",IF(OR(AND(ISNUMBER(R4872),R4872&lt;TODAY()),AND(OR(N4872="PENDENTE",N4872="PARCIAL"),D4872&lt;TODAY()-1)),"CRÍTICO",IF(OR(AND(P4872&lt;&gt;"",S4872=""),AND(N4872="REALIZADO",M4872="PENDENTE"),AND(ISNUMBER(R4872),R4872=TODAY())),"ATENÇÃO",IF(N(K4872)=0,"PENDENTE","EM ANDAMENTO"))))))</f>
        <v/>
      </c>
      <c r="C4872" s="3">
        <f>IF(D4872="","",IF(V4872=0,"🟢 OK",IF(D4872&lt;corte,"⚪ HISTÓRICO (sem baixa)",IF(AND(ISNUMBER(R4872),R4872&lt;TODAY()),"🔴 PRAZO VENCIDO",IF(AND(OR(N4872="PENDENTE",N4872="PARCIAL"),D4872&lt;TODAY()-1),"🔴 EMBARQUE ATRASADO",IF(AND(N4872="REALIZADO",M4872="PENDENTE"),"🟡 EMBARCADO SEM FATURAR",IF(AND(P4872&lt;&gt;"",S4872="",OR(Q4872="",R4872="")),"🟡 PENDÊNCIA SEM RESPONSÁVEL/PRAZO",IF(AND(ISNUMBER(R4872),R4872=TODAY()),"🟡 VENCE HOJE",IF(AND(P4872&lt;&gt;"",S4872=""),"🟡 PENDÊNCIA ABERTA",IF(AND(N(J4872)&gt;0,N(K4872)&lt;J4872),"🟡 FALTA EXECUTAR",IF(OR(M4872="PENDENTE",M4872="PARCIAL"),"🟡 FATURAMENTO PENDENTE","🟡 EMBARQUE PENDENTE")))))))))))</f>
        <v/>
      </c>
      <c r="D4872" s="4" t="n"/>
      <c r="E4872" s="5" t="n"/>
      <c r="F4872" s="5" t="n"/>
      <c r="G4872" s="5" t="n"/>
      <c r="H4872" s="5" t="n"/>
      <c r="I4872" s="5" t="n"/>
      <c r="J4872" s="6" t="n"/>
      <c r="K4872" s="6" t="n"/>
      <c r="L4872" s="7">
        <f>IF(OR(D4872="",N(J4872)=0),"",MIN(1,N(K4872)/J4872))</f>
        <v/>
      </c>
      <c r="M4872" s="5" t="n"/>
      <c r="N4872" s="5" t="n"/>
      <c r="O4872" s="5" t="n"/>
      <c r="P4872" s="5" t="n"/>
      <c r="Q4872" s="5" t="n"/>
      <c r="R4872" s="4" t="n"/>
      <c r="S4872" s="4" t="n"/>
      <c r="T4872" s="5" t="n"/>
      <c r="U4872" s="8">
        <f>IF(AND(V4872=1,D4872&lt;&gt;""),IF(D4872&gt;=corte,TODAY()-D4872,""),"")</f>
        <v/>
      </c>
      <c r="V4872" s="8">
        <f>IF(D4872="",0,IF(OR(AND(P4872&lt;&gt;"",S4872=""),AND(N(J4872)&gt;0,N(K4872)&lt;J4872),OR(M4872="PENDENTE",M4872="PARCIAL"),OR(N4872="PENDENTE",N4872="PARCIAL")),1,0))</f>
        <v/>
      </c>
      <c r="W4872" s="8">
        <f>IF(AND(V4872=1,D4872&lt;&gt;""),IF(D4872&gt;=corte,(B4872="CRÍTICO")*1E9+(100000-D4872)*10000+10000-ROW(),""),"")</f>
        <v/>
      </c>
      <c r="X4872" s="8">
        <f>IF(AND(V4872=1,D4872=pas_data,E4872=pas_turno),10000-ROW(),"")</f>
        <v/>
      </c>
    </row>
    <row r="4873">
      <c r="A4873" s="3">
        <f>IF(D4873="","","TT-"&amp;TEXT(ROW()-1,"00000"))</f>
        <v/>
      </c>
      <c r="B4873" s="3">
        <f>IF(D4873="","",IF(V4873=0,"CONCLUÍDO",IF(D4873&lt;corte,"HISTÓRICO",IF(OR(AND(ISNUMBER(R4873),R4873&lt;TODAY()),AND(OR(N4873="PENDENTE",N4873="PARCIAL"),D4873&lt;TODAY()-1)),"CRÍTICO",IF(OR(AND(P4873&lt;&gt;"",S4873=""),AND(N4873="REALIZADO",M4873="PENDENTE"),AND(ISNUMBER(R4873),R4873=TODAY())),"ATENÇÃO",IF(N(K4873)=0,"PENDENTE","EM ANDAMENTO"))))))</f>
        <v/>
      </c>
      <c r="C4873" s="3">
        <f>IF(D4873="","",IF(V4873=0,"🟢 OK",IF(D4873&lt;corte,"⚪ HISTÓRICO (sem baixa)",IF(AND(ISNUMBER(R4873),R4873&lt;TODAY()),"🔴 PRAZO VENCIDO",IF(AND(OR(N4873="PENDENTE",N4873="PARCIAL"),D4873&lt;TODAY()-1),"🔴 EMBARQUE ATRASADO",IF(AND(N4873="REALIZADO",M4873="PENDENTE"),"🟡 EMBARCADO SEM FATURAR",IF(AND(P4873&lt;&gt;"",S4873="",OR(Q4873="",R4873="")),"🟡 PENDÊNCIA SEM RESPONSÁVEL/PRAZO",IF(AND(ISNUMBER(R4873),R4873=TODAY()),"🟡 VENCE HOJE",IF(AND(P4873&lt;&gt;"",S4873=""),"🟡 PENDÊNCIA ABERTA",IF(AND(N(J4873)&gt;0,N(K4873)&lt;J4873),"🟡 FALTA EXECUTAR",IF(OR(M4873="PENDENTE",M4873="PARCIAL"),"🟡 FATURAMENTO PENDENTE","🟡 EMBARQUE PENDENTE")))))))))))</f>
        <v/>
      </c>
      <c r="D4873" s="4" t="n"/>
      <c r="E4873" s="5" t="n"/>
      <c r="F4873" s="5" t="n"/>
      <c r="G4873" s="5" t="n"/>
      <c r="H4873" s="5" t="n"/>
      <c r="I4873" s="5" t="n"/>
      <c r="J4873" s="6" t="n"/>
      <c r="K4873" s="6" t="n"/>
      <c r="L4873" s="7">
        <f>IF(OR(D4873="",N(J4873)=0),"",MIN(1,N(K4873)/J4873))</f>
        <v/>
      </c>
      <c r="M4873" s="5" t="n"/>
      <c r="N4873" s="5" t="n"/>
      <c r="O4873" s="5" t="n"/>
      <c r="P4873" s="5" t="n"/>
      <c r="Q4873" s="5" t="n"/>
      <c r="R4873" s="4" t="n"/>
      <c r="S4873" s="4" t="n"/>
      <c r="T4873" s="5" t="n"/>
      <c r="U4873" s="8">
        <f>IF(AND(V4873=1,D4873&lt;&gt;""),IF(D4873&gt;=corte,TODAY()-D4873,""),"")</f>
        <v/>
      </c>
      <c r="V4873" s="8">
        <f>IF(D4873="",0,IF(OR(AND(P4873&lt;&gt;"",S4873=""),AND(N(J4873)&gt;0,N(K4873)&lt;J4873),OR(M4873="PENDENTE",M4873="PARCIAL"),OR(N4873="PENDENTE",N4873="PARCIAL")),1,0))</f>
        <v/>
      </c>
      <c r="W4873" s="8">
        <f>IF(AND(V4873=1,D4873&lt;&gt;""),IF(D4873&gt;=corte,(B4873="CRÍTICO")*1E9+(100000-D4873)*10000+10000-ROW(),""),"")</f>
        <v/>
      </c>
      <c r="X4873" s="8">
        <f>IF(AND(V4873=1,D4873=pas_data,E4873=pas_turno),10000-ROW(),"")</f>
        <v/>
      </c>
    </row>
    <row r="4874">
      <c r="A4874" s="3">
        <f>IF(D4874="","","TT-"&amp;TEXT(ROW()-1,"00000"))</f>
        <v/>
      </c>
      <c r="B4874" s="3">
        <f>IF(D4874="","",IF(V4874=0,"CONCLUÍDO",IF(D4874&lt;corte,"HISTÓRICO",IF(OR(AND(ISNUMBER(R4874),R4874&lt;TODAY()),AND(OR(N4874="PENDENTE",N4874="PARCIAL"),D4874&lt;TODAY()-1)),"CRÍTICO",IF(OR(AND(P4874&lt;&gt;"",S4874=""),AND(N4874="REALIZADO",M4874="PENDENTE"),AND(ISNUMBER(R4874),R4874=TODAY())),"ATENÇÃO",IF(N(K4874)=0,"PENDENTE","EM ANDAMENTO"))))))</f>
        <v/>
      </c>
      <c r="C4874" s="3">
        <f>IF(D4874="","",IF(V4874=0,"🟢 OK",IF(D4874&lt;corte,"⚪ HISTÓRICO (sem baixa)",IF(AND(ISNUMBER(R4874),R4874&lt;TODAY()),"🔴 PRAZO VENCIDO",IF(AND(OR(N4874="PENDENTE",N4874="PARCIAL"),D4874&lt;TODAY()-1),"🔴 EMBARQUE ATRASADO",IF(AND(N4874="REALIZADO",M4874="PENDENTE"),"🟡 EMBARCADO SEM FATURAR",IF(AND(P4874&lt;&gt;"",S4874="",OR(Q4874="",R4874="")),"🟡 PENDÊNCIA SEM RESPONSÁVEL/PRAZO",IF(AND(ISNUMBER(R4874),R4874=TODAY()),"🟡 VENCE HOJE",IF(AND(P4874&lt;&gt;"",S4874=""),"🟡 PENDÊNCIA ABERTA",IF(AND(N(J4874)&gt;0,N(K4874)&lt;J4874),"🟡 FALTA EXECUTAR",IF(OR(M4874="PENDENTE",M4874="PARCIAL"),"🟡 FATURAMENTO PENDENTE","🟡 EMBARQUE PENDENTE")))))))))))</f>
        <v/>
      </c>
      <c r="D4874" s="4" t="n"/>
      <c r="E4874" s="5" t="n"/>
      <c r="F4874" s="5" t="n"/>
      <c r="G4874" s="5" t="n"/>
      <c r="H4874" s="5" t="n"/>
      <c r="I4874" s="5" t="n"/>
      <c r="J4874" s="6" t="n"/>
      <c r="K4874" s="6" t="n"/>
      <c r="L4874" s="7">
        <f>IF(OR(D4874="",N(J4874)=0),"",MIN(1,N(K4874)/J4874))</f>
        <v/>
      </c>
      <c r="M4874" s="5" t="n"/>
      <c r="N4874" s="5" t="n"/>
      <c r="O4874" s="5" t="n"/>
      <c r="P4874" s="5" t="n"/>
      <c r="Q4874" s="5" t="n"/>
      <c r="R4874" s="4" t="n"/>
      <c r="S4874" s="4" t="n"/>
      <c r="T4874" s="5" t="n"/>
      <c r="U4874" s="8">
        <f>IF(AND(V4874=1,D4874&lt;&gt;""),IF(D4874&gt;=corte,TODAY()-D4874,""),"")</f>
        <v/>
      </c>
      <c r="V4874" s="8">
        <f>IF(D4874="",0,IF(OR(AND(P4874&lt;&gt;"",S4874=""),AND(N(J4874)&gt;0,N(K4874)&lt;J4874),OR(M4874="PENDENTE",M4874="PARCIAL"),OR(N4874="PENDENTE",N4874="PARCIAL")),1,0))</f>
        <v/>
      </c>
      <c r="W4874" s="8">
        <f>IF(AND(V4874=1,D4874&lt;&gt;""),IF(D4874&gt;=corte,(B4874="CRÍTICO")*1E9+(100000-D4874)*10000+10000-ROW(),""),"")</f>
        <v/>
      </c>
      <c r="X4874" s="8">
        <f>IF(AND(V4874=1,D4874=pas_data,E4874=pas_turno),10000-ROW(),"")</f>
        <v/>
      </c>
    </row>
    <row r="4875">
      <c r="A4875" s="3">
        <f>IF(D4875="","","TT-"&amp;TEXT(ROW()-1,"00000"))</f>
        <v/>
      </c>
      <c r="B4875" s="3">
        <f>IF(D4875="","",IF(V4875=0,"CONCLUÍDO",IF(D4875&lt;corte,"HISTÓRICO",IF(OR(AND(ISNUMBER(R4875),R4875&lt;TODAY()),AND(OR(N4875="PENDENTE",N4875="PARCIAL"),D4875&lt;TODAY()-1)),"CRÍTICO",IF(OR(AND(P4875&lt;&gt;"",S4875=""),AND(N4875="REALIZADO",M4875="PENDENTE"),AND(ISNUMBER(R4875),R4875=TODAY())),"ATENÇÃO",IF(N(K4875)=0,"PENDENTE","EM ANDAMENTO"))))))</f>
        <v/>
      </c>
      <c r="C4875" s="3">
        <f>IF(D4875="","",IF(V4875=0,"🟢 OK",IF(D4875&lt;corte,"⚪ HISTÓRICO (sem baixa)",IF(AND(ISNUMBER(R4875),R4875&lt;TODAY()),"🔴 PRAZO VENCIDO",IF(AND(OR(N4875="PENDENTE",N4875="PARCIAL"),D4875&lt;TODAY()-1),"🔴 EMBARQUE ATRASADO",IF(AND(N4875="REALIZADO",M4875="PENDENTE"),"🟡 EMBARCADO SEM FATURAR",IF(AND(P4875&lt;&gt;"",S4875="",OR(Q4875="",R4875="")),"🟡 PENDÊNCIA SEM RESPONSÁVEL/PRAZO",IF(AND(ISNUMBER(R4875),R4875=TODAY()),"🟡 VENCE HOJE",IF(AND(P4875&lt;&gt;"",S4875=""),"🟡 PENDÊNCIA ABERTA",IF(AND(N(J4875)&gt;0,N(K4875)&lt;J4875),"🟡 FALTA EXECUTAR",IF(OR(M4875="PENDENTE",M4875="PARCIAL"),"🟡 FATURAMENTO PENDENTE","🟡 EMBARQUE PENDENTE")))))))))))</f>
        <v/>
      </c>
      <c r="D4875" s="4" t="n"/>
      <c r="E4875" s="5" t="n"/>
      <c r="F4875" s="5" t="n"/>
      <c r="G4875" s="5" t="n"/>
      <c r="H4875" s="5" t="n"/>
      <c r="I4875" s="5" t="n"/>
      <c r="J4875" s="6" t="n"/>
      <c r="K4875" s="6" t="n"/>
      <c r="L4875" s="7">
        <f>IF(OR(D4875="",N(J4875)=0),"",MIN(1,N(K4875)/J4875))</f>
        <v/>
      </c>
      <c r="M4875" s="5" t="n"/>
      <c r="N4875" s="5" t="n"/>
      <c r="O4875" s="5" t="n"/>
      <c r="P4875" s="5" t="n"/>
      <c r="Q4875" s="5" t="n"/>
      <c r="R4875" s="4" t="n"/>
      <c r="S4875" s="4" t="n"/>
      <c r="T4875" s="5" t="n"/>
      <c r="U4875" s="8">
        <f>IF(AND(V4875=1,D4875&lt;&gt;""),IF(D4875&gt;=corte,TODAY()-D4875,""),"")</f>
        <v/>
      </c>
      <c r="V4875" s="8">
        <f>IF(D4875="",0,IF(OR(AND(P4875&lt;&gt;"",S4875=""),AND(N(J4875)&gt;0,N(K4875)&lt;J4875),OR(M4875="PENDENTE",M4875="PARCIAL"),OR(N4875="PENDENTE",N4875="PARCIAL")),1,0))</f>
        <v/>
      </c>
      <c r="W4875" s="8">
        <f>IF(AND(V4875=1,D4875&lt;&gt;""),IF(D4875&gt;=corte,(B4875="CRÍTICO")*1E9+(100000-D4875)*10000+10000-ROW(),""),"")</f>
        <v/>
      </c>
      <c r="X4875" s="8">
        <f>IF(AND(V4875=1,D4875=pas_data,E4875=pas_turno),10000-ROW(),"")</f>
        <v/>
      </c>
    </row>
    <row r="4876">
      <c r="A4876" s="3">
        <f>IF(D4876="","","TT-"&amp;TEXT(ROW()-1,"00000"))</f>
        <v/>
      </c>
      <c r="B4876" s="3">
        <f>IF(D4876="","",IF(V4876=0,"CONCLUÍDO",IF(D4876&lt;corte,"HISTÓRICO",IF(OR(AND(ISNUMBER(R4876),R4876&lt;TODAY()),AND(OR(N4876="PENDENTE",N4876="PARCIAL"),D4876&lt;TODAY()-1)),"CRÍTICO",IF(OR(AND(P4876&lt;&gt;"",S4876=""),AND(N4876="REALIZADO",M4876="PENDENTE"),AND(ISNUMBER(R4876),R4876=TODAY())),"ATENÇÃO",IF(N(K4876)=0,"PENDENTE","EM ANDAMENTO"))))))</f>
        <v/>
      </c>
      <c r="C4876" s="3">
        <f>IF(D4876="","",IF(V4876=0,"🟢 OK",IF(D4876&lt;corte,"⚪ HISTÓRICO (sem baixa)",IF(AND(ISNUMBER(R4876),R4876&lt;TODAY()),"🔴 PRAZO VENCIDO",IF(AND(OR(N4876="PENDENTE",N4876="PARCIAL"),D4876&lt;TODAY()-1),"🔴 EMBARQUE ATRASADO",IF(AND(N4876="REALIZADO",M4876="PENDENTE"),"🟡 EMBARCADO SEM FATURAR",IF(AND(P4876&lt;&gt;"",S4876="",OR(Q4876="",R4876="")),"🟡 PENDÊNCIA SEM RESPONSÁVEL/PRAZO",IF(AND(ISNUMBER(R4876),R4876=TODAY()),"🟡 VENCE HOJE",IF(AND(P4876&lt;&gt;"",S4876=""),"🟡 PENDÊNCIA ABERTA",IF(AND(N(J4876)&gt;0,N(K4876)&lt;J4876),"🟡 FALTA EXECUTAR",IF(OR(M4876="PENDENTE",M4876="PARCIAL"),"🟡 FATURAMENTO PENDENTE","🟡 EMBARQUE PENDENTE")))))))))))</f>
        <v/>
      </c>
      <c r="D4876" s="4" t="n"/>
      <c r="E4876" s="5" t="n"/>
      <c r="F4876" s="5" t="n"/>
      <c r="G4876" s="5" t="n"/>
      <c r="H4876" s="5" t="n"/>
      <c r="I4876" s="5" t="n"/>
      <c r="J4876" s="6" t="n"/>
      <c r="K4876" s="6" t="n"/>
      <c r="L4876" s="7">
        <f>IF(OR(D4876="",N(J4876)=0),"",MIN(1,N(K4876)/J4876))</f>
        <v/>
      </c>
      <c r="M4876" s="5" t="n"/>
      <c r="N4876" s="5" t="n"/>
      <c r="O4876" s="5" t="n"/>
      <c r="P4876" s="5" t="n"/>
      <c r="Q4876" s="5" t="n"/>
      <c r="R4876" s="4" t="n"/>
      <c r="S4876" s="4" t="n"/>
      <c r="T4876" s="5" t="n"/>
      <c r="U4876" s="8">
        <f>IF(AND(V4876=1,D4876&lt;&gt;""),IF(D4876&gt;=corte,TODAY()-D4876,""),"")</f>
        <v/>
      </c>
      <c r="V4876" s="8">
        <f>IF(D4876="",0,IF(OR(AND(P4876&lt;&gt;"",S4876=""),AND(N(J4876)&gt;0,N(K4876)&lt;J4876),OR(M4876="PENDENTE",M4876="PARCIAL"),OR(N4876="PENDENTE",N4876="PARCIAL")),1,0))</f>
        <v/>
      </c>
      <c r="W4876" s="8">
        <f>IF(AND(V4876=1,D4876&lt;&gt;""),IF(D4876&gt;=corte,(B4876="CRÍTICO")*1E9+(100000-D4876)*10000+10000-ROW(),""),"")</f>
        <v/>
      </c>
      <c r="X4876" s="8">
        <f>IF(AND(V4876=1,D4876=pas_data,E4876=pas_turno),10000-ROW(),"")</f>
        <v/>
      </c>
    </row>
    <row r="4877">
      <c r="A4877" s="3">
        <f>IF(D4877="","","TT-"&amp;TEXT(ROW()-1,"00000"))</f>
        <v/>
      </c>
      <c r="B4877" s="3">
        <f>IF(D4877="","",IF(V4877=0,"CONCLUÍDO",IF(D4877&lt;corte,"HISTÓRICO",IF(OR(AND(ISNUMBER(R4877),R4877&lt;TODAY()),AND(OR(N4877="PENDENTE",N4877="PARCIAL"),D4877&lt;TODAY()-1)),"CRÍTICO",IF(OR(AND(P4877&lt;&gt;"",S4877=""),AND(N4877="REALIZADO",M4877="PENDENTE"),AND(ISNUMBER(R4877),R4877=TODAY())),"ATENÇÃO",IF(N(K4877)=0,"PENDENTE","EM ANDAMENTO"))))))</f>
        <v/>
      </c>
      <c r="C4877" s="3">
        <f>IF(D4877="","",IF(V4877=0,"🟢 OK",IF(D4877&lt;corte,"⚪ HISTÓRICO (sem baixa)",IF(AND(ISNUMBER(R4877),R4877&lt;TODAY()),"🔴 PRAZO VENCIDO",IF(AND(OR(N4877="PENDENTE",N4877="PARCIAL"),D4877&lt;TODAY()-1),"🔴 EMBARQUE ATRASADO",IF(AND(N4877="REALIZADO",M4877="PENDENTE"),"🟡 EMBARCADO SEM FATURAR",IF(AND(P4877&lt;&gt;"",S4877="",OR(Q4877="",R4877="")),"🟡 PENDÊNCIA SEM RESPONSÁVEL/PRAZO",IF(AND(ISNUMBER(R4877),R4877=TODAY()),"🟡 VENCE HOJE",IF(AND(P4877&lt;&gt;"",S4877=""),"🟡 PENDÊNCIA ABERTA",IF(AND(N(J4877)&gt;0,N(K4877)&lt;J4877),"🟡 FALTA EXECUTAR",IF(OR(M4877="PENDENTE",M4877="PARCIAL"),"🟡 FATURAMENTO PENDENTE","🟡 EMBARQUE PENDENTE")))))))))))</f>
        <v/>
      </c>
      <c r="D4877" s="4" t="n"/>
      <c r="E4877" s="5" t="n"/>
      <c r="F4877" s="5" t="n"/>
      <c r="G4877" s="5" t="n"/>
      <c r="H4877" s="5" t="n"/>
      <c r="I4877" s="5" t="n"/>
      <c r="J4877" s="6" t="n"/>
      <c r="K4877" s="6" t="n"/>
      <c r="L4877" s="7">
        <f>IF(OR(D4877="",N(J4877)=0),"",MIN(1,N(K4877)/J4877))</f>
        <v/>
      </c>
      <c r="M4877" s="5" t="n"/>
      <c r="N4877" s="5" t="n"/>
      <c r="O4877" s="5" t="n"/>
      <c r="P4877" s="5" t="n"/>
      <c r="Q4877" s="5" t="n"/>
      <c r="R4877" s="4" t="n"/>
      <c r="S4877" s="4" t="n"/>
      <c r="T4877" s="5" t="n"/>
      <c r="U4877" s="8">
        <f>IF(AND(V4877=1,D4877&lt;&gt;""),IF(D4877&gt;=corte,TODAY()-D4877,""),"")</f>
        <v/>
      </c>
      <c r="V4877" s="8">
        <f>IF(D4877="",0,IF(OR(AND(P4877&lt;&gt;"",S4877=""),AND(N(J4877)&gt;0,N(K4877)&lt;J4877),OR(M4877="PENDENTE",M4877="PARCIAL"),OR(N4877="PENDENTE",N4877="PARCIAL")),1,0))</f>
        <v/>
      </c>
      <c r="W4877" s="8">
        <f>IF(AND(V4877=1,D4877&lt;&gt;""),IF(D4877&gt;=corte,(B4877="CRÍTICO")*1E9+(100000-D4877)*10000+10000-ROW(),""),"")</f>
        <v/>
      </c>
      <c r="X4877" s="8">
        <f>IF(AND(V4877=1,D4877=pas_data,E4877=pas_turno),10000-ROW(),"")</f>
        <v/>
      </c>
    </row>
    <row r="4878">
      <c r="A4878" s="3">
        <f>IF(D4878="","","TT-"&amp;TEXT(ROW()-1,"00000"))</f>
        <v/>
      </c>
      <c r="B4878" s="3">
        <f>IF(D4878="","",IF(V4878=0,"CONCLUÍDO",IF(D4878&lt;corte,"HISTÓRICO",IF(OR(AND(ISNUMBER(R4878),R4878&lt;TODAY()),AND(OR(N4878="PENDENTE",N4878="PARCIAL"),D4878&lt;TODAY()-1)),"CRÍTICO",IF(OR(AND(P4878&lt;&gt;"",S4878=""),AND(N4878="REALIZADO",M4878="PENDENTE"),AND(ISNUMBER(R4878),R4878=TODAY())),"ATENÇÃO",IF(N(K4878)=0,"PENDENTE","EM ANDAMENTO"))))))</f>
        <v/>
      </c>
      <c r="C4878" s="3">
        <f>IF(D4878="","",IF(V4878=0,"🟢 OK",IF(D4878&lt;corte,"⚪ HISTÓRICO (sem baixa)",IF(AND(ISNUMBER(R4878),R4878&lt;TODAY()),"🔴 PRAZO VENCIDO",IF(AND(OR(N4878="PENDENTE",N4878="PARCIAL"),D4878&lt;TODAY()-1),"🔴 EMBARQUE ATRASADO",IF(AND(N4878="REALIZADO",M4878="PENDENTE"),"🟡 EMBARCADO SEM FATURAR",IF(AND(P4878&lt;&gt;"",S4878="",OR(Q4878="",R4878="")),"🟡 PENDÊNCIA SEM RESPONSÁVEL/PRAZO",IF(AND(ISNUMBER(R4878),R4878=TODAY()),"🟡 VENCE HOJE",IF(AND(P4878&lt;&gt;"",S4878=""),"🟡 PENDÊNCIA ABERTA",IF(AND(N(J4878)&gt;0,N(K4878)&lt;J4878),"🟡 FALTA EXECUTAR",IF(OR(M4878="PENDENTE",M4878="PARCIAL"),"🟡 FATURAMENTO PENDENTE","🟡 EMBARQUE PENDENTE")))))))))))</f>
        <v/>
      </c>
      <c r="D4878" s="4" t="n"/>
      <c r="E4878" s="5" t="n"/>
      <c r="F4878" s="5" t="n"/>
      <c r="G4878" s="5" t="n"/>
      <c r="H4878" s="5" t="n"/>
      <c r="I4878" s="5" t="n"/>
      <c r="J4878" s="6" t="n"/>
      <c r="K4878" s="6" t="n"/>
      <c r="L4878" s="7">
        <f>IF(OR(D4878="",N(J4878)=0),"",MIN(1,N(K4878)/J4878))</f>
        <v/>
      </c>
      <c r="M4878" s="5" t="n"/>
      <c r="N4878" s="5" t="n"/>
      <c r="O4878" s="5" t="n"/>
      <c r="P4878" s="5" t="n"/>
      <c r="Q4878" s="5" t="n"/>
      <c r="R4878" s="4" t="n"/>
      <c r="S4878" s="4" t="n"/>
      <c r="T4878" s="5" t="n"/>
      <c r="U4878" s="8">
        <f>IF(AND(V4878=1,D4878&lt;&gt;""),IF(D4878&gt;=corte,TODAY()-D4878,""),"")</f>
        <v/>
      </c>
      <c r="V4878" s="8">
        <f>IF(D4878="",0,IF(OR(AND(P4878&lt;&gt;"",S4878=""),AND(N(J4878)&gt;0,N(K4878)&lt;J4878),OR(M4878="PENDENTE",M4878="PARCIAL"),OR(N4878="PENDENTE",N4878="PARCIAL")),1,0))</f>
        <v/>
      </c>
      <c r="W4878" s="8">
        <f>IF(AND(V4878=1,D4878&lt;&gt;""),IF(D4878&gt;=corte,(B4878="CRÍTICO")*1E9+(100000-D4878)*10000+10000-ROW(),""),"")</f>
        <v/>
      </c>
      <c r="X4878" s="8">
        <f>IF(AND(V4878=1,D4878=pas_data,E4878=pas_turno),10000-ROW(),"")</f>
        <v/>
      </c>
    </row>
    <row r="4879">
      <c r="A4879" s="3">
        <f>IF(D4879="","","TT-"&amp;TEXT(ROW()-1,"00000"))</f>
        <v/>
      </c>
      <c r="B4879" s="3">
        <f>IF(D4879="","",IF(V4879=0,"CONCLUÍDO",IF(D4879&lt;corte,"HISTÓRICO",IF(OR(AND(ISNUMBER(R4879),R4879&lt;TODAY()),AND(OR(N4879="PENDENTE",N4879="PARCIAL"),D4879&lt;TODAY()-1)),"CRÍTICO",IF(OR(AND(P4879&lt;&gt;"",S4879=""),AND(N4879="REALIZADO",M4879="PENDENTE"),AND(ISNUMBER(R4879),R4879=TODAY())),"ATENÇÃO",IF(N(K4879)=0,"PENDENTE","EM ANDAMENTO"))))))</f>
        <v/>
      </c>
      <c r="C4879" s="3">
        <f>IF(D4879="","",IF(V4879=0,"🟢 OK",IF(D4879&lt;corte,"⚪ HISTÓRICO (sem baixa)",IF(AND(ISNUMBER(R4879),R4879&lt;TODAY()),"🔴 PRAZO VENCIDO",IF(AND(OR(N4879="PENDENTE",N4879="PARCIAL"),D4879&lt;TODAY()-1),"🔴 EMBARQUE ATRASADO",IF(AND(N4879="REALIZADO",M4879="PENDENTE"),"🟡 EMBARCADO SEM FATURAR",IF(AND(P4879&lt;&gt;"",S4879="",OR(Q4879="",R4879="")),"🟡 PENDÊNCIA SEM RESPONSÁVEL/PRAZO",IF(AND(ISNUMBER(R4879),R4879=TODAY()),"🟡 VENCE HOJE",IF(AND(P4879&lt;&gt;"",S4879=""),"🟡 PENDÊNCIA ABERTA",IF(AND(N(J4879)&gt;0,N(K4879)&lt;J4879),"🟡 FALTA EXECUTAR",IF(OR(M4879="PENDENTE",M4879="PARCIAL"),"🟡 FATURAMENTO PENDENTE","🟡 EMBARQUE PENDENTE")))))))))))</f>
        <v/>
      </c>
      <c r="D4879" s="4" t="n"/>
      <c r="E4879" s="5" t="n"/>
      <c r="F4879" s="5" t="n"/>
      <c r="G4879" s="5" t="n"/>
      <c r="H4879" s="5" t="n"/>
      <c r="I4879" s="5" t="n"/>
      <c r="J4879" s="6" t="n"/>
      <c r="K4879" s="6" t="n"/>
      <c r="L4879" s="7">
        <f>IF(OR(D4879="",N(J4879)=0),"",MIN(1,N(K4879)/J4879))</f>
        <v/>
      </c>
      <c r="M4879" s="5" t="n"/>
      <c r="N4879" s="5" t="n"/>
      <c r="O4879" s="5" t="n"/>
      <c r="P4879" s="5" t="n"/>
      <c r="Q4879" s="5" t="n"/>
      <c r="R4879" s="4" t="n"/>
      <c r="S4879" s="4" t="n"/>
      <c r="T4879" s="5" t="n"/>
      <c r="U4879" s="8">
        <f>IF(AND(V4879=1,D4879&lt;&gt;""),IF(D4879&gt;=corte,TODAY()-D4879,""),"")</f>
        <v/>
      </c>
      <c r="V4879" s="8">
        <f>IF(D4879="",0,IF(OR(AND(P4879&lt;&gt;"",S4879=""),AND(N(J4879)&gt;0,N(K4879)&lt;J4879),OR(M4879="PENDENTE",M4879="PARCIAL"),OR(N4879="PENDENTE",N4879="PARCIAL")),1,0))</f>
        <v/>
      </c>
      <c r="W4879" s="8">
        <f>IF(AND(V4879=1,D4879&lt;&gt;""),IF(D4879&gt;=corte,(B4879="CRÍTICO")*1E9+(100000-D4879)*10000+10000-ROW(),""),"")</f>
        <v/>
      </c>
      <c r="X4879" s="8">
        <f>IF(AND(V4879=1,D4879=pas_data,E4879=pas_turno),10000-ROW(),"")</f>
        <v/>
      </c>
    </row>
    <row r="4880">
      <c r="A4880" s="3">
        <f>IF(D4880="","","TT-"&amp;TEXT(ROW()-1,"00000"))</f>
        <v/>
      </c>
      <c r="B4880" s="3">
        <f>IF(D4880="","",IF(V4880=0,"CONCLUÍDO",IF(D4880&lt;corte,"HISTÓRICO",IF(OR(AND(ISNUMBER(R4880),R4880&lt;TODAY()),AND(OR(N4880="PENDENTE",N4880="PARCIAL"),D4880&lt;TODAY()-1)),"CRÍTICO",IF(OR(AND(P4880&lt;&gt;"",S4880=""),AND(N4880="REALIZADO",M4880="PENDENTE"),AND(ISNUMBER(R4880),R4880=TODAY())),"ATENÇÃO",IF(N(K4880)=0,"PENDENTE","EM ANDAMENTO"))))))</f>
        <v/>
      </c>
      <c r="C4880" s="3">
        <f>IF(D4880="","",IF(V4880=0,"🟢 OK",IF(D4880&lt;corte,"⚪ HISTÓRICO (sem baixa)",IF(AND(ISNUMBER(R4880),R4880&lt;TODAY()),"🔴 PRAZO VENCIDO",IF(AND(OR(N4880="PENDENTE",N4880="PARCIAL"),D4880&lt;TODAY()-1),"🔴 EMBARQUE ATRASADO",IF(AND(N4880="REALIZADO",M4880="PENDENTE"),"🟡 EMBARCADO SEM FATURAR",IF(AND(P4880&lt;&gt;"",S4880="",OR(Q4880="",R4880="")),"🟡 PENDÊNCIA SEM RESPONSÁVEL/PRAZO",IF(AND(ISNUMBER(R4880),R4880=TODAY()),"🟡 VENCE HOJE",IF(AND(P4880&lt;&gt;"",S4880=""),"🟡 PENDÊNCIA ABERTA",IF(AND(N(J4880)&gt;0,N(K4880)&lt;J4880),"🟡 FALTA EXECUTAR",IF(OR(M4880="PENDENTE",M4880="PARCIAL"),"🟡 FATURAMENTO PENDENTE","🟡 EMBARQUE PENDENTE")))))))))))</f>
        <v/>
      </c>
      <c r="D4880" s="4" t="n"/>
      <c r="E4880" s="5" t="n"/>
      <c r="F4880" s="5" t="n"/>
      <c r="G4880" s="5" t="n"/>
      <c r="H4880" s="5" t="n"/>
      <c r="I4880" s="5" t="n"/>
      <c r="J4880" s="6" t="n"/>
      <c r="K4880" s="6" t="n"/>
      <c r="L4880" s="7">
        <f>IF(OR(D4880="",N(J4880)=0),"",MIN(1,N(K4880)/J4880))</f>
        <v/>
      </c>
      <c r="M4880" s="5" t="n"/>
      <c r="N4880" s="5" t="n"/>
      <c r="O4880" s="5" t="n"/>
      <c r="P4880" s="5" t="n"/>
      <c r="Q4880" s="5" t="n"/>
      <c r="R4880" s="4" t="n"/>
      <c r="S4880" s="4" t="n"/>
      <c r="T4880" s="5" t="n"/>
      <c r="U4880" s="8">
        <f>IF(AND(V4880=1,D4880&lt;&gt;""),IF(D4880&gt;=corte,TODAY()-D4880,""),"")</f>
        <v/>
      </c>
      <c r="V4880" s="8">
        <f>IF(D4880="",0,IF(OR(AND(P4880&lt;&gt;"",S4880=""),AND(N(J4880)&gt;0,N(K4880)&lt;J4880),OR(M4880="PENDENTE",M4880="PARCIAL"),OR(N4880="PENDENTE",N4880="PARCIAL")),1,0))</f>
        <v/>
      </c>
      <c r="W4880" s="8">
        <f>IF(AND(V4880=1,D4880&lt;&gt;""),IF(D4880&gt;=corte,(B4880="CRÍTICO")*1E9+(100000-D4880)*10000+10000-ROW(),""),"")</f>
        <v/>
      </c>
      <c r="X4880" s="8">
        <f>IF(AND(V4880=1,D4880=pas_data,E4880=pas_turno),10000-ROW(),"")</f>
        <v/>
      </c>
    </row>
    <row r="4881">
      <c r="A4881" s="3">
        <f>IF(D4881="","","TT-"&amp;TEXT(ROW()-1,"00000"))</f>
        <v/>
      </c>
      <c r="B4881" s="3">
        <f>IF(D4881="","",IF(V4881=0,"CONCLUÍDO",IF(D4881&lt;corte,"HISTÓRICO",IF(OR(AND(ISNUMBER(R4881),R4881&lt;TODAY()),AND(OR(N4881="PENDENTE",N4881="PARCIAL"),D4881&lt;TODAY()-1)),"CRÍTICO",IF(OR(AND(P4881&lt;&gt;"",S4881=""),AND(N4881="REALIZADO",M4881="PENDENTE"),AND(ISNUMBER(R4881),R4881=TODAY())),"ATENÇÃO",IF(N(K4881)=0,"PENDENTE","EM ANDAMENTO"))))))</f>
        <v/>
      </c>
      <c r="C4881" s="3">
        <f>IF(D4881="","",IF(V4881=0,"🟢 OK",IF(D4881&lt;corte,"⚪ HISTÓRICO (sem baixa)",IF(AND(ISNUMBER(R4881),R4881&lt;TODAY()),"🔴 PRAZO VENCIDO",IF(AND(OR(N4881="PENDENTE",N4881="PARCIAL"),D4881&lt;TODAY()-1),"🔴 EMBARQUE ATRASADO",IF(AND(N4881="REALIZADO",M4881="PENDENTE"),"🟡 EMBARCADO SEM FATURAR",IF(AND(P4881&lt;&gt;"",S4881="",OR(Q4881="",R4881="")),"🟡 PENDÊNCIA SEM RESPONSÁVEL/PRAZO",IF(AND(ISNUMBER(R4881),R4881=TODAY()),"🟡 VENCE HOJE",IF(AND(P4881&lt;&gt;"",S4881=""),"🟡 PENDÊNCIA ABERTA",IF(AND(N(J4881)&gt;0,N(K4881)&lt;J4881),"🟡 FALTA EXECUTAR",IF(OR(M4881="PENDENTE",M4881="PARCIAL"),"🟡 FATURAMENTO PENDENTE","🟡 EMBARQUE PENDENTE")))))))))))</f>
        <v/>
      </c>
      <c r="D4881" s="4" t="n"/>
      <c r="E4881" s="5" t="n"/>
      <c r="F4881" s="5" t="n"/>
      <c r="G4881" s="5" t="n"/>
      <c r="H4881" s="5" t="n"/>
      <c r="I4881" s="5" t="n"/>
      <c r="J4881" s="6" t="n"/>
      <c r="K4881" s="6" t="n"/>
      <c r="L4881" s="7">
        <f>IF(OR(D4881="",N(J4881)=0),"",MIN(1,N(K4881)/J4881))</f>
        <v/>
      </c>
      <c r="M4881" s="5" t="n"/>
      <c r="N4881" s="5" t="n"/>
      <c r="O4881" s="5" t="n"/>
      <c r="P4881" s="5" t="n"/>
      <c r="Q4881" s="5" t="n"/>
      <c r="R4881" s="4" t="n"/>
      <c r="S4881" s="4" t="n"/>
      <c r="T4881" s="5" t="n"/>
      <c r="U4881" s="8">
        <f>IF(AND(V4881=1,D4881&lt;&gt;""),IF(D4881&gt;=corte,TODAY()-D4881,""),"")</f>
        <v/>
      </c>
      <c r="V4881" s="8">
        <f>IF(D4881="",0,IF(OR(AND(P4881&lt;&gt;"",S4881=""),AND(N(J4881)&gt;0,N(K4881)&lt;J4881),OR(M4881="PENDENTE",M4881="PARCIAL"),OR(N4881="PENDENTE",N4881="PARCIAL")),1,0))</f>
        <v/>
      </c>
      <c r="W4881" s="8">
        <f>IF(AND(V4881=1,D4881&lt;&gt;""),IF(D4881&gt;=corte,(B4881="CRÍTICO")*1E9+(100000-D4881)*10000+10000-ROW(),""),"")</f>
        <v/>
      </c>
      <c r="X4881" s="8">
        <f>IF(AND(V4881=1,D4881=pas_data,E4881=pas_turno),10000-ROW(),"")</f>
        <v/>
      </c>
    </row>
    <row r="4882">
      <c r="A4882" s="3">
        <f>IF(D4882="","","TT-"&amp;TEXT(ROW()-1,"00000"))</f>
        <v/>
      </c>
      <c r="B4882" s="3">
        <f>IF(D4882="","",IF(V4882=0,"CONCLUÍDO",IF(D4882&lt;corte,"HISTÓRICO",IF(OR(AND(ISNUMBER(R4882),R4882&lt;TODAY()),AND(OR(N4882="PENDENTE",N4882="PARCIAL"),D4882&lt;TODAY()-1)),"CRÍTICO",IF(OR(AND(P4882&lt;&gt;"",S4882=""),AND(N4882="REALIZADO",M4882="PENDENTE"),AND(ISNUMBER(R4882),R4882=TODAY())),"ATENÇÃO",IF(N(K4882)=0,"PENDENTE","EM ANDAMENTO"))))))</f>
        <v/>
      </c>
      <c r="C4882" s="3">
        <f>IF(D4882="","",IF(V4882=0,"🟢 OK",IF(D4882&lt;corte,"⚪ HISTÓRICO (sem baixa)",IF(AND(ISNUMBER(R4882),R4882&lt;TODAY()),"🔴 PRAZO VENCIDO",IF(AND(OR(N4882="PENDENTE",N4882="PARCIAL"),D4882&lt;TODAY()-1),"🔴 EMBARQUE ATRASADO",IF(AND(N4882="REALIZADO",M4882="PENDENTE"),"🟡 EMBARCADO SEM FATURAR",IF(AND(P4882&lt;&gt;"",S4882="",OR(Q4882="",R4882="")),"🟡 PENDÊNCIA SEM RESPONSÁVEL/PRAZO",IF(AND(ISNUMBER(R4882),R4882=TODAY()),"🟡 VENCE HOJE",IF(AND(P4882&lt;&gt;"",S4882=""),"🟡 PENDÊNCIA ABERTA",IF(AND(N(J4882)&gt;0,N(K4882)&lt;J4882),"🟡 FALTA EXECUTAR",IF(OR(M4882="PENDENTE",M4882="PARCIAL"),"🟡 FATURAMENTO PENDENTE","🟡 EMBARQUE PENDENTE")))))))))))</f>
        <v/>
      </c>
      <c r="D4882" s="4" t="n"/>
      <c r="E4882" s="5" t="n"/>
      <c r="F4882" s="5" t="n"/>
      <c r="G4882" s="5" t="n"/>
      <c r="H4882" s="5" t="n"/>
      <c r="I4882" s="5" t="n"/>
      <c r="J4882" s="6" t="n"/>
      <c r="K4882" s="6" t="n"/>
      <c r="L4882" s="7">
        <f>IF(OR(D4882="",N(J4882)=0),"",MIN(1,N(K4882)/J4882))</f>
        <v/>
      </c>
      <c r="M4882" s="5" t="n"/>
      <c r="N4882" s="5" t="n"/>
      <c r="O4882" s="5" t="n"/>
      <c r="P4882" s="5" t="n"/>
      <c r="Q4882" s="5" t="n"/>
      <c r="R4882" s="4" t="n"/>
      <c r="S4882" s="4" t="n"/>
      <c r="T4882" s="5" t="n"/>
      <c r="U4882" s="8">
        <f>IF(AND(V4882=1,D4882&lt;&gt;""),IF(D4882&gt;=corte,TODAY()-D4882,""),"")</f>
        <v/>
      </c>
      <c r="V4882" s="8">
        <f>IF(D4882="",0,IF(OR(AND(P4882&lt;&gt;"",S4882=""),AND(N(J4882)&gt;0,N(K4882)&lt;J4882),OR(M4882="PENDENTE",M4882="PARCIAL"),OR(N4882="PENDENTE",N4882="PARCIAL")),1,0))</f>
        <v/>
      </c>
      <c r="W4882" s="8">
        <f>IF(AND(V4882=1,D4882&lt;&gt;""),IF(D4882&gt;=corte,(B4882="CRÍTICO")*1E9+(100000-D4882)*10000+10000-ROW(),""),"")</f>
        <v/>
      </c>
      <c r="X4882" s="8">
        <f>IF(AND(V4882=1,D4882=pas_data,E4882=pas_turno),10000-ROW(),"")</f>
        <v/>
      </c>
    </row>
    <row r="4883">
      <c r="A4883" s="3">
        <f>IF(D4883="","","TT-"&amp;TEXT(ROW()-1,"00000"))</f>
        <v/>
      </c>
      <c r="B4883" s="3">
        <f>IF(D4883="","",IF(V4883=0,"CONCLUÍDO",IF(D4883&lt;corte,"HISTÓRICO",IF(OR(AND(ISNUMBER(R4883),R4883&lt;TODAY()),AND(OR(N4883="PENDENTE",N4883="PARCIAL"),D4883&lt;TODAY()-1)),"CRÍTICO",IF(OR(AND(P4883&lt;&gt;"",S4883=""),AND(N4883="REALIZADO",M4883="PENDENTE"),AND(ISNUMBER(R4883),R4883=TODAY())),"ATENÇÃO",IF(N(K4883)=0,"PENDENTE","EM ANDAMENTO"))))))</f>
        <v/>
      </c>
      <c r="C4883" s="3">
        <f>IF(D4883="","",IF(V4883=0,"🟢 OK",IF(D4883&lt;corte,"⚪ HISTÓRICO (sem baixa)",IF(AND(ISNUMBER(R4883),R4883&lt;TODAY()),"🔴 PRAZO VENCIDO",IF(AND(OR(N4883="PENDENTE",N4883="PARCIAL"),D4883&lt;TODAY()-1),"🔴 EMBARQUE ATRASADO",IF(AND(N4883="REALIZADO",M4883="PENDENTE"),"🟡 EMBARCADO SEM FATURAR",IF(AND(P4883&lt;&gt;"",S4883="",OR(Q4883="",R4883="")),"🟡 PENDÊNCIA SEM RESPONSÁVEL/PRAZO",IF(AND(ISNUMBER(R4883),R4883=TODAY()),"🟡 VENCE HOJE",IF(AND(P4883&lt;&gt;"",S4883=""),"🟡 PENDÊNCIA ABERTA",IF(AND(N(J4883)&gt;0,N(K4883)&lt;J4883),"🟡 FALTA EXECUTAR",IF(OR(M4883="PENDENTE",M4883="PARCIAL"),"🟡 FATURAMENTO PENDENTE","🟡 EMBARQUE PENDENTE")))))))))))</f>
        <v/>
      </c>
      <c r="D4883" s="4" t="n"/>
      <c r="E4883" s="5" t="n"/>
      <c r="F4883" s="5" t="n"/>
      <c r="G4883" s="5" t="n"/>
      <c r="H4883" s="5" t="n"/>
      <c r="I4883" s="5" t="n"/>
      <c r="J4883" s="6" t="n"/>
      <c r="K4883" s="6" t="n"/>
      <c r="L4883" s="7">
        <f>IF(OR(D4883="",N(J4883)=0),"",MIN(1,N(K4883)/J4883))</f>
        <v/>
      </c>
      <c r="M4883" s="5" t="n"/>
      <c r="N4883" s="5" t="n"/>
      <c r="O4883" s="5" t="n"/>
      <c r="P4883" s="5" t="n"/>
      <c r="Q4883" s="5" t="n"/>
      <c r="R4883" s="4" t="n"/>
      <c r="S4883" s="4" t="n"/>
      <c r="T4883" s="5" t="n"/>
      <c r="U4883" s="8">
        <f>IF(AND(V4883=1,D4883&lt;&gt;""),IF(D4883&gt;=corte,TODAY()-D4883,""),"")</f>
        <v/>
      </c>
      <c r="V4883" s="8">
        <f>IF(D4883="",0,IF(OR(AND(P4883&lt;&gt;"",S4883=""),AND(N(J4883)&gt;0,N(K4883)&lt;J4883),OR(M4883="PENDENTE",M4883="PARCIAL"),OR(N4883="PENDENTE",N4883="PARCIAL")),1,0))</f>
        <v/>
      </c>
      <c r="W4883" s="8">
        <f>IF(AND(V4883=1,D4883&lt;&gt;""),IF(D4883&gt;=corte,(B4883="CRÍTICO")*1E9+(100000-D4883)*10000+10000-ROW(),""),"")</f>
        <v/>
      </c>
      <c r="X4883" s="8">
        <f>IF(AND(V4883=1,D4883=pas_data,E4883=pas_turno),10000-ROW(),"")</f>
        <v/>
      </c>
    </row>
    <row r="4884">
      <c r="A4884" s="3">
        <f>IF(D4884="","","TT-"&amp;TEXT(ROW()-1,"00000"))</f>
        <v/>
      </c>
      <c r="B4884" s="3">
        <f>IF(D4884="","",IF(V4884=0,"CONCLUÍDO",IF(D4884&lt;corte,"HISTÓRICO",IF(OR(AND(ISNUMBER(R4884),R4884&lt;TODAY()),AND(OR(N4884="PENDENTE",N4884="PARCIAL"),D4884&lt;TODAY()-1)),"CRÍTICO",IF(OR(AND(P4884&lt;&gt;"",S4884=""),AND(N4884="REALIZADO",M4884="PENDENTE"),AND(ISNUMBER(R4884),R4884=TODAY())),"ATENÇÃO",IF(N(K4884)=0,"PENDENTE","EM ANDAMENTO"))))))</f>
        <v/>
      </c>
      <c r="C4884" s="3">
        <f>IF(D4884="","",IF(V4884=0,"🟢 OK",IF(D4884&lt;corte,"⚪ HISTÓRICO (sem baixa)",IF(AND(ISNUMBER(R4884),R4884&lt;TODAY()),"🔴 PRAZO VENCIDO",IF(AND(OR(N4884="PENDENTE",N4884="PARCIAL"),D4884&lt;TODAY()-1),"🔴 EMBARQUE ATRASADO",IF(AND(N4884="REALIZADO",M4884="PENDENTE"),"🟡 EMBARCADO SEM FATURAR",IF(AND(P4884&lt;&gt;"",S4884="",OR(Q4884="",R4884="")),"🟡 PENDÊNCIA SEM RESPONSÁVEL/PRAZO",IF(AND(ISNUMBER(R4884),R4884=TODAY()),"🟡 VENCE HOJE",IF(AND(P4884&lt;&gt;"",S4884=""),"🟡 PENDÊNCIA ABERTA",IF(AND(N(J4884)&gt;0,N(K4884)&lt;J4884),"🟡 FALTA EXECUTAR",IF(OR(M4884="PENDENTE",M4884="PARCIAL"),"🟡 FATURAMENTO PENDENTE","🟡 EMBARQUE PENDENTE")))))))))))</f>
        <v/>
      </c>
      <c r="D4884" s="4" t="n"/>
      <c r="E4884" s="5" t="n"/>
      <c r="F4884" s="5" t="n"/>
      <c r="G4884" s="5" t="n"/>
      <c r="H4884" s="5" t="n"/>
      <c r="I4884" s="5" t="n"/>
      <c r="J4884" s="6" t="n"/>
      <c r="K4884" s="6" t="n"/>
      <c r="L4884" s="7">
        <f>IF(OR(D4884="",N(J4884)=0),"",MIN(1,N(K4884)/J4884))</f>
        <v/>
      </c>
      <c r="M4884" s="5" t="n"/>
      <c r="N4884" s="5" t="n"/>
      <c r="O4884" s="5" t="n"/>
      <c r="P4884" s="5" t="n"/>
      <c r="Q4884" s="5" t="n"/>
      <c r="R4884" s="4" t="n"/>
      <c r="S4884" s="4" t="n"/>
      <c r="T4884" s="5" t="n"/>
      <c r="U4884" s="8">
        <f>IF(AND(V4884=1,D4884&lt;&gt;""),IF(D4884&gt;=corte,TODAY()-D4884,""),"")</f>
        <v/>
      </c>
      <c r="V4884" s="8">
        <f>IF(D4884="",0,IF(OR(AND(P4884&lt;&gt;"",S4884=""),AND(N(J4884)&gt;0,N(K4884)&lt;J4884),OR(M4884="PENDENTE",M4884="PARCIAL"),OR(N4884="PENDENTE",N4884="PARCIAL")),1,0))</f>
        <v/>
      </c>
      <c r="W4884" s="8">
        <f>IF(AND(V4884=1,D4884&lt;&gt;""),IF(D4884&gt;=corte,(B4884="CRÍTICO")*1E9+(100000-D4884)*10000+10000-ROW(),""),"")</f>
        <v/>
      </c>
      <c r="X4884" s="8">
        <f>IF(AND(V4884=1,D4884=pas_data,E4884=pas_turno),10000-ROW(),"")</f>
        <v/>
      </c>
    </row>
    <row r="4885">
      <c r="A4885" s="3">
        <f>IF(D4885="","","TT-"&amp;TEXT(ROW()-1,"00000"))</f>
        <v/>
      </c>
      <c r="B4885" s="3">
        <f>IF(D4885="","",IF(V4885=0,"CONCLUÍDO",IF(D4885&lt;corte,"HISTÓRICO",IF(OR(AND(ISNUMBER(R4885),R4885&lt;TODAY()),AND(OR(N4885="PENDENTE",N4885="PARCIAL"),D4885&lt;TODAY()-1)),"CRÍTICO",IF(OR(AND(P4885&lt;&gt;"",S4885=""),AND(N4885="REALIZADO",M4885="PENDENTE"),AND(ISNUMBER(R4885),R4885=TODAY())),"ATENÇÃO",IF(N(K4885)=0,"PENDENTE","EM ANDAMENTO"))))))</f>
        <v/>
      </c>
      <c r="C4885" s="3">
        <f>IF(D4885="","",IF(V4885=0,"🟢 OK",IF(D4885&lt;corte,"⚪ HISTÓRICO (sem baixa)",IF(AND(ISNUMBER(R4885),R4885&lt;TODAY()),"🔴 PRAZO VENCIDO",IF(AND(OR(N4885="PENDENTE",N4885="PARCIAL"),D4885&lt;TODAY()-1),"🔴 EMBARQUE ATRASADO",IF(AND(N4885="REALIZADO",M4885="PENDENTE"),"🟡 EMBARCADO SEM FATURAR",IF(AND(P4885&lt;&gt;"",S4885="",OR(Q4885="",R4885="")),"🟡 PENDÊNCIA SEM RESPONSÁVEL/PRAZO",IF(AND(ISNUMBER(R4885),R4885=TODAY()),"🟡 VENCE HOJE",IF(AND(P4885&lt;&gt;"",S4885=""),"🟡 PENDÊNCIA ABERTA",IF(AND(N(J4885)&gt;0,N(K4885)&lt;J4885),"🟡 FALTA EXECUTAR",IF(OR(M4885="PENDENTE",M4885="PARCIAL"),"🟡 FATURAMENTO PENDENTE","🟡 EMBARQUE PENDENTE")))))))))))</f>
        <v/>
      </c>
      <c r="D4885" s="4" t="n"/>
      <c r="E4885" s="5" t="n"/>
      <c r="F4885" s="5" t="n"/>
      <c r="G4885" s="5" t="n"/>
      <c r="H4885" s="5" t="n"/>
      <c r="I4885" s="5" t="n"/>
      <c r="J4885" s="6" t="n"/>
      <c r="K4885" s="6" t="n"/>
      <c r="L4885" s="7">
        <f>IF(OR(D4885="",N(J4885)=0),"",MIN(1,N(K4885)/J4885))</f>
        <v/>
      </c>
      <c r="M4885" s="5" t="n"/>
      <c r="N4885" s="5" t="n"/>
      <c r="O4885" s="5" t="n"/>
      <c r="P4885" s="5" t="n"/>
      <c r="Q4885" s="5" t="n"/>
      <c r="R4885" s="4" t="n"/>
      <c r="S4885" s="4" t="n"/>
      <c r="T4885" s="5" t="n"/>
      <c r="U4885" s="8">
        <f>IF(AND(V4885=1,D4885&lt;&gt;""),IF(D4885&gt;=corte,TODAY()-D4885,""),"")</f>
        <v/>
      </c>
      <c r="V4885" s="8">
        <f>IF(D4885="",0,IF(OR(AND(P4885&lt;&gt;"",S4885=""),AND(N(J4885)&gt;0,N(K4885)&lt;J4885),OR(M4885="PENDENTE",M4885="PARCIAL"),OR(N4885="PENDENTE",N4885="PARCIAL")),1,0))</f>
        <v/>
      </c>
      <c r="W4885" s="8">
        <f>IF(AND(V4885=1,D4885&lt;&gt;""),IF(D4885&gt;=corte,(B4885="CRÍTICO")*1E9+(100000-D4885)*10000+10000-ROW(),""),"")</f>
        <v/>
      </c>
      <c r="X4885" s="8">
        <f>IF(AND(V4885=1,D4885=pas_data,E4885=pas_turno),10000-ROW(),"")</f>
        <v/>
      </c>
    </row>
    <row r="4886">
      <c r="A4886" s="3">
        <f>IF(D4886="","","TT-"&amp;TEXT(ROW()-1,"00000"))</f>
        <v/>
      </c>
      <c r="B4886" s="3">
        <f>IF(D4886="","",IF(V4886=0,"CONCLUÍDO",IF(D4886&lt;corte,"HISTÓRICO",IF(OR(AND(ISNUMBER(R4886),R4886&lt;TODAY()),AND(OR(N4886="PENDENTE",N4886="PARCIAL"),D4886&lt;TODAY()-1)),"CRÍTICO",IF(OR(AND(P4886&lt;&gt;"",S4886=""),AND(N4886="REALIZADO",M4886="PENDENTE"),AND(ISNUMBER(R4886),R4886=TODAY())),"ATENÇÃO",IF(N(K4886)=0,"PENDENTE","EM ANDAMENTO"))))))</f>
        <v/>
      </c>
      <c r="C4886" s="3">
        <f>IF(D4886="","",IF(V4886=0,"🟢 OK",IF(D4886&lt;corte,"⚪ HISTÓRICO (sem baixa)",IF(AND(ISNUMBER(R4886),R4886&lt;TODAY()),"🔴 PRAZO VENCIDO",IF(AND(OR(N4886="PENDENTE",N4886="PARCIAL"),D4886&lt;TODAY()-1),"🔴 EMBARQUE ATRASADO",IF(AND(N4886="REALIZADO",M4886="PENDENTE"),"🟡 EMBARCADO SEM FATURAR",IF(AND(P4886&lt;&gt;"",S4886="",OR(Q4886="",R4886="")),"🟡 PENDÊNCIA SEM RESPONSÁVEL/PRAZO",IF(AND(ISNUMBER(R4886),R4886=TODAY()),"🟡 VENCE HOJE",IF(AND(P4886&lt;&gt;"",S4886=""),"🟡 PENDÊNCIA ABERTA",IF(AND(N(J4886)&gt;0,N(K4886)&lt;J4886),"🟡 FALTA EXECUTAR",IF(OR(M4886="PENDENTE",M4886="PARCIAL"),"🟡 FATURAMENTO PENDENTE","🟡 EMBARQUE PENDENTE")))))))))))</f>
        <v/>
      </c>
      <c r="D4886" s="4" t="n"/>
      <c r="E4886" s="5" t="n"/>
      <c r="F4886" s="5" t="n"/>
      <c r="G4886" s="5" t="n"/>
      <c r="H4886" s="5" t="n"/>
      <c r="I4886" s="5" t="n"/>
      <c r="J4886" s="6" t="n"/>
      <c r="K4886" s="6" t="n"/>
      <c r="L4886" s="7">
        <f>IF(OR(D4886="",N(J4886)=0),"",MIN(1,N(K4886)/J4886))</f>
        <v/>
      </c>
      <c r="M4886" s="5" t="n"/>
      <c r="N4886" s="5" t="n"/>
      <c r="O4886" s="5" t="n"/>
      <c r="P4886" s="5" t="n"/>
      <c r="Q4886" s="5" t="n"/>
      <c r="R4886" s="4" t="n"/>
      <c r="S4886" s="4" t="n"/>
      <c r="T4886" s="5" t="n"/>
      <c r="U4886" s="8">
        <f>IF(AND(V4886=1,D4886&lt;&gt;""),IF(D4886&gt;=corte,TODAY()-D4886,""),"")</f>
        <v/>
      </c>
      <c r="V4886" s="8">
        <f>IF(D4886="",0,IF(OR(AND(P4886&lt;&gt;"",S4886=""),AND(N(J4886)&gt;0,N(K4886)&lt;J4886),OR(M4886="PENDENTE",M4886="PARCIAL"),OR(N4886="PENDENTE",N4886="PARCIAL")),1,0))</f>
        <v/>
      </c>
      <c r="W4886" s="8">
        <f>IF(AND(V4886=1,D4886&lt;&gt;""),IF(D4886&gt;=corte,(B4886="CRÍTICO")*1E9+(100000-D4886)*10000+10000-ROW(),""),"")</f>
        <v/>
      </c>
      <c r="X4886" s="8">
        <f>IF(AND(V4886=1,D4886=pas_data,E4886=pas_turno),10000-ROW(),"")</f>
        <v/>
      </c>
    </row>
    <row r="4887">
      <c r="A4887" s="3">
        <f>IF(D4887="","","TT-"&amp;TEXT(ROW()-1,"00000"))</f>
        <v/>
      </c>
      <c r="B4887" s="3">
        <f>IF(D4887="","",IF(V4887=0,"CONCLUÍDO",IF(D4887&lt;corte,"HISTÓRICO",IF(OR(AND(ISNUMBER(R4887),R4887&lt;TODAY()),AND(OR(N4887="PENDENTE",N4887="PARCIAL"),D4887&lt;TODAY()-1)),"CRÍTICO",IF(OR(AND(P4887&lt;&gt;"",S4887=""),AND(N4887="REALIZADO",M4887="PENDENTE"),AND(ISNUMBER(R4887),R4887=TODAY())),"ATENÇÃO",IF(N(K4887)=0,"PENDENTE","EM ANDAMENTO"))))))</f>
        <v/>
      </c>
      <c r="C4887" s="3">
        <f>IF(D4887="","",IF(V4887=0,"🟢 OK",IF(D4887&lt;corte,"⚪ HISTÓRICO (sem baixa)",IF(AND(ISNUMBER(R4887),R4887&lt;TODAY()),"🔴 PRAZO VENCIDO",IF(AND(OR(N4887="PENDENTE",N4887="PARCIAL"),D4887&lt;TODAY()-1),"🔴 EMBARQUE ATRASADO",IF(AND(N4887="REALIZADO",M4887="PENDENTE"),"🟡 EMBARCADO SEM FATURAR",IF(AND(P4887&lt;&gt;"",S4887="",OR(Q4887="",R4887="")),"🟡 PENDÊNCIA SEM RESPONSÁVEL/PRAZO",IF(AND(ISNUMBER(R4887),R4887=TODAY()),"🟡 VENCE HOJE",IF(AND(P4887&lt;&gt;"",S4887=""),"🟡 PENDÊNCIA ABERTA",IF(AND(N(J4887)&gt;0,N(K4887)&lt;J4887),"🟡 FALTA EXECUTAR",IF(OR(M4887="PENDENTE",M4887="PARCIAL"),"🟡 FATURAMENTO PENDENTE","🟡 EMBARQUE PENDENTE")))))))))))</f>
        <v/>
      </c>
      <c r="D4887" s="4" t="n"/>
      <c r="E4887" s="5" t="n"/>
      <c r="F4887" s="5" t="n"/>
      <c r="G4887" s="5" t="n"/>
      <c r="H4887" s="5" t="n"/>
      <c r="I4887" s="5" t="n"/>
      <c r="J4887" s="6" t="n"/>
      <c r="K4887" s="6" t="n"/>
      <c r="L4887" s="7">
        <f>IF(OR(D4887="",N(J4887)=0),"",MIN(1,N(K4887)/J4887))</f>
        <v/>
      </c>
      <c r="M4887" s="5" t="n"/>
      <c r="N4887" s="5" t="n"/>
      <c r="O4887" s="5" t="n"/>
      <c r="P4887" s="5" t="n"/>
      <c r="Q4887" s="5" t="n"/>
      <c r="R4887" s="4" t="n"/>
      <c r="S4887" s="4" t="n"/>
      <c r="T4887" s="5" t="n"/>
      <c r="U4887" s="8">
        <f>IF(AND(V4887=1,D4887&lt;&gt;""),IF(D4887&gt;=corte,TODAY()-D4887,""),"")</f>
        <v/>
      </c>
      <c r="V4887" s="8">
        <f>IF(D4887="",0,IF(OR(AND(P4887&lt;&gt;"",S4887=""),AND(N(J4887)&gt;0,N(K4887)&lt;J4887),OR(M4887="PENDENTE",M4887="PARCIAL"),OR(N4887="PENDENTE",N4887="PARCIAL")),1,0))</f>
        <v/>
      </c>
      <c r="W4887" s="8">
        <f>IF(AND(V4887=1,D4887&lt;&gt;""),IF(D4887&gt;=corte,(B4887="CRÍTICO")*1E9+(100000-D4887)*10000+10000-ROW(),""),"")</f>
        <v/>
      </c>
      <c r="X4887" s="8">
        <f>IF(AND(V4887=1,D4887=pas_data,E4887=pas_turno),10000-ROW(),"")</f>
        <v/>
      </c>
    </row>
    <row r="4888">
      <c r="A4888" s="3">
        <f>IF(D4888="","","TT-"&amp;TEXT(ROW()-1,"00000"))</f>
        <v/>
      </c>
      <c r="B4888" s="3">
        <f>IF(D4888="","",IF(V4888=0,"CONCLUÍDO",IF(D4888&lt;corte,"HISTÓRICO",IF(OR(AND(ISNUMBER(R4888),R4888&lt;TODAY()),AND(OR(N4888="PENDENTE",N4888="PARCIAL"),D4888&lt;TODAY()-1)),"CRÍTICO",IF(OR(AND(P4888&lt;&gt;"",S4888=""),AND(N4888="REALIZADO",M4888="PENDENTE"),AND(ISNUMBER(R4888),R4888=TODAY())),"ATENÇÃO",IF(N(K4888)=0,"PENDENTE","EM ANDAMENTO"))))))</f>
        <v/>
      </c>
      <c r="C4888" s="3">
        <f>IF(D4888="","",IF(V4888=0,"🟢 OK",IF(D4888&lt;corte,"⚪ HISTÓRICO (sem baixa)",IF(AND(ISNUMBER(R4888),R4888&lt;TODAY()),"🔴 PRAZO VENCIDO",IF(AND(OR(N4888="PENDENTE",N4888="PARCIAL"),D4888&lt;TODAY()-1),"🔴 EMBARQUE ATRASADO",IF(AND(N4888="REALIZADO",M4888="PENDENTE"),"🟡 EMBARCADO SEM FATURAR",IF(AND(P4888&lt;&gt;"",S4888="",OR(Q4888="",R4888="")),"🟡 PENDÊNCIA SEM RESPONSÁVEL/PRAZO",IF(AND(ISNUMBER(R4888),R4888=TODAY()),"🟡 VENCE HOJE",IF(AND(P4888&lt;&gt;"",S4888=""),"🟡 PENDÊNCIA ABERTA",IF(AND(N(J4888)&gt;0,N(K4888)&lt;J4888),"🟡 FALTA EXECUTAR",IF(OR(M4888="PENDENTE",M4888="PARCIAL"),"🟡 FATURAMENTO PENDENTE","🟡 EMBARQUE PENDENTE")))))))))))</f>
        <v/>
      </c>
      <c r="D4888" s="4" t="n"/>
      <c r="E4888" s="5" t="n"/>
      <c r="F4888" s="5" t="n"/>
      <c r="G4888" s="5" t="n"/>
      <c r="H4888" s="5" t="n"/>
      <c r="I4888" s="5" t="n"/>
      <c r="J4888" s="6" t="n"/>
      <c r="K4888" s="6" t="n"/>
      <c r="L4888" s="7">
        <f>IF(OR(D4888="",N(J4888)=0),"",MIN(1,N(K4888)/J4888))</f>
        <v/>
      </c>
      <c r="M4888" s="5" t="n"/>
      <c r="N4888" s="5" t="n"/>
      <c r="O4888" s="5" t="n"/>
      <c r="P4888" s="5" t="n"/>
      <c r="Q4888" s="5" t="n"/>
      <c r="R4888" s="4" t="n"/>
      <c r="S4888" s="4" t="n"/>
      <c r="T4888" s="5" t="n"/>
      <c r="U4888" s="8">
        <f>IF(AND(V4888=1,D4888&lt;&gt;""),IF(D4888&gt;=corte,TODAY()-D4888,""),"")</f>
        <v/>
      </c>
      <c r="V4888" s="8">
        <f>IF(D4888="",0,IF(OR(AND(P4888&lt;&gt;"",S4888=""),AND(N(J4888)&gt;0,N(K4888)&lt;J4888),OR(M4888="PENDENTE",M4888="PARCIAL"),OR(N4888="PENDENTE",N4888="PARCIAL")),1,0))</f>
        <v/>
      </c>
      <c r="W4888" s="8">
        <f>IF(AND(V4888=1,D4888&lt;&gt;""),IF(D4888&gt;=corte,(B4888="CRÍTICO")*1E9+(100000-D4888)*10000+10000-ROW(),""),"")</f>
        <v/>
      </c>
      <c r="X4888" s="8">
        <f>IF(AND(V4888=1,D4888=pas_data,E4888=pas_turno),10000-ROW(),"")</f>
        <v/>
      </c>
    </row>
    <row r="4889">
      <c r="A4889" s="3">
        <f>IF(D4889="","","TT-"&amp;TEXT(ROW()-1,"00000"))</f>
        <v/>
      </c>
      <c r="B4889" s="3">
        <f>IF(D4889="","",IF(V4889=0,"CONCLUÍDO",IF(D4889&lt;corte,"HISTÓRICO",IF(OR(AND(ISNUMBER(R4889),R4889&lt;TODAY()),AND(OR(N4889="PENDENTE",N4889="PARCIAL"),D4889&lt;TODAY()-1)),"CRÍTICO",IF(OR(AND(P4889&lt;&gt;"",S4889=""),AND(N4889="REALIZADO",M4889="PENDENTE"),AND(ISNUMBER(R4889),R4889=TODAY())),"ATENÇÃO",IF(N(K4889)=0,"PENDENTE","EM ANDAMENTO"))))))</f>
        <v/>
      </c>
      <c r="C4889" s="3">
        <f>IF(D4889="","",IF(V4889=0,"🟢 OK",IF(D4889&lt;corte,"⚪ HISTÓRICO (sem baixa)",IF(AND(ISNUMBER(R4889),R4889&lt;TODAY()),"🔴 PRAZO VENCIDO",IF(AND(OR(N4889="PENDENTE",N4889="PARCIAL"),D4889&lt;TODAY()-1),"🔴 EMBARQUE ATRASADO",IF(AND(N4889="REALIZADO",M4889="PENDENTE"),"🟡 EMBARCADO SEM FATURAR",IF(AND(P4889&lt;&gt;"",S4889="",OR(Q4889="",R4889="")),"🟡 PENDÊNCIA SEM RESPONSÁVEL/PRAZO",IF(AND(ISNUMBER(R4889),R4889=TODAY()),"🟡 VENCE HOJE",IF(AND(P4889&lt;&gt;"",S4889=""),"🟡 PENDÊNCIA ABERTA",IF(AND(N(J4889)&gt;0,N(K4889)&lt;J4889),"🟡 FALTA EXECUTAR",IF(OR(M4889="PENDENTE",M4889="PARCIAL"),"🟡 FATURAMENTO PENDENTE","🟡 EMBARQUE PENDENTE")))))))))))</f>
        <v/>
      </c>
      <c r="D4889" s="4" t="n"/>
      <c r="E4889" s="5" t="n"/>
      <c r="F4889" s="5" t="n"/>
      <c r="G4889" s="5" t="n"/>
      <c r="H4889" s="5" t="n"/>
      <c r="I4889" s="5" t="n"/>
      <c r="J4889" s="6" t="n"/>
      <c r="K4889" s="6" t="n"/>
      <c r="L4889" s="7">
        <f>IF(OR(D4889="",N(J4889)=0),"",MIN(1,N(K4889)/J4889))</f>
        <v/>
      </c>
      <c r="M4889" s="5" t="n"/>
      <c r="N4889" s="5" t="n"/>
      <c r="O4889" s="5" t="n"/>
      <c r="P4889" s="5" t="n"/>
      <c r="Q4889" s="5" t="n"/>
      <c r="R4889" s="4" t="n"/>
      <c r="S4889" s="4" t="n"/>
      <c r="T4889" s="5" t="n"/>
      <c r="U4889" s="8">
        <f>IF(AND(V4889=1,D4889&lt;&gt;""),IF(D4889&gt;=corte,TODAY()-D4889,""),"")</f>
        <v/>
      </c>
      <c r="V4889" s="8">
        <f>IF(D4889="",0,IF(OR(AND(P4889&lt;&gt;"",S4889=""),AND(N(J4889)&gt;0,N(K4889)&lt;J4889),OR(M4889="PENDENTE",M4889="PARCIAL"),OR(N4889="PENDENTE",N4889="PARCIAL")),1,0))</f>
        <v/>
      </c>
      <c r="W4889" s="8">
        <f>IF(AND(V4889=1,D4889&lt;&gt;""),IF(D4889&gt;=corte,(B4889="CRÍTICO")*1E9+(100000-D4889)*10000+10000-ROW(),""),"")</f>
        <v/>
      </c>
      <c r="X4889" s="8">
        <f>IF(AND(V4889=1,D4889=pas_data,E4889=pas_turno),10000-ROW(),"")</f>
        <v/>
      </c>
    </row>
    <row r="4890">
      <c r="A4890" s="3">
        <f>IF(D4890="","","TT-"&amp;TEXT(ROW()-1,"00000"))</f>
        <v/>
      </c>
      <c r="B4890" s="3">
        <f>IF(D4890="","",IF(V4890=0,"CONCLUÍDO",IF(D4890&lt;corte,"HISTÓRICO",IF(OR(AND(ISNUMBER(R4890),R4890&lt;TODAY()),AND(OR(N4890="PENDENTE",N4890="PARCIAL"),D4890&lt;TODAY()-1)),"CRÍTICO",IF(OR(AND(P4890&lt;&gt;"",S4890=""),AND(N4890="REALIZADO",M4890="PENDENTE"),AND(ISNUMBER(R4890),R4890=TODAY())),"ATENÇÃO",IF(N(K4890)=0,"PENDENTE","EM ANDAMENTO"))))))</f>
        <v/>
      </c>
      <c r="C4890" s="3">
        <f>IF(D4890="","",IF(V4890=0,"🟢 OK",IF(D4890&lt;corte,"⚪ HISTÓRICO (sem baixa)",IF(AND(ISNUMBER(R4890),R4890&lt;TODAY()),"🔴 PRAZO VENCIDO",IF(AND(OR(N4890="PENDENTE",N4890="PARCIAL"),D4890&lt;TODAY()-1),"🔴 EMBARQUE ATRASADO",IF(AND(N4890="REALIZADO",M4890="PENDENTE"),"🟡 EMBARCADO SEM FATURAR",IF(AND(P4890&lt;&gt;"",S4890="",OR(Q4890="",R4890="")),"🟡 PENDÊNCIA SEM RESPONSÁVEL/PRAZO",IF(AND(ISNUMBER(R4890),R4890=TODAY()),"🟡 VENCE HOJE",IF(AND(P4890&lt;&gt;"",S4890=""),"🟡 PENDÊNCIA ABERTA",IF(AND(N(J4890)&gt;0,N(K4890)&lt;J4890),"🟡 FALTA EXECUTAR",IF(OR(M4890="PENDENTE",M4890="PARCIAL"),"🟡 FATURAMENTO PENDENTE","🟡 EMBARQUE PENDENTE")))))))))))</f>
        <v/>
      </c>
      <c r="D4890" s="4" t="n"/>
      <c r="E4890" s="5" t="n"/>
      <c r="F4890" s="5" t="n"/>
      <c r="G4890" s="5" t="n"/>
      <c r="H4890" s="5" t="n"/>
      <c r="I4890" s="5" t="n"/>
      <c r="J4890" s="6" t="n"/>
      <c r="K4890" s="6" t="n"/>
      <c r="L4890" s="7">
        <f>IF(OR(D4890="",N(J4890)=0),"",MIN(1,N(K4890)/J4890))</f>
        <v/>
      </c>
      <c r="M4890" s="5" t="n"/>
      <c r="N4890" s="5" t="n"/>
      <c r="O4890" s="5" t="n"/>
      <c r="P4890" s="5" t="n"/>
      <c r="Q4890" s="5" t="n"/>
      <c r="R4890" s="4" t="n"/>
      <c r="S4890" s="4" t="n"/>
      <c r="T4890" s="5" t="n"/>
      <c r="U4890" s="8">
        <f>IF(AND(V4890=1,D4890&lt;&gt;""),IF(D4890&gt;=corte,TODAY()-D4890,""),"")</f>
        <v/>
      </c>
      <c r="V4890" s="8">
        <f>IF(D4890="",0,IF(OR(AND(P4890&lt;&gt;"",S4890=""),AND(N(J4890)&gt;0,N(K4890)&lt;J4890),OR(M4890="PENDENTE",M4890="PARCIAL"),OR(N4890="PENDENTE",N4890="PARCIAL")),1,0))</f>
        <v/>
      </c>
      <c r="W4890" s="8">
        <f>IF(AND(V4890=1,D4890&lt;&gt;""),IF(D4890&gt;=corte,(B4890="CRÍTICO")*1E9+(100000-D4890)*10000+10000-ROW(),""),"")</f>
        <v/>
      </c>
      <c r="X4890" s="8">
        <f>IF(AND(V4890=1,D4890=pas_data,E4890=pas_turno),10000-ROW(),"")</f>
        <v/>
      </c>
    </row>
    <row r="4891">
      <c r="A4891" s="3">
        <f>IF(D4891="","","TT-"&amp;TEXT(ROW()-1,"00000"))</f>
        <v/>
      </c>
      <c r="B4891" s="3">
        <f>IF(D4891="","",IF(V4891=0,"CONCLUÍDO",IF(D4891&lt;corte,"HISTÓRICO",IF(OR(AND(ISNUMBER(R4891),R4891&lt;TODAY()),AND(OR(N4891="PENDENTE",N4891="PARCIAL"),D4891&lt;TODAY()-1)),"CRÍTICO",IF(OR(AND(P4891&lt;&gt;"",S4891=""),AND(N4891="REALIZADO",M4891="PENDENTE"),AND(ISNUMBER(R4891),R4891=TODAY())),"ATENÇÃO",IF(N(K4891)=0,"PENDENTE","EM ANDAMENTO"))))))</f>
        <v/>
      </c>
      <c r="C4891" s="3">
        <f>IF(D4891="","",IF(V4891=0,"🟢 OK",IF(D4891&lt;corte,"⚪ HISTÓRICO (sem baixa)",IF(AND(ISNUMBER(R4891),R4891&lt;TODAY()),"🔴 PRAZO VENCIDO",IF(AND(OR(N4891="PENDENTE",N4891="PARCIAL"),D4891&lt;TODAY()-1),"🔴 EMBARQUE ATRASADO",IF(AND(N4891="REALIZADO",M4891="PENDENTE"),"🟡 EMBARCADO SEM FATURAR",IF(AND(P4891&lt;&gt;"",S4891="",OR(Q4891="",R4891="")),"🟡 PENDÊNCIA SEM RESPONSÁVEL/PRAZO",IF(AND(ISNUMBER(R4891),R4891=TODAY()),"🟡 VENCE HOJE",IF(AND(P4891&lt;&gt;"",S4891=""),"🟡 PENDÊNCIA ABERTA",IF(AND(N(J4891)&gt;0,N(K4891)&lt;J4891),"🟡 FALTA EXECUTAR",IF(OR(M4891="PENDENTE",M4891="PARCIAL"),"🟡 FATURAMENTO PENDENTE","🟡 EMBARQUE PENDENTE")))))))))))</f>
        <v/>
      </c>
      <c r="D4891" s="4" t="n"/>
      <c r="E4891" s="5" t="n"/>
      <c r="F4891" s="5" t="n"/>
      <c r="G4891" s="5" t="n"/>
      <c r="H4891" s="5" t="n"/>
      <c r="I4891" s="5" t="n"/>
      <c r="J4891" s="6" t="n"/>
      <c r="K4891" s="6" t="n"/>
      <c r="L4891" s="7">
        <f>IF(OR(D4891="",N(J4891)=0),"",MIN(1,N(K4891)/J4891))</f>
        <v/>
      </c>
      <c r="M4891" s="5" t="n"/>
      <c r="N4891" s="5" t="n"/>
      <c r="O4891" s="5" t="n"/>
      <c r="P4891" s="5" t="n"/>
      <c r="Q4891" s="5" t="n"/>
      <c r="R4891" s="4" t="n"/>
      <c r="S4891" s="4" t="n"/>
      <c r="T4891" s="5" t="n"/>
      <c r="U4891" s="8">
        <f>IF(AND(V4891=1,D4891&lt;&gt;""),IF(D4891&gt;=corte,TODAY()-D4891,""),"")</f>
        <v/>
      </c>
      <c r="V4891" s="8">
        <f>IF(D4891="",0,IF(OR(AND(P4891&lt;&gt;"",S4891=""),AND(N(J4891)&gt;0,N(K4891)&lt;J4891),OR(M4891="PENDENTE",M4891="PARCIAL"),OR(N4891="PENDENTE",N4891="PARCIAL")),1,0))</f>
        <v/>
      </c>
      <c r="W4891" s="8">
        <f>IF(AND(V4891=1,D4891&lt;&gt;""),IF(D4891&gt;=corte,(B4891="CRÍTICO")*1E9+(100000-D4891)*10000+10000-ROW(),""),"")</f>
        <v/>
      </c>
      <c r="X4891" s="8">
        <f>IF(AND(V4891=1,D4891=pas_data,E4891=pas_turno),10000-ROW(),"")</f>
        <v/>
      </c>
    </row>
    <row r="4892">
      <c r="A4892" s="3">
        <f>IF(D4892="","","TT-"&amp;TEXT(ROW()-1,"00000"))</f>
        <v/>
      </c>
      <c r="B4892" s="3">
        <f>IF(D4892="","",IF(V4892=0,"CONCLUÍDO",IF(D4892&lt;corte,"HISTÓRICO",IF(OR(AND(ISNUMBER(R4892),R4892&lt;TODAY()),AND(OR(N4892="PENDENTE",N4892="PARCIAL"),D4892&lt;TODAY()-1)),"CRÍTICO",IF(OR(AND(P4892&lt;&gt;"",S4892=""),AND(N4892="REALIZADO",M4892="PENDENTE"),AND(ISNUMBER(R4892),R4892=TODAY())),"ATENÇÃO",IF(N(K4892)=0,"PENDENTE","EM ANDAMENTO"))))))</f>
        <v/>
      </c>
      <c r="C4892" s="3">
        <f>IF(D4892="","",IF(V4892=0,"🟢 OK",IF(D4892&lt;corte,"⚪ HISTÓRICO (sem baixa)",IF(AND(ISNUMBER(R4892),R4892&lt;TODAY()),"🔴 PRAZO VENCIDO",IF(AND(OR(N4892="PENDENTE",N4892="PARCIAL"),D4892&lt;TODAY()-1),"🔴 EMBARQUE ATRASADO",IF(AND(N4892="REALIZADO",M4892="PENDENTE"),"🟡 EMBARCADO SEM FATURAR",IF(AND(P4892&lt;&gt;"",S4892="",OR(Q4892="",R4892="")),"🟡 PENDÊNCIA SEM RESPONSÁVEL/PRAZO",IF(AND(ISNUMBER(R4892),R4892=TODAY()),"🟡 VENCE HOJE",IF(AND(P4892&lt;&gt;"",S4892=""),"🟡 PENDÊNCIA ABERTA",IF(AND(N(J4892)&gt;0,N(K4892)&lt;J4892),"🟡 FALTA EXECUTAR",IF(OR(M4892="PENDENTE",M4892="PARCIAL"),"🟡 FATURAMENTO PENDENTE","🟡 EMBARQUE PENDENTE")))))))))))</f>
        <v/>
      </c>
      <c r="D4892" s="4" t="n"/>
      <c r="E4892" s="5" t="n"/>
      <c r="F4892" s="5" t="n"/>
      <c r="G4892" s="5" t="n"/>
      <c r="H4892" s="5" t="n"/>
      <c r="I4892" s="5" t="n"/>
      <c r="J4892" s="6" t="n"/>
      <c r="K4892" s="6" t="n"/>
      <c r="L4892" s="7">
        <f>IF(OR(D4892="",N(J4892)=0),"",MIN(1,N(K4892)/J4892))</f>
        <v/>
      </c>
      <c r="M4892" s="5" t="n"/>
      <c r="N4892" s="5" t="n"/>
      <c r="O4892" s="5" t="n"/>
      <c r="P4892" s="5" t="n"/>
      <c r="Q4892" s="5" t="n"/>
      <c r="R4892" s="4" t="n"/>
      <c r="S4892" s="4" t="n"/>
      <c r="T4892" s="5" t="n"/>
      <c r="U4892" s="8">
        <f>IF(AND(V4892=1,D4892&lt;&gt;""),IF(D4892&gt;=corte,TODAY()-D4892,""),"")</f>
        <v/>
      </c>
      <c r="V4892" s="8">
        <f>IF(D4892="",0,IF(OR(AND(P4892&lt;&gt;"",S4892=""),AND(N(J4892)&gt;0,N(K4892)&lt;J4892),OR(M4892="PENDENTE",M4892="PARCIAL"),OR(N4892="PENDENTE",N4892="PARCIAL")),1,0))</f>
        <v/>
      </c>
      <c r="W4892" s="8">
        <f>IF(AND(V4892=1,D4892&lt;&gt;""),IF(D4892&gt;=corte,(B4892="CRÍTICO")*1E9+(100000-D4892)*10000+10000-ROW(),""),"")</f>
        <v/>
      </c>
      <c r="X4892" s="8">
        <f>IF(AND(V4892=1,D4892=pas_data,E4892=pas_turno),10000-ROW(),"")</f>
        <v/>
      </c>
    </row>
    <row r="4893">
      <c r="A4893" s="3">
        <f>IF(D4893="","","TT-"&amp;TEXT(ROW()-1,"00000"))</f>
        <v/>
      </c>
      <c r="B4893" s="3">
        <f>IF(D4893="","",IF(V4893=0,"CONCLUÍDO",IF(D4893&lt;corte,"HISTÓRICO",IF(OR(AND(ISNUMBER(R4893),R4893&lt;TODAY()),AND(OR(N4893="PENDENTE",N4893="PARCIAL"),D4893&lt;TODAY()-1)),"CRÍTICO",IF(OR(AND(P4893&lt;&gt;"",S4893=""),AND(N4893="REALIZADO",M4893="PENDENTE"),AND(ISNUMBER(R4893),R4893=TODAY())),"ATENÇÃO",IF(N(K4893)=0,"PENDENTE","EM ANDAMENTO"))))))</f>
        <v/>
      </c>
      <c r="C4893" s="3">
        <f>IF(D4893="","",IF(V4893=0,"🟢 OK",IF(D4893&lt;corte,"⚪ HISTÓRICO (sem baixa)",IF(AND(ISNUMBER(R4893),R4893&lt;TODAY()),"🔴 PRAZO VENCIDO",IF(AND(OR(N4893="PENDENTE",N4893="PARCIAL"),D4893&lt;TODAY()-1),"🔴 EMBARQUE ATRASADO",IF(AND(N4893="REALIZADO",M4893="PENDENTE"),"🟡 EMBARCADO SEM FATURAR",IF(AND(P4893&lt;&gt;"",S4893="",OR(Q4893="",R4893="")),"🟡 PENDÊNCIA SEM RESPONSÁVEL/PRAZO",IF(AND(ISNUMBER(R4893),R4893=TODAY()),"🟡 VENCE HOJE",IF(AND(P4893&lt;&gt;"",S4893=""),"🟡 PENDÊNCIA ABERTA",IF(AND(N(J4893)&gt;0,N(K4893)&lt;J4893),"🟡 FALTA EXECUTAR",IF(OR(M4893="PENDENTE",M4893="PARCIAL"),"🟡 FATURAMENTO PENDENTE","🟡 EMBARQUE PENDENTE")))))))))))</f>
        <v/>
      </c>
      <c r="D4893" s="4" t="n"/>
      <c r="E4893" s="5" t="n"/>
      <c r="F4893" s="5" t="n"/>
      <c r="G4893" s="5" t="n"/>
      <c r="H4893" s="5" t="n"/>
      <c r="I4893" s="5" t="n"/>
      <c r="J4893" s="6" t="n"/>
      <c r="K4893" s="6" t="n"/>
      <c r="L4893" s="7">
        <f>IF(OR(D4893="",N(J4893)=0),"",MIN(1,N(K4893)/J4893))</f>
        <v/>
      </c>
      <c r="M4893" s="5" t="n"/>
      <c r="N4893" s="5" t="n"/>
      <c r="O4893" s="5" t="n"/>
      <c r="P4893" s="5" t="n"/>
      <c r="Q4893" s="5" t="n"/>
      <c r="R4893" s="4" t="n"/>
      <c r="S4893" s="4" t="n"/>
      <c r="T4893" s="5" t="n"/>
      <c r="U4893" s="8">
        <f>IF(AND(V4893=1,D4893&lt;&gt;""),IF(D4893&gt;=corte,TODAY()-D4893,""),"")</f>
        <v/>
      </c>
      <c r="V4893" s="8">
        <f>IF(D4893="",0,IF(OR(AND(P4893&lt;&gt;"",S4893=""),AND(N(J4893)&gt;0,N(K4893)&lt;J4893),OR(M4893="PENDENTE",M4893="PARCIAL"),OR(N4893="PENDENTE",N4893="PARCIAL")),1,0))</f>
        <v/>
      </c>
      <c r="W4893" s="8">
        <f>IF(AND(V4893=1,D4893&lt;&gt;""),IF(D4893&gt;=corte,(B4893="CRÍTICO")*1E9+(100000-D4893)*10000+10000-ROW(),""),"")</f>
        <v/>
      </c>
      <c r="X4893" s="8">
        <f>IF(AND(V4893=1,D4893=pas_data,E4893=pas_turno),10000-ROW(),"")</f>
        <v/>
      </c>
    </row>
    <row r="4894">
      <c r="A4894" s="3">
        <f>IF(D4894="","","TT-"&amp;TEXT(ROW()-1,"00000"))</f>
        <v/>
      </c>
      <c r="B4894" s="3">
        <f>IF(D4894="","",IF(V4894=0,"CONCLUÍDO",IF(D4894&lt;corte,"HISTÓRICO",IF(OR(AND(ISNUMBER(R4894),R4894&lt;TODAY()),AND(OR(N4894="PENDENTE",N4894="PARCIAL"),D4894&lt;TODAY()-1)),"CRÍTICO",IF(OR(AND(P4894&lt;&gt;"",S4894=""),AND(N4894="REALIZADO",M4894="PENDENTE"),AND(ISNUMBER(R4894),R4894=TODAY())),"ATENÇÃO",IF(N(K4894)=0,"PENDENTE","EM ANDAMENTO"))))))</f>
        <v/>
      </c>
      <c r="C4894" s="3">
        <f>IF(D4894="","",IF(V4894=0,"🟢 OK",IF(D4894&lt;corte,"⚪ HISTÓRICO (sem baixa)",IF(AND(ISNUMBER(R4894),R4894&lt;TODAY()),"🔴 PRAZO VENCIDO",IF(AND(OR(N4894="PENDENTE",N4894="PARCIAL"),D4894&lt;TODAY()-1),"🔴 EMBARQUE ATRASADO",IF(AND(N4894="REALIZADO",M4894="PENDENTE"),"🟡 EMBARCADO SEM FATURAR",IF(AND(P4894&lt;&gt;"",S4894="",OR(Q4894="",R4894="")),"🟡 PENDÊNCIA SEM RESPONSÁVEL/PRAZO",IF(AND(ISNUMBER(R4894),R4894=TODAY()),"🟡 VENCE HOJE",IF(AND(P4894&lt;&gt;"",S4894=""),"🟡 PENDÊNCIA ABERTA",IF(AND(N(J4894)&gt;0,N(K4894)&lt;J4894),"🟡 FALTA EXECUTAR",IF(OR(M4894="PENDENTE",M4894="PARCIAL"),"🟡 FATURAMENTO PENDENTE","🟡 EMBARQUE PENDENTE")))))))))))</f>
        <v/>
      </c>
      <c r="D4894" s="4" t="n"/>
      <c r="E4894" s="5" t="n"/>
      <c r="F4894" s="5" t="n"/>
      <c r="G4894" s="5" t="n"/>
      <c r="H4894" s="5" t="n"/>
      <c r="I4894" s="5" t="n"/>
      <c r="J4894" s="6" t="n"/>
      <c r="K4894" s="6" t="n"/>
      <c r="L4894" s="7">
        <f>IF(OR(D4894="",N(J4894)=0),"",MIN(1,N(K4894)/J4894))</f>
        <v/>
      </c>
      <c r="M4894" s="5" t="n"/>
      <c r="N4894" s="5" t="n"/>
      <c r="O4894" s="5" t="n"/>
      <c r="P4894" s="5" t="n"/>
      <c r="Q4894" s="5" t="n"/>
      <c r="R4894" s="4" t="n"/>
      <c r="S4894" s="4" t="n"/>
      <c r="T4894" s="5" t="n"/>
      <c r="U4894" s="8">
        <f>IF(AND(V4894=1,D4894&lt;&gt;""),IF(D4894&gt;=corte,TODAY()-D4894,""),"")</f>
        <v/>
      </c>
      <c r="V4894" s="8">
        <f>IF(D4894="",0,IF(OR(AND(P4894&lt;&gt;"",S4894=""),AND(N(J4894)&gt;0,N(K4894)&lt;J4894),OR(M4894="PENDENTE",M4894="PARCIAL"),OR(N4894="PENDENTE",N4894="PARCIAL")),1,0))</f>
        <v/>
      </c>
      <c r="W4894" s="8">
        <f>IF(AND(V4894=1,D4894&lt;&gt;""),IF(D4894&gt;=corte,(B4894="CRÍTICO")*1E9+(100000-D4894)*10000+10000-ROW(),""),"")</f>
        <v/>
      </c>
      <c r="X4894" s="8">
        <f>IF(AND(V4894=1,D4894=pas_data,E4894=pas_turno),10000-ROW(),"")</f>
        <v/>
      </c>
    </row>
    <row r="4895">
      <c r="A4895" s="3">
        <f>IF(D4895="","","TT-"&amp;TEXT(ROW()-1,"00000"))</f>
        <v/>
      </c>
      <c r="B4895" s="3">
        <f>IF(D4895="","",IF(V4895=0,"CONCLUÍDO",IF(D4895&lt;corte,"HISTÓRICO",IF(OR(AND(ISNUMBER(R4895),R4895&lt;TODAY()),AND(OR(N4895="PENDENTE",N4895="PARCIAL"),D4895&lt;TODAY()-1)),"CRÍTICO",IF(OR(AND(P4895&lt;&gt;"",S4895=""),AND(N4895="REALIZADO",M4895="PENDENTE"),AND(ISNUMBER(R4895),R4895=TODAY())),"ATENÇÃO",IF(N(K4895)=0,"PENDENTE","EM ANDAMENTO"))))))</f>
        <v/>
      </c>
      <c r="C4895" s="3">
        <f>IF(D4895="","",IF(V4895=0,"🟢 OK",IF(D4895&lt;corte,"⚪ HISTÓRICO (sem baixa)",IF(AND(ISNUMBER(R4895),R4895&lt;TODAY()),"🔴 PRAZO VENCIDO",IF(AND(OR(N4895="PENDENTE",N4895="PARCIAL"),D4895&lt;TODAY()-1),"🔴 EMBARQUE ATRASADO",IF(AND(N4895="REALIZADO",M4895="PENDENTE"),"🟡 EMBARCADO SEM FATURAR",IF(AND(P4895&lt;&gt;"",S4895="",OR(Q4895="",R4895="")),"🟡 PENDÊNCIA SEM RESPONSÁVEL/PRAZO",IF(AND(ISNUMBER(R4895),R4895=TODAY()),"🟡 VENCE HOJE",IF(AND(P4895&lt;&gt;"",S4895=""),"🟡 PENDÊNCIA ABERTA",IF(AND(N(J4895)&gt;0,N(K4895)&lt;J4895),"🟡 FALTA EXECUTAR",IF(OR(M4895="PENDENTE",M4895="PARCIAL"),"🟡 FATURAMENTO PENDENTE","🟡 EMBARQUE PENDENTE")))))))))))</f>
        <v/>
      </c>
      <c r="D4895" s="4" t="n"/>
      <c r="E4895" s="5" t="n"/>
      <c r="F4895" s="5" t="n"/>
      <c r="G4895" s="5" t="n"/>
      <c r="H4895" s="5" t="n"/>
      <c r="I4895" s="5" t="n"/>
      <c r="J4895" s="6" t="n"/>
      <c r="K4895" s="6" t="n"/>
      <c r="L4895" s="7">
        <f>IF(OR(D4895="",N(J4895)=0),"",MIN(1,N(K4895)/J4895))</f>
        <v/>
      </c>
      <c r="M4895" s="5" t="n"/>
      <c r="N4895" s="5" t="n"/>
      <c r="O4895" s="5" t="n"/>
      <c r="P4895" s="5" t="n"/>
      <c r="Q4895" s="5" t="n"/>
      <c r="R4895" s="4" t="n"/>
      <c r="S4895" s="4" t="n"/>
      <c r="T4895" s="5" t="n"/>
      <c r="U4895" s="8">
        <f>IF(AND(V4895=1,D4895&lt;&gt;""),IF(D4895&gt;=corte,TODAY()-D4895,""),"")</f>
        <v/>
      </c>
      <c r="V4895" s="8">
        <f>IF(D4895="",0,IF(OR(AND(P4895&lt;&gt;"",S4895=""),AND(N(J4895)&gt;0,N(K4895)&lt;J4895),OR(M4895="PENDENTE",M4895="PARCIAL"),OR(N4895="PENDENTE",N4895="PARCIAL")),1,0))</f>
        <v/>
      </c>
      <c r="W4895" s="8">
        <f>IF(AND(V4895=1,D4895&lt;&gt;""),IF(D4895&gt;=corte,(B4895="CRÍTICO")*1E9+(100000-D4895)*10000+10000-ROW(),""),"")</f>
        <v/>
      </c>
      <c r="X4895" s="8">
        <f>IF(AND(V4895=1,D4895=pas_data,E4895=pas_turno),10000-ROW(),"")</f>
        <v/>
      </c>
    </row>
    <row r="4896">
      <c r="A4896" s="3">
        <f>IF(D4896="","","TT-"&amp;TEXT(ROW()-1,"00000"))</f>
        <v/>
      </c>
      <c r="B4896" s="3">
        <f>IF(D4896="","",IF(V4896=0,"CONCLUÍDO",IF(D4896&lt;corte,"HISTÓRICO",IF(OR(AND(ISNUMBER(R4896),R4896&lt;TODAY()),AND(OR(N4896="PENDENTE",N4896="PARCIAL"),D4896&lt;TODAY()-1)),"CRÍTICO",IF(OR(AND(P4896&lt;&gt;"",S4896=""),AND(N4896="REALIZADO",M4896="PENDENTE"),AND(ISNUMBER(R4896),R4896=TODAY())),"ATENÇÃO",IF(N(K4896)=0,"PENDENTE","EM ANDAMENTO"))))))</f>
        <v/>
      </c>
      <c r="C4896" s="3">
        <f>IF(D4896="","",IF(V4896=0,"🟢 OK",IF(D4896&lt;corte,"⚪ HISTÓRICO (sem baixa)",IF(AND(ISNUMBER(R4896),R4896&lt;TODAY()),"🔴 PRAZO VENCIDO",IF(AND(OR(N4896="PENDENTE",N4896="PARCIAL"),D4896&lt;TODAY()-1),"🔴 EMBARQUE ATRASADO",IF(AND(N4896="REALIZADO",M4896="PENDENTE"),"🟡 EMBARCADO SEM FATURAR",IF(AND(P4896&lt;&gt;"",S4896="",OR(Q4896="",R4896="")),"🟡 PENDÊNCIA SEM RESPONSÁVEL/PRAZO",IF(AND(ISNUMBER(R4896),R4896=TODAY()),"🟡 VENCE HOJE",IF(AND(P4896&lt;&gt;"",S4896=""),"🟡 PENDÊNCIA ABERTA",IF(AND(N(J4896)&gt;0,N(K4896)&lt;J4896),"🟡 FALTA EXECUTAR",IF(OR(M4896="PENDENTE",M4896="PARCIAL"),"🟡 FATURAMENTO PENDENTE","🟡 EMBARQUE PENDENTE")))))))))))</f>
        <v/>
      </c>
      <c r="D4896" s="4" t="n"/>
      <c r="E4896" s="5" t="n"/>
      <c r="F4896" s="5" t="n"/>
      <c r="G4896" s="5" t="n"/>
      <c r="H4896" s="5" t="n"/>
      <c r="I4896" s="5" t="n"/>
      <c r="J4896" s="6" t="n"/>
      <c r="K4896" s="6" t="n"/>
      <c r="L4896" s="7">
        <f>IF(OR(D4896="",N(J4896)=0),"",MIN(1,N(K4896)/J4896))</f>
        <v/>
      </c>
      <c r="M4896" s="5" t="n"/>
      <c r="N4896" s="5" t="n"/>
      <c r="O4896" s="5" t="n"/>
      <c r="P4896" s="5" t="n"/>
      <c r="Q4896" s="5" t="n"/>
      <c r="R4896" s="4" t="n"/>
      <c r="S4896" s="4" t="n"/>
      <c r="T4896" s="5" t="n"/>
      <c r="U4896" s="8">
        <f>IF(AND(V4896=1,D4896&lt;&gt;""),IF(D4896&gt;=corte,TODAY()-D4896,""),"")</f>
        <v/>
      </c>
      <c r="V4896" s="8">
        <f>IF(D4896="",0,IF(OR(AND(P4896&lt;&gt;"",S4896=""),AND(N(J4896)&gt;0,N(K4896)&lt;J4896),OR(M4896="PENDENTE",M4896="PARCIAL"),OR(N4896="PENDENTE",N4896="PARCIAL")),1,0))</f>
        <v/>
      </c>
      <c r="W4896" s="8">
        <f>IF(AND(V4896=1,D4896&lt;&gt;""),IF(D4896&gt;=corte,(B4896="CRÍTICO")*1E9+(100000-D4896)*10000+10000-ROW(),""),"")</f>
        <v/>
      </c>
      <c r="X4896" s="8">
        <f>IF(AND(V4896=1,D4896=pas_data,E4896=pas_turno),10000-ROW(),"")</f>
        <v/>
      </c>
    </row>
    <row r="4897">
      <c r="A4897" s="3">
        <f>IF(D4897="","","TT-"&amp;TEXT(ROW()-1,"00000"))</f>
        <v/>
      </c>
      <c r="B4897" s="3">
        <f>IF(D4897="","",IF(V4897=0,"CONCLUÍDO",IF(D4897&lt;corte,"HISTÓRICO",IF(OR(AND(ISNUMBER(R4897),R4897&lt;TODAY()),AND(OR(N4897="PENDENTE",N4897="PARCIAL"),D4897&lt;TODAY()-1)),"CRÍTICO",IF(OR(AND(P4897&lt;&gt;"",S4897=""),AND(N4897="REALIZADO",M4897="PENDENTE"),AND(ISNUMBER(R4897),R4897=TODAY())),"ATENÇÃO",IF(N(K4897)=0,"PENDENTE","EM ANDAMENTO"))))))</f>
        <v/>
      </c>
      <c r="C4897" s="3">
        <f>IF(D4897="","",IF(V4897=0,"🟢 OK",IF(D4897&lt;corte,"⚪ HISTÓRICO (sem baixa)",IF(AND(ISNUMBER(R4897),R4897&lt;TODAY()),"🔴 PRAZO VENCIDO",IF(AND(OR(N4897="PENDENTE",N4897="PARCIAL"),D4897&lt;TODAY()-1),"🔴 EMBARQUE ATRASADO",IF(AND(N4897="REALIZADO",M4897="PENDENTE"),"🟡 EMBARCADO SEM FATURAR",IF(AND(P4897&lt;&gt;"",S4897="",OR(Q4897="",R4897="")),"🟡 PENDÊNCIA SEM RESPONSÁVEL/PRAZO",IF(AND(ISNUMBER(R4897),R4897=TODAY()),"🟡 VENCE HOJE",IF(AND(P4897&lt;&gt;"",S4897=""),"🟡 PENDÊNCIA ABERTA",IF(AND(N(J4897)&gt;0,N(K4897)&lt;J4897),"🟡 FALTA EXECUTAR",IF(OR(M4897="PENDENTE",M4897="PARCIAL"),"🟡 FATURAMENTO PENDENTE","🟡 EMBARQUE PENDENTE")))))))))))</f>
        <v/>
      </c>
      <c r="D4897" s="4" t="n"/>
      <c r="E4897" s="5" t="n"/>
      <c r="F4897" s="5" t="n"/>
      <c r="G4897" s="5" t="n"/>
      <c r="H4897" s="5" t="n"/>
      <c r="I4897" s="5" t="n"/>
      <c r="J4897" s="6" t="n"/>
      <c r="K4897" s="6" t="n"/>
      <c r="L4897" s="7">
        <f>IF(OR(D4897="",N(J4897)=0),"",MIN(1,N(K4897)/J4897))</f>
        <v/>
      </c>
      <c r="M4897" s="5" t="n"/>
      <c r="N4897" s="5" t="n"/>
      <c r="O4897" s="5" t="n"/>
      <c r="P4897" s="5" t="n"/>
      <c r="Q4897" s="5" t="n"/>
      <c r="R4897" s="4" t="n"/>
      <c r="S4897" s="4" t="n"/>
      <c r="T4897" s="5" t="n"/>
      <c r="U4897" s="8">
        <f>IF(AND(V4897=1,D4897&lt;&gt;""),IF(D4897&gt;=corte,TODAY()-D4897,""),"")</f>
        <v/>
      </c>
      <c r="V4897" s="8">
        <f>IF(D4897="",0,IF(OR(AND(P4897&lt;&gt;"",S4897=""),AND(N(J4897)&gt;0,N(K4897)&lt;J4897),OR(M4897="PENDENTE",M4897="PARCIAL"),OR(N4897="PENDENTE",N4897="PARCIAL")),1,0))</f>
        <v/>
      </c>
      <c r="W4897" s="8">
        <f>IF(AND(V4897=1,D4897&lt;&gt;""),IF(D4897&gt;=corte,(B4897="CRÍTICO")*1E9+(100000-D4897)*10000+10000-ROW(),""),"")</f>
        <v/>
      </c>
      <c r="X4897" s="8">
        <f>IF(AND(V4897=1,D4897=pas_data,E4897=pas_turno),10000-ROW(),"")</f>
        <v/>
      </c>
    </row>
    <row r="4898">
      <c r="A4898" s="3">
        <f>IF(D4898="","","TT-"&amp;TEXT(ROW()-1,"00000"))</f>
        <v/>
      </c>
      <c r="B4898" s="3">
        <f>IF(D4898="","",IF(V4898=0,"CONCLUÍDO",IF(D4898&lt;corte,"HISTÓRICO",IF(OR(AND(ISNUMBER(R4898),R4898&lt;TODAY()),AND(OR(N4898="PENDENTE",N4898="PARCIAL"),D4898&lt;TODAY()-1)),"CRÍTICO",IF(OR(AND(P4898&lt;&gt;"",S4898=""),AND(N4898="REALIZADO",M4898="PENDENTE"),AND(ISNUMBER(R4898),R4898=TODAY())),"ATENÇÃO",IF(N(K4898)=0,"PENDENTE","EM ANDAMENTO"))))))</f>
        <v/>
      </c>
      <c r="C4898" s="3">
        <f>IF(D4898="","",IF(V4898=0,"🟢 OK",IF(D4898&lt;corte,"⚪ HISTÓRICO (sem baixa)",IF(AND(ISNUMBER(R4898),R4898&lt;TODAY()),"🔴 PRAZO VENCIDO",IF(AND(OR(N4898="PENDENTE",N4898="PARCIAL"),D4898&lt;TODAY()-1),"🔴 EMBARQUE ATRASADO",IF(AND(N4898="REALIZADO",M4898="PENDENTE"),"🟡 EMBARCADO SEM FATURAR",IF(AND(P4898&lt;&gt;"",S4898="",OR(Q4898="",R4898="")),"🟡 PENDÊNCIA SEM RESPONSÁVEL/PRAZO",IF(AND(ISNUMBER(R4898),R4898=TODAY()),"🟡 VENCE HOJE",IF(AND(P4898&lt;&gt;"",S4898=""),"🟡 PENDÊNCIA ABERTA",IF(AND(N(J4898)&gt;0,N(K4898)&lt;J4898),"🟡 FALTA EXECUTAR",IF(OR(M4898="PENDENTE",M4898="PARCIAL"),"🟡 FATURAMENTO PENDENTE","🟡 EMBARQUE PENDENTE")))))))))))</f>
        <v/>
      </c>
      <c r="D4898" s="4" t="n"/>
      <c r="E4898" s="5" t="n"/>
      <c r="F4898" s="5" t="n"/>
      <c r="G4898" s="5" t="n"/>
      <c r="H4898" s="5" t="n"/>
      <c r="I4898" s="5" t="n"/>
      <c r="J4898" s="6" t="n"/>
      <c r="K4898" s="6" t="n"/>
      <c r="L4898" s="7">
        <f>IF(OR(D4898="",N(J4898)=0),"",MIN(1,N(K4898)/J4898))</f>
        <v/>
      </c>
      <c r="M4898" s="5" t="n"/>
      <c r="N4898" s="5" t="n"/>
      <c r="O4898" s="5" t="n"/>
      <c r="P4898" s="5" t="n"/>
      <c r="Q4898" s="5" t="n"/>
      <c r="R4898" s="4" t="n"/>
      <c r="S4898" s="4" t="n"/>
      <c r="T4898" s="5" t="n"/>
      <c r="U4898" s="8">
        <f>IF(AND(V4898=1,D4898&lt;&gt;""),IF(D4898&gt;=corte,TODAY()-D4898,""),"")</f>
        <v/>
      </c>
      <c r="V4898" s="8">
        <f>IF(D4898="",0,IF(OR(AND(P4898&lt;&gt;"",S4898=""),AND(N(J4898)&gt;0,N(K4898)&lt;J4898),OR(M4898="PENDENTE",M4898="PARCIAL"),OR(N4898="PENDENTE",N4898="PARCIAL")),1,0))</f>
        <v/>
      </c>
      <c r="W4898" s="8">
        <f>IF(AND(V4898=1,D4898&lt;&gt;""),IF(D4898&gt;=corte,(B4898="CRÍTICO")*1E9+(100000-D4898)*10000+10000-ROW(),""),"")</f>
        <v/>
      </c>
      <c r="X4898" s="8">
        <f>IF(AND(V4898=1,D4898=pas_data,E4898=pas_turno),10000-ROW(),"")</f>
        <v/>
      </c>
    </row>
    <row r="4899">
      <c r="A4899" s="3">
        <f>IF(D4899="","","TT-"&amp;TEXT(ROW()-1,"00000"))</f>
        <v/>
      </c>
      <c r="B4899" s="3">
        <f>IF(D4899="","",IF(V4899=0,"CONCLUÍDO",IF(D4899&lt;corte,"HISTÓRICO",IF(OR(AND(ISNUMBER(R4899),R4899&lt;TODAY()),AND(OR(N4899="PENDENTE",N4899="PARCIAL"),D4899&lt;TODAY()-1)),"CRÍTICO",IF(OR(AND(P4899&lt;&gt;"",S4899=""),AND(N4899="REALIZADO",M4899="PENDENTE"),AND(ISNUMBER(R4899),R4899=TODAY())),"ATENÇÃO",IF(N(K4899)=0,"PENDENTE","EM ANDAMENTO"))))))</f>
        <v/>
      </c>
      <c r="C4899" s="3">
        <f>IF(D4899="","",IF(V4899=0,"🟢 OK",IF(D4899&lt;corte,"⚪ HISTÓRICO (sem baixa)",IF(AND(ISNUMBER(R4899),R4899&lt;TODAY()),"🔴 PRAZO VENCIDO",IF(AND(OR(N4899="PENDENTE",N4899="PARCIAL"),D4899&lt;TODAY()-1),"🔴 EMBARQUE ATRASADO",IF(AND(N4899="REALIZADO",M4899="PENDENTE"),"🟡 EMBARCADO SEM FATURAR",IF(AND(P4899&lt;&gt;"",S4899="",OR(Q4899="",R4899="")),"🟡 PENDÊNCIA SEM RESPONSÁVEL/PRAZO",IF(AND(ISNUMBER(R4899),R4899=TODAY()),"🟡 VENCE HOJE",IF(AND(P4899&lt;&gt;"",S4899=""),"🟡 PENDÊNCIA ABERTA",IF(AND(N(J4899)&gt;0,N(K4899)&lt;J4899),"🟡 FALTA EXECUTAR",IF(OR(M4899="PENDENTE",M4899="PARCIAL"),"🟡 FATURAMENTO PENDENTE","🟡 EMBARQUE PENDENTE")))))))))))</f>
        <v/>
      </c>
      <c r="D4899" s="4" t="n"/>
      <c r="E4899" s="5" t="n"/>
      <c r="F4899" s="5" t="n"/>
      <c r="G4899" s="5" t="n"/>
      <c r="H4899" s="5" t="n"/>
      <c r="I4899" s="5" t="n"/>
      <c r="J4899" s="6" t="n"/>
      <c r="K4899" s="6" t="n"/>
      <c r="L4899" s="7">
        <f>IF(OR(D4899="",N(J4899)=0),"",MIN(1,N(K4899)/J4899))</f>
        <v/>
      </c>
      <c r="M4899" s="5" t="n"/>
      <c r="N4899" s="5" t="n"/>
      <c r="O4899" s="5" t="n"/>
      <c r="P4899" s="5" t="n"/>
      <c r="Q4899" s="5" t="n"/>
      <c r="R4899" s="4" t="n"/>
      <c r="S4899" s="4" t="n"/>
      <c r="T4899" s="5" t="n"/>
      <c r="U4899" s="8">
        <f>IF(AND(V4899=1,D4899&lt;&gt;""),IF(D4899&gt;=corte,TODAY()-D4899,""),"")</f>
        <v/>
      </c>
      <c r="V4899" s="8">
        <f>IF(D4899="",0,IF(OR(AND(P4899&lt;&gt;"",S4899=""),AND(N(J4899)&gt;0,N(K4899)&lt;J4899),OR(M4899="PENDENTE",M4899="PARCIAL"),OR(N4899="PENDENTE",N4899="PARCIAL")),1,0))</f>
        <v/>
      </c>
      <c r="W4899" s="8">
        <f>IF(AND(V4899=1,D4899&lt;&gt;""),IF(D4899&gt;=corte,(B4899="CRÍTICO")*1E9+(100000-D4899)*10000+10000-ROW(),""),"")</f>
        <v/>
      </c>
      <c r="X4899" s="8">
        <f>IF(AND(V4899=1,D4899=pas_data,E4899=pas_turno),10000-ROW(),"")</f>
        <v/>
      </c>
    </row>
    <row r="4900">
      <c r="A4900" s="3">
        <f>IF(D4900="","","TT-"&amp;TEXT(ROW()-1,"00000"))</f>
        <v/>
      </c>
      <c r="B4900" s="3">
        <f>IF(D4900="","",IF(V4900=0,"CONCLUÍDO",IF(D4900&lt;corte,"HISTÓRICO",IF(OR(AND(ISNUMBER(R4900),R4900&lt;TODAY()),AND(OR(N4900="PENDENTE",N4900="PARCIAL"),D4900&lt;TODAY()-1)),"CRÍTICO",IF(OR(AND(P4900&lt;&gt;"",S4900=""),AND(N4900="REALIZADO",M4900="PENDENTE"),AND(ISNUMBER(R4900),R4900=TODAY())),"ATENÇÃO",IF(N(K4900)=0,"PENDENTE","EM ANDAMENTO"))))))</f>
        <v/>
      </c>
      <c r="C4900" s="3">
        <f>IF(D4900="","",IF(V4900=0,"🟢 OK",IF(D4900&lt;corte,"⚪ HISTÓRICO (sem baixa)",IF(AND(ISNUMBER(R4900),R4900&lt;TODAY()),"🔴 PRAZO VENCIDO",IF(AND(OR(N4900="PENDENTE",N4900="PARCIAL"),D4900&lt;TODAY()-1),"🔴 EMBARQUE ATRASADO",IF(AND(N4900="REALIZADO",M4900="PENDENTE"),"🟡 EMBARCADO SEM FATURAR",IF(AND(P4900&lt;&gt;"",S4900="",OR(Q4900="",R4900="")),"🟡 PENDÊNCIA SEM RESPONSÁVEL/PRAZO",IF(AND(ISNUMBER(R4900),R4900=TODAY()),"🟡 VENCE HOJE",IF(AND(P4900&lt;&gt;"",S4900=""),"🟡 PENDÊNCIA ABERTA",IF(AND(N(J4900)&gt;0,N(K4900)&lt;J4900),"🟡 FALTA EXECUTAR",IF(OR(M4900="PENDENTE",M4900="PARCIAL"),"🟡 FATURAMENTO PENDENTE","🟡 EMBARQUE PENDENTE")))))))))))</f>
        <v/>
      </c>
      <c r="D4900" s="4" t="n"/>
      <c r="E4900" s="5" t="n"/>
      <c r="F4900" s="5" t="n"/>
      <c r="G4900" s="5" t="n"/>
      <c r="H4900" s="5" t="n"/>
      <c r="I4900" s="5" t="n"/>
      <c r="J4900" s="6" t="n"/>
      <c r="K4900" s="6" t="n"/>
      <c r="L4900" s="7">
        <f>IF(OR(D4900="",N(J4900)=0),"",MIN(1,N(K4900)/J4900))</f>
        <v/>
      </c>
      <c r="M4900" s="5" t="n"/>
      <c r="N4900" s="5" t="n"/>
      <c r="O4900" s="5" t="n"/>
      <c r="P4900" s="5" t="n"/>
      <c r="Q4900" s="5" t="n"/>
      <c r="R4900" s="4" t="n"/>
      <c r="S4900" s="4" t="n"/>
      <c r="T4900" s="5" t="n"/>
      <c r="U4900" s="8">
        <f>IF(AND(V4900=1,D4900&lt;&gt;""),IF(D4900&gt;=corte,TODAY()-D4900,""),"")</f>
        <v/>
      </c>
      <c r="V4900" s="8">
        <f>IF(D4900="",0,IF(OR(AND(P4900&lt;&gt;"",S4900=""),AND(N(J4900)&gt;0,N(K4900)&lt;J4900),OR(M4900="PENDENTE",M4900="PARCIAL"),OR(N4900="PENDENTE",N4900="PARCIAL")),1,0))</f>
        <v/>
      </c>
      <c r="W4900" s="8">
        <f>IF(AND(V4900=1,D4900&lt;&gt;""),IF(D4900&gt;=corte,(B4900="CRÍTICO")*1E9+(100000-D4900)*10000+10000-ROW(),""),"")</f>
        <v/>
      </c>
      <c r="X4900" s="8">
        <f>IF(AND(V4900=1,D4900=pas_data,E4900=pas_turno),10000-ROW(),"")</f>
        <v/>
      </c>
    </row>
    <row r="4901">
      <c r="A4901" s="3">
        <f>IF(D4901="","","TT-"&amp;TEXT(ROW()-1,"00000"))</f>
        <v/>
      </c>
      <c r="B4901" s="3">
        <f>IF(D4901="","",IF(V4901=0,"CONCLUÍDO",IF(D4901&lt;corte,"HISTÓRICO",IF(OR(AND(ISNUMBER(R4901),R4901&lt;TODAY()),AND(OR(N4901="PENDENTE",N4901="PARCIAL"),D4901&lt;TODAY()-1)),"CRÍTICO",IF(OR(AND(P4901&lt;&gt;"",S4901=""),AND(N4901="REALIZADO",M4901="PENDENTE"),AND(ISNUMBER(R4901),R4901=TODAY())),"ATENÇÃO",IF(N(K4901)=0,"PENDENTE","EM ANDAMENTO"))))))</f>
        <v/>
      </c>
      <c r="C4901" s="3">
        <f>IF(D4901="","",IF(V4901=0,"🟢 OK",IF(D4901&lt;corte,"⚪ HISTÓRICO (sem baixa)",IF(AND(ISNUMBER(R4901),R4901&lt;TODAY()),"🔴 PRAZO VENCIDO",IF(AND(OR(N4901="PENDENTE",N4901="PARCIAL"),D4901&lt;TODAY()-1),"🔴 EMBARQUE ATRASADO",IF(AND(N4901="REALIZADO",M4901="PENDENTE"),"🟡 EMBARCADO SEM FATURAR",IF(AND(P4901&lt;&gt;"",S4901="",OR(Q4901="",R4901="")),"🟡 PENDÊNCIA SEM RESPONSÁVEL/PRAZO",IF(AND(ISNUMBER(R4901),R4901=TODAY()),"🟡 VENCE HOJE",IF(AND(P4901&lt;&gt;"",S4901=""),"🟡 PENDÊNCIA ABERTA",IF(AND(N(J4901)&gt;0,N(K4901)&lt;J4901),"🟡 FALTA EXECUTAR",IF(OR(M4901="PENDENTE",M4901="PARCIAL"),"🟡 FATURAMENTO PENDENTE","🟡 EMBARQUE PENDENTE")))))))))))</f>
        <v/>
      </c>
      <c r="D4901" s="4" t="n"/>
      <c r="E4901" s="5" t="n"/>
      <c r="F4901" s="5" t="n"/>
      <c r="G4901" s="5" t="n"/>
      <c r="H4901" s="5" t="n"/>
      <c r="I4901" s="5" t="n"/>
      <c r="J4901" s="6" t="n"/>
      <c r="K4901" s="6" t="n"/>
      <c r="L4901" s="7">
        <f>IF(OR(D4901="",N(J4901)=0),"",MIN(1,N(K4901)/J4901))</f>
        <v/>
      </c>
      <c r="M4901" s="5" t="n"/>
      <c r="N4901" s="5" t="n"/>
      <c r="O4901" s="5" t="n"/>
      <c r="P4901" s="5" t="n"/>
      <c r="Q4901" s="5" t="n"/>
      <c r="R4901" s="4" t="n"/>
      <c r="S4901" s="4" t="n"/>
      <c r="T4901" s="5" t="n"/>
      <c r="U4901" s="8">
        <f>IF(AND(V4901=1,D4901&lt;&gt;""),IF(D4901&gt;=corte,TODAY()-D4901,""),"")</f>
        <v/>
      </c>
      <c r="V4901" s="8">
        <f>IF(D4901="",0,IF(OR(AND(P4901&lt;&gt;"",S4901=""),AND(N(J4901)&gt;0,N(K4901)&lt;J4901),OR(M4901="PENDENTE",M4901="PARCIAL"),OR(N4901="PENDENTE",N4901="PARCIAL")),1,0))</f>
        <v/>
      </c>
      <c r="W4901" s="8">
        <f>IF(AND(V4901=1,D4901&lt;&gt;""),IF(D4901&gt;=corte,(B4901="CRÍTICO")*1E9+(100000-D4901)*10000+10000-ROW(),""),"")</f>
        <v/>
      </c>
      <c r="X4901" s="8">
        <f>IF(AND(V4901=1,D4901=pas_data,E4901=pas_turno),10000-ROW(),"")</f>
        <v/>
      </c>
    </row>
    <row r="4902">
      <c r="A4902" s="3">
        <f>IF(D4902="","","TT-"&amp;TEXT(ROW()-1,"00000"))</f>
        <v/>
      </c>
      <c r="B4902" s="3">
        <f>IF(D4902="","",IF(V4902=0,"CONCLUÍDO",IF(D4902&lt;corte,"HISTÓRICO",IF(OR(AND(ISNUMBER(R4902),R4902&lt;TODAY()),AND(OR(N4902="PENDENTE",N4902="PARCIAL"),D4902&lt;TODAY()-1)),"CRÍTICO",IF(OR(AND(P4902&lt;&gt;"",S4902=""),AND(N4902="REALIZADO",M4902="PENDENTE"),AND(ISNUMBER(R4902),R4902=TODAY())),"ATENÇÃO",IF(N(K4902)=0,"PENDENTE","EM ANDAMENTO"))))))</f>
        <v/>
      </c>
      <c r="C4902" s="3">
        <f>IF(D4902="","",IF(V4902=0,"🟢 OK",IF(D4902&lt;corte,"⚪ HISTÓRICO (sem baixa)",IF(AND(ISNUMBER(R4902),R4902&lt;TODAY()),"🔴 PRAZO VENCIDO",IF(AND(OR(N4902="PENDENTE",N4902="PARCIAL"),D4902&lt;TODAY()-1),"🔴 EMBARQUE ATRASADO",IF(AND(N4902="REALIZADO",M4902="PENDENTE"),"🟡 EMBARCADO SEM FATURAR",IF(AND(P4902&lt;&gt;"",S4902="",OR(Q4902="",R4902="")),"🟡 PENDÊNCIA SEM RESPONSÁVEL/PRAZO",IF(AND(ISNUMBER(R4902),R4902=TODAY()),"🟡 VENCE HOJE",IF(AND(P4902&lt;&gt;"",S4902=""),"🟡 PENDÊNCIA ABERTA",IF(AND(N(J4902)&gt;0,N(K4902)&lt;J4902),"🟡 FALTA EXECUTAR",IF(OR(M4902="PENDENTE",M4902="PARCIAL"),"🟡 FATURAMENTO PENDENTE","🟡 EMBARQUE PENDENTE")))))))))))</f>
        <v/>
      </c>
      <c r="D4902" s="4" t="n"/>
      <c r="E4902" s="5" t="n"/>
      <c r="F4902" s="5" t="n"/>
      <c r="G4902" s="5" t="n"/>
      <c r="H4902" s="5" t="n"/>
      <c r="I4902" s="5" t="n"/>
      <c r="J4902" s="6" t="n"/>
      <c r="K4902" s="6" t="n"/>
      <c r="L4902" s="7">
        <f>IF(OR(D4902="",N(J4902)=0),"",MIN(1,N(K4902)/J4902))</f>
        <v/>
      </c>
      <c r="M4902" s="5" t="n"/>
      <c r="N4902" s="5" t="n"/>
      <c r="O4902" s="5" t="n"/>
      <c r="P4902" s="5" t="n"/>
      <c r="Q4902" s="5" t="n"/>
      <c r="R4902" s="4" t="n"/>
      <c r="S4902" s="4" t="n"/>
      <c r="T4902" s="5" t="n"/>
      <c r="U4902" s="8">
        <f>IF(AND(V4902=1,D4902&lt;&gt;""),IF(D4902&gt;=corte,TODAY()-D4902,""),"")</f>
        <v/>
      </c>
      <c r="V4902" s="8">
        <f>IF(D4902="",0,IF(OR(AND(P4902&lt;&gt;"",S4902=""),AND(N(J4902)&gt;0,N(K4902)&lt;J4902),OR(M4902="PENDENTE",M4902="PARCIAL"),OR(N4902="PENDENTE",N4902="PARCIAL")),1,0))</f>
        <v/>
      </c>
      <c r="W4902" s="8">
        <f>IF(AND(V4902=1,D4902&lt;&gt;""),IF(D4902&gt;=corte,(B4902="CRÍTICO")*1E9+(100000-D4902)*10000+10000-ROW(),""),"")</f>
        <v/>
      </c>
      <c r="X4902" s="8">
        <f>IF(AND(V4902=1,D4902=pas_data,E4902=pas_turno),10000-ROW(),"")</f>
        <v/>
      </c>
    </row>
    <row r="4903">
      <c r="A4903" s="3">
        <f>IF(D4903="","","TT-"&amp;TEXT(ROW()-1,"00000"))</f>
        <v/>
      </c>
      <c r="B4903" s="3">
        <f>IF(D4903="","",IF(V4903=0,"CONCLUÍDO",IF(D4903&lt;corte,"HISTÓRICO",IF(OR(AND(ISNUMBER(R4903),R4903&lt;TODAY()),AND(OR(N4903="PENDENTE",N4903="PARCIAL"),D4903&lt;TODAY()-1)),"CRÍTICO",IF(OR(AND(P4903&lt;&gt;"",S4903=""),AND(N4903="REALIZADO",M4903="PENDENTE"),AND(ISNUMBER(R4903),R4903=TODAY())),"ATENÇÃO",IF(N(K4903)=0,"PENDENTE","EM ANDAMENTO"))))))</f>
        <v/>
      </c>
      <c r="C4903" s="3">
        <f>IF(D4903="","",IF(V4903=0,"🟢 OK",IF(D4903&lt;corte,"⚪ HISTÓRICO (sem baixa)",IF(AND(ISNUMBER(R4903),R4903&lt;TODAY()),"🔴 PRAZO VENCIDO",IF(AND(OR(N4903="PENDENTE",N4903="PARCIAL"),D4903&lt;TODAY()-1),"🔴 EMBARQUE ATRASADO",IF(AND(N4903="REALIZADO",M4903="PENDENTE"),"🟡 EMBARCADO SEM FATURAR",IF(AND(P4903&lt;&gt;"",S4903="",OR(Q4903="",R4903="")),"🟡 PENDÊNCIA SEM RESPONSÁVEL/PRAZO",IF(AND(ISNUMBER(R4903),R4903=TODAY()),"🟡 VENCE HOJE",IF(AND(P4903&lt;&gt;"",S4903=""),"🟡 PENDÊNCIA ABERTA",IF(AND(N(J4903)&gt;0,N(K4903)&lt;J4903),"🟡 FALTA EXECUTAR",IF(OR(M4903="PENDENTE",M4903="PARCIAL"),"🟡 FATURAMENTO PENDENTE","🟡 EMBARQUE PENDENTE")))))))))))</f>
        <v/>
      </c>
      <c r="D4903" s="4" t="n"/>
      <c r="E4903" s="5" t="n"/>
      <c r="F4903" s="5" t="n"/>
      <c r="G4903" s="5" t="n"/>
      <c r="H4903" s="5" t="n"/>
      <c r="I4903" s="5" t="n"/>
      <c r="J4903" s="6" t="n"/>
      <c r="K4903" s="6" t="n"/>
      <c r="L4903" s="7">
        <f>IF(OR(D4903="",N(J4903)=0),"",MIN(1,N(K4903)/J4903))</f>
        <v/>
      </c>
      <c r="M4903" s="5" t="n"/>
      <c r="N4903" s="5" t="n"/>
      <c r="O4903" s="5" t="n"/>
      <c r="P4903" s="5" t="n"/>
      <c r="Q4903" s="5" t="n"/>
      <c r="R4903" s="4" t="n"/>
      <c r="S4903" s="4" t="n"/>
      <c r="T4903" s="5" t="n"/>
      <c r="U4903" s="8">
        <f>IF(AND(V4903=1,D4903&lt;&gt;""),IF(D4903&gt;=corte,TODAY()-D4903,""),"")</f>
        <v/>
      </c>
      <c r="V4903" s="8">
        <f>IF(D4903="",0,IF(OR(AND(P4903&lt;&gt;"",S4903=""),AND(N(J4903)&gt;0,N(K4903)&lt;J4903),OR(M4903="PENDENTE",M4903="PARCIAL"),OR(N4903="PENDENTE",N4903="PARCIAL")),1,0))</f>
        <v/>
      </c>
      <c r="W4903" s="8">
        <f>IF(AND(V4903=1,D4903&lt;&gt;""),IF(D4903&gt;=corte,(B4903="CRÍTICO")*1E9+(100000-D4903)*10000+10000-ROW(),""),"")</f>
        <v/>
      </c>
      <c r="X4903" s="8">
        <f>IF(AND(V4903=1,D4903=pas_data,E4903=pas_turno),10000-ROW(),"")</f>
        <v/>
      </c>
    </row>
    <row r="4904">
      <c r="A4904" s="3">
        <f>IF(D4904="","","TT-"&amp;TEXT(ROW()-1,"00000"))</f>
        <v/>
      </c>
      <c r="B4904" s="3">
        <f>IF(D4904="","",IF(V4904=0,"CONCLUÍDO",IF(D4904&lt;corte,"HISTÓRICO",IF(OR(AND(ISNUMBER(R4904),R4904&lt;TODAY()),AND(OR(N4904="PENDENTE",N4904="PARCIAL"),D4904&lt;TODAY()-1)),"CRÍTICO",IF(OR(AND(P4904&lt;&gt;"",S4904=""),AND(N4904="REALIZADO",M4904="PENDENTE"),AND(ISNUMBER(R4904),R4904=TODAY())),"ATENÇÃO",IF(N(K4904)=0,"PENDENTE","EM ANDAMENTO"))))))</f>
        <v/>
      </c>
      <c r="C4904" s="3">
        <f>IF(D4904="","",IF(V4904=0,"🟢 OK",IF(D4904&lt;corte,"⚪ HISTÓRICO (sem baixa)",IF(AND(ISNUMBER(R4904),R4904&lt;TODAY()),"🔴 PRAZO VENCIDO",IF(AND(OR(N4904="PENDENTE",N4904="PARCIAL"),D4904&lt;TODAY()-1),"🔴 EMBARQUE ATRASADO",IF(AND(N4904="REALIZADO",M4904="PENDENTE"),"🟡 EMBARCADO SEM FATURAR",IF(AND(P4904&lt;&gt;"",S4904="",OR(Q4904="",R4904="")),"🟡 PENDÊNCIA SEM RESPONSÁVEL/PRAZO",IF(AND(ISNUMBER(R4904),R4904=TODAY()),"🟡 VENCE HOJE",IF(AND(P4904&lt;&gt;"",S4904=""),"🟡 PENDÊNCIA ABERTA",IF(AND(N(J4904)&gt;0,N(K4904)&lt;J4904),"🟡 FALTA EXECUTAR",IF(OR(M4904="PENDENTE",M4904="PARCIAL"),"🟡 FATURAMENTO PENDENTE","🟡 EMBARQUE PENDENTE")))))))))))</f>
        <v/>
      </c>
      <c r="D4904" s="4" t="n"/>
      <c r="E4904" s="5" t="n"/>
      <c r="F4904" s="5" t="n"/>
      <c r="G4904" s="5" t="n"/>
      <c r="H4904" s="5" t="n"/>
      <c r="I4904" s="5" t="n"/>
      <c r="J4904" s="6" t="n"/>
      <c r="K4904" s="6" t="n"/>
      <c r="L4904" s="7">
        <f>IF(OR(D4904="",N(J4904)=0),"",MIN(1,N(K4904)/J4904))</f>
        <v/>
      </c>
      <c r="M4904" s="5" t="n"/>
      <c r="N4904" s="5" t="n"/>
      <c r="O4904" s="5" t="n"/>
      <c r="P4904" s="5" t="n"/>
      <c r="Q4904" s="5" t="n"/>
      <c r="R4904" s="4" t="n"/>
      <c r="S4904" s="4" t="n"/>
      <c r="T4904" s="5" t="n"/>
      <c r="U4904" s="8">
        <f>IF(AND(V4904=1,D4904&lt;&gt;""),IF(D4904&gt;=corte,TODAY()-D4904,""),"")</f>
        <v/>
      </c>
      <c r="V4904" s="8">
        <f>IF(D4904="",0,IF(OR(AND(P4904&lt;&gt;"",S4904=""),AND(N(J4904)&gt;0,N(K4904)&lt;J4904),OR(M4904="PENDENTE",M4904="PARCIAL"),OR(N4904="PENDENTE",N4904="PARCIAL")),1,0))</f>
        <v/>
      </c>
      <c r="W4904" s="8">
        <f>IF(AND(V4904=1,D4904&lt;&gt;""),IF(D4904&gt;=corte,(B4904="CRÍTICO")*1E9+(100000-D4904)*10000+10000-ROW(),""),"")</f>
        <v/>
      </c>
      <c r="X4904" s="8">
        <f>IF(AND(V4904=1,D4904=pas_data,E4904=pas_turno),10000-ROW(),"")</f>
        <v/>
      </c>
    </row>
    <row r="4905">
      <c r="A4905" s="3">
        <f>IF(D4905="","","TT-"&amp;TEXT(ROW()-1,"00000"))</f>
        <v/>
      </c>
      <c r="B4905" s="3">
        <f>IF(D4905="","",IF(V4905=0,"CONCLUÍDO",IF(D4905&lt;corte,"HISTÓRICO",IF(OR(AND(ISNUMBER(R4905),R4905&lt;TODAY()),AND(OR(N4905="PENDENTE",N4905="PARCIAL"),D4905&lt;TODAY()-1)),"CRÍTICO",IF(OR(AND(P4905&lt;&gt;"",S4905=""),AND(N4905="REALIZADO",M4905="PENDENTE"),AND(ISNUMBER(R4905),R4905=TODAY())),"ATENÇÃO",IF(N(K4905)=0,"PENDENTE","EM ANDAMENTO"))))))</f>
        <v/>
      </c>
      <c r="C4905" s="3">
        <f>IF(D4905="","",IF(V4905=0,"🟢 OK",IF(D4905&lt;corte,"⚪ HISTÓRICO (sem baixa)",IF(AND(ISNUMBER(R4905),R4905&lt;TODAY()),"🔴 PRAZO VENCIDO",IF(AND(OR(N4905="PENDENTE",N4905="PARCIAL"),D4905&lt;TODAY()-1),"🔴 EMBARQUE ATRASADO",IF(AND(N4905="REALIZADO",M4905="PENDENTE"),"🟡 EMBARCADO SEM FATURAR",IF(AND(P4905&lt;&gt;"",S4905="",OR(Q4905="",R4905="")),"🟡 PENDÊNCIA SEM RESPONSÁVEL/PRAZO",IF(AND(ISNUMBER(R4905),R4905=TODAY()),"🟡 VENCE HOJE",IF(AND(P4905&lt;&gt;"",S4905=""),"🟡 PENDÊNCIA ABERTA",IF(AND(N(J4905)&gt;0,N(K4905)&lt;J4905),"🟡 FALTA EXECUTAR",IF(OR(M4905="PENDENTE",M4905="PARCIAL"),"🟡 FATURAMENTO PENDENTE","🟡 EMBARQUE PENDENTE")))))))))))</f>
        <v/>
      </c>
      <c r="D4905" s="4" t="n"/>
      <c r="E4905" s="5" t="n"/>
      <c r="F4905" s="5" t="n"/>
      <c r="G4905" s="5" t="n"/>
      <c r="H4905" s="5" t="n"/>
      <c r="I4905" s="5" t="n"/>
      <c r="J4905" s="6" t="n"/>
      <c r="K4905" s="6" t="n"/>
      <c r="L4905" s="7">
        <f>IF(OR(D4905="",N(J4905)=0),"",MIN(1,N(K4905)/J4905))</f>
        <v/>
      </c>
      <c r="M4905" s="5" t="n"/>
      <c r="N4905" s="5" t="n"/>
      <c r="O4905" s="5" t="n"/>
      <c r="P4905" s="5" t="n"/>
      <c r="Q4905" s="5" t="n"/>
      <c r="R4905" s="4" t="n"/>
      <c r="S4905" s="4" t="n"/>
      <c r="T4905" s="5" t="n"/>
      <c r="U4905" s="8">
        <f>IF(AND(V4905=1,D4905&lt;&gt;""),IF(D4905&gt;=corte,TODAY()-D4905,""),"")</f>
        <v/>
      </c>
      <c r="V4905" s="8">
        <f>IF(D4905="",0,IF(OR(AND(P4905&lt;&gt;"",S4905=""),AND(N(J4905)&gt;0,N(K4905)&lt;J4905),OR(M4905="PENDENTE",M4905="PARCIAL"),OR(N4905="PENDENTE",N4905="PARCIAL")),1,0))</f>
        <v/>
      </c>
      <c r="W4905" s="8">
        <f>IF(AND(V4905=1,D4905&lt;&gt;""),IF(D4905&gt;=corte,(B4905="CRÍTICO")*1E9+(100000-D4905)*10000+10000-ROW(),""),"")</f>
        <v/>
      </c>
      <c r="X4905" s="8">
        <f>IF(AND(V4905=1,D4905=pas_data,E4905=pas_turno),10000-ROW(),"")</f>
        <v/>
      </c>
    </row>
    <row r="4906">
      <c r="A4906" s="3">
        <f>IF(D4906="","","TT-"&amp;TEXT(ROW()-1,"00000"))</f>
        <v/>
      </c>
      <c r="B4906" s="3">
        <f>IF(D4906="","",IF(V4906=0,"CONCLUÍDO",IF(D4906&lt;corte,"HISTÓRICO",IF(OR(AND(ISNUMBER(R4906),R4906&lt;TODAY()),AND(OR(N4906="PENDENTE",N4906="PARCIAL"),D4906&lt;TODAY()-1)),"CRÍTICO",IF(OR(AND(P4906&lt;&gt;"",S4906=""),AND(N4906="REALIZADO",M4906="PENDENTE"),AND(ISNUMBER(R4906),R4906=TODAY())),"ATENÇÃO",IF(N(K4906)=0,"PENDENTE","EM ANDAMENTO"))))))</f>
        <v/>
      </c>
      <c r="C4906" s="3">
        <f>IF(D4906="","",IF(V4906=0,"🟢 OK",IF(D4906&lt;corte,"⚪ HISTÓRICO (sem baixa)",IF(AND(ISNUMBER(R4906),R4906&lt;TODAY()),"🔴 PRAZO VENCIDO",IF(AND(OR(N4906="PENDENTE",N4906="PARCIAL"),D4906&lt;TODAY()-1),"🔴 EMBARQUE ATRASADO",IF(AND(N4906="REALIZADO",M4906="PENDENTE"),"🟡 EMBARCADO SEM FATURAR",IF(AND(P4906&lt;&gt;"",S4906="",OR(Q4906="",R4906="")),"🟡 PENDÊNCIA SEM RESPONSÁVEL/PRAZO",IF(AND(ISNUMBER(R4906),R4906=TODAY()),"🟡 VENCE HOJE",IF(AND(P4906&lt;&gt;"",S4906=""),"🟡 PENDÊNCIA ABERTA",IF(AND(N(J4906)&gt;0,N(K4906)&lt;J4906),"🟡 FALTA EXECUTAR",IF(OR(M4906="PENDENTE",M4906="PARCIAL"),"🟡 FATURAMENTO PENDENTE","🟡 EMBARQUE PENDENTE")))))))))))</f>
        <v/>
      </c>
      <c r="D4906" s="4" t="n"/>
      <c r="E4906" s="5" t="n"/>
      <c r="F4906" s="5" t="n"/>
      <c r="G4906" s="5" t="n"/>
      <c r="H4906" s="5" t="n"/>
      <c r="I4906" s="5" t="n"/>
      <c r="J4906" s="6" t="n"/>
      <c r="K4906" s="6" t="n"/>
      <c r="L4906" s="7">
        <f>IF(OR(D4906="",N(J4906)=0),"",MIN(1,N(K4906)/J4906))</f>
        <v/>
      </c>
      <c r="M4906" s="5" t="n"/>
      <c r="N4906" s="5" t="n"/>
      <c r="O4906" s="5" t="n"/>
      <c r="P4906" s="5" t="n"/>
      <c r="Q4906" s="5" t="n"/>
      <c r="R4906" s="4" t="n"/>
      <c r="S4906" s="4" t="n"/>
      <c r="T4906" s="5" t="n"/>
      <c r="U4906" s="8">
        <f>IF(AND(V4906=1,D4906&lt;&gt;""),IF(D4906&gt;=corte,TODAY()-D4906,""),"")</f>
        <v/>
      </c>
      <c r="V4906" s="8">
        <f>IF(D4906="",0,IF(OR(AND(P4906&lt;&gt;"",S4906=""),AND(N(J4906)&gt;0,N(K4906)&lt;J4906),OR(M4906="PENDENTE",M4906="PARCIAL"),OR(N4906="PENDENTE",N4906="PARCIAL")),1,0))</f>
        <v/>
      </c>
      <c r="W4906" s="8">
        <f>IF(AND(V4906=1,D4906&lt;&gt;""),IF(D4906&gt;=corte,(B4906="CRÍTICO")*1E9+(100000-D4906)*10000+10000-ROW(),""),"")</f>
        <v/>
      </c>
      <c r="X4906" s="8">
        <f>IF(AND(V4906=1,D4906=pas_data,E4906=pas_turno),10000-ROW(),"")</f>
        <v/>
      </c>
    </row>
    <row r="4907">
      <c r="A4907" s="3">
        <f>IF(D4907="","","TT-"&amp;TEXT(ROW()-1,"00000"))</f>
        <v/>
      </c>
      <c r="B4907" s="3">
        <f>IF(D4907="","",IF(V4907=0,"CONCLUÍDO",IF(D4907&lt;corte,"HISTÓRICO",IF(OR(AND(ISNUMBER(R4907),R4907&lt;TODAY()),AND(OR(N4907="PENDENTE",N4907="PARCIAL"),D4907&lt;TODAY()-1)),"CRÍTICO",IF(OR(AND(P4907&lt;&gt;"",S4907=""),AND(N4907="REALIZADO",M4907="PENDENTE"),AND(ISNUMBER(R4907),R4907=TODAY())),"ATENÇÃO",IF(N(K4907)=0,"PENDENTE","EM ANDAMENTO"))))))</f>
        <v/>
      </c>
      <c r="C4907" s="3">
        <f>IF(D4907="","",IF(V4907=0,"🟢 OK",IF(D4907&lt;corte,"⚪ HISTÓRICO (sem baixa)",IF(AND(ISNUMBER(R4907),R4907&lt;TODAY()),"🔴 PRAZO VENCIDO",IF(AND(OR(N4907="PENDENTE",N4907="PARCIAL"),D4907&lt;TODAY()-1),"🔴 EMBARQUE ATRASADO",IF(AND(N4907="REALIZADO",M4907="PENDENTE"),"🟡 EMBARCADO SEM FATURAR",IF(AND(P4907&lt;&gt;"",S4907="",OR(Q4907="",R4907="")),"🟡 PENDÊNCIA SEM RESPONSÁVEL/PRAZO",IF(AND(ISNUMBER(R4907),R4907=TODAY()),"🟡 VENCE HOJE",IF(AND(P4907&lt;&gt;"",S4907=""),"🟡 PENDÊNCIA ABERTA",IF(AND(N(J4907)&gt;0,N(K4907)&lt;J4907),"🟡 FALTA EXECUTAR",IF(OR(M4907="PENDENTE",M4907="PARCIAL"),"🟡 FATURAMENTO PENDENTE","🟡 EMBARQUE PENDENTE")))))))))))</f>
        <v/>
      </c>
      <c r="D4907" s="4" t="n"/>
      <c r="E4907" s="5" t="n"/>
      <c r="F4907" s="5" t="n"/>
      <c r="G4907" s="5" t="n"/>
      <c r="H4907" s="5" t="n"/>
      <c r="I4907" s="5" t="n"/>
      <c r="J4907" s="6" t="n"/>
      <c r="K4907" s="6" t="n"/>
      <c r="L4907" s="7">
        <f>IF(OR(D4907="",N(J4907)=0),"",MIN(1,N(K4907)/J4907))</f>
        <v/>
      </c>
      <c r="M4907" s="5" t="n"/>
      <c r="N4907" s="5" t="n"/>
      <c r="O4907" s="5" t="n"/>
      <c r="P4907" s="5" t="n"/>
      <c r="Q4907" s="5" t="n"/>
      <c r="R4907" s="4" t="n"/>
      <c r="S4907" s="4" t="n"/>
      <c r="T4907" s="5" t="n"/>
      <c r="U4907" s="8">
        <f>IF(AND(V4907=1,D4907&lt;&gt;""),IF(D4907&gt;=corte,TODAY()-D4907,""),"")</f>
        <v/>
      </c>
      <c r="V4907" s="8">
        <f>IF(D4907="",0,IF(OR(AND(P4907&lt;&gt;"",S4907=""),AND(N(J4907)&gt;0,N(K4907)&lt;J4907),OR(M4907="PENDENTE",M4907="PARCIAL"),OR(N4907="PENDENTE",N4907="PARCIAL")),1,0))</f>
        <v/>
      </c>
      <c r="W4907" s="8">
        <f>IF(AND(V4907=1,D4907&lt;&gt;""),IF(D4907&gt;=corte,(B4907="CRÍTICO")*1E9+(100000-D4907)*10000+10000-ROW(),""),"")</f>
        <v/>
      </c>
      <c r="X4907" s="8">
        <f>IF(AND(V4907=1,D4907=pas_data,E4907=pas_turno),10000-ROW(),"")</f>
        <v/>
      </c>
    </row>
    <row r="4908">
      <c r="A4908" s="3">
        <f>IF(D4908="","","TT-"&amp;TEXT(ROW()-1,"00000"))</f>
        <v/>
      </c>
      <c r="B4908" s="3">
        <f>IF(D4908="","",IF(V4908=0,"CONCLUÍDO",IF(D4908&lt;corte,"HISTÓRICO",IF(OR(AND(ISNUMBER(R4908),R4908&lt;TODAY()),AND(OR(N4908="PENDENTE",N4908="PARCIAL"),D4908&lt;TODAY()-1)),"CRÍTICO",IF(OR(AND(P4908&lt;&gt;"",S4908=""),AND(N4908="REALIZADO",M4908="PENDENTE"),AND(ISNUMBER(R4908),R4908=TODAY())),"ATENÇÃO",IF(N(K4908)=0,"PENDENTE","EM ANDAMENTO"))))))</f>
        <v/>
      </c>
      <c r="C4908" s="3">
        <f>IF(D4908="","",IF(V4908=0,"🟢 OK",IF(D4908&lt;corte,"⚪ HISTÓRICO (sem baixa)",IF(AND(ISNUMBER(R4908),R4908&lt;TODAY()),"🔴 PRAZO VENCIDO",IF(AND(OR(N4908="PENDENTE",N4908="PARCIAL"),D4908&lt;TODAY()-1),"🔴 EMBARQUE ATRASADO",IF(AND(N4908="REALIZADO",M4908="PENDENTE"),"🟡 EMBARCADO SEM FATURAR",IF(AND(P4908&lt;&gt;"",S4908="",OR(Q4908="",R4908="")),"🟡 PENDÊNCIA SEM RESPONSÁVEL/PRAZO",IF(AND(ISNUMBER(R4908),R4908=TODAY()),"🟡 VENCE HOJE",IF(AND(P4908&lt;&gt;"",S4908=""),"🟡 PENDÊNCIA ABERTA",IF(AND(N(J4908)&gt;0,N(K4908)&lt;J4908),"🟡 FALTA EXECUTAR",IF(OR(M4908="PENDENTE",M4908="PARCIAL"),"🟡 FATURAMENTO PENDENTE","🟡 EMBARQUE PENDENTE")))))))))))</f>
        <v/>
      </c>
      <c r="D4908" s="4" t="n"/>
      <c r="E4908" s="5" t="n"/>
      <c r="F4908" s="5" t="n"/>
      <c r="G4908" s="5" t="n"/>
      <c r="H4908" s="5" t="n"/>
      <c r="I4908" s="5" t="n"/>
      <c r="J4908" s="6" t="n"/>
      <c r="K4908" s="6" t="n"/>
      <c r="L4908" s="7">
        <f>IF(OR(D4908="",N(J4908)=0),"",MIN(1,N(K4908)/J4908))</f>
        <v/>
      </c>
      <c r="M4908" s="5" t="n"/>
      <c r="N4908" s="5" t="n"/>
      <c r="O4908" s="5" t="n"/>
      <c r="P4908" s="5" t="n"/>
      <c r="Q4908" s="5" t="n"/>
      <c r="R4908" s="4" t="n"/>
      <c r="S4908" s="4" t="n"/>
      <c r="T4908" s="5" t="n"/>
      <c r="U4908" s="8">
        <f>IF(AND(V4908=1,D4908&lt;&gt;""),IF(D4908&gt;=corte,TODAY()-D4908,""),"")</f>
        <v/>
      </c>
      <c r="V4908" s="8">
        <f>IF(D4908="",0,IF(OR(AND(P4908&lt;&gt;"",S4908=""),AND(N(J4908)&gt;0,N(K4908)&lt;J4908),OR(M4908="PENDENTE",M4908="PARCIAL"),OR(N4908="PENDENTE",N4908="PARCIAL")),1,0))</f>
        <v/>
      </c>
      <c r="W4908" s="8">
        <f>IF(AND(V4908=1,D4908&lt;&gt;""),IF(D4908&gt;=corte,(B4908="CRÍTICO")*1E9+(100000-D4908)*10000+10000-ROW(),""),"")</f>
        <v/>
      </c>
      <c r="X4908" s="8">
        <f>IF(AND(V4908=1,D4908=pas_data,E4908=pas_turno),10000-ROW(),"")</f>
        <v/>
      </c>
    </row>
    <row r="4909">
      <c r="A4909" s="3">
        <f>IF(D4909="","","TT-"&amp;TEXT(ROW()-1,"00000"))</f>
        <v/>
      </c>
      <c r="B4909" s="3">
        <f>IF(D4909="","",IF(V4909=0,"CONCLUÍDO",IF(D4909&lt;corte,"HISTÓRICO",IF(OR(AND(ISNUMBER(R4909),R4909&lt;TODAY()),AND(OR(N4909="PENDENTE",N4909="PARCIAL"),D4909&lt;TODAY()-1)),"CRÍTICO",IF(OR(AND(P4909&lt;&gt;"",S4909=""),AND(N4909="REALIZADO",M4909="PENDENTE"),AND(ISNUMBER(R4909),R4909=TODAY())),"ATENÇÃO",IF(N(K4909)=0,"PENDENTE","EM ANDAMENTO"))))))</f>
        <v/>
      </c>
      <c r="C4909" s="3">
        <f>IF(D4909="","",IF(V4909=0,"🟢 OK",IF(D4909&lt;corte,"⚪ HISTÓRICO (sem baixa)",IF(AND(ISNUMBER(R4909),R4909&lt;TODAY()),"🔴 PRAZO VENCIDO",IF(AND(OR(N4909="PENDENTE",N4909="PARCIAL"),D4909&lt;TODAY()-1),"🔴 EMBARQUE ATRASADO",IF(AND(N4909="REALIZADO",M4909="PENDENTE"),"🟡 EMBARCADO SEM FATURAR",IF(AND(P4909&lt;&gt;"",S4909="",OR(Q4909="",R4909="")),"🟡 PENDÊNCIA SEM RESPONSÁVEL/PRAZO",IF(AND(ISNUMBER(R4909),R4909=TODAY()),"🟡 VENCE HOJE",IF(AND(P4909&lt;&gt;"",S4909=""),"🟡 PENDÊNCIA ABERTA",IF(AND(N(J4909)&gt;0,N(K4909)&lt;J4909),"🟡 FALTA EXECUTAR",IF(OR(M4909="PENDENTE",M4909="PARCIAL"),"🟡 FATURAMENTO PENDENTE","🟡 EMBARQUE PENDENTE")))))))))))</f>
        <v/>
      </c>
      <c r="D4909" s="4" t="n"/>
      <c r="E4909" s="5" t="n"/>
      <c r="F4909" s="5" t="n"/>
      <c r="G4909" s="5" t="n"/>
      <c r="H4909" s="5" t="n"/>
      <c r="I4909" s="5" t="n"/>
      <c r="J4909" s="6" t="n"/>
      <c r="K4909" s="6" t="n"/>
      <c r="L4909" s="7">
        <f>IF(OR(D4909="",N(J4909)=0),"",MIN(1,N(K4909)/J4909))</f>
        <v/>
      </c>
      <c r="M4909" s="5" t="n"/>
      <c r="N4909" s="5" t="n"/>
      <c r="O4909" s="5" t="n"/>
      <c r="P4909" s="5" t="n"/>
      <c r="Q4909" s="5" t="n"/>
      <c r="R4909" s="4" t="n"/>
      <c r="S4909" s="4" t="n"/>
      <c r="T4909" s="5" t="n"/>
      <c r="U4909" s="8">
        <f>IF(AND(V4909=1,D4909&lt;&gt;""),IF(D4909&gt;=corte,TODAY()-D4909,""),"")</f>
        <v/>
      </c>
      <c r="V4909" s="8">
        <f>IF(D4909="",0,IF(OR(AND(P4909&lt;&gt;"",S4909=""),AND(N(J4909)&gt;0,N(K4909)&lt;J4909),OR(M4909="PENDENTE",M4909="PARCIAL"),OR(N4909="PENDENTE",N4909="PARCIAL")),1,0))</f>
        <v/>
      </c>
      <c r="W4909" s="8">
        <f>IF(AND(V4909=1,D4909&lt;&gt;""),IF(D4909&gt;=corte,(B4909="CRÍTICO")*1E9+(100000-D4909)*10000+10000-ROW(),""),"")</f>
        <v/>
      </c>
      <c r="X4909" s="8">
        <f>IF(AND(V4909=1,D4909=pas_data,E4909=pas_turno),10000-ROW(),"")</f>
        <v/>
      </c>
    </row>
    <row r="4910">
      <c r="A4910" s="3">
        <f>IF(D4910="","","TT-"&amp;TEXT(ROW()-1,"00000"))</f>
        <v/>
      </c>
      <c r="B4910" s="3">
        <f>IF(D4910="","",IF(V4910=0,"CONCLUÍDO",IF(D4910&lt;corte,"HISTÓRICO",IF(OR(AND(ISNUMBER(R4910),R4910&lt;TODAY()),AND(OR(N4910="PENDENTE",N4910="PARCIAL"),D4910&lt;TODAY()-1)),"CRÍTICO",IF(OR(AND(P4910&lt;&gt;"",S4910=""),AND(N4910="REALIZADO",M4910="PENDENTE"),AND(ISNUMBER(R4910),R4910=TODAY())),"ATENÇÃO",IF(N(K4910)=0,"PENDENTE","EM ANDAMENTO"))))))</f>
        <v/>
      </c>
      <c r="C4910" s="3">
        <f>IF(D4910="","",IF(V4910=0,"🟢 OK",IF(D4910&lt;corte,"⚪ HISTÓRICO (sem baixa)",IF(AND(ISNUMBER(R4910),R4910&lt;TODAY()),"🔴 PRAZO VENCIDO",IF(AND(OR(N4910="PENDENTE",N4910="PARCIAL"),D4910&lt;TODAY()-1),"🔴 EMBARQUE ATRASADO",IF(AND(N4910="REALIZADO",M4910="PENDENTE"),"🟡 EMBARCADO SEM FATURAR",IF(AND(P4910&lt;&gt;"",S4910="",OR(Q4910="",R4910="")),"🟡 PENDÊNCIA SEM RESPONSÁVEL/PRAZO",IF(AND(ISNUMBER(R4910),R4910=TODAY()),"🟡 VENCE HOJE",IF(AND(P4910&lt;&gt;"",S4910=""),"🟡 PENDÊNCIA ABERTA",IF(AND(N(J4910)&gt;0,N(K4910)&lt;J4910),"🟡 FALTA EXECUTAR",IF(OR(M4910="PENDENTE",M4910="PARCIAL"),"🟡 FATURAMENTO PENDENTE","🟡 EMBARQUE PENDENTE")))))))))))</f>
        <v/>
      </c>
      <c r="D4910" s="4" t="n"/>
      <c r="E4910" s="5" t="n"/>
      <c r="F4910" s="5" t="n"/>
      <c r="G4910" s="5" t="n"/>
      <c r="H4910" s="5" t="n"/>
      <c r="I4910" s="5" t="n"/>
      <c r="J4910" s="6" t="n"/>
      <c r="K4910" s="6" t="n"/>
      <c r="L4910" s="7">
        <f>IF(OR(D4910="",N(J4910)=0),"",MIN(1,N(K4910)/J4910))</f>
        <v/>
      </c>
      <c r="M4910" s="5" t="n"/>
      <c r="N4910" s="5" t="n"/>
      <c r="O4910" s="5" t="n"/>
      <c r="P4910" s="5" t="n"/>
      <c r="Q4910" s="5" t="n"/>
      <c r="R4910" s="4" t="n"/>
      <c r="S4910" s="4" t="n"/>
      <c r="T4910" s="5" t="n"/>
      <c r="U4910" s="8">
        <f>IF(AND(V4910=1,D4910&lt;&gt;""),IF(D4910&gt;=corte,TODAY()-D4910,""),"")</f>
        <v/>
      </c>
      <c r="V4910" s="8">
        <f>IF(D4910="",0,IF(OR(AND(P4910&lt;&gt;"",S4910=""),AND(N(J4910)&gt;0,N(K4910)&lt;J4910),OR(M4910="PENDENTE",M4910="PARCIAL"),OR(N4910="PENDENTE",N4910="PARCIAL")),1,0))</f>
        <v/>
      </c>
      <c r="W4910" s="8">
        <f>IF(AND(V4910=1,D4910&lt;&gt;""),IF(D4910&gt;=corte,(B4910="CRÍTICO")*1E9+(100000-D4910)*10000+10000-ROW(),""),"")</f>
        <v/>
      </c>
      <c r="X4910" s="8">
        <f>IF(AND(V4910=1,D4910=pas_data,E4910=pas_turno),10000-ROW(),"")</f>
        <v/>
      </c>
    </row>
    <row r="4911">
      <c r="A4911" s="3">
        <f>IF(D4911="","","TT-"&amp;TEXT(ROW()-1,"00000"))</f>
        <v/>
      </c>
      <c r="B4911" s="3">
        <f>IF(D4911="","",IF(V4911=0,"CONCLUÍDO",IF(D4911&lt;corte,"HISTÓRICO",IF(OR(AND(ISNUMBER(R4911),R4911&lt;TODAY()),AND(OR(N4911="PENDENTE",N4911="PARCIAL"),D4911&lt;TODAY()-1)),"CRÍTICO",IF(OR(AND(P4911&lt;&gt;"",S4911=""),AND(N4911="REALIZADO",M4911="PENDENTE"),AND(ISNUMBER(R4911),R4911=TODAY())),"ATENÇÃO",IF(N(K4911)=0,"PENDENTE","EM ANDAMENTO"))))))</f>
        <v/>
      </c>
      <c r="C4911" s="3">
        <f>IF(D4911="","",IF(V4911=0,"🟢 OK",IF(D4911&lt;corte,"⚪ HISTÓRICO (sem baixa)",IF(AND(ISNUMBER(R4911),R4911&lt;TODAY()),"🔴 PRAZO VENCIDO",IF(AND(OR(N4911="PENDENTE",N4911="PARCIAL"),D4911&lt;TODAY()-1),"🔴 EMBARQUE ATRASADO",IF(AND(N4911="REALIZADO",M4911="PENDENTE"),"🟡 EMBARCADO SEM FATURAR",IF(AND(P4911&lt;&gt;"",S4911="",OR(Q4911="",R4911="")),"🟡 PENDÊNCIA SEM RESPONSÁVEL/PRAZO",IF(AND(ISNUMBER(R4911),R4911=TODAY()),"🟡 VENCE HOJE",IF(AND(P4911&lt;&gt;"",S4911=""),"🟡 PENDÊNCIA ABERTA",IF(AND(N(J4911)&gt;0,N(K4911)&lt;J4911),"🟡 FALTA EXECUTAR",IF(OR(M4911="PENDENTE",M4911="PARCIAL"),"🟡 FATURAMENTO PENDENTE","🟡 EMBARQUE PENDENTE")))))))))))</f>
        <v/>
      </c>
      <c r="D4911" s="4" t="n"/>
      <c r="E4911" s="5" t="n"/>
      <c r="F4911" s="5" t="n"/>
      <c r="G4911" s="5" t="n"/>
      <c r="H4911" s="5" t="n"/>
      <c r="I4911" s="5" t="n"/>
      <c r="J4911" s="6" t="n"/>
      <c r="K4911" s="6" t="n"/>
      <c r="L4911" s="7">
        <f>IF(OR(D4911="",N(J4911)=0),"",MIN(1,N(K4911)/J4911))</f>
        <v/>
      </c>
      <c r="M4911" s="5" t="n"/>
      <c r="N4911" s="5" t="n"/>
      <c r="O4911" s="5" t="n"/>
      <c r="P4911" s="5" t="n"/>
      <c r="Q4911" s="5" t="n"/>
      <c r="R4911" s="4" t="n"/>
      <c r="S4911" s="4" t="n"/>
      <c r="T4911" s="5" t="n"/>
      <c r="U4911" s="8">
        <f>IF(AND(V4911=1,D4911&lt;&gt;""),IF(D4911&gt;=corte,TODAY()-D4911,""),"")</f>
        <v/>
      </c>
      <c r="V4911" s="8">
        <f>IF(D4911="",0,IF(OR(AND(P4911&lt;&gt;"",S4911=""),AND(N(J4911)&gt;0,N(K4911)&lt;J4911),OR(M4911="PENDENTE",M4911="PARCIAL"),OR(N4911="PENDENTE",N4911="PARCIAL")),1,0))</f>
        <v/>
      </c>
      <c r="W4911" s="8">
        <f>IF(AND(V4911=1,D4911&lt;&gt;""),IF(D4911&gt;=corte,(B4911="CRÍTICO")*1E9+(100000-D4911)*10000+10000-ROW(),""),"")</f>
        <v/>
      </c>
      <c r="X4911" s="8">
        <f>IF(AND(V4911=1,D4911=pas_data,E4911=pas_turno),10000-ROW(),"")</f>
        <v/>
      </c>
    </row>
    <row r="4912">
      <c r="A4912" s="3">
        <f>IF(D4912="","","TT-"&amp;TEXT(ROW()-1,"00000"))</f>
        <v/>
      </c>
      <c r="B4912" s="3">
        <f>IF(D4912="","",IF(V4912=0,"CONCLUÍDO",IF(D4912&lt;corte,"HISTÓRICO",IF(OR(AND(ISNUMBER(R4912),R4912&lt;TODAY()),AND(OR(N4912="PENDENTE",N4912="PARCIAL"),D4912&lt;TODAY()-1)),"CRÍTICO",IF(OR(AND(P4912&lt;&gt;"",S4912=""),AND(N4912="REALIZADO",M4912="PENDENTE"),AND(ISNUMBER(R4912),R4912=TODAY())),"ATENÇÃO",IF(N(K4912)=0,"PENDENTE","EM ANDAMENTO"))))))</f>
        <v/>
      </c>
      <c r="C4912" s="3">
        <f>IF(D4912="","",IF(V4912=0,"🟢 OK",IF(D4912&lt;corte,"⚪ HISTÓRICO (sem baixa)",IF(AND(ISNUMBER(R4912),R4912&lt;TODAY()),"🔴 PRAZO VENCIDO",IF(AND(OR(N4912="PENDENTE",N4912="PARCIAL"),D4912&lt;TODAY()-1),"🔴 EMBARQUE ATRASADO",IF(AND(N4912="REALIZADO",M4912="PENDENTE"),"🟡 EMBARCADO SEM FATURAR",IF(AND(P4912&lt;&gt;"",S4912="",OR(Q4912="",R4912="")),"🟡 PENDÊNCIA SEM RESPONSÁVEL/PRAZO",IF(AND(ISNUMBER(R4912),R4912=TODAY()),"🟡 VENCE HOJE",IF(AND(P4912&lt;&gt;"",S4912=""),"🟡 PENDÊNCIA ABERTA",IF(AND(N(J4912)&gt;0,N(K4912)&lt;J4912),"🟡 FALTA EXECUTAR",IF(OR(M4912="PENDENTE",M4912="PARCIAL"),"🟡 FATURAMENTO PENDENTE","🟡 EMBARQUE PENDENTE")))))))))))</f>
        <v/>
      </c>
      <c r="D4912" s="4" t="n"/>
      <c r="E4912" s="5" t="n"/>
      <c r="F4912" s="5" t="n"/>
      <c r="G4912" s="5" t="n"/>
      <c r="H4912" s="5" t="n"/>
      <c r="I4912" s="5" t="n"/>
      <c r="J4912" s="6" t="n"/>
      <c r="K4912" s="6" t="n"/>
      <c r="L4912" s="7">
        <f>IF(OR(D4912="",N(J4912)=0),"",MIN(1,N(K4912)/J4912))</f>
        <v/>
      </c>
      <c r="M4912" s="5" t="n"/>
      <c r="N4912" s="5" t="n"/>
      <c r="O4912" s="5" t="n"/>
      <c r="P4912" s="5" t="n"/>
      <c r="Q4912" s="5" t="n"/>
      <c r="R4912" s="4" t="n"/>
      <c r="S4912" s="4" t="n"/>
      <c r="T4912" s="5" t="n"/>
      <c r="U4912" s="8">
        <f>IF(AND(V4912=1,D4912&lt;&gt;""),IF(D4912&gt;=corte,TODAY()-D4912,""),"")</f>
        <v/>
      </c>
      <c r="V4912" s="8">
        <f>IF(D4912="",0,IF(OR(AND(P4912&lt;&gt;"",S4912=""),AND(N(J4912)&gt;0,N(K4912)&lt;J4912),OR(M4912="PENDENTE",M4912="PARCIAL"),OR(N4912="PENDENTE",N4912="PARCIAL")),1,0))</f>
        <v/>
      </c>
      <c r="W4912" s="8">
        <f>IF(AND(V4912=1,D4912&lt;&gt;""),IF(D4912&gt;=corte,(B4912="CRÍTICO")*1E9+(100000-D4912)*10000+10000-ROW(),""),"")</f>
        <v/>
      </c>
      <c r="X4912" s="8">
        <f>IF(AND(V4912=1,D4912=pas_data,E4912=pas_turno),10000-ROW(),"")</f>
        <v/>
      </c>
    </row>
    <row r="4913">
      <c r="A4913" s="3">
        <f>IF(D4913="","","TT-"&amp;TEXT(ROW()-1,"00000"))</f>
        <v/>
      </c>
      <c r="B4913" s="3">
        <f>IF(D4913="","",IF(V4913=0,"CONCLUÍDO",IF(D4913&lt;corte,"HISTÓRICO",IF(OR(AND(ISNUMBER(R4913),R4913&lt;TODAY()),AND(OR(N4913="PENDENTE",N4913="PARCIAL"),D4913&lt;TODAY()-1)),"CRÍTICO",IF(OR(AND(P4913&lt;&gt;"",S4913=""),AND(N4913="REALIZADO",M4913="PENDENTE"),AND(ISNUMBER(R4913),R4913=TODAY())),"ATENÇÃO",IF(N(K4913)=0,"PENDENTE","EM ANDAMENTO"))))))</f>
        <v/>
      </c>
      <c r="C4913" s="3">
        <f>IF(D4913="","",IF(V4913=0,"🟢 OK",IF(D4913&lt;corte,"⚪ HISTÓRICO (sem baixa)",IF(AND(ISNUMBER(R4913),R4913&lt;TODAY()),"🔴 PRAZO VENCIDO",IF(AND(OR(N4913="PENDENTE",N4913="PARCIAL"),D4913&lt;TODAY()-1),"🔴 EMBARQUE ATRASADO",IF(AND(N4913="REALIZADO",M4913="PENDENTE"),"🟡 EMBARCADO SEM FATURAR",IF(AND(P4913&lt;&gt;"",S4913="",OR(Q4913="",R4913="")),"🟡 PENDÊNCIA SEM RESPONSÁVEL/PRAZO",IF(AND(ISNUMBER(R4913),R4913=TODAY()),"🟡 VENCE HOJE",IF(AND(P4913&lt;&gt;"",S4913=""),"🟡 PENDÊNCIA ABERTA",IF(AND(N(J4913)&gt;0,N(K4913)&lt;J4913),"🟡 FALTA EXECUTAR",IF(OR(M4913="PENDENTE",M4913="PARCIAL"),"🟡 FATURAMENTO PENDENTE","🟡 EMBARQUE PENDENTE")))))))))))</f>
        <v/>
      </c>
      <c r="D4913" s="4" t="n"/>
      <c r="E4913" s="5" t="n"/>
      <c r="F4913" s="5" t="n"/>
      <c r="G4913" s="5" t="n"/>
      <c r="H4913" s="5" t="n"/>
      <c r="I4913" s="5" t="n"/>
      <c r="J4913" s="6" t="n"/>
      <c r="K4913" s="6" t="n"/>
      <c r="L4913" s="7">
        <f>IF(OR(D4913="",N(J4913)=0),"",MIN(1,N(K4913)/J4913))</f>
        <v/>
      </c>
      <c r="M4913" s="5" t="n"/>
      <c r="N4913" s="5" t="n"/>
      <c r="O4913" s="5" t="n"/>
      <c r="P4913" s="5" t="n"/>
      <c r="Q4913" s="5" t="n"/>
      <c r="R4913" s="4" t="n"/>
      <c r="S4913" s="4" t="n"/>
      <c r="T4913" s="5" t="n"/>
      <c r="U4913" s="8">
        <f>IF(AND(V4913=1,D4913&lt;&gt;""),IF(D4913&gt;=corte,TODAY()-D4913,""),"")</f>
        <v/>
      </c>
      <c r="V4913" s="8">
        <f>IF(D4913="",0,IF(OR(AND(P4913&lt;&gt;"",S4913=""),AND(N(J4913)&gt;0,N(K4913)&lt;J4913),OR(M4913="PENDENTE",M4913="PARCIAL"),OR(N4913="PENDENTE",N4913="PARCIAL")),1,0))</f>
        <v/>
      </c>
      <c r="W4913" s="8">
        <f>IF(AND(V4913=1,D4913&lt;&gt;""),IF(D4913&gt;=corte,(B4913="CRÍTICO")*1E9+(100000-D4913)*10000+10000-ROW(),""),"")</f>
        <v/>
      </c>
      <c r="X4913" s="8">
        <f>IF(AND(V4913=1,D4913=pas_data,E4913=pas_turno),10000-ROW(),"")</f>
        <v/>
      </c>
    </row>
    <row r="4914">
      <c r="A4914" s="3">
        <f>IF(D4914="","","TT-"&amp;TEXT(ROW()-1,"00000"))</f>
        <v/>
      </c>
      <c r="B4914" s="3">
        <f>IF(D4914="","",IF(V4914=0,"CONCLUÍDO",IF(D4914&lt;corte,"HISTÓRICO",IF(OR(AND(ISNUMBER(R4914),R4914&lt;TODAY()),AND(OR(N4914="PENDENTE",N4914="PARCIAL"),D4914&lt;TODAY()-1)),"CRÍTICO",IF(OR(AND(P4914&lt;&gt;"",S4914=""),AND(N4914="REALIZADO",M4914="PENDENTE"),AND(ISNUMBER(R4914),R4914=TODAY())),"ATENÇÃO",IF(N(K4914)=0,"PENDENTE","EM ANDAMENTO"))))))</f>
        <v/>
      </c>
      <c r="C4914" s="3">
        <f>IF(D4914="","",IF(V4914=0,"🟢 OK",IF(D4914&lt;corte,"⚪ HISTÓRICO (sem baixa)",IF(AND(ISNUMBER(R4914),R4914&lt;TODAY()),"🔴 PRAZO VENCIDO",IF(AND(OR(N4914="PENDENTE",N4914="PARCIAL"),D4914&lt;TODAY()-1),"🔴 EMBARQUE ATRASADO",IF(AND(N4914="REALIZADO",M4914="PENDENTE"),"🟡 EMBARCADO SEM FATURAR",IF(AND(P4914&lt;&gt;"",S4914="",OR(Q4914="",R4914="")),"🟡 PENDÊNCIA SEM RESPONSÁVEL/PRAZO",IF(AND(ISNUMBER(R4914),R4914=TODAY()),"🟡 VENCE HOJE",IF(AND(P4914&lt;&gt;"",S4914=""),"🟡 PENDÊNCIA ABERTA",IF(AND(N(J4914)&gt;0,N(K4914)&lt;J4914),"🟡 FALTA EXECUTAR",IF(OR(M4914="PENDENTE",M4914="PARCIAL"),"🟡 FATURAMENTO PENDENTE","🟡 EMBARQUE PENDENTE")))))))))))</f>
        <v/>
      </c>
      <c r="D4914" s="4" t="n"/>
      <c r="E4914" s="5" t="n"/>
      <c r="F4914" s="5" t="n"/>
      <c r="G4914" s="5" t="n"/>
      <c r="H4914" s="5" t="n"/>
      <c r="I4914" s="5" t="n"/>
      <c r="J4914" s="6" t="n"/>
      <c r="K4914" s="6" t="n"/>
      <c r="L4914" s="7">
        <f>IF(OR(D4914="",N(J4914)=0),"",MIN(1,N(K4914)/J4914))</f>
        <v/>
      </c>
      <c r="M4914" s="5" t="n"/>
      <c r="N4914" s="5" t="n"/>
      <c r="O4914" s="5" t="n"/>
      <c r="P4914" s="5" t="n"/>
      <c r="Q4914" s="5" t="n"/>
      <c r="R4914" s="4" t="n"/>
      <c r="S4914" s="4" t="n"/>
      <c r="T4914" s="5" t="n"/>
      <c r="U4914" s="8">
        <f>IF(AND(V4914=1,D4914&lt;&gt;""),IF(D4914&gt;=corte,TODAY()-D4914,""),"")</f>
        <v/>
      </c>
      <c r="V4914" s="8">
        <f>IF(D4914="",0,IF(OR(AND(P4914&lt;&gt;"",S4914=""),AND(N(J4914)&gt;0,N(K4914)&lt;J4914),OR(M4914="PENDENTE",M4914="PARCIAL"),OR(N4914="PENDENTE",N4914="PARCIAL")),1,0))</f>
        <v/>
      </c>
      <c r="W4914" s="8">
        <f>IF(AND(V4914=1,D4914&lt;&gt;""),IF(D4914&gt;=corte,(B4914="CRÍTICO")*1E9+(100000-D4914)*10000+10000-ROW(),""),"")</f>
        <v/>
      </c>
      <c r="X4914" s="8">
        <f>IF(AND(V4914=1,D4914=pas_data,E4914=pas_turno),10000-ROW(),"")</f>
        <v/>
      </c>
    </row>
    <row r="4915">
      <c r="A4915" s="3">
        <f>IF(D4915="","","TT-"&amp;TEXT(ROW()-1,"00000"))</f>
        <v/>
      </c>
      <c r="B4915" s="3">
        <f>IF(D4915="","",IF(V4915=0,"CONCLUÍDO",IF(D4915&lt;corte,"HISTÓRICO",IF(OR(AND(ISNUMBER(R4915),R4915&lt;TODAY()),AND(OR(N4915="PENDENTE",N4915="PARCIAL"),D4915&lt;TODAY()-1)),"CRÍTICO",IF(OR(AND(P4915&lt;&gt;"",S4915=""),AND(N4915="REALIZADO",M4915="PENDENTE"),AND(ISNUMBER(R4915),R4915=TODAY())),"ATENÇÃO",IF(N(K4915)=0,"PENDENTE","EM ANDAMENTO"))))))</f>
        <v/>
      </c>
      <c r="C4915" s="3">
        <f>IF(D4915="","",IF(V4915=0,"🟢 OK",IF(D4915&lt;corte,"⚪ HISTÓRICO (sem baixa)",IF(AND(ISNUMBER(R4915),R4915&lt;TODAY()),"🔴 PRAZO VENCIDO",IF(AND(OR(N4915="PENDENTE",N4915="PARCIAL"),D4915&lt;TODAY()-1),"🔴 EMBARQUE ATRASADO",IF(AND(N4915="REALIZADO",M4915="PENDENTE"),"🟡 EMBARCADO SEM FATURAR",IF(AND(P4915&lt;&gt;"",S4915="",OR(Q4915="",R4915="")),"🟡 PENDÊNCIA SEM RESPONSÁVEL/PRAZO",IF(AND(ISNUMBER(R4915),R4915=TODAY()),"🟡 VENCE HOJE",IF(AND(P4915&lt;&gt;"",S4915=""),"🟡 PENDÊNCIA ABERTA",IF(AND(N(J4915)&gt;0,N(K4915)&lt;J4915),"🟡 FALTA EXECUTAR",IF(OR(M4915="PENDENTE",M4915="PARCIAL"),"🟡 FATURAMENTO PENDENTE","🟡 EMBARQUE PENDENTE")))))))))))</f>
        <v/>
      </c>
      <c r="D4915" s="4" t="n"/>
      <c r="E4915" s="5" t="n"/>
      <c r="F4915" s="5" t="n"/>
      <c r="G4915" s="5" t="n"/>
      <c r="H4915" s="5" t="n"/>
      <c r="I4915" s="5" t="n"/>
      <c r="J4915" s="6" t="n"/>
      <c r="K4915" s="6" t="n"/>
      <c r="L4915" s="7">
        <f>IF(OR(D4915="",N(J4915)=0),"",MIN(1,N(K4915)/J4915))</f>
        <v/>
      </c>
      <c r="M4915" s="5" t="n"/>
      <c r="N4915" s="5" t="n"/>
      <c r="O4915" s="5" t="n"/>
      <c r="P4915" s="5" t="n"/>
      <c r="Q4915" s="5" t="n"/>
      <c r="R4915" s="4" t="n"/>
      <c r="S4915" s="4" t="n"/>
      <c r="T4915" s="5" t="n"/>
      <c r="U4915" s="8">
        <f>IF(AND(V4915=1,D4915&lt;&gt;""),IF(D4915&gt;=corte,TODAY()-D4915,""),"")</f>
        <v/>
      </c>
      <c r="V4915" s="8">
        <f>IF(D4915="",0,IF(OR(AND(P4915&lt;&gt;"",S4915=""),AND(N(J4915)&gt;0,N(K4915)&lt;J4915),OR(M4915="PENDENTE",M4915="PARCIAL"),OR(N4915="PENDENTE",N4915="PARCIAL")),1,0))</f>
        <v/>
      </c>
      <c r="W4915" s="8">
        <f>IF(AND(V4915=1,D4915&lt;&gt;""),IF(D4915&gt;=corte,(B4915="CRÍTICO")*1E9+(100000-D4915)*10000+10000-ROW(),""),"")</f>
        <v/>
      </c>
      <c r="X4915" s="8">
        <f>IF(AND(V4915=1,D4915=pas_data,E4915=pas_turno),10000-ROW(),"")</f>
        <v/>
      </c>
    </row>
    <row r="4916">
      <c r="A4916" s="3">
        <f>IF(D4916="","","TT-"&amp;TEXT(ROW()-1,"00000"))</f>
        <v/>
      </c>
      <c r="B4916" s="3">
        <f>IF(D4916="","",IF(V4916=0,"CONCLUÍDO",IF(D4916&lt;corte,"HISTÓRICO",IF(OR(AND(ISNUMBER(R4916),R4916&lt;TODAY()),AND(OR(N4916="PENDENTE",N4916="PARCIAL"),D4916&lt;TODAY()-1)),"CRÍTICO",IF(OR(AND(P4916&lt;&gt;"",S4916=""),AND(N4916="REALIZADO",M4916="PENDENTE"),AND(ISNUMBER(R4916),R4916=TODAY())),"ATENÇÃO",IF(N(K4916)=0,"PENDENTE","EM ANDAMENTO"))))))</f>
        <v/>
      </c>
      <c r="C4916" s="3">
        <f>IF(D4916="","",IF(V4916=0,"🟢 OK",IF(D4916&lt;corte,"⚪ HISTÓRICO (sem baixa)",IF(AND(ISNUMBER(R4916),R4916&lt;TODAY()),"🔴 PRAZO VENCIDO",IF(AND(OR(N4916="PENDENTE",N4916="PARCIAL"),D4916&lt;TODAY()-1),"🔴 EMBARQUE ATRASADO",IF(AND(N4916="REALIZADO",M4916="PENDENTE"),"🟡 EMBARCADO SEM FATURAR",IF(AND(P4916&lt;&gt;"",S4916="",OR(Q4916="",R4916="")),"🟡 PENDÊNCIA SEM RESPONSÁVEL/PRAZO",IF(AND(ISNUMBER(R4916),R4916=TODAY()),"🟡 VENCE HOJE",IF(AND(P4916&lt;&gt;"",S4916=""),"🟡 PENDÊNCIA ABERTA",IF(AND(N(J4916)&gt;0,N(K4916)&lt;J4916),"🟡 FALTA EXECUTAR",IF(OR(M4916="PENDENTE",M4916="PARCIAL"),"🟡 FATURAMENTO PENDENTE","🟡 EMBARQUE PENDENTE")))))))))))</f>
        <v/>
      </c>
      <c r="D4916" s="4" t="n"/>
      <c r="E4916" s="5" t="n"/>
      <c r="F4916" s="5" t="n"/>
      <c r="G4916" s="5" t="n"/>
      <c r="H4916" s="5" t="n"/>
      <c r="I4916" s="5" t="n"/>
      <c r="J4916" s="6" t="n"/>
      <c r="K4916" s="6" t="n"/>
      <c r="L4916" s="7">
        <f>IF(OR(D4916="",N(J4916)=0),"",MIN(1,N(K4916)/J4916))</f>
        <v/>
      </c>
      <c r="M4916" s="5" t="n"/>
      <c r="N4916" s="5" t="n"/>
      <c r="O4916" s="5" t="n"/>
      <c r="P4916" s="5" t="n"/>
      <c r="Q4916" s="5" t="n"/>
      <c r="R4916" s="4" t="n"/>
      <c r="S4916" s="4" t="n"/>
      <c r="T4916" s="5" t="n"/>
      <c r="U4916" s="8">
        <f>IF(AND(V4916=1,D4916&lt;&gt;""),IF(D4916&gt;=corte,TODAY()-D4916,""),"")</f>
        <v/>
      </c>
      <c r="V4916" s="8">
        <f>IF(D4916="",0,IF(OR(AND(P4916&lt;&gt;"",S4916=""),AND(N(J4916)&gt;0,N(K4916)&lt;J4916),OR(M4916="PENDENTE",M4916="PARCIAL"),OR(N4916="PENDENTE",N4916="PARCIAL")),1,0))</f>
        <v/>
      </c>
      <c r="W4916" s="8">
        <f>IF(AND(V4916=1,D4916&lt;&gt;""),IF(D4916&gt;=corte,(B4916="CRÍTICO")*1E9+(100000-D4916)*10000+10000-ROW(),""),"")</f>
        <v/>
      </c>
      <c r="X4916" s="8">
        <f>IF(AND(V4916=1,D4916=pas_data,E4916=pas_turno),10000-ROW(),"")</f>
        <v/>
      </c>
    </row>
    <row r="4917">
      <c r="A4917" s="3">
        <f>IF(D4917="","","TT-"&amp;TEXT(ROW()-1,"00000"))</f>
        <v/>
      </c>
      <c r="B4917" s="3">
        <f>IF(D4917="","",IF(V4917=0,"CONCLUÍDO",IF(D4917&lt;corte,"HISTÓRICO",IF(OR(AND(ISNUMBER(R4917),R4917&lt;TODAY()),AND(OR(N4917="PENDENTE",N4917="PARCIAL"),D4917&lt;TODAY()-1)),"CRÍTICO",IF(OR(AND(P4917&lt;&gt;"",S4917=""),AND(N4917="REALIZADO",M4917="PENDENTE"),AND(ISNUMBER(R4917),R4917=TODAY())),"ATENÇÃO",IF(N(K4917)=0,"PENDENTE","EM ANDAMENTO"))))))</f>
        <v/>
      </c>
      <c r="C4917" s="3">
        <f>IF(D4917="","",IF(V4917=0,"🟢 OK",IF(D4917&lt;corte,"⚪ HISTÓRICO (sem baixa)",IF(AND(ISNUMBER(R4917),R4917&lt;TODAY()),"🔴 PRAZO VENCIDO",IF(AND(OR(N4917="PENDENTE",N4917="PARCIAL"),D4917&lt;TODAY()-1),"🔴 EMBARQUE ATRASADO",IF(AND(N4917="REALIZADO",M4917="PENDENTE"),"🟡 EMBARCADO SEM FATURAR",IF(AND(P4917&lt;&gt;"",S4917="",OR(Q4917="",R4917="")),"🟡 PENDÊNCIA SEM RESPONSÁVEL/PRAZO",IF(AND(ISNUMBER(R4917),R4917=TODAY()),"🟡 VENCE HOJE",IF(AND(P4917&lt;&gt;"",S4917=""),"🟡 PENDÊNCIA ABERTA",IF(AND(N(J4917)&gt;0,N(K4917)&lt;J4917),"🟡 FALTA EXECUTAR",IF(OR(M4917="PENDENTE",M4917="PARCIAL"),"🟡 FATURAMENTO PENDENTE","🟡 EMBARQUE PENDENTE")))))))))))</f>
        <v/>
      </c>
      <c r="D4917" s="4" t="n"/>
      <c r="E4917" s="5" t="n"/>
      <c r="F4917" s="5" t="n"/>
      <c r="G4917" s="5" t="n"/>
      <c r="H4917" s="5" t="n"/>
      <c r="I4917" s="5" t="n"/>
      <c r="J4917" s="6" t="n"/>
      <c r="K4917" s="6" t="n"/>
      <c r="L4917" s="7">
        <f>IF(OR(D4917="",N(J4917)=0),"",MIN(1,N(K4917)/J4917))</f>
        <v/>
      </c>
      <c r="M4917" s="5" t="n"/>
      <c r="N4917" s="5" t="n"/>
      <c r="O4917" s="5" t="n"/>
      <c r="P4917" s="5" t="n"/>
      <c r="Q4917" s="5" t="n"/>
      <c r="R4917" s="4" t="n"/>
      <c r="S4917" s="4" t="n"/>
      <c r="T4917" s="5" t="n"/>
      <c r="U4917" s="8">
        <f>IF(AND(V4917=1,D4917&lt;&gt;""),IF(D4917&gt;=corte,TODAY()-D4917,""),"")</f>
        <v/>
      </c>
      <c r="V4917" s="8">
        <f>IF(D4917="",0,IF(OR(AND(P4917&lt;&gt;"",S4917=""),AND(N(J4917)&gt;0,N(K4917)&lt;J4917),OR(M4917="PENDENTE",M4917="PARCIAL"),OR(N4917="PENDENTE",N4917="PARCIAL")),1,0))</f>
        <v/>
      </c>
      <c r="W4917" s="8">
        <f>IF(AND(V4917=1,D4917&lt;&gt;""),IF(D4917&gt;=corte,(B4917="CRÍTICO")*1E9+(100000-D4917)*10000+10000-ROW(),""),"")</f>
        <v/>
      </c>
      <c r="X4917" s="8">
        <f>IF(AND(V4917=1,D4917=pas_data,E4917=pas_turno),10000-ROW(),"")</f>
        <v/>
      </c>
    </row>
    <row r="4918">
      <c r="A4918" s="3">
        <f>IF(D4918="","","TT-"&amp;TEXT(ROW()-1,"00000"))</f>
        <v/>
      </c>
      <c r="B4918" s="3">
        <f>IF(D4918="","",IF(V4918=0,"CONCLUÍDO",IF(D4918&lt;corte,"HISTÓRICO",IF(OR(AND(ISNUMBER(R4918),R4918&lt;TODAY()),AND(OR(N4918="PENDENTE",N4918="PARCIAL"),D4918&lt;TODAY()-1)),"CRÍTICO",IF(OR(AND(P4918&lt;&gt;"",S4918=""),AND(N4918="REALIZADO",M4918="PENDENTE"),AND(ISNUMBER(R4918),R4918=TODAY())),"ATENÇÃO",IF(N(K4918)=0,"PENDENTE","EM ANDAMENTO"))))))</f>
        <v/>
      </c>
      <c r="C4918" s="3">
        <f>IF(D4918="","",IF(V4918=0,"🟢 OK",IF(D4918&lt;corte,"⚪ HISTÓRICO (sem baixa)",IF(AND(ISNUMBER(R4918),R4918&lt;TODAY()),"🔴 PRAZO VENCIDO",IF(AND(OR(N4918="PENDENTE",N4918="PARCIAL"),D4918&lt;TODAY()-1),"🔴 EMBARQUE ATRASADO",IF(AND(N4918="REALIZADO",M4918="PENDENTE"),"🟡 EMBARCADO SEM FATURAR",IF(AND(P4918&lt;&gt;"",S4918="",OR(Q4918="",R4918="")),"🟡 PENDÊNCIA SEM RESPONSÁVEL/PRAZO",IF(AND(ISNUMBER(R4918),R4918=TODAY()),"🟡 VENCE HOJE",IF(AND(P4918&lt;&gt;"",S4918=""),"🟡 PENDÊNCIA ABERTA",IF(AND(N(J4918)&gt;0,N(K4918)&lt;J4918),"🟡 FALTA EXECUTAR",IF(OR(M4918="PENDENTE",M4918="PARCIAL"),"🟡 FATURAMENTO PENDENTE","🟡 EMBARQUE PENDENTE")))))))))))</f>
        <v/>
      </c>
      <c r="D4918" s="4" t="n"/>
      <c r="E4918" s="5" t="n"/>
      <c r="F4918" s="5" t="n"/>
      <c r="G4918" s="5" t="n"/>
      <c r="H4918" s="5" t="n"/>
      <c r="I4918" s="5" t="n"/>
      <c r="J4918" s="6" t="n"/>
      <c r="K4918" s="6" t="n"/>
      <c r="L4918" s="7">
        <f>IF(OR(D4918="",N(J4918)=0),"",MIN(1,N(K4918)/J4918))</f>
        <v/>
      </c>
      <c r="M4918" s="5" t="n"/>
      <c r="N4918" s="5" t="n"/>
      <c r="O4918" s="5" t="n"/>
      <c r="P4918" s="5" t="n"/>
      <c r="Q4918" s="5" t="n"/>
      <c r="R4918" s="4" t="n"/>
      <c r="S4918" s="4" t="n"/>
      <c r="T4918" s="5" t="n"/>
      <c r="U4918" s="8">
        <f>IF(AND(V4918=1,D4918&lt;&gt;""),IF(D4918&gt;=corte,TODAY()-D4918,""),"")</f>
        <v/>
      </c>
      <c r="V4918" s="8">
        <f>IF(D4918="",0,IF(OR(AND(P4918&lt;&gt;"",S4918=""),AND(N(J4918)&gt;0,N(K4918)&lt;J4918),OR(M4918="PENDENTE",M4918="PARCIAL"),OR(N4918="PENDENTE",N4918="PARCIAL")),1,0))</f>
        <v/>
      </c>
      <c r="W4918" s="8">
        <f>IF(AND(V4918=1,D4918&lt;&gt;""),IF(D4918&gt;=corte,(B4918="CRÍTICO")*1E9+(100000-D4918)*10000+10000-ROW(),""),"")</f>
        <v/>
      </c>
      <c r="X4918" s="8">
        <f>IF(AND(V4918=1,D4918=pas_data,E4918=pas_turno),10000-ROW(),"")</f>
        <v/>
      </c>
    </row>
    <row r="4919">
      <c r="A4919" s="3">
        <f>IF(D4919="","","TT-"&amp;TEXT(ROW()-1,"00000"))</f>
        <v/>
      </c>
      <c r="B4919" s="3">
        <f>IF(D4919="","",IF(V4919=0,"CONCLUÍDO",IF(D4919&lt;corte,"HISTÓRICO",IF(OR(AND(ISNUMBER(R4919),R4919&lt;TODAY()),AND(OR(N4919="PENDENTE",N4919="PARCIAL"),D4919&lt;TODAY()-1)),"CRÍTICO",IF(OR(AND(P4919&lt;&gt;"",S4919=""),AND(N4919="REALIZADO",M4919="PENDENTE"),AND(ISNUMBER(R4919),R4919=TODAY())),"ATENÇÃO",IF(N(K4919)=0,"PENDENTE","EM ANDAMENTO"))))))</f>
        <v/>
      </c>
      <c r="C4919" s="3">
        <f>IF(D4919="","",IF(V4919=0,"🟢 OK",IF(D4919&lt;corte,"⚪ HISTÓRICO (sem baixa)",IF(AND(ISNUMBER(R4919),R4919&lt;TODAY()),"🔴 PRAZO VENCIDO",IF(AND(OR(N4919="PENDENTE",N4919="PARCIAL"),D4919&lt;TODAY()-1),"🔴 EMBARQUE ATRASADO",IF(AND(N4919="REALIZADO",M4919="PENDENTE"),"🟡 EMBARCADO SEM FATURAR",IF(AND(P4919&lt;&gt;"",S4919="",OR(Q4919="",R4919="")),"🟡 PENDÊNCIA SEM RESPONSÁVEL/PRAZO",IF(AND(ISNUMBER(R4919),R4919=TODAY()),"🟡 VENCE HOJE",IF(AND(P4919&lt;&gt;"",S4919=""),"🟡 PENDÊNCIA ABERTA",IF(AND(N(J4919)&gt;0,N(K4919)&lt;J4919),"🟡 FALTA EXECUTAR",IF(OR(M4919="PENDENTE",M4919="PARCIAL"),"🟡 FATURAMENTO PENDENTE","🟡 EMBARQUE PENDENTE")))))))))))</f>
        <v/>
      </c>
      <c r="D4919" s="4" t="n"/>
      <c r="E4919" s="5" t="n"/>
      <c r="F4919" s="5" t="n"/>
      <c r="G4919" s="5" t="n"/>
      <c r="H4919" s="5" t="n"/>
      <c r="I4919" s="5" t="n"/>
      <c r="J4919" s="6" t="n"/>
      <c r="K4919" s="6" t="n"/>
      <c r="L4919" s="7">
        <f>IF(OR(D4919="",N(J4919)=0),"",MIN(1,N(K4919)/J4919))</f>
        <v/>
      </c>
      <c r="M4919" s="5" t="n"/>
      <c r="N4919" s="5" t="n"/>
      <c r="O4919" s="5" t="n"/>
      <c r="P4919" s="5" t="n"/>
      <c r="Q4919" s="5" t="n"/>
      <c r="R4919" s="4" t="n"/>
      <c r="S4919" s="4" t="n"/>
      <c r="T4919" s="5" t="n"/>
      <c r="U4919" s="8">
        <f>IF(AND(V4919=1,D4919&lt;&gt;""),IF(D4919&gt;=corte,TODAY()-D4919,""),"")</f>
        <v/>
      </c>
      <c r="V4919" s="8">
        <f>IF(D4919="",0,IF(OR(AND(P4919&lt;&gt;"",S4919=""),AND(N(J4919)&gt;0,N(K4919)&lt;J4919),OR(M4919="PENDENTE",M4919="PARCIAL"),OR(N4919="PENDENTE",N4919="PARCIAL")),1,0))</f>
        <v/>
      </c>
      <c r="W4919" s="8">
        <f>IF(AND(V4919=1,D4919&lt;&gt;""),IF(D4919&gt;=corte,(B4919="CRÍTICO")*1E9+(100000-D4919)*10000+10000-ROW(),""),"")</f>
        <v/>
      </c>
      <c r="X4919" s="8">
        <f>IF(AND(V4919=1,D4919=pas_data,E4919=pas_turno),10000-ROW(),"")</f>
        <v/>
      </c>
    </row>
    <row r="4920">
      <c r="A4920" s="3">
        <f>IF(D4920="","","TT-"&amp;TEXT(ROW()-1,"00000"))</f>
        <v/>
      </c>
      <c r="B4920" s="3">
        <f>IF(D4920="","",IF(V4920=0,"CONCLUÍDO",IF(D4920&lt;corte,"HISTÓRICO",IF(OR(AND(ISNUMBER(R4920),R4920&lt;TODAY()),AND(OR(N4920="PENDENTE",N4920="PARCIAL"),D4920&lt;TODAY()-1)),"CRÍTICO",IF(OR(AND(P4920&lt;&gt;"",S4920=""),AND(N4920="REALIZADO",M4920="PENDENTE"),AND(ISNUMBER(R4920),R4920=TODAY())),"ATENÇÃO",IF(N(K4920)=0,"PENDENTE","EM ANDAMENTO"))))))</f>
        <v/>
      </c>
      <c r="C4920" s="3">
        <f>IF(D4920="","",IF(V4920=0,"🟢 OK",IF(D4920&lt;corte,"⚪ HISTÓRICO (sem baixa)",IF(AND(ISNUMBER(R4920),R4920&lt;TODAY()),"🔴 PRAZO VENCIDO",IF(AND(OR(N4920="PENDENTE",N4920="PARCIAL"),D4920&lt;TODAY()-1),"🔴 EMBARQUE ATRASADO",IF(AND(N4920="REALIZADO",M4920="PENDENTE"),"🟡 EMBARCADO SEM FATURAR",IF(AND(P4920&lt;&gt;"",S4920="",OR(Q4920="",R4920="")),"🟡 PENDÊNCIA SEM RESPONSÁVEL/PRAZO",IF(AND(ISNUMBER(R4920),R4920=TODAY()),"🟡 VENCE HOJE",IF(AND(P4920&lt;&gt;"",S4920=""),"🟡 PENDÊNCIA ABERTA",IF(AND(N(J4920)&gt;0,N(K4920)&lt;J4920),"🟡 FALTA EXECUTAR",IF(OR(M4920="PENDENTE",M4920="PARCIAL"),"🟡 FATURAMENTO PENDENTE","🟡 EMBARQUE PENDENTE")))))))))))</f>
        <v/>
      </c>
      <c r="D4920" s="4" t="n"/>
      <c r="E4920" s="5" t="n"/>
      <c r="F4920" s="5" t="n"/>
      <c r="G4920" s="5" t="n"/>
      <c r="H4920" s="5" t="n"/>
      <c r="I4920" s="5" t="n"/>
      <c r="J4920" s="6" t="n"/>
      <c r="K4920" s="6" t="n"/>
      <c r="L4920" s="7">
        <f>IF(OR(D4920="",N(J4920)=0),"",MIN(1,N(K4920)/J4920))</f>
        <v/>
      </c>
      <c r="M4920" s="5" t="n"/>
      <c r="N4920" s="5" t="n"/>
      <c r="O4920" s="5" t="n"/>
      <c r="P4920" s="5" t="n"/>
      <c r="Q4920" s="5" t="n"/>
      <c r="R4920" s="4" t="n"/>
      <c r="S4920" s="4" t="n"/>
      <c r="T4920" s="5" t="n"/>
      <c r="U4920" s="8">
        <f>IF(AND(V4920=1,D4920&lt;&gt;""),IF(D4920&gt;=corte,TODAY()-D4920,""),"")</f>
        <v/>
      </c>
      <c r="V4920" s="8">
        <f>IF(D4920="",0,IF(OR(AND(P4920&lt;&gt;"",S4920=""),AND(N(J4920)&gt;0,N(K4920)&lt;J4920),OR(M4920="PENDENTE",M4920="PARCIAL"),OR(N4920="PENDENTE",N4920="PARCIAL")),1,0))</f>
        <v/>
      </c>
      <c r="W4920" s="8">
        <f>IF(AND(V4920=1,D4920&lt;&gt;""),IF(D4920&gt;=corte,(B4920="CRÍTICO")*1E9+(100000-D4920)*10000+10000-ROW(),""),"")</f>
        <v/>
      </c>
      <c r="X4920" s="8">
        <f>IF(AND(V4920=1,D4920=pas_data,E4920=pas_turno),10000-ROW(),"")</f>
        <v/>
      </c>
    </row>
    <row r="4921">
      <c r="A4921" s="3">
        <f>IF(D4921="","","TT-"&amp;TEXT(ROW()-1,"00000"))</f>
        <v/>
      </c>
      <c r="B4921" s="3">
        <f>IF(D4921="","",IF(V4921=0,"CONCLUÍDO",IF(D4921&lt;corte,"HISTÓRICO",IF(OR(AND(ISNUMBER(R4921),R4921&lt;TODAY()),AND(OR(N4921="PENDENTE",N4921="PARCIAL"),D4921&lt;TODAY()-1)),"CRÍTICO",IF(OR(AND(P4921&lt;&gt;"",S4921=""),AND(N4921="REALIZADO",M4921="PENDENTE"),AND(ISNUMBER(R4921),R4921=TODAY())),"ATENÇÃO",IF(N(K4921)=0,"PENDENTE","EM ANDAMENTO"))))))</f>
        <v/>
      </c>
      <c r="C4921" s="3">
        <f>IF(D4921="","",IF(V4921=0,"🟢 OK",IF(D4921&lt;corte,"⚪ HISTÓRICO (sem baixa)",IF(AND(ISNUMBER(R4921),R4921&lt;TODAY()),"🔴 PRAZO VENCIDO",IF(AND(OR(N4921="PENDENTE",N4921="PARCIAL"),D4921&lt;TODAY()-1),"🔴 EMBARQUE ATRASADO",IF(AND(N4921="REALIZADO",M4921="PENDENTE"),"🟡 EMBARCADO SEM FATURAR",IF(AND(P4921&lt;&gt;"",S4921="",OR(Q4921="",R4921="")),"🟡 PENDÊNCIA SEM RESPONSÁVEL/PRAZO",IF(AND(ISNUMBER(R4921),R4921=TODAY()),"🟡 VENCE HOJE",IF(AND(P4921&lt;&gt;"",S4921=""),"🟡 PENDÊNCIA ABERTA",IF(AND(N(J4921)&gt;0,N(K4921)&lt;J4921),"🟡 FALTA EXECUTAR",IF(OR(M4921="PENDENTE",M4921="PARCIAL"),"🟡 FATURAMENTO PENDENTE","🟡 EMBARQUE PENDENTE")))))))))))</f>
        <v/>
      </c>
      <c r="D4921" s="4" t="n"/>
      <c r="E4921" s="5" t="n"/>
      <c r="F4921" s="5" t="n"/>
      <c r="G4921" s="5" t="n"/>
      <c r="H4921" s="5" t="n"/>
      <c r="I4921" s="5" t="n"/>
      <c r="J4921" s="6" t="n"/>
      <c r="K4921" s="6" t="n"/>
      <c r="L4921" s="7">
        <f>IF(OR(D4921="",N(J4921)=0),"",MIN(1,N(K4921)/J4921))</f>
        <v/>
      </c>
      <c r="M4921" s="5" t="n"/>
      <c r="N4921" s="5" t="n"/>
      <c r="O4921" s="5" t="n"/>
      <c r="P4921" s="5" t="n"/>
      <c r="Q4921" s="5" t="n"/>
      <c r="R4921" s="4" t="n"/>
      <c r="S4921" s="4" t="n"/>
      <c r="T4921" s="5" t="n"/>
      <c r="U4921" s="8">
        <f>IF(AND(V4921=1,D4921&lt;&gt;""),IF(D4921&gt;=corte,TODAY()-D4921,""),"")</f>
        <v/>
      </c>
      <c r="V4921" s="8">
        <f>IF(D4921="",0,IF(OR(AND(P4921&lt;&gt;"",S4921=""),AND(N(J4921)&gt;0,N(K4921)&lt;J4921),OR(M4921="PENDENTE",M4921="PARCIAL"),OR(N4921="PENDENTE",N4921="PARCIAL")),1,0))</f>
        <v/>
      </c>
      <c r="W4921" s="8">
        <f>IF(AND(V4921=1,D4921&lt;&gt;""),IF(D4921&gt;=corte,(B4921="CRÍTICO")*1E9+(100000-D4921)*10000+10000-ROW(),""),"")</f>
        <v/>
      </c>
      <c r="X4921" s="8">
        <f>IF(AND(V4921=1,D4921=pas_data,E4921=pas_turno),10000-ROW(),"")</f>
        <v/>
      </c>
    </row>
    <row r="4922">
      <c r="A4922" s="3">
        <f>IF(D4922="","","TT-"&amp;TEXT(ROW()-1,"00000"))</f>
        <v/>
      </c>
      <c r="B4922" s="3">
        <f>IF(D4922="","",IF(V4922=0,"CONCLUÍDO",IF(D4922&lt;corte,"HISTÓRICO",IF(OR(AND(ISNUMBER(R4922),R4922&lt;TODAY()),AND(OR(N4922="PENDENTE",N4922="PARCIAL"),D4922&lt;TODAY()-1)),"CRÍTICO",IF(OR(AND(P4922&lt;&gt;"",S4922=""),AND(N4922="REALIZADO",M4922="PENDENTE"),AND(ISNUMBER(R4922),R4922=TODAY())),"ATENÇÃO",IF(N(K4922)=0,"PENDENTE","EM ANDAMENTO"))))))</f>
        <v/>
      </c>
      <c r="C4922" s="3">
        <f>IF(D4922="","",IF(V4922=0,"🟢 OK",IF(D4922&lt;corte,"⚪ HISTÓRICO (sem baixa)",IF(AND(ISNUMBER(R4922),R4922&lt;TODAY()),"🔴 PRAZO VENCIDO",IF(AND(OR(N4922="PENDENTE",N4922="PARCIAL"),D4922&lt;TODAY()-1),"🔴 EMBARQUE ATRASADO",IF(AND(N4922="REALIZADO",M4922="PENDENTE"),"🟡 EMBARCADO SEM FATURAR",IF(AND(P4922&lt;&gt;"",S4922="",OR(Q4922="",R4922="")),"🟡 PENDÊNCIA SEM RESPONSÁVEL/PRAZO",IF(AND(ISNUMBER(R4922),R4922=TODAY()),"🟡 VENCE HOJE",IF(AND(P4922&lt;&gt;"",S4922=""),"🟡 PENDÊNCIA ABERTA",IF(AND(N(J4922)&gt;0,N(K4922)&lt;J4922),"🟡 FALTA EXECUTAR",IF(OR(M4922="PENDENTE",M4922="PARCIAL"),"🟡 FATURAMENTO PENDENTE","🟡 EMBARQUE PENDENTE")))))))))))</f>
        <v/>
      </c>
      <c r="D4922" s="4" t="n"/>
      <c r="E4922" s="5" t="n"/>
      <c r="F4922" s="5" t="n"/>
      <c r="G4922" s="5" t="n"/>
      <c r="H4922" s="5" t="n"/>
      <c r="I4922" s="5" t="n"/>
      <c r="J4922" s="6" t="n"/>
      <c r="K4922" s="6" t="n"/>
      <c r="L4922" s="7">
        <f>IF(OR(D4922="",N(J4922)=0),"",MIN(1,N(K4922)/J4922))</f>
        <v/>
      </c>
      <c r="M4922" s="5" t="n"/>
      <c r="N4922" s="5" t="n"/>
      <c r="O4922" s="5" t="n"/>
      <c r="P4922" s="5" t="n"/>
      <c r="Q4922" s="5" t="n"/>
      <c r="R4922" s="4" t="n"/>
      <c r="S4922" s="4" t="n"/>
      <c r="T4922" s="5" t="n"/>
      <c r="U4922" s="8">
        <f>IF(AND(V4922=1,D4922&lt;&gt;""),IF(D4922&gt;=corte,TODAY()-D4922,""),"")</f>
        <v/>
      </c>
      <c r="V4922" s="8">
        <f>IF(D4922="",0,IF(OR(AND(P4922&lt;&gt;"",S4922=""),AND(N(J4922)&gt;0,N(K4922)&lt;J4922),OR(M4922="PENDENTE",M4922="PARCIAL"),OR(N4922="PENDENTE",N4922="PARCIAL")),1,0))</f>
        <v/>
      </c>
      <c r="W4922" s="8">
        <f>IF(AND(V4922=1,D4922&lt;&gt;""),IF(D4922&gt;=corte,(B4922="CRÍTICO")*1E9+(100000-D4922)*10000+10000-ROW(),""),"")</f>
        <v/>
      </c>
      <c r="X4922" s="8">
        <f>IF(AND(V4922=1,D4922=pas_data,E4922=pas_turno),10000-ROW(),"")</f>
        <v/>
      </c>
    </row>
    <row r="4923">
      <c r="A4923" s="3">
        <f>IF(D4923="","","TT-"&amp;TEXT(ROW()-1,"00000"))</f>
        <v/>
      </c>
      <c r="B4923" s="3">
        <f>IF(D4923="","",IF(V4923=0,"CONCLUÍDO",IF(D4923&lt;corte,"HISTÓRICO",IF(OR(AND(ISNUMBER(R4923),R4923&lt;TODAY()),AND(OR(N4923="PENDENTE",N4923="PARCIAL"),D4923&lt;TODAY()-1)),"CRÍTICO",IF(OR(AND(P4923&lt;&gt;"",S4923=""),AND(N4923="REALIZADO",M4923="PENDENTE"),AND(ISNUMBER(R4923),R4923=TODAY())),"ATENÇÃO",IF(N(K4923)=0,"PENDENTE","EM ANDAMENTO"))))))</f>
        <v/>
      </c>
      <c r="C4923" s="3">
        <f>IF(D4923="","",IF(V4923=0,"🟢 OK",IF(D4923&lt;corte,"⚪ HISTÓRICO (sem baixa)",IF(AND(ISNUMBER(R4923),R4923&lt;TODAY()),"🔴 PRAZO VENCIDO",IF(AND(OR(N4923="PENDENTE",N4923="PARCIAL"),D4923&lt;TODAY()-1),"🔴 EMBARQUE ATRASADO",IF(AND(N4923="REALIZADO",M4923="PENDENTE"),"🟡 EMBARCADO SEM FATURAR",IF(AND(P4923&lt;&gt;"",S4923="",OR(Q4923="",R4923="")),"🟡 PENDÊNCIA SEM RESPONSÁVEL/PRAZO",IF(AND(ISNUMBER(R4923),R4923=TODAY()),"🟡 VENCE HOJE",IF(AND(P4923&lt;&gt;"",S4923=""),"🟡 PENDÊNCIA ABERTA",IF(AND(N(J4923)&gt;0,N(K4923)&lt;J4923),"🟡 FALTA EXECUTAR",IF(OR(M4923="PENDENTE",M4923="PARCIAL"),"🟡 FATURAMENTO PENDENTE","🟡 EMBARQUE PENDENTE")))))))))))</f>
        <v/>
      </c>
      <c r="D4923" s="4" t="n"/>
      <c r="E4923" s="5" t="n"/>
      <c r="F4923" s="5" t="n"/>
      <c r="G4923" s="5" t="n"/>
      <c r="H4923" s="5" t="n"/>
      <c r="I4923" s="5" t="n"/>
      <c r="J4923" s="6" t="n"/>
      <c r="K4923" s="6" t="n"/>
      <c r="L4923" s="7">
        <f>IF(OR(D4923="",N(J4923)=0),"",MIN(1,N(K4923)/J4923))</f>
        <v/>
      </c>
      <c r="M4923" s="5" t="n"/>
      <c r="N4923" s="5" t="n"/>
      <c r="O4923" s="5" t="n"/>
      <c r="P4923" s="5" t="n"/>
      <c r="Q4923" s="5" t="n"/>
      <c r="R4923" s="4" t="n"/>
      <c r="S4923" s="4" t="n"/>
      <c r="T4923" s="5" t="n"/>
      <c r="U4923" s="8">
        <f>IF(AND(V4923=1,D4923&lt;&gt;""),IF(D4923&gt;=corte,TODAY()-D4923,""),"")</f>
        <v/>
      </c>
      <c r="V4923" s="8">
        <f>IF(D4923="",0,IF(OR(AND(P4923&lt;&gt;"",S4923=""),AND(N(J4923)&gt;0,N(K4923)&lt;J4923),OR(M4923="PENDENTE",M4923="PARCIAL"),OR(N4923="PENDENTE",N4923="PARCIAL")),1,0))</f>
        <v/>
      </c>
      <c r="W4923" s="8">
        <f>IF(AND(V4923=1,D4923&lt;&gt;""),IF(D4923&gt;=corte,(B4923="CRÍTICO")*1E9+(100000-D4923)*10000+10000-ROW(),""),"")</f>
        <v/>
      </c>
      <c r="X4923" s="8">
        <f>IF(AND(V4923=1,D4923=pas_data,E4923=pas_turno),10000-ROW(),"")</f>
        <v/>
      </c>
    </row>
    <row r="4924">
      <c r="A4924" s="3">
        <f>IF(D4924="","","TT-"&amp;TEXT(ROW()-1,"00000"))</f>
        <v/>
      </c>
      <c r="B4924" s="3">
        <f>IF(D4924="","",IF(V4924=0,"CONCLUÍDO",IF(D4924&lt;corte,"HISTÓRICO",IF(OR(AND(ISNUMBER(R4924),R4924&lt;TODAY()),AND(OR(N4924="PENDENTE",N4924="PARCIAL"),D4924&lt;TODAY()-1)),"CRÍTICO",IF(OR(AND(P4924&lt;&gt;"",S4924=""),AND(N4924="REALIZADO",M4924="PENDENTE"),AND(ISNUMBER(R4924),R4924=TODAY())),"ATENÇÃO",IF(N(K4924)=0,"PENDENTE","EM ANDAMENTO"))))))</f>
        <v/>
      </c>
      <c r="C4924" s="3">
        <f>IF(D4924="","",IF(V4924=0,"🟢 OK",IF(D4924&lt;corte,"⚪ HISTÓRICO (sem baixa)",IF(AND(ISNUMBER(R4924),R4924&lt;TODAY()),"🔴 PRAZO VENCIDO",IF(AND(OR(N4924="PENDENTE",N4924="PARCIAL"),D4924&lt;TODAY()-1),"🔴 EMBARQUE ATRASADO",IF(AND(N4924="REALIZADO",M4924="PENDENTE"),"🟡 EMBARCADO SEM FATURAR",IF(AND(P4924&lt;&gt;"",S4924="",OR(Q4924="",R4924="")),"🟡 PENDÊNCIA SEM RESPONSÁVEL/PRAZO",IF(AND(ISNUMBER(R4924),R4924=TODAY()),"🟡 VENCE HOJE",IF(AND(P4924&lt;&gt;"",S4924=""),"🟡 PENDÊNCIA ABERTA",IF(AND(N(J4924)&gt;0,N(K4924)&lt;J4924),"🟡 FALTA EXECUTAR",IF(OR(M4924="PENDENTE",M4924="PARCIAL"),"🟡 FATURAMENTO PENDENTE","🟡 EMBARQUE PENDENTE")))))))))))</f>
        <v/>
      </c>
      <c r="D4924" s="4" t="n"/>
      <c r="E4924" s="5" t="n"/>
      <c r="F4924" s="5" t="n"/>
      <c r="G4924" s="5" t="n"/>
      <c r="H4924" s="5" t="n"/>
      <c r="I4924" s="5" t="n"/>
      <c r="J4924" s="6" t="n"/>
      <c r="K4924" s="6" t="n"/>
      <c r="L4924" s="7">
        <f>IF(OR(D4924="",N(J4924)=0),"",MIN(1,N(K4924)/J4924))</f>
        <v/>
      </c>
      <c r="M4924" s="5" t="n"/>
      <c r="N4924" s="5" t="n"/>
      <c r="O4924" s="5" t="n"/>
      <c r="P4924" s="5" t="n"/>
      <c r="Q4924" s="5" t="n"/>
      <c r="R4924" s="4" t="n"/>
      <c r="S4924" s="4" t="n"/>
      <c r="T4924" s="5" t="n"/>
      <c r="U4924" s="8">
        <f>IF(AND(V4924=1,D4924&lt;&gt;""),IF(D4924&gt;=corte,TODAY()-D4924,""),"")</f>
        <v/>
      </c>
      <c r="V4924" s="8">
        <f>IF(D4924="",0,IF(OR(AND(P4924&lt;&gt;"",S4924=""),AND(N(J4924)&gt;0,N(K4924)&lt;J4924),OR(M4924="PENDENTE",M4924="PARCIAL"),OR(N4924="PENDENTE",N4924="PARCIAL")),1,0))</f>
        <v/>
      </c>
      <c r="W4924" s="8">
        <f>IF(AND(V4924=1,D4924&lt;&gt;""),IF(D4924&gt;=corte,(B4924="CRÍTICO")*1E9+(100000-D4924)*10000+10000-ROW(),""),"")</f>
        <v/>
      </c>
      <c r="X4924" s="8">
        <f>IF(AND(V4924=1,D4924=pas_data,E4924=pas_turno),10000-ROW(),"")</f>
        <v/>
      </c>
    </row>
    <row r="4925">
      <c r="A4925" s="3">
        <f>IF(D4925="","","TT-"&amp;TEXT(ROW()-1,"00000"))</f>
        <v/>
      </c>
      <c r="B4925" s="3">
        <f>IF(D4925="","",IF(V4925=0,"CONCLUÍDO",IF(D4925&lt;corte,"HISTÓRICO",IF(OR(AND(ISNUMBER(R4925),R4925&lt;TODAY()),AND(OR(N4925="PENDENTE",N4925="PARCIAL"),D4925&lt;TODAY()-1)),"CRÍTICO",IF(OR(AND(P4925&lt;&gt;"",S4925=""),AND(N4925="REALIZADO",M4925="PENDENTE"),AND(ISNUMBER(R4925),R4925=TODAY())),"ATENÇÃO",IF(N(K4925)=0,"PENDENTE","EM ANDAMENTO"))))))</f>
        <v/>
      </c>
      <c r="C4925" s="3">
        <f>IF(D4925="","",IF(V4925=0,"🟢 OK",IF(D4925&lt;corte,"⚪ HISTÓRICO (sem baixa)",IF(AND(ISNUMBER(R4925),R4925&lt;TODAY()),"🔴 PRAZO VENCIDO",IF(AND(OR(N4925="PENDENTE",N4925="PARCIAL"),D4925&lt;TODAY()-1),"🔴 EMBARQUE ATRASADO",IF(AND(N4925="REALIZADO",M4925="PENDENTE"),"🟡 EMBARCADO SEM FATURAR",IF(AND(P4925&lt;&gt;"",S4925="",OR(Q4925="",R4925="")),"🟡 PENDÊNCIA SEM RESPONSÁVEL/PRAZO",IF(AND(ISNUMBER(R4925),R4925=TODAY()),"🟡 VENCE HOJE",IF(AND(P4925&lt;&gt;"",S4925=""),"🟡 PENDÊNCIA ABERTA",IF(AND(N(J4925)&gt;0,N(K4925)&lt;J4925),"🟡 FALTA EXECUTAR",IF(OR(M4925="PENDENTE",M4925="PARCIAL"),"🟡 FATURAMENTO PENDENTE","🟡 EMBARQUE PENDENTE")))))))))))</f>
        <v/>
      </c>
      <c r="D4925" s="4" t="n"/>
      <c r="E4925" s="5" t="n"/>
      <c r="F4925" s="5" t="n"/>
      <c r="G4925" s="5" t="n"/>
      <c r="H4925" s="5" t="n"/>
      <c r="I4925" s="5" t="n"/>
      <c r="J4925" s="6" t="n"/>
      <c r="K4925" s="6" t="n"/>
      <c r="L4925" s="7">
        <f>IF(OR(D4925="",N(J4925)=0),"",MIN(1,N(K4925)/J4925))</f>
        <v/>
      </c>
      <c r="M4925" s="5" t="n"/>
      <c r="N4925" s="5" t="n"/>
      <c r="O4925" s="5" t="n"/>
      <c r="P4925" s="5" t="n"/>
      <c r="Q4925" s="5" t="n"/>
      <c r="R4925" s="4" t="n"/>
      <c r="S4925" s="4" t="n"/>
      <c r="T4925" s="5" t="n"/>
      <c r="U4925" s="8">
        <f>IF(AND(V4925=1,D4925&lt;&gt;""),IF(D4925&gt;=corte,TODAY()-D4925,""),"")</f>
        <v/>
      </c>
      <c r="V4925" s="8">
        <f>IF(D4925="",0,IF(OR(AND(P4925&lt;&gt;"",S4925=""),AND(N(J4925)&gt;0,N(K4925)&lt;J4925),OR(M4925="PENDENTE",M4925="PARCIAL"),OR(N4925="PENDENTE",N4925="PARCIAL")),1,0))</f>
        <v/>
      </c>
      <c r="W4925" s="8">
        <f>IF(AND(V4925=1,D4925&lt;&gt;""),IF(D4925&gt;=corte,(B4925="CRÍTICO")*1E9+(100000-D4925)*10000+10000-ROW(),""),"")</f>
        <v/>
      </c>
      <c r="X4925" s="8">
        <f>IF(AND(V4925=1,D4925=pas_data,E4925=pas_turno),10000-ROW(),"")</f>
        <v/>
      </c>
    </row>
    <row r="4926">
      <c r="A4926" s="3">
        <f>IF(D4926="","","TT-"&amp;TEXT(ROW()-1,"00000"))</f>
        <v/>
      </c>
      <c r="B4926" s="3">
        <f>IF(D4926="","",IF(V4926=0,"CONCLUÍDO",IF(D4926&lt;corte,"HISTÓRICO",IF(OR(AND(ISNUMBER(R4926),R4926&lt;TODAY()),AND(OR(N4926="PENDENTE",N4926="PARCIAL"),D4926&lt;TODAY()-1)),"CRÍTICO",IF(OR(AND(P4926&lt;&gt;"",S4926=""),AND(N4926="REALIZADO",M4926="PENDENTE"),AND(ISNUMBER(R4926),R4926=TODAY())),"ATENÇÃO",IF(N(K4926)=0,"PENDENTE","EM ANDAMENTO"))))))</f>
        <v/>
      </c>
      <c r="C4926" s="3">
        <f>IF(D4926="","",IF(V4926=0,"🟢 OK",IF(D4926&lt;corte,"⚪ HISTÓRICO (sem baixa)",IF(AND(ISNUMBER(R4926),R4926&lt;TODAY()),"🔴 PRAZO VENCIDO",IF(AND(OR(N4926="PENDENTE",N4926="PARCIAL"),D4926&lt;TODAY()-1),"🔴 EMBARQUE ATRASADO",IF(AND(N4926="REALIZADO",M4926="PENDENTE"),"🟡 EMBARCADO SEM FATURAR",IF(AND(P4926&lt;&gt;"",S4926="",OR(Q4926="",R4926="")),"🟡 PENDÊNCIA SEM RESPONSÁVEL/PRAZO",IF(AND(ISNUMBER(R4926),R4926=TODAY()),"🟡 VENCE HOJE",IF(AND(P4926&lt;&gt;"",S4926=""),"🟡 PENDÊNCIA ABERTA",IF(AND(N(J4926)&gt;0,N(K4926)&lt;J4926),"🟡 FALTA EXECUTAR",IF(OR(M4926="PENDENTE",M4926="PARCIAL"),"🟡 FATURAMENTO PENDENTE","🟡 EMBARQUE PENDENTE")))))))))))</f>
        <v/>
      </c>
      <c r="D4926" s="4" t="n"/>
      <c r="E4926" s="5" t="n"/>
      <c r="F4926" s="5" t="n"/>
      <c r="G4926" s="5" t="n"/>
      <c r="H4926" s="5" t="n"/>
      <c r="I4926" s="5" t="n"/>
      <c r="J4926" s="6" t="n"/>
      <c r="K4926" s="6" t="n"/>
      <c r="L4926" s="7">
        <f>IF(OR(D4926="",N(J4926)=0),"",MIN(1,N(K4926)/J4926))</f>
        <v/>
      </c>
      <c r="M4926" s="5" t="n"/>
      <c r="N4926" s="5" t="n"/>
      <c r="O4926" s="5" t="n"/>
      <c r="P4926" s="5" t="n"/>
      <c r="Q4926" s="5" t="n"/>
      <c r="R4926" s="4" t="n"/>
      <c r="S4926" s="4" t="n"/>
      <c r="T4926" s="5" t="n"/>
      <c r="U4926" s="8">
        <f>IF(AND(V4926=1,D4926&lt;&gt;""),IF(D4926&gt;=corte,TODAY()-D4926,""),"")</f>
        <v/>
      </c>
      <c r="V4926" s="8">
        <f>IF(D4926="",0,IF(OR(AND(P4926&lt;&gt;"",S4926=""),AND(N(J4926)&gt;0,N(K4926)&lt;J4926),OR(M4926="PENDENTE",M4926="PARCIAL"),OR(N4926="PENDENTE",N4926="PARCIAL")),1,0))</f>
        <v/>
      </c>
      <c r="W4926" s="8">
        <f>IF(AND(V4926=1,D4926&lt;&gt;""),IF(D4926&gt;=corte,(B4926="CRÍTICO")*1E9+(100000-D4926)*10000+10000-ROW(),""),"")</f>
        <v/>
      </c>
      <c r="X4926" s="8">
        <f>IF(AND(V4926=1,D4926=pas_data,E4926=pas_turno),10000-ROW(),"")</f>
        <v/>
      </c>
    </row>
    <row r="4927">
      <c r="A4927" s="3">
        <f>IF(D4927="","","TT-"&amp;TEXT(ROW()-1,"00000"))</f>
        <v/>
      </c>
      <c r="B4927" s="3">
        <f>IF(D4927="","",IF(V4927=0,"CONCLUÍDO",IF(D4927&lt;corte,"HISTÓRICO",IF(OR(AND(ISNUMBER(R4927),R4927&lt;TODAY()),AND(OR(N4927="PENDENTE",N4927="PARCIAL"),D4927&lt;TODAY()-1)),"CRÍTICO",IF(OR(AND(P4927&lt;&gt;"",S4927=""),AND(N4927="REALIZADO",M4927="PENDENTE"),AND(ISNUMBER(R4927),R4927=TODAY())),"ATENÇÃO",IF(N(K4927)=0,"PENDENTE","EM ANDAMENTO"))))))</f>
        <v/>
      </c>
      <c r="C4927" s="3">
        <f>IF(D4927="","",IF(V4927=0,"🟢 OK",IF(D4927&lt;corte,"⚪ HISTÓRICO (sem baixa)",IF(AND(ISNUMBER(R4927),R4927&lt;TODAY()),"🔴 PRAZO VENCIDO",IF(AND(OR(N4927="PENDENTE",N4927="PARCIAL"),D4927&lt;TODAY()-1),"🔴 EMBARQUE ATRASADO",IF(AND(N4927="REALIZADO",M4927="PENDENTE"),"🟡 EMBARCADO SEM FATURAR",IF(AND(P4927&lt;&gt;"",S4927="",OR(Q4927="",R4927="")),"🟡 PENDÊNCIA SEM RESPONSÁVEL/PRAZO",IF(AND(ISNUMBER(R4927),R4927=TODAY()),"🟡 VENCE HOJE",IF(AND(P4927&lt;&gt;"",S4927=""),"🟡 PENDÊNCIA ABERTA",IF(AND(N(J4927)&gt;0,N(K4927)&lt;J4927),"🟡 FALTA EXECUTAR",IF(OR(M4927="PENDENTE",M4927="PARCIAL"),"🟡 FATURAMENTO PENDENTE","🟡 EMBARQUE PENDENTE")))))))))))</f>
        <v/>
      </c>
      <c r="D4927" s="4" t="n"/>
      <c r="E4927" s="5" t="n"/>
      <c r="F4927" s="5" t="n"/>
      <c r="G4927" s="5" t="n"/>
      <c r="H4927" s="5" t="n"/>
      <c r="I4927" s="5" t="n"/>
      <c r="J4927" s="6" t="n"/>
      <c r="K4927" s="6" t="n"/>
      <c r="L4927" s="7">
        <f>IF(OR(D4927="",N(J4927)=0),"",MIN(1,N(K4927)/J4927))</f>
        <v/>
      </c>
      <c r="M4927" s="5" t="n"/>
      <c r="N4927" s="5" t="n"/>
      <c r="O4927" s="5" t="n"/>
      <c r="P4927" s="5" t="n"/>
      <c r="Q4927" s="5" t="n"/>
      <c r="R4927" s="4" t="n"/>
      <c r="S4927" s="4" t="n"/>
      <c r="T4927" s="5" t="n"/>
      <c r="U4927" s="8">
        <f>IF(AND(V4927=1,D4927&lt;&gt;""),IF(D4927&gt;=corte,TODAY()-D4927,""),"")</f>
        <v/>
      </c>
      <c r="V4927" s="8">
        <f>IF(D4927="",0,IF(OR(AND(P4927&lt;&gt;"",S4927=""),AND(N(J4927)&gt;0,N(K4927)&lt;J4927),OR(M4927="PENDENTE",M4927="PARCIAL"),OR(N4927="PENDENTE",N4927="PARCIAL")),1,0))</f>
        <v/>
      </c>
      <c r="W4927" s="8">
        <f>IF(AND(V4927=1,D4927&lt;&gt;""),IF(D4927&gt;=corte,(B4927="CRÍTICO")*1E9+(100000-D4927)*10000+10000-ROW(),""),"")</f>
        <v/>
      </c>
      <c r="X4927" s="8">
        <f>IF(AND(V4927=1,D4927=pas_data,E4927=pas_turno),10000-ROW(),"")</f>
        <v/>
      </c>
    </row>
    <row r="4928">
      <c r="A4928" s="3">
        <f>IF(D4928="","","TT-"&amp;TEXT(ROW()-1,"00000"))</f>
        <v/>
      </c>
      <c r="B4928" s="3">
        <f>IF(D4928="","",IF(V4928=0,"CONCLUÍDO",IF(D4928&lt;corte,"HISTÓRICO",IF(OR(AND(ISNUMBER(R4928),R4928&lt;TODAY()),AND(OR(N4928="PENDENTE",N4928="PARCIAL"),D4928&lt;TODAY()-1)),"CRÍTICO",IF(OR(AND(P4928&lt;&gt;"",S4928=""),AND(N4928="REALIZADO",M4928="PENDENTE"),AND(ISNUMBER(R4928),R4928=TODAY())),"ATENÇÃO",IF(N(K4928)=0,"PENDENTE","EM ANDAMENTO"))))))</f>
        <v/>
      </c>
      <c r="C4928" s="3">
        <f>IF(D4928="","",IF(V4928=0,"🟢 OK",IF(D4928&lt;corte,"⚪ HISTÓRICO (sem baixa)",IF(AND(ISNUMBER(R4928),R4928&lt;TODAY()),"🔴 PRAZO VENCIDO",IF(AND(OR(N4928="PENDENTE",N4928="PARCIAL"),D4928&lt;TODAY()-1),"🔴 EMBARQUE ATRASADO",IF(AND(N4928="REALIZADO",M4928="PENDENTE"),"🟡 EMBARCADO SEM FATURAR",IF(AND(P4928&lt;&gt;"",S4928="",OR(Q4928="",R4928="")),"🟡 PENDÊNCIA SEM RESPONSÁVEL/PRAZO",IF(AND(ISNUMBER(R4928),R4928=TODAY()),"🟡 VENCE HOJE",IF(AND(P4928&lt;&gt;"",S4928=""),"🟡 PENDÊNCIA ABERTA",IF(AND(N(J4928)&gt;0,N(K4928)&lt;J4928),"🟡 FALTA EXECUTAR",IF(OR(M4928="PENDENTE",M4928="PARCIAL"),"🟡 FATURAMENTO PENDENTE","🟡 EMBARQUE PENDENTE")))))))))))</f>
        <v/>
      </c>
      <c r="D4928" s="4" t="n"/>
      <c r="E4928" s="5" t="n"/>
      <c r="F4928" s="5" t="n"/>
      <c r="G4928" s="5" t="n"/>
      <c r="H4928" s="5" t="n"/>
      <c r="I4928" s="5" t="n"/>
      <c r="J4928" s="6" t="n"/>
      <c r="K4928" s="6" t="n"/>
      <c r="L4928" s="7">
        <f>IF(OR(D4928="",N(J4928)=0),"",MIN(1,N(K4928)/J4928))</f>
        <v/>
      </c>
      <c r="M4928" s="5" t="n"/>
      <c r="N4928" s="5" t="n"/>
      <c r="O4928" s="5" t="n"/>
      <c r="P4928" s="5" t="n"/>
      <c r="Q4928" s="5" t="n"/>
      <c r="R4928" s="4" t="n"/>
      <c r="S4928" s="4" t="n"/>
      <c r="T4928" s="5" t="n"/>
      <c r="U4928" s="8">
        <f>IF(AND(V4928=1,D4928&lt;&gt;""),IF(D4928&gt;=corte,TODAY()-D4928,""),"")</f>
        <v/>
      </c>
      <c r="V4928" s="8">
        <f>IF(D4928="",0,IF(OR(AND(P4928&lt;&gt;"",S4928=""),AND(N(J4928)&gt;0,N(K4928)&lt;J4928),OR(M4928="PENDENTE",M4928="PARCIAL"),OR(N4928="PENDENTE",N4928="PARCIAL")),1,0))</f>
        <v/>
      </c>
      <c r="W4928" s="8">
        <f>IF(AND(V4928=1,D4928&lt;&gt;""),IF(D4928&gt;=corte,(B4928="CRÍTICO")*1E9+(100000-D4928)*10000+10000-ROW(),""),"")</f>
        <v/>
      </c>
      <c r="X4928" s="8">
        <f>IF(AND(V4928=1,D4928=pas_data,E4928=pas_turno),10000-ROW(),"")</f>
        <v/>
      </c>
    </row>
    <row r="4929">
      <c r="A4929" s="3">
        <f>IF(D4929="","","TT-"&amp;TEXT(ROW()-1,"00000"))</f>
        <v/>
      </c>
      <c r="B4929" s="3">
        <f>IF(D4929="","",IF(V4929=0,"CONCLUÍDO",IF(D4929&lt;corte,"HISTÓRICO",IF(OR(AND(ISNUMBER(R4929),R4929&lt;TODAY()),AND(OR(N4929="PENDENTE",N4929="PARCIAL"),D4929&lt;TODAY()-1)),"CRÍTICO",IF(OR(AND(P4929&lt;&gt;"",S4929=""),AND(N4929="REALIZADO",M4929="PENDENTE"),AND(ISNUMBER(R4929),R4929=TODAY())),"ATENÇÃO",IF(N(K4929)=0,"PENDENTE","EM ANDAMENTO"))))))</f>
        <v/>
      </c>
      <c r="C4929" s="3">
        <f>IF(D4929="","",IF(V4929=0,"🟢 OK",IF(D4929&lt;corte,"⚪ HISTÓRICO (sem baixa)",IF(AND(ISNUMBER(R4929),R4929&lt;TODAY()),"🔴 PRAZO VENCIDO",IF(AND(OR(N4929="PENDENTE",N4929="PARCIAL"),D4929&lt;TODAY()-1),"🔴 EMBARQUE ATRASADO",IF(AND(N4929="REALIZADO",M4929="PENDENTE"),"🟡 EMBARCADO SEM FATURAR",IF(AND(P4929&lt;&gt;"",S4929="",OR(Q4929="",R4929="")),"🟡 PENDÊNCIA SEM RESPONSÁVEL/PRAZO",IF(AND(ISNUMBER(R4929),R4929=TODAY()),"🟡 VENCE HOJE",IF(AND(P4929&lt;&gt;"",S4929=""),"🟡 PENDÊNCIA ABERTA",IF(AND(N(J4929)&gt;0,N(K4929)&lt;J4929),"🟡 FALTA EXECUTAR",IF(OR(M4929="PENDENTE",M4929="PARCIAL"),"🟡 FATURAMENTO PENDENTE","🟡 EMBARQUE PENDENTE")))))))))))</f>
        <v/>
      </c>
      <c r="D4929" s="4" t="n"/>
      <c r="E4929" s="5" t="n"/>
      <c r="F4929" s="5" t="n"/>
      <c r="G4929" s="5" t="n"/>
      <c r="H4929" s="5" t="n"/>
      <c r="I4929" s="5" t="n"/>
      <c r="J4929" s="6" t="n"/>
      <c r="K4929" s="6" t="n"/>
      <c r="L4929" s="7">
        <f>IF(OR(D4929="",N(J4929)=0),"",MIN(1,N(K4929)/J4929))</f>
        <v/>
      </c>
      <c r="M4929" s="5" t="n"/>
      <c r="N4929" s="5" t="n"/>
      <c r="O4929" s="5" t="n"/>
      <c r="P4929" s="5" t="n"/>
      <c r="Q4929" s="5" t="n"/>
      <c r="R4929" s="4" t="n"/>
      <c r="S4929" s="4" t="n"/>
      <c r="T4929" s="5" t="n"/>
      <c r="U4929" s="8">
        <f>IF(AND(V4929=1,D4929&lt;&gt;""),IF(D4929&gt;=corte,TODAY()-D4929,""),"")</f>
        <v/>
      </c>
      <c r="V4929" s="8">
        <f>IF(D4929="",0,IF(OR(AND(P4929&lt;&gt;"",S4929=""),AND(N(J4929)&gt;0,N(K4929)&lt;J4929),OR(M4929="PENDENTE",M4929="PARCIAL"),OR(N4929="PENDENTE",N4929="PARCIAL")),1,0))</f>
        <v/>
      </c>
      <c r="W4929" s="8">
        <f>IF(AND(V4929=1,D4929&lt;&gt;""),IF(D4929&gt;=corte,(B4929="CRÍTICO")*1E9+(100000-D4929)*10000+10000-ROW(),""),"")</f>
        <v/>
      </c>
      <c r="X4929" s="8">
        <f>IF(AND(V4929=1,D4929=pas_data,E4929=pas_turno),10000-ROW(),"")</f>
        <v/>
      </c>
    </row>
    <row r="4930">
      <c r="A4930" s="3">
        <f>IF(D4930="","","TT-"&amp;TEXT(ROW()-1,"00000"))</f>
        <v/>
      </c>
      <c r="B4930" s="3">
        <f>IF(D4930="","",IF(V4930=0,"CONCLUÍDO",IF(D4930&lt;corte,"HISTÓRICO",IF(OR(AND(ISNUMBER(R4930),R4930&lt;TODAY()),AND(OR(N4930="PENDENTE",N4930="PARCIAL"),D4930&lt;TODAY()-1)),"CRÍTICO",IF(OR(AND(P4930&lt;&gt;"",S4930=""),AND(N4930="REALIZADO",M4930="PENDENTE"),AND(ISNUMBER(R4930),R4930=TODAY())),"ATENÇÃO",IF(N(K4930)=0,"PENDENTE","EM ANDAMENTO"))))))</f>
        <v/>
      </c>
      <c r="C4930" s="3">
        <f>IF(D4930="","",IF(V4930=0,"🟢 OK",IF(D4930&lt;corte,"⚪ HISTÓRICO (sem baixa)",IF(AND(ISNUMBER(R4930),R4930&lt;TODAY()),"🔴 PRAZO VENCIDO",IF(AND(OR(N4930="PENDENTE",N4930="PARCIAL"),D4930&lt;TODAY()-1),"🔴 EMBARQUE ATRASADO",IF(AND(N4930="REALIZADO",M4930="PENDENTE"),"🟡 EMBARCADO SEM FATURAR",IF(AND(P4930&lt;&gt;"",S4930="",OR(Q4930="",R4930="")),"🟡 PENDÊNCIA SEM RESPONSÁVEL/PRAZO",IF(AND(ISNUMBER(R4930),R4930=TODAY()),"🟡 VENCE HOJE",IF(AND(P4930&lt;&gt;"",S4930=""),"🟡 PENDÊNCIA ABERTA",IF(AND(N(J4930)&gt;0,N(K4930)&lt;J4930),"🟡 FALTA EXECUTAR",IF(OR(M4930="PENDENTE",M4930="PARCIAL"),"🟡 FATURAMENTO PENDENTE","🟡 EMBARQUE PENDENTE")))))))))))</f>
        <v/>
      </c>
      <c r="D4930" s="4" t="n"/>
      <c r="E4930" s="5" t="n"/>
      <c r="F4930" s="5" t="n"/>
      <c r="G4930" s="5" t="n"/>
      <c r="H4930" s="5" t="n"/>
      <c r="I4930" s="5" t="n"/>
      <c r="J4930" s="6" t="n"/>
      <c r="K4930" s="6" t="n"/>
      <c r="L4930" s="7">
        <f>IF(OR(D4930="",N(J4930)=0),"",MIN(1,N(K4930)/J4930))</f>
        <v/>
      </c>
      <c r="M4930" s="5" t="n"/>
      <c r="N4930" s="5" t="n"/>
      <c r="O4930" s="5" t="n"/>
      <c r="P4930" s="5" t="n"/>
      <c r="Q4930" s="5" t="n"/>
      <c r="R4930" s="4" t="n"/>
      <c r="S4930" s="4" t="n"/>
      <c r="T4930" s="5" t="n"/>
      <c r="U4930" s="8">
        <f>IF(AND(V4930=1,D4930&lt;&gt;""),IF(D4930&gt;=corte,TODAY()-D4930,""),"")</f>
        <v/>
      </c>
      <c r="V4930" s="8">
        <f>IF(D4930="",0,IF(OR(AND(P4930&lt;&gt;"",S4930=""),AND(N(J4930)&gt;0,N(K4930)&lt;J4930),OR(M4930="PENDENTE",M4930="PARCIAL"),OR(N4930="PENDENTE",N4930="PARCIAL")),1,0))</f>
        <v/>
      </c>
      <c r="W4930" s="8">
        <f>IF(AND(V4930=1,D4930&lt;&gt;""),IF(D4930&gt;=corte,(B4930="CRÍTICO")*1E9+(100000-D4930)*10000+10000-ROW(),""),"")</f>
        <v/>
      </c>
      <c r="X4930" s="8">
        <f>IF(AND(V4930=1,D4930=pas_data,E4930=pas_turno),10000-ROW(),"")</f>
        <v/>
      </c>
    </row>
    <row r="4931">
      <c r="A4931" s="3">
        <f>IF(D4931="","","TT-"&amp;TEXT(ROW()-1,"00000"))</f>
        <v/>
      </c>
      <c r="B4931" s="3">
        <f>IF(D4931="","",IF(V4931=0,"CONCLUÍDO",IF(D4931&lt;corte,"HISTÓRICO",IF(OR(AND(ISNUMBER(R4931),R4931&lt;TODAY()),AND(OR(N4931="PENDENTE",N4931="PARCIAL"),D4931&lt;TODAY()-1)),"CRÍTICO",IF(OR(AND(P4931&lt;&gt;"",S4931=""),AND(N4931="REALIZADO",M4931="PENDENTE"),AND(ISNUMBER(R4931),R4931=TODAY())),"ATENÇÃO",IF(N(K4931)=0,"PENDENTE","EM ANDAMENTO"))))))</f>
        <v/>
      </c>
      <c r="C4931" s="3">
        <f>IF(D4931="","",IF(V4931=0,"🟢 OK",IF(D4931&lt;corte,"⚪ HISTÓRICO (sem baixa)",IF(AND(ISNUMBER(R4931),R4931&lt;TODAY()),"🔴 PRAZO VENCIDO",IF(AND(OR(N4931="PENDENTE",N4931="PARCIAL"),D4931&lt;TODAY()-1),"🔴 EMBARQUE ATRASADO",IF(AND(N4931="REALIZADO",M4931="PENDENTE"),"🟡 EMBARCADO SEM FATURAR",IF(AND(P4931&lt;&gt;"",S4931="",OR(Q4931="",R4931="")),"🟡 PENDÊNCIA SEM RESPONSÁVEL/PRAZO",IF(AND(ISNUMBER(R4931),R4931=TODAY()),"🟡 VENCE HOJE",IF(AND(P4931&lt;&gt;"",S4931=""),"🟡 PENDÊNCIA ABERTA",IF(AND(N(J4931)&gt;0,N(K4931)&lt;J4931),"🟡 FALTA EXECUTAR",IF(OR(M4931="PENDENTE",M4931="PARCIAL"),"🟡 FATURAMENTO PENDENTE","🟡 EMBARQUE PENDENTE")))))))))))</f>
        <v/>
      </c>
      <c r="D4931" s="4" t="n"/>
      <c r="E4931" s="5" t="n"/>
      <c r="F4931" s="5" t="n"/>
      <c r="G4931" s="5" t="n"/>
      <c r="H4931" s="5" t="n"/>
      <c r="I4931" s="5" t="n"/>
      <c r="J4931" s="6" t="n"/>
      <c r="K4931" s="6" t="n"/>
      <c r="L4931" s="7">
        <f>IF(OR(D4931="",N(J4931)=0),"",MIN(1,N(K4931)/J4931))</f>
        <v/>
      </c>
      <c r="M4931" s="5" t="n"/>
      <c r="N4931" s="5" t="n"/>
      <c r="O4931" s="5" t="n"/>
      <c r="P4931" s="5" t="n"/>
      <c r="Q4931" s="5" t="n"/>
      <c r="R4931" s="4" t="n"/>
      <c r="S4931" s="4" t="n"/>
      <c r="T4931" s="5" t="n"/>
      <c r="U4931" s="8">
        <f>IF(AND(V4931=1,D4931&lt;&gt;""),IF(D4931&gt;=corte,TODAY()-D4931,""),"")</f>
        <v/>
      </c>
      <c r="V4931" s="8">
        <f>IF(D4931="",0,IF(OR(AND(P4931&lt;&gt;"",S4931=""),AND(N(J4931)&gt;0,N(K4931)&lt;J4931),OR(M4931="PENDENTE",M4931="PARCIAL"),OR(N4931="PENDENTE",N4931="PARCIAL")),1,0))</f>
        <v/>
      </c>
      <c r="W4931" s="8">
        <f>IF(AND(V4931=1,D4931&lt;&gt;""),IF(D4931&gt;=corte,(B4931="CRÍTICO")*1E9+(100000-D4931)*10000+10000-ROW(),""),"")</f>
        <v/>
      </c>
      <c r="X4931" s="8">
        <f>IF(AND(V4931=1,D4931=pas_data,E4931=pas_turno),10000-ROW(),"")</f>
        <v/>
      </c>
    </row>
    <row r="4932">
      <c r="A4932" s="3">
        <f>IF(D4932="","","TT-"&amp;TEXT(ROW()-1,"00000"))</f>
        <v/>
      </c>
      <c r="B4932" s="3">
        <f>IF(D4932="","",IF(V4932=0,"CONCLUÍDO",IF(D4932&lt;corte,"HISTÓRICO",IF(OR(AND(ISNUMBER(R4932),R4932&lt;TODAY()),AND(OR(N4932="PENDENTE",N4932="PARCIAL"),D4932&lt;TODAY()-1)),"CRÍTICO",IF(OR(AND(P4932&lt;&gt;"",S4932=""),AND(N4932="REALIZADO",M4932="PENDENTE"),AND(ISNUMBER(R4932),R4932=TODAY())),"ATENÇÃO",IF(N(K4932)=0,"PENDENTE","EM ANDAMENTO"))))))</f>
        <v/>
      </c>
      <c r="C4932" s="3">
        <f>IF(D4932="","",IF(V4932=0,"🟢 OK",IF(D4932&lt;corte,"⚪ HISTÓRICO (sem baixa)",IF(AND(ISNUMBER(R4932),R4932&lt;TODAY()),"🔴 PRAZO VENCIDO",IF(AND(OR(N4932="PENDENTE",N4932="PARCIAL"),D4932&lt;TODAY()-1),"🔴 EMBARQUE ATRASADO",IF(AND(N4932="REALIZADO",M4932="PENDENTE"),"🟡 EMBARCADO SEM FATURAR",IF(AND(P4932&lt;&gt;"",S4932="",OR(Q4932="",R4932="")),"🟡 PENDÊNCIA SEM RESPONSÁVEL/PRAZO",IF(AND(ISNUMBER(R4932),R4932=TODAY()),"🟡 VENCE HOJE",IF(AND(P4932&lt;&gt;"",S4932=""),"🟡 PENDÊNCIA ABERTA",IF(AND(N(J4932)&gt;0,N(K4932)&lt;J4932),"🟡 FALTA EXECUTAR",IF(OR(M4932="PENDENTE",M4932="PARCIAL"),"🟡 FATURAMENTO PENDENTE","🟡 EMBARQUE PENDENTE")))))))))))</f>
        <v/>
      </c>
      <c r="D4932" s="4" t="n"/>
      <c r="E4932" s="5" t="n"/>
      <c r="F4932" s="5" t="n"/>
      <c r="G4932" s="5" t="n"/>
      <c r="H4932" s="5" t="n"/>
      <c r="I4932" s="5" t="n"/>
      <c r="J4932" s="6" t="n"/>
      <c r="K4932" s="6" t="n"/>
      <c r="L4932" s="7">
        <f>IF(OR(D4932="",N(J4932)=0),"",MIN(1,N(K4932)/J4932))</f>
        <v/>
      </c>
      <c r="M4932" s="5" t="n"/>
      <c r="N4932" s="5" t="n"/>
      <c r="O4932" s="5" t="n"/>
      <c r="P4932" s="5" t="n"/>
      <c r="Q4932" s="5" t="n"/>
      <c r="R4932" s="4" t="n"/>
      <c r="S4932" s="4" t="n"/>
      <c r="T4932" s="5" t="n"/>
      <c r="U4932" s="8">
        <f>IF(AND(V4932=1,D4932&lt;&gt;""),IF(D4932&gt;=corte,TODAY()-D4932,""),"")</f>
        <v/>
      </c>
      <c r="V4932" s="8">
        <f>IF(D4932="",0,IF(OR(AND(P4932&lt;&gt;"",S4932=""),AND(N(J4932)&gt;0,N(K4932)&lt;J4932),OR(M4932="PENDENTE",M4932="PARCIAL"),OR(N4932="PENDENTE",N4932="PARCIAL")),1,0))</f>
        <v/>
      </c>
      <c r="W4932" s="8">
        <f>IF(AND(V4932=1,D4932&lt;&gt;""),IF(D4932&gt;=corte,(B4932="CRÍTICO")*1E9+(100000-D4932)*10000+10000-ROW(),""),"")</f>
        <v/>
      </c>
      <c r="X4932" s="8">
        <f>IF(AND(V4932=1,D4932=pas_data,E4932=pas_turno),10000-ROW(),"")</f>
        <v/>
      </c>
    </row>
    <row r="4933">
      <c r="A4933" s="3">
        <f>IF(D4933="","","TT-"&amp;TEXT(ROW()-1,"00000"))</f>
        <v/>
      </c>
      <c r="B4933" s="3">
        <f>IF(D4933="","",IF(V4933=0,"CONCLUÍDO",IF(D4933&lt;corte,"HISTÓRICO",IF(OR(AND(ISNUMBER(R4933),R4933&lt;TODAY()),AND(OR(N4933="PENDENTE",N4933="PARCIAL"),D4933&lt;TODAY()-1)),"CRÍTICO",IF(OR(AND(P4933&lt;&gt;"",S4933=""),AND(N4933="REALIZADO",M4933="PENDENTE"),AND(ISNUMBER(R4933),R4933=TODAY())),"ATENÇÃO",IF(N(K4933)=0,"PENDENTE","EM ANDAMENTO"))))))</f>
        <v/>
      </c>
      <c r="C4933" s="3">
        <f>IF(D4933="","",IF(V4933=0,"🟢 OK",IF(D4933&lt;corte,"⚪ HISTÓRICO (sem baixa)",IF(AND(ISNUMBER(R4933),R4933&lt;TODAY()),"🔴 PRAZO VENCIDO",IF(AND(OR(N4933="PENDENTE",N4933="PARCIAL"),D4933&lt;TODAY()-1),"🔴 EMBARQUE ATRASADO",IF(AND(N4933="REALIZADO",M4933="PENDENTE"),"🟡 EMBARCADO SEM FATURAR",IF(AND(P4933&lt;&gt;"",S4933="",OR(Q4933="",R4933="")),"🟡 PENDÊNCIA SEM RESPONSÁVEL/PRAZO",IF(AND(ISNUMBER(R4933),R4933=TODAY()),"🟡 VENCE HOJE",IF(AND(P4933&lt;&gt;"",S4933=""),"🟡 PENDÊNCIA ABERTA",IF(AND(N(J4933)&gt;0,N(K4933)&lt;J4933),"🟡 FALTA EXECUTAR",IF(OR(M4933="PENDENTE",M4933="PARCIAL"),"🟡 FATURAMENTO PENDENTE","🟡 EMBARQUE PENDENTE")))))))))))</f>
        <v/>
      </c>
      <c r="D4933" s="4" t="n"/>
      <c r="E4933" s="5" t="n"/>
      <c r="F4933" s="5" t="n"/>
      <c r="G4933" s="5" t="n"/>
      <c r="H4933" s="5" t="n"/>
      <c r="I4933" s="5" t="n"/>
      <c r="J4933" s="6" t="n"/>
      <c r="K4933" s="6" t="n"/>
      <c r="L4933" s="7">
        <f>IF(OR(D4933="",N(J4933)=0),"",MIN(1,N(K4933)/J4933))</f>
        <v/>
      </c>
      <c r="M4933" s="5" t="n"/>
      <c r="N4933" s="5" t="n"/>
      <c r="O4933" s="5" t="n"/>
      <c r="P4933" s="5" t="n"/>
      <c r="Q4933" s="5" t="n"/>
      <c r="R4933" s="4" t="n"/>
      <c r="S4933" s="4" t="n"/>
      <c r="T4933" s="5" t="n"/>
      <c r="U4933" s="8">
        <f>IF(AND(V4933=1,D4933&lt;&gt;""),IF(D4933&gt;=corte,TODAY()-D4933,""),"")</f>
        <v/>
      </c>
      <c r="V4933" s="8">
        <f>IF(D4933="",0,IF(OR(AND(P4933&lt;&gt;"",S4933=""),AND(N(J4933)&gt;0,N(K4933)&lt;J4933),OR(M4933="PENDENTE",M4933="PARCIAL"),OR(N4933="PENDENTE",N4933="PARCIAL")),1,0))</f>
        <v/>
      </c>
      <c r="W4933" s="8">
        <f>IF(AND(V4933=1,D4933&lt;&gt;""),IF(D4933&gt;=corte,(B4933="CRÍTICO")*1E9+(100000-D4933)*10000+10000-ROW(),""),"")</f>
        <v/>
      </c>
      <c r="X4933" s="8">
        <f>IF(AND(V4933=1,D4933=pas_data,E4933=pas_turno),10000-ROW(),"")</f>
        <v/>
      </c>
    </row>
    <row r="4934">
      <c r="A4934" s="3">
        <f>IF(D4934="","","TT-"&amp;TEXT(ROW()-1,"00000"))</f>
        <v/>
      </c>
      <c r="B4934" s="3">
        <f>IF(D4934="","",IF(V4934=0,"CONCLUÍDO",IF(D4934&lt;corte,"HISTÓRICO",IF(OR(AND(ISNUMBER(R4934),R4934&lt;TODAY()),AND(OR(N4934="PENDENTE",N4934="PARCIAL"),D4934&lt;TODAY()-1)),"CRÍTICO",IF(OR(AND(P4934&lt;&gt;"",S4934=""),AND(N4934="REALIZADO",M4934="PENDENTE"),AND(ISNUMBER(R4934),R4934=TODAY())),"ATENÇÃO",IF(N(K4934)=0,"PENDENTE","EM ANDAMENTO"))))))</f>
        <v/>
      </c>
      <c r="C4934" s="3">
        <f>IF(D4934="","",IF(V4934=0,"🟢 OK",IF(D4934&lt;corte,"⚪ HISTÓRICO (sem baixa)",IF(AND(ISNUMBER(R4934),R4934&lt;TODAY()),"🔴 PRAZO VENCIDO",IF(AND(OR(N4934="PENDENTE",N4934="PARCIAL"),D4934&lt;TODAY()-1),"🔴 EMBARQUE ATRASADO",IF(AND(N4934="REALIZADO",M4934="PENDENTE"),"🟡 EMBARCADO SEM FATURAR",IF(AND(P4934&lt;&gt;"",S4934="",OR(Q4934="",R4934="")),"🟡 PENDÊNCIA SEM RESPONSÁVEL/PRAZO",IF(AND(ISNUMBER(R4934),R4934=TODAY()),"🟡 VENCE HOJE",IF(AND(P4934&lt;&gt;"",S4934=""),"🟡 PENDÊNCIA ABERTA",IF(AND(N(J4934)&gt;0,N(K4934)&lt;J4934),"🟡 FALTA EXECUTAR",IF(OR(M4934="PENDENTE",M4934="PARCIAL"),"🟡 FATURAMENTO PENDENTE","🟡 EMBARQUE PENDENTE")))))))))))</f>
        <v/>
      </c>
      <c r="D4934" s="4" t="n"/>
      <c r="E4934" s="5" t="n"/>
      <c r="F4934" s="5" t="n"/>
      <c r="G4934" s="5" t="n"/>
      <c r="H4934" s="5" t="n"/>
      <c r="I4934" s="5" t="n"/>
      <c r="J4934" s="6" t="n"/>
      <c r="K4934" s="6" t="n"/>
      <c r="L4934" s="7">
        <f>IF(OR(D4934="",N(J4934)=0),"",MIN(1,N(K4934)/J4934))</f>
        <v/>
      </c>
      <c r="M4934" s="5" t="n"/>
      <c r="N4934" s="5" t="n"/>
      <c r="O4934" s="5" t="n"/>
      <c r="P4934" s="5" t="n"/>
      <c r="Q4934" s="5" t="n"/>
      <c r="R4934" s="4" t="n"/>
      <c r="S4934" s="4" t="n"/>
      <c r="T4934" s="5" t="n"/>
      <c r="U4934" s="8">
        <f>IF(AND(V4934=1,D4934&lt;&gt;""),IF(D4934&gt;=corte,TODAY()-D4934,""),"")</f>
        <v/>
      </c>
      <c r="V4934" s="8">
        <f>IF(D4934="",0,IF(OR(AND(P4934&lt;&gt;"",S4934=""),AND(N(J4934)&gt;0,N(K4934)&lt;J4934),OR(M4934="PENDENTE",M4934="PARCIAL"),OR(N4934="PENDENTE",N4934="PARCIAL")),1,0))</f>
        <v/>
      </c>
      <c r="W4934" s="8">
        <f>IF(AND(V4934=1,D4934&lt;&gt;""),IF(D4934&gt;=corte,(B4934="CRÍTICO")*1E9+(100000-D4934)*10000+10000-ROW(),""),"")</f>
        <v/>
      </c>
      <c r="X4934" s="8">
        <f>IF(AND(V4934=1,D4934=pas_data,E4934=pas_turno),10000-ROW(),"")</f>
        <v/>
      </c>
    </row>
    <row r="4935">
      <c r="A4935" s="3">
        <f>IF(D4935="","","TT-"&amp;TEXT(ROW()-1,"00000"))</f>
        <v/>
      </c>
      <c r="B4935" s="3">
        <f>IF(D4935="","",IF(V4935=0,"CONCLUÍDO",IF(D4935&lt;corte,"HISTÓRICO",IF(OR(AND(ISNUMBER(R4935),R4935&lt;TODAY()),AND(OR(N4935="PENDENTE",N4935="PARCIAL"),D4935&lt;TODAY()-1)),"CRÍTICO",IF(OR(AND(P4935&lt;&gt;"",S4935=""),AND(N4935="REALIZADO",M4935="PENDENTE"),AND(ISNUMBER(R4935),R4935=TODAY())),"ATENÇÃO",IF(N(K4935)=0,"PENDENTE","EM ANDAMENTO"))))))</f>
        <v/>
      </c>
      <c r="C4935" s="3">
        <f>IF(D4935="","",IF(V4935=0,"🟢 OK",IF(D4935&lt;corte,"⚪ HISTÓRICO (sem baixa)",IF(AND(ISNUMBER(R4935),R4935&lt;TODAY()),"🔴 PRAZO VENCIDO",IF(AND(OR(N4935="PENDENTE",N4935="PARCIAL"),D4935&lt;TODAY()-1),"🔴 EMBARQUE ATRASADO",IF(AND(N4935="REALIZADO",M4935="PENDENTE"),"🟡 EMBARCADO SEM FATURAR",IF(AND(P4935&lt;&gt;"",S4935="",OR(Q4935="",R4935="")),"🟡 PENDÊNCIA SEM RESPONSÁVEL/PRAZO",IF(AND(ISNUMBER(R4935),R4935=TODAY()),"🟡 VENCE HOJE",IF(AND(P4935&lt;&gt;"",S4935=""),"🟡 PENDÊNCIA ABERTA",IF(AND(N(J4935)&gt;0,N(K4935)&lt;J4935),"🟡 FALTA EXECUTAR",IF(OR(M4935="PENDENTE",M4935="PARCIAL"),"🟡 FATURAMENTO PENDENTE","🟡 EMBARQUE PENDENTE")))))))))))</f>
        <v/>
      </c>
      <c r="D4935" s="4" t="n"/>
      <c r="E4935" s="5" t="n"/>
      <c r="F4935" s="5" t="n"/>
      <c r="G4935" s="5" t="n"/>
      <c r="H4935" s="5" t="n"/>
      <c r="I4935" s="5" t="n"/>
      <c r="J4935" s="6" t="n"/>
      <c r="K4935" s="6" t="n"/>
      <c r="L4935" s="7">
        <f>IF(OR(D4935="",N(J4935)=0),"",MIN(1,N(K4935)/J4935))</f>
        <v/>
      </c>
      <c r="M4935" s="5" t="n"/>
      <c r="N4935" s="5" t="n"/>
      <c r="O4935" s="5" t="n"/>
      <c r="P4935" s="5" t="n"/>
      <c r="Q4935" s="5" t="n"/>
      <c r="R4935" s="4" t="n"/>
      <c r="S4935" s="4" t="n"/>
      <c r="T4935" s="5" t="n"/>
      <c r="U4935" s="8">
        <f>IF(AND(V4935=1,D4935&lt;&gt;""),IF(D4935&gt;=corte,TODAY()-D4935,""),"")</f>
        <v/>
      </c>
      <c r="V4935" s="8">
        <f>IF(D4935="",0,IF(OR(AND(P4935&lt;&gt;"",S4935=""),AND(N(J4935)&gt;0,N(K4935)&lt;J4935),OR(M4935="PENDENTE",M4935="PARCIAL"),OR(N4935="PENDENTE",N4935="PARCIAL")),1,0))</f>
        <v/>
      </c>
      <c r="W4935" s="8">
        <f>IF(AND(V4935=1,D4935&lt;&gt;""),IF(D4935&gt;=corte,(B4935="CRÍTICO")*1E9+(100000-D4935)*10000+10000-ROW(),""),"")</f>
        <v/>
      </c>
      <c r="X4935" s="8">
        <f>IF(AND(V4935=1,D4935=pas_data,E4935=pas_turno),10000-ROW(),"")</f>
        <v/>
      </c>
    </row>
    <row r="4936">
      <c r="A4936" s="3">
        <f>IF(D4936="","","TT-"&amp;TEXT(ROW()-1,"00000"))</f>
        <v/>
      </c>
      <c r="B4936" s="3">
        <f>IF(D4936="","",IF(V4936=0,"CONCLUÍDO",IF(D4936&lt;corte,"HISTÓRICO",IF(OR(AND(ISNUMBER(R4936),R4936&lt;TODAY()),AND(OR(N4936="PENDENTE",N4936="PARCIAL"),D4936&lt;TODAY()-1)),"CRÍTICO",IF(OR(AND(P4936&lt;&gt;"",S4936=""),AND(N4936="REALIZADO",M4936="PENDENTE"),AND(ISNUMBER(R4936),R4936=TODAY())),"ATENÇÃO",IF(N(K4936)=0,"PENDENTE","EM ANDAMENTO"))))))</f>
        <v/>
      </c>
      <c r="C4936" s="3">
        <f>IF(D4936="","",IF(V4936=0,"🟢 OK",IF(D4936&lt;corte,"⚪ HISTÓRICO (sem baixa)",IF(AND(ISNUMBER(R4936),R4936&lt;TODAY()),"🔴 PRAZO VENCIDO",IF(AND(OR(N4936="PENDENTE",N4936="PARCIAL"),D4936&lt;TODAY()-1),"🔴 EMBARQUE ATRASADO",IF(AND(N4936="REALIZADO",M4936="PENDENTE"),"🟡 EMBARCADO SEM FATURAR",IF(AND(P4936&lt;&gt;"",S4936="",OR(Q4936="",R4936="")),"🟡 PENDÊNCIA SEM RESPONSÁVEL/PRAZO",IF(AND(ISNUMBER(R4936),R4936=TODAY()),"🟡 VENCE HOJE",IF(AND(P4936&lt;&gt;"",S4936=""),"🟡 PENDÊNCIA ABERTA",IF(AND(N(J4936)&gt;0,N(K4936)&lt;J4936),"🟡 FALTA EXECUTAR",IF(OR(M4936="PENDENTE",M4936="PARCIAL"),"🟡 FATURAMENTO PENDENTE","🟡 EMBARQUE PENDENTE")))))))))))</f>
        <v/>
      </c>
      <c r="D4936" s="4" t="n"/>
      <c r="E4936" s="5" t="n"/>
      <c r="F4936" s="5" t="n"/>
      <c r="G4936" s="5" t="n"/>
      <c r="H4936" s="5" t="n"/>
      <c r="I4936" s="5" t="n"/>
      <c r="J4936" s="6" t="n"/>
      <c r="K4936" s="6" t="n"/>
      <c r="L4936" s="7">
        <f>IF(OR(D4936="",N(J4936)=0),"",MIN(1,N(K4936)/J4936))</f>
        <v/>
      </c>
      <c r="M4936" s="5" t="n"/>
      <c r="N4936" s="5" t="n"/>
      <c r="O4936" s="5" t="n"/>
      <c r="P4936" s="5" t="n"/>
      <c r="Q4936" s="5" t="n"/>
      <c r="R4936" s="4" t="n"/>
      <c r="S4936" s="4" t="n"/>
      <c r="T4936" s="5" t="n"/>
      <c r="U4936" s="8">
        <f>IF(AND(V4936=1,D4936&lt;&gt;""),IF(D4936&gt;=corte,TODAY()-D4936,""),"")</f>
        <v/>
      </c>
      <c r="V4936" s="8">
        <f>IF(D4936="",0,IF(OR(AND(P4936&lt;&gt;"",S4936=""),AND(N(J4936)&gt;0,N(K4936)&lt;J4936),OR(M4936="PENDENTE",M4936="PARCIAL"),OR(N4936="PENDENTE",N4936="PARCIAL")),1,0))</f>
        <v/>
      </c>
      <c r="W4936" s="8">
        <f>IF(AND(V4936=1,D4936&lt;&gt;""),IF(D4936&gt;=corte,(B4936="CRÍTICO")*1E9+(100000-D4936)*10000+10000-ROW(),""),"")</f>
        <v/>
      </c>
      <c r="X4936" s="8">
        <f>IF(AND(V4936=1,D4936=pas_data,E4936=pas_turno),10000-ROW(),"")</f>
        <v/>
      </c>
    </row>
    <row r="4937">
      <c r="A4937" s="3">
        <f>IF(D4937="","","TT-"&amp;TEXT(ROW()-1,"00000"))</f>
        <v/>
      </c>
      <c r="B4937" s="3">
        <f>IF(D4937="","",IF(V4937=0,"CONCLUÍDO",IF(D4937&lt;corte,"HISTÓRICO",IF(OR(AND(ISNUMBER(R4937),R4937&lt;TODAY()),AND(OR(N4937="PENDENTE",N4937="PARCIAL"),D4937&lt;TODAY()-1)),"CRÍTICO",IF(OR(AND(P4937&lt;&gt;"",S4937=""),AND(N4937="REALIZADO",M4937="PENDENTE"),AND(ISNUMBER(R4937),R4937=TODAY())),"ATENÇÃO",IF(N(K4937)=0,"PENDENTE","EM ANDAMENTO"))))))</f>
        <v/>
      </c>
      <c r="C4937" s="3">
        <f>IF(D4937="","",IF(V4937=0,"🟢 OK",IF(D4937&lt;corte,"⚪ HISTÓRICO (sem baixa)",IF(AND(ISNUMBER(R4937),R4937&lt;TODAY()),"🔴 PRAZO VENCIDO",IF(AND(OR(N4937="PENDENTE",N4937="PARCIAL"),D4937&lt;TODAY()-1),"🔴 EMBARQUE ATRASADO",IF(AND(N4937="REALIZADO",M4937="PENDENTE"),"🟡 EMBARCADO SEM FATURAR",IF(AND(P4937&lt;&gt;"",S4937="",OR(Q4937="",R4937="")),"🟡 PENDÊNCIA SEM RESPONSÁVEL/PRAZO",IF(AND(ISNUMBER(R4937),R4937=TODAY()),"🟡 VENCE HOJE",IF(AND(P4937&lt;&gt;"",S4937=""),"🟡 PENDÊNCIA ABERTA",IF(AND(N(J4937)&gt;0,N(K4937)&lt;J4937),"🟡 FALTA EXECUTAR",IF(OR(M4937="PENDENTE",M4937="PARCIAL"),"🟡 FATURAMENTO PENDENTE","🟡 EMBARQUE PENDENTE")))))))))))</f>
        <v/>
      </c>
      <c r="D4937" s="4" t="n"/>
      <c r="E4937" s="5" t="n"/>
      <c r="F4937" s="5" t="n"/>
      <c r="G4937" s="5" t="n"/>
      <c r="H4937" s="5" t="n"/>
      <c r="I4937" s="5" t="n"/>
      <c r="J4937" s="6" t="n"/>
      <c r="K4937" s="6" t="n"/>
      <c r="L4937" s="7">
        <f>IF(OR(D4937="",N(J4937)=0),"",MIN(1,N(K4937)/J4937))</f>
        <v/>
      </c>
      <c r="M4937" s="5" t="n"/>
      <c r="N4937" s="5" t="n"/>
      <c r="O4937" s="5" t="n"/>
      <c r="P4937" s="5" t="n"/>
      <c r="Q4937" s="5" t="n"/>
      <c r="R4937" s="4" t="n"/>
      <c r="S4937" s="4" t="n"/>
      <c r="T4937" s="5" t="n"/>
      <c r="U4937" s="8">
        <f>IF(AND(V4937=1,D4937&lt;&gt;""),IF(D4937&gt;=corte,TODAY()-D4937,""),"")</f>
        <v/>
      </c>
      <c r="V4937" s="8">
        <f>IF(D4937="",0,IF(OR(AND(P4937&lt;&gt;"",S4937=""),AND(N(J4937)&gt;0,N(K4937)&lt;J4937),OR(M4937="PENDENTE",M4937="PARCIAL"),OR(N4937="PENDENTE",N4937="PARCIAL")),1,0))</f>
        <v/>
      </c>
      <c r="W4937" s="8">
        <f>IF(AND(V4937=1,D4937&lt;&gt;""),IF(D4937&gt;=corte,(B4937="CRÍTICO")*1E9+(100000-D4937)*10000+10000-ROW(),""),"")</f>
        <v/>
      </c>
      <c r="X4937" s="8">
        <f>IF(AND(V4937=1,D4937=pas_data,E4937=pas_turno),10000-ROW(),"")</f>
        <v/>
      </c>
    </row>
    <row r="4938">
      <c r="A4938" s="3">
        <f>IF(D4938="","","TT-"&amp;TEXT(ROW()-1,"00000"))</f>
        <v/>
      </c>
      <c r="B4938" s="3">
        <f>IF(D4938="","",IF(V4938=0,"CONCLUÍDO",IF(D4938&lt;corte,"HISTÓRICO",IF(OR(AND(ISNUMBER(R4938),R4938&lt;TODAY()),AND(OR(N4938="PENDENTE",N4938="PARCIAL"),D4938&lt;TODAY()-1)),"CRÍTICO",IF(OR(AND(P4938&lt;&gt;"",S4938=""),AND(N4938="REALIZADO",M4938="PENDENTE"),AND(ISNUMBER(R4938),R4938=TODAY())),"ATENÇÃO",IF(N(K4938)=0,"PENDENTE","EM ANDAMENTO"))))))</f>
        <v/>
      </c>
      <c r="C4938" s="3">
        <f>IF(D4938="","",IF(V4938=0,"🟢 OK",IF(D4938&lt;corte,"⚪ HISTÓRICO (sem baixa)",IF(AND(ISNUMBER(R4938),R4938&lt;TODAY()),"🔴 PRAZO VENCIDO",IF(AND(OR(N4938="PENDENTE",N4938="PARCIAL"),D4938&lt;TODAY()-1),"🔴 EMBARQUE ATRASADO",IF(AND(N4938="REALIZADO",M4938="PENDENTE"),"🟡 EMBARCADO SEM FATURAR",IF(AND(P4938&lt;&gt;"",S4938="",OR(Q4938="",R4938="")),"🟡 PENDÊNCIA SEM RESPONSÁVEL/PRAZO",IF(AND(ISNUMBER(R4938),R4938=TODAY()),"🟡 VENCE HOJE",IF(AND(P4938&lt;&gt;"",S4938=""),"🟡 PENDÊNCIA ABERTA",IF(AND(N(J4938)&gt;0,N(K4938)&lt;J4938),"🟡 FALTA EXECUTAR",IF(OR(M4938="PENDENTE",M4938="PARCIAL"),"🟡 FATURAMENTO PENDENTE","🟡 EMBARQUE PENDENTE")))))))))))</f>
        <v/>
      </c>
      <c r="D4938" s="4" t="n"/>
      <c r="E4938" s="5" t="n"/>
      <c r="F4938" s="5" t="n"/>
      <c r="G4938" s="5" t="n"/>
      <c r="H4938" s="5" t="n"/>
      <c r="I4938" s="5" t="n"/>
      <c r="J4938" s="6" t="n"/>
      <c r="K4938" s="6" t="n"/>
      <c r="L4938" s="7">
        <f>IF(OR(D4938="",N(J4938)=0),"",MIN(1,N(K4938)/J4938))</f>
        <v/>
      </c>
      <c r="M4938" s="5" t="n"/>
      <c r="N4938" s="5" t="n"/>
      <c r="O4938" s="5" t="n"/>
      <c r="P4938" s="5" t="n"/>
      <c r="Q4938" s="5" t="n"/>
      <c r="R4938" s="4" t="n"/>
      <c r="S4938" s="4" t="n"/>
      <c r="T4938" s="5" t="n"/>
      <c r="U4938" s="8">
        <f>IF(AND(V4938=1,D4938&lt;&gt;""),IF(D4938&gt;=corte,TODAY()-D4938,""),"")</f>
        <v/>
      </c>
      <c r="V4938" s="8">
        <f>IF(D4938="",0,IF(OR(AND(P4938&lt;&gt;"",S4938=""),AND(N(J4938)&gt;0,N(K4938)&lt;J4938),OR(M4938="PENDENTE",M4938="PARCIAL"),OR(N4938="PENDENTE",N4938="PARCIAL")),1,0))</f>
        <v/>
      </c>
      <c r="W4938" s="8">
        <f>IF(AND(V4938=1,D4938&lt;&gt;""),IF(D4938&gt;=corte,(B4938="CRÍTICO")*1E9+(100000-D4938)*10000+10000-ROW(),""),"")</f>
        <v/>
      </c>
      <c r="X4938" s="8">
        <f>IF(AND(V4938=1,D4938=pas_data,E4938=pas_turno),10000-ROW(),"")</f>
        <v/>
      </c>
    </row>
    <row r="4939">
      <c r="A4939" s="3">
        <f>IF(D4939="","","TT-"&amp;TEXT(ROW()-1,"00000"))</f>
        <v/>
      </c>
      <c r="B4939" s="3">
        <f>IF(D4939="","",IF(V4939=0,"CONCLUÍDO",IF(D4939&lt;corte,"HISTÓRICO",IF(OR(AND(ISNUMBER(R4939),R4939&lt;TODAY()),AND(OR(N4939="PENDENTE",N4939="PARCIAL"),D4939&lt;TODAY()-1)),"CRÍTICO",IF(OR(AND(P4939&lt;&gt;"",S4939=""),AND(N4939="REALIZADO",M4939="PENDENTE"),AND(ISNUMBER(R4939),R4939=TODAY())),"ATENÇÃO",IF(N(K4939)=0,"PENDENTE","EM ANDAMENTO"))))))</f>
        <v/>
      </c>
      <c r="C4939" s="3">
        <f>IF(D4939="","",IF(V4939=0,"🟢 OK",IF(D4939&lt;corte,"⚪ HISTÓRICO (sem baixa)",IF(AND(ISNUMBER(R4939),R4939&lt;TODAY()),"🔴 PRAZO VENCIDO",IF(AND(OR(N4939="PENDENTE",N4939="PARCIAL"),D4939&lt;TODAY()-1),"🔴 EMBARQUE ATRASADO",IF(AND(N4939="REALIZADO",M4939="PENDENTE"),"🟡 EMBARCADO SEM FATURAR",IF(AND(P4939&lt;&gt;"",S4939="",OR(Q4939="",R4939="")),"🟡 PENDÊNCIA SEM RESPONSÁVEL/PRAZO",IF(AND(ISNUMBER(R4939),R4939=TODAY()),"🟡 VENCE HOJE",IF(AND(P4939&lt;&gt;"",S4939=""),"🟡 PENDÊNCIA ABERTA",IF(AND(N(J4939)&gt;0,N(K4939)&lt;J4939),"🟡 FALTA EXECUTAR",IF(OR(M4939="PENDENTE",M4939="PARCIAL"),"🟡 FATURAMENTO PENDENTE","🟡 EMBARQUE PENDENTE")))))))))))</f>
        <v/>
      </c>
      <c r="D4939" s="4" t="n"/>
      <c r="E4939" s="5" t="n"/>
      <c r="F4939" s="5" t="n"/>
      <c r="G4939" s="5" t="n"/>
      <c r="H4939" s="5" t="n"/>
      <c r="I4939" s="5" t="n"/>
      <c r="J4939" s="6" t="n"/>
      <c r="K4939" s="6" t="n"/>
      <c r="L4939" s="7">
        <f>IF(OR(D4939="",N(J4939)=0),"",MIN(1,N(K4939)/J4939))</f>
        <v/>
      </c>
      <c r="M4939" s="5" t="n"/>
      <c r="N4939" s="5" t="n"/>
      <c r="O4939" s="5" t="n"/>
      <c r="P4939" s="5" t="n"/>
      <c r="Q4939" s="5" t="n"/>
      <c r="R4939" s="4" t="n"/>
      <c r="S4939" s="4" t="n"/>
      <c r="T4939" s="5" t="n"/>
      <c r="U4939" s="8">
        <f>IF(AND(V4939=1,D4939&lt;&gt;""),IF(D4939&gt;=corte,TODAY()-D4939,""),"")</f>
        <v/>
      </c>
      <c r="V4939" s="8">
        <f>IF(D4939="",0,IF(OR(AND(P4939&lt;&gt;"",S4939=""),AND(N(J4939)&gt;0,N(K4939)&lt;J4939),OR(M4939="PENDENTE",M4939="PARCIAL"),OR(N4939="PENDENTE",N4939="PARCIAL")),1,0))</f>
        <v/>
      </c>
      <c r="W4939" s="8">
        <f>IF(AND(V4939=1,D4939&lt;&gt;""),IF(D4939&gt;=corte,(B4939="CRÍTICO")*1E9+(100000-D4939)*10000+10000-ROW(),""),"")</f>
        <v/>
      </c>
      <c r="X4939" s="8">
        <f>IF(AND(V4939=1,D4939=pas_data,E4939=pas_turno),10000-ROW(),"")</f>
        <v/>
      </c>
    </row>
    <row r="4940">
      <c r="A4940" s="3">
        <f>IF(D4940="","","TT-"&amp;TEXT(ROW()-1,"00000"))</f>
        <v/>
      </c>
      <c r="B4940" s="3">
        <f>IF(D4940="","",IF(V4940=0,"CONCLUÍDO",IF(D4940&lt;corte,"HISTÓRICO",IF(OR(AND(ISNUMBER(R4940),R4940&lt;TODAY()),AND(OR(N4940="PENDENTE",N4940="PARCIAL"),D4940&lt;TODAY()-1)),"CRÍTICO",IF(OR(AND(P4940&lt;&gt;"",S4940=""),AND(N4940="REALIZADO",M4940="PENDENTE"),AND(ISNUMBER(R4940),R4940=TODAY())),"ATENÇÃO",IF(N(K4940)=0,"PENDENTE","EM ANDAMENTO"))))))</f>
        <v/>
      </c>
      <c r="C4940" s="3">
        <f>IF(D4940="","",IF(V4940=0,"🟢 OK",IF(D4940&lt;corte,"⚪ HISTÓRICO (sem baixa)",IF(AND(ISNUMBER(R4940),R4940&lt;TODAY()),"🔴 PRAZO VENCIDO",IF(AND(OR(N4940="PENDENTE",N4940="PARCIAL"),D4940&lt;TODAY()-1),"🔴 EMBARQUE ATRASADO",IF(AND(N4940="REALIZADO",M4940="PENDENTE"),"🟡 EMBARCADO SEM FATURAR",IF(AND(P4940&lt;&gt;"",S4940="",OR(Q4940="",R4940="")),"🟡 PENDÊNCIA SEM RESPONSÁVEL/PRAZO",IF(AND(ISNUMBER(R4940),R4940=TODAY()),"🟡 VENCE HOJE",IF(AND(P4940&lt;&gt;"",S4940=""),"🟡 PENDÊNCIA ABERTA",IF(AND(N(J4940)&gt;0,N(K4940)&lt;J4940),"🟡 FALTA EXECUTAR",IF(OR(M4940="PENDENTE",M4940="PARCIAL"),"🟡 FATURAMENTO PENDENTE","🟡 EMBARQUE PENDENTE")))))))))))</f>
        <v/>
      </c>
      <c r="D4940" s="4" t="n"/>
      <c r="E4940" s="5" t="n"/>
      <c r="F4940" s="5" t="n"/>
      <c r="G4940" s="5" t="n"/>
      <c r="H4940" s="5" t="n"/>
      <c r="I4940" s="5" t="n"/>
      <c r="J4940" s="6" t="n"/>
      <c r="K4940" s="6" t="n"/>
      <c r="L4940" s="7">
        <f>IF(OR(D4940="",N(J4940)=0),"",MIN(1,N(K4940)/J4940))</f>
        <v/>
      </c>
      <c r="M4940" s="5" t="n"/>
      <c r="N4940" s="5" t="n"/>
      <c r="O4940" s="5" t="n"/>
      <c r="P4940" s="5" t="n"/>
      <c r="Q4940" s="5" t="n"/>
      <c r="R4940" s="4" t="n"/>
      <c r="S4940" s="4" t="n"/>
      <c r="T4940" s="5" t="n"/>
      <c r="U4940" s="8">
        <f>IF(AND(V4940=1,D4940&lt;&gt;""),IF(D4940&gt;=corte,TODAY()-D4940,""),"")</f>
        <v/>
      </c>
      <c r="V4940" s="8">
        <f>IF(D4940="",0,IF(OR(AND(P4940&lt;&gt;"",S4940=""),AND(N(J4940)&gt;0,N(K4940)&lt;J4940),OR(M4940="PENDENTE",M4940="PARCIAL"),OR(N4940="PENDENTE",N4940="PARCIAL")),1,0))</f>
        <v/>
      </c>
      <c r="W4940" s="8">
        <f>IF(AND(V4940=1,D4940&lt;&gt;""),IF(D4940&gt;=corte,(B4940="CRÍTICO")*1E9+(100000-D4940)*10000+10000-ROW(),""),"")</f>
        <v/>
      </c>
      <c r="X4940" s="8">
        <f>IF(AND(V4940=1,D4940=pas_data,E4940=pas_turno),10000-ROW(),"")</f>
        <v/>
      </c>
    </row>
    <row r="4941">
      <c r="A4941" s="3">
        <f>IF(D4941="","","TT-"&amp;TEXT(ROW()-1,"00000"))</f>
        <v/>
      </c>
      <c r="B4941" s="3">
        <f>IF(D4941="","",IF(V4941=0,"CONCLUÍDO",IF(D4941&lt;corte,"HISTÓRICO",IF(OR(AND(ISNUMBER(R4941),R4941&lt;TODAY()),AND(OR(N4941="PENDENTE",N4941="PARCIAL"),D4941&lt;TODAY()-1)),"CRÍTICO",IF(OR(AND(P4941&lt;&gt;"",S4941=""),AND(N4941="REALIZADO",M4941="PENDENTE"),AND(ISNUMBER(R4941),R4941=TODAY())),"ATENÇÃO",IF(N(K4941)=0,"PENDENTE","EM ANDAMENTO"))))))</f>
        <v/>
      </c>
      <c r="C4941" s="3">
        <f>IF(D4941="","",IF(V4941=0,"🟢 OK",IF(D4941&lt;corte,"⚪ HISTÓRICO (sem baixa)",IF(AND(ISNUMBER(R4941),R4941&lt;TODAY()),"🔴 PRAZO VENCIDO",IF(AND(OR(N4941="PENDENTE",N4941="PARCIAL"),D4941&lt;TODAY()-1),"🔴 EMBARQUE ATRASADO",IF(AND(N4941="REALIZADO",M4941="PENDENTE"),"🟡 EMBARCADO SEM FATURAR",IF(AND(P4941&lt;&gt;"",S4941="",OR(Q4941="",R4941="")),"🟡 PENDÊNCIA SEM RESPONSÁVEL/PRAZO",IF(AND(ISNUMBER(R4941),R4941=TODAY()),"🟡 VENCE HOJE",IF(AND(P4941&lt;&gt;"",S4941=""),"🟡 PENDÊNCIA ABERTA",IF(AND(N(J4941)&gt;0,N(K4941)&lt;J4941),"🟡 FALTA EXECUTAR",IF(OR(M4941="PENDENTE",M4941="PARCIAL"),"🟡 FATURAMENTO PENDENTE","🟡 EMBARQUE PENDENTE")))))))))))</f>
        <v/>
      </c>
      <c r="D4941" s="4" t="n"/>
      <c r="E4941" s="5" t="n"/>
      <c r="F4941" s="5" t="n"/>
      <c r="G4941" s="5" t="n"/>
      <c r="H4941" s="5" t="n"/>
      <c r="I4941" s="5" t="n"/>
      <c r="J4941" s="6" t="n"/>
      <c r="K4941" s="6" t="n"/>
      <c r="L4941" s="7">
        <f>IF(OR(D4941="",N(J4941)=0),"",MIN(1,N(K4941)/J4941))</f>
        <v/>
      </c>
      <c r="M4941" s="5" t="n"/>
      <c r="N4941" s="5" t="n"/>
      <c r="O4941" s="5" t="n"/>
      <c r="P4941" s="5" t="n"/>
      <c r="Q4941" s="5" t="n"/>
      <c r="R4941" s="4" t="n"/>
      <c r="S4941" s="4" t="n"/>
      <c r="T4941" s="5" t="n"/>
      <c r="U4941" s="8">
        <f>IF(AND(V4941=1,D4941&lt;&gt;""),IF(D4941&gt;=corte,TODAY()-D4941,""),"")</f>
        <v/>
      </c>
      <c r="V4941" s="8">
        <f>IF(D4941="",0,IF(OR(AND(P4941&lt;&gt;"",S4941=""),AND(N(J4941)&gt;0,N(K4941)&lt;J4941),OR(M4941="PENDENTE",M4941="PARCIAL"),OR(N4941="PENDENTE",N4941="PARCIAL")),1,0))</f>
        <v/>
      </c>
      <c r="W4941" s="8">
        <f>IF(AND(V4941=1,D4941&lt;&gt;""),IF(D4941&gt;=corte,(B4941="CRÍTICO")*1E9+(100000-D4941)*10000+10000-ROW(),""),"")</f>
        <v/>
      </c>
      <c r="X4941" s="8">
        <f>IF(AND(V4941=1,D4941=pas_data,E4941=pas_turno),10000-ROW(),"")</f>
        <v/>
      </c>
    </row>
    <row r="4942">
      <c r="A4942" s="3">
        <f>IF(D4942="","","TT-"&amp;TEXT(ROW()-1,"00000"))</f>
        <v/>
      </c>
      <c r="B4942" s="3">
        <f>IF(D4942="","",IF(V4942=0,"CONCLUÍDO",IF(D4942&lt;corte,"HISTÓRICO",IF(OR(AND(ISNUMBER(R4942),R4942&lt;TODAY()),AND(OR(N4942="PENDENTE",N4942="PARCIAL"),D4942&lt;TODAY()-1)),"CRÍTICO",IF(OR(AND(P4942&lt;&gt;"",S4942=""),AND(N4942="REALIZADO",M4942="PENDENTE"),AND(ISNUMBER(R4942),R4942=TODAY())),"ATENÇÃO",IF(N(K4942)=0,"PENDENTE","EM ANDAMENTO"))))))</f>
        <v/>
      </c>
      <c r="C4942" s="3">
        <f>IF(D4942="","",IF(V4942=0,"🟢 OK",IF(D4942&lt;corte,"⚪ HISTÓRICO (sem baixa)",IF(AND(ISNUMBER(R4942),R4942&lt;TODAY()),"🔴 PRAZO VENCIDO",IF(AND(OR(N4942="PENDENTE",N4942="PARCIAL"),D4942&lt;TODAY()-1),"🔴 EMBARQUE ATRASADO",IF(AND(N4942="REALIZADO",M4942="PENDENTE"),"🟡 EMBARCADO SEM FATURAR",IF(AND(P4942&lt;&gt;"",S4942="",OR(Q4942="",R4942="")),"🟡 PENDÊNCIA SEM RESPONSÁVEL/PRAZO",IF(AND(ISNUMBER(R4942),R4942=TODAY()),"🟡 VENCE HOJE",IF(AND(P4942&lt;&gt;"",S4942=""),"🟡 PENDÊNCIA ABERTA",IF(AND(N(J4942)&gt;0,N(K4942)&lt;J4942),"🟡 FALTA EXECUTAR",IF(OR(M4942="PENDENTE",M4942="PARCIAL"),"🟡 FATURAMENTO PENDENTE","🟡 EMBARQUE PENDENTE")))))))))))</f>
        <v/>
      </c>
      <c r="D4942" s="4" t="n"/>
      <c r="E4942" s="5" t="n"/>
      <c r="F4942" s="5" t="n"/>
      <c r="G4942" s="5" t="n"/>
      <c r="H4942" s="5" t="n"/>
      <c r="I4942" s="5" t="n"/>
      <c r="J4942" s="6" t="n"/>
      <c r="K4942" s="6" t="n"/>
      <c r="L4942" s="7">
        <f>IF(OR(D4942="",N(J4942)=0),"",MIN(1,N(K4942)/J4942))</f>
        <v/>
      </c>
      <c r="M4942" s="5" t="n"/>
      <c r="N4942" s="5" t="n"/>
      <c r="O4942" s="5" t="n"/>
      <c r="P4942" s="5" t="n"/>
      <c r="Q4942" s="5" t="n"/>
      <c r="R4942" s="4" t="n"/>
      <c r="S4942" s="4" t="n"/>
      <c r="T4942" s="5" t="n"/>
      <c r="U4942" s="8">
        <f>IF(AND(V4942=1,D4942&lt;&gt;""),IF(D4942&gt;=corte,TODAY()-D4942,""),"")</f>
        <v/>
      </c>
      <c r="V4942" s="8">
        <f>IF(D4942="",0,IF(OR(AND(P4942&lt;&gt;"",S4942=""),AND(N(J4942)&gt;0,N(K4942)&lt;J4942),OR(M4942="PENDENTE",M4942="PARCIAL"),OR(N4942="PENDENTE",N4942="PARCIAL")),1,0))</f>
        <v/>
      </c>
      <c r="W4942" s="8">
        <f>IF(AND(V4942=1,D4942&lt;&gt;""),IF(D4942&gt;=corte,(B4942="CRÍTICO")*1E9+(100000-D4942)*10000+10000-ROW(),""),"")</f>
        <v/>
      </c>
      <c r="X4942" s="8">
        <f>IF(AND(V4942=1,D4942=pas_data,E4942=pas_turno),10000-ROW(),"")</f>
        <v/>
      </c>
    </row>
    <row r="4943">
      <c r="A4943" s="3">
        <f>IF(D4943="","","TT-"&amp;TEXT(ROW()-1,"00000"))</f>
        <v/>
      </c>
      <c r="B4943" s="3">
        <f>IF(D4943="","",IF(V4943=0,"CONCLUÍDO",IF(D4943&lt;corte,"HISTÓRICO",IF(OR(AND(ISNUMBER(R4943),R4943&lt;TODAY()),AND(OR(N4943="PENDENTE",N4943="PARCIAL"),D4943&lt;TODAY()-1)),"CRÍTICO",IF(OR(AND(P4943&lt;&gt;"",S4943=""),AND(N4943="REALIZADO",M4943="PENDENTE"),AND(ISNUMBER(R4943),R4943=TODAY())),"ATENÇÃO",IF(N(K4943)=0,"PENDENTE","EM ANDAMENTO"))))))</f>
        <v/>
      </c>
      <c r="C4943" s="3">
        <f>IF(D4943="","",IF(V4943=0,"🟢 OK",IF(D4943&lt;corte,"⚪ HISTÓRICO (sem baixa)",IF(AND(ISNUMBER(R4943),R4943&lt;TODAY()),"🔴 PRAZO VENCIDO",IF(AND(OR(N4943="PENDENTE",N4943="PARCIAL"),D4943&lt;TODAY()-1),"🔴 EMBARQUE ATRASADO",IF(AND(N4943="REALIZADO",M4943="PENDENTE"),"🟡 EMBARCADO SEM FATURAR",IF(AND(P4943&lt;&gt;"",S4943="",OR(Q4943="",R4943="")),"🟡 PENDÊNCIA SEM RESPONSÁVEL/PRAZO",IF(AND(ISNUMBER(R4943),R4943=TODAY()),"🟡 VENCE HOJE",IF(AND(P4943&lt;&gt;"",S4943=""),"🟡 PENDÊNCIA ABERTA",IF(AND(N(J4943)&gt;0,N(K4943)&lt;J4943),"🟡 FALTA EXECUTAR",IF(OR(M4943="PENDENTE",M4943="PARCIAL"),"🟡 FATURAMENTO PENDENTE","🟡 EMBARQUE PENDENTE")))))))))))</f>
        <v/>
      </c>
      <c r="D4943" s="4" t="n"/>
      <c r="E4943" s="5" t="n"/>
      <c r="F4943" s="5" t="n"/>
      <c r="G4943" s="5" t="n"/>
      <c r="H4943" s="5" t="n"/>
      <c r="I4943" s="5" t="n"/>
      <c r="J4943" s="6" t="n"/>
      <c r="K4943" s="6" t="n"/>
      <c r="L4943" s="7">
        <f>IF(OR(D4943="",N(J4943)=0),"",MIN(1,N(K4943)/J4943))</f>
        <v/>
      </c>
      <c r="M4943" s="5" t="n"/>
      <c r="N4943" s="5" t="n"/>
      <c r="O4943" s="5" t="n"/>
      <c r="P4943" s="5" t="n"/>
      <c r="Q4943" s="5" t="n"/>
      <c r="R4943" s="4" t="n"/>
      <c r="S4943" s="4" t="n"/>
      <c r="T4943" s="5" t="n"/>
      <c r="U4943" s="8">
        <f>IF(AND(V4943=1,D4943&lt;&gt;""),IF(D4943&gt;=corte,TODAY()-D4943,""),"")</f>
        <v/>
      </c>
      <c r="V4943" s="8">
        <f>IF(D4943="",0,IF(OR(AND(P4943&lt;&gt;"",S4943=""),AND(N(J4943)&gt;0,N(K4943)&lt;J4943),OR(M4943="PENDENTE",M4943="PARCIAL"),OR(N4943="PENDENTE",N4943="PARCIAL")),1,0))</f>
        <v/>
      </c>
      <c r="W4943" s="8">
        <f>IF(AND(V4943=1,D4943&lt;&gt;""),IF(D4943&gt;=corte,(B4943="CRÍTICO")*1E9+(100000-D4943)*10000+10000-ROW(),""),"")</f>
        <v/>
      </c>
      <c r="X4943" s="8">
        <f>IF(AND(V4943=1,D4943=pas_data,E4943=pas_turno),10000-ROW(),"")</f>
        <v/>
      </c>
    </row>
    <row r="4944">
      <c r="A4944" s="3">
        <f>IF(D4944="","","TT-"&amp;TEXT(ROW()-1,"00000"))</f>
        <v/>
      </c>
      <c r="B4944" s="3">
        <f>IF(D4944="","",IF(V4944=0,"CONCLUÍDO",IF(D4944&lt;corte,"HISTÓRICO",IF(OR(AND(ISNUMBER(R4944),R4944&lt;TODAY()),AND(OR(N4944="PENDENTE",N4944="PARCIAL"),D4944&lt;TODAY()-1)),"CRÍTICO",IF(OR(AND(P4944&lt;&gt;"",S4944=""),AND(N4944="REALIZADO",M4944="PENDENTE"),AND(ISNUMBER(R4944),R4944=TODAY())),"ATENÇÃO",IF(N(K4944)=0,"PENDENTE","EM ANDAMENTO"))))))</f>
        <v/>
      </c>
      <c r="C4944" s="3">
        <f>IF(D4944="","",IF(V4944=0,"🟢 OK",IF(D4944&lt;corte,"⚪ HISTÓRICO (sem baixa)",IF(AND(ISNUMBER(R4944),R4944&lt;TODAY()),"🔴 PRAZO VENCIDO",IF(AND(OR(N4944="PENDENTE",N4944="PARCIAL"),D4944&lt;TODAY()-1),"🔴 EMBARQUE ATRASADO",IF(AND(N4944="REALIZADO",M4944="PENDENTE"),"🟡 EMBARCADO SEM FATURAR",IF(AND(P4944&lt;&gt;"",S4944="",OR(Q4944="",R4944="")),"🟡 PENDÊNCIA SEM RESPONSÁVEL/PRAZO",IF(AND(ISNUMBER(R4944),R4944=TODAY()),"🟡 VENCE HOJE",IF(AND(P4944&lt;&gt;"",S4944=""),"🟡 PENDÊNCIA ABERTA",IF(AND(N(J4944)&gt;0,N(K4944)&lt;J4944),"🟡 FALTA EXECUTAR",IF(OR(M4944="PENDENTE",M4944="PARCIAL"),"🟡 FATURAMENTO PENDENTE","🟡 EMBARQUE PENDENTE")))))))))))</f>
        <v/>
      </c>
      <c r="D4944" s="4" t="n"/>
      <c r="E4944" s="5" t="n"/>
      <c r="F4944" s="5" t="n"/>
      <c r="G4944" s="5" t="n"/>
      <c r="H4944" s="5" t="n"/>
      <c r="I4944" s="5" t="n"/>
      <c r="J4944" s="6" t="n"/>
      <c r="K4944" s="6" t="n"/>
      <c r="L4944" s="7">
        <f>IF(OR(D4944="",N(J4944)=0),"",MIN(1,N(K4944)/J4944))</f>
        <v/>
      </c>
      <c r="M4944" s="5" t="n"/>
      <c r="N4944" s="5" t="n"/>
      <c r="O4944" s="5" t="n"/>
      <c r="P4944" s="5" t="n"/>
      <c r="Q4944" s="5" t="n"/>
      <c r="R4944" s="4" t="n"/>
      <c r="S4944" s="4" t="n"/>
      <c r="T4944" s="5" t="n"/>
      <c r="U4944" s="8">
        <f>IF(AND(V4944=1,D4944&lt;&gt;""),IF(D4944&gt;=corte,TODAY()-D4944,""),"")</f>
        <v/>
      </c>
      <c r="V4944" s="8">
        <f>IF(D4944="",0,IF(OR(AND(P4944&lt;&gt;"",S4944=""),AND(N(J4944)&gt;0,N(K4944)&lt;J4944),OR(M4944="PENDENTE",M4944="PARCIAL"),OR(N4944="PENDENTE",N4944="PARCIAL")),1,0))</f>
        <v/>
      </c>
      <c r="W4944" s="8">
        <f>IF(AND(V4944=1,D4944&lt;&gt;""),IF(D4944&gt;=corte,(B4944="CRÍTICO")*1E9+(100000-D4944)*10000+10000-ROW(),""),"")</f>
        <v/>
      </c>
      <c r="X4944" s="8">
        <f>IF(AND(V4944=1,D4944=pas_data,E4944=pas_turno),10000-ROW(),"")</f>
        <v/>
      </c>
    </row>
    <row r="4945">
      <c r="A4945" s="3">
        <f>IF(D4945="","","TT-"&amp;TEXT(ROW()-1,"00000"))</f>
        <v/>
      </c>
      <c r="B4945" s="3">
        <f>IF(D4945="","",IF(V4945=0,"CONCLUÍDO",IF(D4945&lt;corte,"HISTÓRICO",IF(OR(AND(ISNUMBER(R4945),R4945&lt;TODAY()),AND(OR(N4945="PENDENTE",N4945="PARCIAL"),D4945&lt;TODAY()-1)),"CRÍTICO",IF(OR(AND(P4945&lt;&gt;"",S4945=""),AND(N4945="REALIZADO",M4945="PENDENTE"),AND(ISNUMBER(R4945),R4945=TODAY())),"ATENÇÃO",IF(N(K4945)=0,"PENDENTE","EM ANDAMENTO"))))))</f>
        <v/>
      </c>
      <c r="C4945" s="3">
        <f>IF(D4945="","",IF(V4945=0,"🟢 OK",IF(D4945&lt;corte,"⚪ HISTÓRICO (sem baixa)",IF(AND(ISNUMBER(R4945),R4945&lt;TODAY()),"🔴 PRAZO VENCIDO",IF(AND(OR(N4945="PENDENTE",N4945="PARCIAL"),D4945&lt;TODAY()-1),"🔴 EMBARQUE ATRASADO",IF(AND(N4945="REALIZADO",M4945="PENDENTE"),"🟡 EMBARCADO SEM FATURAR",IF(AND(P4945&lt;&gt;"",S4945="",OR(Q4945="",R4945="")),"🟡 PENDÊNCIA SEM RESPONSÁVEL/PRAZO",IF(AND(ISNUMBER(R4945),R4945=TODAY()),"🟡 VENCE HOJE",IF(AND(P4945&lt;&gt;"",S4945=""),"🟡 PENDÊNCIA ABERTA",IF(AND(N(J4945)&gt;0,N(K4945)&lt;J4945),"🟡 FALTA EXECUTAR",IF(OR(M4945="PENDENTE",M4945="PARCIAL"),"🟡 FATURAMENTO PENDENTE","🟡 EMBARQUE PENDENTE")))))))))))</f>
        <v/>
      </c>
      <c r="D4945" s="4" t="n"/>
      <c r="E4945" s="5" t="n"/>
      <c r="F4945" s="5" t="n"/>
      <c r="G4945" s="5" t="n"/>
      <c r="H4945" s="5" t="n"/>
      <c r="I4945" s="5" t="n"/>
      <c r="J4945" s="6" t="n"/>
      <c r="K4945" s="6" t="n"/>
      <c r="L4945" s="7">
        <f>IF(OR(D4945="",N(J4945)=0),"",MIN(1,N(K4945)/J4945))</f>
        <v/>
      </c>
      <c r="M4945" s="5" t="n"/>
      <c r="N4945" s="5" t="n"/>
      <c r="O4945" s="5" t="n"/>
      <c r="P4945" s="5" t="n"/>
      <c r="Q4945" s="5" t="n"/>
      <c r="R4945" s="4" t="n"/>
      <c r="S4945" s="4" t="n"/>
      <c r="T4945" s="5" t="n"/>
      <c r="U4945" s="8">
        <f>IF(AND(V4945=1,D4945&lt;&gt;""),IF(D4945&gt;=corte,TODAY()-D4945,""),"")</f>
        <v/>
      </c>
      <c r="V4945" s="8">
        <f>IF(D4945="",0,IF(OR(AND(P4945&lt;&gt;"",S4945=""),AND(N(J4945)&gt;0,N(K4945)&lt;J4945),OR(M4945="PENDENTE",M4945="PARCIAL"),OR(N4945="PENDENTE",N4945="PARCIAL")),1,0))</f>
        <v/>
      </c>
      <c r="W4945" s="8">
        <f>IF(AND(V4945=1,D4945&lt;&gt;""),IF(D4945&gt;=corte,(B4945="CRÍTICO")*1E9+(100000-D4945)*10000+10000-ROW(),""),"")</f>
        <v/>
      </c>
      <c r="X4945" s="8">
        <f>IF(AND(V4945=1,D4945=pas_data,E4945=pas_turno),10000-ROW(),"")</f>
        <v/>
      </c>
    </row>
    <row r="4946">
      <c r="A4946" s="3">
        <f>IF(D4946="","","TT-"&amp;TEXT(ROW()-1,"00000"))</f>
        <v/>
      </c>
      <c r="B4946" s="3">
        <f>IF(D4946="","",IF(V4946=0,"CONCLUÍDO",IF(D4946&lt;corte,"HISTÓRICO",IF(OR(AND(ISNUMBER(R4946),R4946&lt;TODAY()),AND(OR(N4946="PENDENTE",N4946="PARCIAL"),D4946&lt;TODAY()-1)),"CRÍTICO",IF(OR(AND(P4946&lt;&gt;"",S4946=""),AND(N4946="REALIZADO",M4946="PENDENTE"),AND(ISNUMBER(R4946),R4946=TODAY())),"ATENÇÃO",IF(N(K4946)=0,"PENDENTE","EM ANDAMENTO"))))))</f>
        <v/>
      </c>
      <c r="C4946" s="3">
        <f>IF(D4946="","",IF(V4946=0,"🟢 OK",IF(D4946&lt;corte,"⚪ HISTÓRICO (sem baixa)",IF(AND(ISNUMBER(R4946),R4946&lt;TODAY()),"🔴 PRAZO VENCIDO",IF(AND(OR(N4946="PENDENTE",N4946="PARCIAL"),D4946&lt;TODAY()-1),"🔴 EMBARQUE ATRASADO",IF(AND(N4946="REALIZADO",M4946="PENDENTE"),"🟡 EMBARCADO SEM FATURAR",IF(AND(P4946&lt;&gt;"",S4946="",OR(Q4946="",R4946="")),"🟡 PENDÊNCIA SEM RESPONSÁVEL/PRAZO",IF(AND(ISNUMBER(R4946),R4946=TODAY()),"🟡 VENCE HOJE",IF(AND(P4946&lt;&gt;"",S4946=""),"🟡 PENDÊNCIA ABERTA",IF(AND(N(J4946)&gt;0,N(K4946)&lt;J4946),"🟡 FALTA EXECUTAR",IF(OR(M4946="PENDENTE",M4946="PARCIAL"),"🟡 FATURAMENTO PENDENTE","🟡 EMBARQUE PENDENTE")))))))))))</f>
        <v/>
      </c>
      <c r="D4946" s="4" t="n"/>
      <c r="E4946" s="5" t="n"/>
      <c r="F4946" s="5" t="n"/>
      <c r="G4946" s="5" t="n"/>
      <c r="H4946" s="5" t="n"/>
      <c r="I4946" s="5" t="n"/>
      <c r="J4946" s="6" t="n"/>
      <c r="K4946" s="6" t="n"/>
      <c r="L4946" s="7">
        <f>IF(OR(D4946="",N(J4946)=0),"",MIN(1,N(K4946)/J4946))</f>
        <v/>
      </c>
      <c r="M4946" s="5" t="n"/>
      <c r="N4946" s="5" t="n"/>
      <c r="O4946" s="5" t="n"/>
      <c r="P4946" s="5" t="n"/>
      <c r="Q4946" s="5" t="n"/>
      <c r="R4946" s="4" t="n"/>
      <c r="S4946" s="4" t="n"/>
      <c r="T4946" s="5" t="n"/>
      <c r="U4946" s="8">
        <f>IF(AND(V4946=1,D4946&lt;&gt;""),IF(D4946&gt;=corte,TODAY()-D4946,""),"")</f>
        <v/>
      </c>
      <c r="V4946" s="8">
        <f>IF(D4946="",0,IF(OR(AND(P4946&lt;&gt;"",S4946=""),AND(N(J4946)&gt;0,N(K4946)&lt;J4946),OR(M4946="PENDENTE",M4946="PARCIAL"),OR(N4946="PENDENTE",N4946="PARCIAL")),1,0))</f>
        <v/>
      </c>
      <c r="W4946" s="8">
        <f>IF(AND(V4946=1,D4946&lt;&gt;""),IF(D4946&gt;=corte,(B4946="CRÍTICO")*1E9+(100000-D4946)*10000+10000-ROW(),""),"")</f>
        <v/>
      </c>
      <c r="X4946" s="8">
        <f>IF(AND(V4946=1,D4946=pas_data,E4946=pas_turno),10000-ROW(),"")</f>
        <v/>
      </c>
    </row>
    <row r="4947">
      <c r="A4947" s="3">
        <f>IF(D4947="","","TT-"&amp;TEXT(ROW()-1,"00000"))</f>
        <v/>
      </c>
      <c r="B4947" s="3">
        <f>IF(D4947="","",IF(V4947=0,"CONCLUÍDO",IF(D4947&lt;corte,"HISTÓRICO",IF(OR(AND(ISNUMBER(R4947),R4947&lt;TODAY()),AND(OR(N4947="PENDENTE",N4947="PARCIAL"),D4947&lt;TODAY()-1)),"CRÍTICO",IF(OR(AND(P4947&lt;&gt;"",S4947=""),AND(N4947="REALIZADO",M4947="PENDENTE"),AND(ISNUMBER(R4947),R4947=TODAY())),"ATENÇÃO",IF(N(K4947)=0,"PENDENTE","EM ANDAMENTO"))))))</f>
        <v/>
      </c>
      <c r="C4947" s="3">
        <f>IF(D4947="","",IF(V4947=0,"🟢 OK",IF(D4947&lt;corte,"⚪ HISTÓRICO (sem baixa)",IF(AND(ISNUMBER(R4947),R4947&lt;TODAY()),"🔴 PRAZO VENCIDO",IF(AND(OR(N4947="PENDENTE",N4947="PARCIAL"),D4947&lt;TODAY()-1),"🔴 EMBARQUE ATRASADO",IF(AND(N4947="REALIZADO",M4947="PENDENTE"),"🟡 EMBARCADO SEM FATURAR",IF(AND(P4947&lt;&gt;"",S4947="",OR(Q4947="",R4947="")),"🟡 PENDÊNCIA SEM RESPONSÁVEL/PRAZO",IF(AND(ISNUMBER(R4947),R4947=TODAY()),"🟡 VENCE HOJE",IF(AND(P4947&lt;&gt;"",S4947=""),"🟡 PENDÊNCIA ABERTA",IF(AND(N(J4947)&gt;0,N(K4947)&lt;J4947),"🟡 FALTA EXECUTAR",IF(OR(M4947="PENDENTE",M4947="PARCIAL"),"🟡 FATURAMENTO PENDENTE","🟡 EMBARQUE PENDENTE")))))))))))</f>
        <v/>
      </c>
      <c r="D4947" s="4" t="n"/>
      <c r="E4947" s="5" t="n"/>
      <c r="F4947" s="5" t="n"/>
      <c r="G4947" s="5" t="n"/>
      <c r="H4947" s="5" t="n"/>
      <c r="I4947" s="5" t="n"/>
      <c r="J4947" s="6" t="n"/>
      <c r="K4947" s="6" t="n"/>
      <c r="L4947" s="7">
        <f>IF(OR(D4947="",N(J4947)=0),"",MIN(1,N(K4947)/J4947))</f>
        <v/>
      </c>
      <c r="M4947" s="5" t="n"/>
      <c r="N4947" s="5" t="n"/>
      <c r="O4947" s="5" t="n"/>
      <c r="P4947" s="5" t="n"/>
      <c r="Q4947" s="5" t="n"/>
      <c r="R4947" s="4" t="n"/>
      <c r="S4947" s="4" t="n"/>
      <c r="T4947" s="5" t="n"/>
      <c r="U4947" s="8">
        <f>IF(AND(V4947=1,D4947&lt;&gt;""),IF(D4947&gt;=corte,TODAY()-D4947,""),"")</f>
        <v/>
      </c>
      <c r="V4947" s="8">
        <f>IF(D4947="",0,IF(OR(AND(P4947&lt;&gt;"",S4947=""),AND(N(J4947)&gt;0,N(K4947)&lt;J4947),OR(M4947="PENDENTE",M4947="PARCIAL"),OR(N4947="PENDENTE",N4947="PARCIAL")),1,0))</f>
        <v/>
      </c>
      <c r="W4947" s="8">
        <f>IF(AND(V4947=1,D4947&lt;&gt;""),IF(D4947&gt;=corte,(B4947="CRÍTICO")*1E9+(100000-D4947)*10000+10000-ROW(),""),"")</f>
        <v/>
      </c>
      <c r="X4947" s="8">
        <f>IF(AND(V4947=1,D4947=pas_data,E4947=pas_turno),10000-ROW(),"")</f>
        <v/>
      </c>
    </row>
    <row r="4948">
      <c r="A4948" s="3">
        <f>IF(D4948="","","TT-"&amp;TEXT(ROW()-1,"00000"))</f>
        <v/>
      </c>
      <c r="B4948" s="3">
        <f>IF(D4948="","",IF(V4948=0,"CONCLUÍDO",IF(D4948&lt;corte,"HISTÓRICO",IF(OR(AND(ISNUMBER(R4948),R4948&lt;TODAY()),AND(OR(N4948="PENDENTE",N4948="PARCIAL"),D4948&lt;TODAY()-1)),"CRÍTICO",IF(OR(AND(P4948&lt;&gt;"",S4948=""),AND(N4948="REALIZADO",M4948="PENDENTE"),AND(ISNUMBER(R4948),R4948=TODAY())),"ATENÇÃO",IF(N(K4948)=0,"PENDENTE","EM ANDAMENTO"))))))</f>
        <v/>
      </c>
      <c r="C4948" s="3">
        <f>IF(D4948="","",IF(V4948=0,"🟢 OK",IF(D4948&lt;corte,"⚪ HISTÓRICO (sem baixa)",IF(AND(ISNUMBER(R4948),R4948&lt;TODAY()),"🔴 PRAZO VENCIDO",IF(AND(OR(N4948="PENDENTE",N4948="PARCIAL"),D4948&lt;TODAY()-1),"🔴 EMBARQUE ATRASADO",IF(AND(N4948="REALIZADO",M4948="PENDENTE"),"🟡 EMBARCADO SEM FATURAR",IF(AND(P4948&lt;&gt;"",S4948="",OR(Q4948="",R4948="")),"🟡 PENDÊNCIA SEM RESPONSÁVEL/PRAZO",IF(AND(ISNUMBER(R4948),R4948=TODAY()),"🟡 VENCE HOJE",IF(AND(P4948&lt;&gt;"",S4948=""),"🟡 PENDÊNCIA ABERTA",IF(AND(N(J4948)&gt;0,N(K4948)&lt;J4948),"🟡 FALTA EXECUTAR",IF(OR(M4948="PENDENTE",M4948="PARCIAL"),"🟡 FATURAMENTO PENDENTE","🟡 EMBARQUE PENDENTE")))))))))))</f>
        <v/>
      </c>
      <c r="D4948" s="4" t="n"/>
      <c r="E4948" s="5" t="n"/>
      <c r="F4948" s="5" t="n"/>
      <c r="G4948" s="5" t="n"/>
      <c r="H4948" s="5" t="n"/>
      <c r="I4948" s="5" t="n"/>
      <c r="J4948" s="6" t="n"/>
      <c r="K4948" s="6" t="n"/>
      <c r="L4948" s="7">
        <f>IF(OR(D4948="",N(J4948)=0),"",MIN(1,N(K4948)/J4948))</f>
        <v/>
      </c>
      <c r="M4948" s="5" t="n"/>
      <c r="N4948" s="5" t="n"/>
      <c r="O4948" s="5" t="n"/>
      <c r="P4948" s="5" t="n"/>
      <c r="Q4948" s="5" t="n"/>
      <c r="R4948" s="4" t="n"/>
      <c r="S4948" s="4" t="n"/>
      <c r="T4948" s="5" t="n"/>
      <c r="U4948" s="8">
        <f>IF(AND(V4948=1,D4948&lt;&gt;""),IF(D4948&gt;=corte,TODAY()-D4948,""),"")</f>
        <v/>
      </c>
      <c r="V4948" s="8">
        <f>IF(D4948="",0,IF(OR(AND(P4948&lt;&gt;"",S4948=""),AND(N(J4948)&gt;0,N(K4948)&lt;J4948),OR(M4948="PENDENTE",M4948="PARCIAL"),OR(N4948="PENDENTE",N4948="PARCIAL")),1,0))</f>
        <v/>
      </c>
      <c r="W4948" s="8">
        <f>IF(AND(V4948=1,D4948&lt;&gt;""),IF(D4948&gt;=corte,(B4948="CRÍTICO")*1E9+(100000-D4948)*10000+10000-ROW(),""),"")</f>
        <v/>
      </c>
      <c r="X4948" s="8">
        <f>IF(AND(V4948=1,D4948=pas_data,E4948=pas_turno),10000-ROW(),"")</f>
        <v/>
      </c>
    </row>
    <row r="4949">
      <c r="A4949" s="3">
        <f>IF(D4949="","","TT-"&amp;TEXT(ROW()-1,"00000"))</f>
        <v/>
      </c>
      <c r="B4949" s="3">
        <f>IF(D4949="","",IF(V4949=0,"CONCLUÍDO",IF(D4949&lt;corte,"HISTÓRICO",IF(OR(AND(ISNUMBER(R4949),R4949&lt;TODAY()),AND(OR(N4949="PENDENTE",N4949="PARCIAL"),D4949&lt;TODAY()-1)),"CRÍTICO",IF(OR(AND(P4949&lt;&gt;"",S4949=""),AND(N4949="REALIZADO",M4949="PENDENTE"),AND(ISNUMBER(R4949),R4949=TODAY())),"ATENÇÃO",IF(N(K4949)=0,"PENDENTE","EM ANDAMENTO"))))))</f>
        <v/>
      </c>
      <c r="C4949" s="3">
        <f>IF(D4949="","",IF(V4949=0,"🟢 OK",IF(D4949&lt;corte,"⚪ HISTÓRICO (sem baixa)",IF(AND(ISNUMBER(R4949),R4949&lt;TODAY()),"🔴 PRAZO VENCIDO",IF(AND(OR(N4949="PENDENTE",N4949="PARCIAL"),D4949&lt;TODAY()-1),"🔴 EMBARQUE ATRASADO",IF(AND(N4949="REALIZADO",M4949="PENDENTE"),"🟡 EMBARCADO SEM FATURAR",IF(AND(P4949&lt;&gt;"",S4949="",OR(Q4949="",R4949="")),"🟡 PENDÊNCIA SEM RESPONSÁVEL/PRAZO",IF(AND(ISNUMBER(R4949),R4949=TODAY()),"🟡 VENCE HOJE",IF(AND(P4949&lt;&gt;"",S4949=""),"🟡 PENDÊNCIA ABERTA",IF(AND(N(J4949)&gt;0,N(K4949)&lt;J4949),"🟡 FALTA EXECUTAR",IF(OR(M4949="PENDENTE",M4949="PARCIAL"),"🟡 FATURAMENTO PENDENTE","🟡 EMBARQUE PENDENTE")))))))))))</f>
        <v/>
      </c>
      <c r="D4949" s="4" t="n"/>
      <c r="E4949" s="5" t="n"/>
      <c r="F4949" s="5" t="n"/>
      <c r="G4949" s="5" t="n"/>
      <c r="H4949" s="5" t="n"/>
      <c r="I4949" s="5" t="n"/>
      <c r="J4949" s="6" t="n"/>
      <c r="K4949" s="6" t="n"/>
      <c r="L4949" s="7">
        <f>IF(OR(D4949="",N(J4949)=0),"",MIN(1,N(K4949)/J4949))</f>
        <v/>
      </c>
      <c r="M4949" s="5" t="n"/>
      <c r="N4949" s="5" t="n"/>
      <c r="O4949" s="5" t="n"/>
      <c r="P4949" s="5" t="n"/>
      <c r="Q4949" s="5" t="n"/>
      <c r="R4949" s="4" t="n"/>
      <c r="S4949" s="4" t="n"/>
      <c r="T4949" s="5" t="n"/>
      <c r="U4949" s="8">
        <f>IF(AND(V4949=1,D4949&lt;&gt;""),IF(D4949&gt;=corte,TODAY()-D4949,""),"")</f>
        <v/>
      </c>
      <c r="V4949" s="8">
        <f>IF(D4949="",0,IF(OR(AND(P4949&lt;&gt;"",S4949=""),AND(N(J4949)&gt;0,N(K4949)&lt;J4949),OR(M4949="PENDENTE",M4949="PARCIAL"),OR(N4949="PENDENTE",N4949="PARCIAL")),1,0))</f>
        <v/>
      </c>
      <c r="W4949" s="8">
        <f>IF(AND(V4949=1,D4949&lt;&gt;""),IF(D4949&gt;=corte,(B4949="CRÍTICO")*1E9+(100000-D4949)*10000+10000-ROW(),""),"")</f>
        <v/>
      </c>
      <c r="X4949" s="8">
        <f>IF(AND(V4949=1,D4949=pas_data,E4949=pas_turno),10000-ROW(),"")</f>
        <v/>
      </c>
    </row>
    <row r="4950">
      <c r="A4950" s="3">
        <f>IF(D4950="","","TT-"&amp;TEXT(ROW()-1,"00000"))</f>
        <v/>
      </c>
      <c r="B4950" s="3">
        <f>IF(D4950="","",IF(V4950=0,"CONCLUÍDO",IF(D4950&lt;corte,"HISTÓRICO",IF(OR(AND(ISNUMBER(R4950),R4950&lt;TODAY()),AND(OR(N4950="PENDENTE",N4950="PARCIAL"),D4950&lt;TODAY()-1)),"CRÍTICO",IF(OR(AND(P4950&lt;&gt;"",S4950=""),AND(N4950="REALIZADO",M4950="PENDENTE"),AND(ISNUMBER(R4950),R4950=TODAY())),"ATENÇÃO",IF(N(K4950)=0,"PENDENTE","EM ANDAMENTO"))))))</f>
        <v/>
      </c>
      <c r="C4950" s="3">
        <f>IF(D4950="","",IF(V4950=0,"🟢 OK",IF(D4950&lt;corte,"⚪ HISTÓRICO (sem baixa)",IF(AND(ISNUMBER(R4950),R4950&lt;TODAY()),"🔴 PRAZO VENCIDO",IF(AND(OR(N4950="PENDENTE",N4950="PARCIAL"),D4950&lt;TODAY()-1),"🔴 EMBARQUE ATRASADO",IF(AND(N4950="REALIZADO",M4950="PENDENTE"),"🟡 EMBARCADO SEM FATURAR",IF(AND(P4950&lt;&gt;"",S4950="",OR(Q4950="",R4950="")),"🟡 PENDÊNCIA SEM RESPONSÁVEL/PRAZO",IF(AND(ISNUMBER(R4950),R4950=TODAY()),"🟡 VENCE HOJE",IF(AND(P4950&lt;&gt;"",S4950=""),"🟡 PENDÊNCIA ABERTA",IF(AND(N(J4950)&gt;0,N(K4950)&lt;J4950),"🟡 FALTA EXECUTAR",IF(OR(M4950="PENDENTE",M4950="PARCIAL"),"🟡 FATURAMENTO PENDENTE","🟡 EMBARQUE PENDENTE")))))))))))</f>
        <v/>
      </c>
      <c r="D4950" s="4" t="n"/>
      <c r="E4950" s="5" t="n"/>
      <c r="F4950" s="5" t="n"/>
      <c r="G4950" s="5" t="n"/>
      <c r="H4950" s="5" t="n"/>
      <c r="I4950" s="5" t="n"/>
      <c r="J4950" s="6" t="n"/>
      <c r="K4950" s="6" t="n"/>
      <c r="L4950" s="7">
        <f>IF(OR(D4950="",N(J4950)=0),"",MIN(1,N(K4950)/J4950))</f>
        <v/>
      </c>
      <c r="M4950" s="5" t="n"/>
      <c r="N4950" s="5" t="n"/>
      <c r="O4950" s="5" t="n"/>
      <c r="P4950" s="5" t="n"/>
      <c r="Q4950" s="5" t="n"/>
      <c r="R4950" s="4" t="n"/>
      <c r="S4950" s="4" t="n"/>
      <c r="T4950" s="5" t="n"/>
      <c r="U4950" s="8">
        <f>IF(AND(V4950=1,D4950&lt;&gt;""),IF(D4950&gt;=corte,TODAY()-D4950,""),"")</f>
        <v/>
      </c>
      <c r="V4950" s="8">
        <f>IF(D4950="",0,IF(OR(AND(P4950&lt;&gt;"",S4950=""),AND(N(J4950)&gt;0,N(K4950)&lt;J4950),OR(M4950="PENDENTE",M4950="PARCIAL"),OR(N4950="PENDENTE",N4950="PARCIAL")),1,0))</f>
        <v/>
      </c>
      <c r="W4950" s="8">
        <f>IF(AND(V4950=1,D4950&lt;&gt;""),IF(D4950&gt;=corte,(B4950="CRÍTICO")*1E9+(100000-D4950)*10000+10000-ROW(),""),"")</f>
        <v/>
      </c>
      <c r="X4950" s="8">
        <f>IF(AND(V4950=1,D4950=pas_data,E4950=pas_turno),10000-ROW(),"")</f>
        <v/>
      </c>
    </row>
    <row r="4951">
      <c r="A4951" s="3">
        <f>IF(D4951="","","TT-"&amp;TEXT(ROW()-1,"00000"))</f>
        <v/>
      </c>
      <c r="B4951" s="3">
        <f>IF(D4951="","",IF(V4951=0,"CONCLUÍDO",IF(D4951&lt;corte,"HISTÓRICO",IF(OR(AND(ISNUMBER(R4951),R4951&lt;TODAY()),AND(OR(N4951="PENDENTE",N4951="PARCIAL"),D4951&lt;TODAY()-1)),"CRÍTICO",IF(OR(AND(P4951&lt;&gt;"",S4951=""),AND(N4951="REALIZADO",M4951="PENDENTE"),AND(ISNUMBER(R4951),R4951=TODAY())),"ATENÇÃO",IF(N(K4951)=0,"PENDENTE","EM ANDAMENTO"))))))</f>
        <v/>
      </c>
      <c r="C4951" s="3">
        <f>IF(D4951="","",IF(V4951=0,"🟢 OK",IF(D4951&lt;corte,"⚪ HISTÓRICO (sem baixa)",IF(AND(ISNUMBER(R4951),R4951&lt;TODAY()),"🔴 PRAZO VENCIDO",IF(AND(OR(N4951="PENDENTE",N4951="PARCIAL"),D4951&lt;TODAY()-1),"🔴 EMBARQUE ATRASADO",IF(AND(N4951="REALIZADO",M4951="PENDENTE"),"🟡 EMBARCADO SEM FATURAR",IF(AND(P4951&lt;&gt;"",S4951="",OR(Q4951="",R4951="")),"🟡 PENDÊNCIA SEM RESPONSÁVEL/PRAZO",IF(AND(ISNUMBER(R4951),R4951=TODAY()),"🟡 VENCE HOJE",IF(AND(P4951&lt;&gt;"",S4951=""),"🟡 PENDÊNCIA ABERTA",IF(AND(N(J4951)&gt;0,N(K4951)&lt;J4951),"🟡 FALTA EXECUTAR",IF(OR(M4951="PENDENTE",M4951="PARCIAL"),"🟡 FATURAMENTO PENDENTE","🟡 EMBARQUE PENDENTE")))))))))))</f>
        <v/>
      </c>
      <c r="D4951" s="4" t="n"/>
      <c r="E4951" s="5" t="n"/>
      <c r="F4951" s="5" t="n"/>
      <c r="G4951" s="5" t="n"/>
      <c r="H4951" s="5" t="n"/>
      <c r="I4951" s="5" t="n"/>
      <c r="J4951" s="6" t="n"/>
      <c r="K4951" s="6" t="n"/>
      <c r="L4951" s="7">
        <f>IF(OR(D4951="",N(J4951)=0),"",MIN(1,N(K4951)/J4951))</f>
        <v/>
      </c>
      <c r="M4951" s="5" t="n"/>
      <c r="N4951" s="5" t="n"/>
      <c r="O4951" s="5" t="n"/>
      <c r="P4951" s="5" t="n"/>
      <c r="Q4951" s="5" t="n"/>
      <c r="R4951" s="4" t="n"/>
      <c r="S4951" s="4" t="n"/>
      <c r="T4951" s="5" t="n"/>
      <c r="U4951" s="8">
        <f>IF(AND(V4951=1,D4951&lt;&gt;""),IF(D4951&gt;=corte,TODAY()-D4951,""),"")</f>
        <v/>
      </c>
      <c r="V4951" s="8">
        <f>IF(D4951="",0,IF(OR(AND(P4951&lt;&gt;"",S4951=""),AND(N(J4951)&gt;0,N(K4951)&lt;J4951),OR(M4951="PENDENTE",M4951="PARCIAL"),OR(N4951="PENDENTE",N4951="PARCIAL")),1,0))</f>
        <v/>
      </c>
      <c r="W4951" s="8">
        <f>IF(AND(V4951=1,D4951&lt;&gt;""),IF(D4951&gt;=corte,(B4951="CRÍTICO")*1E9+(100000-D4951)*10000+10000-ROW(),""),"")</f>
        <v/>
      </c>
      <c r="X4951" s="8">
        <f>IF(AND(V4951=1,D4951=pas_data,E4951=pas_turno),10000-ROW(),"")</f>
        <v/>
      </c>
    </row>
    <row r="4952">
      <c r="A4952" s="3">
        <f>IF(D4952="","","TT-"&amp;TEXT(ROW()-1,"00000"))</f>
        <v/>
      </c>
      <c r="B4952" s="3">
        <f>IF(D4952="","",IF(V4952=0,"CONCLUÍDO",IF(D4952&lt;corte,"HISTÓRICO",IF(OR(AND(ISNUMBER(R4952),R4952&lt;TODAY()),AND(OR(N4952="PENDENTE",N4952="PARCIAL"),D4952&lt;TODAY()-1)),"CRÍTICO",IF(OR(AND(P4952&lt;&gt;"",S4952=""),AND(N4952="REALIZADO",M4952="PENDENTE"),AND(ISNUMBER(R4952),R4952=TODAY())),"ATENÇÃO",IF(N(K4952)=0,"PENDENTE","EM ANDAMENTO"))))))</f>
        <v/>
      </c>
      <c r="C4952" s="3">
        <f>IF(D4952="","",IF(V4952=0,"🟢 OK",IF(D4952&lt;corte,"⚪ HISTÓRICO (sem baixa)",IF(AND(ISNUMBER(R4952),R4952&lt;TODAY()),"🔴 PRAZO VENCIDO",IF(AND(OR(N4952="PENDENTE",N4952="PARCIAL"),D4952&lt;TODAY()-1),"🔴 EMBARQUE ATRASADO",IF(AND(N4952="REALIZADO",M4952="PENDENTE"),"🟡 EMBARCADO SEM FATURAR",IF(AND(P4952&lt;&gt;"",S4952="",OR(Q4952="",R4952="")),"🟡 PENDÊNCIA SEM RESPONSÁVEL/PRAZO",IF(AND(ISNUMBER(R4952),R4952=TODAY()),"🟡 VENCE HOJE",IF(AND(P4952&lt;&gt;"",S4952=""),"🟡 PENDÊNCIA ABERTA",IF(AND(N(J4952)&gt;0,N(K4952)&lt;J4952),"🟡 FALTA EXECUTAR",IF(OR(M4952="PENDENTE",M4952="PARCIAL"),"🟡 FATURAMENTO PENDENTE","🟡 EMBARQUE PENDENTE")))))))))))</f>
        <v/>
      </c>
      <c r="D4952" s="4" t="n"/>
      <c r="E4952" s="5" t="n"/>
      <c r="F4952" s="5" t="n"/>
      <c r="G4952" s="5" t="n"/>
      <c r="H4952" s="5" t="n"/>
      <c r="I4952" s="5" t="n"/>
      <c r="J4952" s="6" t="n"/>
      <c r="K4952" s="6" t="n"/>
      <c r="L4952" s="7">
        <f>IF(OR(D4952="",N(J4952)=0),"",MIN(1,N(K4952)/J4952))</f>
        <v/>
      </c>
      <c r="M4952" s="5" t="n"/>
      <c r="N4952" s="5" t="n"/>
      <c r="O4952" s="5" t="n"/>
      <c r="P4952" s="5" t="n"/>
      <c r="Q4952" s="5" t="n"/>
      <c r="R4952" s="4" t="n"/>
      <c r="S4952" s="4" t="n"/>
      <c r="T4952" s="5" t="n"/>
      <c r="U4952" s="8">
        <f>IF(AND(V4952=1,D4952&lt;&gt;""),IF(D4952&gt;=corte,TODAY()-D4952,""),"")</f>
        <v/>
      </c>
      <c r="V4952" s="8">
        <f>IF(D4952="",0,IF(OR(AND(P4952&lt;&gt;"",S4952=""),AND(N(J4952)&gt;0,N(K4952)&lt;J4952),OR(M4952="PENDENTE",M4952="PARCIAL"),OR(N4952="PENDENTE",N4952="PARCIAL")),1,0))</f>
        <v/>
      </c>
      <c r="W4952" s="8">
        <f>IF(AND(V4952=1,D4952&lt;&gt;""),IF(D4952&gt;=corte,(B4952="CRÍTICO")*1E9+(100000-D4952)*10000+10000-ROW(),""),"")</f>
        <v/>
      </c>
      <c r="X4952" s="8">
        <f>IF(AND(V4952=1,D4952=pas_data,E4952=pas_turno),10000-ROW(),"")</f>
        <v/>
      </c>
    </row>
    <row r="4953">
      <c r="A4953" s="3">
        <f>IF(D4953="","","TT-"&amp;TEXT(ROW()-1,"00000"))</f>
        <v/>
      </c>
      <c r="B4953" s="3">
        <f>IF(D4953="","",IF(V4953=0,"CONCLUÍDO",IF(D4953&lt;corte,"HISTÓRICO",IF(OR(AND(ISNUMBER(R4953),R4953&lt;TODAY()),AND(OR(N4953="PENDENTE",N4953="PARCIAL"),D4953&lt;TODAY()-1)),"CRÍTICO",IF(OR(AND(P4953&lt;&gt;"",S4953=""),AND(N4953="REALIZADO",M4953="PENDENTE"),AND(ISNUMBER(R4953),R4953=TODAY())),"ATENÇÃO",IF(N(K4953)=0,"PENDENTE","EM ANDAMENTO"))))))</f>
        <v/>
      </c>
      <c r="C4953" s="3">
        <f>IF(D4953="","",IF(V4953=0,"🟢 OK",IF(D4953&lt;corte,"⚪ HISTÓRICO (sem baixa)",IF(AND(ISNUMBER(R4953),R4953&lt;TODAY()),"🔴 PRAZO VENCIDO",IF(AND(OR(N4953="PENDENTE",N4953="PARCIAL"),D4953&lt;TODAY()-1),"🔴 EMBARQUE ATRASADO",IF(AND(N4953="REALIZADO",M4953="PENDENTE"),"🟡 EMBARCADO SEM FATURAR",IF(AND(P4953&lt;&gt;"",S4953="",OR(Q4953="",R4953="")),"🟡 PENDÊNCIA SEM RESPONSÁVEL/PRAZO",IF(AND(ISNUMBER(R4953),R4953=TODAY()),"🟡 VENCE HOJE",IF(AND(P4953&lt;&gt;"",S4953=""),"🟡 PENDÊNCIA ABERTA",IF(AND(N(J4953)&gt;0,N(K4953)&lt;J4953),"🟡 FALTA EXECUTAR",IF(OR(M4953="PENDENTE",M4953="PARCIAL"),"🟡 FATURAMENTO PENDENTE","🟡 EMBARQUE PENDENTE")))))))))))</f>
        <v/>
      </c>
      <c r="D4953" s="4" t="n"/>
      <c r="E4953" s="5" t="n"/>
      <c r="F4953" s="5" t="n"/>
      <c r="G4953" s="5" t="n"/>
      <c r="H4953" s="5" t="n"/>
      <c r="I4953" s="5" t="n"/>
      <c r="J4953" s="6" t="n"/>
      <c r="K4953" s="6" t="n"/>
      <c r="L4953" s="7">
        <f>IF(OR(D4953="",N(J4953)=0),"",MIN(1,N(K4953)/J4953))</f>
        <v/>
      </c>
      <c r="M4953" s="5" t="n"/>
      <c r="N4953" s="5" t="n"/>
      <c r="O4953" s="5" t="n"/>
      <c r="P4953" s="5" t="n"/>
      <c r="Q4953" s="5" t="n"/>
      <c r="R4953" s="4" t="n"/>
      <c r="S4953" s="4" t="n"/>
      <c r="T4953" s="5" t="n"/>
      <c r="U4953" s="8">
        <f>IF(AND(V4953=1,D4953&lt;&gt;""),IF(D4953&gt;=corte,TODAY()-D4953,""),"")</f>
        <v/>
      </c>
      <c r="V4953" s="8">
        <f>IF(D4953="",0,IF(OR(AND(P4953&lt;&gt;"",S4953=""),AND(N(J4953)&gt;0,N(K4953)&lt;J4953),OR(M4953="PENDENTE",M4953="PARCIAL"),OR(N4953="PENDENTE",N4953="PARCIAL")),1,0))</f>
        <v/>
      </c>
      <c r="W4953" s="8">
        <f>IF(AND(V4953=1,D4953&lt;&gt;""),IF(D4953&gt;=corte,(B4953="CRÍTICO")*1E9+(100000-D4953)*10000+10000-ROW(),""),"")</f>
        <v/>
      </c>
      <c r="X4953" s="8">
        <f>IF(AND(V4953=1,D4953=pas_data,E4953=pas_turno),10000-ROW(),"")</f>
        <v/>
      </c>
    </row>
    <row r="4954">
      <c r="A4954" s="3">
        <f>IF(D4954="","","TT-"&amp;TEXT(ROW()-1,"00000"))</f>
        <v/>
      </c>
      <c r="B4954" s="3">
        <f>IF(D4954="","",IF(V4954=0,"CONCLUÍDO",IF(D4954&lt;corte,"HISTÓRICO",IF(OR(AND(ISNUMBER(R4954),R4954&lt;TODAY()),AND(OR(N4954="PENDENTE",N4954="PARCIAL"),D4954&lt;TODAY()-1)),"CRÍTICO",IF(OR(AND(P4954&lt;&gt;"",S4954=""),AND(N4954="REALIZADO",M4954="PENDENTE"),AND(ISNUMBER(R4954),R4954=TODAY())),"ATENÇÃO",IF(N(K4954)=0,"PENDENTE","EM ANDAMENTO"))))))</f>
        <v/>
      </c>
      <c r="C4954" s="3">
        <f>IF(D4954="","",IF(V4954=0,"🟢 OK",IF(D4954&lt;corte,"⚪ HISTÓRICO (sem baixa)",IF(AND(ISNUMBER(R4954),R4954&lt;TODAY()),"🔴 PRAZO VENCIDO",IF(AND(OR(N4954="PENDENTE",N4954="PARCIAL"),D4954&lt;TODAY()-1),"🔴 EMBARQUE ATRASADO",IF(AND(N4954="REALIZADO",M4954="PENDENTE"),"🟡 EMBARCADO SEM FATURAR",IF(AND(P4954&lt;&gt;"",S4954="",OR(Q4954="",R4954="")),"🟡 PENDÊNCIA SEM RESPONSÁVEL/PRAZO",IF(AND(ISNUMBER(R4954),R4954=TODAY()),"🟡 VENCE HOJE",IF(AND(P4954&lt;&gt;"",S4954=""),"🟡 PENDÊNCIA ABERTA",IF(AND(N(J4954)&gt;0,N(K4954)&lt;J4954),"🟡 FALTA EXECUTAR",IF(OR(M4954="PENDENTE",M4954="PARCIAL"),"🟡 FATURAMENTO PENDENTE","🟡 EMBARQUE PENDENTE")))))))))))</f>
        <v/>
      </c>
      <c r="D4954" s="4" t="n"/>
      <c r="E4954" s="5" t="n"/>
      <c r="F4954" s="5" t="n"/>
      <c r="G4954" s="5" t="n"/>
      <c r="H4954" s="5" t="n"/>
      <c r="I4954" s="5" t="n"/>
      <c r="J4954" s="6" t="n"/>
      <c r="K4954" s="6" t="n"/>
      <c r="L4954" s="7">
        <f>IF(OR(D4954="",N(J4954)=0),"",MIN(1,N(K4954)/J4954))</f>
        <v/>
      </c>
      <c r="M4954" s="5" t="n"/>
      <c r="N4954" s="5" t="n"/>
      <c r="O4954" s="5" t="n"/>
      <c r="P4954" s="5" t="n"/>
      <c r="Q4954" s="5" t="n"/>
      <c r="R4954" s="4" t="n"/>
      <c r="S4954" s="4" t="n"/>
      <c r="T4954" s="5" t="n"/>
      <c r="U4954" s="8">
        <f>IF(AND(V4954=1,D4954&lt;&gt;""),IF(D4954&gt;=corte,TODAY()-D4954,""),"")</f>
        <v/>
      </c>
      <c r="V4954" s="8">
        <f>IF(D4954="",0,IF(OR(AND(P4954&lt;&gt;"",S4954=""),AND(N(J4954)&gt;0,N(K4954)&lt;J4954),OR(M4954="PENDENTE",M4954="PARCIAL"),OR(N4954="PENDENTE",N4954="PARCIAL")),1,0))</f>
        <v/>
      </c>
      <c r="W4954" s="8">
        <f>IF(AND(V4954=1,D4954&lt;&gt;""),IF(D4954&gt;=corte,(B4954="CRÍTICO")*1E9+(100000-D4954)*10000+10000-ROW(),""),"")</f>
        <v/>
      </c>
      <c r="X4954" s="8">
        <f>IF(AND(V4954=1,D4954=pas_data,E4954=pas_turno),10000-ROW(),"")</f>
        <v/>
      </c>
    </row>
    <row r="4955">
      <c r="A4955" s="3">
        <f>IF(D4955="","","TT-"&amp;TEXT(ROW()-1,"00000"))</f>
        <v/>
      </c>
      <c r="B4955" s="3">
        <f>IF(D4955="","",IF(V4955=0,"CONCLUÍDO",IF(D4955&lt;corte,"HISTÓRICO",IF(OR(AND(ISNUMBER(R4955),R4955&lt;TODAY()),AND(OR(N4955="PENDENTE",N4955="PARCIAL"),D4955&lt;TODAY()-1)),"CRÍTICO",IF(OR(AND(P4955&lt;&gt;"",S4955=""),AND(N4955="REALIZADO",M4955="PENDENTE"),AND(ISNUMBER(R4955),R4955=TODAY())),"ATENÇÃO",IF(N(K4955)=0,"PENDENTE","EM ANDAMENTO"))))))</f>
        <v/>
      </c>
      <c r="C4955" s="3">
        <f>IF(D4955="","",IF(V4955=0,"🟢 OK",IF(D4955&lt;corte,"⚪ HISTÓRICO (sem baixa)",IF(AND(ISNUMBER(R4955),R4955&lt;TODAY()),"🔴 PRAZO VENCIDO",IF(AND(OR(N4955="PENDENTE",N4955="PARCIAL"),D4955&lt;TODAY()-1),"🔴 EMBARQUE ATRASADO",IF(AND(N4955="REALIZADO",M4955="PENDENTE"),"🟡 EMBARCADO SEM FATURAR",IF(AND(P4955&lt;&gt;"",S4955="",OR(Q4955="",R4955="")),"🟡 PENDÊNCIA SEM RESPONSÁVEL/PRAZO",IF(AND(ISNUMBER(R4955),R4955=TODAY()),"🟡 VENCE HOJE",IF(AND(P4955&lt;&gt;"",S4955=""),"🟡 PENDÊNCIA ABERTA",IF(AND(N(J4955)&gt;0,N(K4955)&lt;J4955),"🟡 FALTA EXECUTAR",IF(OR(M4955="PENDENTE",M4955="PARCIAL"),"🟡 FATURAMENTO PENDENTE","🟡 EMBARQUE PENDENTE")))))))))))</f>
        <v/>
      </c>
      <c r="D4955" s="4" t="n"/>
      <c r="E4955" s="5" t="n"/>
      <c r="F4955" s="5" t="n"/>
      <c r="G4955" s="5" t="n"/>
      <c r="H4955" s="5" t="n"/>
      <c r="I4955" s="5" t="n"/>
      <c r="J4955" s="6" t="n"/>
      <c r="K4955" s="6" t="n"/>
      <c r="L4955" s="7">
        <f>IF(OR(D4955="",N(J4955)=0),"",MIN(1,N(K4955)/J4955))</f>
        <v/>
      </c>
      <c r="M4955" s="5" t="n"/>
      <c r="N4955" s="5" t="n"/>
      <c r="O4955" s="5" t="n"/>
      <c r="P4955" s="5" t="n"/>
      <c r="Q4955" s="5" t="n"/>
      <c r="R4955" s="4" t="n"/>
      <c r="S4955" s="4" t="n"/>
      <c r="T4955" s="5" t="n"/>
      <c r="U4955" s="8">
        <f>IF(AND(V4955=1,D4955&lt;&gt;""),IF(D4955&gt;=corte,TODAY()-D4955,""),"")</f>
        <v/>
      </c>
      <c r="V4955" s="8">
        <f>IF(D4955="",0,IF(OR(AND(P4955&lt;&gt;"",S4955=""),AND(N(J4955)&gt;0,N(K4955)&lt;J4955),OR(M4955="PENDENTE",M4955="PARCIAL"),OR(N4955="PENDENTE",N4955="PARCIAL")),1,0))</f>
        <v/>
      </c>
      <c r="W4955" s="8">
        <f>IF(AND(V4955=1,D4955&lt;&gt;""),IF(D4955&gt;=corte,(B4955="CRÍTICO")*1E9+(100000-D4955)*10000+10000-ROW(),""),"")</f>
        <v/>
      </c>
      <c r="X4955" s="8">
        <f>IF(AND(V4955=1,D4955=pas_data,E4955=pas_turno),10000-ROW(),"")</f>
        <v/>
      </c>
    </row>
    <row r="4956">
      <c r="A4956" s="3">
        <f>IF(D4956="","","TT-"&amp;TEXT(ROW()-1,"00000"))</f>
        <v/>
      </c>
      <c r="B4956" s="3">
        <f>IF(D4956="","",IF(V4956=0,"CONCLUÍDO",IF(D4956&lt;corte,"HISTÓRICO",IF(OR(AND(ISNUMBER(R4956),R4956&lt;TODAY()),AND(OR(N4956="PENDENTE",N4956="PARCIAL"),D4956&lt;TODAY()-1)),"CRÍTICO",IF(OR(AND(P4956&lt;&gt;"",S4956=""),AND(N4956="REALIZADO",M4956="PENDENTE"),AND(ISNUMBER(R4956),R4956=TODAY())),"ATENÇÃO",IF(N(K4956)=0,"PENDENTE","EM ANDAMENTO"))))))</f>
        <v/>
      </c>
      <c r="C4956" s="3">
        <f>IF(D4956="","",IF(V4956=0,"🟢 OK",IF(D4956&lt;corte,"⚪ HISTÓRICO (sem baixa)",IF(AND(ISNUMBER(R4956),R4956&lt;TODAY()),"🔴 PRAZO VENCIDO",IF(AND(OR(N4956="PENDENTE",N4956="PARCIAL"),D4956&lt;TODAY()-1),"🔴 EMBARQUE ATRASADO",IF(AND(N4956="REALIZADO",M4956="PENDENTE"),"🟡 EMBARCADO SEM FATURAR",IF(AND(P4956&lt;&gt;"",S4956="",OR(Q4956="",R4956="")),"🟡 PENDÊNCIA SEM RESPONSÁVEL/PRAZO",IF(AND(ISNUMBER(R4956),R4956=TODAY()),"🟡 VENCE HOJE",IF(AND(P4956&lt;&gt;"",S4956=""),"🟡 PENDÊNCIA ABERTA",IF(AND(N(J4956)&gt;0,N(K4956)&lt;J4956),"🟡 FALTA EXECUTAR",IF(OR(M4956="PENDENTE",M4956="PARCIAL"),"🟡 FATURAMENTO PENDENTE","🟡 EMBARQUE PENDENTE")))))))))))</f>
        <v/>
      </c>
      <c r="D4956" s="4" t="n"/>
      <c r="E4956" s="5" t="n"/>
      <c r="F4956" s="5" t="n"/>
      <c r="G4956" s="5" t="n"/>
      <c r="H4956" s="5" t="n"/>
      <c r="I4956" s="5" t="n"/>
      <c r="J4956" s="6" t="n"/>
      <c r="K4956" s="6" t="n"/>
      <c r="L4956" s="7">
        <f>IF(OR(D4956="",N(J4956)=0),"",MIN(1,N(K4956)/J4956))</f>
        <v/>
      </c>
      <c r="M4956" s="5" t="n"/>
      <c r="N4956" s="5" t="n"/>
      <c r="O4956" s="5" t="n"/>
      <c r="P4956" s="5" t="n"/>
      <c r="Q4956" s="5" t="n"/>
      <c r="R4956" s="4" t="n"/>
      <c r="S4956" s="4" t="n"/>
      <c r="T4956" s="5" t="n"/>
      <c r="U4956" s="8">
        <f>IF(AND(V4956=1,D4956&lt;&gt;""),IF(D4956&gt;=corte,TODAY()-D4956,""),"")</f>
        <v/>
      </c>
      <c r="V4956" s="8">
        <f>IF(D4956="",0,IF(OR(AND(P4956&lt;&gt;"",S4956=""),AND(N(J4956)&gt;0,N(K4956)&lt;J4956),OR(M4956="PENDENTE",M4956="PARCIAL"),OR(N4956="PENDENTE",N4956="PARCIAL")),1,0))</f>
        <v/>
      </c>
      <c r="W4956" s="8">
        <f>IF(AND(V4956=1,D4956&lt;&gt;""),IF(D4956&gt;=corte,(B4956="CRÍTICO")*1E9+(100000-D4956)*10000+10000-ROW(),""),"")</f>
        <v/>
      </c>
      <c r="X4956" s="8">
        <f>IF(AND(V4956=1,D4956=pas_data,E4956=pas_turno),10000-ROW(),"")</f>
        <v/>
      </c>
    </row>
    <row r="4957">
      <c r="A4957" s="3">
        <f>IF(D4957="","","TT-"&amp;TEXT(ROW()-1,"00000"))</f>
        <v/>
      </c>
      <c r="B4957" s="3">
        <f>IF(D4957="","",IF(V4957=0,"CONCLUÍDO",IF(D4957&lt;corte,"HISTÓRICO",IF(OR(AND(ISNUMBER(R4957),R4957&lt;TODAY()),AND(OR(N4957="PENDENTE",N4957="PARCIAL"),D4957&lt;TODAY()-1)),"CRÍTICO",IF(OR(AND(P4957&lt;&gt;"",S4957=""),AND(N4957="REALIZADO",M4957="PENDENTE"),AND(ISNUMBER(R4957),R4957=TODAY())),"ATENÇÃO",IF(N(K4957)=0,"PENDENTE","EM ANDAMENTO"))))))</f>
        <v/>
      </c>
      <c r="C4957" s="3">
        <f>IF(D4957="","",IF(V4957=0,"🟢 OK",IF(D4957&lt;corte,"⚪ HISTÓRICO (sem baixa)",IF(AND(ISNUMBER(R4957),R4957&lt;TODAY()),"🔴 PRAZO VENCIDO",IF(AND(OR(N4957="PENDENTE",N4957="PARCIAL"),D4957&lt;TODAY()-1),"🔴 EMBARQUE ATRASADO",IF(AND(N4957="REALIZADO",M4957="PENDENTE"),"🟡 EMBARCADO SEM FATURAR",IF(AND(P4957&lt;&gt;"",S4957="",OR(Q4957="",R4957="")),"🟡 PENDÊNCIA SEM RESPONSÁVEL/PRAZO",IF(AND(ISNUMBER(R4957),R4957=TODAY()),"🟡 VENCE HOJE",IF(AND(P4957&lt;&gt;"",S4957=""),"🟡 PENDÊNCIA ABERTA",IF(AND(N(J4957)&gt;0,N(K4957)&lt;J4957),"🟡 FALTA EXECUTAR",IF(OR(M4957="PENDENTE",M4957="PARCIAL"),"🟡 FATURAMENTO PENDENTE","🟡 EMBARQUE PENDENTE")))))))))))</f>
        <v/>
      </c>
      <c r="D4957" s="4" t="n"/>
      <c r="E4957" s="5" t="n"/>
      <c r="F4957" s="5" t="n"/>
      <c r="G4957" s="5" t="n"/>
      <c r="H4957" s="5" t="n"/>
      <c r="I4957" s="5" t="n"/>
      <c r="J4957" s="6" t="n"/>
      <c r="K4957" s="6" t="n"/>
      <c r="L4957" s="7">
        <f>IF(OR(D4957="",N(J4957)=0),"",MIN(1,N(K4957)/J4957))</f>
        <v/>
      </c>
      <c r="M4957" s="5" t="n"/>
      <c r="N4957" s="5" t="n"/>
      <c r="O4957" s="5" t="n"/>
      <c r="P4957" s="5" t="n"/>
      <c r="Q4957" s="5" t="n"/>
      <c r="R4957" s="4" t="n"/>
      <c r="S4957" s="4" t="n"/>
      <c r="T4957" s="5" t="n"/>
      <c r="U4957" s="8">
        <f>IF(AND(V4957=1,D4957&lt;&gt;""),IF(D4957&gt;=corte,TODAY()-D4957,""),"")</f>
        <v/>
      </c>
      <c r="V4957" s="8">
        <f>IF(D4957="",0,IF(OR(AND(P4957&lt;&gt;"",S4957=""),AND(N(J4957)&gt;0,N(K4957)&lt;J4957),OR(M4957="PENDENTE",M4957="PARCIAL"),OR(N4957="PENDENTE",N4957="PARCIAL")),1,0))</f>
        <v/>
      </c>
      <c r="W4957" s="8">
        <f>IF(AND(V4957=1,D4957&lt;&gt;""),IF(D4957&gt;=corte,(B4957="CRÍTICO")*1E9+(100000-D4957)*10000+10000-ROW(),""),"")</f>
        <v/>
      </c>
      <c r="X4957" s="8">
        <f>IF(AND(V4957=1,D4957=pas_data,E4957=pas_turno),10000-ROW(),"")</f>
        <v/>
      </c>
    </row>
    <row r="4958">
      <c r="A4958" s="3">
        <f>IF(D4958="","","TT-"&amp;TEXT(ROW()-1,"00000"))</f>
        <v/>
      </c>
      <c r="B4958" s="3">
        <f>IF(D4958="","",IF(V4958=0,"CONCLUÍDO",IF(D4958&lt;corte,"HISTÓRICO",IF(OR(AND(ISNUMBER(R4958),R4958&lt;TODAY()),AND(OR(N4958="PENDENTE",N4958="PARCIAL"),D4958&lt;TODAY()-1)),"CRÍTICO",IF(OR(AND(P4958&lt;&gt;"",S4958=""),AND(N4958="REALIZADO",M4958="PENDENTE"),AND(ISNUMBER(R4958),R4958=TODAY())),"ATENÇÃO",IF(N(K4958)=0,"PENDENTE","EM ANDAMENTO"))))))</f>
        <v/>
      </c>
      <c r="C4958" s="3">
        <f>IF(D4958="","",IF(V4958=0,"🟢 OK",IF(D4958&lt;corte,"⚪ HISTÓRICO (sem baixa)",IF(AND(ISNUMBER(R4958),R4958&lt;TODAY()),"🔴 PRAZO VENCIDO",IF(AND(OR(N4958="PENDENTE",N4958="PARCIAL"),D4958&lt;TODAY()-1),"🔴 EMBARQUE ATRASADO",IF(AND(N4958="REALIZADO",M4958="PENDENTE"),"🟡 EMBARCADO SEM FATURAR",IF(AND(P4958&lt;&gt;"",S4958="",OR(Q4958="",R4958="")),"🟡 PENDÊNCIA SEM RESPONSÁVEL/PRAZO",IF(AND(ISNUMBER(R4958),R4958=TODAY()),"🟡 VENCE HOJE",IF(AND(P4958&lt;&gt;"",S4958=""),"🟡 PENDÊNCIA ABERTA",IF(AND(N(J4958)&gt;0,N(K4958)&lt;J4958),"🟡 FALTA EXECUTAR",IF(OR(M4958="PENDENTE",M4958="PARCIAL"),"🟡 FATURAMENTO PENDENTE","🟡 EMBARQUE PENDENTE")))))))))))</f>
        <v/>
      </c>
      <c r="D4958" s="4" t="n"/>
      <c r="E4958" s="5" t="n"/>
      <c r="F4958" s="5" t="n"/>
      <c r="G4958" s="5" t="n"/>
      <c r="H4958" s="5" t="n"/>
      <c r="I4958" s="5" t="n"/>
      <c r="J4958" s="6" t="n"/>
      <c r="K4958" s="6" t="n"/>
      <c r="L4958" s="7">
        <f>IF(OR(D4958="",N(J4958)=0),"",MIN(1,N(K4958)/J4958))</f>
        <v/>
      </c>
      <c r="M4958" s="5" t="n"/>
      <c r="N4958" s="5" t="n"/>
      <c r="O4958" s="5" t="n"/>
      <c r="P4958" s="5" t="n"/>
      <c r="Q4958" s="5" t="n"/>
      <c r="R4958" s="4" t="n"/>
      <c r="S4958" s="4" t="n"/>
      <c r="T4958" s="5" t="n"/>
      <c r="U4958" s="8">
        <f>IF(AND(V4958=1,D4958&lt;&gt;""),IF(D4958&gt;=corte,TODAY()-D4958,""),"")</f>
        <v/>
      </c>
      <c r="V4958" s="8">
        <f>IF(D4958="",0,IF(OR(AND(P4958&lt;&gt;"",S4958=""),AND(N(J4958)&gt;0,N(K4958)&lt;J4958),OR(M4958="PENDENTE",M4958="PARCIAL"),OR(N4958="PENDENTE",N4958="PARCIAL")),1,0))</f>
        <v/>
      </c>
      <c r="W4958" s="8">
        <f>IF(AND(V4958=1,D4958&lt;&gt;""),IF(D4958&gt;=corte,(B4958="CRÍTICO")*1E9+(100000-D4958)*10000+10000-ROW(),""),"")</f>
        <v/>
      </c>
      <c r="X4958" s="8">
        <f>IF(AND(V4958=1,D4958=pas_data,E4958=pas_turno),10000-ROW(),"")</f>
        <v/>
      </c>
    </row>
    <row r="4959">
      <c r="A4959" s="3">
        <f>IF(D4959="","","TT-"&amp;TEXT(ROW()-1,"00000"))</f>
        <v/>
      </c>
      <c r="B4959" s="3">
        <f>IF(D4959="","",IF(V4959=0,"CONCLUÍDO",IF(D4959&lt;corte,"HISTÓRICO",IF(OR(AND(ISNUMBER(R4959),R4959&lt;TODAY()),AND(OR(N4959="PENDENTE",N4959="PARCIAL"),D4959&lt;TODAY()-1)),"CRÍTICO",IF(OR(AND(P4959&lt;&gt;"",S4959=""),AND(N4959="REALIZADO",M4959="PENDENTE"),AND(ISNUMBER(R4959),R4959=TODAY())),"ATENÇÃO",IF(N(K4959)=0,"PENDENTE","EM ANDAMENTO"))))))</f>
        <v/>
      </c>
      <c r="C4959" s="3">
        <f>IF(D4959="","",IF(V4959=0,"🟢 OK",IF(D4959&lt;corte,"⚪ HISTÓRICO (sem baixa)",IF(AND(ISNUMBER(R4959),R4959&lt;TODAY()),"🔴 PRAZO VENCIDO",IF(AND(OR(N4959="PENDENTE",N4959="PARCIAL"),D4959&lt;TODAY()-1),"🔴 EMBARQUE ATRASADO",IF(AND(N4959="REALIZADO",M4959="PENDENTE"),"🟡 EMBARCADO SEM FATURAR",IF(AND(P4959&lt;&gt;"",S4959="",OR(Q4959="",R4959="")),"🟡 PENDÊNCIA SEM RESPONSÁVEL/PRAZO",IF(AND(ISNUMBER(R4959),R4959=TODAY()),"🟡 VENCE HOJE",IF(AND(P4959&lt;&gt;"",S4959=""),"🟡 PENDÊNCIA ABERTA",IF(AND(N(J4959)&gt;0,N(K4959)&lt;J4959),"🟡 FALTA EXECUTAR",IF(OR(M4959="PENDENTE",M4959="PARCIAL"),"🟡 FATURAMENTO PENDENTE","🟡 EMBARQUE PENDENTE")))))))))))</f>
        <v/>
      </c>
      <c r="D4959" s="4" t="n"/>
      <c r="E4959" s="5" t="n"/>
      <c r="F4959" s="5" t="n"/>
      <c r="G4959" s="5" t="n"/>
      <c r="H4959" s="5" t="n"/>
      <c r="I4959" s="5" t="n"/>
      <c r="J4959" s="6" t="n"/>
      <c r="K4959" s="6" t="n"/>
      <c r="L4959" s="7">
        <f>IF(OR(D4959="",N(J4959)=0),"",MIN(1,N(K4959)/J4959))</f>
        <v/>
      </c>
      <c r="M4959" s="5" t="n"/>
      <c r="N4959" s="5" t="n"/>
      <c r="O4959" s="5" t="n"/>
      <c r="P4959" s="5" t="n"/>
      <c r="Q4959" s="5" t="n"/>
      <c r="R4959" s="4" t="n"/>
      <c r="S4959" s="4" t="n"/>
      <c r="T4959" s="5" t="n"/>
      <c r="U4959" s="8">
        <f>IF(AND(V4959=1,D4959&lt;&gt;""),IF(D4959&gt;=corte,TODAY()-D4959,""),"")</f>
        <v/>
      </c>
      <c r="V4959" s="8">
        <f>IF(D4959="",0,IF(OR(AND(P4959&lt;&gt;"",S4959=""),AND(N(J4959)&gt;0,N(K4959)&lt;J4959),OR(M4959="PENDENTE",M4959="PARCIAL"),OR(N4959="PENDENTE",N4959="PARCIAL")),1,0))</f>
        <v/>
      </c>
      <c r="W4959" s="8">
        <f>IF(AND(V4959=1,D4959&lt;&gt;""),IF(D4959&gt;=corte,(B4959="CRÍTICO")*1E9+(100000-D4959)*10000+10000-ROW(),""),"")</f>
        <v/>
      </c>
      <c r="X4959" s="8">
        <f>IF(AND(V4959=1,D4959=pas_data,E4959=pas_turno),10000-ROW(),"")</f>
        <v/>
      </c>
    </row>
    <row r="4960">
      <c r="A4960" s="3">
        <f>IF(D4960="","","TT-"&amp;TEXT(ROW()-1,"00000"))</f>
        <v/>
      </c>
      <c r="B4960" s="3">
        <f>IF(D4960="","",IF(V4960=0,"CONCLUÍDO",IF(D4960&lt;corte,"HISTÓRICO",IF(OR(AND(ISNUMBER(R4960),R4960&lt;TODAY()),AND(OR(N4960="PENDENTE",N4960="PARCIAL"),D4960&lt;TODAY()-1)),"CRÍTICO",IF(OR(AND(P4960&lt;&gt;"",S4960=""),AND(N4960="REALIZADO",M4960="PENDENTE"),AND(ISNUMBER(R4960),R4960=TODAY())),"ATENÇÃO",IF(N(K4960)=0,"PENDENTE","EM ANDAMENTO"))))))</f>
        <v/>
      </c>
      <c r="C4960" s="3">
        <f>IF(D4960="","",IF(V4960=0,"🟢 OK",IF(D4960&lt;corte,"⚪ HISTÓRICO (sem baixa)",IF(AND(ISNUMBER(R4960),R4960&lt;TODAY()),"🔴 PRAZO VENCIDO",IF(AND(OR(N4960="PENDENTE",N4960="PARCIAL"),D4960&lt;TODAY()-1),"🔴 EMBARQUE ATRASADO",IF(AND(N4960="REALIZADO",M4960="PENDENTE"),"🟡 EMBARCADO SEM FATURAR",IF(AND(P4960&lt;&gt;"",S4960="",OR(Q4960="",R4960="")),"🟡 PENDÊNCIA SEM RESPONSÁVEL/PRAZO",IF(AND(ISNUMBER(R4960),R4960=TODAY()),"🟡 VENCE HOJE",IF(AND(P4960&lt;&gt;"",S4960=""),"🟡 PENDÊNCIA ABERTA",IF(AND(N(J4960)&gt;0,N(K4960)&lt;J4960),"🟡 FALTA EXECUTAR",IF(OR(M4960="PENDENTE",M4960="PARCIAL"),"🟡 FATURAMENTO PENDENTE","🟡 EMBARQUE PENDENTE")))))))))))</f>
        <v/>
      </c>
      <c r="D4960" s="4" t="n"/>
      <c r="E4960" s="5" t="n"/>
      <c r="F4960" s="5" t="n"/>
      <c r="G4960" s="5" t="n"/>
      <c r="H4960" s="5" t="n"/>
      <c r="I4960" s="5" t="n"/>
      <c r="J4960" s="6" t="n"/>
      <c r="K4960" s="6" t="n"/>
      <c r="L4960" s="7">
        <f>IF(OR(D4960="",N(J4960)=0),"",MIN(1,N(K4960)/J4960))</f>
        <v/>
      </c>
      <c r="M4960" s="5" t="n"/>
      <c r="N4960" s="5" t="n"/>
      <c r="O4960" s="5" t="n"/>
      <c r="P4960" s="5" t="n"/>
      <c r="Q4960" s="5" t="n"/>
      <c r="R4960" s="4" t="n"/>
      <c r="S4960" s="4" t="n"/>
      <c r="T4960" s="5" t="n"/>
      <c r="U4960" s="8">
        <f>IF(AND(V4960=1,D4960&lt;&gt;""),IF(D4960&gt;=corte,TODAY()-D4960,""),"")</f>
        <v/>
      </c>
      <c r="V4960" s="8">
        <f>IF(D4960="",0,IF(OR(AND(P4960&lt;&gt;"",S4960=""),AND(N(J4960)&gt;0,N(K4960)&lt;J4960),OR(M4960="PENDENTE",M4960="PARCIAL"),OR(N4960="PENDENTE",N4960="PARCIAL")),1,0))</f>
        <v/>
      </c>
      <c r="W4960" s="8">
        <f>IF(AND(V4960=1,D4960&lt;&gt;""),IF(D4960&gt;=corte,(B4960="CRÍTICO")*1E9+(100000-D4960)*10000+10000-ROW(),""),"")</f>
        <v/>
      </c>
      <c r="X4960" s="8">
        <f>IF(AND(V4960=1,D4960=pas_data,E4960=pas_turno),10000-ROW(),"")</f>
        <v/>
      </c>
    </row>
    <row r="4961">
      <c r="A4961" s="3">
        <f>IF(D4961="","","TT-"&amp;TEXT(ROW()-1,"00000"))</f>
        <v/>
      </c>
      <c r="B4961" s="3">
        <f>IF(D4961="","",IF(V4961=0,"CONCLUÍDO",IF(D4961&lt;corte,"HISTÓRICO",IF(OR(AND(ISNUMBER(R4961),R4961&lt;TODAY()),AND(OR(N4961="PENDENTE",N4961="PARCIAL"),D4961&lt;TODAY()-1)),"CRÍTICO",IF(OR(AND(P4961&lt;&gt;"",S4961=""),AND(N4961="REALIZADO",M4961="PENDENTE"),AND(ISNUMBER(R4961),R4961=TODAY())),"ATENÇÃO",IF(N(K4961)=0,"PENDENTE","EM ANDAMENTO"))))))</f>
        <v/>
      </c>
      <c r="C4961" s="3">
        <f>IF(D4961="","",IF(V4961=0,"🟢 OK",IF(D4961&lt;corte,"⚪ HISTÓRICO (sem baixa)",IF(AND(ISNUMBER(R4961),R4961&lt;TODAY()),"🔴 PRAZO VENCIDO",IF(AND(OR(N4961="PENDENTE",N4961="PARCIAL"),D4961&lt;TODAY()-1),"🔴 EMBARQUE ATRASADO",IF(AND(N4961="REALIZADO",M4961="PENDENTE"),"🟡 EMBARCADO SEM FATURAR",IF(AND(P4961&lt;&gt;"",S4961="",OR(Q4961="",R4961="")),"🟡 PENDÊNCIA SEM RESPONSÁVEL/PRAZO",IF(AND(ISNUMBER(R4961),R4961=TODAY()),"🟡 VENCE HOJE",IF(AND(P4961&lt;&gt;"",S4961=""),"🟡 PENDÊNCIA ABERTA",IF(AND(N(J4961)&gt;0,N(K4961)&lt;J4961),"🟡 FALTA EXECUTAR",IF(OR(M4961="PENDENTE",M4961="PARCIAL"),"🟡 FATURAMENTO PENDENTE","🟡 EMBARQUE PENDENTE")))))))))))</f>
        <v/>
      </c>
      <c r="D4961" s="4" t="n"/>
      <c r="E4961" s="5" t="n"/>
      <c r="F4961" s="5" t="n"/>
      <c r="G4961" s="5" t="n"/>
      <c r="H4961" s="5" t="n"/>
      <c r="I4961" s="5" t="n"/>
      <c r="J4961" s="6" t="n"/>
      <c r="K4961" s="6" t="n"/>
      <c r="L4961" s="7">
        <f>IF(OR(D4961="",N(J4961)=0),"",MIN(1,N(K4961)/J4961))</f>
        <v/>
      </c>
      <c r="M4961" s="5" t="n"/>
      <c r="N4961" s="5" t="n"/>
      <c r="O4961" s="5" t="n"/>
      <c r="P4961" s="5" t="n"/>
      <c r="Q4961" s="5" t="n"/>
      <c r="R4961" s="4" t="n"/>
      <c r="S4961" s="4" t="n"/>
      <c r="T4961" s="5" t="n"/>
      <c r="U4961" s="8">
        <f>IF(AND(V4961=1,D4961&lt;&gt;""),IF(D4961&gt;=corte,TODAY()-D4961,""),"")</f>
        <v/>
      </c>
      <c r="V4961" s="8">
        <f>IF(D4961="",0,IF(OR(AND(P4961&lt;&gt;"",S4961=""),AND(N(J4961)&gt;0,N(K4961)&lt;J4961),OR(M4961="PENDENTE",M4961="PARCIAL"),OR(N4961="PENDENTE",N4961="PARCIAL")),1,0))</f>
        <v/>
      </c>
      <c r="W4961" s="8">
        <f>IF(AND(V4961=1,D4961&lt;&gt;""),IF(D4961&gt;=corte,(B4961="CRÍTICO")*1E9+(100000-D4961)*10000+10000-ROW(),""),"")</f>
        <v/>
      </c>
      <c r="X4961" s="8">
        <f>IF(AND(V4961=1,D4961=pas_data,E4961=pas_turno),10000-ROW(),"")</f>
        <v/>
      </c>
    </row>
    <row r="4962">
      <c r="A4962" s="3">
        <f>IF(D4962="","","TT-"&amp;TEXT(ROW()-1,"00000"))</f>
        <v/>
      </c>
      <c r="B4962" s="3">
        <f>IF(D4962="","",IF(V4962=0,"CONCLUÍDO",IF(D4962&lt;corte,"HISTÓRICO",IF(OR(AND(ISNUMBER(R4962),R4962&lt;TODAY()),AND(OR(N4962="PENDENTE",N4962="PARCIAL"),D4962&lt;TODAY()-1)),"CRÍTICO",IF(OR(AND(P4962&lt;&gt;"",S4962=""),AND(N4962="REALIZADO",M4962="PENDENTE"),AND(ISNUMBER(R4962),R4962=TODAY())),"ATENÇÃO",IF(N(K4962)=0,"PENDENTE","EM ANDAMENTO"))))))</f>
        <v/>
      </c>
      <c r="C4962" s="3">
        <f>IF(D4962="","",IF(V4962=0,"🟢 OK",IF(D4962&lt;corte,"⚪ HISTÓRICO (sem baixa)",IF(AND(ISNUMBER(R4962),R4962&lt;TODAY()),"🔴 PRAZO VENCIDO",IF(AND(OR(N4962="PENDENTE",N4962="PARCIAL"),D4962&lt;TODAY()-1),"🔴 EMBARQUE ATRASADO",IF(AND(N4962="REALIZADO",M4962="PENDENTE"),"🟡 EMBARCADO SEM FATURAR",IF(AND(P4962&lt;&gt;"",S4962="",OR(Q4962="",R4962="")),"🟡 PENDÊNCIA SEM RESPONSÁVEL/PRAZO",IF(AND(ISNUMBER(R4962),R4962=TODAY()),"🟡 VENCE HOJE",IF(AND(P4962&lt;&gt;"",S4962=""),"🟡 PENDÊNCIA ABERTA",IF(AND(N(J4962)&gt;0,N(K4962)&lt;J4962),"🟡 FALTA EXECUTAR",IF(OR(M4962="PENDENTE",M4962="PARCIAL"),"🟡 FATURAMENTO PENDENTE","🟡 EMBARQUE PENDENTE")))))))))))</f>
        <v/>
      </c>
      <c r="D4962" s="4" t="n"/>
      <c r="E4962" s="5" t="n"/>
      <c r="F4962" s="5" t="n"/>
      <c r="G4962" s="5" t="n"/>
      <c r="H4962" s="5" t="n"/>
      <c r="I4962" s="5" t="n"/>
      <c r="J4962" s="6" t="n"/>
      <c r="K4962" s="6" t="n"/>
      <c r="L4962" s="7">
        <f>IF(OR(D4962="",N(J4962)=0),"",MIN(1,N(K4962)/J4962))</f>
        <v/>
      </c>
      <c r="M4962" s="5" t="n"/>
      <c r="N4962" s="5" t="n"/>
      <c r="O4962" s="5" t="n"/>
      <c r="P4962" s="5" t="n"/>
      <c r="Q4962" s="5" t="n"/>
      <c r="R4962" s="4" t="n"/>
      <c r="S4962" s="4" t="n"/>
      <c r="T4962" s="5" t="n"/>
      <c r="U4962" s="8">
        <f>IF(AND(V4962=1,D4962&lt;&gt;""),IF(D4962&gt;=corte,TODAY()-D4962,""),"")</f>
        <v/>
      </c>
      <c r="V4962" s="8">
        <f>IF(D4962="",0,IF(OR(AND(P4962&lt;&gt;"",S4962=""),AND(N(J4962)&gt;0,N(K4962)&lt;J4962),OR(M4962="PENDENTE",M4962="PARCIAL"),OR(N4962="PENDENTE",N4962="PARCIAL")),1,0))</f>
        <v/>
      </c>
      <c r="W4962" s="8">
        <f>IF(AND(V4962=1,D4962&lt;&gt;""),IF(D4962&gt;=corte,(B4962="CRÍTICO")*1E9+(100000-D4962)*10000+10000-ROW(),""),"")</f>
        <v/>
      </c>
      <c r="X4962" s="8">
        <f>IF(AND(V4962=1,D4962=pas_data,E4962=pas_turno),10000-ROW(),"")</f>
        <v/>
      </c>
    </row>
    <row r="4963">
      <c r="A4963" s="3">
        <f>IF(D4963="","","TT-"&amp;TEXT(ROW()-1,"00000"))</f>
        <v/>
      </c>
      <c r="B4963" s="3">
        <f>IF(D4963="","",IF(V4963=0,"CONCLUÍDO",IF(D4963&lt;corte,"HISTÓRICO",IF(OR(AND(ISNUMBER(R4963),R4963&lt;TODAY()),AND(OR(N4963="PENDENTE",N4963="PARCIAL"),D4963&lt;TODAY()-1)),"CRÍTICO",IF(OR(AND(P4963&lt;&gt;"",S4963=""),AND(N4963="REALIZADO",M4963="PENDENTE"),AND(ISNUMBER(R4963),R4963=TODAY())),"ATENÇÃO",IF(N(K4963)=0,"PENDENTE","EM ANDAMENTO"))))))</f>
        <v/>
      </c>
      <c r="C4963" s="3">
        <f>IF(D4963="","",IF(V4963=0,"🟢 OK",IF(D4963&lt;corte,"⚪ HISTÓRICO (sem baixa)",IF(AND(ISNUMBER(R4963),R4963&lt;TODAY()),"🔴 PRAZO VENCIDO",IF(AND(OR(N4963="PENDENTE",N4963="PARCIAL"),D4963&lt;TODAY()-1),"🔴 EMBARQUE ATRASADO",IF(AND(N4963="REALIZADO",M4963="PENDENTE"),"🟡 EMBARCADO SEM FATURAR",IF(AND(P4963&lt;&gt;"",S4963="",OR(Q4963="",R4963="")),"🟡 PENDÊNCIA SEM RESPONSÁVEL/PRAZO",IF(AND(ISNUMBER(R4963),R4963=TODAY()),"🟡 VENCE HOJE",IF(AND(P4963&lt;&gt;"",S4963=""),"🟡 PENDÊNCIA ABERTA",IF(AND(N(J4963)&gt;0,N(K4963)&lt;J4963),"🟡 FALTA EXECUTAR",IF(OR(M4963="PENDENTE",M4963="PARCIAL"),"🟡 FATURAMENTO PENDENTE","🟡 EMBARQUE PENDENTE")))))))))))</f>
        <v/>
      </c>
      <c r="D4963" s="4" t="n"/>
      <c r="E4963" s="5" t="n"/>
      <c r="F4963" s="5" t="n"/>
      <c r="G4963" s="5" t="n"/>
      <c r="H4963" s="5" t="n"/>
      <c r="I4963" s="5" t="n"/>
      <c r="J4963" s="6" t="n"/>
      <c r="K4963" s="6" t="n"/>
      <c r="L4963" s="7">
        <f>IF(OR(D4963="",N(J4963)=0),"",MIN(1,N(K4963)/J4963))</f>
        <v/>
      </c>
      <c r="M4963" s="5" t="n"/>
      <c r="N4963" s="5" t="n"/>
      <c r="O4963" s="5" t="n"/>
      <c r="P4963" s="5" t="n"/>
      <c r="Q4963" s="5" t="n"/>
      <c r="R4963" s="4" t="n"/>
      <c r="S4963" s="4" t="n"/>
      <c r="T4963" s="5" t="n"/>
      <c r="U4963" s="8">
        <f>IF(AND(V4963=1,D4963&lt;&gt;""),IF(D4963&gt;=corte,TODAY()-D4963,""),"")</f>
        <v/>
      </c>
      <c r="V4963" s="8">
        <f>IF(D4963="",0,IF(OR(AND(P4963&lt;&gt;"",S4963=""),AND(N(J4963)&gt;0,N(K4963)&lt;J4963),OR(M4963="PENDENTE",M4963="PARCIAL"),OR(N4963="PENDENTE",N4963="PARCIAL")),1,0))</f>
        <v/>
      </c>
      <c r="W4963" s="8">
        <f>IF(AND(V4963=1,D4963&lt;&gt;""),IF(D4963&gt;=corte,(B4963="CRÍTICO")*1E9+(100000-D4963)*10000+10000-ROW(),""),"")</f>
        <v/>
      </c>
      <c r="X4963" s="8">
        <f>IF(AND(V4963=1,D4963=pas_data,E4963=pas_turno),10000-ROW(),"")</f>
        <v/>
      </c>
    </row>
    <row r="4964">
      <c r="A4964" s="3">
        <f>IF(D4964="","","TT-"&amp;TEXT(ROW()-1,"00000"))</f>
        <v/>
      </c>
      <c r="B4964" s="3">
        <f>IF(D4964="","",IF(V4964=0,"CONCLUÍDO",IF(D4964&lt;corte,"HISTÓRICO",IF(OR(AND(ISNUMBER(R4964),R4964&lt;TODAY()),AND(OR(N4964="PENDENTE",N4964="PARCIAL"),D4964&lt;TODAY()-1)),"CRÍTICO",IF(OR(AND(P4964&lt;&gt;"",S4964=""),AND(N4964="REALIZADO",M4964="PENDENTE"),AND(ISNUMBER(R4964),R4964=TODAY())),"ATENÇÃO",IF(N(K4964)=0,"PENDENTE","EM ANDAMENTO"))))))</f>
        <v/>
      </c>
      <c r="C4964" s="3">
        <f>IF(D4964="","",IF(V4964=0,"🟢 OK",IF(D4964&lt;corte,"⚪ HISTÓRICO (sem baixa)",IF(AND(ISNUMBER(R4964),R4964&lt;TODAY()),"🔴 PRAZO VENCIDO",IF(AND(OR(N4964="PENDENTE",N4964="PARCIAL"),D4964&lt;TODAY()-1),"🔴 EMBARQUE ATRASADO",IF(AND(N4964="REALIZADO",M4964="PENDENTE"),"🟡 EMBARCADO SEM FATURAR",IF(AND(P4964&lt;&gt;"",S4964="",OR(Q4964="",R4964="")),"🟡 PENDÊNCIA SEM RESPONSÁVEL/PRAZO",IF(AND(ISNUMBER(R4964),R4964=TODAY()),"🟡 VENCE HOJE",IF(AND(P4964&lt;&gt;"",S4964=""),"🟡 PENDÊNCIA ABERTA",IF(AND(N(J4964)&gt;0,N(K4964)&lt;J4964),"🟡 FALTA EXECUTAR",IF(OR(M4964="PENDENTE",M4964="PARCIAL"),"🟡 FATURAMENTO PENDENTE","🟡 EMBARQUE PENDENTE")))))))))))</f>
        <v/>
      </c>
      <c r="D4964" s="4" t="n"/>
      <c r="E4964" s="5" t="n"/>
      <c r="F4964" s="5" t="n"/>
      <c r="G4964" s="5" t="n"/>
      <c r="H4964" s="5" t="n"/>
      <c r="I4964" s="5" t="n"/>
      <c r="J4964" s="6" t="n"/>
      <c r="K4964" s="6" t="n"/>
      <c r="L4964" s="7">
        <f>IF(OR(D4964="",N(J4964)=0),"",MIN(1,N(K4964)/J4964))</f>
        <v/>
      </c>
      <c r="M4964" s="5" t="n"/>
      <c r="N4964" s="5" t="n"/>
      <c r="O4964" s="5" t="n"/>
      <c r="P4964" s="5" t="n"/>
      <c r="Q4964" s="5" t="n"/>
      <c r="R4964" s="4" t="n"/>
      <c r="S4964" s="4" t="n"/>
      <c r="T4964" s="5" t="n"/>
      <c r="U4964" s="8">
        <f>IF(AND(V4964=1,D4964&lt;&gt;""),IF(D4964&gt;=corte,TODAY()-D4964,""),"")</f>
        <v/>
      </c>
      <c r="V4964" s="8">
        <f>IF(D4964="",0,IF(OR(AND(P4964&lt;&gt;"",S4964=""),AND(N(J4964)&gt;0,N(K4964)&lt;J4964),OR(M4964="PENDENTE",M4964="PARCIAL"),OR(N4964="PENDENTE",N4964="PARCIAL")),1,0))</f>
        <v/>
      </c>
      <c r="W4964" s="8">
        <f>IF(AND(V4964=1,D4964&lt;&gt;""),IF(D4964&gt;=corte,(B4964="CRÍTICO")*1E9+(100000-D4964)*10000+10000-ROW(),""),"")</f>
        <v/>
      </c>
      <c r="X4964" s="8">
        <f>IF(AND(V4964=1,D4964=pas_data,E4964=pas_turno),10000-ROW(),"")</f>
        <v/>
      </c>
    </row>
    <row r="4965">
      <c r="A4965" s="3">
        <f>IF(D4965="","","TT-"&amp;TEXT(ROW()-1,"00000"))</f>
        <v/>
      </c>
      <c r="B4965" s="3">
        <f>IF(D4965="","",IF(V4965=0,"CONCLUÍDO",IF(D4965&lt;corte,"HISTÓRICO",IF(OR(AND(ISNUMBER(R4965),R4965&lt;TODAY()),AND(OR(N4965="PENDENTE",N4965="PARCIAL"),D4965&lt;TODAY()-1)),"CRÍTICO",IF(OR(AND(P4965&lt;&gt;"",S4965=""),AND(N4965="REALIZADO",M4965="PENDENTE"),AND(ISNUMBER(R4965),R4965=TODAY())),"ATENÇÃO",IF(N(K4965)=0,"PENDENTE","EM ANDAMENTO"))))))</f>
        <v/>
      </c>
      <c r="C4965" s="3">
        <f>IF(D4965="","",IF(V4965=0,"🟢 OK",IF(D4965&lt;corte,"⚪ HISTÓRICO (sem baixa)",IF(AND(ISNUMBER(R4965),R4965&lt;TODAY()),"🔴 PRAZO VENCIDO",IF(AND(OR(N4965="PENDENTE",N4965="PARCIAL"),D4965&lt;TODAY()-1),"🔴 EMBARQUE ATRASADO",IF(AND(N4965="REALIZADO",M4965="PENDENTE"),"🟡 EMBARCADO SEM FATURAR",IF(AND(P4965&lt;&gt;"",S4965="",OR(Q4965="",R4965="")),"🟡 PENDÊNCIA SEM RESPONSÁVEL/PRAZO",IF(AND(ISNUMBER(R4965),R4965=TODAY()),"🟡 VENCE HOJE",IF(AND(P4965&lt;&gt;"",S4965=""),"🟡 PENDÊNCIA ABERTA",IF(AND(N(J4965)&gt;0,N(K4965)&lt;J4965),"🟡 FALTA EXECUTAR",IF(OR(M4965="PENDENTE",M4965="PARCIAL"),"🟡 FATURAMENTO PENDENTE","🟡 EMBARQUE PENDENTE")))))))))))</f>
        <v/>
      </c>
      <c r="D4965" s="4" t="n"/>
      <c r="E4965" s="5" t="n"/>
      <c r="F4965" s="5" t="n"/>
      <c r="G4965" s="5" t="n"/>
      <c r="H4965" s="5" t="n"/>
      <c r="I4965" s="5" t="n"/>
      <c r="J4965" s="6" t="n"/>
      <c r="K4965" s="6" t="n"/>
      <c r="L4965" s="7">
        <f>IF(OR(D4965="",N(J4965)=0),"",MIN(1,N(K4965)/J4965))</f>
        <v/>
      </c>
      <c r="M4965" s="5" t="n"/>
      <c r="N4965" s="5" t="n"/>
      <c r="O4965" s="5" t="n"/>
      <c r="P4965" s="5" t="n"/>
      <c r="Q4965" s="5" t="n"/>
      <c r="R4965" s="4" t="n"/>
      <c r="S4965" s="4" t="n"/>
      <c r="T4965" s="5" t="n"/>
      <c r="U4965" s="8">
        <f>IF(AND(V4965=1,D4965&lt;&gt;""),IF(D4965&gt;=corte,TODAY()-D4965,""),"")</f>
        <v/>
      </c>
      <c r="V4965" s="8">
        <f>IF(D4965="",0,IF(OR(AND(P4965&lt;&gt;"",S4965=""),AND(N(J4965)&gt;0,N(K4965)&lt;J4965),OR(M4965="PENDENTE",M4965="PARCIAL"),OR(N4965="PENDENTE",N4965="PARCIAL")),1,0))</f>
        <v/>
      </c>
      <c r="W4965" s="8">
        <f>IF(AND(V4965=1,D4965&lt;&gt;""),IF(D4965&gt;=corte,(B4965="CRÍTICO")*1E9+(100000-D4965)*10000+10000-ROW(),""),"")</f>
        <v/>
      </c>
      <c r="X4965" s="8">
        <f>IF(AND(V4965=1,D4965=pas_data,E4965=pas_turno),10000-ROW(),"")</f>
        <v/>
      </c>
    </row>
    <row r="4966">
      <c r="A4966" s="3">
        <f>IF(D4966="","","TT-"&amp;TEXT(ROW()-1,"00000"))</f>
        <v/>
      </c>
      <c r="B4966" s="3">
        <f>IF(D4966="","",IF(V4966=0,"CONCLUÍDO",IF(D4966&lt;corte,"HISTÓRICO",IF(OR(AND(ISNUMBER(R4966),R4966&lt;TODAY()),AND(OR(N4966="PENDENTE",N4966="PARCIAL"),D4966&lt;TODAY()-1)),"CRÍTICO",IF(OR(AND(P4966&lt;&gt;"",S4966=""),AND(N4966="REALIZADO",M4966="PENDENTE"),AND(ISNUMBER(R4966),R4966=TODAY())),"ATENÇÃO",IF(N(K4966)=0,"PENDENTE","EM ANDAMENTO"))))))</f>
        <v/>
      </c>
      <c r="C4966" s="3">
        <f>IF(D4966="","",IF(V4966=0,"🟢 OK",IF(D4966&lt;corte,"⚪ HISTÓRICO (sem baixa)",IF(AND(ISNUMBER(R4966),R4966&lt;TODAY()),"🔴 PRAZO VENCIDO",IF(AND(OR(N4966="PENDENTE",N4966="PARCIAL"),D4966&lt;TODAY()-1),"🔴 EMBARQUE ATRASADO",IF(AND(N4966="REALIZADO",M4966="PENDENTE"),"🟡 EMBARCADO SEM FATURAR",IF(AND(P4966&lt;&gt;"",S4966="",OR(Q4966="",R4966="")),"🟡 PENDÊNCIA SEM RESPONSÁVEL/PRAZO",IF(AND(ISNUMBER(R4966),R4966=TODAY()),"🟡 VENCE HOJE",IF(AND(P4966&lt;&gt;"",S4966=""),"🟡 PENDÊNCIA ABERTA",IF(AND(N(J4966)&gt;0,N(K4966)&lt;J4966),"🟡 FALTA EXECUTAR",IF(OR(M4966="PENDENTE",M4966="PARCIAL"),"🟡 FATURAMENTO PENDENTE","🟡 EMBARQUE PENDENTE")))))))))))</f>
        <v/>
      </c>
      <c r="D4966" s="4" t="n"/>
      <c r="E4966" s="5" t="n"/>
      <c r="F4966" s="5" t="n"/>
      <c r="G4966" s="5" t="n"/>
      <c r="H4966" s="5" t="n"/>
      <c r="I4966" s="5" t="n"/>
      <c r="J4966" s="6" t="n"/>
      <c r="K4966" s="6" t="n"/>
      <c r="L4966" s="7">
        <f>IF(OR(D4966="",N(J4966)=0),"",MIN(1,N(K4966)/J4966))</f>
        <v/>
      </c>
      <c r="M4966" s="5" t="n"/>
      <c r="N4966" s="5" t="n"/>
      <c r="O4966" s="5" t="n"/>
      <c r="P4966" s="5" t="n"/>
      <c r="Q4966" s="5" t="n"/>
      <c r="R4966" s="4" t="n"/>
      <c r="S4966" s="4" t="n"/>
      <c r="T4966" s="5" t="n"/>
      <c r="U4966" s="8">
        <f>IF(AND(V4966=1,D4966&lt;&gt;""),IF(D4966&gt;=corte,TODAY()-D4966,""),"")</f>
        <v/>
      </c>
      <c r="V4966" s="8">
        <f>IF(D4966="",0,IF(OR(AND(P4966&lt;&gt;"",S4966=""),AND(N(J4966)&gt;0,N(K4966)&lt;J4966),OR(M4966="PENDENTE",M4966="PARCIAL"),OR(N4966="PENDENTE",N4966="PARCIAL")),1,0))</f>
        <v/>
      </c>
      <c r="W4966" s="8">
        <f>IF(AND(V4966=1,D4966&lt;&gt;""),IF(D4966&gt;=corte,(B4966="CRÍTICO")*1E9+(100000-D4966)*10000+10000-ROW(),""),"")</f>
        <v/>
      </c>
      <c r="X4966" s="8">
        <f>IF(AND(V4966=1,D4966=pas_data,E4966=pas_turno),10000-ROW(),"")</f>
        <v/>
      </c>
    </row>
    <row r="4967">
      <c r="A4967" s="3">
        <f>IF(D4967="","","TT-"&amp;TEXT(ROW()-1,"00000"))</f>
        <v/>
      </c>
      <c r="B4967" s="3">
        <f>IF(D4967="","",IF(V4967=0,"CONCLUÍDO",IF(D4967&lt;corte,"HISTÓRICO",IF(OR(AND(ISNUMBER(R4967),R4967&lt;TODAY()),AND(OR(N4967="PENDENTE",N4967="PARCIAL"),D4967&lt;TODAY()-1)),"CRÍTICO",IF(OR(AND(P4967&lt;&gt;"",S4967=""),AND(N4967="REALIZADO",M4967="PENDENTE"),AND(ISNUMBER(R4967),R4967=TODAY())),"ATENÇÃO",IF(N(K4967)=0,"PENDENTE","EM ANDAMENTO"))))))</f>
        <v/>
      </c>
      <c r="C4967" s="3">
        <f>IF(D4967="","",IF(V4967=0,"🟢 OK",IF(D4967&lt;corte,"⚪ HISTÓRICO (sem baixa)",IF(AND(ISNUMBER(R4967),R4967&lt;TODAY()),"🔴 PRAZO VENCIDO",IF(AND(OR(N4967="PENDENTE",N4967="PARCIAL"),D4967&lt;TODAY()-1),"🔴 EMBARQUE ATRASADO",IF(AND(N4967="REALIZADO",M4967="PENDENTE"),"🟡 EMBARCADO SEM FATURAR",IF(AND(P4967&lt;&gt;"",S4967="",OR(Q4967="",R4967="")),"🟡 PENDÊNCIA SEM RESPONSÁVEL/PRAZO",IF(AND(ISNUMBER(R4967),R4967=TODAY()),"🟡 VENCE HOJE",IF(AND(P4967&lt;&gt;"",S4967=""),"🟡 PENDÊNCIA ABERTA",IF(AND(N(J4967)&gt;0,N(K4967)&lt;J4967),"🟡 FALTA EXECUTAR",IF(OR(M4967="PENDENTE",M4967="PARCIAL"),"🟡 FATURAMENTO PENDENTE","🟡 EMBARQUE PENDENTE")))))))))))</f>
        <v/>
      </c>
      <c r="D4967" s="4" t="n"/>
      <c r="E4967" s="5" t="n"/>
      <c r="F4967" s="5" t="n"/>
      <c r="G4967" s="5" t="n"/>
      <c r="H4967" s="5" t="n"/>
      <c r="I4967" s="5" t="n"/>
      <c r="J4967" s="6" t="n"/>
      <c r="K4967" s="6" t="n"/>
      <c r="L4967" s="7">
        <f>IF(OR(D4967="",N(J4967)=0),"",MIN(1,N(K4967)/J4967))</f>
        <v/>
      </c>
      <c r="M4967" s="5" t="n"/>
      <c r="N4967" s="5" t="n"/>
      <c r="O4967" s="5" t="n"/>
      <c r="P4967" s="5" t="n"/>
      <c r="Q4967" s="5" t="n"/>
      <c r="R4967" s="4" t="n"/>
      <c r="S4967" s="4" t="n"/>
      <c r="T4967" s="5" t="n"/>
      <c r="U4967" s="8">
        <f>IF(AND(V4967=1,D4967&lt;&gt;""),IF(D4967&gt;=corte,TODAY()-D4967,""),"")</f>
        <v/>
      </c>
      <c r="V4967" s="8">
        <f>IF(D4967="",0,IF(OR(AND(P4967&lt;&gt;"",S4967=""),AND(N(J4967)&gt;0,N(K4967)&lt;J4967),OR(M4967="PENDENTE",M4967="PARCIAL"),OR(N4967="PENDENTE",N4967="PARCIAL")),1,0))</f>
        <v/>
      </c>
      <c r="W4967" s="8">
        <f>IF(AND(V4967=1,D4967&lt;&gt;""),IF(D4967&gt;=corte,(B4967="CRÍTICO")*1E9+(100000-D4967)*10000+10000-ROW(),""),"")</f>
        <v/>
      </c>
      <c r="X4967" s="8">
        <f>IF(AND(V4967=1,D4967=pas_data,E4967=pas_turno),10000-ROW(),"")</f>
        <v/>
      </c>
    </row>
    <row r="4968">
      <c r="A4968" s="3">
        <f>IF(D4968="","","TT-"&amp;TEXT(ROW()-1,"00000"))</f>
        <v/>
      </c>
      <c r="B4968" s="3">
        <f>IF(D4968="","",IF(V4968=0,"CONCLUÍDO",IF(D4968&lt;corte,"HISTÓRICO",IF(OR(AND(ISNUMBER(R4968),R4968&lt;TODAY()),AND(OR(N4968="PENDENTE",N4968="PARCIAL"),D4968&lt;TODAY()-1)),"CRÍTICO",IF(OR(AND(P4968&lt;&gt;"",S4968=""),AND(N4968="REALIZADO",M4968="PENDENTE"),AND(ISNUMBER(R4968),R4968=TODAY())),"ATENÇÃO",IF(N(K4968)=0,"PENDENTE","EM ANDAMENTO"))))))</f>
        <v/>
      </c>
      <c r="C4968" s="3">
        <f>IF(D4968="","",IF(V4968=0,"🟢 OK",IF(D4968&lt;corte,"⚪ HISTÓRICO (sem baixa)",IF(AND(ISNUMBER(R4968),R4968&lt;TODAY()),"🔴 PRAZO VENCIDO",IF(AND(OR(N4968="PENDENTE",N4968="PARCIAL"),D4968&lt;TODAY()-1),"🔴 EMBARQUE ATRASADO",IF(AND(N4968="REALIZADO",M4968="PENDENTE"),"🟡 EMBARCADO SEM FATURAR",IF(AND(P4968&lt;&gt;"",S4968="",OR(Q4968="",R4968="")),"🟡 PENDÊNCIA SEM RESPONSÁVEL/PRAZO",IF(AND(ISNUMBER(R4968),R4968=TODAY()),"🟡 VENCE HOJE",IF(AND(P4968&lt;&gt;"",S4968=""),"🟡 PENDÊNCIA ABERTA",IF(AND(N(J4968)&gt;0,N(K4968)&lt;J4968),"🟡 FALTA EXECUTAR",IF(OR(M4968="PENDENTE",M4968="PARCIAL"),"🟡 FATURAMENTO PENDENTE","🟡 EMBARQUE PENDENTE")))))))))))</f>
        <v/>
      </c>
      <c r="D4968" s="4" t="n"/>
      <c r="E4968" s="5" t="n"/>
      <c r="F4968" s="5" t="n"/>
      <c r="G4968" s="5" t="n"/>
      <c r="H4968" s="5" t="n"/>
      <c r="I4968" s="5" t="n"/>
      <c r="J4968" s="6" t="n"/>
      <c r="K4968" s="6" t="n"/>
      <c r="L4968" s="7">
        <f>IF(OR(D4968="",N(J4968)=0),"",MIN(1,N(K4968)/J4968))</f>
        <v/>
      </c>
      <c r="M4968" s="5" t="n"/>
      <c r="N4968" s="5" t="n"/>
      <c r="O4968" s="5" t="n"/>
      <c r="P4968" s="5" t="n"/>
      <c r="Q4968" s="5" t="n"/>
      <c r="R4968" s="4" t="n"/>
      <c r="S4968" s="4" t="n"/>
      <c r="T4968" s="5" t="n"/>
      <c r="U4968" s="8">
        <f>IF(AND(V4968=1,D4968&lt;&gt;""),IF(D4968&gt;=corte,TODAY()-D4968,""),"")</f>
        <v/>
      </c>
      <c r="V4968" s="8">
        <f>IF(D4968="",0,IF(OR(AND(P4968&lt;&gt;"",S4968=""),AND(N(J4968)&gt;0,N(K4968)&lt;J4968),OR(M4968="PENDENTE",M4968="PARCIAL"),OR(N4968="PENDENTE",N4968="PARCIAL")),1,0))</f>
        <v/>
      </c>
      <c r="W4968" s="8">
        <f>IF(AND(V4968=1,D4968&lt;&gt;""),IF(D4968&gt;=corte,(B4968="CRÍTICO")*1E9+(100000-D4968)*10000+10000-ROW(),""),"")</f>
        <v/>
      </c>
      <c r="X4968" s="8">
        <f>IF(AND(V4968=1,D4968=pas_data,E4968=pas_turno),10000-ROW(),"")</f>
        <v/>
      </c>
    </row>
    <row r="4969">
      <c r="A4969" s="3">
        <f>IF(D4969="","","TT-"&amp;TEXT(ROW()-1,"00000"))</f>
        <v/>
      </c>
      <c r="B4969" s="3">
        <f>IF(D4969="","",IF(V4969=0,"CONCLUÍDO",IF(D4969&lt;corte,"HISTÓRICO",IF(OR(AND(ISNUMBER(R4969),R4969&lt;TODAY()),AND(OR(N4969="PENDENTE",N4969="PARCIAL"),D4969&lt;TODAY()-1)),"CRÍTICO",IF(OR(AND(P4969&lt;&gt;"",S4969=""),AND(N4969="REALIZADO",M4969="PENDENTE"),AND(ISNUMBER(R4969),R4969=TODAY())),"ATENÇÃO",IF(N(K4969)=0,"PENDENTE","EM ANDAMENTO"))))))</f>
        <v/>
      </c>
      <c r="C4969" s="3">
        <f>IF(D4969="","",IF(V4969=0,"🟢 OK",IF(D4969&lt;corte,"⚪ HISTÓRICO (sem baixa)",IF(AND(ISNUMBER(R4969),R4969&lt;TODAY()),"🔴 PRAZO VENCIDO",IF(AND(OR(N4969="PENDENTE",N4969="PARCIAL"),D4969&lt;TODAY()-1),"🔴 EMBARQUE ATRASADO",IF(AND(N4969="REALIZADO",M4969="PENDENTE"),"🟡 EMBARCADO SEM FATURAR",IF(AND(P4969&lt;&gt;"",S4969="",OR(Q4969="",R4969="")),"🟡 PENDÊNCIA SEM RESPONSÁVEL/PRAZO",IF(AND(ISNUMBER(R4969),R4969=TODAY()),"🟡 VENCE HOJE",IF(AND(P4969&lt;&gt;"",S4969=""),"🟡 PENDÊNCIA ABERTA",IF(AND(N(J4969)&gt;0,N(K4969)&lt;J4969),"🟡 FALTA EXECUTAR",IF(OR(M4969="PENDENTE",M4969="PARCIAL"),"🟡 FATURAMENTO PENDENTE","🟡 EMBARQUE PENDENTE")))))))))))</f>
        <v/>
      </c>
      <c r="D4969" s="4" t="n"/>
      <c r="E4969" s="5" t="n"/>
      <c r="F4969" s="5" t="n"/>
      <c r="G4969" s="5" t="n"/>
      <c r="H4969" s="5" t="n"/>
      <c r="I4969" s="5" t="n"/>
      <c r="J4969" s="6" t="n"/>
      <c r="K4969" s="6" t="n"/>
      <c r="L4969" s="7">
        <f>IF(OR(D4969="",N(J4969)=0),"",MIN(1,N(K4969)/J4969))</f>
        <v/>
      </c>
      <c r="M4969" s="5" t="n"/>
      <c r="N4969" s="5" t="n"/>
      <c r="O4969" s="5" t="n"/>
      <c r="P4969" s="5" t="n"/>
      <c r="Q4969" s="5" t="n"/>
      <c r="R4969" s="4" t="n"/>
      <c r="S4969" s="4" t="n"/>
      <c r="T4969" s="5" t="n"/>
      <c r="U4969" s="8">
        <f>IF(AND(V4969=1,D4969&lt;&gt;""),IF(D4969&gt;=corte,TODAY()-D4969,""),"")</f>
        <v/>
      </c>
      <c r="V4969" s="8">
        <f>IF(D4969="",0,IF(OR(AND(P4969&lt;&gt;"",S4969=""),AND(N(J4969)&gt;0,N(K4969)&lt;J4969),OR(M4969="PENDENTE",M4969="PARCIAL"),OR(N4969="PENDENTE",N4969="PARCIAL")),1,0))</f>
        <v/>
      </c>
      <c r="W4969" s="8">
        <f>IF(AND(V4969=1,D4969&lt;&gt;""),IF(D4969&gt;=corte,(B4969="CRÍTICO")*1E9+(100000-D4969)*10000+10000-ROW(),""),"")</f>
        <v/>
      </c>
      <c r="X4969" s="8">
        <f>IF(AND(V4969=1,D4969=pas_data,E4969=pas_turno),10000-ROW(),"")</f>
        <v/>
      </c>
    </row>
    <row r="4970">
      <c r="A4970" s="3">
        <f>IF(D4970="","","TT-"&amp;TEXT(ROW()-1,"00000"))</f>
        <v/>
      </c>
      <c r="B4970" s="3">
        <f>IF(D4970="","",IF(V4970=0,"CONCLUÍDO",IF(D4970&lt;corte,"HISTÓRICO",IF(OR(AND(ISNUMBER(R4970),R4970&lt;TODAY()),AND(OR(N4970="PENDENTE",N4970="PARCIAL"),D4970&lt;TODAY()-1)),"CRÍTICO",IF(OR(AND(P4970&lt;&gt;"",S4970=""),AND(N4970="REALIZADO",M4970="PENDENTE"),AND(ISNUMBER(R4970),R4970=TODAY())),"ATENÇÃO",IF(N(K4970)=0,"PENDENTE","EM ANDAMENTO"))))))</f>
        <v/>
      </c>
      <c r="C4970" s="3">
        <f>IF(D4970="","",IF(V4970=0,"🟢 OK",IF(D4970&lt;corte,"⚪ HISTÓRICO (sem baixa)",IF(AND(ISNUMBER(R4970),R4970&lt;TODAY()),"🔴 PRAZO VENCIDO",IF(AND(OR(N4970="PENDENTE",N4970="PARCIAL"),D4970&lt;TODAY()-1),"🔴 EMBARQUE ATRASADO",IF(AND(N4970="REALIZADO",M4970="PENDENTE"),"🟡 EMBARCADO SEM FATURAR",IF(AND(P4970&lt;&gt;"",S4970="",OR(Q4970="",R4970="")),"🟡 PENDÊNCIA SEM RESPONSÁVEL/PRAZO",IF(AND(ISNUMBER(R4970),R4970=TODAY()),"🟡 VENCE HOJE",IF(AND(P4970&lt;&gt;"",S4970=""),"🟡 PENDÊNCIA ABERTA",IF(AND(N(J4970)&gt;0,N(K4970)&lt;J4970),"🟡 FALTA EXECUTAR",IF(OR(M4970="PENDENTE",M4970="PARCIAL"),"🟡 FATURAMENTO PENDENTE","🟡 EMBARQUE PENDENTE")))))))))))</f>
        <v/>
      </c>
      <c r="D4970" s="4" t="n"/>
      <c r="E4970" s="5" t="n"/>
      <c r="F4970" s="5" t="n"/>
      <c r="G4970" s="5" t="n"/>
      <c r="H4970" s="5" t="n"/>
      <c r="I4970" s="5" t="n"/>
      <c r="J4970" s="6" t="n"/>
      <c r="K4970" s="6" t="n"/>
      <c r="L4970" s="7">
        <f>IF(OR(D4970="",N(J4970)=0),"",MIN(1,N(K4970)/J4970))</f>
        <v/>
      </c>
      <c r="M4970" s="5" t="n"/>
      <c r="N4970" s="5" t="n"/>
      <c r="O4970" s="5" t="n"/>
      <c r="P4970" s="5" t="n"/>
      <c r="Q4970" s="5" t="n"/>
      <c r="R4970" s="4" t="n"/>
      <c r="S4970" s="4" t="n"/>
      <c r="T4970" s="5" t="n"/>
      <c r="U4970" s="8">
        <f>IF(AND(V4970=1,D4970&lt;&gt;""),IF(D4970&gt;=corte,TODAY()-D4970,""),"")</f>
        <v/>
      </c>
      <c r="V4970" s="8">
        <f>IF(D4970="",0,IF(OR(AND(P4970&lt;&gt;"",S4970=""),AND(N(J4970)&gt;0,N(K4970)&lt;J4970),OR(M4970="PENDENTE",M4970="PARCIAL"),OR(N4970="PENDENTE",N4970="PARCIAL")),1,0))</f>
        <v/>
      </c>
      <c r="W4970" s="8">
        <f>IF(AND(V4970=1,D4970&lt;&gt;""),IF(D4970&gt;=corte,(B4970="CRÍTICO")*1E9+(100000-D4970)*10000+10000-ROW(),""),"")</f>
        <v/>
      </c>
      <c r="X4970" s="8">
        <f>IF(AND(V4970=1,D4970=pas_data,E4970=pas_turno),10000-ROW(),"")</f>
        <v/>
      </c>
    </row>
    <row r="4971">
      <c r="A4971" s="3">
        <f>IF(D4971="","","TT-"&amp;TEXT(ROW()-1,"00000"))</f>
        <v/>
      </c>
      <c r="B4971" s="3">
        <f>IF(D4971="","",IF(V4971=0,"CONCLUÍDO",IF(D4971&lt;corte,"HISTÓRICO",IF(OR(AND(ISNUMBER(R4971),R4971&lt;TODAY()),AND(OR(N4971="PENDENTE",N4971="PARCIAL"),D4971&lt;TODAY()-1)),"CRÍTICO",IF(OR(AND(P4971&lt;&gt;"",S4971=""),AND(N4971="REALIZADO",M4971="PENDENTE"),AND(ISNUMBER(R4971),R4971=TODAY())),"ATENÇÃO",IF(N(K4971)=0,"PENDENTE","EM ANDAMENTO"))))))</f>
        <v/>
      </c>
      <c r="C4971" s="3">
        <f>IF(D4971="","",IF(V4971=0,"🟢 OK",IF(D4971&lt;corte,"⚪ HISTÓRICO (sem baixa)",IF(AND(ISNUMBER(R4971),R4971&lt;TODAY()),"🔴 PRAZO VENCIDO",IF(AND(OR(N4971="PENDENTE",N4971="PARCIAL"),D4971&lt;TODAY()-1),"🔴 EMBARQUE ATRASADO",IF(AND(N4971="REALIZADO",M4971="PENDENTE"),"🟡 EMBARCADO SEM FATURAR",IF(AND(P4971&lt;&gt;"",S4971="",OR(Q4971="",R4971="")),"🟡 PENDÊNCIA SEM RESPONSÁVEL/PRAZO",IF(AND(ISNUMBER(R4971),R4971=TODAY()),"🟡 VENCE HOJE",IF(AND(P4971&lt;&gt;"",S4971=""),"🟡 PENDÊNCIA ABERTA",IF(AND(N(J4971)&gt;0,N(K4971)&lt;J4971),"🟡 FALTA EXECUTAR",IF(OR(M4971="PENDENTE",M4971="PARCIAL"),"🟡 FATURAMENTO PENDENTE","🟡 EMBARQUE PENDENTE")))))))))))</f>
        <v/>
      </c>
      <c r="D4971" s="4" t="n"/>
      <c r="E4971" s="5" t="n"/>
      <c r="F4971" s="5" t="n"/>
      <c r="G4971" s="5" t="n"/>
      <c r="H4971" s="5" t="n"/>
      <c r="I4971" s="5" t="n"/>
      <c r="J4971" s="6" t="n"/>
      <c r="K4971" s="6" t="n"/>
      <c r="L4971" s="7">
        <f>IF(OR(D4971="",N(J4971)=0),"",MIN(1,N(K4971)/J4971))</f>
        <v/>
      </c>
      <c r="M4971" s="5" t="n"/>
      <c r="N4971" s="5" t="n"/>
      <c r="O4971" s="5" t="n"/>
      <c r="P4971" s="5" t="n"/>
      <c r="Q4971" s="5" t="n"/>
      <c r="R4971" s="4" t="n"/>
      <c r="S4971" s="4" t="n"/>
      <c r="T4971" s="5" t="n"/>
      <c r="U4971" s="8">
        <f>IF(AND(V4971=1,D4971&lt;&gt;""),IF(D4971&gt;=corte,TODAY()-D4971,""),"")</f>
        <v/>
      </c>
      <c r="V4971" s="8">
        <f>IF(D4971="",0,IF(OR(AND(P4971&lt;&gt;"",S4971=""),AND(N(J4971)&gt;0,N(K4971)&lt;J4971),OR(M4971="PENDENTE",M4971="PARCIAL"),OR(N4971="PENDENTE",N4971="PARCIAL")),1,0))</f>
        <v/>
      </c>
      <c r="W4971" s="8">
        <f>IF(AND(V4971=1,D4971&lt;&gt;""),IF(D4971&gt;=corte,(B4971="CRÍTICO")*1E9+(100000-D4971)*10000+10000-ROW(),""),"")</f>
        <v/>
      </c>
      <c r="X4971" s="8">
        <f>IF(AND(V4971=1,D4971=pas_data,E4971=pas_turno),10000-ROW(),"")</f>
        <v/>
      </c>
    </row>
    <row r="4972">
      <c r="A4972" s="3">
        <f>IF(D4972="","","TT-"&amp;TEXT(ROW()-1,"00000"))</f>
        <v/>
      </c>
      <c r="B4972" s="3">
        <f>IF(D4972="","",IF(V4972=0,"CONCLUÍDO",IF(D4972&lt;corte,"HISTÓRICO",IF(OR(AND(ISNUMBER(R4972),R4972&lt;TODAY()),AND(OR(N4972="PENDENTE",N4972="PARCIAL"),D4972&lt;TODAY()-1)),"CRÍTICO",IF(OR(AND(P4972&lt;&gt;"",S4972=""),AND(N4972="REALIZADO",M4972="PENDENTE"),AND(ISNUMBER(R4972),R4972=TODAY())),"ATENÇÃO",IF(N(K4972)=0,"PENDENTE","EM ANDAMENTO"))))))</f>
        <v/>
      </c>
      <c r="C4972" s="3">
        <f>IF(D4972="","",IF(V4972=0,"🟢 OK",IF(D4972&lt;corte,"⚪ HISTÓRICO (sem baixa)",IF(AND(ISNUMBER(R4972),R4972&lt;TODAY()),"🔴 PRAZO VENCIDO",IF(AND(OR(N4972="PENDENTE",N4972="PARCIAL"),D4972&lt;TODAY()-1),"🔴 EMBARQUE ATRASADO",IF(AND(N4972="REALIZADO",M4972="PENDENTE"),"🟡 EMBARCADO SEM FATURAR",IF(AND(P4972&lt;&gt;"",S4972="",OR(Q4972="",R4972="")),"🟡 PENDÊNCIA SEM RESPONSÁVEL/PRAZO",IF(AND(ISNUMBER(R4972),R4972=TODAY()),"🟡 VENCE HOJE",IF(AND(P4972&lt;&gt;"",S4972=""),"🟡 PENDÊNCIA ABERTA",IF(AND(N(J4972)&gt;0,N(K4972)&lt;J4972),"🟡 FALTA EXECUTAR",IF(OR(M4972="PENDENTE",M4972="PARCIAL"),"🟡 FATURAMENTO PENDENTE","🟡 EMBARQUE PENDENTE")))))))))))</f>
        <v/>
      </c>
      <c r="D4972" s="4" t="n"/>
      <c r="E4972" s="5" t="n"/>
      <c r="F4972" s="5" t="n"/>
      <c r="G4972" s="5" t="n"/>
      <c r="H4972" s="5" t="n"/>
      <c r="I4972" s="5" t="n"/>
      <c r="J4972" s="6" t="n"/>
      <c r="K4972" s="6" t="n"/>
      <c r="L4972" s="7">
        <f>IF(OR(D4972="",N(J4972)=0),"",MIN(1,N(K4972)/J4972))</f>
        <v/>
      </c>
      <c r="M4972" s="5" t="n"/>
      <c r="N4972" s="5" t="n"/>
      <c r="O4972" s="5" t="n"/>
      <c r="P4972" s="5" t="n"/>
      <c r="Q4972" s="5" t="n"/>
      <c r="R4972" s="4" t="n"/>
      <c r="S4972" s="4" t="n"/>
      <c r="T4972" s="5" t="n"/>
      <c r="U4972" s="8">
        <f>IF(AND(V4972=1,D4972&lt;&gt;""),IF(D4972&gt;=corte,TODAY()-D4972,""),"")</f>
        <v/>
      </c>
      <c r="V4972" s="8">
        <f>IF(D4972="",0,IF(OR(AND(P4972&lt;&gt;"",S4972=""),AND(N(J4972)&gt;0,N(K4972)&lt;J4972),OR(M4972="PENDENTE",M4972="PARCIAL"),OR(N4972="PENDENTE",N4972="PARCIAL")),1,0))</f>
        <v/>
      </c>
      <c r="W4972" s="8">
        <f>IF(AND(V4972=1,D4972&lt;&gt;""),IF(D4972&gt;=corte,(B4972="CRÍTICO")*1E9+(100000-D4972)*10000+10000-ROW(),""),"")</f>
        <v/>
      </c>
      <c r="X4972" s="8">
        <f>IF(AND(V4972=1,D4972=pas_data,E4972=pas_turno),10000-ROW(),"")</f>
        <v/>
      </c>
    </row>
    <row r="4973">
      <c r="A4973" s="3">
        <f>IF(D4973="","","TT-"&amp;TEXT(ROW()-1,"00000"))</f>
        <v/>
      </c>
      <c r="B4973" s="3">
        <f>IF(D4973="","",IF(V4973=0,"CONCLUÍDO",IF(D4973&lt;corte,"HISTÓRICO",IF(OR(AND(ISNUMBER(R4973),R4973&lt;TODAY()),AND(OR(N4973="PENDENTE",N4973="PARCIAL"),D4973&lt;TODAY()-1)),"CRÍTICO",IF(OR(AND(P4973&lt;&gt;"",S4973=""),AND(N4973="REALIZADO",M4973="PENDENTE"),AND(ISNUMBER(R4973),R4973=TODAY())),"ATENÇÃO",IF(N(K4973)=0,"PENDENTE","EM ANDAMENTO"))))))</f>
        <v/>
      </c>
      <c r="C4973" s="3">
        <f>IF(D4973="","",IF(V4973=0,"🟢 OK",IF(D4973&lt;corte,"⚪ HISTÓRICO (sem baixa)",IF(AND(ISNUMBER(R4973),R4973&lt;TODAY()),"🔴 PRAZO VENCIDO",IF(AND(OR(N4973="PENDENTE",N4973="PARCIAL"),D4973&lt;TODAY()-1),"🔴 EMBARQUE ATRASADO",IF(AND(N4973="REALIZADO",M4973="PENDENTE"),"🟡 EMBARCADO SEM FATURAR",IF(AND(P4973&lt;&gt;"",S4973="",OR(Q4973="",R4973="")),"🟡 PENDÊNCIA SEM RESPONSÁVEL/PRAZO",IF(AND(ISNUMBER(R4973),R4973=TODAY()),"🟡 VENCE HOJE",IF(AND(P4973&lt;&gt;"",S4973=""),"🟡 PENDÊNCIA ABERTA",IF(AND(N(J4973)&gt;0,N(K4973)&lt;J4973),"🟡 FALTA EXECUTAR",IF(OR(M4973="PENDENTE",M4973="PARCIAL"),"🟡 FATURAMENTO PENDENTE","🟡 EMBARQUE PENDENTE")))))))))))</f>
        <v/>
      </c>
      <c r="D4973" s="4" t="n"/>
      <c r="E4973" s="5" t="n"/>
      <c r="F4973" s="5" t="n"/>
      <c r="G4973" s="5" t="n"/>
      <c r="H4973" s="5" t="n"/>
      <c r="I4973" s="5" t="n"/>
      <c r="J4973" s="6" t="n"/>
      <c r="K4973" s="6" t="n"/>
      <c r="L4973" s="7">
        <f>IF(OR(D4973="",N(J4973)=0),"",MIN(1,N(K4973)/J4973))</f>
        <v/>
      </c>
      <c r="M4973" s="5" t="n"/>
      <c r="N4973" s="5" t="n"/>
      <c r="O4973" s="5" t="n"/>
      <c r="P4973" s="5" t="n"/>
      <c r="Q4973" s="5" t="n"/>
      <c r="R4973" s="4" t="n"/>
      <c r="S4973" s="4" t="n"/>
      <c r="T4973" s="5" t="n"/>
      <c r="U4973" s="8">
        <f>IF(AND(V4973=1,D4973&lt;&gt;""),IF(D4973&gt;=corte,TODAY()-D4973,""),"")</f>
        <v/>
      </c>
      <c r="V4973" s="8">
        <f>IF(D4973="",0,IF(OR(AND(P4973&lt;&gt;"",S4973=""),AND(N(J4973)&gt;0,N(K4973)&lt;J4973),OR(M4973="PENDENTE",M4973="PARCIAL"),OR(N4973="PENDENTE",N4973="PARCIAL")),1,0))</f>
        <v/>
      </c>
      <c r="W4973" s="8">
        <f>IF(AND(V4973=1,D4973&lt;&gt;""),IF(D4973&gt;=corte,(B4973="CRÍTICO")*1E9+(100000-D4973)*10000+10000-ROW(),""),"")</f>
        <v/>
      </c>
      <c r="X4973" s="8">
        <f>IF(AND(V4973=1,D4973=pas_data,E4973=pas_turno),10000-ROW(),"")</f>
        <v/>
      </c>
    </row>
    <row r="4974">
      <c r="A4974" s="3">
        <f>IF(D4974="","","TT-"&amp;TEXT(ROW()-1,"00000"))</f>
        <v/>
      </c>
      <c r="B4974" s="3">
        <f>IF(D4974="","",IF(V4974=0,"CONCLUÍDO",IF(D4974&lt;corte,"HISTÓRICO",IF(OR(AND(ISNUMBER(R4974),R4974&lt;TODAY()),AND(OR(N4974="PENDENTE",N4974="PARCIAL"),D4974&lt;TODAY()-1)),"CRÍTICO",IF(OR(AND(P4974&lt;&gt;"",S4974=""),AND(N4974="REALIZADO",M4974="PENDENTE"),AND(ISNUMBER(R4974),R4974=TODAY())),"ATENÇÃO",IF(N(K4974)=0,"PENDENTE","EM ANDAMENTO"))))))</f>
        <v/>
      </c>
      <c r="C4974" s="3">
        <f>IF(D4974="","",IF(V4974=0,"🟢 OK",IF(D4974&lt;corte,"⚪ HISTÓRICO (sem baixa)",IF(AND(ISNUMBER(R4974),R4974&lt;TODAY()),"🔴 PRAZO VENCIDO",IF(AND(OR(N4974="PENDENTE",N4974="PARCIAL"),D4974&lt;TODAY()-1),"🔴 EMBARQUE ATRASADO",IF(AND(N4974="REALIZADO",M4974="PENDENTE"),"🟡 EMBARCADO SEM FATURAR",IF(AND(P4974&lt;&gt;"",S4974="",OR(Q4974="",R4974="")),"🟡 PENDÊNCIA SEM RESPONSÁVEL/PRAZO",IF(AND(ISNUMBER(R4974),R4974=TODAY()),"🟡 VENCE HOJE",IF(AND(P4974&lt;&gt;"",S4974=""),"🟡 PENDÊNCIA ABERTA",IF(AND(N(J4974)&gt;0,N(K4974)&lt;J4974),"🟡 FALTA EXECUTAR",IF(OR(M4974="PENDENTE",M4974="PARCIAL"),"🟡 FATURAMENTO PENDENTE","🟡 EMBARQUE PENDENTE")))))))))))</f>
        <v/>
      </c>
      <c r="D4974" s="4" t="n"/>
      <c r="E4974" s="5" t="n"/>
      <c r="F4974" s="5" t="n"/>
      <c r="G4974" s="5" t="n"/>
      <c r="H4974" s="5" t="n"/>
      <c r="I4974" s="5" t="n"/>
      <c r="J4974" s="6" t="n"/>
      <c r="K4974" s="6" t="n"/>
      <c r="L4974" s="7">
        <f>IF(OR(D4974="",N(J4974)=0),"",MIN(1,N(K4974)/J4974))</f>
        <v/>
      </c>
      <c r="M4974" s="5" t="n"/>
      <c r="N4974" s="5" t="n"/>
      <c r="O4974" s="5" t="n"/>
      <c r="P4974" s="5" t="n"/>
      <c r="Q4974" s="5" t="n"/>
      <c r="R4974" s="4" t="n"/>
      <c r="S4974" s="4" t="n"/>
      <c r="T4974" s="5" t="n"/>
      <c r="U4974" s="8">
        <f>IF(AND(V4974=1,D4974&lt;&gt;""),IF(D4974&gt;=corte,TODAY()-D4974,""),"")</f>
        <v/>
      </c>
      <c r="V4974" s="8">
        <f>IF(D4974="",0,IF(OR(AND(P4974&lt;&gt;"",S4974=""),AND(N(J4974)&gt;0,N(K4974)&lt;J4974),OR(M4974="PENDENTE",M4974="PARCIAL"),OR(N4974="PENDENTE",N4974="PARCIAL")),1,0))</f>
        <v/>
      </c>
      <c r="W4974" s="8">
        <f>IF(AND(V4974=1,D4974&lt;&gt;""),IF(D4974&gt;=corte,(B4974="CRÍTICO")*1E9+(100000-D4974)*10000+10000-ROW(),""),"")</f>
        <v/>
      </c>
      <c r="X4974" s="8">
        <f>IF(AND(V4974=1,D4974=pas_data,E4974=pas_turno),10000-ROW(),"")</f>
        <v/>
      </c>
    </row>
    <row r="4975">
      <c r="A4975" s="3">
        <f>IF(D4975="","","TT-"&amp;TEXT(ROW()-1,"00000"))</f>
        <v/>
      </c>
      <c r="B4975" s="3">
        <f>IF(D4975="","",IF(V4975=0,"CONCLUÍDO",IF(D4975&lt;corte,"HISTÓRICO",IF(OR(AND(ISNUMBER(R4975),R4975&lt;TODAY()),AND(OR(N4975="PENDENTE",N4975="PARCIAL"),D4975&lt;TODAY()-1)),"CRÍTICO",IF(OR(AND(P4975&lt;&gt;"",S4975=""),AND(N4975="REALIZADO",M4975="PENDENTE"),AND(ISNUMBER(R4975),R4975=TODAY())),"ATENÇÃO",IF(N(K4975)=0,"PENDENTE","EM ANDAMENTO"))))))</f>
        <v/>
      </c>
      <c r="C4975" s="3">
        <f>IF(D4975="","",IF(V4975=0,"🟢 OK",IF(D4975&lt;corte,"⚪ HISTÓRICO (sem baixa)",IF(AND(ISNUMBER(R4975),R4975&lt;TODAY()),"🔴 PRAZO VENCIDO",IF(AND(OR(N4975="PENDENTE",N4975="PARCIAL"),D4975&lt;TODAY()-1),"🔴 EMBARQUE ATRASADO",IF(AND(N4975="REALIZADO",M4975="PENDENTE"),"🟡 EMBARCADO SEM FATURAR",IF(AND(P4975&lt;&gt;"",S4975="",OR(Q4975="",R4975="")),"🟡 PENDÊNCIA SEM RESPONSÁVEL/PRAZO",IF(AND(ISNUMBER(R4975),R4975=TODAY()),"🟡 VENCE HOJE",IF(AND(P4975&lt;&gt;"",S4975=""),"🟡 PENDÊNCIA ABERTA",IF(AND(N(J4975)&gt;0,N(K4975)&lt;J4975),"🟡 FALTA EXECUTAR",IF(OR(M4975="PENDENTE",M4975="PARCIAL"),"🟡 FATURAMENTO PENDENTE","🟡 EMBARQUE PENDENTE")))))))))))</f>
        <v/>
      </c>
      <c r="D4975" s="4" t="n"/>
      <c r="E4975" s="5" t="n"/>
      <c r="F4975" s="5" t="n"/>
      <c r="G4975" s="5" t="n"/>
      <c r="H4975" s="5" t="n"/>
      <c r="I4975" s="5" t="n"/>
      <c r="J4975" s="6" t="n"/>
      <c r="K4975" s="6" t="n"/>
      <c r="L4975" s="7">
        <f>IF(OR(D4975="",N(J4975)=0),"",MIN(1,N(K4975)/J4975))</f>
        <v/>
      </c>
      <c r="M4975" s="5" t="n"/>
      <c r="N4975" s="5" t="n"/>
      <c r="O4975" s="5" t="n"/>
      <c r="P4975" s="5" t="n"/>
      <c r="Q4975" s="5" t="n"/>
      <c r="R4975" s="4" t="n"/>
      <c r="S4975" s="4" t="n"/>
      <c r="T4975" s="5" t="n"/>
      <c r="U4975" s="8">
        <f>IF(AND(V4975=1,D4975&lt;&gt;""),IF(D4975&gt;=corte,TODAY()-D4975,""),"")</f>
        <v/>
      </c>
      <c r="V4975" s="8">
        <f>IF(D4975="",0,IF(OR(AND(P4975&lt;&gt;"",S4975=""),AND(N(J4975)&gt;0,N(K4975)&lt;J4975),OR(M4975="PENDENTE",M4975="PARCIAL"),OR(N4975="PENDENTE",N4975="PARCIAL")),1,0))</f>
        <v/>
      </c>
      <c r="W4975" s="8">
        <f>IF(AND(V4975=1,D4975&lt;&gt;""),IF(D4975&gt;=corte,(B4975="CRÍTICO")*1E9+(100000-D4975)*10000+10000-ROW(),""),"")</f>
        <v/>
      </c>
      <c r="X4975" s="8">
        <f>IF(AND(V4975=1,D4975=pas_data,E4975=pas_turno),10000-ROW(),"")</f>
        <v/>
      </c>
    </row>
    <row r="4976">
      <c r="A4976" s="3">
        <f>IF(D4976="","","TT-"&amp;TEXT(ROW()-1,"00000"))</f>
        <v/>
      </c>
      <c r="B4976" s="3">
        <f>IF(D4976="","",IF(V4976=0,"CONCLUÍDO",IF(D4976&lt;corte,"HISTÓRICO",IF(OR(AND(ISNUMBER(R4976),R4976&lt;TODAY()),AND(OR(N4976="PENDENTE",N4976="PARCIAL"),D4976&lt;TODAY()-1)),"CRÍTICO",IF(OR(AND(P4976&lt;&gt;"",S4976=""),AND(N4976="REALIZADO",M4976="PENDENTE"),AND(ISNUMBER(R4976),R4976=TODAY())),"ATENÇÃO",IF(N(K4976)=0,"PENDENTE","EM ANDAMENTO"))))))</f>
        <v/>
      </c>
      <c r="C4976" s="3">
        <f>IF(D4976="","",IF(V4976=0,"🟢 OK",IF(D4976&lt;corte,"⚪ HISTÓRICO (sem baixa)",IF(AND(ISNUMBER(R4976),R4976&lt;TODAY()),"🔴 PRAZO VENCIDO",IF(AND(OR(N4976="PENDENTE",N4976="PARCIAL"),D4976&lt;TODAY()-1),"🔴 EMBARQUE ATRASADO",IF(AND(N4976="REALIZADO",M4976="PENDENTE"),"🟡 EMBARCADO SEM FATURAR",IF(AND(P4976&lt;&gt;"",S4976="",OR(Q4976="",R4976="")),"🟡 PENDÊNCIA SEM RESPONSÁVEL/PRAZO",IF(AND(ISNUMBER(R4976),R4976=TODAY()),"🟡 VENCE HOJE",IF(AND(P4976&lt;&gt;"",S4976=""),"🟡 PENDÊNCIA ABERTA",IF(AND(N(J4976)&gt;0,N(K4976)&lt;J4976),"🟡 FALTA EXECUTAR",IF(OR(M4976="PENDENTE",M4976="PARCIAL"),"🟡 FATURAMENTO PENDENTE","🟡 EMBARQUE PENDENTE")))))))))))</f>
        <v/>
      </c>
      <c r="D4976" s="4" t="n"/>
      <c r="E4976" s="5" t="n"/>
      <c r="F4976" s="5" t="n"/>
      <c r="G4976" s="5" t="n"/>
      <c r="H4976" s="5" t="n"/>
      <c r="I4976" s="5" t="n"/>
      <c r="J4976" s="6" t="n"/>
      <c r="K4976" s="6" t="n"/>
      <c r="L4976" s="7">
        <f>IF(OR(D4976="",N(J4976)=0),"",MIN(1,N(K4976)/J4976))</f>
        <v/>
      </c>
      <c r="M4976" s="5" t="n"/>
      <c r="N4976" s="5" t="n"/>
      <c r="O4976" s="5" t="n"/>
      <c r="P4976" s="5" t="n"/>
      <c r="Q4976" s="5" t="n"/>
      <c r="R4976" s="4" t="n"/>
      <c r="S4976" s="4" t="n"/>
      <c r="T4976" s="5" t="n"/>
      <c r="U4976" s="8">
        <f>IF(AND(V4976=1,D4976&lt;&gt;""),IF(D4976&gt;=corte,TODAY()-D4976,""),"")</f>
        <v/>
      </c>
      <c r="V4976" s="8">
        <f>IF(D4976="",0,IF(OR(AND(P4976&lt;&gt;"",S4976=""),AND(N(J4976)&gt;0,N(K4976)&lt;J4976),OR(M4976="PENDENTE",M4976="PARCIAL"),OR(N4976="PENDENTE",N4976="PARCIAL")),1,0))</f>
        <v/>
      </c>
      <c r="W4976" s="8">
        <f>IF(AND(V4976=1,D4976&lt;&gt;""),IF(D4976&gt;=corte,(B4976="CRÍTICO")*1E9+(100000-D4976)*10000+10000-ROW(),""),"")</f>
        <v/>
      </c>
      <c r="X4976" s="8">
        <f>IF(AND(V4976=1,D4976=pas_data,E4976=pas_turno),10000-ROW(),"")</f>
        <v/>
      </c>
    </row>
    <row r="4977">
      <c r="A4977" s="3">
        <f>IF(D4977="","","TT-"&amp;TEXT(ROW()-1,"00000"))</f>
        <v/>
      </c>
      <c r="B4977" s="3">
        <f>IF(D4977="","",IF(V4977=0,"CONCLUÍDO",IF(D4977&lt;corte,"HISTÓRICO",IF(OR(AND(ISNUMBER(R4977),R4977&lt;TODAY()),AND(OR(N4977="PENDENTE",N4977="PARCIAL"),D4977&lt;TODAY()-1)),"CRÍTICO",IF(OR(AND(P4977&lt;&gt;"",S4977=""),AND(N4977="REALIZADO",M4977="PENDENTE"),AND(ISNUMBER(R4977),R4977=TODAY())),"ATENÇÃO",IF(N(K4977)=0,"PENDENTE","EM ANDAMENTO"))))))</f>
        <v/>
      </c>
      <c r="C4977" s="3">
        <f>IF(D4977="","",IF(V4977=0,"🟢 OK",IF(D4977&lt;corte,"⚪ HISTÓRICO (sem baixa)",IF(AND(ISNUMBER(R4977),R4977&lt;TODAY()),"🔴 PRAZO VENCIDO",IF(AND(OR(N4977="PENDENTE",N4977="PARCIAL"),D4977&lt;TODAY()-1),"🔴 EMBARQUE ATRASADO",IF(AND(N4977="REALIZADO",M4977="PENDENTE"),"🟡 EMBARCADO SEM FATURAR",IF(AND(P4977&lt;&gt;"",S4977="",OR(Q4977="",R4977="")),"🟡 PENDÊNCIA SEM RESPONSÁVEL/PRAZO",IF(AND(ISNUMBER(R4977),R4977=TODAY()),"🟡 VENCE HOJE",IF(AND(P4977&lt;&gt;"",S4977=""),"🟡 PENDÊNCIA ABERTA",IF(AND(N(J4977)&gt;0,N(K4977)&lt;J4977),"🟡 FALTA EXECUTAR",IF(OR(M4977="PENDENTE",M4977="PARCIAL"),"🟡 FATURAMENTO PENDENTE","🟡 EMBARQUE PENDENTE")))))))))))</f>
        <v/>
      </c>
      <c r="D4977" s="4" t="n"/>
      <c r="E4977" s="5" t="n"/>
      <c r="F4977" s="5" t="n"/>
      <c r="G4977" s="5" t="n"/>
      <c r="H4977" s="5" t="n"/>
      <c r="I4977" s="5" t="n"/>
      <c r="J4977" s="6" t="n"/>
      <c r="K4977" s="6" t="n"/>
      <c r="L4977" s="7">
        <f>IF(OR(D4977="",N(J4977)=0),"",MIN(1,N(K4977)/J4977))</f>
        <v/>
      </c>
      <c r="M4977" s="5" t="n"/>
      <c r="N4977" s="5" t="n"/>
      <c r="O4977" s="5" t="n"/>
      <c r="P4977" s="5" t="n"/>
      <c r="Q4977" s="5" t="n"/>
      <c r="R4977" s="4" t="n"/>
      <c r="S4977" s="4" t="n"/>
      <c r="T4977" s="5" t="n"/>
      <c r="U4977" s="8">
        <f>IF(AND(V4977=1,D4977&lt;&gt;""),IF(D4977&gt;=corte,TODAY()-D4977,""),"")</f>
        <v/>
      </c>
      <c r="V4977" s="8">
        <f>IF(D4977="",0,IF(OR(AND(P4977&lt;&gt;"",S4977=""),AND(N(J4977)&gt;0,N(K4977)&lt;J4977),OR(M4977="PENDENTE",M4977="PARCIAL"),OR(N4977="PENDENTE",N4977="PARCIAL")),1,0))</f>
        <v/>
      </c>
      <c r="W4977" s="8">
        <f>IF(AND(V4977=1,D4977&lt;&gt;""),IF(D4977&gt;=corte,(B4977="CRÍTICO")*1E9+(100000-D4977)*10000+10000-ROW(),""),"")</f>
        <v/>
      </c>
      <c r="X4977" s="8">
        <f>IF(AND(V4977=1,D4977=pas_data,E4977=pas_turno),10000-ROW(),"")</f>
        <v/>
      </c>
    </row>
    <row r="4978">
      <c r="A4978" s="3">
        <f>IF(D4978="","","TT-"&amp;TEXT(ROW()-1,"00000"))</f>
        <v/>
      </c>
      <c r="B4978" s="3">
        <f>IF(D4978="","",IF(V4978=0,"CONCLUÍDO",IF(D4978&lt;corte,"HISTÓRICO",IF(OR(AND(ISNUMBER(R4978),R4978&lt;TODAY()),AND(OR(N4978="PENDENTE",N4978="PARCIAL"),D4978&lt;TODAY()-1)),"CRÍTICO",IF(OR(AND(P4978&lt;&gt;"",S4978=""),AND(N4978="REALIZADO",M4978="PENDENTE"),AND(ISNUMBER(R4978),R4978=TODAY())),"ATENÇÃO",IF(N(K4978)=0,"PENDENTE","EM ANDAMENTO"))))))</f>
        <v/>
      </c>
      <c r="C4978" s="3">
        <f>IF(D4978="","",IF(V4978=0,"🟢 OK",IF(D4978&lt;corte,"⚪ HISTÓRICO (sem baixa)",IF(AND(ISNUMBER(R4978),R4978&lt;TODAY()),"🔴 PRAZO VENCIDO",IF(AND(OR(N4978="PENDENTE",N4978="PARCIAL"),D4978&lt;TODAY()-1),"🔴 EMBARQUE ATRASADO",IF(AND(N4978="REALIZADO",M4978="PENDENTE"),"🟡 EMBARCADO SEM FATURAR",IF(AND(P4978&lt;&gt;"",S4978="",OR(Q4978="",R4978="")),"🟡 PENDÊNCIA SEM RESPONSÁVEL/PRAZO",IF(AND(ISNUMBER(R4978),R4978=TODAY()),"🟡 VENCE HOJE",IF(AND(P4978&lt;&gt;"",S4978=""),"🟡 PENDÊNCIA ABERTA",IF(AND(N(J4978)&gt;0,N(K4978)&lt;J4978),"🟡 FALTA EXECUTAR",IF(OR(M4978="PENDENTE",M4978="PARCIAL"),"🟡 FATURAMENTO PENDENTE","🟡 EMBARQUE PENDENTE")))))))))))</f>
        <v/>
      </c>
      <c r="D4978" s="4" t="n"/>
      <c r="E4978" s="5" t="n"/>
      <c r="F4978" s="5" t="n"/>
      <c r="G4978" s="5" t="n"/>
      <c r="H4978" s="5" t="n"/>
      <c r="I4978" s="5" t="n"/>
      <c r="J4978" s="6" t="n"/>
      <c r="K4978" s="6" t="n"/>
      <c r="L4978" s="7">
        <f>IF(OR(D4978="",N(J4978)=0),"",MIN(1,N(K4978)/J4978))</f>
        <v/>
      </c>
      <c r="M4978" s="5" t="n"/>
      <c r="N4978" s="5" t="n"/>
      <c r="O4978" s="5" t="n"/>
      <c r="P4978" s="5" t="n"/>
      <c r="Q4978" s="5" t="n"/>
      <c r="R4978" s="4" t="n"/>
      <c r="S4978" s="4" t="n"/>
      <c r="T4978" s="5" t="n"/>
      <c r="U4978" s="8">
        <f>IF(AND(V4978=1,D4978&lt;&gt;""),IF(D4978&gt;=corte,TODAY()-D4978,""),"")</f>
        <v/>
      </c>
      <c r="V4978" s="8">
        <f>IF(D4978="",0,IF(OR(AND(P4978&lt;&gt;"",S4978=""),AND(N(J4978)&gt;0,N(K4978)&lt;J4978),OR(M4978="PENDENTE",M4978="PARCIAL"),OR(N4978="PENDENTE",N4978="PARCIAL")),1,0))</f>
        <v/>
      </c>
      <c r="W4978" s="8">
        <f>IF(AND(V4978=1,D4978&lt;&gt;""),IF(D4978&gt;=corte,(B4978="CRÍTICO")*1E9+(100000-D4978)*10000+10000-ROW(),""),"")</f>
        <v/>
      </c>
      <c r="X4978" s="8">
        <f>IF(AND(V4978=1,D4978=pas_data,E4978=pas_turno),10000-ROW(),"")</f>
        <v/>
      </c>
    </row>
    <row r="4979">
      <c r="A4979" s="3">
        <f>IF(D4979="","","TT-"&amp;TEXT(ROW()-1,"00000"))</f>
        <v/>
      </c>
      <c r="B4979" s="3">
        <f>IF(D4979="","",IF(V4979=0,"CONCLUÍDO",IF(D4979&lt;corte,"HISTÓRICO",IF(OR(AND(ISNUMBER(R4979),R4979&lt;TODAY()),AND(OR(N4979="PENDENTE",N4979="PARCIAL"),D4979&lt;TODAY()-1)),"CRÍTICO",IF(OR(AND(P4979&lt;&gt;"",S4979=""),AND(N4979="REALIZADO",M4979="PENDENTE"),AND(ISNUMBER(R4979),R4979=TODAY())),"ATENÇÃO",IF(N(K4979)=0,"PENDENTE","EM ANDAMENTO"))))))</f>
        <v/>
      </c>
      <c r="C4979" s="3">
        <f>IF(D4979="","",IF(V4979=0,"🟢 OK",IF(D4979&lt;corte,"⚪ HISTÓRICO (sem baixa)",IF(AND(ISNUMBER(R4979),R4979&lt;TODAY()),"🔴 PRAZO VENCIDO",IF(AND(OR(N4979="PENDENTE",N4979="PARCIAL"),D4979&lt;TODAY()-1),"🔴 EMBARQUE ATRASADO",IF(AND(N4979="REALIZADO",M4979="PENDENTE"),"🟡 EMBARCADO SEM FATURAR",IF(AND(P4979&lt;&gt;"",S4979="",OR(Q4979="",R4979="")),"🟡 PENDÊNCIA SEM RESPONSÁVEL/PRAZO",IF(AND(ISNUMBER(R4979),R4979=TODAY()),"🟡 VENCE HOJE",IF(AND(P4979&lt;&gt;"",S4979=""),"🟡 PENDÊNCIA ABERTA",IF(AND(N(J4979)&gt;0,N(K4979)&lt;J4979),"🟡 FALTA EXECUTAR",IF(OR(M4979="PENDENTE",M4979="PARCIAL"),"🟡 FATURAMENTO PENDENTE","🟡 EMBARQUE PENDENTE")))))))))))</f>
        <v/>
      </c>
      <c r="D4979" s="4" t="n"/>
      <c r="E4979" s="5" t="n"/>
      <c r="F4979" s="5" t="n"/>
      <c r="G4979" s="5" t="n"/>
      <c r="H4979" s="5" t="n"/>
      <c r="I4979" s="5" t="n"/>
      <c r="J4979" s="6" t="n"/>
      <c r="K4979" s="6" t="n"/>
      <c r="L4979" s="7">
        <f>IF(OR(D4979="",N(J4979)=0),"",MIN(1,N(K4979)/J4979))</f>
        <v/>
      </c>
      <c r="M4979" s="5" t="n"/>
      <c r="N4979" s="5" t="n"/>
      <c r="O4979" s="5" t="n"/>
      <c r="P4979" s="5" t="n"/>
      <c r="Q4979" s="5" t="n"/>
      <c r="R4979" s="4" t="n"/>
      <c r="S4979" s="4" t="n"/>
      <c r="T4979" s="5" t="n"/>
      <c r="U4979" s="8">
        <f>IF(AND(V4979=1,D4979&lt;&gt;""),IF(D4979&gt;=corte,TODAY()-D4979,""),"")</f>
        <v/>
      </c>
      <c r="V4979" s="8">
        <f>IF(D4979="",0,IF(OR(AND(P4979&lt;&gt;"",S4979=""),AND(N(J4979)&gt;0,N(K4979)&lt;J4979),OR(M4979="PENDENTE",M4979="PARCIAL"),OR(N4979="PENDENTE",N4979="PARCIAL")),1,0))</f>
        <v/>
      </c>
      <c r="W4979" s="8">
        <f>IF(AND(V4979=1,D4979&lt;&gt;""),IF(D4979&gt;=corte,(B4979="CRÍTICO")*1E9+(100000-D4979)*10000+10000-ROW(),""),"")</f>
        <v/>
      </c>
      <c r="X4979" s="8">
        <f>IF(AND(V4979=1,D4979=pas_data,E4979=pas_turno),10000-ROW(),"")</f>
        <v/>
      </c>
    </row>
    <row r="4980">
      <c r="A4980" s="3">
        <f>IF(D4980="","","TT-"&amp;TEXT(ROW()-1,"00000"))</f>
        <v/>
      </c>
      <c r="B4980" s="3">
        <f>IF(D4980="","",IF(V4980=0,"CONCLUÍDO",IF(D4980&lt;corte,"HISTÓRICO",IF(OR(AND(ISNUMBER(R4980),R4980&lt;TODAY()),AND(OR(N4980="PENDENTE",N4980="PARCIAL"),D4980&lt;TODAY()-1)),"CRÍTICO",IF(OR(AND(P4980&lt;&gt;"",S4980=""),AND(N4980="REALIZADO",M4980="PENDENTE"),AND(ISNUMBER(R4980),R4980=TODAY())),"ATENÇÃO",IF(N(K4980)=0,"PENDENTE","EM ANDAMENTO"))))))</f>
        <v/>
      </c>
      <c r="C4980" s="3">
        <f>IF(D4980="","",IF(V4980=0,"🟢 OK",IF(D4980&lt;corte,"⚪ HISTÓRICO (sem baixa)",IF(AND(ISNUMBER(R4980),R4980&lt;TODAY()),"🔴 PRAZO VENCIDO",IF(AND(OR(N4980="PENDENTE",N4980="PARCIAL"),D4980&lt;TODAY()-1),"🔴 EMBARQUE ATRASADO",IF(AND(N4980="REALIZADO",M4980="PENDENTE"),"🟡 EMBARCADO SEM FATURAR",IF(AND(P4980&lt;&gt;"",S4980="",OR(Q4980="",R4980="")),"🟡 PENDÊNCIA SEM RESPONSÁVEL/PRAZO",IF(AND(ISNUMBER(R4980),R4980=TODAY()),"🟡 VENCE HOJE",IF(AND(P4980&lt;&gt;"",S4980=""),"🟡 PENDÊNCIA ABERTA",IF(AND(N(J4980)&gt;0,N(K4980)&lt;J4980),"🟡 FALTA EXECUTAR",IF(OR(M4980="PENDENTE",M4980="PARCIAL"),"🟡 FATURAMENTO PENDENTE","🟡 EMBARQUE PENDENTE")))))))))))</f>
        <v/>
      </c>
      <c r="D4980" s="4" t="n"/>
      <c r="E4980" s="5" t="n"/>
      <c r="F4980" s="5" t="n"/>
      <c r="G4980" s="5" t="n"/>
      <c r="H4980" s="5" t="n"/>
      <c r="I4980" s="5" t="n"/>
      <c r="J4980" s="6" t="n"/>
      <c r="K4980" s="6" t="n"/>
      <c r="L4980" s="7">
        <f>IF(OR(D4980="",N(J4980)=0),"",MIN(1,N(K4980)/J4980))</f>
        <v/>
      </c>
      <c r="M4980" s="5" t="n"/>
      <c r="N4980" s="5" t="n"/>
      <c r="O4980" s="5" t="n"/>
      <c r="P4980" s="5" t="n"/>
      <c r="Q4980" s="5" t="n"/>
      <c r="R4980" s="4" t="n"/>
      <c r="S4980" s="4" t="n"/>
      <c r="T4980" s="5" t="n"/>
      <c r="U4980" s="8">
        <f>IF(AND(V4980=1,D4980&lt;&gt;""),IF(D4980&gt;=corte,TODAY()-D4980,""),"")</f>
        <v/>
      </c>
      <c r="V4980" s="8">
        <f>IF(D4980="",0,IF(OR(AND(P4980&lt;&gt;"",S4980=""),AND(N(J4980)&gt;0,N(K4980)&lt;J4980),OR(M4980="PENDENTE",M4980="PARCIAL"),OR(N4980="PENDENTE",N4980="PARCIAL")),1,0))</f>
        <v/>
      </c>
      <c r="W4980" s="8">
        <f>IF(AND(V4980=1,D4980&lt;&gt;""),IF(D4980&gt;=corte,(B4980="CRÍTICO")*1E9+(100000-D4980)*10000+10000-ROW(),""),"")</f>
        <v/>
      </c>
      <c r="X4980" s="8">
        <f>IF(AND(V4980=1,D4980=pas_data,E4980=pas_turno),10000-ROW(),"")</f>
        <v/>
      </c>
    </row>
    <row r="4981">
      <c r="A4981" s="3">
        <f>IF(D4981="","","TT-"&amp;TEXT(ROW()-1,"00000"))</f>
        <v/>
      </c>
      <c r="B4981" s="3">
        <f>IF(D4981="","",IF(V4981=0,"CONCLUÍDO",IF(D4981&lt;corte,"HISTÓRICO",IF(OR(AND(ISNUMBER(R4981),R4981&lt;TODAY()),AND(OR(N4981="PENDENTE",N4981="PARCIAL"),D4981&lt;TODAY()-1)),"CRÍTICO",IF(OR(AND(P4981&lt;&gt;"",S4981=""),AND(N4981="REALIZADO",M4981="PENDENTE"),AND(ISNUMBER(R4981),R4981=TODAY())),"ATENÇÃO",IF(N(K4981)=0,"PENDENTE","EM ANDAMENTO"))))))</f>
        <v/>
      </c>
      <c r="C4981" s="3">
        <f>IF(D4981="","",IF(V4981=0,"🟢 OK",IF(D4981&lt;corte,"⚪ HISTÓRICO (sem baixa)",IF(AND(ISNUMBER(R4981),R4981&lt;TODAY()),"🔴 PRAZO VENCIDO",IF(AND(OR(N4981="PENDENTE",N4981="PARCIAL"),D4981&lt;TODAY()-1),"🔴 EMBARQUE ATRASADO",IF(AND(N4981="REALIZADO",M4981="PENDENTE"),"🟡 EMBARCADO SEM FATURAR",IF(AND(P4981&lt;&gt;"",S4981="",OR(Q4981="",R4981="")),"🟡 PENDÊNCIA SEM RESPONSÁVEL/PRAZO",IF(AND(ISNUMBER(R4981),R4981=TODAY()),"🟡 VENCE HOJE",IF(AND(P4981&lt;&gt;"",S4981=""),"🟡 PENDÊNCIA ABERTA",IF(AND(N(J4981)&gt;0,N(K4981)&lt;J4981),"🟡 FALTA EXECUTAR",IF(OR(M4981="PENDENTE",M4981="PARCIAL"),"🟡 FATURAMENTO PENDENTE","🟡 EMBARQUE PENDENTE")))))))))))</f>
        <v/>
      </c>
      <c r="D4981" s="4" t="n"/>
      <c r="E4981" s="5" t="n"/>
      <c r="F4981" s="5" t="n"/>
      <c r="G4981" s="5" t="n"/>
      <c r="H4981" s="5" t="n"/>
      <c r="I4981" s="5" t="n"/>
      <c r="J4981" s="6" t="n"/>
      <c r="K4981" s="6" t="n"/>
      <c r="L4981" s="7">
        <f>IF(OR(D4981="",N(J4981)=0),"",MIN(1,N(K4981)/J4981))</f>
        <v/>
      </c>
      <c r="M4981" s="5" t="n"/>
      <c r="N4981" s="5" t="n"/>
      <c r="O4981" s="5" t="n"/>
      <c r="P4981" s="5" t="n"/>
      <c r="Q4981" s="5" t="n"/>
      <c r="R4981" s="4" t="n"/>
      <c r="S4981" s="4" t="n"/>
      <c r="T4981" s="5" t="n"/>
      <c r="U4981" s="8">
        <f>IF(AND(V4981=1,D4981&lt;&gt;""),IF(D4981&gt;=corte,TODAY()-D4981,""),"")</f>
        <v/>
      </c>
      <c r="V4981" s="8">
        <f>IF(D4981="",0,IF(OR(AND(P4981&lt;&gt;"",S4981=""),AND(N(J4981)&gt;0,N(K4981)&lt;J4981),OR(M4981="PENDENTE",M4981="PARCIAL"),OR(N4981="PENDENTE",N4981="PARCIAL")),1,0))</f>
        <v/>
      </c>
      <c r="W4981" s="8">
        <f>IF(AND(V4981=1,D4981&lt;&gt;""),IF(D4981&gt;=corte,(B4981="CRÍTICO")*1E9+(100000-D4981)*10000+10000-ROW(),""),"")</f>
        <v/>
      </c>
      <c r="X4981" s="8">
        <f>IF(AND(V4981=1,D4981=pas_data,E4981=pas_turno),10000-ROW(),"")</f>
        <v/>
      </c>
    </row>
    <row r="4982">
      <c r="A4982" s="3">
        <f>IF(D4982="","","TT-"&amp;TEXT(ROW()-1,"00000"))</f>
        <v/>
      </c>
      <c r="B4982" s="3">
        <f>IF(D4982="","",IF(V4982=0,"CONCLUÍDO",IF(D4982&lt;corte,"HISTÓRICO",IF(OR(AND(ISNUMBER(R4982),R4982&lt;TODAY()),AND(OR(N4982="PENDENTE",N4982="PARCIAL"),D4982&lt;TODAY()-1)),"CRÍTICO",IF(OR(AND(P4982&lt;&gt;"",S4982=""),AND(N4982="REALIZADO",M4982="PENDENTE"),AND(ISNUMBER(R4982),R4982=TODAY())),"ATENÇÃO",IF(N(K4982)=0,"PENDENTE","EM ANDAMENTO"))))))</f>
        <v/>
      </c>
      <c r="C4982" s="3">
        <f>IF(D4982="","",IF(V4982=0,"🟢 OK",IF(D4982&lt;corte,"⚪ HISTÓRICO (sem baixa)",IF(AND(ISNUMBER(R4982),R4982&lt;TODAY()),"🔴 PRAZO VENCIDO",IF(AND(OR(N4982="PENDENTE",N4982="PARCIAL"),D4982&lt;TODAY()-1),"🔴 EMBARQUE ATRASADO",IF(AND(N4982="REALIZADO",M4982="PENDENTE"),"🟡 EMBARCADO SEM FATURAR",IF(AND(P4982&lt;&gt;"",S4982="",OR(Q4982="",R4982="")),"🟡 PENDÊNCIA SEM RESPONSÁVEL/PRAZO",IF(AND(ISNUMBER(R4982),R4982=TODAY()),"🟡 VENCE HOJE",IF(AND(P4982&lt;&gt;"",S4982=""),"🟡 PENDÊNCIA ABERTA",IF(AND(N(J4982)&gt;0,N(K4982)&lt;J4982),"🟡 FALTA EXECUTAR",IF(OR(M4982="PENDENTE",M4982="PARCIAL"),"🟡 FATURAMENTO PENDENTE","🟡 EMBARQUE PENDENTE")))))))))))</f>
        <v/>
      </c>
      <c r="D4982" s="4" t="n"/>
      <c r="E4982" s="5" t="n"/>
      <c r="F4982" s="5" t="n"/>
      <c r="G4982" s="5" t="n"/>
      <c r="H4982" s="5" t="n"/>
      <c r="I4982" s="5" t="n"/>
      <c r="J4982" s="6" t="n"/>
      <c r="K4982" s="6" t="n"/>
      <c r="L4982" s="7">
        <f>IF(OR(D4982="",N(J4982)=0),"",MIN(1,N(K4982)/J4982))</f>
        <v/>
      </c>
      <c r="M4982" s="5" t="n"/>
      <c r="N4982" s="5" t="n"/>
      <c r="O4982" s="5" t="n"/>
      <c r="P4982" s="5" t="n"/>
      <c r="Q4982" s="5" t="n"/>
      <c r="R4982" s="4" t="n"/>
      <c r="S4982" s="4" t="n"/>
      <c r="T4982" s="5" t="n"/>
      <c r="U4982" s="8">
        <f>IF(AND(V4982=1,D4982&lt;&gt;""),IF(D4982&gt;=corte,TODAY()-D4982,""),"")</f>
        <v/>
      </c>
      <c r="V4982" s="8">
        <f>IF(D4982="",0,IF(OR(AND(P4982&lt;&gt;"",S4982=""),AND(N(J4982)&gt;0,N(K4982)&lt;J4982),OR(M4982="PENDENTE",M4982="PARCIAL"),OR(N4982="PENDENTE",N4982="PARCIAL")),1,0))</f>
        <v/>
      </c>
      <c r="W4982" s="8">
        <f>IF(AND(V4982=1,D4982&lt;&gt;""),IF(D4982&gt;=corte,(B4982="CRÍTICO")*1E9+(100000-D4982)*10000+10000-ROW(),""),"")</f>
        <v/>
      </c>
      <c r="X4982" s="8">
        <f>IF(AND(V4982=1,D4982=pas_data,E4982=pas_turno),10000-ROW(),"")</f>
        <v/>
      </c>
    </row>
    <row r="4983">
      <c r="A4983" s="3">
        <f>IF(D4983="","","TT-"&amp;TEXT(ROW()-1,"00000"))</f>
        <v/>
      </c>
      <c r="B4983" s="3">
        <f>IF(D4983="","",IF(V4983=0,"CONCLUÍDO",IF(D4983&lt;corte,"HISTÓRICO",IF(OR(AND(ISNUMBER(R4983),R4983&lt;TODAY()),AND(OR(N4983="PENDENTE",N4983="PARCIAL"),D4983&lt;TODAY()-1)),"CRÍTICO",IF(OR(AND(P4983&lt;&gt;"",S4983=""),AND(N4983="REALIZADO",M4983="PENDENTE"),AND(ISNUMBER(R4983),R4983=TODAY())),"ATENÇÃO",IF(N(K4983)=0,"PENDENTE","EM ANDAMENTO"))))))</f>
        <v/>
      </c>
      <c r="C4983" s="3">
        <f>IF(D4983="","",IF(V4983=0,"🟢 OK",IF(D4983&lt;corte,"⚪ HISTÓRICO (sem baixa)",IF(AND(ISNUMBER(R4983),R4983&lt;TODAY()),"🔴 PRAZO VENCIDO",IF(AND(OR(N4983="PENDENTE",N4983="PARCIAL"),D4983&lt;TODAY()-1),"🔴 EMBARQUE ATRASADO",IF(AND(N4983="REALIZADO",M4983="PENDENTE"),"🟡 EMBARCADO SEM FATURAR",IF(AND(P4983&lt;&gt;"",S4983="",OR(Q4983="",R4983="")),"🟡 PENDÊNCIA SEM RESPONSÁVEL/PRAZO",IF(AND(ISNUMBER(R4983),R4983=TODAY()),"🟡 VENCE HOJE",IF(AND(P4983&lt;&gt;"",S4983=""),"🟡 PENDÊNCIA ABERTA",IF(AND(N(J4983)&gt;0,N(K4983)&lt;J4983),"🟡 FALTA EXECUTAR",IF(OR(M4983="PENDENTE",M4983="PARCIAL"),"🟡 FATURAMENTO PENDENTE","🟡 EMBARQUE PENDENTE")))))))))))</f>
        <v/>
      </c>
      <c r="D4983" s="4" t="n"/>
      <c r="E4983" s="5" t="n"/>
      <c r="F4983" s="5" t="n"/>
      <c r="G4983" s="5" t="n"/>
      <c r="H4983" s="5" t="n"/>
      <c r="I4983" s="5" t="n"/>
      <c r="J4983" s="6" t="n"/>
      <c r="K4983" s="6" t="n"/>
      <c r="L4983" s="7">
        <f>IF(OR(D4983="",N(J4983)=0),"",MIN(1,N(K4983)/J4983))</f>
        <v/>
      </c>
      <c r="M4983" s="5" t="n"/>
      <c r="N4983" s="5" t="n"/>
      <c r="O4983" s="5" t="n"/>
      <c r="P4983" s="5" t="n"/>
      <c r="Q4983" s="5" t="n"/>
      <c r="R4983" s="4" t="n"/>
      <c r="S4983" s="4" t="n"/>
      <c r="T4983" s="5" t="n"/>
      <c r="U4983" s="8">
        <f>IF(AND(V4983=1,D4983&lt;&gt;""),IF(D4983&gt;=corte,TODAY()-D4983,""),"")</f>
        <v/>
      </c>
      <c r="V4983" s="8">
        <f>IF(D4983="",0,IF(OR(AND(P4983&lt;&gt;"",S4983=""),AND(N(J4983)&gt;0,N(K4983)&lt;J4983),OR(M4983="PENDENTE",M4983="PARCIAL"),OR(N4983="PENDENTE",N4983="PARCIAL")),1,0))</f>
        <v/>
      </c>
      <c r="W4983" s="8">
        <f>IF(AND(V4983=1,D4983&lt;&gt;""),IF(D4983&gt;=corte,(B4983="CRÍTICO")*1E9+(100000-D4983)*10000+10000-ROW(),""),"")</f>
        <v/>
      </c>
      <c r="X4983" s="8">
        <f>IF(AND(V4983=1,D4983=pas_data,E4983=pas_turno),10000-ROW(),"")</f>
        <v/>
      </c>
    </row>
    <row r="4984">
      <c r="A4984" s="3">
        <f>IF(D4984="","","TT-"&amp;TEXT(ROW()-1,"00000"))</f>
        <v/>
      </c>
      <c r="B4984" s="3">
        <f>IF(D4984="","",IF(V4984=0,"CONCLUÍDO",IF(D4984&lt;corte,"HISTÓRICO",IF(OR(AND(ISNUMBER(R4984),R4984&lt;TODAY()),AND(OR(N4984="PENDENTE",N4984="PARCIAL"),D4984&lt;TODAY()-1)),"CRÍTICO",IF(OR(AND(P4984&lt;&gt;"",S4984=""),AND(N4984="REALIZADO",M4984="PENDENTE"),AND(ISNUMBER(R4984),R4984=TODAY())),"ATENÇÃO",IF(N(K4984)=0,"PENDENTE","EM ANDAMENTO"))))))</f>
        <v/>
      </c>
      <c r="C4984" s="3">
        <f>IF(D4984="","",IF(V4984=0,"🟢 OK",IF(D4984&lt;corte,"⚪ HISTÓRICO (sem baixa)",IF(AND(ISNUMBER(R4984),R4984&lt;TODAY()),"🔴 PRAZO VENCIDO",IF(AND(OR(N4984="PENDENTE",N4984="PARCIAL"),D4984&lt;TODAY()-1),"🔴 EMBARQUE ATRASADO",IF(AND(N4984="REALIZADO",M4984="PENDENTE"),"🟡 EMBARCADO SEM FATURAR",IF(AND(P4984&lt;&gt;"",S4984="",OR(Q4984="",R4984="")),"🟡 PENDÊNCIA SEM RESPONSÁVEL/PRAZO",IF(AND(ISNUMBER(R4984),R4984=TODAY()),"🟡 VENCE HOJE",IF(AND(P4984&lt;&gt;"",S4984=""),"🟡 PENDÊNCIA ABERTA",IF(AND(N(J4984)&gt;0,N(K4984)&lt;J4984),"🟡 FALTA EXECUTAR",IF(OR(M4984="PENDENTE",M4984="PARCIAL"),"🟡 FATURAMENTO PENDENTE","🟡 EMBARQUE PENDENTE")))))))))))</f>
        <v/>
      </c>
      <c r="D4984" s="4" t="n"/>
      <c r="E4984" s="5" t="n"/>
      <c r="F4984" s="5" t="n"/>
      <c r="G4984" s="5" t="n"/>
      <c r="H4984" s="5" t="n"/>
      <c r="I4984" s="5" t="n"/>
      <c r="J4984" s="6" t="n"/>
      <c r="K4984" s="6" t="n"/>
      <c r="L4984" s="7">
        <f>IF(OR(D4984="",N(J4984)=0),"",MIN(1,N(K4984)/J4984))</f>
        <v/>
      </c>
      <c r="M4984" s="5" t="n"/>
      <c r="N4984" s="5" t="n"/>
      <c r="O4984" s="5" t="n"/>
      <c r="P4984" s="5" t="n"/>
      <c r="Q4984" s="5" t="n"/>
      <c r="R4984" s="4" t="n"/>
      <c r="S4984" s="4" t="n"/>
      <c r="T4984" s="5" t="n"/>
      <c r="U4984" s="8">
        <f>IF(AND(V4984=1,D4984&lt;&gt;""),IF(D4984&gt;=corte,TODAY()-D4984,""),"")</f>
        <v/>
      </c>
      <c r="V4984" s="8">
        <f>IF(D4984="",0,IF(OR(AND(P4984&lt;&gt;"",S4984=""),AND(N(J4984)&gt;0,N(K4984)&lt;J4984),OR(M4984="PENDENTE",M4984="PARCIAL"),OR(N4984="PENDENTE",N4984="PARCIAL")),1,0))</f>
        <v/>
      </c>
      <c r="W4984" s="8">
        <f>IF(AND(V4984=1,D4984&lt;&gt;""),IF(D4984&gt;=corte,(B4984="CRÍTICO")*1E9+(100000-D4984)*10000+10000-ROW(),""),"")</f>
        <v/>
      </c>
      <c r="X4984" s="8">
        <f>IF(AND(V4984=1,D4984=pas_data,E4984=pas_turno),10000-ROW(),"")</f>
        <v/>
      </c>
    </row>
    <row r="4985">
      <c r="A4985" s="3">
        <f>IF(D4985="","","TT-"&amp;TEXT(ROW()-1,"00000"))</f>
        <v/>
      </c>
      <c r="B4985" s="3">
        <f>IF(D4985="","",IF(V4985=0,"CONCLUÍDO",IF(D4985&lt;corte,"HISTÓRICO",IF(OR(AND(ISNUMBER(R4985),R4985&lt;TODAY()),AND(OR(N4985="PENDENTE",N4985="PARCIAL"),D4985&lt;TODAY()-1)),"CRÍTICO",IF(OR(AND(P4985&lt;&gt;"",S4985=""),AND(N4985="REALIZADO",M4985="PENDENTE"),AND(ISNUMBER(R4985),R4985=TODAY())),"ATENÇÃO",IF(N(K4985)=0,"PENDENTE","EM ANDAMENTO"))))))</f>
        <v/>
      </c>
      <c r="C4985" s="3">
        <f>IF(D4985="","",IF(V4985=0,"🟢 OK",IF(D4985&lt;corte,"⚪ HISTÓRICO (sem baixa)",IF(AND(ISNUMBER(R4985),R4985&lt;TODAY()),"🔴 PRAZO VENCIDO",IF(AND(OR(N4985="PENDENTE",N4985="PARCIAL"),D4985&lt;TODAY()-1),"🔴 EMBARQUE ATRASADO",IF(AND(N4985="REALIZADO",M4985="PENDENTE"),"🟡 EMBARCADO SEM FATURAR",IF(AND(P4985&lt;&gt;"",S4985="",OR(Q4985="",R4985="")),"🟡 PENDÊNCIA SEM RESPONSÁVEL/PRAZO",IF(AND(ISNUMBER(R4985),R4985=TODAY()),"🟡 VENCE HOJE",IF(AND(P4985&lt;&gt;"",S4985=""),"🟡 PENDÊNCIA ABERTA",IF(AND(N(J4985)&gt;0,N(K4985)&lt;J4985),"🟡 FALTA EXECUTAR",IF(OR(M4985="PENDENTE",M4985="PARCIAL"),"🟡 FATURAMENTO PENDENTE","🟡 EMBARQUE PENDENTE")))))))))))</f>
        <v/>
      </c>
      <c r="D4985" s="4" t="n"/>
      <c r="E4985" s="5" t="n"/>
      <c r="F4985" s="5" t="n"/>
      <c r="G4985" s="5" t="n"/>
      <c r="H4985" s="5" t="n"/>
      <c r="I4985" s="5" t="n"/>
      <c r="J4985" s="6" t="n"/>
      <c r="K4985" s="6" t="n"/>
      <c r="L4985" s="7">
        <f>IF(OR(D4985="",N(J4985)=0),"",MIN(1,N(K4985)/J4985))</f>
        <v/>
      </c>
      <c r="M4985" s="5" t="n"/>
      <c r="N4985" s="5" t="n"/>
      <c r="O4985" s="5" t="n"/>
      <c r="P4985" s="5" t="n"/>
      <c r="Q4985" s="5" t="n"/>
      <c r="R4985" s="4" t="n"/>
      <c r="S4985" s="4" t="n"/>
      <c r="T4985" s="5" t="n"/>
      <c r="U4985" s="8">
        <f>IF(AND(V4985=1,D4985&lt;&gt;""),IF(D4985&gt;=corte,TODAY()-D4985,""),"")</f>
        <v/>
      </c>
      <c r="V4985" s="8">
        <f>IF(D4985="",0,IF(OR(AND(P4985&lt;&gt;"",S4985=""),AND(N(J4985)&gt;0,N(K4985)&lt;J4985),OR(M4985="PENDENTE",M4985="PARCIAL"),OR(N4985="PENDENTE",N4985="PARCIAL")),1,0))</f>
        <v/>
      </c>
      <c r="W4985" s="8">
        <f>IF(AND(V4985=1,D4985&lt;&gt;""),IF(D4985&gt;=corte,(B4985="CRÍTICO")*1E9+(100000-D4985)*10000+10000-ROW(),""),"")</f>
        <v/>
      </c>
      <c r="X4985" s="8">
        <f>IF(AND(V4985=1,D4985=pas_data,E4985=pas_turno),10000-ROW(),"")</f>
        <v/>
      </c>
    </row>
    <row r="4986">
      <c r="A4986" s="3">
        <f>IF(D4986="","","TT-"&amp;TEXT(ROW()-1,"00000"))</f>
        <v/>
      </c>
      <c r="B4986" s="3">
        <f>IF(D4986="","",IF(V4986=0,"CONCLUÍDO",IF(D4986&lt;corte,"HISTÓRICO",IF(OR(AND(ISNUMBER(R4986),R4986&lt;TODAY()),AND(OR(N4986="PENDENTE",N4986="PARCIAL"),D4986&lt;TODAY()-1)),"CRÍTICO",IF(OR(AND(P4986&lt;&gt;"",S4986=""),AND(N4986="REALIZADO",M4986="PENDENTE"),AND(ISNUMBER(R4986),R4986=TODAY())),"ATENÇÃO",IF(N(K4986)=0,"PENDENTE","EM ANDAMENTO"))))))</f>
        <v/>
      </c>
      <c r="C4986" s="3">
        <f>IF(D4986="","",IF(V4986=0,"🟢 OK",IF(D4986&lt;corte,"⚪ HISTÓRICO (sem baixa)",IF(AND(ISNUMBER(R4986),R4986&lt;TODAY()),"🔴 PRAZO VENCIDO",IF(AND(OR(N4986="PENDENTE",N4986="PARCIAL"),D4986&lt;TODAY()-1),"🔴 EMBARQUE ATRASADO",IF(AND(N4986="REALIZADO",M4986="PENDENTE"),"🟡 EMBARCADO SEM FATURAR",IF(AND(P4986&lt;&gt;"",S4986="",OR(Q4986="",R4986="")),"🟡 PENDÊNCIA SEM RESPONSÁVEL/PRAZO",IF(AND(ISNUMBER(R4986),R4986=TODAY()),"🟡 VENCE HOJE",IF(AND(P4986&lt;&gt;"",S4986=""),"🟡 PENDÊNCIA ABERTA",IF(AND(N(J4986)&gt;0,N(K4986)&lt;J4986),"🟡 FALTA EXECUTAR",IF(OR(M4986="PENDENTE",M4986="PARCIAL"),"🟡 FATURAMENTO PENDENTE","🟡 EMBARQUE PENDENTE")))))))))))</f>
        <v/>
      </c>
      <c r="D4986" s="4" t="n"/>
      <c r="E4986" s="5" t="n"/>
      <c r="F4986" s="5" t="n"/>
      <c r="G4986" s="5" t="n"/>
      <c r="H4986" s="5" t="n"/>
      <c r="I4986" s="5" t="n"/>
      <c r="J4986" s="6" t="n"/>
      <c r="K4986" s="6" t="n"/>
      <c r="L4986" s="7">
        <f>IF(OR(D4986="",N(J4986)=0),"",MIN(1,N(K4986)/J4986))</f>
        <v/>
      </c>
      <c r="M4986" s="5" t="n"/>
      <c r="N4986" s="5" t="n"/>
      <c r="O4986" s="5" t="n"/>
      <c r="P4986" s="5" t="n"/>
      <c r="Q4986" s="5" t="n"/>
      <c r="R4986" s="4" t="n"/>
      <c r="S4986" s="4" t="n"/>
      <c r="T4986" s="5" t="n"/>
      <c r="U4986" s="8">
        <f>IF(AND(V4986=1,D4986&lt;&gt;""),IF(D4986&gt;=corte,TODAY()-D4986,""),"")</f>
        <v/>
      </c>
      <c r="V4986" s="8">
        <f>IF(D4986="",0,IF(OR(AND(P4986&lt;&gt;"",S4986=""),AND(N(J4986)&gt;0,N(K4986)&lt;J4986),OR(M4986="PENDENTE",M4986="PARCIAL"),OR(N4986="PENDENTE",N4986="PARCIAL")),1,0))</f>
        <v/>
      </c>
      <c r="W4986" s="8">
        <f>IF(AND(V4986=1,D4986&lt;&gt;""),IF(D4986&gt;=corte,(B4986="CRÍTICO")*1E9+(100000-D4986)*10000+10000-ROW(),""),"")</f>
        <v/>
      </c>
      <c r="X4986" s="8">
        <f>IF(AND(V4986=1,D4986=pas_data,E4986=pas_turno),10000-ROW(),"")</f>
        <v/>
      </c>
    </row>
    <row r="4987">
      <c r="A4987" s="3">
        <f>IF(D4987="","","TT-"&amp;TEXT(ROW()-1,"00000"))</f>
        <v/>
      </c>
      <c r="B4987" s="3">
        <f>IF(D4987="","",IF(V4987=0,"CONCLUÍDO",IF(D4987&lt;corte,"HISTÓRICO",IF(OR(AND(ISNUMBER(R4987),R4987&lt;TODAY()),AND(OR(N4987="PENDENTE",N4987="PARCIAL"),D4987&lt;TODAY()-1)),"CRÍTICO",IF(OR(AND(P4987&lt;&gt;"",S4987=""),AND(N4987="REALIZADO",M4987="PENDENTE"),AND(ISNUMBER(R4987),R4987=TODAY())),"ATENÇÃO",IF(N(K4987)=0,"PENDENTE","EM ANDAMENTO"))))))</f>
        <v/>
      </c>
      <c r="C4987" s="3">
        <f>IF(D4987="","",IF(V4987=0,"🟢 OK",IF(D4987&lt;corte,"⚪ HISTÓRICO (sem baixa)",IF(AND(ISNUMBER(R4987),R4987&lt;TODAY()),"🔴 PRAZO VENCIDO",IF(AND(OR(N4987="PENDENTE",N4987="PARCIAL"),D4987&lt;TODAY()-1),"🔴 EMBARQUE ATRASADO",IF(AND(N4987="REALIZADO",M4987="PENDENTE"),"🟡 EMBARCADO SEM FATURAR",IF(AND(P4987&lt;&gt;"",S4987="",OR(Q4987="",R4987="")),"🟡 PENDÊNCIA SEM RESPONSÁVEL/PRAZO",IF(AND(ISNUMBER(R4987),R4987=TODAY()),"🟡 VENCE HOJE",IF(AND(P4987&lt;&gt;"",S4987=""),"🟡 PENDÊNCIA ABERTA",IF(AND(N(J4987)&gt;0,N(K4987)&lt;J4987),"🟡 FALTA EXECUTAR",IF(OR(M4987="PENDENTE",M4987="PARCIAL"),"🟡 FATURAMENTO PENDENTE","🟡 EMBARQUE PENDENTE")))))))))))</f>
        <v/>
      </c>
      <c r="D4987" s="4" t="n"/>
      <c r="E4987" s="5" t="n"/>
      <c r="F4987" s="5" t="n"/>
      <c r="G4987" s="5" t="n"/>
      <c r="H4987" s="5" t="n"/>
      <c r="I4987" s="5" t="n"/>
      <c r="J4987" s="6" t="n"/>
      <c r="K4987" s="6" t="n"/>
      <c r="L4987" s="7">
        <f>IF(OR(D4987="",N(J4987)=0),"",MIN(1,N(K4987)/J4987))</f>
        <v/>
      </c>
      <c r="M4987" s="5" t="n"/>
      <c r="N4987" s="5" t="n"/>
      <c r="O4987" s="5" t="n"/>
      <c r="P4987" s="5" t="n"/>
      <c r="Q4987" s="5" t="n"/>
      <c r="R4987" s="4" t="n"/>
      <c r="S4987" s="4" t="n"/>
      <c r="T4987" s="5" t="n"/>
      <c r="U4987" s="8">
        <f>IF(AND(V4987=1,D4987&lt;&gt;""),IF(D4987&gt;=corte,TODAY()-D4987,""),"")</f>
        <v/>
      </c>
      <c r="V4987" s="8">
        <f>IF(D4987="",0,IF(OR(AND(P4987&lt;&gt;"",S4987=""),AND(N(J4987)&gt;0,N(K4987)&lt;J4987),OR(M4987="PENDENTE",M4987="PARCIAL"),OR(N4987="PENDENTE",N4987="PARCIAL")),1,0))</f>
        <v/>
      </c>
      <c r="W4987" s="8">
        <f>IF(AND(V4987=1,D4987&lt;&gt;""),IF(D4987&gt;=corte,(B4987="CRÍTICO")*1E9+(100000-D4987)*10000+10000-ROW(),""),"")</f>
        <v/>
      </c>
      <c r="X4987" s="8">
        <f>IF(AND(V4987=1,D4987=pas_data,E4987=pas_turno),10000-ROW(),"")</f>
        <v/>
      </c>
    </row>
    <row r="4988">
      <c r="A4988" s="3">
        <f>IF(D4988="","","TT-"&amp;TEXT(ROW()-1,"00000"))</f>
        <v/>
      </c>
      <c r="B4988" s="3">
        <f>IF(D4988="","",IF(V4988=0,"CONCLUÍDO",IF(D4988&lt;corte,"HISTÓRICO",IF(OR(AND(ISNUMBER(R4988),R4988&lt;TODAY()),AND(OR(N4988="PENDENTE",N4988="PARCIAL"),D4988&lt;TODAY()-1)),"CRÍTICO",IF(OR(AND(P4988&lt;&gt;"",S4988=""),AND(N4988="REALIZADO",M4988="PENDENTE"),AND(ISNUMBER(R4988),R4988=TODAY())),"ATENÇÃO",IF(N(K4988)=0,"PENDENTE","EM ANDAMENTO"))))))</f>
        <v/>
      </c>
      <c r="C4988" s="3">
        <f>IF(D4988="","",IF(V4988=0,"🟢 OK",IF(D4988&lt;corte,"⚪ HISTÓRICO (sem baixa)",IF(AND(ISNUMBER(R4988),R4988&lt;TODAY()),"🔴 PRAZO VENCIDO",IF(AND(OR(N4988="PENDENTE",N4988="PARCIAL"),D4988&lt;TODAY()-1),"🔴 EMBARQUE ATRASADO",IF(AND(N4988="REALIZADO",M4988="PENDENTE"),"🟡 EMBARCADO SEM FATURAR",IF(AND(P4988&lt;&gt;"",S4988="",OR(Q4988="",R4988="")),"🟡 PENDÊNCIA SEM RESPONSÁVEL/PRAZO",IF(AND(ISNUMBER(R4988),R4988=TODAY()),"🟡 VENCE HOJE",IF(AND(P4988&lt;&gt;"",S4988=""),"🟡 PENDÊNCIA ABERTA",IF(AND(N(J4988)&gt;0,N(K4988)&lt;J4988),"🟡 FALTA EXECUTAR",IF(OR(M4988="PENDENTE",M4988="PARCIAL"),"🟡 FATURAMENTO PENDENTE","🟡 EMBARQUE PENDENTE")))))))))))</f>
        <v/>
      </c>
      <c r="D4988" s="4" t="n"/>
      <c r="E4988" s="5" t="n"/>
      <c r="F4988" s="5" t="n"/>
      <c r="G4988" s="5" t="n"/>
      <c r="H4988" s="5" t="n"/>
      <c r="I4988" s="5" t="n"/>
      <c r="J4988" s="6" t="n"/>
      <c r="K4988" s="6" t="n"/>
      <c r="L4988" s="7">
        <f>IF(OR(D4988="",N(J4988)=0),"",MIN(1,N(K4988)/J4988))</f>
        <v/>
      </c>
      <c r="M4988" s="5" t="n"/>
      <c r="N4988" s="5" t="n"/>
      <c r="O4988" s="5" t="n"/>
      <c r="P4988" s="5" t="n"/>
      <c r="Q4988" s="5" t="n"/>
      <c r="R4988" s="4" t="n"/>
      <c r="S4988" s="4" t="n"/>
      <c r="T4988" s="5" t="n"/>
      <c r="U4988" s="8">
        <f>IF(AND(V4988=1,D4988&lt;&gt;""),IF(D4988&gt;=corte,TODAY()-D4988,""),"")</f>
        <v/>
      </c>
      <c r="V4988" s="8">
        <f>IF(D4988="",0,IF(OR(AND(P4988&lt;&gt;"",S4988=""),AND(N(J4988)&gt;0,N(K4988)&lt;J4988),OR(M4988="PENDENTE",M4988="PARCIAL"),OR(N4988="PENDENTE",N4988="PARCIAL")),1,0))</f>
        <v/>
      </c>
      <c r="W4988" s="8">
        <f>IF(AND(V4988=1,D4988&lt;&gt;""),IF(D4988&gt;=corte,(B4988="CRÍTICO")*1E9+(100000-D4988)*10000+10000-ROW(),""),"")</f>
        <v/>
      </c>
      <c r="X4988" s="8">
        <f>IF(AND(V4988=1,D4988=pas_data,E4988=pas_turno),10000-ROW(),"")</f>
        <v/>
      </c>
    </row>
    <row r="4989">
      <c r="A4989" s="3">
        <f>IF(D4989="","","TT-"&amp;TEXT(ROW()-1,"00000"))</f>
        <v/>
      </c>
      <c r="B4989" s="3">
        <f>IF(D4989="","",IF(V4989=0,"CONCLUÍDO",IF(D4989&lt;corte,"HISTÓRICO",IF(OR(AND(ISNUMBER(R4989),R4989&lt;TODAY()),AND(OR(N4989="PENDENTE",N4989="PARCIAL"),D4989&lt;TODAY()-1)),"CRÍTICO",IF(OR(AND(P4989&lt;&gt;"",S4989=""),AND(N4989="REALIZADO",M4989="PENDENTE"),AND(ISNUMBER(R4989),R4989=TODAY())),"ATENÇÃO",IF(N(K4989)=0,"PENDENTE","EM ANDAMENTO"))))))</f>
        <v/>
      </c>
      <c r="C4989" s="3">
        <f>IF(D4989="","",IF(V4989=0,"🟢 OK",IF(D4989&lt;corte,"⚪ HISTÓRICO (sem baixa)",IF(AND(ISNUMBER(R4989),R4989&lt;TODAY()),"🔴 PRAZO VENCIDO",IF(AND(OR(N4989="PENDENTE",N4989="PARCIAL"),D4989&lt;TODAY()-1),"🔴 EMBARQUE ATRASADO",IF(AND(N4989="REALIZADO",M4989="PENDENTE"),"🟡 EMBARCADO SEM FATURAR",IF(AND(P4989&lt;&gt;"",S4989="",OR(Q4989="",R4989="")),"🟡 PENDÊNCIA SEM RESPONSÁVEL/PRAZO",IF(AND(ISNUMBER(R4989),R4989=TODAY()),"🟡 VENCE HOJE",IF(AND(P4989&lt;&gt;"",S4989=""),"🟡 PENDÊNCIA ABERTA",IF(AND(N(J4989)&gt;0,N(K4989)&lt;J4989),"🟡 FALTA EXECUTAR",IF(OR(M4989="PENDENTE",M4989="PARCIAL"),"🟡 FATURAMENTO PENDENTE","🟡 EMBARQUE PENDENTE")))))))))))</f>
        <v/>
      </c>
      <c r="D4989" s="4" t="n"/>
      <c r="E4989" s="5" t="n"/>
      <c r="F4989" s="5" t="n"/>
      <c r="G4989" s="5" t="n"/>
      <c r="H4989" s="5" t="n"/>
      <c r="I4989" s="5" t="n"/>
      <c r="J4989" s="6" t="n"/>
      <c r="K4989" s="6" t="n"/>
      <c r="L4989" s="7">
        <f>IF(OR(D4989="",N(J4989)=0),"",MIN(1,N(K4989)/J4989))</f>
        <v/>
      </c>
      <c r="M4989" s="5" t="n"/>
      <c r="N4989" s="5" t="n"/>
      <c r="O4989" s="5" t="n"/>
      <c r="P4989" s="5" t="n"/>
      <c r="Q4989" s="5" t="n"/>
      <c r="R4989" s="4" t="n"/>
      <c r="S4989" s="4" t="n"/>
      <c r="T4989" s="5" t="n"/>
      <c r="U4989" s="8">
        <f>IF(AND(V4989=1,D4989&lt;&gt;""),IF(D4989&gt;=corte,TODAY()-D4989,""),"")</f>
        <v/>
      </c>
      <c r="V4989" s="8">
        <f>IF(D4989="",0,IF(OR(AND(P4989&lt;&gt;"",S4989=""),AND(N(J4989)&gt;0,N(K4989)&lt;J4989),OR(M4989="PENDENTE",M4989="PARCIAL"),OR(N4989="PENDENTE",N4989="PARCIAL")),1,0))</f>
        <v/>
      </c>
      <c r="W4989" s="8">
        <f>IF(AND(V4989=1,D4989&lt;&gt;""),IF(D4989&gt;=corte,(B4989="CRÍTICO")*1E9+(100000-D4989)*10000+10000-ROW(),""),"")</f>
        <v/>
      </c>
      <c r="X4989" s="8">
        <f>IF(AND(V4989=1,D4989=pas_data,E4989=pas_turno),10000-ROW(),"")</f>
        <v/>
      </c>
    </row>
    <row r="4990">
      <c r="A4990" s="3">
        <f>IF(D4990="","","TT-"&amp;TEXT(ROW()-1,"00000"))</f>
        <v/>
      </c>
      <c r="B4990" s="3">
        <f>IF(D4990="","",IF(V4990=0,"CONCLUÍDO",IF(D4990&lt;corte,"HISTÓRICO",IF(OR(AND(ISNUMBER(R4990),R4990&lt;TODAY()),AND(OR(N4990="PENDENTE",N4990="PARCIAL"),D4990&lt;TODAY()-1)),"CRÍTICO",IF(OR(AND(P4990&lt;&gt;"",S4990=""),AND(N4990="REALIZADO",M4990="PENDENTE"),AND(ISNUMBER(R4990),R4990=TODAY())),"ATENÇÃO",IF(N(K4990)=0,"PENDENTE","EM ANDAMENTO"))))))</f>
        <v/>
      </c>
      <c r="C4990" s="3">
        <f>IF(D4990="","",IF(V4990=0,"🟢 OK",IF(D4990&lt;corte,"⚪ HISTÓRICO (sem baixa)",IF(AND(ISNUMBER(R4990),R4990&lt;TODAY()),"🔴 PRAZO VENCIDO",IF(AND(OR(N4990="PENDENTE",N4990="PARCIAL"),D4990&lt;TODAY()-1),"🔴 EMBARQUE ATRASADO",IF(AND(N4990="REALIZADO",M4990="PENDENTE"),"🟡 EMBARCADO SEM FATURAR",IF(AND(P4990&lt;&gt;"",S4990="",OR(Q4990="",R4990="")),"🟡 PENDÊNCIA SEM RESPONSÁVEL/PRAZO",IF(AND(ISNUMBER(R4990),R4990=TODAY()),"🟡 VENCE HOJE",IF(AND(P4990&lt;&gt;"",S4990=""),"🟡 PENDÊNCIA ABERTA",IF(AND(N(J4990)&gt;0,N(K4990)&lt;J4990),"🟡 FALTA EXECUTAR",IF(OR(M4990="PENDENTE",M4990="PARCIAL"),"🟡 FATURAMENTO PENDENTE","🟡 EMBARQUE PENDENTE")))))))))))</f>
        <v/>
      </c>
      <c r="D4990" s="4" t="n"/>
      <c r="E4990" s="5" t="n"/>
      <c r="F4990" s="5" t="n"/>
      <c r="G4990" s="5" t="n"/>
      <c r="H4990" s="5" t="n"/>
      <c r="I4990" s="5" t="n"/>
      <c r="J4990" s="6" t="n"/>
      <c r="K4990" s="6" t="n"/>
      <c r="L4990" s="7">
        <f>IF(OR(D4990="",N(J4990)=0),"",MIN(1,N(K4990)/J4990))</f>
        <v/>
      </c>
      <c r="M4990" s="5" t="n"/>
      <c r="N4990" s="5" t="n"/>
      <c r="O4990" s="5" t="n"/>
      <c r="P4990" s="5" t="n"/>
      <c r="Q4990" s="5" t="n"/>
      <c r="R4990" s="4" t="n"/>
      <c r="S4990" s="4" t="n"/>
      <c r="T4990" s="5" t="n"/>
      <c r="U4990" s="8">
        <f>IF(AND(V4990=1,D4990&lt;&gt;""),IF(D4990&gt;=corte,TODAY()-D4990,""),"")</f>
        <v/>
      </c>
      <c r="V4990" s="8">
        <f>IF(D4990="",0,IF(OR(AND(P4990&lt;&gt;"",S4990=""),AND(N(J4990)&gt;0,N(K4990)&lt;J4990),OR(M4990="PENDENTE",M4990="PARCIAL"),OR(N4990="PENDENTE",N4990="PARCIAL")),1,0))</f>
        <v/>
      </c>
      <c r="W4990" s="8">
        <f>IF(AND(V4990=1,D4990&lt;&gt;""),IF(D4990&gt;=corte,(B4990="CRÍTICO")*1E9+(100000-D4990)*10000+10000-ROW(),""),"")</f>
        <v/>
      </c>
      <c r="X4990" s="8">
        <f>IF(AND(V4990=1,D4990=pas_data,E4990=pas_turno),10000-ROW(),"")</f>
        <v/>
      </c>
    </row>
    <row r="4991">
      <c r="A4991" s="3">
        <f>IF(D4991="","","TT-"&amp;TEXT(ROW()-1,"00000"))</f>
        <v/>
      </c>
      <c r="B4991" s="3">
        <f>IF(D4991="","",IF(V4991=0,"CONCLUÍDO",IF(D4991&lt;corte,"HISTÓRICO",IF(OR(AND(ISNUMBER(R4991),R4991&lt;TODAY()),AND(OR(N4991="PENDENTE",N4991="PARCIAL"),D4991&lt;TODAY()-1)),"CRÍTICO",IF(OR(AND(P4991&lt;&gt;"",S4991=""),AND(N4991="REALIZADO",M4991="PENDENTE"),AND(ISNUMBER(R4991),R4991=TODAY())),"ATENÇÃO",IF(N(K4991)=0,"PENDENTE","EM ANDAMENTO"))))))</f>
        <v/>
      </c>
      <c r="C4991" s="3">
        <f>IF(D4991="","",IF(V4991=0,"🟢 OK",IF(D4991&lt;corte,"⚪ HISTÓRICO (sem baixa)",IF(AND(ISNUMBER(R4991),R4991&lt;TODAY()),"🔴 PRAZO VENCIDO",IF(AND(OR(N4991="PENDENTE",N4991="PARCIAL"),D4991&lt;TODAY()-1),"🔴 EMBARQUE ATRASADO",IF(AND(N4991="REALIZADO",M4991="PENDENTE"),"🟡 EMBARCADO SEM FATURAR",IF(AND(P4991&lt;&gt;"",S4991="",OR(Q4991="",R4991="")),"🟡 PENDÊNCIA SEM RESPONSÁVEL/PRAZO",IF(AND(ISNUMBER(R4991),R4991=TODAY()),"🟡 VENCE HOJE",IF(AND(P4991&lt;&gt;"",S4991=""),"🟡 PENDÊNCIA ABERTA",IF(AND(N(J4991)&gt;0,N(K4991)&lt;J4991),"🟡 FALTA EXECUTAR",IF(OR(M4991="PENDENTE",M4991="PARCIAL"),"🟡 FATURAMENTO PENDENTE","🟡 EMBARQUE PENDENTE")))))))))))</f>
        <v/>
      </c>
      <c r="D4991" s="4" t="n"/>
      <c r="E4991" s="5" t="n"/>
      <c r="F4991" s="5" t="n"/>
      <c r="G4991" s="5" t="n"/>
      <c r="H4991" s="5" t="n"/>
      <c r="I4991" s="5" t="n"/>
      <c r="J4991" s="6" t="n"/>
      <c r="K4991" s="6" t="n"/>
      <c r="L4991" s="7">
        <f>IF(OR(D4991="",N(J4991)=0),"",MIN(1,N(K4991)/J4991))</f>
        <v/>
      </c>
      <c r="M4991" s="5" t="n"/>
      <c r="N4991" s="5" t="n"/>
      <c r="O4991" s="5" t="n"/>
      <c r="P4991" s="5" t="n"/>
      <c r="Q4991" s="5" t="n"/>
      <c r="R4991" s="4" t="n"/>
      <c r="S4991" s="4" t="n"/>
      <c r="T4991" s="5" t="n"/>
      <c r="U4991" s="8">
        <f>IF(AND(V4991=1,D4991&lt;&gt;""),IF(D4991&gt;=corte,TODAY()-D4991,""),"")</f>
        <v/>
      </c>
      <c r="V4991" s="8">
        <f>IF(D4991="",0,IF(OR(AND(P4991&lt;&gt;"",S4991=""),AND(N(J4991)&gt;0,N(K4991)&lt;J4991),OR(M4991="PENDENTE",M4991="PARCIAL"),OR(N4991="PENDENTE",N4991="PARCIAL")),1,0))</f>
        <v/>
      </c>
      <c r="W4991" s="8">
        <f>IF(AND(V4991=1,D4991&lt;&gt;""),IF(D4991&gt;=corte,(B4991="CRÍTICO")*1E9+(100000-D4991)*10000+10000-ROW(),""),"")</f>
        <v/>
      </c>
      <c r="X4991" s="8">
        <f>IF(AND(V4991=1,D4991=pas_data,E4991=pas_turno),10000-ROW(),"")</f>
        <v/>
      </c>
    </row>
    <row r="4992">
      <c r="A4992" s="3">
        <f>IF(D4992="","","TT-"&amp;TEXT(ROW()-1,"00000"))</f>
        <v/>
      </c>
      <c r="B4992" s="3">
        <f>IF(D4992="","",IF(V4992=0,"CONCLUÍDO",IF(D4992&lt;corte,"HISTÓRICO",IF(OR(AND(ISNUMBER(R4992),R4992&lt;TODAY()),AND(OR(N4992="PENDENTE",N4992="PARCIAL"),D4992&lt;TODAY()-1)),"CRÍTICO",IF(OR(AND(P4992&lt;&gt;"",S4992=""),AND(N4992="REALIZADO",M4992="PENDENTE"),AND(ISNUMBER(R4992),R4992=TODAY())),"ATENÇÃO",IF(N(K4992)=0,"PENDENTE","EM ANDAMENTO"))))))</f>
        <v/>
      </c>
      <c r="C4992" s="3">
        <f>IF(D4992="","",IF(V4992=0,"🟢 OK",IF(D4992&lt;corte,"⚪ HISTÓRICO (sem baixa)",IF(AND(ISNUMBER(R4992),R4992&lt;TODAY()),"🔴 PRAZO VENCIDO",IF(AND(OR(N4992="PENDENTE",N4992="PARCIAL"),D4992&lt;TODAY()-1),"🔴 EMBARQUE ATRASADO",IF(AND(N4992="REALIZADO",M4992="PENDENTE"),"🟡 EMBARCADO SEM FATURAR",IF(AND(P4992&lt;&gt;"",S4992="",OR(Q4992="",R4992="")),"🟡 PENDÊNCIA SEM RESPONSÁVEL/PRAZO",IF(AND(ISNUMBER(R4992),R4992=TODAY()),"🟡 VENCE HOJE",IF(AND(P4992&lt;&gt;"",S4992=""),"🟡 PENDÊNCIA ABERTA",IF(AND(N(J4992)&gt;0,N(K4992)&lt;J4992),"🟡 FALTA EXECUTAR",IF(OR(M4992="PENDENTE",M4992="PARCIAL"),"🟡 FATURAMENTO PENDENTE","🟡 EMBARQUE PENDENTE")))))))))))</f>
        <v/>
      </c>
      <c r="D4992" s="4" t="n"/>
      <c r="E4992" s="5" t="n"/>
      <c r="F4992" s="5" t="n"/>
      <c r="G4992" s="5" t="n"/>
      <c r="H4992" s="5" t="n"/>
      <c r="I4992" s="5" t="n"/>
      <c r="J4992" s="6" t="n"/>
      <c r="K4992" s="6" t="n"/>
      <c r="L4992" s="7">
        <f>IF(OR(D4992="",N(J4992)=0),"",MIN(1,N(K4992)/J4992))</f>
        <v/>
      </c>
      <c r="M4992" s="5" t="n"/>
      <c r="N4992" s="5" t="n"/>
      <c r="O4992" s="5" t="n"/>
      <c r="P4992" s="5" t="n"/>
      <c r="Q4992" s="5" t="n"/>
      <c r="R4992" s="4" t="n"/>
      <c r="S4992" s="4" t="n"/>
      <c r="T4992" s="5" t="n"/>
      <c r="U4992" s="8">
        <f>IF(AND(V4992=1,D4992&lt;&gt;""),IF(D4992&gt;=corte,TODAY()-D4992,""),"")</f>
        <v/>
      </c>
      <c r="V4992" s="8">
        <f>IF(D4992="",0,IF(OR(AND(P4992&lt;&gt;"",S4992=""),AND(N(J4992)&gt;0,N(K4992)&lt;J4992),OR(M4992="PENDENTE",M4992="PARCIAL"),OR(N4992="PENDENTE",N4992="PARCIAL")),1,0))</f>
        <v/>
      </c>
      <c r="W4992" s="8">
        <f>IF(AND(V4992=1,D4992&lt;&gt;""),IF(D4992&gt;=corte,(B4992="CRÍTICO")*1E9+(100000-D4992)*10000+10000-ROW(),""),"")</f>
        <v/>
      </c>
      <c r="X4992" s="8">
        <f>IF(AND(V4992=1,D4992=pas_data,E4992=pas_turno),10000-ROW(),"")</f>
        <v/>
      </c>
    </row>
    <row r="4993">
      <c r="A4993" s="3">
        <f>IF(D4993="","","TT-"&amp;TEXT(ROW()-1,"00000"))</f>
        <v/>
      </c>
      <c r="B4993" s="3">
        <f>IF(D4993="","",IF(V4993=0,"CONCLUÍDO",IF(D4993&lt;corte,"HISTÓRICO",IF(OR(AND(ISNUMBER(R4993),R4993&lt;TODAY()),AND(OR(N4993="PENDENTE",N4993="PARCIAL"),D4993&lt;TODAY()-1)),"CRÍTICO",IF(OR(AND(P4993&lt;&gt;"",S4993=""),AND(N4993="REALIZADO",M4993="PENDENTE"),AND(ISNUMBER(R4993),R4993=TODAY())),"ATENÇÃO",IF(N(K4993)=0,"PENDENTE","EM ANDAMENTO"))))))</f>
        <v/>
      </c>
      <c r="C4993" s="3">
        <f>IF(D4993="","",IF(V4993=0,"🟢 OK",IF(D4993&lt;corte,"⚪ HISTÓRICO (sem baixa)",IF(AND(ISNUMBER(R4993),R4993&lt;TODAY()),"🔴 PRAZO VENCIDO",IF(AND(OR(N4993="PENDENTE",N4993="PARCIAL"),D4993&lt;TODAY()-1),"🔴 EMBARQUE ATRASADO",IF(AND(N4993="REALIZADO",M4993="PENDENTE"),"🟡 EMBARCADO SEM FATURAR",IF(AND(P4993&lt;&gt;"",S4993="",OR(Q4993="",R4993="")),"🟡 PENDÊNCIA SEM RESPONSÁVEL/PRAZO",IF(AND(ISNUMBER(R4993),R4993=TODAY()),"🟡 VENCE HOJE",IF(AND(P4993&lt;&gt;"",S4993=""),"🟡 PENDÊNCIA ABERTA",IF(AND(N(J4993)&gt;0,N(K4993)&lt;J4993),"🟡 FALTA EXECUTAR",IF(OR(M4993="PENDENTE",M4993="PARCIAL"),"🟡 FATURAMENTO PENDENTE","🟡 EMBARQUE PENDENTE")))))))))))</f>
        <v/>
      </c>
      <c r="D4993" s="4" t="n"/>
      <c r="E4993" s="5" t="n"/>
      <c r="F4993" s="5" t="n"/>
      <c r="G4993" s="5" t="n"/>
      <c r="H4993" s="5" t="n"/>
      <c r="I4993" s="5" t="n"/>
      <c r="J4993" s="6" t="n"/>
      <c r="K4993" s="6" t="n"/>
      <c r="L4993" s="7">
        <f>IF(OR(D4993="",N(J4993)=0),"",MIN(1,N(K4993)/J4993))</f>
        <v/>
      </c>
      <c r="M4993" s="5" t="n"/>
      <c r="N4993" s="5" t="n"/>
      <c r="O4993" s="5" t="n"/>
      <c r="P4993" s="5" t="n"/>
      <c r="Q4993" s="5" t="n"/>
      <c r="R4993" s="4" t="n"/>
      <c r="S4993" s="4" t="n"/>
      <c r="T4993" s="5" t="n"/>
      <c r="U4993" s="8">
        <f>IF(AND(V4993=1,D4993&lt;&gt;""),IF(D4993&gt;=corte,TODAY()-D4993,""),"")</f>
        <v/>
      </c>
      <c r="V4993" s="8">
        <f>IF(D4993="",0,IF(OR(AND(P4993&lt;&gt;"",S4993=""),AND(N(J4993)&gt;0,N(K4993)&lt;J4993),OR(M4993="PENDENTE",M4993="PARCIAL"),OR(N4993="PENDENTE",N4993="PARCIAL")),1,0))</f>
        <v/>
      </c>
      <c r="W4993" s="8">
        <f>IF(AND(V4993=1,D4993&lt;&gt;""),IF(D4993&gt;=corte,(B4993="CRÍTICO")*1E9+(100000-D4993)*10000+10000-ROW(),""),"")</f>
        <v/>
      </c>
      <c r="X4993" s="8">
        <f>IF(AND(V4993=1,D4993=pas_data,E4993=pas_turno),10000-ROW(),"")</f>
        <v/>
      </c>
    </row>
    <row r="4994">
      <c r="A4994" s="3">
        <f>IF(D4994="","","TT-"&amp;TEXT(ROW()-1,"00000"))</f>
        <v/>
      </c>
      <c r="B4994" s="3">
        <f>IF(D4994="","",IF(V4994=0,"CONCLUÍDO",IF(D4994&lt;corte,"HISTÓRICO",IF(OR(AND(ISNUMBER(R4994),R4994&lt;TODAY()),AND(OR(N4994="PENDENTE",N4994="PARCIAL"),D4994&lt;TODAY()-1)),"CRÍTICO",IF(OR(AND(P4994&lt;&gt;"",S4994=""),AND(N4994="REALIZADO",M4994="PENDENTE"),AND(ISNUMBER(R4994),R4994=TODAY())),"ATENÇÃO",IF(N(K4994)=0,"PENDENTE","EM ANDAMENTO"))))))</f>
        <v/>
      </c>
      <c r="C4994" s="3">
        <f>IF(D4994="","",IF(V4994=0,"🟢 OK",IF(D4994&lt;corte,"⚪ HISTÓRICO (sem baixa)",IF(AND(ISNUMBER(R4994),R4994&lt;TODAY()),"🔴 PRAZO VENCIDO",IF(AND(OR(N4994="PENDENTE",N4994="PARCIAL"),D4994&lt;TODAY()-1),"🔴 EMBARQUE ATRASADO",IF(AND(N4994="REALIZADO",M4994="PENDENTE"),"🟡 EMBARCADO SEM FATURAR",IF(AND(P4994&lt;&gt;"",S4994="",OR(Q4994="",R4994="")),"🟡 PENDÊNCIA SEM RESPONSÁVEL/PRAZO",IF(AND(ISNUMBER(R4994),R4994=TODAY()),"🟡 VENCE HOJE",IF(AND(P4994&lt;&gt;"",S4994=""),"🟡 PENDÊNCIA ABERTA",IF(AND(N(J4994)&gt;0,N(K4994)&lt;J4994),"🟡 FALTA EXECUTAR",IF(OR(M4994="PENDENTE",M4994="PARCIAL"),"🟡 FATURAMENTO PENDENTE","🟡 EMBARQUE PENDENTE")))))))))))</f>
        <v/>
      </c>
      <c r="D4994" s="4" t="n"/>
      <c r="E4994" s="5" t="n"/>
      <c r="F4994" s="5" t="n"/>
      <c r="G4994" s="5" t="n"/>
      <c r="H4994" s="5" t="n"/>
      <c r="I4994" s="5" t="n"/>
      <c r="J4994" s="6" t="n"/>
      <c r="K4994" s="6" t="n"/>
      <c r="L4994" s="7">
        <f>IF(OR(D4994="",N(J4994)=0),"",MIN(1,N(K4994)/J4994))</f>
        <v/>
      </c>
      <c r="M4994" s="5" t="n"/>
      <c r="N4994" s="5" t="n"/>
      <c r="O4994" s="5" t="n"/>
      <c r="P4994" s="5" t="n"/>
      <c r="Q4994" s="5" t="n"/>
      <c r="R4994" s="4" t="n"/>
      <c r="S4994" s="4" t="n"/>
      <c r="T4994" s="5" t="n"/>
      <c r="U4994" s="8">
        <f>IF(AND(V4994=1,D4994&lt;&gt;""),IF(D4994&gt;=corte,TODAY()-D4994,""),"")</f>
        <v/>
      </c>
      <c r="V4994" s="8">
        <f>IF(D4994="",0,IF(OR(AND(P4994&lt;&gt;"",S4994=""),AND(N(J4994)&gt;0,N(K4994)&lt;J4994),OR(M4994="PENDENTE",M4994="PARCIAL"),OR(N4994="PENDENTE",N4994="PARCIAL")),1,0))</f>
        <v/>
      </c>
      <c r="W4994" s="8">
        <f>IF(AND(V4994=1,D4994&lt;&gt;""),IF(D4994&gt;=corte,(B4994="CRÍTICO")*1E9+(100000-D4994)*10000+10000-ROW(),""),"")</f>
        <v/>
      </c>
      <c r="X4994" s="8">
        <f>IF(AND(V4994=1,D4994=pas_data,E4994=pas_turno),10000-ROW(),"")</f>
        <v/>
      </c>
    </row>
    <row r="4995">
      <c r="A4995" s="3">
        <f>IF(D4995="","","TT-"&amp;TEXT(ROW()-1,"00000"))</f>
        <v/>
      </c>
      <c r="B4995" s="3">
        <f>IF(D4995="","",IF(V4995=0,"CONCLUÍDO",IF(D4995&lt;corte,"HISTÓRICO",IF(OR(AND(ISNUMBER(R4995),R4995&lt;TODAY()),AND(OR(N4995="PENDENTE",N4995="PARCIAL"),D4995&lt;TODAY()-1)),"CRÍTICO",IF(OR(AND(P4995&lt;&gt;"",S4995=""),AND(N4995="REALIZADO",M4995="PENDENTE"),AND(ISNUMBER(R4995),R4995=TODAY())),"ATENÇÃO",IF(N(K4995)=0,"PENDENTE","EM ANDAMENTO"))))))</f>
        <v/>
      </c>
      <c r="C4995" s="3">
        <f>IF(D4995="","",IF(V4995=0,"🟢 OK",IF(D4995&lt;corte,"⚪ HISTÓRICO (sem baixa)",IF(AND(ISNUMBER(R4995),R4995&lt;TODAY()),"🔴 PRAZO VENCIDO",IF(AND(OR(N4995="PENDENTE",N4995="PARCIAL"),D4995&lt;TODAY()-1),"🔴 EMBARQUE ATRASADO",IF(AND(N4995="REALIZADO",M4995="PENDENTE"),"🟡 EMBARCADO SEM FATURAR",IF(AND(P4995&lt;&gt;"",S4995="",OR(Q4995="",R4995="")),"🟡 PENDÊNCIA SEM RESPONSÁVEL/PRAZO",IF(AND(ISNUMBER(R4995),R4995=TODAY()),"🟡 VENCE HOJE",IF(AND(P4995&lt;&gt;"",S4995=""),"🟡 PENDÊNCIA ABERTA",IF(AND(N(J4995)&gt;0,N(K4995)&lt;J4995),"🟡 FALTA EXECUTAR",IF(OR(M4995="PENDENTE",M4995="PARCIAL"),"🟡 FATURAMENTO PENDENTE","🟡 EMBARQUE PENDENTE")))))))))))</f>
        <v/>
      </c>
      <c r="D4995" s="4" t="n"/>
      <c r="E4995" s="5" t="n"/>
      <c r="F4995" s="5" t="n"/>
      <c r="G4995" s="5" t="n"/>
      <c r="H4995" s="5" t="n"/>
      <c r="I4995" s="5" t="n"/>
      <c r="J4995" s="6" t="n"/>
      <c r="K4995" s="6" t="n"/>
      <c r="L4995" s="7">
        <f>IF(OR(D4995="",N(J4995)=0),"",MIN(1,N(K4995)/J4995))</f>
        <v/>
      </c>
      <c r="M4995" s="5" t="n"/>
      <c r="N4995" s="5" t="n"/>
      <c r="O4995" s="5" t="n"/>
      <c r="P4995" s="5" t="n"/>
      <c r="Q4995" s="5" t="n"/>
      <c r="R4995" s="4" t="n"/>
      <c r="S4995" s="4" t="n"/>
      <c r="T4995" s="5" t="n"/>
      <c r="U4995" s="8">
        <f>IF(AND(V4995=1,D4995&lt;&gt;""),IF(D4995&gt;=corte,TODAY()-D4995,""),"")</f>
        <v/>
      </c>
      <c r="V4995" s="8">
        <f>IF(D4995="",0,IF(OR(AND(P4995&lt;&gt;"",S4995=""),AND(N(J4995)&gt;0,N(K4995)&lt;J4995),OR(M4995="PENDENTE",M4995="PARCIAL"),OR(N4995="PENDENTE",N4995="PARCIAL")),1,0))</f>
        <v/>
      </c>
      <c r="W4995" s="8">
        <f>IF(AND(V4995=1,D4995&lt;&gt;""),IF(D4995&gt;=corte,(B4995="CRÍTICO")*1E9+(100000-D4995)*10000+10000-ROW(),""),"")</f>
        <v/>
      </c>
      <c r="X4995" s="8">
        <f>IF(AND(V4995=1,D4995=pas_data,E4995=pas_turno),10000-ROW(),"")</f>
        <v/>
      </c>
    </row>
    <row r="4996">
      <c r="A4996" s="3">
        <f>IF(D4996="","","TT-"&amp;TEXT(ROW()-1,"00000"))</f>
        <v/>
      </c>
      <c r="B4996" s="3">
        <f>IF(D4996="","",IF(V4996=0,"CONCLUÍDO",IF(D4996&lt;corte,"HISTÓRICO",IF(OR(AND(ISNUMBER(R4996),R4996&lt;TODAY()),AND(OR(N4996="PENDENTE",N4996="PARCIAL"),D4996&lt;TODAY()-1)),"CRÍTICO",IF(OR(AND(P4996&lt;&gt;"",S4996=""),AND(N4996="REALIZADO",M4996="PENDENTE"),AND(ISNUMBER(R4996),R4996=TODAY())),"ATENÇÃO",IF(N(K4996)=0,"PENDENTE","EM ANDAMENTO"))))))</f>
        <v/>
      </c>
      <c r="C4996" s="3">
        <f>IF(D4996="","",IF(V4996=0,"🟢 OK",IF(D4996&lt;corte,"⚪ HISTÓRICO (sem baixa)",IF(AND(ISNUMBER(R4996),R4996&lt;TODAY()),"🔴 PRAZO VENCIDO",IF(AND(OR(N4996="PENDENTE",N4996="PARCIAL"),D4996&lt;TODAY()-1),"🔴 EMBARQUE ATRASADO",IF(AND(N4996="REALIZADO",M4996="PENDENTE"),"🟡 EMBARCADO SEM FATURAR",IF(AND(P4996&lt;&gt;"",S4996="",OR(Q4996="",R4996="")),"🟡 PENDÊNCIA SEM RESPONSÁVEL/PRAZO",IF(AND(ISNUMBER(R4996),R4996=TODAY()),"🟡 VENCE HOJE",IF(AND(P4996&lt;&gt;"",S4996=""),"🟡 PENDÊNCIA ABERTA",IF(AND(N(J4996)&gt;0,N(K4996)&lt;J4996),"🟡 FALTA EXECUTAR",IF(OR(M4996="PENDENTE",M4996="PARCIAL"),"🟡 FATURAMENTO PENDENTE","🟡 EMBARQUE PENDENTE")))))))))))</f>
        <v/>
      </c>
      <c r="D4996" s="4" t="n"/>
      <c r="E4996" s="5" t="n"/>
      <c r="F4996" s="5" t="n"/>
      <c r="G4996" s="5" t="n"/>
      <c r="H4996" s="5" t="n"/>
      <c r="I4996" s="5" t="n"/>
      <c r="J4996" s="6" t="n"/>
      <c r="K4996" s="6" t="n"/>
      <c r="L4996" s="7">
        <f>IF(OR(D4996="",N(J4996)=0),"",MIN(1,N(K4996)/J4996))</f>
        <v/>
      </c>
      <c r="M4996" s="5" t="n"/>
      <c r="N4996" s="5" t="n"/>
      <c r="O4996" s="5" t="n"/>
      <c r="P4996" s="5" t="n"/>
      <c r="Q4996" s="5" t="n"/>
      <c r="R4996" s="4" t="n"/>
      <c r="S4996" s="4" t="n"/>
      <c r="T4996" s="5" t="n"/>
      <c r="U4996" s="8">
        <f>IF(AND(V4996=1,D4996&lt;&gt;""),IF(D4996&gt;=corte,TODAY()-D4996,""),"")</f>
        <v/>
      </c>
      <c r="V4996" s="8">
        <f>IF(D4996="",0,IF(OR(AND(P4996&lt;&gt;"",S4996=""),AND(N(J4996)&gt;0,N(K4996)&lt;J4996),OR(M4996="PENDENTE",M4996="PARCIAL"),OR(N4996="PENDENTE",N4996="PARCIAL")),1,0))</f>
        <v/>
      </c>
      <c r="W4996" s="8">
        <f>IF(AND(V4996=1,D4996&lt;&gt;""),IF(D4996&gt;=corte,(B4996="CRÍTICO")*1E9+(100000-D4996)*10000+10000-ROW(),""),"")</f>
        <v/>
      </c>
      <c r="X4996" s="8">
        <f>IF(AND(V4996=1,D4996=pas_data,E4996=pas_turno),10000-ROW(),"")</f>
        <v/>
      </c>
    </row>
    <row r="4997">
      <c r="A4997" s="3">
        <f>IF(D4997="","","TT-"&amp;TEXT(ROW()-1,"00000"))</f>
        <v/>
      </c>
      <c r="B4997" s="3">
        <f>IF(D4997="","",IF(V4997=0,"CONCLUÍDO",IF(D4997&lt;corte,"HISTÓRICO",IF(OR(AND(ISNUMBER(R4997),R4997&lt;TODAY()),AND(OR(N4997="PENDENTE",N4997="PARCIAL"),D4997&lt;TODAY()-1)),"CRÍTICO",IF(OR(AND(P4997&lt;&gt;"",S4997=""),AND(N4997="REALIZADO",M4997="PENDENTE"),AND(ISNUMBER(R4997),R4997=TODAY())),"ATENÇÃO",IF(N(K4997)=0,"PENDENTE","EM ANDAMENTO"))))))</f>
        <v/>
      </c>
      <c r="C4997" s="3">
        <f>IF(D4997="","",IF(V4997=0,"🟢 OK",IF(D4997&lt;corte,"⚪ HISTÓRICO (sem baixa)",IF(AND(ISNUMBER(R4997),R4997&lt;TODAY()),"🔴 PRAZO VENCIDO",IF(AND(OR(N4997="PENDENTE",N4997="PARCIAL"),D4997&lt;TODAY()-1),"🔴 EMBARQUE ATRASADO",IF(AND(N4997="REALIZADO",M4997="PENDENTE"),"🟡 EMBARCADO SEM FATURAR",IF(AND(P4997&lt;&gt;"",S4997="",OR(Q4997="",R4997="")),"🟡 PENDÊNCIA SEM RESPONSÁVEL/PRAZO",IF(AND(ISNUMBER(R4997),R4997=TODAY()),"🟡 VENCE HOJE",IF(AND(P4997&lt;&gt;"",S4997=""),"🟡 PENDÊNCIA ABERTA",IF(AND(N(J4997)&gt;0,N(K4997)&lt;J4997),"🟡 FALTA EXECUTAR",IF(OR(M4997="PENDENTE",M4997="PARCIAL"),"🟡 FATURAMENTO PENDENTE","🟡 EMBARQUE PENDENTE")))))))))))</f>
        <v/>
      </c>
      <c r="D4997" s="4" t="n"/>
      <c r="E4997" s="5" t="n"/>
      <c r="F4997" s="5" t="n"/>
      <c r="G4997" s="5" t="n"/>
      <c r="H4997" s="5" t="n"/>
      <c r="I4997" s="5" t="n"/>
      <c r="J4997" s="6" t="n"/>
      <c r="K4997" s="6" t="n"/>
      <c r="L4997" s="7">
        <f>IF(OR(D4997="",N(J4997)=0),"",MIN(1,N(K4997)/J4997))</f>
        <v/>
      </c>
      <c r="M4997" s="5" t="n"/>
      <c r="N4997" s="5" t="n"/>
      <c r="O4997" s="5" t="n"/>
      <c r="P4997" s="5" t="n"/>
      <c r="Q4997" s="5" t="n"/>
      <c r="R4997" s="4" t="n"/>
      <c r="S4997" s="4" t="n"/>
      <c r="T4997" s="5" t="n"/>
      <c r="U4997" s="8">
        <f>IF(AND(V4997=1,D4997&lt;&gt;""),IF(D4997&gt;=corte,TODAY()-D4997,""),"")</f>
        <v/>
      </c>
      <c r="V4997" s="8">
        <f>IF(D4997="",0,IF(OR(AND(P4997&lt;&gt;"",S4997=""),AND(N(J4997)&gt;0,N(K4997)&lt;J4997),OR(M4997="PENDENTE",M4997="PARCIAL"),OR(N4997="PENDENTE",N4997="PARCIAL")),1,0))</f>
        <v/>
      </c>
      <c r="W4997" s="8">
        <f>IF(AND(V4997=1,D4997&lt;&gt;""),IF(D4997&gt;=corte,(B4997="CRÍTICO")*1E9+(100000-D4997)*10000+10000-ROW(),""),"")</f>
        <v/>
      </c>
      <c r="X4997" s="8">
        <f>IF(AND(V4997=1,D4997=pas_data,E4997=pas_turno),10000-ROW(),"")</f>
        <v/>
      </c>
    </row>
    <row r="4998">
      <c r="A4998" s="3">
        <f>IF(D4998="","","TT-"&amp;TEXT(ROW()-1,"00000"))</f>
        <v/>
      </c>
      <c r="B4998" s="3">
        <f>IF(D4998="","",IF(V4998=0,"CONCLUÍDO",IF(D4998&lt;corte,"HISTÓRICO",IF(OR(AND(ISNUMBER(R4998),R4998&lt;TODAY()),AND(OR(N4998="PENDENTE",N4998="PARCIAL"),D4998&lt;TODAY()-1)),"CRÍTICO",IF(OR(AND(P4998&lt;&gt;"",S4998=""),AND(N4998="REALIZADO",M4998="PENDENTE"),AND(ISNUMBER(R4998),R4998=TODAY())),"ATENÇÃO",IF(N(K4998)=0,"PENDENTE","EM ANDAMENTO"))))))</f>
        <v/>
      </c>
      <c r="C4998" s="3">
        <f>IF(D4998="","",IF(V4998=0,"🟢 OK",IF(D4998&lt;corte,"⚪ HISTÓRICO (sem baixa)",IF(AND(ISNUMBER(R4998),R4998&lt;TODAY()),"🔴 PRAZO VENCIDO",IF(AND(OR(N4998="PENDENTE",N4998="PARCIAL"),D4998&lt;TODAY()-1),"🔴 EMBARQUE ATRASADO",IF(AND(N4998="REALIZADO",M4998="PENDENTE"),"🟡 EMBARCADO SEM FATURAR",IF(AND(P4998&lt;&gt;"",S4998="",OR(Q4998="",R4998="")),"🟡 PENDÊNCIA SEM RESPONSÁVEL/PRAZO",IF(AND(ISNUMBER(R4998),R4998=TODAY()),"🟡 VENCE HOJE",IF(AND(P4998&lt;&gt;"",S4998=""),"🟡 PENDÊNCIA ABERTA",IF(AND(N(J4998)&gt;0,N(K4998)&lt;J4998),"🟡 FALTA EXECUTAR",IF(OR(M4998="PENDENTE",M4998="PARCIAL"),"🟡 FATURAMENTO PENDENTE","🟡 EMBARQUE PENDENTE")))))))))))</f>
        <v/>
      </c>
      <c r="D4998" s="4" t="n"/>
      <c r="E4998" s="5" t="n"/>
      <c r="F4998" s="5" t="n"/>
      <c r="G4998" s="5" t="n"/>
      <c r="H4998" s="5" t="n"/>
      <c r="I4998" s="5" t="n"/>
      <c r="J4998" s="6" t="n"/>
      <c r="K4998" s="6" t="n"/>
      <c r="L4998" s="7">
        <f>IF(OR(D4998="",N(J4998)=0),"",MIN(1,N(K4998)/J4998))</f>
        <v/>
      </c>
      <c r="M4998" s="5" t="n"/>
      <c r="N4998" s="5" t="n"/>
      <c r="O4998" s="5" t="n"/>
      <c r="P4998" s="5" t="n"/>
      <c r="Q4998" s="5" t="n"/>
      <c r="R4998" s="4" t="n"/>
      <c r="S4998" s="4" t="n"/>
      <c r="T4998" s="5" t="n"/>
      <c r="U4998" s="8">
        <f>IF(AND(V4998=1,D4998&lt;&gt;""),IF(D4998&gt;=corte,TODAY()-D4998,""),"")</f>
        <v/>
      </c>
      <c r="V4998" s="8">
        <f>IF(D4998="",0,IF(OR(AND(P4998&lt;&gt;"",S4998=""),AND(N(J4998)&gt;0,N(K4998)&lt;J4998),OR(M4998="PENDENTE",M4998="PARCIAL"),OR(N4998="PENDENTE",N4998="PARCIAL")),1,0))</f>
        <v/>
      </c>
      <c r="W4998" s="8">
        <f>IF(AND(V4998=1,D4998&lt;&gt;""),IF(D4998&gt;=corte,(B4998="CRÍTICO")*1E9+(100000-D4998)*10000+10000-ROW(),""),"")</f>
        <v/>
      </c>
      <c r="X4998" s="8">
        <f>IF(AND(V4998=1,D4998=pas_data,E4998=pas_turno),10000-ROW(),"")</f>
        <v/>
      </c>
    </row>
    <row r="4999">
      <c r="A4999" s="3">
        <f>IF(D4999="","","TT-"&amp;TEXT(ROW()-1,"00000"))</f>
        <v/>
      </c>
      <c r="B4999" s="3">
        <f>IF(D4999="","",IF(V4999=0,"CONCLUÍDO",IF(D4999&lt;corte,"HISTÓRICO",IF(OR(AND(ISNUMBER(R4999),R4999&lt;TODAY()),AND(OR(N4999="PENDENTE",N4999="PARCIAL"),D4999&lt;TODAY()-1)),"CRÍTICO",IF(OR(AND(P4999&lt;&gt;"",S4999=""),AND(N4999="REALIZADO",M4999="PENDENTE"),AND(ISNUMBER(R4999),R4999=TODAY())),"ATENÇÃO",IF(N(K4999)=0,"PENDENTE","EM ANDAMENTO"))))))</f>
        <v/>
      </c>
      <c r="C4999" s="3">
        <f>IF(D4999="","",IF(V4999=0,"🟢 OK",IF(D4999&lt;corte,"⚪ HISTÓRICO (sem baixa)",IF(AND(ISNUMBER(R4999),R4999&lt;TODAY()),"🔴 PRAZO VENCIDO",IF(AND(OR(N4999="PENDENTE",N4999="PARCIAL"),D4999&lt;TODAY()-1),"🔴 EMBARQUE ATRASADO",IF(AND(N4999="REALIZADO",M4999="PENDENTE"),"🟡 EMBARCADO SEM FATURAR",IF(AND(P4999&lt;&gt;"",S4999="",OR(Q4999="",R4999="")),"🟡 PENDÊNCIA SEM RESPONSÁVEL/PRAZO",IF(AND(ISNUMBER(R4999),R4999=TODAY()),"🟡 VENCE HOJE",IF(AND(P4999&lt;&gt;"",S4999=""),"🟡 PENDÊNCIA ABERTA",IF(AND(N(J4999)&gt;0,N(K4999)&lt;J4999),"🟡 FALTA EXECUTAR",IF(OR(M4999="PENDENTE",M4999="PARCIAL"),"🟡 FATURAMENTO PENDENTE","🟡 EMBARQUE PENDENTE")))))))))))</f>
        <v/>
      </c>
      <c r="D4999" s="4" t="n"/>
      <c r="E4999" s="5" t="n"/>
      <c r="F4999" s="5" t="n"/>
      <c r="G4999" s="5" t="n"/>
      <c r="H4999" s="5" t="n"/>
      <c r="I4999" s="5" t="n"/>
      <c r="J4999" s="6" t="n"/>
      <c r="K4999" s="6" t="n"/>
      <c r="L4999" s="7">
        <f>IF(OR(D4999="",N(J4999)=0),"",MIN(1,N(K4999)/J4999))</f>
        <v/>
      </c>
      <c r="M4999" s="5" t="n"/>
      <c r="N4999" s="5" t="n"/>
      <c r="O4999" s="5" t="n"/>
      <c r="P4999" s="5" t="n"/>
      <c r="Q4999" s="5" t="n"/>
      <c r="R4999" s="4" t="n"/>
      <c r="S4999" s="4" t="n"/>
      <c r="T4999" s="5" t="n"/>
      <c r="U4999" s="8">
        <f>IF(AND(V4999=1,D4999&lt;&gt;""),IF(D4999&gt;=corte,TODAY()-D4999,""),"")</f>
        <v/>
      </c>
      <c r="V4999" s="8">
        <f>IF(D4999="",0,IF(OR(AND(P4999&lt;&gt;"",S4999=""),AND(N(J4999)&gt;0,N(K4999)&lt;J4999),OR(M4999="PENDENTE",M4999="PARCIAL"),OR(N4999="PENDENTE",N4999="PARCIAL")),1,0))</f>
        <v/>
      </c>
      <c r="W4999" s="8">
        <f>IF(AND(V4999=1,D4999&lt;&gt;""),IF(D4999&gt;=corte,(B4999="CRÍTICO")*1E9+(100000-D4999)*10000+10000-ROW(),""),"")</f>
        <v/>
      </c>
      <c r="X4999" s="8">
        <f>IF(AND(V4999=1,D4999=pas_data,E4999=pas_turno),10000-ROW(),"")</f>
        <v/>
      </c>
    </row>
    <row r="5000">
      <c r="A5000" s="3">
        <f>IF(D5000="","","TT-"&amp;TEXT(ROW()-1,"00000"))</f>
        <v/>
      </c>
      <c r="B5000" s="3">
        <f>IF(D5000="","",IF(V5000=0,"CONCLUÍDO",IF(D5000&lt;corte,"HISTÓRICO",IF(OR(AND(ISNUMBER(R5000),R5000&lt;TODAY()),AND(OR(N5000="PENDENTE",N5000="PARCIAL"),D5000&lt;TODAY()-1)),"CRÍTICO",IF(OR(AND(P5000&lt;&gt;"",S5000=""),AND(N5000="REALIZADO",M5000="PENDENTE"),AND(ISNUMBER(R5000),R5000=TODAY())),"ATENÇÃO",IF(N(K5000)=0,"PENDENTE","EM ANDAMENTO"))))))</f>
        <v/>
      </c>
      <c r="C5000" s="3">
        <f>IF(D5000="","",IF(V5000=0,"🟢 OK",IF(D5000&lt;corte,"⚪ HISTÓRICO (sem baixa)",IF(AND(ISNUMBER(R5000),R5000&lt;TODAY()),"🔴 PRAZO VENCIDO",IF(AND(OR(N5000="PENDENTE",N5000="PARCIAL"),D5000&lt;TODAY()-1),"🔴 EMBARQUE ATRASADO",IF(AND(N5000="REALIZADO",M5000="PENDENTE"),"🟡 EMBARCADO SEM FATURAR",IF(AND(P5000&lt;&gt;"",S5000="",OR(Q5000="",R5000="")),"🟡 PENDÊNCIA SEM RESPONSÁVEL/PRAZO",IF(AND(ISNUMBER(R5000),R5000=TODAY()),"🟡 VENCE HOJE",IF(AND(P5000&lt;&gt;"",S5000=""),"🟡 PENDÊNCIA ABERTA",IF(AND(N(J5000)&gt;0,N(K5000)&lt;J5000),"🟡 FALTA EXECUTAR",IF(OR(M5000="PENDENTE",M5000="PARCIAL"),"🟡 FATURAMENTO PENDENTE","🟡 EMBARQUE PENDENTE")))))))))))</f>
        <v/>
      </c>
      <c r="D5000" s="4" t="n"/>
      <c r="E5000" s="5" t="n"/>
      <c r="F5000" s="5" t="n"/>
      <c r="G5000" s="5" t="n"/>
      <c r="H5000" s="5" t="n"/>
      <c r="I5000" s="5" t="n"/>
      <c r="J5000" s="6" t="n"/>
      <c r="K5000" s="6" t="n"/>
      <c r="L5000" s="7">
        <f>IF(OR(D5000="",N(J5000)=0),"",MIN(1,N(K5000)/J5000))</f>
        <v/>
      </c>
      <c r="M5000" s="5" t="n"/>
      <c r="N5000" s="5" t="n"/>
      <c r="O5000" s="5" t="n"/>
      <c r="P5000" s="5" t="n"/>
      <c r="Q5000" s="5" t="n"/>
      <c r="R5000" s="4" t="n"/>
      <c r="S5000" s="4" t="n"/>
      <c r="T5000" s="5" t="n"/>
      <c r="U5000" s="8">
        <f>IF(AND(V5000=1,D5000&lt;&gt;""),IF(D5000&gt;=corte,TODAY()-D5000,""),"")</f>
        <v/>
      </c>
      <c r="V5000" s="8">
        <f>IF(D5000="",0,IF(OR(AND(P5000&lt;&gt;"",S5000=""),AND(N(J5000)&gt;0,N(K5000)&lt;J5000),OR(M5000="PENDENTE",M5000="PARCIAL"),OR(N5000="PENDENTE",N5000="PARCIAL")),1,0))</f>
        <v/>
      </c>
      <c r="W5000" s="8">
        <f>IF(AND(V5000=1,D5000&lt;&gt;""),IF(D5000&gt;=corte,(B5000="CRÍTICO")*1E9+(100000-D5000)*10000+10000-ROW(),""),"")</f>
        <v/>
      </c>
      <c r="X5000" s="8">
        <f>IF(AND(V5000=1,D5000=pas_data,E5000=pas_turno),10000-ROW(),"")</f>
        <v/>
      </c>
    </row>
    <row r="5001">
      <c r="A5001" s="3">
        <f>IF(D5001="","","TT-"&amp;TEXT(ROW()-1,"00000"))</f>
        <v/>
      </c>
      <c r="B5001" s="3">
        <f>IF(D5001="","",IF(V5001=0,"CONCLUÍDO",IF(D5001&lt;corte,"HISTÓRICO",IF(OR(AND(ISNUMBER(R5001),R5001&lt;TODAY()),AND(OR(N5001="PENDENTE",N5001="PARCIAL"),D5001&lt;TODAY()-1)),"CRÍTICO",IF(OR(AND(P5001&lt;&gt;"",S5001=""),AND(N5001="REALIZADO",M5001="PENDENTE"),AND(ISNUMBER(R5001),R5001=TODAY())),"ATENÇÃO",IF(N(K5001)=0,"PENDENTE","EM ANDAMENTO"))))))</f>
        <v/>
      </c>
      <c r="C5001" s="3">
        <f>IF(D5001="","",IF(V5001=0,"🟢 OK",IF(D5001&lt;corte,"⚪ HISTÓRICO (sem baixa)",IF(AND(ISNUMBER(R5001),R5001&lt;TODAY()),"🔴 PRAZO VENCIDO",IF(AND(OR(N5001="PENDENTE",N5001="PARCIAL"),D5001&lt;TODAY()-1),"🔴 EMBARQUE ATRASADO",IF(AND(N5001="REALIZADO",M5001="PENDENTE"),"🟡 EMBARCADO SEM FATURAR",IF(AND(P5001&lt;&gt;"",S5001="",OR(Q5001="",R5001="")),"🟡 PENDÊNCIA SEM RESPONSÁVEL/PRAZO",IF(AND(ISNUMBER(R5001),R5001=TODAY()),"🟡 VENCE HOJE",IF(AND(P5001&lt;&gt;"",S5001=""),"🟡 PENDÊNCIA ABERTA",IF(AND(N(J5001)&gt;0,N(K5001)&lt;J5001),"🟡 FALTA EXECUTAR",IF(OR(M5001="PENDENTE",M5001="PARCIAL"),"🟡 FATURAMENTO PENDENTE","🟡 EMBARQUE PENDENTE")))))))))))</f>
        <v/>
      </c>
      <c r="D5001" s="4" t="n"/>
      <c r="E5001" s="5" t="n"/>
      <c r="F5001" s="5" t="n"/>
      <c r="G5001" s="5" t="n"/>
      <c r="H5001" s="5" t="n"/>
      <c r="I5001" s="5" t="n"/>
      <c r="J5001" s="6" t="n"/>
      <c r="K5001" s="6" t="n"/>
      <c r="L5001" s="7">
        <f>IF(OR(D5001="",N(J5001)=0),"",MIN(1,N(K5001)/J5001))</f>
        <v/>
      </c>
      <c r="M5001" s="5" t="n"/>
      <c r="N5001" s="5" t="n"/>
      <c r="O5001" s="5" t="n"/>
      <c r="P5001" s="5" t="n"/>
      <c r="Q5001" s="5" t="n"/>
      <c r="R5001" s="4" t="n"/>
      <c r="S5001" s="4" t="n"/>
      <c r="T5001" s="5" t="n"/>
      <c r="U5001" s="8">
        <f>IF(AND(V5001=1,D5001&lt;&gt;""),IF(D5001&gt;=corte,TODAY()-D5001,""),"")</f>
        <v/>
      </c>
      <c r="V5001" s="8">
        <f>IF(D5001="",0,IF(OR(AND(P5001&lt;&gt;"",S5001=""),AND(N(J5001)&gt;0,N(K5001)&lt;J5001),OR(M5001="PENDENTE",M5001="PARCIAL"),OR(N5001="PENDENTE",N5001="PARCIAL")),1,0))</f>
        <v/>
      </c>
      <c r="W5001" s="8">
        <f>IF(AND(V5001=1,D5001&lt;&gt;""),IF(D5001&gt;=corte,(B5001="CRÍTICO")*1E9+(100000-D5001)*10000+10000-ROW(),""),"")</f>
        <v/>
      </c>
      <c r="X5001" s="8">
        <f>IF(AND(V5001=1,D5001=pas_data,E5001=pas_turno),10000-ROW(),"")</f>
        <v/>
      </c>
    </row>
  </sheetData>
  <autoFilter ref="A1:U5001"/>
  <conditionalFormatting sqref="B2:B5001">
    <cfRule type="expression" priority="1" dxfId="0">
      <formula>B2="CRÍTICO"</formula>
    </cfRule>
    <cfRule type="expression" priority="2" dxfId="1">
      <formula>B2="ATENÇÃO"</formula>
    </cfRule>
    <cfRule type="expression" priority="3" dxfId="2">
      <formula>B2="PENDENTE"</formula>
    </cfRule>
    <cfRule type="expression" priority="4" dxfId="3">
      <formula>B2="EM ANDAMENTO"</formula>
    </cfRule>
    <cfRule type="expression" priority="5" dxfId="4">
      <formula>B2="CONCLUÍDO"</formula>
    </cfRule>
    <cfRule type="expression" priority="6" dxfId="5">
      <formula>B2="HISTÓRICO"</formula>
    </cfRule>
  </conditionalFormatting>
  <conditionalFormatting sqref="C2:C5001">
    <cfRule type="expression" priority="7" dxfId="6">
      <formula>LEFT(C2,2)="🔴"</formula>
    </cfRule>
    <cfRule type="expression" priority="8" dxfId="7">
      <formula>LEFT(C2,2)="🟡"</formula>
    </cfRule>
    <cfRule type="expression" priority="9" dxfId="8">
      <formula>LEFT(C2,2)="🟢"</formula>
    </cfRule>
  </conditionalFormatting>
  <conditionalFormatting sqref="Q2:Q5001">
    <cfRule type="expression" priority="10" dxfId="9">
      <formula>AND($P2&lt;&gt;"",Q2="",$S2="",$D2&gt;=corte)</formula>
    </cfRule>
  </conditionalFormatting>
  <conditionalFormatting sqref="R2:R5001">
    <cfRule type="expression" priority="11" dxfId="9">
      <formula>AND($P2&lt;&gt;"",R2="",$S2="",$D2&gt;=corte)</formula>
    </cfRule>
  </conditionalFormatting>
  <dataValidations count="13">
    <dataValidation sqref="D2:D5001" showDropDown="0" showInputMessage="0" showErrorMessage="0" allowBlank="1" errorTitle="Data inválida" error="Digite uma data (dd/mm/aaaa)." promptTitle="Dica" prompt="Data do turno (dd/mm/aaaa)" type="date" errorStyle="stop" operator="between">
      <formula1>45658</formula1>
      <formula2>47848</formula2>
    </dataValidation>
    <dataValidation sqref="E2:E5001" showDropDown="0" showInputMessage="0" showErrorMessage="0" allowBlank="1" errorTitle="Valor fora da lista" error="Escolha um item da lista (aba LISTAS)." type="list" errorStyle="stop">
      <formula1>=l_turno</formula1>
    </dataValidation>
    <dataValidation sqref="F2:F5001" showDropDown="0" showInputMessage="0" showErrorMessage="0" allowBlank="1" errorTitle="Valor fora da lista" error="Escolha um item da lista (aba LISTAS)." type="list" errorStyle="warning">
      <formula1>=l_resp</formula1>
    </dataValidation>
    <dataValidation sqref="G2:G5001" showDropDown="0" showInputMessage="0" showErrorMessage="0" allowBlank="1" errorTitle="Valor fora da lista" error="Escolha um item da lista (aba LISTAS)." type="list" errorStyle="warning">
      <formula1>=l_prog</formula1>
    </dataValidation>
    <dataValidation sqref="I2:I5001" showDropDown="0" showInputMessage="0" showErrorMessage="0" allowBlank="1" errorTitle="Valor fora da lista" error="Escolha um item da lista (aba LISTAS)." promptTitle="Dica" prompt="TON, PALETE ou POSIÇÃO" type="list" errorStyle="stop">
      <formula1>=l_med</formula1>
    </dataValidation>
    <dataValidation sqref="J2:J5001" showDropDown="0" showInputMessage="0" showErrorMessage="0" allowBlank="1" errorTitle="Número inválido" error="Digite um número (zero ou maior)." type="decimal" errorStyle="stop" operator="greaterThanOrEqual">
      <formula1>0</formula1>
    </dataValidation>
    <dataValidation sqref="K2:K5001" showDropDown="0" showInputMessage="0" showErrorMessage="0" allowBlank="1" errorTitle="Número inválido" error="Digite um número (zero ou maior)." type="decimal" errorStyle="stop" operator="greaterThanOrEqual">
      <formula1>0</formula1>
    </dataValidation>
    <dataValidation sqref="M2:M5001" showDropDown="0" showInputMessage="0" showErrorMessage="0" allowBlank="1" errorTitle="Valor fora da lista" error="Escolha um item da lista (aba LISTAS)." type="list" errorStyle="stop">
      <formula1>=l_fat</formula1>
    </dataValidation>
    <dataValidation sqref="N2:N5001" showDropDown="0" showInputMessage="0" showErrorMessage="0" allowBlank="1" errorTitle="Valor fora da lista" error="Escolha um item da lista (aba LISTAS)." type="list" errorStyle="stop">
      <formula1>=l_emb</formula1>
    </dataValidation>
    <dataValidation sqref="O2:O5001" showDropDown="0" showInputMessage="0" showErrorMessage="0" allowBlank="1" errorTitle="Valor fora da lista" error="Escolha um item da lista (aba LISTAS)." type="list" errorStyle="warning">
      <formula1>=l_transp</formula1>
    </dataValidation>
    <dataValidation sqref="Q2:Q5001" showDropDown="0" showInputMessage="0" showErrorMessage="0" allowBlank="1" errorTitle="Valor fora da lista" error="Escolha um item da lista (aba LISTAS)." promptTitle="Dica" prompt="Quem vai resolver a pendência" type="list" errorStyle="warning">
      <formula1>=l_resp</formula1>
    </dataValidation>
    <dataValidation sqref="R2:R5001" showDropDown="0" showInputMessage="0" showErrorMessage="0" allowBlank="1" errorTitle="Data inválida" error="Digite uma data (dd/mm/aaaa)." promptTitle="Dica" prompt="Até quando a pendência deve ser resolvida" type="date" errorStyle="stop" operator="between">
      <formula1>45658</formula1>
      <formula2>47848</formula2>
    </dataValidation>
    <dataValidation sqref="S2:S5001" showDropDown="0" showInputMessage="0" showErrorMessage="0" allowBlank="1" errorTitle="Data inválida" error="Digite uma data (dd/mm/aaaa)." promptTitle="Dica" prompt="Preencha quando a pendência for resolvida" type="date" errorStyle="stop" operator="between">
      <formula1>45658</formula1>
      <formula2>47848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O64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2" customWidth="1" min="1" max="1"/>
    <col width="5" customWidth="1" min="2" max="2"/>
    <col width="10" customWidth="1" min="3" max="3"/>
    <col width="11" customWidth="1" min="4" max="4"/>
    <col width="7" customWidth="1" min="5" max="5"/>
    <col width="13" customWidth="1" min="6" max="6"/>
    <col width="30" customWidth="1" min="7" max="7"/>
    <col width="13" customWidth="1" min="8" max="8"/>
    <col width="22" customWidth="1" min="9" max="9"/>
    <col width="42" customWidth="1" min="10" max="10"/>
    <col width="13" customWidth="1" min="11" max="11"/>
    <col width="11" customWidth="1" min="12" max="12"/>
    <col hidden="1" width="13" customWidth="1" min="14" max="14"/>
  </cols>
  <sheetData>
    <row r="1" ht="30" customHeight="1">
      <c r="B1" s="9" t="inlineStr">
        <is>
          <t>PASSAGEM DE TURNO</t>
        </is>
      </c>
    </row>
    <row r="2">
      <c r="B2" s="10" t="inlineStr">
        <is>
          <t>O que o próximo turno precisa saber. Deixe Data e Turno vazios para ver o último turno lançado.</t>
        </is>
      </c>
    </row>
    <row r="4">
      <c r="B4" s="11" t="inlineStr">
        <is>
          <t>Data:</t>
        </is>
      </c>
      <c r="C4" s="12" t="n"/>
      <c r="D4" s="11" t="inlineStr">
        <is>
          <t>Turno:</t>
        </is>
      </c>
      <c r="E4" s="13" t="n"/>
      <c r="O4" s="14">
        <f>IF(C4="",MAX(c_data),C4)</f>
        <v/>
      </c>
    </row>
    <row r="5">
      <c r="O5" s="15">
        <f>SUMPRODUCT(MAX((c_data=O4)*ROW(c_data)))</f>
        <v/>
      </c>
    </row>
    <row r="6" ht="26" customHeight="1">
      <c r="B6" s="16">
        <f>"TURNO "&amp;O6&amp;"  •  "&amp;RIGHT("0"&amp;DAY(O4),2)&amp;"/"&amp;RIGHT("0"&amp;MONTH(O4),2)&amp;"/"&amp;YEAR(O4)&amp;"  •  Líder: "&amp;O8&amp;"      ➜  próximo turno: "&amp;O9</f>
        <v/>
      </c>
      <c r="O6" s="15">
        <f>IF(E4&lt;&gt;"",E4,IF(O5=0,"",INDEX('LANÇAMENTOS'!$E:$E,O5)))</f>
        <v/>
      </c>
    </row>
    <row r="7">
      <c r="O7" s="15">
        <f>SUMPRODUCT(MAX((c_data=O4)*(c_turno=O6)*ROW(c_data)))</f>
        <v/>
      </c>
    </row>
    <row r="8" ht="22" customHeight="1">
      <c r="B8" s="17" t="inlineStr">
        <is>
          <t>PLANEJADO (t)</t>
        </is>
      </c>
      <c r="C8" s="18" t="n"/>
      <c r="D8" s="17" t="inlineStr">
        <is>
          <t>EXECUTADO (t)</t>
        </is>
      </c>
      <c r="E8" s="18" t="n"/>
      <c r="F8" s="17" t="inlineStr">
        <is>
          <t>% EXECUÇÃO</t>
        </is>
      </c>
      <c r="G8" s="18" t="n"/>
      <c r="H8" s="19" t="inlineStr">
        <is>
          <t>FICA PARA O PRÓXIMO</t>
        </is>
      </c>
      <c r="I8" s="20" t="n"/>
      <c r="J8" s="21" t="inlineStr">
        <is>
          <t>CRÍTICOS EM ABERTO (GERAL)</t>
        </is>
      </c>
      <c r="K8" s="22" t="n"/>
      <c r="O8" s="15">
        <f>IF(O7=0,"",INDEX('LANÇAMENTOS'!$F:$F,O7))</f>
        <v/>
      </c>
    </row>
    <row r="9" ht="32" customHeight="1">
      <c r="B9" s="23">
        <f>SUMIFS(c_plan,c_data,pas_data,c_turno,pas_turno,c_med,"TON")</f>
        <v/>
      </c>
      <c r="C9" s="24" t="n"/>
      <c r="D9" s="23">
        <f>SUMIFS(c_exec,c_data,pas_data,c_turno,pas_turno,c_med,"TON")</f>
        <v/>
      </c>
      <c r="E9" s="24" t="n"/>
      <c r="F9" s="25">
        <f>IFERROR(D9/B9,0)</f>
        <v/>
      </c>
      <c r="G9" s="24" t="n"/>
      <c r="H9" s="26">
        <f>COUNT(c_o_pass)</f>
        <v/>
      </c>
      <c r="I9" s="24" t="n"/>
      <c r="J9" s="27">
        <f>COUNTIF(c_status,"CRÍTICO")</f>
        <v/>
      </c>
      <c r="K9" s="24" t="n"/>
      <c r="O9" s="15">
        <f>IFERROR(VLOOKUP(O6,t_prox,2,FALSE),"")</f>
        <v/>
      </c>
    </row>
    <row r="11" ht="20" customHeight="1">
      <c r="B11" s="28" t="inlineStr">
        <is>
          <t>📌 O QUE FICA PARA O PRÓXIMO TURNO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  <c r="L11" s="29" t="n"/>
    </row>
    <row r="12" ht="28" customHeight="1">
      <c r="B12" s="30" t="inlineStr">
        <is>
          <t>#</t>
        </is>
      </c>
      <c r="C12" s="30" t="inlineStr">
        <is>
          <t>ID</t>
        </is>
      </c>
      <c r="D12" s="30" t="inlineStr">
        <is>
          <t>DATA</t>
        </is>
      </c>
      <c r="E12" s="30" t="inlineStr">
        <is>
          <t>TURNO</t>
        </is>
      </c>
      <c r="F12" s="30" t="inlineStr">
        <is>
          <t>STATUS</t>
        </is>
      </c>
      <c r="G12" s="30" t="inlineStr">
        <is>
          <t>ALERTA</t>
        </is>
      </c>
      <c r="H12" s="30" t="inlineStr">
        <is>
          <t>PROGRAMAÇÃO</t>
        </is>
      </c>
      <c r="I12" s="30" t="inlineStr">
        <is>
          <t>ROTA / CLIENTE</t>
        </is>
      </c>
      <c r="J12" s="30" t="inlineStr">
        <is>
          <t>PENDÊNCIA / OBSERVAÇÃO</t>
        </is>
      </c>
      <c r="K12" s="30" t="inlineStr">
        <is>
          <t>RESPONSÁVEL</t>
        </is>
      </c>
      <c r="L12" s="30" t="inlineStr">
        <is>
          <t>PRAZO</t>
        </is>
      </c>
    </row>
    <row r="13">
      <c r="A13">
        <f>IFERROR(MATCH(LARGE(c_o_pass,1),c_o_pass,0),"")</f>
        <v/>
      </c>
      <c r="B13" s="31">
        <f>IF($A13="","",1)</f>
        <v/>
      </c>
      <c r="C13" s="32">
        <f>IF($A13="","",HYPERLINK("#'LANÇAMENTOS'!A"&amp;($A13+1),INDEX(c_id,$A13)))</f>
        <v/>
      </c>
      <c r="D13" s="33">
        <f>IF($A13="","",INDEX(c_data,$A13))</f>
        <v/>
      </c>
      <c r="E13" s="34">
        <f>IF($A13="","",INDEX(c_turno,$A13)&amp;"")</f>
        <v/>
      </c>
      <c r="F13" s="34">
        <f>IF($A13="","",INDEX(c_status,$A13)&amp;"")</f>
        <v/>
      </c>
      <c r="G13" s="34">
        <f>IF($A13="","",INDEX(c_alerta,$A13)&amp;"")</f>
        <v/>
      </c>
      <c r="H13" s="34">
        <f>IF($A13="","",INDEX(c_prog,$A13)&amp;"")</f>
        <v/>
      </c>
      <c r="I13" s="34">
        <f>IF($A13="","",INDEX(c_rota,$A13)&amp;"")</f>
        <v/>
      </c>
      <c r="J13" s="34">
        <f>IF($A13="","",IF(INDEX(c_pend,$A13)&amp;""&lt;&gt;"",INDEX(c_pend,$A13)&amp;"",INDEX(c_obs,$A13)&amp;""))</f>
        <v/>
      </c>
      <c r="K13" s="34">
        <f>IF($A13="","",INDEX(c_rpend,$A13)&amp;"")</f>
        <v/>
      </c>
      <c r="L13" s="33">
        <f>IF($A13="","",INDEX(c_prazo,$A13))</f>
        <v/>
      </c>
      <c r="N13">
        <f>IF($A13="","","• "&amp;INDEX(c_prog,$A13)&amp;" "&amp;INDEX(c_rota,$A13)&amp;" — "&amp;MID(INDEX(c_alerta,$A13),3,60)&amp;IF(INDEX(c_rpend,$A13)&amp;""="",""," (resp.: "&amp;INDEX(c_rpend,$A13)&amp;")"))</f>
        <v/>
      </c>
    </row>
    <row r="14">
      <c r="A14">
        <f>IFERROR(MATCH(LARGE(c_o_pass,2),c_o_pass,0),"")</f>
        <v/>
      </c>
      <c r="B14" s="31">
        <f>IF($A14="","",2)</f>
        <v/>
      </c>
      <c r="C14" s="32">
        <f>IF($A14="","",HYPERLINK("#'LANÇAMENTOS'!A"&amp;($A14+1),INDEX(c_id,$A14)))</f>
        <v/>
      </c>
      <c r="D14" s="33">
        <f>IF($A14="","",INDEX(c_data,$A14))</f>
        <v/>
      </c>
      <c r="E14" s="34">
        <f>IF($A14="","",INDEX(c_turno,$A14)&amp;"")</f>
        <v/>
      </c>
      <c r="F14" s="34">
        <f>IF($A14="","",INDEX(c_status,$A14)&amp;"")</f>
        <v/>
      </c>
      <c r="G14" s="34">
        <f>IF($A14="","",INDEX(c_alerta,$A14)&amp;"")</f>
        <v/>
      </c>
      <c r="H14" s="34">
        <f>IF($A14="","",INDEX(c_prog,$A14)&amp;"")</f>
        <v/>
      </c>
      <c r="I14" s="34">
        <f>IF($A14="","",INDEX(c_rota,$A14)&amp;"")</f>
        <v/>
      </c>
      <c r="J14" s="34">
        <f>IF($A14="","",IF(INDEX(c_pend,$A14)&amp;""&lt;&gt;"",INDEX(c_pend,$A14)&amp;"",INDEX(c_obs,$A14)&amp;""))</f>
        <v/>
      </c>
      <c r="K14" s="34">
        <f>IF($A14="","",INDEX(c_rpend,$A14)&amp;"")</f>
        <v/>
      </c>
      <c r="L14" s="33">
        <f>IF($A14="","",INDEX(c_prazo,$A14))</f>
        <v/>
      </c>
      <c r="N14">
        <f>IF($A14="","","• "&amp;INDEX(c_prog,$A14)&amp;" "&amp;INDEX(c_rota,$A14)&amp;" — "&amp;MID(INDEX(c_alerta,$A14),3,60)&amp;IF(INDEX(c_rpend,$A14)&amp;""="",""," (resp.: "&amp;INDEX(c_rpend,$A14)&amp;")"))</f>
        <v/>
      </c>
    </row>
    <row r="15">
      <c r="A15">
        <f>IFERROR(MATCH(LARGE(c_o_pass,3),c_o_pass,0),"")</f>
        <v/>
      </c>
      <c r="B15" s="31">
        <f>IF($A15="","",3)</f>
        <v/>
      </c>
      <c r="C15" s="32">
        <f>IF($A15="","",HYPERLINK("#'LANÇAMENTOS'!A"&amp;($A15+1),INDEX(c_id,$A15)))</f>
        <v/>
      </c>
      <c r="D15" s="33">
        <f>IF($A15="","",INDEX(c_data,$A15))</f>
        <v/>
      </c>
      <c r="E15" s="34">
        <f>IF($A15="","",INDEX(c_turno,$A15)&amp;"")</f>
        <v/>
      </c>
      <c r="F15" s="34">
        <f>IF($A15="","",INDEX(c_status,$A15)&amp;"")</f>
        <v/>
      </c>
      <c r="G15" s="34">
        <f>IF($A15="","",INDEX(c_alerta,$A15)&amp;"")</f>
        <v/>
      </c>
      <c r="H15" s="34">
        <f>IF($A15="","",INDEX(c_prog,$A15)&amp;"")</f>
        <v/>
      </c>
      <c r="I15" s="34">
        <f>IF($A15="","",INDEX(c_rota,$A15)&amp;"")</f>
        <v/>
      </c>
      <c r="J15" s="34">
        <f>IF($A15="","",IF(INDEX(c_pend,$A15)&amp;""&lt;&gt;"",INDEX(c_pend,$A15)&amp;"",INDEX(c_obs,$A15)&amp;""))</f>
        <v/>
      </c>
      <c r="K15" s="34">
        <f>IF($A15="","",INDEX(c_rpend,$A15)&amp;"")</f>
        <v/>
      </c>
      <c r="L15" s="33">
        <f>IF($A15="","",INDEX(c_prazo,$A15))</f>
        <v/>
      </c>
      <c r="N15">
        <f>IF($A15="","","• "&amp;INDEX(c_prog,$A15)&amp;" "&amp;INDEX(c_rota,$A15)&amp;" — "&amp;MID(INDEX(c_alerta,$A15),3,60)&amp;IF(INDEX(c_rpend,$A15)&amp;""="",""," (resp.: "&amp;INDEX(c_rpend,$A15)&amp;")"))</f>
        <v/>
      </c>
    </row>
    <row r="16">
      <c r="A16">
        <f>IFERROR(MATCH(LARGE(c_o_pass,4),c_o_pass,0),"")</f>
        <v/>
      </c>
      <c r="B16" s="31">
        <f>IF($A16="","",4)</f>
        <v/>
      </c>
      <c r="C16" s="32">
        <f>IF($A16="","",HYPERLINK("#'LANÇAMENTOS'!A"&amp;($A16+1),INDEX(c_id,$A16)))</f>
        <v/>
      </c>
      <c r="D16" s="33">
        <f>IF($A16="","",INDEX(c_data,$A16))</f>
        <v/>
      </c>
      <c r="E16" s="34">
        <f>IF($A16="","",INDEX(c_turno,$A16)&amp;"")</f>
        <v/>
      </c>
      <c r="F16" s="34">
        <f>IF($A16="","",INDEX(c_status,$A16)&amp;"")</f>
        <v/>
      </c>
      <c r="G16" s="34">
        <f>IF($A16="","",INDEX(c_alerta,$A16)&amp;"")</f>
        <v/>
      </c>
      <c r="H16" s="34">
        <f>IF($A16="","",INDEX(c_prog,$A16)&amp;"")</f>
        <v/>
      </c>
      <c r="I16" s="34">
        <f>IF($A16="","",INDEX(c_rota,$A16)&amp;"")</f>
        <v/>
      </c>
      <c r="J16" s="34">
        <f>IF($A16="","",IF(INDEX(c_pend,$A16)&amp;""&lt;&gt;"",INDEX(c_pend,$A16)&amp;"",INDEX(c_obs,$A16)&amp;""))</f>
        <v/>
      </c>
      <c r="K16" s="34">
        <f>IF($A16="","",INDEX(c_rpend,$A16)&amp;"")</f>
        <v/>
      </c>
      <c r="L16" s="33">
        <f>IF($A16="","",INDEX(c_prazo,$A16))</f>
        <v/>
      </c>
      <c r="N16">
        <f>IF($A16="","","• "&amp;INDEX(c_prog,$A16)&amp;" "&amp;INDEX(c_rota,$A16)&amp;" — "&amp;MID(INDEX(c_alerta,$A16),3,60)&amp;IF(INDEX(c_rpend,$A16)&amp;""="",""," (resp.: "&amp;INDEX(c_rpend,$A16)&amp;")"))</f>
        <v/>
      </c>
    </row>
    <row r="17">
      <c r="A17">
        <f>IFERROR(MATCH(LARGE(c_o_pass,5),c_o_pass,0),"")</f>
        <v/>
      </c>
      <c r="B17" s="31">
        <f>IF($A17="","",5)</f>
        <v/>
      </c>
      <c r="C17" s="32">
        <f>IF($A17="","",HYPERLINK("#'LANÇAMENTOS'!A"&amp;($A17+1),INDEX(c_id,$A17)))</f>
        <v/>
      </c>
      <c r="D17" s="33">
        <f>IF($A17="","",INDEX(c_data,$A17))</f>
        <v/>
      </c>
      <c r="E17" s="34">
        <f>IF($A17="","",INDEX(c_turno,$A17)&amp;"")</f>
        <v/>
      </c>
      <c r="F17" s="34">
        <f>IF($A17="","",INDEX(c_status,$A17)&amp;"")</f>
        <v/>
      </c>
      <c r="G17" s="34">
        <f>IF($A17="","",INDEX(c_alerta,$A17)&amp;"")</f>
        <v/>
      </c>
      <c r="H17" s="34">
        <f>IF($A17="","",INDEX(c_prog,$A17)&amp;"")</f>
        <v/>
      </c>
      <c r="I17" s="34">
        <f>IF($A17="","",INDEX(c_rota,$A17)&amp;"")</f>
        <v/>
      </c>
      <c r="J17" s="34">
        <f>IF($A17="","",IF(INDEX(c_pend,$A17)&amp;""&lt;&gt;"",INDEX(c_pend,$A17)&amp;"",INDEX(c_obs,$A17)&amp;""))</f>
        <v/>
      </c>
      <c r="K17" s="34">
        <f>IF($A17="","",INDEX(c_rpend,$A17)&amp;"")</f>
        <v/>
      </c>
      <c r="L17" s="33">
        <f>IF($A17="","",INDEX(c_prazo,$A17))</f>
        <v/>
      </c>
      <c r="N17">
        <f>IF($A17="","","• "&amp;INDEX(c_prog,$A17)&amp;" "&amp;INDEX(c_rota,$A17)&amp;" — "&amp;MID(INDEX(c_alerta,$A17),3,60)&amp;IF(INDEX(c_rpend,$A17)&amp;""="",""," (resp.: "&amp;INDEX(c_rpend,$A17)&amp;")"))</f>
        <v/>
      </c>
    </row>
    <row r="18">
      <c r="A18">
        <f>IFERROR(MATCH(LARGE(c_o_pass,6),c_o_pass,0),"")</f>
        <v/>
      </c>
      <c r="B18" s="31">
        <f>IF($A18="","",6)</f>
        <v/>
      </c>
      <c r="C18" s="32">
        <f>IF($A18="","",HYPERLINK("#'LANÇAMENTOS'!A"&amp;($A18+1),INDEX(c_id,$A18)))</f>
        <v/>
      </c>
      <c r="D18" s="33">
        <f>IF($A18="","",INDEX(c_data,$A18))</f>
        <v/>
      </c>
      <c r="E18" s="34">
        <f>IF($A18="","",INDEX(c_turno,$A18)&amp;"")</f>
        <v/>
      </c>
      <c r="F18" s="34">
        <f>IF($A18="","",INDEX(c_status,$A18)&amp;"")</f>
        <v/>
      </c>
      <c r="G18" s="34">
        <f>IF($A18="","",INDEX(c_alerta,$A18)&amp;"")</f>
        <v/>
      </c>
      <c r="H18" s="34">
        <f>IF($A18="","",INDEX(c_prog,$A18)&amp;"")</f>
        <v/>
      </c>
      <c r="I18" s="34">
        <f>IF($A18="","",INDEX(c_rota,$A18)&amp;"")</f>
        <v/>
      </c>
      <c r="J18" s="34">
        <f>IF($A18="","",IF(INDEX(c_pend,$A18)&amp;""&lt;&gt;"",INDEX(c_pend,$A18)&amp;"",INDEX(c_obs,$A18)&amp;""))</f>
        <v/>
      </c>
      <c r="K18" s="34">
        <f>IF($A18="","",INDEX(c_rpend,$A18)&amp;"")</f>
        <v/>
      </c>
      <c r="L18" s="33">
        <f>IF($A18="","",INDEX(c_prazo,$A18))</f>
        <v/>
      </c>
      <c r="N18">
        <f>IF($A18="","","• "&amp;INDEX(c_prog,$A18)&amp;" "&amp;INDEX(c_rota,$A18)&amp;" — "&amp;MID(INDEX(c_alerta,$A18),3,60)&amp;IF(INDEX(c_rpend,$A18)&amp;""="",""," (resp.: "&amp;INDEX(c_rpend,$A18)&amp;")"))</f>
        <v/>
      </c>
    </row>
    <row r="19">
      <c r="A19">
        <f>IFERROR(MATCH(LARGE(c_o_pass,7),c_o_pass,0),"")</f>
        <v/>
      </c>
      <c r="B19" s="31">
        <f>IF($A19="","",7)</f>
        <v/>
      </c>
      <c r="C19" s="32">
        <f>IF($A19="","",HYPERLINK("#'LANÇAMENTOS'!A"&amp;($A19+1),INDEX(c_id,$A19)))</f>
        <v/>
      </c>
      <c r="D19" s="33">
        <f>IF($A19="","",INDEX(c_data,$A19))</f>
        <v/>
      </c>
      <c r="E19" s="34">
        <f>IF($A19="","",INDEX(c_turno,$A19)&amp;"")</f>
        <v/>
      </c>
      <c r="F19" s="34">
        <f>IF($A19="","",INDEX(c_status,$A19)&amp;"")</f>
        <v/>
      </c>
      <c r="G19" s="34">
        <f>IF($A19="","",INDEX(c_alerta,$A19)&amp;"")</f>
        <v/>
      </c>
      <c r="H19" s="34">
        <f>IF($A19="","",INDEX(c_prog,$A19)&amp;"")</f>
        <v/>
      </c>
      <c r="I19" s="34">
        <f>IF($A19="","",INDEX(c_rota,$A19)&amp;"")</f>
        <v/>
      </c>
      <c r="J19" s="34">
        <f>IF($A19="","",IF(INDEX(c_pend,$A19)&amp;""&lt;&gt;"",INDEX(c_pend,$A19)&amp;"",INDEX(c_obs,$A19)&amp;""))</f>
        <v/>
      </c>
      <c r="K19" s="34">
        <f>IF($A19="","",INDEX(c_rpend,$A19)&amp;"")</f>
        <v/>
      </c>
      <c r="L19" s="33">
        <f>IF($A19="","",INDEX(c_prazo,$A19))</f>
        <v/>
      </c>
      <c r="N19">
        <f>IF($A19="","","• "&amp;INDEX(c_prog,$A19)&amp;" "&amp;INDEX(c_rota,$A19)&amp;" — "&amp;MID(INDEX(c_alerta,$A19),3,60)&amp;IF(INDEX(c_rpend,$A19)&amp;""="",""," (resp.: "&amp;INDEX(c_rpend,$A19)&amp;")"))</f>
        <v/>
      </c>
    </row>
    <row r="20">
      <c r="A20">
        <f>IFERROR(MATCH(LARGE(c_o_pass,8),c_o_pass,0),"")</f>
        <v/>
      </c>
      <c r="B20" s="31">
        <f>IF($A20="","",8)</f>
        <v/>
      </c>
      <c r="C20" s="32">
        <f>IF($A20="","",HYPERLINK("#'LANÇAMENTOS'!A"&amp;($A20+1),INDEX(c_id,$A20)))</f>
        <v/>
      </c>
      <c r="D20" s="33">
        <f>IF($A20="","",INDEX(c_data,$A20))</f>
        <v/>
      </c>
      <c r="E20" s="34">
        <f>IF($A20="","",INDEX(c_turno,$A20)&amp;"")</f>
        <v/>
      </c>
      <c r="F20" s="34">
        <f>IF($A20="","",INDEX(c_status,$A20)&amp;"")</f>
        <v/>
      </c>
      <c r="G20" s="34">
        <f>IF($A20="","",INDEX(c_alerta,$A20)&amp;"")</f>
        <v/>
      </c>
      <c r="H20" s="34">
        <f>IF($A20="","",INDEX(c_prog,$A20)&amp;"")</f>
        <v/>
      </c>
      <c r="I20" s="34">
        <f>IF($A20="","",INDEX(c_rota,$A20)&amp;"")</f>
        <v/>
      </c>
      <c r="J20" s="34">
        <f>IF($A20="","",IF(INDEX(c_pend,$A20)&amp;""&lt;&gt;"",INDEX(c_pend,$A20)&amp;"",INDEX(c_obs,$A20)&amp;""))</f>
        <v/>
      </c>
      <c r="K20" s="34">
        <f>IF($A20="","",INDEX(c_rpend,$A20)&amp;"")</f>
        <v/>
      </c>
      <c r="L20" s="33">
        <f>IF($A20="","",INDEX(c_prazo,$A20))</f>
        <v/>
      </c>
      <c r="N20">
        <f>IF($A20="","","• "&amp;INDEX(c_prog,$A20)&amp;" "&amp;INDEX(c_rota,$A20)&amp;" — "&amp;MID(INDEX(c_alerta,$A20),3,60)&amp;IF(INDEX(c_rpend,$A20)&amp;""="",""," (resp.: "&amp;INDEX(c_rpend,$A20)&amp;")"))</f>
        <v/>
      </c>
    </row>
    <row r="21">
      <c r="A21">
        <f>IFERROR(MATCH(LARGE(c_o_pass,9),c_o_pass,0),"")</f>
        <v/>
      </c>
      <c r="B21" s="31">
        <f>IF($A21="","",9)</f>
        <v/>
      </c>
      <c r="C21" s="32">
        <f>IF($A21="","",HYPERLINK("#'LANÇAMENTOS'!A"&amp;($A21+1),INDEX(c_id,$A21)))</f>
        <v/>
      </c>
      <c r="D21" s="33">
        <f>IF($A21="","",INDEX(c_data,$A21))</f>
        <v/>
      </c>
      <c r="E21" s="34">
        <f>IF($A21="","",INDEX(c_turno,$A21)&amp;"")</f>
        <v/>
      </c>
      <c r="F21" s="34">
        <f>IF($A21="","",INDEX(c_status,$A21)&amp;"")</f>
        <v/>
      </c>
      <c r="G21" s="34">
        <f>IF($A21="","",INDEX(c_alerta,$A21)&amp;"")</f>
        <v/>
      </c>
      <c r="H21" s="34">
        <f>IF($A21="","",INDEX(c_prog,$A21)&amp;"")</f>
        <v/>
      </c>
      <c r="I21" s="34">
        <f>IF($A21="","",INDEX(c_rota,$A21)&amp;"")</f>
        <v/>
      </c>
      <c r="J21" s="34">
        <f>IF($A21="","",IF(INDEX(c_pend,$A21)&amp;""&lt;&gt;"",INDEX(c_pend,$A21)&amp;"",INDEX(c_obs,$A21)&amp;""))</f>
        <v/>
      </c>
      <c r="K21" s="34">
        <f>IF($A21="","",INDEX(c_rpend,$A21)&amp;"")</f>
        <v/>
      </c>
      <c r="L21" s="33">
        <f>IF($A21="","",INDEX(c_prazo,$A21))</f>
        <v/>
      </c>
      <c r="N21">
        <f>IF($A21="","","• "&amp;INDEX(c_prog,$A21)&amp;" "&amp;INDEX(c_rota,$A21)&amp;" — "&amp;MID(INDEX(c_alerta,$A21),3,60)&amp;IF(INDEX(c_rpend,$A21)&amp;""="",""," (resp.: "&amp;INDEX(c_rpend,$A21)&amp;")"))</f>
        <v/>
      </c>
    </row>
    <row r="22">
      <c r="A22">
        <f>IFERROR(MATCH(LARGE(c_o_pass,10),c_o_pass,0),"")</f>
        <v/>
      </c>
      <c r="B22" s="31">
        <f>IF($A22="","",10)</f>
        <v/>
      </c>
      <c r="C22" s="32">
        <f>IF($A22="","",HYPERLINK("#'LANÇAMENTOS'!A"&amp;($A22+1),INDEX(c_id,$A22)))</f>
        <v/>
      </c>
      <c r="D22" s="33">
        <f>IF($A22="","",INDEX(c_data,$A22))</f>
        <v/>
      </c>
      <c r="E22" s="34">
        <f>IF($A22="","",INDEX(c_turno,$A22)&amp;"")</f>
        <v/>
      </c>
      <c r="F22" s="34">
        <f>IF($A22="","",INDEX(c_status,$A22)&amp;"")</f>
        <v/>
      </c>
      <c r="G22" s="34">
        <f>IF($A22="","",INDEX(c_alerta,$A22)&amp;"")</f>
        <v/>
      </c>
      <c r="H22" s="34">
        <f>IF($A22="","",INDEX(c_prog,$A22)&amp;"")</f>
        <v/>
      </c>
      <c r="I22" s="34">
        <f>IF($A22="","",INDEX(c_rota,$A22)&amp;"")</f>
        <v/>
      </c>
      <c r="J22" s="34">
        <f>IF($A22="","",IF(INDEX(c_pend,$A22)&amp;""&lt;&gt;"",INDEX(c_pend,$A22)&amp;"",INDEX(c_obs,$A22)&amp;""))</f>
        <v/>
      </c>
      <c r="K22" s="34">
        <f>IF($A22="","",INDEX(c_rpend,$A22)&amp;"")</f>
        <v/>
      </c>
      <c r="L22" s="33">
        <f>IF($A22="","",INDEX(c_prazo,$A22))</f>
        <v/>
      </c>
      <c r="N22">
        <f>IF($A22="","","• "&amp;INDEX(c_prog,$A22)&amp;" "&amp;INDEX(c_rota,$A22)&amp;" — "&amp;MID(INDEX(c_alerta,$A22),3,60)&amp;IF(INDEX(c_rpend,$A22)&amp;""="",""," (resp.: "&amp;INDEX(c_rpend,$A22)&amp;")"))</f>
        <v/>
      </c>
    </row>
    <row r="23">
      <c r="A23">
        <f>IFERROR(MATCH(LARGE(c_o_pass,11),c_o_pass,0),"")</f>
        <v/>
      </c>
      <c r="B23" s="31">
        <f>IF($A23="","",11)</f>
        <v/>
      </c>
      <c r="C23" s="32">
        <f>IF($A23="","",HYPERLINK("#'LANÇAMENTOS'!A"&amp;($A23+1),INDEX(c_id,$A23)))</f>
        <v/>
      </c>
      <c r="D23" s="33">
        <f>IF($A23="","",INDEX(c_data,$A23))</f>
        <v/>
      </c>
      <c r="E23" s="34">
        <f>IF($A23="","",INDEX(c_turno,$A23)&amp;"")</f>
        <v/>
      </c>
      <c r="F23" s="34">
        <f>IF($A23="","",INDEX(c_status,$A23)&amp;"")</f>
        <v/>
      </c>
      <c r="G23" s="34">
        <f>IF($A23="","",INDEX(c_alerta,$A23)&amp;"")</f>
        <v/>
      </c>
      <c r="H23" s="34">
        <f>IF($A23="","",INDEX(c_prog,$A23)&amp;"")</f>
        <v/>
      </c>
      <c r="I23" s="34">
        <f>IF($A23="","",INDEX(c_rota,$A23)&amp;"")</f>
        <v/>
      </c>
      <c r="J23" s="34">
        <f>IF($A23="","",IF(INDEX(c_pend,$A23)&amp;""&lt;&gt;"",INDEX(c_pend,$A23)&amp;"",INDEX(c_obs,$A23)&amp;""))</f>
        <v/>
      </c>
      <c r="K23" s="34">
        <f>IF($A23="","",INDEX(c_rpend,$A23)&amp;"")</f>
        <v/>
      </c>
      <c r="L23" s="33">
        <f>IF($A23="","",INDEX(c_prazo,$A23))</f>
        <v/>
      </c>
      <c r="N23">
        <f>IF($A23="","","• "&amp;INDEX(c_prog,$A23)&amp;" "&amp;INDEX(c_rota,$A23)&amp;" — "&amp;MID(INDEX(c_alerta,$A23),3,60)&amp;IF(INDEX(c_rpend,$A23)&amp;""="",""," (resp.: "&amp;INDEX(c_rpend,$A23)&amp;")"))</f>
        <v/>
      </c>
    </row>
    <row r="24">
      <c r="A24">
        <f>IFERROR(MATCH(LARGE(c_o_pass,12),c_o_pass,0),"")</f>
        <v/>
      </c>
      <c r="B24" s="31">
        <f>IF($A24="","",12)</f>
        <v/>
      </c>
      <c r="C24" s="32">
        <f>IF($A24="","",HYPERLINK("#'LANÇAMENTOS'!A"&amp;($A24+1),INDEX(c_id,$A24)))</f>
        <v/>
      </c>
      <c r="D24" s="33">
        <f>IF($A24="","",INDEX(c_data,$A24))</f>
        <v/>
      </c>
      <c r="E24" s="34">
        <f>IF($A24="","",INDEX(c_turno,$A24)&amp;"")</f>
        <v/>
      </c>
      <c r="F24" s="34">
        <f>IF($A24="","",INDEX(c_status,$A24)&amp;"")</f>
        <v/>
      </c>
      <c r="G24" s="34">
        <f>IF($A24="","",INDEX(c_alerta,$A24)&amp;"")</f>
        <v/>
      </c>
      <c r="H24" s="34">
        <f>IF($A24="","",INDEX(c_prog,$A24)&amp;"")</f>
        <v/>
      </c>
      <c r="I24" s="34">
        <f>IF($A24="","",INDEX(c_rota,$A24)&amp;"")</f>
        <v/>
      </c>
      <c r="J24" s="34">
        <f>IF($A24="","",IF(INDEX(c_pend,$A24)&amp;""&lt;&gt;"",INDEX(c_pend,$A24)&amp;"",INDEX(c_obs,$A24)&amp;""))</f>
        <v/>
      </c>
      <c r="K24" s="34">
        <f>IF($A24="","",INDEX(c_rpend,$A24)&amp;"")</f>
        <v/>
      </c>
      <c r="L24" s="33">
        <f>IF($A24="","",INDEX(c_prazo,$A24))</f>
        <v/>
      </c>
      <c r="N24">
        <f>IF($A24="","","• "&amp;INDEX(c_prog,$A24)&amp;" "&amp;INDEX(c_rota,$A24)&amp;" — "&amp;MID(INDEX(c_alerta,$A24),3,60)&amp;IF(INDEX(c_rpend,$A24)&amp;""="",""," (resp.: "&amp;INDEX(c_rpend,$A24)&amp;")"))</f>
        <v/>
      </c>
    </row>
    <row r="25">
      <c r="A25">
        <f>IFERROR(MATCH(LARGE(c_o_pass,13),c_o_pass,0),"")</f>
        <v/>
      </c>
      <c r="B25" s="31">
        <f>IF($A25="","",13)</f>
        <v/>
      </c>
      <c r="C25" s="32">
        <f>IF($A25="","",HYPERLINK("#'LANÇAMENTOS'!A"&amp;($A25+1),INDEX(c_id,$A25)))</f>
        <v/>
      </c>
      <c r="D25" s="33">
        <f>IF($A25="","",INDEX(c_data,$A25))</f>
        <v/>
      </c>
      <c r="E25" s="34">
        <f>IF($A25="","",INDEX(c_turno,$A25)&amp;"")</f>
        <v/>
      </c>
      <c r="F25" s="34">
        <f>IF($A25="","",INDEX(c_status,$A25)&amp;"")</f>
        <v/>
      </c>
      <c r="G25" s="34">
        <f>IF($A25="","",INDEX(c_alerta,$A25)&amp;"")</f>
        <v/>
      </c>
      <c r="H25" s="34">
        <f>IF($A25="","",INDEX(c_prog,$A25)&amp;"")</f>
        <v/>
      </c>
      <c r="I25" s="34">
        <f>IF($A25="","",INDEX(c_rota,$A25)&amp;"")</f>
        <v/>
      </c>
      <c r="J25" s="34">
        <f>IF($A25="","",IF(INDEX(c_pend,$A25)&amp;""&lt;&gt;"",INDEX(c_pend,$A25)&amp;"",INDEX(c_obs,$A25)&amp;""))</f>
        <v/>
      </c>
      <c r="K25" s="34">
        <f>IF($A25="","",INDEX(c_rpend,$A25)&amp;"")</f>
        <v/>
      </c>
      <c r="L25" s="33">
        <f>IF($A25="","",INDEX(c_prazo,$A25))</f>
        <v/>
      </c>
      <c r="N25">
        <f>IF($A25="","","• "&amp;INDEX(c_prog,$A25)&amp;" "&amp;INDEX(c_rota,$A25)&amp;" — "&amp;MID(INDEX(c_alerta,$A25),3,60)&amp;IF(INDEX(c_rpend,$A25)&amp;""="",""," (resp.: "&amp;INDEX(c_rpend,$A25)&amp;")"))</f>
        <v/>
      </c>
    </row>
    <row r="26">
      <c r="A26">
        <f>IFERROR(MATCH(LARGE(c_o_pass,14),c_o_pass,0),"")</f>
        <v/>
      </c>
      <c r="B26" s="31">
        <f>IF($A26="","",14)</f>
        <v/>
      </c>
      <c r="C26" s="32">
        <f>IF($A26="","",HYPERLINK("#'LANÇAMENTOS'!A"&amp;($A26+1),INDEX(c_id,$A26)))</f>
        <v/>
      </c>
      <c r="D26" s="33">
        <f>IF($A26="","",INDEX(c_data,$A26))</f>
        <v/>
      </c>
      <c r="E26" s="34">
        <f>IF($A26="","",INDEX(c_turno,$A26)&amp;"")</f>
        <v/>
      </c>
      <c r="F26" s="34">
        <f>IF($A26="","",INDEX(c_status,$A26)&amp;"")</f>
        <v/>
      </c>
      <c r="G26" s="34">
        <f>IF($A26="","",INDEX(c_alerta,$A26)&amp;"")</f>
        <v/>
      </c>
      <c r="H26" s="34">
        <f>IF($A26="","",INDEX(c_prog,$A26)&amp;"")</f>
        <v/>
      </c>
      <c r="I26" s="34">
        <f>IF($A26="","",INDEX(c_rota,$A26)&amp;"")</f>
        <v/>
      </c>
      <c r="J26" s="34">
        <f>IF($A26="","",IF(INDEX(c_pend,$A26)&amp;""&lt;&gt;"",INDEX(c_pend,$A26)&amp;"",INDEX(c_obs,$A26)&amp;""))</f>
        <v/>
      </c>
      <c r="K26" s="34">
        <f>IF($A26="","",INDEX(c_rpend,$A26)&amp;"")</f>
        <v/>
      </c>
      <c r="L26" s="33">
        <f>IF($A26="","",INDEX(c_prazo,$A26))</f>
        <v/>
      </c>
      <c r="N26">
        <f>IF($A26="","","• "&amp;INDEX(c_prog,$A26)&amp;" "&amp;INDEX(c_rota,$A26)&amp;" — "&amp;MID(INDEX(c_alerta,$A26),3,60)&amp;IF(INDEX(c_rpend,$A26)&amp;""="",""," (resp.: "&amp;INDEX(c_rpend,$A26)&amp;")"))</f>
        <v/>
      </c>
    </row>
    <row r="27">
      <c r="A27">
        <f>IFERROR(MATCH(LARGE(c_o_pass,15),c_o_pass,0),"")</f>
        <v/>
      </c>
      <c r="B27" s="31">
        <f>IF($A27="","",15)</f>
        <v/>
      </c>
      <c r="C27" s="32">
        <f>IF($A27="","",HYPERLINK("#'LANÇAMENTOS'!A"&amp;($A27+1),INDEX(c_id,$A27)))</f>
        <v/>
      </c>
      <c r="D27" s="33">
        <f>IF($A27="","",INDEX(c_data,$A27))</f>
        <v/>
      </c>
      <c r="E27" s="34">
        <f>IF($A27="","",INDEX(c_turno,$A27)&amp;"")</f>
        <v/>
      </c>
      <c r="F27" s="34">
        <f>IF($A27="","",INDEX(c_status,$A27)&amp;"")</f>
        <v/>
      </c>
      <c r="G27" s="34">
        <f>IF($A27="","",INDEX(c_alerta,$A27)&amp;"")</f>
        <v/>
      </c>
      <c r="H27" s="34">
        <f>IF($A27="","",INDEX(c_prog,$A27)&amp;"")</f>
        <v/>
      </c>
      <c r="I27" s="34">
        <f>IF($A27="","",INDEX(c_rota,$A27)&amp;"")</f>
        <v/>
      </c>
      <c r="J27" s="34">
        <f>IF($A27="","",IF(INDEX(c_pend,$A27)&amp;""&lt;&gt;"",INDEX(c_pend,$A27)&amp;"",INDEX(c_obs,$A27)&amp;""))</f>
        <v/>
      </c>
      <c r="K27" s="34">
        <f>IF($A27="","",INDEX(c_rpend,$A27)&amp;"")</f>
        <v/>
      </c>
      <c r="L27" s="33">
        <f>IF($A27="","",INDEX(c_prazo,$A27))</f>
        <v/>
      </c>
      <c r="N27">
        <f>IF($A27="","","• "&amp;INDEX(c_prog,$A27)&amp;" "&amp;INDEX(c_rota,$A27)&amp;" — "&amp;MID(INDEX(c_alerta,$A27),3,60)&amp;IF(INDEX(c_rpend,$A27)&amp;""="",""," (resp.: "&amp;INDEX(c_rpend,$A27)&amp;")"))</f>
        <v/>
      </c>
    </row>
    <row r="29" ht="20" customHeight="1">
      <c r="B29" s="35" t="inlineStr">
        <is>
          <t>🔴 CRÍTICOS EM ABERTO (todos os turnos)</t>
        </is>
      </c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</row>
    <row r="30" ht="28" customHeight="1">
      <c r="B30" s="30" t="inlineStr">
        <is>
          <t>#</t>
        </is>
      </c>
      <c r="C30" s="30" t="inlineStr">
        <is>
          <t>ID</t>
        </is>
      </c>
      <c r="D30" s="30" t="inlineStr">
        <is>
          <t>DATA</t>
        </is>
      </c>
      <c r="E30" s="30" t="inlineStr">
        <is>
          <t>TURNO</t>
        </is>
      </c>
      <c r="F30" s="30" t="inlineStr">
        <is>
          <t>STATUS</t>
        </is>
      </c>
      <c r="G30" s="30" t="inlineStr">
        <is>
          <t>ALERTA</t>
        </is>
      </c>
      <c r="H30" s="30" t="inlineStr">
        <is>
          <t>PROGRAMAÇÃO</t>
        </is>
      </c>
      <c r="I30" s="30" t="inlineStr">
        <is>
          <t>ROTA / CLIENTE</t>
        </is>
      </c>
      <c r="J30" s="30" t="inlineStr">
        <is>
          <t>PENDÊNCIA / OBSERVAÇÃO</t>
        </is>
      </c>
      <c r="K30" s="30" t="inlineStr">
        <is>
          <t>RESPONSÁVEL</t>
        </is>
      </c>
      <c r="L30" s="30" t="inlineStr">
        <is>
          <t>PRAZO</t>
        </is>
      </c>
    </row>
    <row r="31">
      <c r="A31">
        <f>IFERROR(IF(1&gt;COUNTIF(c_status,"CRÍTICO"),"",MATCH(LARGE(c_o_pend,1),c_o_pend,0)),"")</f>
        <v/>
      </c>
      <c r="B31" s="31">
        <f>IF($A31="","",1)</f>
        <v/>
      </c>
      <c r="C31" s="32">
        <f>IF($A31="","",HYPERLINK("#'LANÇAMENTOS'!A"&amp;($A31+1),INDEX(c_id,$A31)))</f>
        <v/>
      </c>
      <c r="D31" s="33">
        <f>IF($A31="","",INDEX(c_data,$A31))</f>
        <v/>
      </c>
      <c r="E31" s="34">
        <f>IF($A31="","",INDEX(c_turno,$A31)&amp;"")</f>
        <v/>
      </c>
      <c r="F31" s="34">
        <f>IF($A31="","",INDEX(c_status,$A31)&amp;"")</f>
        <v/>
      </c>
      <c r="G31" s="34">
        <f>IF($A31="","",INDEX(c_alerta,$A31)&amp;"")</f>
        <v/>
      </c>
      <c r="H31" s="34">
        <f>IF($A31="","",INDEX(c_prog,$A31)&amp;"")</f>
        <v/>
      </c>
      <c r="I31" s="34">
        <f>IF($A31="","",INDEX(c_rota,$A31)&amp;"")</f>
        <v/>
      </c>
      <c r="J31" s="34">
        <f>IF($A31="","",IF(INDEX(c_pend,$A31)&amp;""&lt;&gt;"",INDEX(c_pend,$A31)&amp;"",INDEX(c_obs,$A31)&amp;""))</f>
        <v/>
      </c>
      <c r="K31" s="34">
        <f>IF($A31="","",INDEX(c_rpend,$A31)&amp;"")</f>
        <v/>
      </c>
      <c r="L31" s="33">
        <f>IF($A31="","",INDEX(c_prazo,$A31))</f>
        <v/>
      </c>
    </row>
    <row r="32">
      <c r="A32">
        <f>IFERROR(IF(2&gt;COUNTIF(c_status,"CRÍTICO"),"",MATCH(LARGE(c_o_pend,2),c_o_pend,0)),"")</f>
        <v/>
      </c>
      <c r="B32" s="31">
        <f>IF($A32="","",2)</f>
        <v/>
      </c>
      <c r="C32" s="32">
        <f>IF($A32="","",HYPERLINK("#'LANÇAMENTOS'!A"&amp;($A32+1),INDEX(c_id,$A32)))</f>
        <v/>
      </c>
      <c r="D32" s="33">
        <f>IF($A32="","",INDEX(c_data,$A32))</f>
        <v/>
      </c>
      <c r="E32" s="34">
        <f>IF($A32="","",INDEX(c_turno,$A32)&amp;"")</f>
        <v/>
      </c>
      <c r="F32" s="34">
        <f>IF($A32="","",INDEX(c_status,$A32)&amp;"")</f>
        <v/>
      </c>
      <c r="G32" s="34">
        <f>IF($A32="","",INDEX(c_alerta,$A32)&amp;"")</f>
        <v/>
      </c>
      <c r="H32" s="34">
        <f>IF($A32="","",INDEX(c_prog,$A32)&amp;"")</f>
        <v/>
      </c>
      <c r="I32" s="34">
        <f>IF($A32="","",INDEX(c_rota,$A32)&amp;"")</f>
        <v/>
      </c>
      <c r="J32" s="34">
        <f>IF($A32="","",IF(INDEX(c_pend,$A32)&amp;""&lt;&gt;"",INDEX(c_pend,$A32)&amp;"",INDEX(c_obs,$A32)&amp;""))</f>
        <v/>
      </c>
      <c r="K32" s="34">
        <f>IF($A32="","",INDEX(c_rpend,$A32)&amp;"")</f>
        <v/>
      </c>
      <c r="L32" s="33">
        <f>IF($A32="","",INDEX(c_prazo,$A32))</f>
        <v/>
      </c>
    </row>
    <row r="33">
      <c r="A33">
        <f>IFERROR(IF(3&gt;COUNTIF(c_status,"CRÍTICO"),"",MATCH(LARGE(c_o_pend,3),c_o_pend,0)),"")</f>
        <v/>
      </c>
      <c r="B33" s="31">
        <f>IF($A33="","",3)</f>
        <v/>
      </c>
      <c r="C33" s="32">
        <f>IF($A33="","",HYPERLINK("#'LANÇAMENTOS'!A"&amp;($A33+1),INDEX(c_id,$A33)))</f>
        <v/>
      </c>
      <c r="D33" s="33">
        <f>IF($A33="","",INDEX(c_data,$A33))</f>
        <v/>
      </c>
      <c r="E33" s="34">
        <f>IF($A33="","",INDEX(c_turno,$A33)&amp;"")</f>
        <v/>
      </c>
      <c r="F33" s="34">
        <f>IF($A33="","",INDEX(c_status,$A33)&amp;"")</f>
        <v/>
      </c>
      <c r="G33" s="34">
        <f>IF($A33="","",INDEX(c_alerta,$A33)&amp;"")</f>
        <v/>
      </c>
      <c r="H33" s="34">
        <f>IF($A33="","",INDEX(c_prog,$A33)&amp;"")</f>
        <v/>
      </c>
      <c r="I33" s="34">
        <f>IF($A33="","",INDEX(c_rota,$A33)&amp;"")</f>
        <v/>
      </c>
      <c r="J33" s="34">
        <f>IF($A33="","",IF(INDEX(c_pend,$A33)&amp;""&lt;&gt;"",INDEX(c_pend,$A33)&amp;"",INDEX(c_obs,$A33)&amp;""))</f>
        <v/>
      </c>
      <c r="K33" s="34">
        <f>IF($A33="","",INDEX(c_rpend,$A33)&amp;"")</f>
        <v/>
      </c>
      <c r="L33" s="33">
        <f>IF($A33="","",INDEX(c_prazo,$A33))</f>
        <v/>
      </c>
    </row>
    <row r="34">
      <c r="A34">
        <f>IFERROR(IF(4&gt;COUNTIF(c_status,"CRÍTICO"),"",MATCH(LARGE(c_o_pend,4),c_o_pend,0)),"")</f>
        <v/>
      </c>
      <c r="B34" s="31">
        <f>IF($A34="","",4)</f>
        <v/>
      </c>
      <c r="C34" s="32">
        <f>IF($A34="","",HYPERLINK("#'LANÇAMENTOS'!A"&amp;($A34+1),INDEX(c_id,$A34)))</f>
        <v/>
      </c>
      <c r="D34" s="33">
        <f>IF($A34="","",INDEX(c_data,$A34))</f>
        <v/>
      </c>
      <c r="E34" s="34">
        <f>IF($A34="","",INDEX(c_turno,$A34)&amp;"")</f>
        <v/>
      </c>
      <c r="F34" s="34">
        <f>IF($A34="","",INDEX(c_status,$A34)&amp;"")</f>
        <v/>
      </c>
      <c r="G34" s="34">
        <f>IF($A34="","",INDEX(c_alerta,$A34)&amp;"")</f>
        <v/>
      </c>
      <c r="H34" s="34">
        <f>IF($A34="","",INDEX(c_prog,$A34)&amp;"")</f>
        <v/>
      </c>
      <c r="I34" s="34">
        <f>IF($A34="","",INDEX(c_rota,$A34)&amp;"")</f>
        <v/>
      </c>
      <c r="J34" s="34">
        <f>IF($A34="","",IF(INDEX(c_pend,$A34)&amp;""&lt;&gt;"",INDEX(c_pend,$A34)&amp;"",INDEX(c_obs,$A34)&amp;""))</f>
        <v/>
      </c>
      <c r="K34" s="34">
        <f>IF($A34="","",INDEX(c_rpend,$A34)&amp;"")</f>
        <v/>
      </c>
      <c r="L34" s="33">
        <f>IF($A34="","",INDEX(c_prazo,$A34))</f>
        <v/>
      </c>
    </row>
    <row r="35">
      <c r="A35">
        <f>IFERROR(IF(5&gt;COUNTIF(c_status,"CRÍTICO"),"",MATCH(LARGE(c_o_pend,5),c_o_pend,0)),"")</f>
        <v/>
      </c>
      <c r="B35" s="31">
        <f>IF($A35="","",5)</f>
        <v/>
      </c>
      <c r="C35" s="32">
        <f>IF($A35="","",HYPERLINK("#'LANÇAMENTOS'!A"&amp;($A35+1),INDEX(c_id,$A35)))</f>
        <v/>
      </c>
      <c r="D35" s="33">
        <f>IF($A35="","",INDEX(c_data,$A35))</f>
        <v/>
      </c>
      <c r="E35" s="34">
        <f>IF($A35="","",INDEX(c_turno,$A35)&amp;"")</f>
        <v/>
      </c>
      <c r="F35" s="34">
        <f>IF($A35="","",INDEX(c_status,$A35)&amp;"")</f>
        <v/>
      </c>
      <c r="G35" s="34">
        <f>IF($A35="","",INDEX(c_alerta,$A35)&amp;"")</f>
        <v/>
      </c>
      <c r="H35" s="34">
        <f>IF($A35="","",INDEX(c_prog,$A35)&amp;"")</f>
        <v/>
      </c>
      <c r="I35" s="34">
        <f>IF($A35="","",INDEX(c_rota,$A35)&amp;"")</f>
        <v/>
      </c>
      <c r="J35" s="34">
        <f>IF($A35="","",IF(INDEX(c_pend,$A35)&amp;""&lt;&gt;"",INDEX(c_pend,$A35)&amp;"",INDEX(c_obs,$A35)&amp;""))</f>
        <v/>
      </c>
      <c r="K35" s="34">
        <f>IF($A35="","",INDEX(c_rpend,$A35)&amp;"")</f>
        <v/>
      </c>
      <c r="L35" s="33">
        <f>IF($A35="","",INDEX(c_prazo,$A35))</f>
        <v/>
      </c>
    </row>
    <row r="36">
      <c r="A36">
        <f>IFERROR(IF(6&gt;COUNTIF(c_status,"CRÍTICO"),"",MATCH(LARGE(c_o_pend,6),c_o_pend,0)),"")</f>
        <v/>
      </c>
      <c r="B36" s="31">
        <f>IF($A36="","",6)</f>
        <v/>
      </c>
      <c r="C36" s="32">
        <f>IF($A36="","",HYPERLINK("#'LANÇAMENTOS'!A"&amp;($A36+1),INDEX(c_id,$A36)))</f>
        <v/>
      </c>
      <c r="D36" s="33">
        <f>IF($A36="","",INDEX(c_data,$A36))</f>
        <v/>
      </c>
      <c r="E36" s="34">
        <f>IF($A36="","",INDEX(c_turno,$A36)&amp;"")</f>
        <v/>
      </c>
      <c r="F36" s="34">
        <f>IF($A36="","",INDEX(c_status,$A36)&amp;"")</f>
        <v/>
      </c>
      <c r="G36" s="34">
        <f>IF($A36="","",INDEX(c_alerta,$A36)&amp;"")</f>
        <v/>
      </c>
      <c r="H36" s="34">
        <f>IF($A36="","",INDEX(c_prog,$A36)&amp;"")</f>
        <v/>
      </c>
      <c r="I36" s="34">
        <f>IF($A36="","",INDEX(c_rota,$A36)&amp;"")</f>
        <v/>
      </c>
      <c r="J36" s="34">
        <f>IF($A36="","",IF(INDEX(c_pend,$A36)&amp;""&lt;&gt;"",INDEX(c_pend,$A36)&amp;"",INDEX(c_obs,$A36)&amp;""))</f>
        <v/>
      </c>
      <c r="K36" s="34">
        <f>IF($A36="","",INDEX(c_rpend,$A36)&amp;"")</f>
        <v/>
      </c>
      <c r="L36" s="33">
        <f>IF($A36="","",INDEX(c_prazo,$A36))</f>
        <v/>
      </c>
    </row>
    <row r="37">
      <c r="A37">
        <f>IFERROR(IF(7&gt;COUNTIF(c_status,"CRÍTICO"),"",MATCH(LARGE(c_o_pend,7),c_o_pend,0)),"")</f>
        <v/>
      </c>
      <c r="B37" s="31">
        <f>IF($A37="","",7)</f>
        <v/>
      </c>
      <c r="C37" s="32">
        <f>IF($A37="","",HYPERLINK("#'LANÇAMENTOS'!A"&amp;($A37+1),INDEX(c_id,$A37)))</f>
        <v/>
      </c>
      <c r="D37" s="33">
        <f>IF($A37="","",INDEX(c_data,$A37))</f>
        <v/>
      </c>
      <c r="E37" s="34">
        <f>IF($A37="","",INDEX(c_turno,$A37)&amp;"")</f>
        <v/>
      </c>
      <c r="F37" s="34">
        <f>IF($A37="","",INDEX(c_status,$A37)&amp;"")</f>
        <v/>
      </c>
      <c r="G37" s="34">
        <f>IF($A37="","",INDEX(c_alerta,$A37)&amp;"")</f>
        <v/>
      </c>
      <c r="H37" s="34">
        <f>IF($A37="","",INDEX(c_prog,$A37)&amp;"")</f>
        <v/>
      </c>
      <c r="I37" s="34">
        <f>IF($A37="","",INDEX(c_rota,$A37)&amp;"")</f>
        <v/>
      </c>
      <c r="J37" s="34">
        <f>IF($A37="","",IF(INDEX(c_pend,$A37)&amp;""&lt;&gt;"",INDEX(c_pend,$A37)&amp;"",INDEX(c_obs,$A37)&amp;""))</f>
        <v/>
      </c>
      <c r="K37" s="34">
        <f>IF($A37="","",INDEX(c_rpend,$A37)&amp;"")</f>
        <v/>
      </c>
      <c r="L37" s="33">
        <f>IF($A37="","",INDEX(c_prazo,$A37))</f>
        <v/>
      </c>
    </row>
    <row r="38">
      <c r="A38">
        <f>IFERROR(IF(8&gt;COUNTIF(c_status,"CRÍTICO"),"",MATCH(LARGE(c_o_pend,8),c_o_pend,0)),"")</f>
        <v/>
      </c>
      <c r="B38" s="31">
        <f>IF($A38="","",8)</f>
        <v/>
      </c>
      <c r="C38" s="32">
        <f>IF($A38="","",HYPERLINK("#'LANÇAMENTOS'!A"&amp;($A38+1),INDEX(c_id,$A38)))</f>
        <v/>
      </c>
      <c r="D38" s="33">
        <f>IF($A38="","",INDEX(c_data,$A38))</f>
        <v/>
      </c>
      <c r="E38" s="34">
        <f>IF($A38="","",INDEX(c_turno,$A38)&amp;"")</f>
        <v/>
      </c>
      <c r="F38" s="34">
        <f>IF($A38="","",INDEX(c_status,$A38)&amp;"")</f>
        <v/>
      </c>
      <c r="G38" s="34">
        <f>IF($A38="","",INDEX(c_alerta,$A38)&amp;"")</f>
        <v/>
      </c>
      <c r="H38" s="34">
        <f>IF($A38="","",INDEX(c_prog,$A38)&amp;"")</f>
        <v/>
      </c>
      <c r="I38" s="34">
        <f>IF($A38="","",INDEX(c_rota,$A38)&amp;"")</f>
        <v/>
      </c>
      <c r="J38" s="34">
        <f>IF($A38="","",IF(INDEX(c_pend,$A38)&amp;""&lt;&gt;"",INDEX(c_pend,$A38)&amp;"",INDEX(c_obs,$A38)&amp;""))</f>
        <v/>
      </c>
      <c r="K38" s="34">
        <f>IF($A38="","",INDEX(c_rpend,$A38)&amp;"")</f>
        <v/>
      </c>
      <c r="L38" s="33">
        <f>IF($A38="","",INDEX(c_prazo,$A38))</f>
        <v/>
      </c>
    </row>
    <row r="39">
      <c r="A39">
        <f>IFERROR(IF(9&gt;COUNTIF(c_status,"CRÍTICO"),"",MATCH(LARGE(c_o_pend,9),c_o_pend,0)),"")</f>
        <v/>
      </c>
      <c r="B39" s="31">
        <f>IF($A39="","",9)</f>
        <v/>
      </c>
      <c r="C39" s="32">
        <f>IF($A39="","",HYPERLINK("#'LANÇAMENTOS'!A"&amp;($A39+1),INDEX(c_id,$A39)))</f>
        <v/>
      </c>
      <c r="D39" s="33">
        <f>IF($A39="","",INDEX(c_data,$A39))</f>
        <v/>
      </c>
      <c r="E39" s="34">
        <f>IF($A39="","",INDEX(c_turno,$A39)&amp;"")</f>
        <v/>
      </c>
      <c r="F39" s="34">
        <f>IF($A39="","",INDEX(c_status,$A39)&amp;"")</f>
        <v/>
      </c>
      <c r="G39" s="34">
        <f>IF($A39="","",INDEX(c_alerta,$A39)&amp;"")</f>
        <v/>
      </c>
      <c r="H39" s="34">
        <f>IF($A39="","",INDEX(c_prog,$A39)&amp;"")</f>
        <v/>
      </c>
      <c r="I39" s="34">
        <f>IF($A39="","",INDEX(c_rota,$A39)&amp;"")</f>
        <v/>
      </c>
      <c r="J39" s="34">
        <f>IF($A39="","",IF(INDEX(c_pend,$A39)&amp;""&lt;&gt;"",INDEX(c_pend,$A39)&amp;"",INDEX(c_obs,$A39)&amp;""))</f>
        <v/>
      </c>
      <c r="K39" s="34">
        <f>IF($A39="","",INDEX(c_rpend,$A39)&amp;"")</f>
        <v/>
      </c>
      <c r="L39" s="33">
        <f>IF($A39="","",INDEX(c_prazo,$A39))</f>
        <v/>
      </c>
    </row>
    <row r="40">
      <c r="A40">
        <f>IFERROR(IF(10&gt;COUNTIF(c_status,"CRÍTICO"),"",MATCH(LARGE(c_o_pend,10),c_o_pend,0)),"")</f>
        <v/>
      </c>
      <c r="B40" s="31">
        <f>IF($A40="","",10)</f>
        <v/>
      </c>
      <c r="C40" s="32">
        <f>IF($A40="","",HYPERLINK("#'LANÇAMENTOS'!A"&amp;($A40+1),INDEX(c_id,$A40)))</f>
        <v/>
      </c>
      <c r="D40" s="33">
        <f>IF($A40="","",INDEX(c_data,$A40))</f>
        <v/>
      </c>
      <c r="E40" s="34">
        <f>IF($A40="","",INDEX(c_turno,$A40)&amp;"")</f>
        <v/>
      </c>
      <c r="F40" s="34">
        <f>IF($A40="","",INDEX(c_status,$A40)&amp;"")</f>
        <v/>
      </c>
      <c r="G40" s="34">
        <f>IF($A40="","",INDEX(c_alerta,$A40)&amp;"")</f>
        <v/>
      </c>
      <c r="H40" s="34">
        <f>IF($A40="","",INDEX(c_prog,$A40)&amp;"")</f>
        <v/>
      </c>
      <c r="I40" s="34">
        <f>IF($A40="","",INDEX(c_rota,$A40)&amp;"")</f>
        <v/>
      </c>
      <c r="J40" s="34">
        <f>IF($A40="","",IF(INDEX(c_pend,$A40)&amp;""&lt;&gt;"",INDEX(c_pend,$A40)&amp;"",INDEX(c_obs,$A40)&amp;""))</f>
        <v/>
      </c>
      <c r="K40" s="34">
        <f>IF($A40="","",INDEX(c_rpend,$A40)&amp;"")</f>
        <v/>
      </c>
      <c r="L40" s="33">
        <f>IF($A40="","",INDEX(c_prazo,$A40))</f>
        <v/>
      </c>
    </row>
    <row r="42" ht="20" customHeight="1">
      <c r="B42" s="37" t="inlineStr">
        <is>
          <t>📝 RESUMO PRONTO PARA COPIAR (WhatsApp / e-mail)</t>
        </is>
      </c>
      <c r="C42" s="38" t="n"/>
      <c r="D42" s="38" t="n"/>
      <c r="E42" s="38" t="n"/>
      <c r="F42" s="38" t="n"/>
      <c r="G42" s="38" t="n"/>
      <c r="H42" s="38" t="n"/>
      <c r="I42" s="38" t="n"/>
      <c r="J42" s="38" t="n"/>
      <c r="K42" s="38" t="n"/>
      <c r="L42" s="38" t="n"/>
    </row>
    <row r="43">
      <c r="B43" s="39">
        <f>"TURNO "&amp;O6&amp;" — "&amp;RIGHT("0"&amp;DAY(O4),2)&amp;"/"&amp;RIGHT("0"&amp;MONTH(O4),2)&amp;"/"&amp;YEAR(O4)&amp;CHAR(10)&amp;"Líder: "&amp;O8&amp;CHAR(10)&amp;""&amp;CHAR(10)&amp;"Planejado: "&amp;FIXED(B9,1)&amp;" t"&amp;CHAR(10)&amp;"Executado: "&amp;FIXED(D9,1)&amp;" t"&amp;CHAR(10)&amp;"Atingimento: "&amp;ROUND(F9*100,0)&amp;"%"&amp;CHAR(10)&amp;""&amp;CHAR(10)&amp;"Fica para o turno "&amp;O9&amp;":"&amp;CHAR(10)&amp;IF(N13="","• Nada pendente",_xlfn.TEXTJOIN(CHAR(10),TRUE,N13:N27))&amp;CHAR(10)&amp;""&amp;CHAR(10)&amp;"Críticos em aberto (geral): "&amp;J9</f>
        <v/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</sheetData>
  <mergeCells count="17">
    <mergeCell ref="D8:E8"/>
    <mergeCell ref="B6:L6"/>
    <mergeCell ref="B29:L29"/>
    <mergeCell ref="B11:L11"/>
    <mergeCell ref="B2:L2"/>
    <mergeCell ref="J9:K9"/>
    <mergeCell ref="J8:K8"/>
    <mergeCell ref="B42:L42"/>
    <mergeCell ref="B43:J64"/>
    <mergeCell ref="H8:I8"/>
    <mergeCell ref="B9:C9"/>
    <mergeCell ref="D9:E9"/>
    <mergeCell ref="B8:C8"/>
    <mergeCell ref="H9:I9"/>
    <mergeCell ref="F9:G9"/>
    <mergeCell ref="B1:L1"/>
    <mergeCell ref="F8:G8"/>
  </mergeCells>
  <conditionalFormatting sqref="F13:F27">
    <cfRule type="expression" priority="1" dxfId="0">
      <formula>F13="CRÍTICO"</formula>
    </cfRule>
    <cfRule type="expression" priority="2" dxfId="1">
      <formula>F13="ATENÇÃO"</formula>
    </cfRule>
    <cfRule type="expression" priority="3" dxfId="2">
      <formula>F13="PENDENTE"</formula>
    </cfRule>
    <cfRule type="expression" priority="4" dxfId="3">
      <formula>F13="EM ANDAMENTO"</formula>
    </cfRule>
    <cfRule type="expression" priority="5" dxfId="4">
      <formula>F13="CONCLUÍDO"</formula>
    </cfRule>
    <cfRule type="expression" priority="6" dxfId="5">
      <formula>F13="HISTÓRICO"</formula>
    </cfRule>
  </conditionalFormatting>
  <conditionalFormatting sqref="G13:G27">
    <cfRule type="expression" priority="7" dxfId="6">
      <formula>LEFT(G13,2)="🔴"</formula>
    </cfRule>
    <cfRule type="expression" priority="8" dxfId="7">
      <formula>LEFT(G13,2)="🟡"</formula>
    </cfRule>
    <cfRule type="expression" priority="9" dxfId="8">
      <formula>LEFT(G13,2)="🟢"</formula>
    </cfRule>
  </conditionalFormatting>
  <conditionalFormatting sqref="F31:F40">
    <cfRule type="expression" priority="10" dxfId="0">
      <formula>F31="CRÍTICO"</formula>
    </cfRule>
    <cfRule type="expression" priority="11" dxfId="1">
      <formula>F31="ATENÇÃO"</formula>
    </cfRule>
    <cfRule type="expression" priority="12" dxfId="2">
      <formula>F31="PENDENTE"</formula>
    </cfRule>
    <cfRule type="expression" priority="13" dxfId="3">
      <formula>F31="EM ANDAMENTO"</formula>
    </cfRule>
    <cfRule type="expression" priority="14" dxfId="4">
      <formula>F31="CONCLUÍDO"</formula>
    </cfRule>
    <cfRule type="expression" priority="15" dxfId="5">
      <formula>F31="HISTÓRICO"</formula>
    </cfRule>
  </conditionalFormatting>
  <conditionalFormatting sqref="G31:G40">
    <cfRule type="expression" priority="16" dxfId="6">
      <formula>LEFT(G31,2)="🔴"</formula>
    </cfRule>
    <cfRule type="expression" priority="17" dxfId="7">
      <formula>LEFT(G31,2)="🟡"</formula>
    </cfRule>
    <cfRule type="expression" priority="18" dxfId="8">
      <formula>LEFT(G31,2)="🟢"</formula>
    </cfRule>
  </conditionalFormatting>
  <dataValidations count="2">
    <dataValidation sqref="C4" showDropDown="0" showInputMessage="0" showErrorMessage="0" allowBlank="1" errorTitle="Data inválida" error="Digite uma data (dd/mm/aaaa)." type="date" errorStyle="stop" operator="between">
      <formula1>45658</formula1>
      <formula2>47848</formula2>
    </dataValidation>
    <dataValidation sqref="E4" showDropDown="0" showInputMessage="0" showErrorMessage="0" allowBlank="1" errorTitle="Valor fora da lista" error="Escolha um item da lista (aba LISTAS)." type="list" errorStyle="stop">
      <formula1>=l_turno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M2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2" customWidth="1" min="1" max="1"/>
    <col width="5" customWidth="1" min="2" max="2"/>
    <col width="10" customWidth="1" min="3" max="3"/>
    <col width="11" customWidth="1" min="4" max="4"/>
    <col width="7" customWidth="1" min="5" max="5"/>
    <col width="13" customWidth="1" min="6" max="6"/>
    <col width="30" customWidth="1" min="7" max="7"/>
    <col width="13" customWidth="1" min="8" max="8"/>
    <col width="22" customWidth="1" min="9" max="9"/>
    <col width="42" customWidth="1" min="10" max="10"/>
    <col width="13" customWidth="1" min="11" max="11"/>
    <col width="11" customWidth="1" min="12" max="12"/>
    <col width="7" customWidth="1" min="13" max="13"/>
  </cols>
  <sheetData>
    <row r="1" ht="30" customHeight="1">
      <c r="B1" s="9" t="inlineStr">
        <is>
          <t>PENDÊNCIAS EM ABERTO</t>
        </is>
      </c>
    </row>
    <row r="2">
      <c r="B2" s="10" t="inlineStr">
        <is>
          <t>Tudo o que ainda precisa ser resolvido — críticos primeiro, depois os mais antigos. Clique no ID para ir à linha e dar baixa (CONCLUÍDO EM).</t>
        </is>
      </c>
    </row>
    <row r="4" ht="22" customHeight="1">
      <c r="B4" s="17" t="inlineStr">
        <is>
          <t>EM ABERTO</t>
        </is>
      </c>
      <c r="C4" s="18" t="n"/>
      <c r="D4" s="21" t="inlineStr">
        <is>
          <t>CRÍTICOS</t>
        </is>
      </c>
      <c r="E4" s="22" t="n"/>
      <c r="F4" s="19" t="inlineStr">
        <is>
          <t>ATENÇÃO</t>
        </is>
      </c>
      <c r="G4" s="20" t="n"/>
      <c r="H4" s="19" t="inlineStr">
        <is>
          <t>SEM RESPONSÁVEL / PRAZO</t>
        </is>
      </c>
      <c r="I4" s="20" t="n"/>
      <c r="J4" s="21" t="inlineStr">
        <is>
          <t>EMBARQUES ATRASADOS</t>
        </is>
      </c>
      <c r="K4" s="22" t="n"/>
    </row>
    <row r="5" ht="32" customHeight="1">
      <c r="B5" s="40">
        <f>COUNT(c_o_pend)</f>
        <v/>
      </c>
      <c r="C5" s="24" t="n"/>
      <c r="D5" s="27">
        <f>COUNTIF(c_status,"CRÍTICO")</f>
        <v/>
      </c>
      <c r="E5" s="24" t="n"/>
      <c r="F5" s="26">
        <f>COUNTIF(c_status,"ATENÇÃO")</f>
        <v/>
      </c>
      <c r="G5" s="24" t="n"/>
      <c r="H5" s="26">
        <f>COUNTIFS(c_pend,"&lt;&gt;",c_concl,"",c_rpend,"",c_data,"&gt;="&amp;corte)+COUNTIFS(c_pend,"&lt;&gt;",c_concl,"",c_rpend,"&lt;&gt;",c_prazo,"",c_data,"&gt;="&amp;corte)</f>
        <v/>
      </c>
      <c r="I5" s="24" t="n"/>
      <c r="J5" s="27">
        <f>COUNTIF(c_alerta,"*EMBARQUE ATRASADO*")</f>
        <v/>
      </c>
      <c r="K5" s="24" t="n"/>
    </row>
    <row r="7" ht="28" customHeight="1">
      <c r="B7" s="30" t="inlineStr">
        <is>
          <t>#</t>
        </is>
      </c>
      <c r="C7" s="30" t="inlineStr">
        <is>
          <t>ID</t>
        </is>
      </c>
      <c r="D7" s="30" t="inlineStr">
        <is>
          <t>DATA</t>
        </is>
      </c>
      <c r="E7" s="30" t="inlineStr">
        <is>
          <t>TURNO</t>
        </is>
      </c>
      <c r="F7" s="30" t="inlineStr">
        <is>
          <t>STATUS</t>
        </is>
      </c>
      <c r="G7" s="30" t="inlineStr">
        <is>
          <t>ALERTA</t>
        </is>
      </c>
      <c r="H7" s="30" t="inlineStr">
        <is>
          <t>PROGRAMAÇÃO</t>
        </is>
      </c>
      <c r="I7" s="30" t="inlineStr">
        <is>
          <t>ROTA / CLIENTE</t>
        </is>
      </c>
      <c r="J7" s="30" t="inlineStr">
        <is>
          <t>PENDÊNCIA / OBSERVAÇÃO</t>
        </is>
      </c>
      <c r="K7" s="30" t="inlineStr">
        <is>
          <t>RESPONSÁVEL</t>
        </is>
      </c>
      <c r="L7" s="30" t="inlineStr">
        <is>
          <t>PRAZO</t>
        </is>
      </c>
      <c r="M7" s="30" t="inlineStr">
        <is>
          <t>DIAS</t>
        </is>
      </c>
    </row>
    <row r="8">
      <c r="A8">
        <f>IFERROR(MATCH(LARGE(c_o_pend,1),c_o_pend,0),"")</f>
        <v/>
      </c>
      <c r="B8" s="31">
        <f>IF($A8="","",1)</f>
        <v/>
      </c>
      <c r="C8" s="32">
        <f>IF($A8="","",HYPERLINK("#'LANÇAMENTOS'!A"&amp;($A8+1),INDEX(c_id,$A8)))</f>
        <v/>
      </c>
      <c r="D8" s="33">
        <f>IF($A8="","",INDEX(c_data,$A8))</f>
        <v/>
      </c>
      <c r="E8" s="34">
        <f>IF($A8="","",INDEX(c_turno,$A8)&amp;"")</f>
        <v/>
      </c>
      <c r="F8" s="34">
        <f>IF($A8="","",INDEX(c_status,$A8)&amp;"")</f>
        <v/>
      </c>
      <c r="G8" s="34">
        <f>IF($A8="","",INDEX(c_alerta,$A8)&amp;"")</f>
        <v/>
      </c>
      <c r="H8" s="34">
        <f>IF($A8="","",INDEX(c_prog,$A8)&amp;"")</f>
        <v/>
      </c>
      <c r="I8" s="34">
        <f>IF($A8="","",INDEX(c_rota,$A8)&amp;"")</f>
        <v/>
      </c>
      <c r="J8" s="34">
        <f>IF($A8="","",IF(INDEX(c_pend,$A8)&amp;""&lt;&gt;"",INDEX(c_pend,$A8)&amp;"",INDEX(c_obs,$A8)&amp;""))</f>
        <v/>
      </c>
      <c r="K8" s="34">
        <f>IF($A8="","",INDEX(c_rpend,$A8)&amp;"")</f>
        <v/>
      </c>
      <c r="L8" s="33">
        <f>IF($A8="","",INDEX(c_prazo,$A8))</f>
        <v/>
      </c>
      <c r="M8" s="41">
        <f>IF($A8="","",INDEX(c_dias,$A8))</f>
        <v/>
      </c>
    </row>
    <row r="9">
      <c r="A9">
        <f>IFERROR(MATCH(LARGE(c_o_pend,2),c_o_pend,0),"")</f>
        <v/>
      </c>
      <c r="B9" s="31">
        <f>IF($A9="","",2)</f>
        <v/>
      </c>
      <c r="C9" s="32">
        <f>IF($A9="","",HYPERLINK("#'LANÇAMENTOS'!A"&amp;($A9+1),INDEX(c_id,$A9)))</f>
        <v/>
      </c>
      <c r="D9" s="33">
        <f>IF($A9="","",INDEX(c_data,$A9))</f>
        <v/>
      </c>
      <c r="E9" s="34">
        <f>IF($A9="","",INDEX(c_turno,$A9)&amp;"")</f>
        <v/>
      </c>
      <c r="F9" s="34">
        <f>IF($A9="","",INDEX(c_status,$A9)&amp;"")</f>
        <v/>
      </c>
      <c r="G9" s="34">
        <f>IF($A9="","",INDEX(c_alerta,$A9)&amp;"")</f>
        <v/>
      </c>
      <c r="H9" s="34">
        <f>IF($A9="","",INDEX(c_prog,$A9)&amp;"")</f>
        <v/>
      </c>
      <c r="I9" s="34">
        <f>IF($A9="","",INDEX(c_rota,$A9)&amp;"")</f>
        <v/>
      </c>
      <c r="J9" s="34">
        <f>IF($A9="","",IF(INDEX(c_pend,$A9)&amp;""&lt;&gt;"",INDEX(c_pend,$A9)&amp;"",INDEX(c_obs,$A9)&amp;""))</f>
        <v/>
      </c>
      <c r="K9" s="34">
        <f>IF($A9="","",INDEX(c_rpend,$A9)&amp;"")</f>
        <v/>
      </c>
      <c r="L9" s="33">
        <f>IF($A9="","",INDEX(c_prazo,$A9))</f>
        <v/>
      </c>
      <c r="M9" s="41">
        <f>IF($A9="","",INDEX(c_dias,$A9))</f>
        <v/>
      </c>
    </row>
    <row r="10">
      <c r="A10">
        <f>IFERROR(MATCH(LARGE(c_o_pend,3),c_o_pend,0),"")</f>
        <v/>
      </c>
      <c r="B10" s="31">
        <f>IF($A10="","",3)</f>
        <v/>
      </c>
      <c r="C10" s="32">
        <f>IF($A10="","",HYPERLINK("#'LANÇAMENTOS'!A"&amp;($A10+1),INDEX(c_id,$A10)))</f>
        <v/>
      </c>
      <c r="D10" s="33">
        <f>IF($A10="","",INDEX(c_data,$A10))</f>
        <v/>
      </c>
      <c r="E10" s="34">
        <f>IF($A10="","",INDEX(c_turno,$A10)&amp;"")</f>
        <v/>
      </c>
      <c r="F10" s="34">
        <f>IF($A10="","",INDEX(c_status,$A10)&amp;"")</f>
        <v/>
      </c>
      <c r="G10" s="34">
        <f>IF($A10="","",INDEX(c_alerta,$A10)&amp;"")</f>
        <v/>
      </c>
      <c r="H10" s="34">
        <f>IF($A10="","",INDEX(c_prog,$A10)&amp;"")</f>
        <v/>
      </c>
      <c r="I10" s="34">
        <f>IF($A10="","",INDEX(c_rota,$A10)&amp;"")</f>
        <v/>
      </c>
      <c r="J10" s="34">
        <f>IF($A10="","",IF(INDEX(c_pend,$A10)&amp;""&lt;&gt;"",INDEX(c_pend,$A10)&amp;"",INDEX(c_obs,$A10)&amp;""))</f>
        <v/>
      </c>
      <c r="K10" s="34">
        <f>IF($A10="","",INDEX(c_rpend,$A10)&amp;"")</f>
        <v/>
      </c>
      <c r="L10" s="33">
        <f>IF($A10="","",INDEX(c_prazo,$A10))</f>
        <v/>
      </c>
      <c r="M10" s="41">
        <f>IF($A10="","",INDEX(c_dias,$A10))</f>
        <v/>
      </c>
    </row>
    <row r="11">
      <c r="A11">
        <f>IFERROR(MATCH(LARGE(c_o_pend,4),c_o_pend,0),"")</f>
        <v/>
      </c>
      <c r="B11" s="31">
        <f>IF($A11="","",4)</f>
        <v/>
      </c>
      <c r="C11" s="32">
        <f>IF($A11="","",HYPERLINK("#'LANÇAMENTOS'!A"&amp;($A11+1),INDEX(c_id,$A11)))</f>
        <v/>
      </c>
      <c r="D11" s="33">
        <f>IF($A11="","",INDEX(c_data,$A11))</f>
        <v/>
      </c>
      <c r="E11" s="34">
        <f>IF($A11="","",INDEX(c_turno,$A11)&amp;"")</f>
        <v/>
      </c>
      <c r="F11" s="34">
        <f>IF($A11="","",INDEX(c_status,$A11)&amp;"")</f>
        <v/>
      </c>
      <c r="G11" s="34">
        <f>IF($A11="","",INDEX(c_alerta,$A11)&amp;"")</f>
        <v/>
      </c>
      <c r="H11" s="34">
        <f>IF($A11="","",INDEX(c_prog,$A11)&amp;"")</f>
        <v/>
      </c>
      <c r="I11" s="34">
        <f>IF($A11="","",INDEX(c_rota,$A11)&amp;"")</f>
        <v/>
      </c>
      <c r="J11" s="34">
        <f>IF($A11="","",IF(INDEX(c_pend,$A11)&amp;""&lt;&gt;"",INDEX(c_pend,$A11)&amp;"",INDEX(c_obs,$A11)&amp;""))</f>
        <v/>
      </c>
      <c r="K11" s="34">
        <f>IF($A11="","",INDEX(c_rpend,$A11)&amp;"")</f>
        <v/>
      </c>
      <c r="L11" s="33">
        <f>IF($A11="","",INDEX(c_prazo,$A11))</f>
        <v/>
      </c>
      <c r="M11" s="41">
        <f>IF($A11="","",INDEX(c_dias,$A11))</f>
        <v/>
      </c>
    </row>
    <row r="12">
      <c r="A12">
        <f>IFERROR(MATCH(LARGE(c_o_pend,5),c_o_pend,0),"")</f>
        <v/>
      </c>
      <c r="B12" s="31">
        <f>IF($A12="","",5)</f>
        <v/>
      </c>
      <c r="C12" s="32">
        <f>IF($A12="","",HYPERLINK("#'LANÇAMENTOS'!A"&amp;($A12+1),INDEX(c_id,$A12)))</f>
        <v/>
      </c>
      <c r="D12" s="33">
        <f>IF($A12="","",INDEX(c_data,$A12))</f>
        <v/>
      </c>
      <c r="E12" s="34">
        <f>IF($A12="","",INDEX(c_turno,$A12)&amp;"")</f>
        <v/>
      </c>
      <c r="F12" s="34">
        <f>IF($A12="","",INDEX(c_status,$A12)&amp;"")</f>
        <v/>
      </c>
      <c r="G12" s="34">
        <f>IF($A12="","",INDEX(c_alerta,$A12)&amp;"")</f>
        <v/>
      </c>
      <c r="H12" s="34">
        <f>IF($A12="","",INDEX(c_prog,$A12)&amp;"")</f>
        <v/>
      </c>
      <c r="I12" s="34">
        <f>IF($A12="","",INDEX(c_rota,$A12)&amp;"")</f>
        <v/>
      </c>
      <c r="J12" s="34">
        <f>IF($A12="","",IF(INDEX(c_pend,$A12)&amp;""&lt;&gt;"",INDEX(c_pend,$A12)&amp;"",INDEX(c_obs,$A12)&amp;""))</f>
        <v/>
      </c>
      <c r="K12" s="34">
        <f>IF($A12="","",INDEX(c_rpend,$A12)&amp;"")</f>
        <v/>
      </c>
      <c r="L12" s="33">
        <f>IF($A12="","",INDEX(c_prazo,$A12))</f>
        <v/>
      </c>
      <c r="M12" s="41">
        <f>IF($A12="","",INDEX(c_dias,$A12))</f>
        <v/>
      </c>
    </row>
    <row r="13">
      <c r="A13">
        <f>IFERROR(MATCH(LARGE(c_o_pend,6),c_o_pend,0),"")</f>
        <v/>
      </c>
      <c r="B13" s="31">
        <f>IF($A13="","",6)</f>
        <v/>
      </c>
      <c r="C13" s="32">
        <f>IF($A13="","",HYPERLINK("#'LANÇAMENTOS'!A"&amp;($A13+1),INDEX(c_id,$A13)))</f>
        <v/>
      </c>
      <c r="D13" s="33">
        <f>IF($A13="","",INDEX(c_data,$A13))</f>
        <v/>
      </c>
      <c r="E13" s="34">
        <f>IF($A13="","",INDEX(c_turno,$A13)&amp;"")</f>
        <v/>
      </c>
      <c r="F13" s="34">
        <f>IF($A13="","",INDEX(c_status,$A13)&amp;"")</f>
        <v/>
      </c>
      <c r="G13" s="34">
        <f>IF($A13="","",INDEX(c_alerta,$A13)&amp;"")</f>
        <v/>
      </c>
      <c r="H13" s="34">
        <f>IF($A13="","",INDEX(c_prog,$A13)&amp;"")</f>
        <v/>
      </c>
      <c r="I13" s="34">
        <f>IF($A13="","",INDEX(c_rota,$A13)&amp;"")</f>
        <v/>
      </c>
      <c r="J13" s="34">
        <f>IF($A13="","",IF(INDEX(c_pend,$A13)&amp;""&lt;&gt;"",INDEX(c_pend,$A13)&amp;"",INDEX(c_obs,$A13)&amp;""))</f>
        <v/>
      </c>
      <c r="K13" s="34">
        <f>IF($A13="","",INDEX(c_rpend,$A13)&amp;"")</f>
        <v/>
      </c>
      <c r="L13" s="33">
        <f>IF($A13="","",INDEX(c_prazo,$A13))</f>
        <v/>
      </c>
      <c r="M13" s="41">
        <f>IF($A13="","",INDEX(c_dias,$A13))</f>
        <v/>
      </c>
    </row>
    <row r="14">
      <c r="A14">
        <f>IFERROR(MATCH(LARGE(c_o_pend,7),c_o_pend,0),"")</f>
        <v/>
      </c>
      <c r="B14" s="31">
        <f>IF($A14="","",7)</f>
        <v/>
      </c>
      <c r="C14" s="32">
        <f>IF($A14="","",HYPERLINK("#'LANÇAMENTOS'!A"&amp;($A14+1),INDEX(c_id,$A14)))</f>
        <v/>
      </c>
      <c r="D14" s="33">
        <f>IF($A14="","",INDEX(c_data,$A14))</f>
        <v/>
      </c>
      <c r="E14" s="34">
        <f>IF($A14="","",INDEX(c_turno,$A14)&amp;"")</f>
        <v/>
      </c>
      <c r="F14" s="34">
        <f>IF($A14="","",INDEX(c_status,$A14)&amp;"")</f>
        <v/>
      </c>
      <c r="G14" s="34">
        <f>IF($A14="","",INDEX(c_alerta,$A14)&amp;"")</f>
        <v/>
      </c>
      <c r="H14" s="34">
        <f>IF($A14="","",INDEX(c_prog,$A14)&amp;"")</f>
        <v/>
      </c>
      <c r="I14" s="34">
        <f>IF($A14="","",INDEX(c_rota,$A14)&amp;"")</f>
        <v/>
      </c>
      <c r="J14" s="34">
        <f>IF($A14="","",IF(INDEX(c_pend,$A14)&amp;""&lt;&gt;"",INDEX(c_pend,$A14)&amp;"",INDEX(c_obs,$A14)&amp;""))</f>
        <v/>
      </c>
      <c r="K14" s="34">
        <f>IF($A14="","",INDEX(c_rpend,$A14)&amp;"")</f>
        <v/>
      </c>
      <c r="L14" s="33">
        <f>IF($A14="","",INDEX(c_prazo,$A14))</f>
        <v/>
      </c>
      <c r="M14" s="41">
        <f>IF($A14="","",INDEX(c_dias,$A14))</f>
        <v/>
      </c>
    </row>
    <row r="15">
      <c r="A15">
        <f>IFERROR(MATCH(LARGE(c_o_pend,8),c_o_pend,0),"")</f>
        <v/>
      </c>
      <c r="B15" s="31">
        <f>IF($A15="","",8)</f>
        <v/>
      </c>
      <c r="C15" s="32">
        <f>IF($A15="","",HYPERLINK("#'LANÇAMENTOS'!A"&amp;($A15+1),INDEX(c_id,$A15)))</f>
        <v/>
      </c>
      <c r="D15" s="33">
        <f>IF($A15="","",INDEX(c_data,$A15))</f>
        <v/>
      </c>
      <c r="E15" s="34">
        <f>IF($A15="","",INDEX(c_turno,$A15)&amp;"")</f>
        <v/>
      </c>
      <c r="F15" s="34">
        <f>IF($A15="","",INDEX(c_status,$A15)&amp;"")</f>
        <v/>
      </c>
      <c r="G15" s="34">
        <f>IF($A15="","",INDEX(c_alerta,$A15)&amp;"")</f>
        <v/>
      </c>
      <c r="H15" s="34">
        <f>IF($A15="","",INDEX(c_prog,$A15)&amp;"")</f>
        <v/>
      </c>
      <c r="I15" s="34">
        <f>IF($A15="","",INDEX(c_rota,$A15)&amp;"")</f>
        <v/>
      </c>
      <c r="J15" s="34">
        <f>IF($A15="","",IF(INDEX(c_pend,$A15)&amp;""&lt;&gt;"",INDEX(c_pend,$A15)&amp;"",INDEX(c_obs,$A15)&amp;""))</f>
        <v/>
      </c>
      <c r="K15" s="34">
        <f>IF($A15="","",INDEX(c_rpend,$A15)&amp;"")</f>
        <v/>
      </c>
      <c r="L15" s="33">
        <f>IF($A15="","",INDEX(c_prazo,$A15))</f>
        <v/>
      </c>
      <c r="M15" s="41">
        <f>IF($A15="","",INDEX(c_dias,$A15))</f>
        <v/>
      </c>
    </row>
    <row r="16">
      <c r="A16">
        <f>IFERROR(MATCH(LARGE(c_o_pend,9),c_o_pend,0),"")</f>
        <v/>
      </c>
      <c r="B16" s="31">
        <f>IF($A16="","",9)</f>
        <v/>
      </c>
      <c r="C16" s="32">
        <f>IF($A16="","",HYPERLINK("#'LANÇAMENTOS'!A"&amp;($A16+1),INDEX(c_id,$A16)))</f>
        <v/>
      </c>
      <c r="D16" s="33">
        <f>IF($A16="","",INDEX(c_data,$A16))</f>
        <v/>
      </c>
      <c r="E16" s="34">
        <f>IF($A16="","",INDEX(c_turno,$A16)&amp;"")</f>
        <v/>
      </c>
      <c r="F16" s="34">
        <f>IF($A16="","",INDEX(c_status,$A16)&amp;"")</f>
        <v/>
      </c>
      <c r="G16" s="34">
        <f>IF($A16="","",INDEX(c_alerta,$A16)&amp;"")</f>
        <v/>
      </c>
      <c r="H16" s="34">
        <f>IF($A16="","",INDEX(c_prog,$A16)&amp;"")</f>
        <v/>
      </c>
      <c r="I16" s="34">
        <f>IF($A16="","",INDEX(c_rota,$A16)&amp;"")</f>
        <v/>
      </c>
      <c r="J16" s="34">
        <f>IF($A16="","",IF(INDEX(c_pend,$A16)&amp;""&lt;&gt;"",INDEX(c_pend,$A16)&amp;"",INDEX(c_obs,$A16)&amp;""))</f>
        <v/>
      </c>
      <c r="K16" s="34">
        <f>IF($A16="","",INDEX(c_rpend,$A16)&amp;"")</f>
        <v/>
      </c>
      <c r="L16" s="33">
        <f>IF($A16="","",INDEX(c_prazo,$A16))</f>
        <v/>
      </c>
      <c r="M16" s="41">
        <f>IF($A16="","",INDEX(c_dias,$A16))</f>
        <v/>
      </c>
    </row>
    <row r="17">
      <c r="A17">
        <f>IFERROR(MATCH(LARGE(c_o_pend,10),c_o_pend,0),"")</f>
        <v/>
      </c>
      <c r="B17" s="31">
        <f>IF($A17="","",10)</f>
        <v/>
      </c>
      <c r="C17" s="32">
        <f>IF($A17="","",HYPERLINK("#'LANÇAMENTOS'!A"&amp;($A17+1),INDEX(c_id,$A17)))</f>
        <v/>
      </c>
      <c r="D17" s="33">
        <f>IF($A17="","",INDEX(c_data,$A17))</f>
        <v/>
      </c>
      <c r="E17" s="34">
        <f>IF($A17="","",INDEX(c_turno,$A17)&amp;"")</f>
        <v/>
      </c>
      <c r="F17" s="34">
        <f>IF($A17="","",INDEX(c_status,$A17)&amp;"")</f>
        <v/>
      </c>
      <c r="G17" s="34">
        <f>IF($A17="","",INDEX(c_alerta,$A17)&amp;"")</f>
        <v/>
      </c>
      <c r="H17" s="34">
        <f>IF($A17="","",INDEX(c_prog,$A17)&amp;"")</f>
        <v/>
      </c>
      <c r="I17" s="34">
        <f>IF($A17="","",INDEX(c_rota,$A17)&amp;"")</f>
        <v/>
      </c>
      <c r="J17" s="34">
        <f>IF($A17="","",IF(INDEX(c_pend,$A17)&amp;""&lt;&gt;"",INDEX(c_pend,$A17)&amp;"",INDEX(c_obs,$A17)&amp;""))</f>
        <v/>
      </c>
      <c r="K17" s="34">
        <f>IF($A17="","",INDEX(c_rpend,$A17)&amp;"")</f>
        <v/>
      </c>
      <c r="L17" s="33">
        <f>IF($A17="","",INDEX(c_prazo,$A17))</f>
        <v/>
      </c>
      <c r="M17" s="41">
        <f>IF($A17="","",INDEX(c_dias,$A17))</f>
        <v/>
      </c>
    </row>
    <row r="18">
      <c r="A18">
        <f>IFERROR(MATCH(LARGE(c_o_pend,11),c_o_pend,0),"")</f>
        <v/>
      </c>
      <c r="B18" s="31">
        <f>IF($A18="","",11)</f>
        <v/>
      </c>
      <c r="C18" s="32">
        <f>IF($A18="","",HYPERLINK("#'LANÇAMENTOS'!A"&amp;($A18+1),INDEX(c_id,$A18)))</f>
        <v/>
      </c>
      <c r="D18" s="33">
        <f>IF($A18="","",INDEX(c_data,$A18))</f>
        <v/>
      </c>
      <c r="E18" s="34">
        <f>IF($A18="","",INDEX(c_turno,$A18)&amp;"")</f>
        <v/>
      </c>
      <c r="F18" s="34">
        <f>IF($A18="","",INDEX(c_status,$A18)&amp;"")</f>
        <v/>
      </c>
      <c r="G18" s="34">
        <f>IF($A18="","",INDEX(c_alerta,$A18)&amp;"")</f>
        <v/>
      </c>
      <c r="H18" s="34">
        <f>IF($A18="","",INDEX(c_prog,$A18)&amp;"")</f>
        <v/>
      </c>
      <c r="I18" s="34">
        <f>IF($A18="","",INDEX(c_rota,$A18)&amp;"")</f>
        <v/>
      </c>
      <c r="J18" s="34">
        <f>IF($A18="","",IF(INDEX(c_pend,$A18)&amp;""&lt;&gt;"",INDEX(c_pend,$A18)&amp;"",INDEX(c_obs,$A18)&amp;""))</f>
        <v/>
      </c>
      <c r="K18" s="34">
        <f>IF($A18="","",INDEX(c_rpend,$A18)&amp;"")</f>
        <v/>
      </c>
      <c r="L18" s="33">
        <f>IF($A18="","",INDEX(c_prazo,$A18))</f>
        <v/>
      </c>
      <c r="M18" s="41">
        <f>IF($A18="","",INDEX(c_dias,$A18))</f>
        <v/>
      </c>
    </row>
    <row r="19">
      <c r="A19">
        <f>IFERROR(MATCH(LARGE(c_o_pend,12),c_o_pend,0),"")</f>
        <v/>
      </c>
      <c r="B19" s="31">
        <f>IF($A19="","",12)</f>
        <v/>
      </c>
      <c r="C19" s="32">
        <f>IF($A19="","",HYPERLINK("#'LANÇAMENTOS'!A"&amp;($A19+1),INDEX(c_id,$A19)))</f>
        <v/>
      </c>
      <c r="D19" s="33">
        <f>IF($A19="","",INDEX(c_data,$A19))</f>
        <v/>
      </c>
      <c r="E19" s="34">
        <f>IF($A19="","",INDEX(c_turno,$A19)&amp;"")</f>
        <v/>
      </c>
      <c r="F19" s="34">
        <f>IF($A19="","",INDEX(c_status,$A19)&amp;"")</f>
        <v/>
      </c>
      <c r="G19" s="34">
        <f>IF($A19="","",INDEX(c_alerta,$A19)&amp;"")</f>
        <v/>
      </c>
      <c r="H19" s="34">
        <f>IF($A19="","",INDEX(c_prog,$A19)&amp;"")</f>
        <v/>
      </c>
      <c r="I19" s="34">
        <f>IF($A19="","",INDEX(c_rota,$A19)&amp;"")</f>
        <v/>
      </c>
      <c r="J19" s="34">
        <f>IF($A19="","",IF(INDEX(c_pend,$A19)&amp;""&lt;&gt;"",INDEX(c_pend,$A19)&amp;"",INDEX(c_obs,$A19)&amp;""))</f>
        <v/>
      </c>
      <c r="K19" s="34">
        <f>IF($A19="","",INDEX(c_rpend,$A19)&amp;"")</f>
        <v/>
      </c>
      <c r="L19" s="33">
        <f>IF($A19="","",INDEX(c_prazo,$A19))</f>
        <v/>
      </c>
      <c r="M19" s="41">
        <f>IF($A19="","",INDEX(c_dias,$A19))</f>
        <v/>
      </c>
    </row>
    <row r="20">
      <c r="A20">
        <f>IFERROR(MATCH(LARGE(c_o_pend,13),c_o_pend,0),"")</f>
        <v/>
      </c>
      <c r="B20" s="31">
        <f>IF($A20="","",13)</f>
        <v/>
      </c>
      <c r="C20" s="32">
        <f>IF($A20="","",HYPERLINK("#'LANÇAMENTOS'!A"&amp;($A20+1),INDEX(c_id,$A20)))</f>
        <v/>
      </c>
      <c r="D20" s="33">
        <f>IF($A20="","",INDEX(c_data,$A20))</f>
        <v/>
      </c>
      <c r="E20" s="34">
        <f>IF($A20="","",INDEX(c_turno,$A20)&amp;"")</f>
        <v/>
      </c>
      <c r="F20" s="34">
        <f>IF($A20="","",INDEX(c_status,$A20)&amp;"")</f>
        <v/>
      </c>
      <c r="G20" s="34">
        <f>IF($A20="","",INDEX(c_alerta,$A20)&amp;"")</f>
        <v/>
      </c>
      <c r="H20" s="34">
        <f>IF($A20="","",INDEX(c_prog,$A20)&amp;"")</f>
        <v/>
      </c>
      <c r="I20" s="34">
        <f>IF($A20="","",INDEX(c_rota,$A20)&amp;"")</f>
        <v/>
      </c>
      <c r="J20" s="34">
        <f>IF($A20="","",IF(INDEX(c_pend,$A20)&amp;""&lt;&gt;"",INDEX(c_pend,$A20)&amp;"",INDEX(c_obs,$A20)&amp;""))</f>
        <v/>
      </c>
      <c r="K20" s="34">
        <f>IF($A20="","",INDEX(c_rpend,$A20)&amp;"")</f>
        <v/>
      </c>
      <c r="L20" s="33">
        <f>IF($A20="","",INDEX(c_prazo,$A20))</f>
        <v/>
      </c>
      <c r="M20" s="41">
        <f>IF($A20="","",INDEX(c_dias,$A20))</f>
        <v/>
      </c>
    </row>
    <row r="21">
      <c r="A21">
        <f>IFERROR(MATCH(LARGE(c_o_pend,14),c_o_pend,0),"")</f>
        <v/>
      </c>
      <c r="B21" s="31">
        <f>IF($A21="","",14)</f>
        <v/>
      </c>
      <c r="C21" s="32">
        <f>IF($A21="","",HYPERLINK("#'LANÇAMENTOS'!A"&amp;($A21+1),INDEX(c_id,$A21)))</f>
        <v/>
      </c>
      <c r="D21" s="33">
        <f>IF($A21="","",INDEX(c_data,$A21))</f>
        <v/>
      </c>
      <c r="E21" s="34">
        <f>IF($A21="","",INDEX(c_turno,$A21)&amp;"")</f>
        <v/>
      </c>
      <c r="F21" s="34">
        <f>IF($A21="","",INDEX(c_status,$A21)&amp;"")</f>
        <v/>
      </c>
      <c r="G21" s="34">
        <f>IF($A21="","",INDEX(c_alerta,$A21)&amp;"")</f>
        <v/>
      </c>
      <c r="H21" s="34">
        <f>IF($A21="","",INDEX(c_prog,$A21)&amp;"")</f>
        <v/>
      </c>
      <c r="I21" s="34">
        <f>IF($A21="","",INDEX(c_rota,$A21)&amp;"")</f>
        <v/>
      </c>
      <c r="J21" s="34">
        <f>IF($A21="","",IF(INDEX(c_pend,$A21)&amp;""&lt;&gt;"",INDEX(c_pend,$A21)&amp;"",INDEX(c_obs,$A21)&amp;""))</f>
        <v/>
      </c>
      <c r="K21" s="34">
        <f>IF($A21="","",INDEX(c_rpend,$A21)&amp;"")</f>
        <v/>
      </c>
      <c r="L21" s="33">
        <f>IF($A21="","",INDEX(c_prazo,$A21))</f>
        <v/>
      </c>
      <c r="M21" s="41">
        <f>IF($A21="","",INDEX(c_dias,$A21))</f>
        <v/>
      </c>
    </row>
    <row r="22">
      <c r="A22">
        <f>IFERROR(MATCH(LARGE(c_o_pend,15),c_o_pend,0),"")</f>
        <v/>
      </c>
      <c r="B22" s="31">
        <f>IF($A22="","",15)</f>
        <v/>
      </c>
      <c r="C22" s="32">
        <f>IF($A22="","",HYPERLINK("#'LANÇAMENTOS'!A"&amp;($A22+1),INDEX(c_id,$A22)))</f>
        <v/>
      </c>
      <c r="D22" s="33">
        <f>IF($A22="","",INDEX(c_data,$A22))</f>
        <v/>
      </c>
      <c r="E22" s="34">
        <f>IF($A22="","",INDEX(c_turno,$A22)&amp;"")</f>
        <v/>
      </c>
      <c r="F22" s="34">
        <f>IF($A22="","",INDEX(c_status,$A22)&amp;"")</f>
        <v/>
      </c>
      <c r="G22" s="34">
        <f>IF($A22="","",INDEX(c_alerta,$A22)&amp;"")</f>
        <v/>
      </c>
      <c r="H22" s="34">
        <f>IF($A22="","",INDEX(c_prog,$A22)&amp;"")</f>
        <v/>
      </c>
      <c r="I22" s="34">
        <f>IF($A22="","",INDEX(c_rota,$A22)&amp;"")</f>
        <v/>
      </c>
      <c r="J22" s="34">
        <f>IF($A22="","",IF(INDEX(c_pend,$A22)&amp;""&lt;&gt;"",INDEX(c_pend,$A22)&amp;"",INDEX(c_obs,$A22)&amp;""))</f>
        <v/>
      </c>
      <c r="K22" s="34">
        <f>IF($A22="","",INDEX(c_rpend,$A22)&amp;"")</f>
        <v/>
      </c>
      <c r="L22" s="33">
        <f>IF($A22="","",INDEX(c_prazo,$A22))</f>
        <v/>
      </c>
      <c r="M22" s="41">
        <f>IF($A22="","",INDEX(c_dias,$A22))</f>
        <v/>
      </c>
    </row>
    <row r="23">
      <c r="A23">
        <f>IFERROR(MATCH(LARGE(c_o_pend,16),c_o_pend,0),"")</f>
        <v/>
      </c>
      <c r="B23" s="31">
        <f>IF($A23="","",16)</f>
        <v/>
      </c>
      <c r="C23" s="32">
        <f>IF($A23="","",HYPERLINK("#'LANÇAMENTOS'!A"&amp;($A23+1),INDEX(c_id,$A23)))</f>
        <v/>
      </c>
      <c r="D23" s="33">
        <f>IF($A23="","",INDEX(c_data,$A23))</f>
        <v/>
      </c>
      <c r="E23" s="34">
        <f>IF($A23="","",INDEX(c_turno,$A23)&amp;"")</f>
        <v/>
      </c>
      <c r="F23" s="34">
        <f>IF($A23="","",INDEX(c_status,$A23)&amp;"")</f>
        <v/>
      </c>
      <c r="G23" s="34">
        <f>IF($A23="","",INDEX(c_alerta,$A23)&amp;"")</f>
        <v/>
      </c>
      <c r="H23" s="34">
        <f>IF($A23="","",INDEX(c_prog,$A23)&amp;"")</f>
        <v/>
      </c>
      <c r="I23" s="34">
        <f>IF($A23="","",INDEX(c_rota,$A23)&amp;"")</f>
        <v/>
      </c>
      <c r="J23" s="34">
        <f>IF($A23="","",IF(INDEX(c_pend,$A23)&amp;""&lt;&gt;"",INDEX(c_pend,$A23)&amp;"",INDEX(c_obs,$A23)&amp;""))</f>
        <v/>
      </c>
      <c r="K23" s="34">
        <f>IF($A23="","",INDEX(c_rpend,$A23)&amp;"")</f>
        <v/>
      </c>
      <c r="L23" s="33">
        <f>IF($A23="","",INDEX(c_prazo,$A23))</f>
        <v/>
      </c>
      <c r="M23" s="41">
        <f>IF($A23="","",INDEX(c_dias,$A23))</f>
        <v/>
      </c>
    </row>
    <row r="24">
      <c r="A24">
        <f>IFERROR(MATCH(LARGE(c_o_pend,17),c_o_pend,0),"")</f>
        <v/>
      </c>
      <c r="B24" s="31">
        <f>IF($A24="","",17)</f>
        <v/>
      </c>
      <c r="C24" s="32">
        <f>IF($A24="","",HYPERLINK("#'LANÇAMENTOS'!A"&amp;($A24+1),INDEX(c_id,$A24)))</f>
        <v/>
      </c>
      <c r="D24" s="33">
        <f>IF($A24="","",INDEX(c_data,$A24))</f>
        <v/>
      </c>
      <c r="E24" s="34">
        <f>IF($A24="","",INDEX(c_turno,$A24)&amp;"")</f>
        <v/>
      </c>
      <c r="F24" s="34">
        <f>IF($A24="","",INDEX(c_status,$A24)&amp;"")</f>
        <v/>
      </c>
      <c r="G24" s="34">
        <f>IF($A24="","",INDEX(c_alerta,$A24)&amp;"")</f>
        <v/>
      </c>
      <c r="H24" s="34">
        <f>IF($A24="","",INDEX(c_prog,$A24)&amp;"")</f>
        <v/>
      </c>
      <c r="I24" s="34">
        <f>IF($A24="","",INDEX(c_rota,$A24)&amp;"")</f>
        <v/>
      </c>
      <c r="J24" s="34">
        <f>IF($A24="","",IF(INDEX(c_pend,$A24)&amp;""&lt;&gt;"",INDEX(c_pend,$A24)&amp;"",INDEX(c_obs,$A24)&amp;""))</f>
        <v/>
      </c>
      <c r="K24" s="34">
        <f>IF($A24="","",INDEX(c_rpend,$A24)&amp;"")</f>
        <v/>
      </c>
      <c r="L24" s="33">
        <f>IF($A24="","",INDEX(c_prazo,$A24))</f>
        <v/>
      </c>
      <c r="M24" s="41">
        <f>IF($A24="","",INDEX(c_dias,$A24))</f>
        <v/>
      </c>
    </row>
    <row r="25">
      <c r="A25">
        <f>IFERROR(MATCH(LARGE(c_o_pend,18),c_o_pend,0),"")</f>
        <v/>
      </c>
      <c r="B25" s="31">
        <f>IF($A25="","",18)</f>
        <v/>
      </c>
      <c r="C25" s="32">
        <f>IF($A25="","",HYPERLINK("#'LANÇAMENTOS'!A"&amp;($A25+1),INDEX(c_id,$A25)))</f>
        <v/>
      </c>
      <c r="D25" s="33">
        <f>IF($A25="","",INDEX(c_data,$A25))</f>
        <v/>
      </c>
      <c r="E25" s="34">
        <f>IF($A25="","",INDEX(c_turno,$A25)&amp;"")</f>
        <v/>
      </c>
      <c r="F25" s="34">
        <f>IF($A25="","",INDEX(c_status,$A25)&amp;"")</f>
        <v/>
      </c>
      <c r="G25" s="34">
        <f>IF($A25="","",INDEX(c_alerta,$A25)&amp;"")</f>
        <v/>
      </c>
      <c r="H25" s="34">
        <f>IF($A25="","",INDEX(c_prog,$A25)&amp;"")</f>
        <v/>
      </c>
      <c r="I25" s="34">
        <f>IF($A25="","",INDEX(c_rota,$A25)&amp;"")</f>
        <v/>
      </c>
      <c r="J25" s="34">
        <f>IF($A25="","",IF(INDEX(c_pend,$A25)&amp;""&lt;&gt;"",INDEX(c_pend,$A25)&amp;"",INDEX(c_obs,$A25)&amp;""))</f>
        <v/>
      </c>
      <c r="K25" s="34">
        <f>IF($A25="","",INDEX(c_rpend,$A25)&amp;"")</f>
        <v/>
      </c>
      <c r="L25" s="33">
        <f>IF($A25="","",INDEX(c_prazo,$A25))</f>
        <v/>
      </c>
      <c r="M25" s="41">
        <f>IF($A25="","",INDEX(c_dias,$A25))</f>
        <v/>
      </c>
    </row>
    <row r="26">
      <c r="A26">
        <f>IFERROR(MATCH(LARGE(c_o_pend,19),c_o_pend,0),"")</f>
        <v/>
      </c>
      <c r="B26" s="31">
        <f>IF($A26="","",19)</f>
        <v/>
      </c>
      <c r="C26" s="32">
        <f>IF($A26="","",HYPERLINK("#'LANÇAMENTOS'!A"&amp;($A26+1),INDEX(c_id,$A26)))</f>
        <v/>
      </c>
      <c r="D26" s="33">
        <f>IF($A26="","",INDEX(c_data,$A26))</f>
        <v/>
      </c>
      <c r="E26" s="34">
        <f>IF($A26="","",INDEX(c_turno,$A26)&amp;"")</f>
        <v/>
      </c>
      <c r="F26" s="34">
        <f>IF($A26="","",INDEX(c_status,$A26)&amp;"")</f>
        <v/>
      </c>
      <c r="G26" s="34">
        <f>IF($A26="","",INDEX(c_alerta,$A26)&amp;"")</f>
        <v/>
      </c>
      <c r="H26" s="34">
        <f>IF($A26="","",INDEX(c_prog,$A26)&amp;"")</f>
        <v/>
      </c>
      <c r="I26" s="34">
        <f>IF($A26="","",INDEX(c_rota,$A26)&amp;"")</f>
        <v/>
      </c>
      <c r="J26" s="34">
        <f>IF($A26="","",IF(INDEX(c_pend,$A26)&amp;""&lt;&gt;"",INDEX(c_pend,$A26)&amp;"",INDEX(c_obs,$A26)&amp;""))</f>
        <v/>
      </c>
      <c r="K26" s="34">
        <f>IF($A26="","",INDEX(c_rpend,$A26)&amp;"")</f>
        <v/>
      </c>
      <c r="L26" s="33">
        <f>IF($A26="","",INDEX(c_prazo,$A26))</f>
        <v/>
      </c>
      <c r="M26" s="41">
        <f>IF($A26="","",INDEX(c_dias,$A26))</f>
        <v/>
      </c>
    </row>
    <row r="27">
      <c r="A27">
        <f>IFERROR(MATCH(LARGE(c_o_pend,20),c_o_pend,0),"")</f>
        <v/>
      </c>
      <c r="B27" s="31">
        <f>IF($A27="","",20)</f>
        <v/>
      </c>
      <c r="C27" s="32">
        <f>IF($A27="","",HYPERLINK("#'LANÇAMENTOS'!A"&amp;($A27+1),INDEX(c_id,$A27)))</f>
        <v/>
      </c>
      <c r="D27" s="33">
        <f>IF($A27="","",INDEX(c_data,$A27))</f>
        <v/>
      </c>
      <c r="E27" s="34">
        <f>IF($A27="","",INDEX(c_turno,$A27)&amp;"")</f>
        <v/>
      </c>
      <c r="F27" s="34">
        <f>IF($A27="","",INDEX(c_status,$A27)&amp;"")</f>
        <v/>
      </c>
      <c r="G27" s="34">
        <f>IF($A27="","",INDEX(c_alerta,$A27)&amp;"")</f>
        <v/>
      </c>
      <c r="H27" s="34">
        <f>IF($A27="","",INDEX(c_prog,$A27)&amp;"")</f>
        <v/>
      </c>
      <c r="I27" s="34">
        <f>IF($A27="","",INDEX(c_rota,$A27)&amp;"")</f>
        <v/>
      </c>
      <c r="J27" s="34">
        <f>IF($A27="","",IF(INDEX(c_pend,$A27)&amp;""&lt;&gt;"",INDEX(c_pend,$A27)&amp;"",INDEX(c_obs,$A27)&amp;""))</f>
        <v/>
      </c>
      <c r="K27" s="34">
        <f>IF($A27="","",INDEX(c_rpend,$A27)&amp;"")</f>
        <v/>
      </c>
      <c r="L27" s="33">
        <f>IF($A27="","",INDEX(c_prazo,$A27))</f>
        <v/>
      </c>
      <c r="M27" s="41">
        <f>IF($A27="","",INDEX(c_dias,$A27))</f>
        <v/>
      </c>
    </row>
    <row r="28">
      <c r="A28">
        <f>IFERROR(MATCH(LARGE(c_o_pend,21),c_o_pend,0),"")</f>
        <v/>
      </c>
      <c r="B28" s="31">
        <f>IF($A28="","",21)</f>
        <v/>
      </c>
      <c r="C28" s="32">
        <f>IF($A28="","",HYPERLINK("#'LANÇAMENTOS'!A"&amp;($A28+1),INDEX(c_id,$A28)))</f>
        <v/>
      </c>
      <c r="D28" s="33">
        <f>IF($A28="","",INDEX(c_data,$A28))</f>
        <v/>
      </c>
      <c r="E28" s="34">
        <f>IF($A28="","",INDEX(c_turno,$A28)&amp;"")</f>
        <v/>
      </c>
      <c r="F28" s="34">
        <f>IF($A28="","",INDEX(c_status,$A28)&amp;"")</f>
        <v/>
      </c>
      <c r="G28" s="34">
        <f>IF($A28="","",INDEX(c_alerta,$A28)&amp;"")</f>
        <v/>
      </c>
      <c r="H28" s="34">
        <f>IF($A28="","",INDEX(c_prog,$A28)&amp;"")</f>
        <v/>
      </c>
      <c r="I28" s="34">
        <f>IF($A28="","",INDEX(c_rota,$A28)&amp;"")</f>
        <v/>
      </c>
      <c r="J28" s="34">
        <f>IF($A28="","",IF(INDEX(c_pend,$A28)&amp;""&lt;&gt;"",INDEX(c_pend,$A28)&amp;"",INDEX(c_obs,$A28)&amp;""))</f>
        <v/>
      </c>
      <c r="K28" s="34">
        <f>IF($A28="","",INDEX(c_rpend,$A28)&amp;"")</f>
        <v/>
      </c>
      <c r="L28" s="33">
        <f>IF($A28="","",INDEX(c_prazo,$A28))</f>
        <v/>
      </c>
      <c r="M28" s="41">
        <f>IF($A28="","",INDEX(c_dias,$A28))</f>
        <v/>
      </c>
    </row>
    <row r="29">
      <c r="A29">
        <f>IFERROR(MATCH(LARGE(c_o_pend,22),c_o_pend,0),"")</f>
        <v/>
      </c>
      <c r="B29" s="31">
        <f>IF($A29="","",22)</f>
        <v/>
      </c>
      <c r="C29" s="32">
        <f>IF($A29="","",HYPERLINK("#'LANÇAMENTOS'!A"&amp;($A29+1),INDEX(c_id,$A29)))</f>
        <v/>
      </c>
      <c r="D29" s="33">
        <f>IF($A29="","",INDEX(c_data,$A29))</f>
        <v/>
      </c>
      <c r="E29" s="34">
        <f>IF($A29="","",INDEX(c_turno,$A29)&amp;"")</f>
        <v/>
      </c>
      <c r="F29" s="34">
        <f>IF($A29="","",INDEX(c_status,$A29)&amp;"")</f>
        <v/>
      </c>
      <c r="G29" s="34">
        <f>IF($A29="","",INDEX(c_alerta,$A29)&amp;"")</f>
        <v/>
      </c>
      <c r="H29" s="34">
        <f>IF($A29="","",INDEX(c_prog,$A29)&amp;"")</f>
        <v/>
      </c>
      <c r="I29" s="34">
        <f>IF($A29="","",INDEX(c_rota,$A29)&amp;"")</f>
        <v/>
      </c>
      <c r="J29" s="34">
        <f>IF($A29="","",IF(INDEX(c_pend,$A29)&amp;""&lt;&gt;"",INDEX(c_pend,$A29)&amp;"",INDEX(c_obs,$A29)&amp;""))</f>
        <v/>
      </c>
      <c r="K29" s="34">
        <f>IF($A29="","",INDEX(c_rpend,$A29)&amp;"")</f>
        <v/>
      </c>
      <c r="L29" s="33">
        <f>IF($A29="","",INDEX(c_prazo,$A29))</f>
        <v/>
      </c>
      <c r="M29" s="41">
        <f>IF($A29="","",INDEX(c_dias,$A29))</f>
        <v/>
      </c>
    </row>
    <row r="30">
      <c r="A30">
        <f>IFERROR(MATCH(LARGE(c_o_pend,23),c_o_pend,0),"")</f>
        <v/>
      </c>
      <c r="B30" s="31">
        <f>IF($A30="","",23)</f>
        <v/>
      </c>
      <c r="C30" s="32">
        <f>IF($A30="","",HYPERLINK("#'LANÇAMENTOS'!A"&amp;($A30+1),INDEX(c_id,$A30)))</f>
        <v/>
      </c>
      <c r="D30" s="33">
        <f>IF($A30="","",INDEX(c_data,$A30))</f>
        <v/>
      </c>
      <c r="E30" s="34">
        <f>IF($A30="","",INDEX(c_turno,$A30)&amp;"")</f>
        <v/>
      </c>
      <c r="F30" s="34">
        <f>IF($A30="","",INDEX(c_status,$A30)&amp;"")</f>
        <v/>
      </c>
      <c r="G30" s="34">
        <f>IF($A30="","",INDEX(c_alerta,$A30)&amp;"")</f>
        <v/>
      </c>
      <c r="H30" s="34">
        <f>IF($A30="","",INDEX(c_prog,$A30)&amp;"")</f>
        <v/>
      </c>
      <c r="I30" s="34">
        <f>IF($A30="","",INDEX(c_rota,$A30)&amp;"")</f>
        <v/>
      </c>
      <c r="J30" s="34">
        <f>IF($A30="","",IF(INDEX(c_pend,$A30)&amp;""&lt;&gt;"",INDEX(c_pend,$A30)&amp;"",INDEX(c_obs,$A30)&amp;""))</f>
        <v/>
      </c>
      <c r="K30" s="34">
        <f>IF($A30="","",INDEX(c_rpend,$A30)&amp;"")</f>
        <v/>
      </c>
      <c r="L30" s="33">
        <f>IF($A30="","",INDEX(c_prazo,$A30))</f>
        <v/>
      </c>
      <c r="M30" s="41">
        <f>IF($A30="","",INDEX(c_dias,$A30))</f>
        <v/>
      </c>
    </row>
    <row r="31">
      <c r="A31">
        <f>IFERROR(MATCH(LARGE(c_o_pend,24),c_o_pend,0),"")</f>
        <v/>
      </c>
      <c r="B31" s="31">
        <f>IF($A31="","",24)</f>
        <v/>
      </c>
      <c r="C31" s="32">
        <f>IF($A31="","",HYPERLINK("#'LANÇAMENTOS'!A"&amp;($A31+1),INDEX(c_id,$A31)))</f>
        <v/>
      </c>
      <c r="D31" s="33">
        <f>IF($A31="","",INDEX(c_data,$A31))</f>
        <v/>
      </c>
      <c r="E31" s="34">
        <f>IF($A31="","",INDEX(c_turno,$A31)&amp;"")</f>
        <v/>
      </c>
      <c r="F31" s="34">
        <f>IF($A31="","",INDEX(c_status,$A31)&amp;"")</f>
        <v/>
      </c>
      <c r="G31" s="34">
        <f>IF($A31="","",INDEX(c_alerta,$A31)&amp;"")</f>
        <v/>
      </c>
      <c r="H31" s="34">
        <f>IF($A31="","",INDEX(c_prog,$A31)&amp;"")</f>
        <v/>
      </c>
      <c r="I31" s="34">
        <f>IF($A31="","",INDEX(c_rota,$A31)&amp;"")</f>
        <v/>
      </c>
      <c r="J31" s="34">
        <f>IF($A31="","",IF(INDEX(c_pend,$A31)&amp;""&lt;&gt;"",INDEX(c_pend,$A31)&amp;"",INDEX(c_obs,$A31)&amp;""))</f>
        <v/>
      </c>
      <c r="K31" s="34">
        <f>IF($A31="","",INDEX(c_rpend,$A31)&amp;"")</f>
        <v/>
      </c>
      <c r="L31" s="33">
        <f>IF($A31="","",INDEX(c_prazo,$A31))</f>
        <v/>
      </c>
      <c r="M31" s="41">
        <f>IF($A31="","",INDEX(c_dias,$A31))</f>
        <v/>
      </c>
    </row>
    <row r="32">
      <c r="A32">
        <f>IFERROR(MATCH(LARGE(c_o_pend,25),c_o_pend,0),"")</f>
        <v/>
      </c>
      <c r="B32" s="31">
        <f>IF($A32="","",25)</f>
        <v/>
      </c>
      <c r="C32" s="32">
        <f>IF($A32="","",HYPERLINK("#'LANÇAMENTOS'!A"&amp;($A32+1),INDEX(c_id,$A32)))</f>
        <v/>
      </c>
      <c r="D32" s="33">
        <f>IF($A32="","",INDEX(c_data,$A32))</f>
        <v/>
      </c>
      <c r="E32" s="34">
        <f>IF($A32="","",INDEX(c_turno,$A32)&amp;"")</f>
        <v/>
      </c>
      <c r="F32" s="34">
        <f>IF($A32="","",INDEX(c_status,$A32)&amp;"")</f>
        <v/>
      </c>
      <c r="G32" s="34">
        <f>IF($A32="","",INDEX(c_alerta,$A32)&amp;"")</f>
        <v/>
      </c>
      <c r="H32" s="34">
        <f>IF($A32="","",INDEX(c_prog,$A32)&amp;"")</f>
        <v/>
      </c>
      <c r="I32" s="34">
        <f>IF($A32="","",INDEX(c_rota,$A32)&amp;"")</f>
        <v/>
      </c>
      <c r="J32" s="34">
        <f>IF($A32="","",IF(INDEX(c_pend,$A32)&amp;""&lt;&gt;"",INDEX(c_pend,$A32)&amp;"",INDEX(c_obs,$A32)&amp;""))</f>
        <v/>
      </c>
      <c r="K32" s="34">
        <f>IF($A32="","",INDEX(c_rpend,$A32)&amp;"")</f>
        <v/>
      </c>
      <c r="L32" s="33">
        <f>IF($A32="","",INDEX(c_prazo,$A32))</f>
        <v/>
      </c>
      <c r="M32" s="41">
        <f>IF($A32="","",INDEX(c_dias,$A32))</f>
        <v/>
      </c>
    </row>
    <row r="33">
      <c r="A33">
        <f>IFERROR(MATCH(LARGE(c_o_pend,26),c_o_pend,0),"")</f>
        <v/>
      </c>
      <c r="B33" s="31">
        <f>IF($A33="","",26)</f>
        <v/>
      </c>
      <c r="C33" s="32">
        <f>IF($A33="","",HYPERLINK("#'LANÇAMENTOS'!A"&amp;($A33+1),INDEX(c_id,$A33)))</f>
        <v/>
      </c>
      <c r="D33" s="33">
        <f>IF($A33="","",INDEX(c_data,$A33))</f>
        <v/>
      </c>
      <c r="E33" s="34">
        <f>IF($A33="","",INDEX(c_turno,$A33)&amp;"")</f>
        <v/>
      </c>
      <c r="F33" s="34">
        <f>IF($A33="","",INDEX(c_status,$A33)&amp;"")</f>
        <v/>
      </c>
      <c r="G33" s="34">
        <f>IF($A33="","",INDEX(c_alerta,$A33)&amp;"")</f>
        <v/>
      </c>
      <c r="H33" s="34">
        <f>IF($A33="","",INDEX(c_prog,$A33)&amp;"")</f>
        <v/>
      </c>
      <c r="I33" s="34">
        <f>IF($A33="","",INDEX(c_rota,$A33)&amp;"")</f>
        <v/>
      </c>
      <c r="J33" s="34">
        <f>IF($A33="","",IF(INDEX(c_pend,$A33)&amp;""&lt;&gt;"",INDEX(c_pend,$A33)&amp;"",INDEX(c_obs,$A33)&amp;""))</f>
        <v/>
      </c>
      <c r="K33" s="34">
        <f>IF($A33="","",INDEX(c_rpend,$A33)&amp;"")</f>
        <v/>
      </c>
      <c r="L33" s="33">
        <f>IF($A33="","",INDEX(c_prazo,$A33))</f>
        <v/>
      </c>
      <c r="M33" s="41">
        <f>IF($A33="","",INDEX(c_dias,$A33))</f>
        <v/>
      </c>
    </row>
    <row r="34">
      <c r="A34">
        <f>IFERROR(MATCH(LARGE(c_o_pend,27),c_o_pend,0),"")</f>
        <v/>
      </c>
      <c r="B34" s="31">
        <f>IF($A34="","",27)</f>
        <v/>
      </c>
      <c r="C34" s="32">
        <f>IF($A34="","",HYPERLINK("#'LANÇAMENTOS'!A"&amp;($A34+1),INDEX(c_id,$A34)))</f>
        <v/>
      </c>
      <c r="D34" s="33">
        <f>IF($A34="","",INDEX(c_data,$A34))</f>
        <v/>
      </c>
      <c r="E34" s="34">
        <f>IF($A34="","",INDEX(c_turno,$A34)&amp;"")</f>
        <v/>
      </c>
      <c r="F34" s="34">
        <f>IF($A34="","",INDEX(c_status,$A34)&amp;"")</f>
        <v/>
      </c>
      <c r="G34" s="34">
        <f>IF($A34="","",INDEX(c_alerta,$A34)&amp;"")</f>
        <v/>
      </c>
      <c r="H34" s="34">
        <f>IF($A34="","",INDEX(c_prog,$A34)&amp;"")</f>
        <v/>
      </c>
      <c r="I34" s="34">
        <f>IF($A34="","",INDEX(c_rota,$A34)&amp;"")</f>
        <v/>
      </c>
      <c r="J34" s="34">
        <f>IF($A34="","",IF(INDEX(c_pend,$A34)&amp;""&lt;&gt;"",INDEX(c_pend,$A34)&amp;"",INDEX(c_obs,$A34)&amp;""))</f>
        <v/>
      </c>
      <c r="K34" s="34">
        <f>IF($A34="","",INDEX(c_rpend,$A34)&amp;"")</f>
        <v/>
      </c>
      <c r="L34" s="33">
        <f>IF($A34="","",INDEX(c_prazo,$A34))</f>
        <v/>
      </c>
      <c r="M34" s="41">
        <f>IF($A34="","",INDEX(c_dias,$A34))</f>
        <v/>
      </c>
    </row>
    <row r="35">
      <c r="A35">
        <f>IFERROR(MATCH(LARGE(c_o_pend,28),c_o_pend,0),"")</f>
        <v/>
      </c>
      <c r="B35" s="31">
        <f>IF($A35="","",28)</f>
        <v/>
      </c>
      <c r="C35" s="32">
        <f>IF($A35="","",HYPERLINK("#'LANÇAMENTOS'!A"&amp;($A35+1),INDEX(c_id,$A35)))</f>
        <v/>
      </c>
      <c r="D35" s="33">
        <f>IF($A35="","",INDEX(c_data,$A35))</f>
        <v/>
      </c>
      <c r="E35" s="34">
        <f>IF($A35="","",INDEX(c_turno,$A35)&amp;"")</f>
        <v/>
      </c>
      <c r="F35" s="34">
        <f>IF($A35="","",INDEX(c_status,$A35)&amp;"")</f>
        <v/>
      </c>
      <c r="G35" s="34">
        <f>IF($A35="","",INDEX(c_alerta,$A35)&amp;"")</f>
        <v/>
      </c>
      <c r="H35" s="34">
        <f>IF($A35="","",INDEX(c_prog,$A35)&amp;"")</f>
        <v/>
      </c>
      <c r="I35" s="34">
        <f>IF($A35="","",INDEX(c_rota,$A35)&amp;"")</f>
        <v/>
      </c>
      <c r="J35" s="34">
        <f>IF($A35="","",IF(INDEX(c_pend,$A35)&amp;""&lt;&gt;"",INDEX(c_pend,$A35)&amp;"",INDEX(c_obs,$A35)&amp;""))</f>
        <v/>
      </c>
      <c r="K35" s="34">
        <f>IF($A35="","",INDEX(c_rpend,$A35)&amp;"")</f>
        <v/>
      </c>
      <c r="L35" s="33">
        <f>IF($A35="","",INDEX(c_prazo,$A35))</f>
        <v/>
      </c>
      <c r="M35" s="41">
        <f>IF($A35="","",INDEX(c_dias,$A35))</f>
        <v/>
      </c>
    </row>
    <row r="36">
      <c r="A36">
        <f>IFERROR(MATCH(LARGE(c_o_pend,29),c_o_pend,0),"")</f>
        <v/>
      </c>
      <c r="B36" s="31">
        <f>IF($A36="","",29)</f>
        <v/>
      </c>
      <c r="C36" s="32">
        <f>IF($A36="","",HYPERLINK("#'LANÇAMENTOS'!A"&amp;($A36+1),INDEX(c_id,$A36)))</f>
        <v/>
      </c>
      <c r="D36" s="33">
        <f>IF($A36="","",INDEX(c_data,$A36))</f>
        <v/>
      </c>
      <c r="E36" s="34">
        <f>IF($A36="","",INDEX(c_turno,$A36)&amp;"")</f>
        <v/>
      </c>
      <c r="F36" s="34">
        <f>IF($A36="","",INDEX(c_status,$A36)&amp;"")</f>
        <v/>
      </c>
      <c r="G36" s="34">
        <f>IF($A36="","",INDEX(c_alerta,$A36)&amp;"")</f>
        <v/>
      </c>
      <c r="H36" s="34">
        <f>IF($A36="","",INDEX(c_prog,$A36)&amp;"")</f>
        <v/>
      </c>
      <c r="I36" s="34">
        <f>IF($A36="","",INDEX(c_rota,$A36)&amp;"")</f>
        <v/>
      </c>
      <c r="J36" s="34">
        <f>IF($A36="","",IF(INDEX(c_pend,$A36)&amp;""&lt;&gt;"",INDEX(c_pend,$A36)&amp;"",INDEX(c_obs,$A36)&amp;""))</f>
        <v/>
      </c>
      <c r="K36" s="34">
        <f>IF($A36="","",INDEX(c_rpend,$A36)&amp;"")</f>
        <v/>
      </c>
      <c r="L36" s="33">
        <f>IF($A36="","",INDEX(c_prazo,$A36))</f>
        <v/>
      </c>
      <c r="M36" s="41">
        <f>IF($A36="","",INDEX(c_dias,$A36))</f>
        <v/>
      </c>
    </row>
    <row r="37">
      <c r="A37">
        <f>IFERROR(MATCH(LARGE(c_o_pend,30),c_o_pend,0),"")</f>
        <v/>
      </c>
      <c r="B37" s="31">
        <f>IF($A37="","",30)</f>
        <v/>
      </c>
      <c r="C37" s="32">
        <f>IF($A37="","",HYPERLINK("#'LANÇAMENTOS'!A"&amp;($A37+1),INDEX(c_id,$A37)))</f>
        <v/>
      </c>
      <c r="D37" s="33">
        <f>IF($A37="","",INDEX(c_data,$A37))</f>
        <v/>
      </c>
      <c r="E37" s="34">
        <f>IF($A37="","",INDEX(c_turno,$A37)&amp;"")</f>
        <v/>
      </c>
      <c r="F37" s="34">
        <f>IF($A37="","",INDEX(c_status,$A37)&amp;"")</f>
        <v/>
      </c>
      <c r="G37" s="34">
        <f>IF($A37="","",INDEX(c_alerta,$A37)&amp;"")</f>
        <v/>
      </c>
      <c r="H37" s="34">
        <f>IF($A37="","",INDEX(c_prog,$A37)&amp;"")</f>
        <v/>
      </c>
      <c r="I37" s="34">
        <f>IF($A37="","",INDEX(c_rota,$A37)&amp;"")</f>
        <v/>
      </c>
      <c r="J37" s="34">
        <f>IF($A37="","",IF(INDEX(c_pend,$A37)&amp;""&lt;&gt;"",INDEX(c_pend,$A37)&amp;"",INDEX(c_obs,$A37)&amp;""))</f>
        <v/>
      </c>
      <c r="K37" s="34">
        <f>IF($A37="","",INDEX(c_rpend,$A37)&amp;"")</f>
        <v/>
      </c>
      <c r="L37" s="33">
        <f>IF($A37="","",INDEX(c_prazo,$A37))</f>
        <v/>
      </c>
      <c r="M37" s="41">
        <f>IF($A37="","",INDEX(c_dias,$A37))</f>
        <v/>
      </c>
    </row>
    <row r="38">
      <c r="A38">
        <f>IFERROR(MATCH(LARGE(c_o_pend,31),c_o_pend,0),"")</f>
        <v/>
      </c>
      <c r="B38" s="31">
        <f>IF($A38="","",31)</f>
        <v/>
      </c>
      <c r="C38" s="32">
        <f>IF($A38="","",HYPERLINK("#'LANÇAMENTOS'!A"&amp;($A38+1),INDEX(c_id,$A38)))</f>
        <v/>
      </c>
      <c r="D38" s="33">
        <f>IF($A38="","",INDEX(c_data,$A38))</f>
        <v/>
      </c>
      <c r="E38" s="34">
        <f>IF($A38="","",INDEX(c_turno,$A38)&amp;"")</f>
        <v/>
      </c>
      <c r="F38" s="34">
        <f>IF($A38="","",INDEX(c_status,$A38)&amp;"")</f>
        <v/>
      </c>
      <c r="G38" s="34">
        <f>IF($A38="","",INDEX(c_alerta,$A38)&amp;"")</f>
        <v/>
      </c>
      <c r="H38" s="34">
        <f>IF($A38="","",INDEX(c_prog,$A38)&amp;"")</f>
        <v/>
      </c>
      <c r="I38" s="34">
        <f>IF($A38="","",INDEX(c_rota,$A38)&amp;"")</f>
        <v/>
      </c>
      <c r="J38" s="34">
        <f>IF($A38="","",IF(INDEX(c_pend,$A38)&amp;""&lt;&gt;"",INDEX(c_pend,$A38)&amp;"",INDEX(c_obs,$A38)&amp;""))</f>
        <v/>
      </c>
      <c r="K38" s="34">
        <f>IF($A38="","",INDEX(c_rpend,$A38)&amp;"")</f>
        <v/>
      </c>
      <c r="L38" s="33">
        <f>IF($A38="","",INDEX(c_prazo,$A38))</f>
        <v/>
      </c>
      <c r="M38" s="41">
        <f>IF($A38="","",INDEX(c_dias,$A38))</f>
        <v/>
      </c>
    </row>
    <row r="39">
      <c r="A39">
        <f>IFERROR(MATCH(LARGE(c_o_pend,32),c_o_pend,0),"")</f>
        <v/>
      </c>
      <c r="B39" s="31">
        <f>IF($A39="","",32)</f>
        <v/>
      </c>
      <c r="C39" s="32">
        <f>IF($A39="","",HYPERLINK("#'LANÇAMENTOS'!A"&amp;($A39+1),INDEX(c_id,$A39)))</f>
        <v/>
      </c>
      <c r="D39" s="33">
        <f>IF($A39="","",INDEX(c_data,$A39))</f>
        <v/>
      </c>
      <c r="E39" s="34">
        <f>IF($A39="","",INDEX(c_turno,$A39)&amp;"")</f>
        <v/>
      </c>
      <c r="F39" s="34">
        <f>IF($A39="","",INDEX(c_status,$A39)&amp;"")</f>
        <v/>
      </c>
      <c r="G39" s="34">
        <f>IF($A39="","",INDEX(c_alerta,$A39)&amp;"")</f>
        <v/>
      </c>
      <c r="H39" s="34">
        <f>IF($A39="","",INDEX(c_prog,$A39)&amp;"")</f>
        <v/>
      </c>
      <c r="I39" s="34">
        <f>IF($A39="","",INDEX(c_rota,$A39)&amp;"")</f>
        <v/>
      </c>
      <c r="J39" s="34">
        <f>IF($A39="","",IF(INDEX(c_pend,$A39)&amp;""&lt;&gt;"",INDEX(c_pend,$A39)&amp;"",INDEX(c_obs,$A39)&amp;""))</f>
        <v/>
      </c>
      <c r="K39" s="34">
        <f>IF($A39="","",INDEX(c_rpend,$A39)&amp;"")</f>
        <v/>
      </c>
      <c r="L39" s="33">
        <f>IF($A39="","",INDEX(c_prazo,$A39))</f>
        <v/>
      </c>
      <c r="M39" s="41">
        <f>IF($A39="","",INDEX(c_dias,$A39))</f>
        <v/>
      </c>
    </row>
    <row r="40">
      <c r="A40">
        <f>IFERROR(MATCH(LARGE(c_o_pend,33),c_o_pend,0),"")</f>
        <v/>
      </c>
      <c r="B40" s="31">
        <f>IF($A40="","",33)</f>
        <v/>
      </c>
      <c r="C40" s="32">
        <f>IF($A40="","",HYPERLINK("#'LANÇAMENTOS'!A"&amp;($A40+1),INDEX(c_id,$A40)))</f>
        <v/>
      </c>
      <c r="D40" s="33">
        <f>IF($A40="","",INDEX(c_data,$A40))</f>
        <v/>
      </c>
      <c r="E40" s="34">
        <f>IF($A40="","",INDEX(c_turno,$A40)&amp;"")</f>
        <v/>
      </c>
      <c r="F40" s="34">
        <f>IF($A40="","",INDEX(c_status,$A40)&amp;"")</f>
        <v/>
      </c>
      <c r="G40" s="34">
        <f>IF($A40="","",INDEX(c_alerta,$A40)&amp;"")</f>
        <v/>
      </c>
      <c r="H40" s="34">
        <f>IF($A40="","",INDEX(c_prog,$A40)&amp;"")</f>
        <v/>
      </c>
      <c r="I40" s="34">
        <f>IF($A40="","",INDEX(c_rota,$A40)&amp;"")</f>
        <v/>
      </c>
      <c r="J40" s="34">
        <f>IF($A40="","",IF(INDEX(c_pend,$A40)&amp;""&lt;&gt;"",INDEX(c_pend,$A40)&amp;"",INDEX(c_obs,$A40)&amp;""))</f>
        <v/>
      </c>
      <c r="K40" s="34">
        <f>IF($A40="","",INDEX(c_rpend,$A40)&amp;"")</f>
        <v/>
      </c>
      <c r="L40" s="33">
        <f>IF($A40="","",INDEX(c_prazo,$A40))</f>
        <v/>
      </c>
      <c r="M40" s="41">
        <f>IF($A40="","",INDEX(c_dias,$A40))</f>
        <v/>
      </c>
    </row>
    <row r="41">
      <c r="A41">
        <f>IFERROR(MATCH(LARGE(c_o_pend,34),c_o_pend,0),"")</f>
        <v/>
      </c>
      <c r="B41" s="31">
        <f>IF($A41="","",34)</f>
        <v/>
      </c>
      <c r="C41" s="32">
        <f>IF($A41="","",HYPERLINK("#'LANÇAMENTOS'!A"&amp;($A41+1),INDEX(c_id,$A41)))</f>
        <v/>
      </c>
      <c r="D41" s="33">
        <f>IF($A41="","",INDEX(c_data,$A41))</f>
        <v/>
      </c>
      <c r="E41" s="34">
        <f>IF($A41="","",INDEX(c_turno,$A41)&amp;"")</f>
        <v/>
      </c>
      <c r="F41" s="34">
        <f>IF($A41="","",INDEX(c_status,$A41)&amp;"")</f>
        <v/>
      </c>
      <c r="G41" s="34">
        <f>IF($A41="","",INDEX(c_alerta,$A41)&amp;"")</f>
        <v/>
      </c>
      <c r="H41" s="34">
        <f>IF($A41="","",INDEX(c_prog,$A41)&amp;"")</f>
        <v/>
      </c>
      <c r="I41" s="34">
        <f>IF($A41="","",INDEX(c_rota,$A41)&amp;"")</f>
        <v/>
      </c>
      <c r="J41" s="34">
        <f>IF($A41="","",IF(INDEX(c_pend,$A41)&amp;""&lt;&gt;"",INDEX(c_pend,$A41)&amp;"",INDEX(c_obs,$A41)&amp;""))</f>
        <v/>
      </c>
      <c r="K41" s="34">
        <f>IF($A41="","",INDEX(c_rpend,$A41)&amp;"")</f>
        <v/>
      </c>
      <c r="L41" s="33">
        <f>IF($A41="","",INDEX(c_prazo,$A41))</f>
        <v/>
      </c>
      <c r="M41" s="41">
        <f>IF($A41="","",INDEX(c_dias,$A41))</f>
        <v/>
      </c>
    </row>
    <row r="42">
      <c r="A42">
        <f>IFERROR(MATCH(LARGE(c_o_pend,35),c_o_pend,0),"")</f>
        <v/>
      </c>
      <c r="B42" s="31">
        <f>IF($A42="","",35)</f>
        <v/>
      </c>
      <c r="C42" s="32">
        <f>IF($A42="","",HYPERLINK("#'LANÇAMENTOS'!A"&amp;($A42+1),INDEX(c_id,$A42)))</f>
        <v/>
      </c>
      <c r="D42" s="33">
        <f>IF($A42="","",INDEX(c_data,$A42))</f>
        <v/>
      </c>
      <c r="E42" s="34">
        <f>IF($A42="","",INDEX(c_turno,$A42)&amp;"")</f>
        <v/>
      </c>
      <c r="F42" s="34">
        <f>IF($A42="","",INDEX(c_status,$A42)&amp;"")</f>
        <v/>
      </c>
      <c r="G42" s="34">
        <f>IF($A42="","",INDEX(c_alerta,$A42)&amp;"")</f>
        <v/>
      </c>
      <c r="H42" s="34">
        <f>IF($A42="","",INDEX(c_prog,$A42)&amp;"")</f>
        <v/>
      </c>
      <c r="I42" s="34">
        <f>IF($A42="","",INDEX(c_rota,$A42)&amp;"")</f>
        <v/>
      </c>
      <c r="J42" s="34">
        <f>IF($A42="","",IF(INDEX(c_pend,$A42)&amp;""&lt;&gt;"",INDEX(c_pend,$A42)&amp;"",INDEX(c_obs,$A42)&amp;""))</f>
        <v/>
      </c>
      <c r="K42" s="34">
        <f>IF($A42="","",INDEX(c_rpend,$A42)&amp;"")</f>
        <v/>
      </c>
      <c r="L42" s="33">
        <f>IF($A42="","",INDEX(c_prazo,$A42))</f>
        <v/>
      </c>
      <c r="M42" s="41">
        <f>IF($A42="","",INDEX(c_dias,$A42))</f>
        <v/>
      </c>
    </row>
    <row r="43">
      <c r="A43">
        <f>IFERROR(MATCH(LARGE(c_o_pend,36),c_o_pend,0),"")</f>
        <v/>
      </c>
      <c r="B43" s="31">
        <f>IF($A43="","",36)</f>
        <v/>
      </c>
      <c r="C43" s="32">
        <f>IF($A43="","",HYPERLINK("#'LANÇAMENTOS'!A"&amp;($A43+1),INDEX(c_id,$A43)))</f>
        <v/>
      </c>
      <c r="D43" s="33">
        <f>IF($A43="","",INDEX(c_data,$A43))</f>
        <v/>
      </c>
      <c r="E43" s="34">
        <f>IF($A43="","",INDEX(c_turno,$A43)&amp;"")</f>
        <v/>
      </c>
      <c r="F43" s="34">
        <f>IF($A43="","",INDEX(c_status,$A43)&amp;"")</f>
        <v/>
      </c>
      <c r="G43" s="34">
        <f>IF($A43="","",INDEX(c_alerta,$A43)&amp;"")</f>
        <v/>
      </c>
      <c r="H43" s="34">
        <f>IF($A43="","",INDEX(c_prog,$A43)&amp;"")</f>
        <v/>
      </c>
      <c r="I43" s="34">
        <f>IF($A43="","",INDEX(c_rota,$A43)&amp;"")</f>
        <v/>
      </c>
      <c r="J43" s="34">
        <f>IF($A43="","",IF(INDEX(c_pend,$A43)&amp;""&lt;&gt;"",INDEX(c_pend,$A43)&amp;"",INDEX(c_obs,$A43)&amp;""))</f>
        <v/>
      </c>
      <c r="K43" s="34">
        <f>IF($A43="","",INDEX(c_rpend,$A43)&amp;"")</f>
        <v/>
      </c>
      <c r="L43" s="33">
        <f>IF($A43="","",INDEX(c_prazo,$A43))</f>
        <v/>
      </c>
      <c r="M43" s="41">
        <f>IF($A43="","",INDEX(c_dias,$A43))</f>
        <v/>
      </c>
    </row>
    <row r="44">
      <c r="A44">
        <f>IFERROR(MATCH(LARGE(c_o_pend,37),c_o_pend,0),"")</f>
        <v/>
      </c>
      <c r="B44" s="31">
        <f>IF($A44="","",37)</f>
        <v/>
      </c>
      <c r="C44" s="32">
        <f>IF($A44="","",HYPERLINK("#'LANÇAMENTOS'!A"&amp;($A44+1),INDEX(c_id,$A44)))</f>
        <v/>
      </c>
      <c r="D44" s="33">
        <f>IF($A44="","",INDEX(c_data,$A44))</f>
        <v/>
      </c>
      <c r="E44" s="34">
        <f>IF($A44="","",INDEX(c_turno,$A44)&amp;"")</f>
        <v/>
      </c>
      <c r="F44" s="34">
        <f>IF($A44="","",INDEX(c_status,$A44)&amp;"")</f>
        <v/>
      </c>
      <c r="G44" s="34">
        <f>IF($A44="","",INDEX(c_alerta,$A44)&amp;"")</f>
        <v/>
      </c>
      <c r="H44" s="34">
        <f>IF($A44="","",INDEX(c_prog,$A44)&amp;"")</f>
        <v/>
      </c>
      <c r="I44" s="34">
        <f>IF($A44="","",INDEX(c_rota,$A44)&amp;"")</f>
        <v/>
      </c>
      <c r="J44" s="34">
        <f>IF($A44="","",IF(INDEX(c_pend,$A44)&amp;""&lt;&gt;"",INDEX(c_pend,$A44)&amp;"",INDEX(c_obs,$A44)&amp;""))</f>
        <v/>
      </c>
      <c r="K44" s="34">
        <f>IF($A44="","",INDEX(c_rpend,$A44)&amp;"")</f>
        <v/>
      </c>
      <c r="L44" s="33">
        <f>IF($A44="","",INDEX(c_prazo,$A44))</f>
        <v/>
      </c>
      <c r="M44" s="41">
        <f>IF($A44="","",INDEX(c_dias,$A44))</f>
        <v/>
      </c>
    </row>
    <row r="45">
      <c r="A45">
        <f>IFERROR(MATCH(LARGE(c_o_pend,38),c_o_pend,0),"")</f>
        <v/>
      </c>
      <c r="B45" s="31">
        <f>IF($A45="","",38)</f>
        <v/>
      </c>
      <c r="C45" s="32">
        <f>IF($A45="","",HYPERLINK("#'LANÇAMENTOS'!A"&amp;($A45+1),INDEX(c_id,$A45)))</f>
        <v/>
      </c>
      <c r="D45" s="33">
        <f>IF($A45="","",INDEX(c_data,$A45))</f>
        <v/>
      </c>
      <c r="E45" s="34">
        <f>IF($A45="","",INDEX(c_turno,$A45)&amp;"")</f>
        <v/>
      </c>
      <c r="F45" s="34">
        <f>IF($A45="","",INDEX(c_status,$A45)&amp;"")</f>
        <v/>
      </c>
      <c r="G45" s="34">
        <f>IF($A45="","",INDEX(c_alerta,$A45)&amp;"")</f>
        <v/>
      </c>
      <c r="H45" s="34">
        <f>IF($A45="","",INDEX(c_prog,$A45)&amp;"")</f>
        <v/>
      </c>
      <c r="I45" s="34">
        <f>IF($A45="","",INDEX(c_rota,$A45)&amp;"")</f>
        <v/>
      </c>
      <c r="J45" s="34">
        <f>IF($A45="","",IF(INDEX(c_pend,$A45)&amp;""&lt;&gt;"",INDEX(c_pend,$A45)&amp;"",INDEX(c_obs,$A45)&amp;""))</f>
        <v/>
      </c>
      <c r="K45" s="34">
        <f>IF($A45="","",INDEX(c_rpend,$A45)&amp;"")</f>
        <v/>
      </c>
      <c r="L45" s="33">
        <f>IF($A45="","",INDEX(c_prazo,$A45))</f>
        <v/>
      </c>
      <c r="M45" s="41">
        <f>IF($A45="","",INDEX(c_dias,$A45))</f>
        <v/>
      </c>
    </row>
    <row r="46">
      <c r="A46">
        <f>IFERROR(MATCH(LARGE(c_o_pend,39),c_o_pend,0),"")</f>
        <v/>
      </c>
      <c r="B46" s="31">
        <f>IF($A46="","",39)</f>
        <v/>
      </c>
      <c r="C46" s="32">
        <f>IF($A46="","",HYPERLINK("#'LANÇAMENTOS'!A"&amp;($A46+1),INDEX(c_id,$A46)))</f>
        <v/>
      </c>
      <c r="D46" s="33">
        <f>IF($A46="","",INDEX(c_data,$A46))</f>
        <v/>
      </c>
      <c r="E46" s="34">
        <f>IF($A46="","",INDEX(c_turno,$A46)&amp;"")</f>
        <v/>
      </c>
      <c r="F46" s="34">
        <f>IF($A46="","",INDEX(c_status,$A46)&amp;"")</f>
        <v/>
      </c>
      <c r="G46" s="34">
        <f>IF($A46="","",INDEX(c_alerta,$A46)&amp;"")</f>
        <v/>
      </c>
      <c r="H46" s="34">
        <f>IF($A46="","",INDEX(c_prog,$A46)&amp;"")</f>
        <v/>
      </c>
      <c r="I46" s="34">
        <f>IF($A46="","",INDEX(c_rota,$A46)&amp;"")</f>
        <v/>
      </c>
      <c r="J46" s="34">
        <f>IF($A46="","",IF(INDEX(c_pend,$A46)&amp;""&lt;&gt;"",INDEX(c_pend,$A46)&amp;"",INDEX(c_obs,$A46)&amp;""))</f>
        <v/>
      </c>
      <c r="K46" s="34">
        <f>IF($A46="","",INDEX(c_rpend,$A46)&amp;"")</f>
        <v/>
      </c>
      <c r="L46" s="33">
        <f>IF($A46="","",INDEX(c_prazo,$A46))</f>
        <v/>
      </c>
      <c r="M46" s="41">
        <f>IF($A46="","",INDEX(c_dias,$A46))</f>
        <v/>
      </c>
    </row>
    <row r="47">
      <c r="A47">
        <f>IFERROR(MATCH(LARGE(c_o_pend,40),c_o_pend,0),"")</f>
        <v/>
      </c>
      <c r="B47" s="31">
        <f>IF($A47="","",40)</f>
        <v/>
      </c>
      <c r="C47" s="32">
        <f>IF($A47="","",HYPERLINK("#'LANÇAMENTOS'!A"&amp;($A47+1),INDEX(c_id,$A47)))</f>
        <v/>
      </c>
      <c r="D47" s="33">
        <f>IF($A47="","",INDEX(c_data,$A47))</f>
        <v/>
      </c>
      <c r="E47" s="34">
        <f>IF($A47="","",INDEX(c_turno,$A47)&amp;"")</f>
        <v/>
      </c>
      <c r="F47" s="34">
        <f>IF($A47="","",INDEX(c_status,$A47)&amp;"")</f>
        <v/>
      </c>
      <c r="G47" s="34">
        <f>IF($A47="","",INDEX(c_alerta,$A47)&amp;"")</f>
        <v/>
      </c>
      <c r="H47" s="34">
        <f>IF($A47="","",INDEX(c_prog,$A47)&amp;"")</f>
        <v/>
      </c>
      <c r="I47" s="34">
        <f>IF($A47="","",INDEX(c_rota,$A47)&amp;"")</f>
        <v/>
      </c>
      <c r="J47" s="34">
        <f>IF($A47="","",IF(INDEX(c_pend,$A47)&amp;""&lt;&gt;"",INDEX(c_pend,$A47)&amp;"",INDEX(c_obs,$A47)&amp;""))</f>
        <v/>
      </c>
      <c r="K47" s="34">
        <f>IF($A47="","",INDEX(c_rpend,$A47)&amp;"")</f>
        <v/>
      </c>
      <c r="L47" s="33">
        <f>IF($A47="","",INDEX(c_prazo,$A47))</f>
        <v/>
      </c>
      <c r="M47" s="41">
        <f>IF($A47="","",INDEX(c_dias,$A47))</f>
        <v/>
      </c>
    </row>
    <row r="48">
      <c r="A48">
        <f>IFERROR(MATCH(LARGE(c_o_pend,41),c_o_pend,0),"")</f>
        <v/>
      </c>
      <c r="B48" s="31">
        <f>IF($A48="","",41)</f>
        <v/>
      </c>
      <c r="C48" s="32">
        <f>IF($A48="","",HYPERLINK("#'LANÇAMENTOS'!A"&amp;($A48+1),INDEX(c_id,$A48)))</f>
        <v/>
      </c>
      <c r="D48" s="33">
        <f>IF($A48="","",INDEX(c_data,$A48))</f>
        <v/>
      </c>
      <c r="E48" s="34">
        <f>IF($A48="","",INDEX(c_turno,$A48)&amp;"")</f>
        <v/>
      </c>
      <c r="F48" s="34">
        <f>IF($A48="","",INDEX(c_status,$A48)&amp;"")</f>
        <v/>
      </c>
      <c r="G48" s="34">
        <f>IF($A48="","",INDEX(c_alerta,$A48)&amp;"")</f>
        <v/>
      </c>
      <c r="H48" s="34">
        <f>IF($A48="","",INDEX(c_prog,$A48)&amp;"")</f>
        <v/>
      </c>
      <c r="I48" s="34">
        <f>IF($A48="","",INDEX(c_rota,$A48)&amp;"")</f>
        <v/>
      </c>
      <c r="J48" s="34">
        <f>IF($A48="","",IF(INDEX(c_pend,$A48)&amp;""&lt;&gt;"",INDEX(c_pend,$A48)&amp;"",INDEX(c_obs,$A48)&amp;""))</f>
        <v/>
      </c>
      <c r="K48" s="34">
        <f>IF($A48="","",INDEX(c_rpend,$A48)&amp;"")</f>
        <v/>
      </c>
      <c r="L48" s="33">
        <f>IF($A48="","",INDEX(c_prazo,$A48))</f>
        <v/>
      </c>
      <c r="M48" s="41">
        <f>IF($A48="","",INDEX(c_dias,$A48))</f>
        <v/>
      </c>
    </row>
    <row r="49">
      <c r="A49">
        <f>IFERROR(MATCH(LARGE(c_o_pend,42),c_o_pend,0),"")</f>
        <v/>
      </c>
      <c r="B49" s="31">
        <f>IF($A49="","",42)</f>
        <v/>
      </c>
      <c r="C49" s="32">
        <f>IF($A49="","",HYPERLINK("#'LANÇAMENTOS'!A"&amp;($A49+1),INDEX(c_id,$A49)))</f>
        <v/>
      </c>
      <c r="D49" s="33">
        <f>IF($A49="","",INDEX(c_data,$A49))</f>
        <v/>
      </c>
      <c r="E49" s="34">
        <f>IF($A49="","",INDEX(c_turno,$A49)&amp;"")</f>
        <v/>
      </c>
      <c r="F49" s="34">
        <f>IF($A49="","",INDEX(c_status,$A49)&amp;"")</f>
        <v/>
      </c>
      <c r="G49" s="34">
        <f>IF($A49="","",INDEX(c_alerta,$A49)&amp;"")</f>
        <v/>
      </c>
      <c r="H49" s="34">
        <f>IF($A49="","",INDEX(c_prog,$A49)&amp;"")</f>
        <v/>
      </c>
      <c r="I49" s="34">
        <f>IF($A49="","",INDEX(c_rota,$A49)&amp;"")</f>
        <v/>
      </c>
      <c r="J49" s="34">
        <f>IF($A49="","",IF(INDEX(c_pend,$A49)&amp;""&lt;&gt;"",INDEX(c_pend,$A49)&amp;"",INDEX(c_obs,$A49)&amp;""))</f>
        <v/>
      </c>
      <c r="K49" s="34">
        <f>IF($A49="","",INDEX(c_rpend,$A49)&amp;"")</f>
        <v/>
      </c>
      <c r="L49" s="33">
        <f>IF($A49="","",INDEX(c_prazo,$A49))</f>
        <v/>
      </c>
      <c r="M49" s="41">
        <f>IF($A49="","",INDEX(c_dias,$A49))</f>
        <v/>
      </c>
    </row>
    <row r="50">
      <c r="A50">
        <f>IFERROR(MATCH(LARGE(c_o_pend,43),c_o_pend,0),"")</f>
        <v/>
      </c>
      <c r="B50" s="31">
        <f>IF($A50="","",43)</f>
        <v/>
      </c>
      <c r="C50" s="32">
        <f>IF($A50="","",HYPERLINK("#'LANÇAMENTOS'!A"&amp;($A50+1),INDEX(c_id,$A50)))</f>
        <v/>
      </c>
      <c r="D50" s="33">
        <f>IF($A50="","",INDEX(c_data,$A50))</f>
        <v/>
      </c>
      <c r="E50" s="34">
        <f>IF($A50="","",INDEX(c_turno,$A50)&amp;"")</f>
        <v/>
      </c>
      <c r="F50" s="34">
        <f>IF($A50="","",INDEX(c_status,$A50)&amp;"")</f>
        <v/>
      </c>
      <c r="G50" s="34">
        <f>IF($A50="","",INDEX(c_alerta,$A50)&amp;"")</f>
        <v/>
      </c>
      <c r="H50" s="34">
        <f>IF($A50="","",INDEX(c_prog,$A50)&amp;"")</f>
        <v/>
      </c>
      <c r="I50" s="34">
        <f>IF($A50="","",INDEX(c_rota,$A50)&amp;"")</f>
        <v/>
      </c>
      <c r="J50" s="34">
        <f>IF($A50="","",IF(INDEX(c_pend,$A50)&amp;""&lt;&gt;"",INDEX(c_pend,$A50)&amp;"",INDEX(c_obs,$A50)&amp;""))</f>
        <v/>
      </c>
      <c r="K50" s="34">
        <f>IF($A50="","",INDEX(c_rpend,$A50)&amp;"")</f>
        <v/>
      </c>
      <c r="L50" s="33">
        <f>IF($A50="","",INDEX(c_prazo,$A50))</f>
        <v/>
      </c>
      <c r="M50" s="41">
        <f>IF($A50="","",INDEX(c_dias,$A50))</f>
        <v/>
      </c>
    </row>
    <row r="51">
      <c r="A51">
        <f>IFERROR(MATCH(LARGE(c_o_pend,44),c_o_pend,0),"")</f>
        <v/>
      </c>
      <c r="B51" s="31">
        <f>IF($A51="","",44)</f>
        <v/>
      </c>
      <c r="C51" s="32">
        <f>IF($A51="","",HYPERLINK("#'LANÇAMENTOS'!A"&amp;($A51+1),INDEX(c_id,$A51)))</f>
        <v/>
      </c>
      <c r="D51" s="33">
        <f>IF($A51="","",INDEX(c_data,$A51))</f>
        <v/>
      </c>
      <c r="E51" s="34">
        <f>IF($A51="","",INDEX(c_turno,$A51)&amp;"")</f>
        <v/>
      </c>
      <c r="F51" s="34">
        <f>IF($A51="","",INDEX(c_status,$A51)&amp;"")</f>
        <v/>
      </c>
      <c r="G51" s="34">
        <f>IF($A51="","",INDEX(c_alerta,$A51)&amp;"")</f>
        <v/>
      </c>
      <c r="H51" s="34">
        <f>IF($A51="","",INDEX(c_prog,$A51)&amp;"")</f>
        <v/>
      </c>
      <c r="I51" s="34">
        <f>IF($A51="","",INDEX(c_rota,$A51)&amp;"")</f>
        <v/>
      </c>
      <c r="J51" s="34">
        <f>IF($A51="","",IF(INDEX(c_pend,$A51)&amp;""&lt;&gt;"",INDEX(c_pend,$A51)&amp;"",INDEX(c_obs,$A51)&amp;""))</f>
        <v/>
      </c>
      <c r="K51" s="34">
        <f>IF($A51="","",INDEX(c_rpend,$A51)&amp;"")</f>
        <v/>
      </c>
      <c r="L51" s="33">
        <f>IF($A51="","",INDEX(c_prazo,$A51))</f>
        <v/>
      </c>
      <c r="M51" s="41">
        <f>IF($A51="","",INDEX(c_dias,$A51))</f>
        <v/>
      </c>
    </row>
    <row r="52">
      <c r="A52">
        <f>IFERROR(MATCH(LARGE(c_o_pend,45),c_o_pend,0),"")</f>
        <v/>
      </c>
      <c r="B52" s="31">
        <f>IF($A52="","",45)</f>
        <v/>
      </c>
      <c r="C52" s="32">
        <f>IF($A52="","",HYPERLINK("#'LANÇAMENTOS'!A"&amp;($A52+1),INDEX(c_id,$A52)))</f>
        <v/>
      </c>
      <c r="D52" s="33">
        <f>IF($A52="","",INDEX(c_data,$A52))</f>
        <v/>
      </c>
      <c r="E52" s="34">
        <f>IF($A52="","",INDEX(c_turno,$A52)&amp;"")</f>
        <v/>
      </c>
      <c r="F52" s="34">
        <f>IF($A52="","",INDEX(c_status,$A52)&amp;"")</f>
        <v/>
      </c>
      <c r="G52" s="34">
        <f>IF($A52="","",INDEX(c_alerta,$A52)&amp;"")</f>
        <v/>
      </c>
      <c r="H52" s="34">
        <f>IF($A52="","",INDEX(c_prog,$A52)&amp;"")</f>
        <v/>
      </c>
      <c r="I52" s="34">
        <f>IF($A52="","",INDEX(c_rota,$A52)&amp;"")</f>
        <v/>
      </c>
      <c r="J52" s="34">
        <f>IF($A52="","",IF(INDEX(c_pend,$A52)&amp;""&lt;&gt;"",INDEX(c_pend,$A52)&amp;"",INDEX(c_obs,$A52)&amp;""))</f>
        <v/>
      </c>
      <c r="K52" s="34">
        <f>IF($A52="","",INDEX(c_rpend,$A52)&amp;"")</f>
        <v/>
      </c>
      <c r="L52" s="33">
        <f>IF($A52="","",INDEX(c_prazo,$A52))</f>
        <v/>
      </c>
      <c r="M52" s="41">
        <f>IF($A52="","",INDEX(c_dias,$A52))</f>
        <v/>
      </c>
    </row>
    <row r="53">
      <c r="A53">
        <f>IFERROR(MATCH(LARGE(c_o_pend,46),c_o_pend,0),"")</f>
        <v/>
      </c>
      <c r="B53" s="31">
        <f>IF($A53="","",46)</f>
        <v/>
      </c>
      <c r="C53" s="32">
        <f>IF($A53="","",HYPERLINK("#'LANÇAMENTOS'!A"&amp;($A53+1),INDEX(c_id,$A53)))</f>
        <v/>
      </c>
      <c r="D53" s="33">
        <f>IF($A53="","",INDEX(c_data,$A53))</f>
        <v/>
      </c>
      <c r="E53" s="34">
        <f>IF($A53="","",INDEX(c_turno,$A53)&amp;"")</f>
        <v/>
      </c>
      <c r="F53" s="34">
        <f>IF($A53="","",INDEX(c_status,$A53)&amp;"")</f>
        <v/>
      </c>
      <c r="G53" s="34">
        <f>IF($A53="","",INDEX(c_alerta,$A53)&amp;"")</f>
        <v/>
      </c>
      <c r="H53" s="34">
        <f>IF($A53="","",INDEX(c_prog,$A53)&amp;"")</f>
        <v/>
      </c>
      <c r="I53" s="34">
        <f>IF($A53="","",INDEX(c_rota,$A53)&amp;"")</f>
        <v/>
      </c>
      <c r="J53" s="34">
        <f>IF($A53="","",IF(INDEX(c_pend,$A53)&amp;""&lt;&gt;"",INDEX(c_pend,$A53)&amp;"",INDEX(c_obs,$A53)&amp;""))</f>
        <v/>
      </c>
      <c r="K53" s="34">
        <f>IF($A53="","",INDEX(c_rpend,$A53)&amp;"")</f>
        <v/>
      </c>
      <c r="L53" s="33">
        <f>IF($A53="","",INDEX(c_prazo,$A53))</f>
        <v/>
      </c>
      <c r="M53" s="41">
        <f>IF($A53="","",INDEX(c_dias,$A53))</f>
        <v/>
      </c>
    </row>
    <row r="54">
      <c r="A54">
        <f>IFERROR(MATCH(LARGE(c_o_pend,47),c_o_pend,0),"")</f>
        <v/>
      </c>
      <c r="B54" s="31">
        <f>IF($A54="","",47)</f>
        <v/>
      </c>
      <c r="C54" s="32">
        <f>IF($A54="","",HYPERLINK("#'LANÇAMENTOS'!A"&amp;($A54+1),INDEX(c_id,$A54)))</f>
        <v/>
      </c>
      <c r="D54" s="33">
        <f>IF($A54="","",INDEX(c_data,$A54))</f>
        <v/>
      </c>
      <c r="E54" s="34">
        <f>IF($A54="","",INDEX(c_turno,$A54)&amp;"")</f>
        <v/>
      </c>
      <c r="F54" s="34">
        <f>IF($A54="","",INDEX(c_status,$A54)&amp;"")</f>
        <v/>
      </c>
      <c r="G54" s="34">
        <f>IF($A54="","",INDEX(c_alerta,$A54)&amp;"")</f>
        <v/>
      </c>
      <c r="H54" s="34">
        <f>IF($A54="","",INDEX(c_prog,$A54)&amp;"")</f>
        <v/>
      </c>
      <c r="I54" s="34">
        <f>IF($A54="","",INDEX(c_rota,$A54)&amp;"")</f>
        <v/>
      </c>
      <c r="J54" s="34">
        <f>IF($A54="","",IF(INDEX(c_pend,$A54)&amp;""&lt;&gt;"",INDEX(c_pend,$A54)&amp;"",INDEX(c_obs,$A54)&amp;""))</f>
        <v/>
      </c>
      <c r="K54" s="34">
        <f>IF($A54="","",INDEX(c_rpend,$A54)&amp;"")</f>
        <v/>
      </c>
      <c r="L54" s="33">
        <f>IF($A54="","",INDEX(c_prazo,$A54))</f>
        <v/>
      </c>
      <c r="M54" s="41">
        <f>IF($A54="","",INDEX(c_dias,$A54))</f>
        <v/>
      </c>
    </row>
    <row r="55">
      <c r="A55">
        <f>IFERROR(MATCH(LARGE(c_o_pend,48),c_o_pend,0),"")</f>
        <v/>
      </c>
      <c r="B55" s="31">
        <f>IF($A55="","",48)</f>
        <v/>
      </c>
      <c r="C55" s="32">
        <f>IF($A55="","",HYPERLINK("#'LANÇAMENTOS'!A"&amp;($A55+1),INDEX(c_id,$A55)))</f>
        <v/>
      </c>
      <c r="D55" s="33">
        <f>IF($A55="","",INDEX(c_data,$A55))</f>
        <v/>
      </c>
      <c r="E55" s="34">
        <f>IF($A55="","",INDEX(c_turno,$A55)&amp;"")</f>
        <v/>
      </c>
      <c r="F55" s="34">
        <f>IF($A55="","",INDEX(c_status,$A55)&amp;"")</f>
        <v/>
      </c>
      <c r="G55" s="34">
        <f>IF($A55="","",INDEX(c_alerta,$A55)&amp;"")</f>
        <v/>
      </c>
      <c r="H55" s="34">
        <f>IF($A55="","",INDEX(c_prog,$A55)&amp;"")</f>
        <v/>
      </c>
      <c r="I55" s="34">
        <f>IF($A55="","",INDEX(c_rota,$A55)&amp;"")</f>
        <v/>
      </c>
      <c r="J55" s="34">
        <f>IF($A55="","",IF(INDEX(c_pend,$A55)&amp;""&lt;&gt;"",INDEX(c_pend,$A55)&amp;"",INDEX(c_obs,$A55)&amp;""))</f>
        <v/>
      </c>
      <c r="K55" s="34">
        <f>IF($A55="","",INDEX(c_rpend,$A55)&amp;"")</f>
        <v/>
      </c>
      <c r="L55" s="33">
        <f>IF($A55="","",INDEX(c_prazo,$A55))</f>
        <v/>
      </c>
      <c r="M55" s="41">
        <f>IF($A55="","",INDEX(c_dias,$A55))</f>
        <v/>
      </c>
    </row>
    <row r="56">
      <c r="A56">
        <f>IFERROR(MATCH(LARGE(c_o_pend,49),c_o_pend,0),"")</f>
        <v/>
      </c>
      <c r="B56" s="31">
        <f>IF($A56="","",49)</f>
        <v/>
      </c>
      <c r="C56" s="32">
        <f>IF($A56="","",HYPERLINK("#'LANÇAMENTOS'!A"&amp;($A56+1),INDEX(c_id,$A56)))</f>
        <v/>
      </c>
      <c r="D56" s="33">
        <f>IF($A56="","",INDEX(c_data,$A56))</f>
        <v/>
      </c>
      <c r="E56" s="34">
        <f>IF($A56="","",INDEX(c_turno,$A56)&amp;"")</f>
        <v/>
      </c>
      <c r="F56" s="34">
        <f>IF($A56="","",INDEX(c_status,$A56)&amp;"")</f>
        <v/>
      </c>
      <c r="G56" s="34">
        <f>IF($A56="","",INDEX(c_alerta,$A56)&amp;"")</f>
        <v/>
      </c>
      <c r="H56" s="34">
        <f>IF($A56="","",INDEX(c_prog,$A56)&amp;"")</f>
        <v/>
      </c>
      <c r="I56" s="34">
        <f>IF($A56="","",INDEX(c_rota,$A56)&amp;"")</f>
        <v/>
      </c>
      <c r="J56" s="34">
        <f>IF($A56="","",IF(INDEX(c_pend,$A56)&amp;""&lt;&gt;"",INDEX(c_pend,$A56)&amp;"",INDEX(c_obs,$A56)&amp;""))</f>
        <v/>
      </c>
      <c r="K56" s="34">
        <f>IF($A56="","",INDEX(c_rpend,$A56)&amp;"")</f>
        <v/>
      </c>
      <c r="L56" s="33">
        <f>IF($A56="","",INDEX(c_prazo,$A56))</f>
        <v/>
      </c>
      <c r="M56" s="41">
        <f>IF($A56="","",INDEX(c_dias,$A56))</f>
        <v/>
      </c>
    </row>
    <row r="57">
      <c r="A57">
        <f>IFERROR(MATCH(LARGE(c_o_pend,50),c_o_pend,0),"")</f>
        <v/>
      </c>
      <c r="B57" s="31">
        <f>IF($A57="","",50)</f>
        <v/>
      </c>
      <c r="C57" s="32">
        <f>IF($A57="","",HYPERLINK("#'LANÇAMENTOS'!A"&amp;($A57+1),INDEX(c_id,$A57)))</f>
        <v/>
      </c>
      <c r="D57" s="33">
        <f>IF($A57="","",INDEX(c_data,$A57))</f>
        <v/>
      </c>
      <c r="E57" s="34">
        <f>IF($A57="","",INDEX(c_turno,$A57)&amp;"")</f>
        <v/>
      </c>
      <c r="F57" s="34">
        <f>IF($A57="","",INDEX(c_status,$A57)&amp;"")</f>
        <v/>
      </c>
      <c r="G57" s="34">
        <f>IF($A57="","",INDEX(c_alerta,$A57)&amp;"")</f>
        <v/>
      </c>
      <c r="H57" s="34">
        <f>IF($A57="","",INDEX(c_prog,$A57)&amp;"")</f>
        <v/>
      </c>
      <c r="I57" s="34">
        <f>IF($A57="","",INDEX(c_rota,$A57)&amp;"")</f>
        <v/>
      </c>
      <c r="J57" s="34">
        <f>IF($A57="","",IF(INDEX(c_pend,$A57)&amp;""&lt;&gt;"",INDEX(c_pend,$A57)&amp;"",INDEX(c_obs,$A57)&amp;""))</f>
        <v/>
      </c>
      <c r="K57" s="34">
        <f>IF($A57="","",INDEX(c_rpend,$A57)&amp;"")</f>
        <v/>
      </c>
      <c r="L57" s="33">
        <f>IF($A57="","",INDEX(c_prazo,$A57))</f>
        <v/>
      </c>
      <c r="M57" s="41">
        <f>IF($A57="","",INDEX(c_dias,$A57))</f>
        <v/>
      </c>
    </row>
    <row r="58">
      <c r="A58">
        <f>IFERROR(MATCH(LARGE(c_o_pend,51),c_o_pend,0),"")</f>
        <v/>
      </c>
      <c r="B58" s="31">
        <f>IF($A58="","",51)</f>
        <v/>
      </c>
      <c r="C58" s="32">
        <f>IF($A58="","",HYPERLINK("#'LANÇAMENTOS'!A"&amp;($A58+1),INDEX(c_id,$A58)))</f>
        <v/>
      </c>
      <c r="D58" s="33">
        <f>IF($A58="","",INDEX(c_data,$A58))</f>
        <v/>
      </c>
      <c r="E58" s="34">
        <f>IF($A58="","",INDEX(c_turno,$A58)&amp;"")</f>
        <v/>
      </c>
      <c r="F58" s="34">
        <f>IF($A58="","",INDEX(c_status,$A58)&amp;"")</f>
        <v/>
      </c>
      <c r="G58" s="34">
        <f>IF($A58="","",INDEX(c_alerta,$A58)&amp;"")</f>
        <v/>
      </c>
      <c r="H58" s="34">
        <f>IF($A58="","",INDEX(c_prog,$A58)&amp;"")</f>
        <v/>
      </c>
      <c r="I58" s="34">
        <f>IF($A58="","",INDEX(c_rota,$A58)&amp;"")</f>
        <v/>
      </c>
      <c r="J58" s="34">
        <f>IF($A58="","",IF(INDEX(c_pend,$A58)&amp;""&lt;&gt;"",INDEX(c_pend,$A58)&amp;"",INDEX(c_obs,$A58)&amp;""))</f>
        <v/>
      </c>
      <c r="K58" s="34">
        <f>IF($A58="","",INDEX(c_rpend,$A58)&amp;"")</f>
        <v/>
      </c>
      <c r="L58" s="33">
        <f>IF($A58="","",INDEX(c_prazo,$A58))</f>
        <v/>
      </c>
      <c r="M58" s="41">
        <f>IF($A58="","",INDEX(c_dias,$A58))</f>
        <v/>
      </c>
    </row>
    <row r="59">
      <c r="A59">
        <f>IFERROR(MATCH(LARGE(c_o_pend,52),c_o_pend,0),"")</f>
        <v/>
      </c>
      <c r="B59" s="31">
        <f>IF($A59="","",52)</f>
        <v/>
      </c>
      <c r="C59" s="32">
        <f>IF($A59="","",HYPERLINK("#'LANÇAMENTOS'!A"&amp;($A59+1),INDEX(c_id,$A59)))</f>
        <v/>
      </c>
      <c r="D59" s="33">
        <f>IF($A59="","",INDEX(c_data,$A59))</f>
        <v/>
      </c>
      <c r="E59" s="34">
        <f>IF($A59="","",INDEX(c_turno,$A59)&amp;"")</f>
        <v/>
      </c>
      <c r="F59" s="34">
        <f>IF($A59="","",INDEX(c_status,$A59)&amp;"")</f>
        <v/>
      </c>
      <c r="G59" s="34">
        <f>IF($A59="","",INDEX(c_alerta,$A59)&amp;"")</f>
        <v/>
      </c>
      <c r="H59" s="34">
        <f>IF($A59="","",INDEX(c_prog,$A59)&amp;"")</f>
        <v/>
      </c>
      <c r="I59" s="34">
        <f>IF($A59="","",INDEX(c_rota,$A59)&amp;"")</f>
        <v/>
      </c>
      <c r="J59" s="34">
        <f>IF($A59="","",IF(INDEX(c_pend,$A59)&amp;""&lt;&gt;"",INDEX(c_pend,$A59)&amp;"",INDEX(c_obs,$A59)&amp;""))</f>
        <v/>
      </c>
      <c r="K59" s="34">
        <f>IF($A59="","",INDEX(c_rpend,$A59)&amp;"")</f>
        <v/>
      </c>
      <c r="L59" s="33">
        <f>IF($A59="","",INDEX(c_prazo,$A59))</f>
        <v/>
      </c>
      <c r="M59" s="41">
        <f>IF($A59="","",INDEX(c_dias,$A59))</f>
        <v/>
      </c>
    </row>
    <row r="60">
      <c r="A60">
        <f>IFERROR(MATCH(LARGE(c_o_pend,53),c_o_pend,0),"")</f>
        <v/>
      </c>
      <c r="B60" s="31">
        <f>IF($A60="","",53)</f>
        <v/>
      </c>
      <c r="C60" s="32">
        <f>IF($A60="","",HYPERLINK("#'LANÇAMENTOS'!A"&amp;($A60+1),INDEX(c_id,$A60)))</f>
        <v/>
      </c>
      <c r="D60" s="33">
        <f>IF($A60="","",INDEX(c_data,$A60))</f>
        <v/>
      </c>
      <c r="E60" s="34">
        <f>IF($A60="","",INDEX(c_turno,$A60)&amp;"")</f>
        <v/>
      </c>
      <c r="F60" s="34">
        <f>IF($A60="","",INDEX(c_status,$A60)&amp;"")</f>
        <v/>
      </c>
      <c r="G60" s="34">
        <f>IF($A60="","",INDEX(c_alerta,$A60)&amp;"")</f>
        <v/>
      </c>
      <c r="H60" s="34">
        <f>IF($A60="","",INDEX(c_prog,$A60)&amp;"")</f>
        <v/>
      </c>
      <c r="I60" s="34">
        <f>IF($A60="","",INDEX(c_rota,$A60)&amp;"")</f>
        <v/>
      </c>
      <c r="J60" s="34">
        <f>IF($A60="","",IF(INDEX(c_pend,$A60)&amp;""&lt;&gt;"",INDEX(c_pend,$A60)&amp;"",INDEX(c_obs,$A60)&amp;""))</f>
        <v/>
      </c>
      <c r="K60" s="34">
        <f>IF($A60="","",INDEX(c_rpend,$A60)&amp;"")</f>
        <v/>
      </c>
      <c r="L60" s="33">
        <f>IF($A60="","",INDEX(c_prazo,$A60))</f>
        <v/>
      </c>
      <c r="M60" s="41">
        <f>IF($A60="","",INDEX(c_dias,$A60))</f>
        <v/>
      </c>
    </row>
    <row r="61">
      <c r="A61">
        <f>IFERROR(MATCH(LARGE(c_o_pend,54),c_o_pend,0),"")</f>
        <v/>
      </c>
      <c r="B61" s="31">
        <f>IF($A61="","",54)</f>
        <v/>
      </c>
      <c r="C61" s="32">
        <f>IF($A61="","",HYPERLINK("#'LANÇAMENTOS'!A"&amp;($A61+1),INDEX(c_id,$A61)))</f>
        <v/>
      </c>
      <c r="D61" s="33">
        <f>IF($A61="","",INDEX(c_data,$A61))</f>
        <v/>
      </c>
      <c r="E61" s="34">
        <f>IF($A61="","",INDEX(c_turno,$A61)&amp;"")</f>
        <v/>
      </c>
      <c r="F61" s="34">
        <f>IF($A61="","",INDEX(c_status,$A61)&amp;"")</f>
        <v/>
      </c>
      <c r="G61" s="34">
        <f>IF($A61="","",INDEX(c_alerta,$A61)&amp;"")</f>
        <v/>
      </c>
      <c r="H61" s="34">
        <f>IF($A61="","",INDEX(c_prog,$A61)&amp;"")</f>
        <v/>
      </c>
      <c r="I61" s="34">
        <f>IF($A61="","",INDEX(c_rota,$A61)&amp;"")</f>
        <v/>
      </c>
      <c r="J61" s="34">
        <f>IF($A61="","",IF(INDEX(c_pend,$A61)&amp;""&lt;&gt;"",INDEX(c_pend,$A61)&amp;"",INDEX(c_obs,$A61)&amp;""))</f>
        <v/>
      </c>
      <c r="K61" s="34">
        <f>IF($A61="","",INDEX(c_rpend,$A61)&amp;"")</f>
        <v/>
      </c>
      <c r="L61" s="33">
        <f>IF($A61="","",INDEX(c_prazo,$A61))</f>
        <v/>
      </c>
      <c r="M61" s="41">
        <f>IF($A61="","",INDEX(c_dias,$A61))</f>
        <v/>
      </c>
    </row>
    <row r="62">
      <c r="A62">
        <f>IFERROR(MATCH(LARGE(c_o_pend,55),c_o_pend,0),"")</f>
        <v/>
      </c>
      <c r="B62" s="31">
        <f>IF($A62="","",55)</f>
        <v/>
      </c>
      <c r="C62" s="32">
        <f>IF($A62="","",HYPERLINK("#'LANÇAMENTOS'!A"&amp;($A62+1),INDEX(c_id,$A62)))</f>
        <v/>
      </c>
      <c r="D62" s="33">
        <f>IF($A62="","",INDEX(c_data,$A62))</f>
        <v/>
      </c>
      <c r="E62" s="34">
        <f>IF($A62="","",INDEX(c_turno,$A62)&amp;"")</f>
        <v/>
      </c>
      <c r="F62" s="34">
        <f>IF($A62="","",INDEX(c_status,$A62)&amp;"")</f>
        <v/>
      </c>
      <c r="G62" s="34">
        <f>IF($A62="","",INDEX(c_alerta,$A62)&amp;"")</f>
        <v/>
      </c>
      <c r="H62" s="34">
        <f>IF($A62="","",INDEX(c_prog,$A62)&amp;"")</f>
        <v/>
      </c>
      <c r="I62" s="34">
        <f>IF($A62="","",INDEX(c_rota,$A62)&amp;"")</f>
        <v/>
      </c>
      <c r="J62" s="34">
        <f>IF($A62="","",IF(INDEX(c_pend,$A62)&amp;""&lt;&gt;"",INDEX(c_pend,$A62)&amp;"",INDEX(c_obs,$A62)&amp;""))</f>
        <v/>
      </c>
      <c r="K62" s="34">
        <f>IF($A62="","",INDEX(c_rpend,$A62)&amp;"")</f>
        <v/>
      </c>
      <c r="L62" s="33">
        <f>IF($A62="","",INDEX(c_prazo,$A62))</f>
        <v/>
      </c>
      <c r="M62" s="41">
        <f>IF($A62="","",INDEX(c_dias,$A62))</f>
        <v/>
      </c>
    </row>
    <row r="63">
      <c r="A63">
        <f>IFERROR(MATCH(LARGE(c_o_pend,56),c_o_pend,0),"")</f>
        <v/>
      </c>
      <c r="B63" s="31">
        <f>IF($A63="","",56)</f>
        <v/>
      </c>
      <c r="C63" s="32">
        <f>IF($A63="","",HYPERLINK("#'LANÇAMENTOS'!A"&amp;($A63+1),INDEX(c_id,$A63)))</f>
        <v/>
      </c>
      <c r="D63" s="33">
        <f>IF($A63="","",INDEX(c_data,$A63))</f>
        <v/>
      </c>
      <c r="E63" s="34">
        <f>IF($A63="","",INDEX(c_turno,$A63)&amp;"")</f>
        <v/>
      </c>
      <c r="F63" s="34">
        <f>IF($A63="","",INDEX(c_status,$A63)&amp;"")</f>
        <v/>
      </c>
      <c r="G63" s="34">
        <f>IF($A63="","",INDEX(c_alerta,$A63)&amp;"")</f>
        <v/>
      </c>
      <c r="H63" s="34">
        <f>IF($A63="","",INDEX(c_prog,$A63)&amp;"")</f>
        <v/>
      </c>
      <c r="I63" s="34">
        <f>IF($A63="","",INDEX(c_rota,$A63)&amp;"")</f>
        <v/>
      </c>
      <c r="J63" s="34">
        <f>IF($A63="","",IF(INDEX(c_pend,$A63)&amp;""&lt;&gt;"",INDEX(c_pend,$A63)&amp;"",INDEX(c_obs,$A63)&amp;""))</f>
        <v/>
      </c>
      <c r="K63" s="34">
        <f>IF($A63="","",INDEX(c_rpend,$A63)&amp;"")</f>
        <v/>
      </c>
      <c r="L63" s="33">
        <f>IF($A63="","",INDEX(c_prazo,$A63))</f>
        <v/>
      </c>
      <c r="M63" s="41">
        <f>IF($A63="","",INDEX(c_dias,$A63))</f>
        <v/>
      </c>
    </row>
    <row r="64">
      <c r="A64">
        <f>IFERROR(MATCH(LARGE(c_o_pend,57),c_o_pend,0),"")</f>
        <v/>
      </c>
      <c r="B64" s="31">
        <f>IF($A64="","",57)</f>
        <v/>
      </c>
      <c r="C64" s="32">
        <f>IF($A64="","",HYPERLINK("#'LANÇAMENTOS'!A"&amp;($A64+1),INDEX(c_id,$A64)))</f>
        <v/>
      </c>
      <c r="D64" s="33">
        <f>IF($A64="","",INDEX(c_data,$A64))</f>
        <v/>
      </c>
      <c r="E64" s="34">
        <f>IF($A64="","",INDEX(c_turno,$A64)&amp;"")</f>
        <v/>
      </c>
      <c r="F64" s="34">
        <f>IF($A64="","",INDEX(c_status,$A64)&amp;"")</f>
        <v/>
      </c>
      <c r="G64" s="34">
        <f>IF($A64="","",INDEX(c_alerta,$A64)&amp;"")</f>
        <v/>
      </c>
      <c r="H64" s="34">
        <f>IF($A64="","",INDEX(c_prog,$A64)&amp;"")</f>
        <v/>
      </c>
      <c r="I64" s="34">
        <f>IF($A64="","",INDEX(c_rota,$A64)&amp;"")</f>
        <v/>
      </c>
      <c r="J64" s="34">
        <f>IF($A64="","",IF(INDEX(c_pend,$A64)&amp;""&lt;&gt;"",INDEX(c_pend,$A64)&amp;"",INDEX(c_obs,$A64)&amp;""))</f>
        <v/>
      </c>
      <c r="K64" s="34">
        <f>IF($A64="","",INDEX(c_rpend,$A64)&amp;"")</f>
        <v/>
      </c>
      <c r="L64" s="33">
        <f>IF($A64="","",INDEX(c_prazo,$A64))</f>
        <v/>
      </c>
      <c r="M64" s="41">
        <f>IF($A64="","",INDEX(c_dias,$A64))</f>
        <v/>
      </c>
    </row>
    <row r="65">
      <c r="A65">
        <f>IFERROR(MATCH(LARGE(c_o_pend,58),c_o_pend,0),"")</f>
        <v/>
      </c>
      <c r="B65" s="31">
        <f>IF($A65="","",58)</f>
        <v/>
      </c>
      <c r="C65" s="32">
        <f>IF($A65="","",HYPERLINK("#'LANÇAMENTOS'!A"&amp;($A65+1),INDEX(c_id,$A65)))</f>
        <v/>
      </c>
      <c r="D65" s="33">
        <f>IF($A65="","",INDEX(c_data,$A65))</f>
        <v/>
      </c>
      <c r="E65" s="34">
        <f>IF($A65="","",INDEX(c_turno,$A65)&amp;"")</f>
        <v/>
      </c>
      <c r="F65" s="34">
        <f>IF($A65="","",INDEX(c_status,$A65)&amp;"")</f>
        <v/>
      </c>
      <c r="G65" s="34">
        <f>IF($A65="","",INDEX(c_alerta,$A65)&amp;"")</f>
        <v/>
      </c>
      <c r="H65" s="34">
        <f>IF($A65="","",INDEX(c_prog,$A65)&amp;"")</f>
        <v/>
      </c>
      <c r="I65" s="34">
        <f>IF($A65="","",INDEX(c_rota,$A65)&amp;"")</f>
        <v/>
      </c>
      <c r="J65" s="34">
        <f>IF($A65="","",IF(INDEX(c_pend,$A65)&amp;""&lt;&gt;"",INDEX(c_pend,$A65)&amp;"",INDEX(c_obs,$A65)&amp;""))</f>
        <v/>
      </c>
      <c r="K65" s="34">
        <f>IF($A65="","",INDEX(c_rpend,$A65)&amp;"")</f>
        <v/>
      </c>
      <c r="L65" s="33">
        <f>IF($A65="","",INDEX(c_prazo,$A65))</f>
        <v/>
      </c>
      <c r="M65" s="41">
        <f>IF($A65="","",INDEX(c_dias,$A65))</f>
        <v/>
      </c>
    </row>
    <row r="66">
      <c r="A66">
        <f>IFERROR(MATCH(LARGE(c_o_pend,59),c_o_pend,0),"")</f>
        <v/>
      </c>
      <c r="B66" s="31">
        <f>IF($A66="","",59)</f>
        <v/>
      </c>
      <c r="C66" s="32">
        <f>IF($A66="","",HYPERLINK("#'LANÇAMENTOS'!A"&amp;($A66+1),INDEX(c_id,$A66)))</f>
        <v/>
      </c>
      <c r="D66" s="33">
        <f>IF($A66="","",INDEX(c_data,$A66))</f>
        <v/>
      </c>
      <c r="E66" s="34">
        <f>IF($A66="","",INDEX(c_turno,$A66)&amp;"")</f>
        <v/>
      </c>
      <c r="F66" s="34">
        <f>IF($A66="","",INDEX(c_status,$A66)&amp;"")</f>
        <v/>
      </c>
      <c r="G66" s="34">
        <f>IF($A66="","",INDEX(c_alerta,$A66)&amp;"")</f>
        <v/>
      </c>
      <c r="H66" s="34">
        <f>IF($A66="","",INDEX(c_prog,$A66)&amp;"")</f>
        <v/>
      </c>
      <c r="I66" s="34">
        <f>IF($A66="","",INDEX(c_rota,$A66)&amp;"")</f>
        <v/>
      </c>
      <c r="J66" s="34">
        <f>IF($A66="","",IF(INDEX(c_pend,$A66)&amp;""&lt;&gt;"",INDEX(c_pend,$A66)&amp;"",INDEX(c_obs,$A66)&amp;""))</f>
        <v/>
      </c>
      <c r="K66" s="34">
        <f>IF($A66="","",INDEX(c_rpend,$A66)&amp;"")</f>
        <v/>
      </c>
      <c r="L66" s="33">
        <f>IF($A66="","",INDEX(c_prazo,$A66))</f>
        <v/>
      </c>
      <c r="M66" s="41">
        <f>IF($A66="","",INDEX(c_dias,$A66))</f>
        <v/>
      </c>
    </row>
    <row r="67">
      <c r="A67">
        <f>IFERROR(MATCH(LARGE(c_o_pend,60),c_o_pend,0),"")</f>
        <v/>
      </c>
      <c r="B67" s="31">
        <f>IF($A67="","",60)</f>
        <v/>
      </c>
      <c r="C67" s="32">
        <f>IF($A67="","",HYPERLINK("#'LANÇAMENTOS'!A"&amp;($A67+1),INDEX(c_id,$A67)))</f>
        <v/>
      </c>
      <c r="D67" s="33">
        <f>IF($A67="","",INDEX(c_data,$A67))</f>
        <v/>
      </c>
      <c r="E67" s="34">
        <f>IF($A67="","",INDEX(c_turno,$A67)&amp;"")</f>
        <v/>
      </c>
      <c r="F67" s="34">
        <f>IF($A67="","",INDEX(c_status,$A67)&amp;"")</f>
        <v/>
      </c>
      <c r="G67" s="34">
        <f>IF($A67="","",INDEX(c_alerta,$A67)&amp;"")</f>
        <v/>
      </c>
      <c r="H67" s="34">
        <f>IF($A67="","",INDEX(c_prog,$A67)&amp;"")</f>
        <v/>
      </c>
      <c r="I67" s="34">
        <f>IF($A67="","",INDEX(c_rota,$A67)&amp;"")</f>
        <v/>
      </c>
      <c r="J67" s="34">
        <f>IF($A67="","",IF(INDEX(c_pend,$A67)&amp;""&lt;&gt;"",INDEX(c_pend,$A67)&amp;"",INDEX(c_obs,$A67)&amp;""))</f>
        <v/>
      </c>
      <c r="K67" s="34">
        <f>IF($A67="","",INDEX(c_rpend,$A67)&amp;"")</f>
        <v/>
      </c>
      <c r="L67" s="33">
        <f>IF($A67="","",INDEX(c_prazo,$A67))</f>
        <v/>
      </c>
      <c r="M67" s="41">
        <f>IF($A67="","",INDEX(c_dias,$A67))</f>
        <v/>
      </c>
    </row>
    <row r="68">
      <c r="A68">
        <f>IFERROR(MATCH(LARGE(c_o_pend,61),c_o_pend,0),"")</f>
        <v/>
      </c>
      <c r="B68" s="31">
        <f>IF($A68="","",61)</f>
        <v/>
      </c>
      <c r="C68" s="32">
        <f>IF($A68="","",HYPERLINK("#'LANÇAMENTOS'!A"&amp;($A68+1),INDEX(c_id,$A68)))</f>
        <v/>
      </c>
      <c r="D68" s="33">
        <f>IF($A68="","",INDEX(c_data,$A68))</f>
        <v/>
      </c>
      <c r="E68" s="34">
        <f>IF($A68="","",INDEX(c_turno,$A68)&amp;"")</f>
        <v/>
      </c>
      <c r="F68" s="34">
        <f>IF($A68="","",INDEX(c_status,$A68)&amp;"")</f>
        <v/>
      </c>
      <c r="G68" s="34">
        <f>IF($A68="","",INDEX(c_alerta,$A68)&amp;"")</f>
        <v/>
      </c>
      <c r="H68" s="34">
        <f>IF($A68="","",INDEX(c_prog,$A68)&amp;"")</f>
        <v/>
      </c>
      <c r="I68" s="34">
        <f>IF($A68="","",INDEX(c_rota,$A68)&amp;"")</f>
        <v/>
      </c>
      <c r="J68" s="34">
        <f>IF($A68="","",IF(INDEX(c_pend,$A68)&amp;""&lt;&gt;"",INDEX(c_pend,$A68)&amp;"",INDEX(c_obs,$A68)&amp;""))</f>
        <v/>
      </c>
      <c r="K68" s="34">
        <f>IF($A68="","",INDEX(c_rpend,$A68)&amp;"")</f>
        <v/>
      </c>
      <c r="L68" s="33">
        <f>IF($A68="","",INDEX(c_prazo,$A68))</f>
        <v/>
      </c>
      <c r="M68" s="41">
        <f>IF($A68="","",INDEX(c_dias,$A68))</f>
        <v/>
      </c>
    </row>
    <row r="69">
      <c r="A69">
        <f>IFERROR(MATCH(LARGE(c_o_pend,62),c_o_pend,0),"")</f>
        <v/>
      </c>
      <c r="B69" s="31">
        <f>IF($A69="","",62)</f>
        <v/>
      </c>
      <c r="C69" s="32">
        <f>IF($A69="","",HYPERLINK("#'LANÇAMENTOS'!A"&amp;($A69+1),INDEX(c_id,$A69)))</f>
        <v/>
      </c>
      <c r="D69" s="33">
        <f>IF($A69="","",INDEX(c_data,$A69))</f>
        <v/>
      </c>
      <c r="E69" s="34">
        <f>IF($A69="","",INDEX(c_turno,$A69)&amp;"")</f>
        <v/>
      </c>
      <c r="F69" s="34">
        <f>IF($A69="","",INDEX(c_status,$A69)&amp;"")</f>
        <v/>
      </c>
      <c r="G69" s="34">
        <f>IF($A69="","",INDEX(c_alerta,$A69)&amp;"")</f>
        <v/>
      </c>
      <c r="H69" s="34">
        <f>IF($A69="","",INDEX(c_prog,$A69)&amp;"")</f>
        <v/>
      </c>
      <c r="I69" s="34">
        <f>IF($A69="","",INDEX(c_rota,$A69)&amp;"")</f>
        <v/>
      </c>
      <c r="J69" s="34">
        <f>IF($A69="","",IF(INDEX(c_pend,$A69)&amp;""&lt;&gt;"",INDEX(c_pend,$A69)&amp;"",INDEX(c_obs,$A69)&amp;""))</f>
        <v/>
      </c>
      <c r="K69" s="34">
        <f>IF($A69="","",INDEX(c_rpend,$A69)&amp;"")</f>
        <v/>
      </c>
      <c r="L69" s="33">
        <f>IF($A69="","",INDEX(c_prazo,$A69))</f>
        <v/>
      </c>
      <c r="M69" s="41">
        <f>IF($A69="","",INDEX(c_dias,$A69))</f>
        <v/>
      </c>
    </row>
    <row r="70">
      <c r="A70">
        <f>IFERROR(MATCH(LARGE(c_o_pend,63),c_o_pend,0),"")</f>
        <v/>
      </c>
      <c r="B70" s="31">
        <f>IF($A70="","",63)</f>
        <v/>
      </c>
      <c r="C70" s="32">
        <f>IF($A70="","",HYPERLINK("#'LANÇAMENTOS'!A"&amp;($A70+1),INDEX(c_id,$A70)))</f>
        <v/>
      </c>
      <c r="D70" s="33">
        <f>IF($A70="","",INDEX(c_data,$A70))</f>
        <v/>
      </c>
      <c r="E70" s="34">
        <f>IF($A70="","",INDEX(c_turno,$A70)&amp;"")</f>
        <v/>
      </c>
      <c r="F70" s="34">
        <f>IF($A70="","",INDEX(c_status,$A70)&amp;"")</f>
        <v/>
      </c>
      <c r="G70" s="34">
        <f>IF($A70="","",INDEX(c_alerta,$A70)&amp;"")</f>
        <v/>
      </c>
      <c r="H70" s="34">
        <f>IF($A70="","",INDEX(c_prog,$A70)&amp;"")</f>
        <v/>
      </c>
      <c r="I70" s="34">
        <f>IF($A70="","",INDEX(c_rota,$A70)&amp;"")</f>
        <v/>
      </c>
      <c r="J70" s="34">
        <f>IF($A70="","",IF(INDEX(c_pend,$A70)&amp;""&lt;&gt;"",INDEX(c_pend,$A70)&amp;"",INDEX(c_obs,$A70)&amp;""))</f>
        <v/>
      </c>
      <c r="K70" s="34">
        <f>IF($A70="","",INDEX(c_rpend,$A70)&amp;"")</f>
        <v/>
      </c>
      <c r="L70" s="33">
        <f>IF($A70="","",INDEX(c_prazo,$A70))</f>
        <v/>
      </c>
      <c r="M70" s="41">
        <f>IF($A70="","",INDEX(c_dias,$A70))</f>
        <v/>
      </c>
    </row>
    <row r="71">
      <c r="A71">
        <f>IFERROR(MATCH(LARGE(c_o_pend,64),c_o_pend,0),"")</f>
        <v/>
      </c>
      <c r="B71" s="31">
        <f>IF($A71="","",64)</f>
        <v/>
      </c>
      <c r="C71" s="32">
        <f>IF($A71="","",HYPERLINK("#'LANÇAMENTOS'!A"&amp;($A71+1),INDEX(c_id,$A71)))</f>
        <v/>
      </c>
      <c r="D71" s="33">
        <f>IF($A71="","",INDEX(c_data,$A71))</f>
        <v/>
      </c>
      <c r="E71" s="34">
        <f>IF($A71="","",INDEX(c_turno,$A71)&amp;"")</f>
        <v/>
      </c>
      <c r="F71" s="34">
        <f>IF($A71="","",INDEX(c_status,$A71)&amp;"")</f>
        <v/>
      </c>
      <c r="G71" s="34">
        <f>IF($A71="","",INDEX(c_alerta,$A71)&amp;"")</f>
        <v/>
      </c>
      <c r="H71" s="34">
        <f>IF($A71="","",INDEX(c_prog,$A71)&amp;"")</f>
        <v/>
      </c>
      <c r="I71" s="34">
        <f>IF($A71="","",INDEX(c_rota,$A71)&amp;"")</f>
        <v/>
      </c>
      <c r="J71" s="34">
        <f>IF($A71="","",IF(INDEX(c_pend,$A71)&amp;""&lt;&gt;"",INDEX(c_pend,$A71)&amp;"",INDEX(c_obs,$A71)&amp;""))</f>
        <v/>
      </c>
      <c r="K71" s="34">
        <f>IF($A71="","",INDEX(c_rpend,$A71)&amp;"")</f>
        <v/>
      </c>
      <c r="L71" s="33">
        <f>IF($A71="","",INDEX(c_prazo,$A71))</f>
        <v/>
      </c>
      <c r="M71" s="41">
        <f>IF($A71="","",INDEX(c_dias,$A71))</f>
        <v/>
      </c>
    </row>
    <row r="72">
      <c r="A72">
        <f>IFERROR(MATCH(LARGE(c_o_pend,65),c_o_pend,0),"")</f>
        <v/>
      </c>
      <c r="B72" s="31">
        <f>IF($A72="","",65)</f>
        <v/>
      </c>
      <c r="C72" s="32">
        <f>IF($A72="","",HYPERLINK("#'LANÇAMENTOS'!A"&amp;($A72+1),INDEX(c_id,$A72)))</f>
        <v/>
      </c>
      <c r="D72" s="33">
        <f>IF($A72="","",INDEX(c_data,$A72))</f>
        <v/>
      </c>
      <c r="E72" s="34">
        <f>IF($A72="","",INDEX(c_turno,$A72)&amp;"")</f>
        <v/>
      </c>
      <c r="F72" s="34">
        <f>IF($A72="","",INDEX(c_status,$A72)&amp;"")</f>
        <v/>
      </c>
      <c r="G72" s="34">
        <f>IF($A72="","",INDEX(c_alerta,$A72)&amp;"")</f>
        <v/>
      </c>
      <c r="H72" s="34">
        <f>IF($A72="","",INDEX(c_prog,$A72)&amp;"")</f>
        <v/>
      </c>
      <c r="I72" s="34">
        <f>IF($A72="","",INDEX(c_rota,$A72)&amp;"")</f>
        <v/>
      </c>
      <c r="J72" s="34">
        <f>IF($A72="","",IF(INDEX(c_pend,$A72)&amp;""&lt;&gt;"",INDEX(c_pend,$A72)&amp;"",INDEX(c_obs,$A72)&amp;""))</f>
        <v/>
      </c>
      <c r="K72" s="34">
        <f>IF($A72="","",INDEX(c_rpend,$A72)&amp;"")</f>
        <v/>
      </c>
      <c r="L72" s="33">
        <f>IF($A72="","",INDEX(c_prazo,$A72))</f>
        <v/>
      </c>
      <c r="M72" s="41">
        <f>IF($A72="","",INDEX(c_dias,$A72))</f>
        <v/>
      </c>
    </row>
    <row r="73">
      <c r="A73">
        <f>IFERROR(MATCH(LARGE(c_o_pend,66),c_o_pend,0),"")</f>
        <v/>
      </c>
      <c r="B73" s="31">
        <f>IF($A73="","",66)</f>
        <v/>
      </c>
      <c r="C73" s="32">
        <f>IF($A73="","",HYPERLINK("#'LANÇAMENTOS'!A"&amp;($A73+1),INDEX(c_id,$A73)))</f>
        <v/>
      </c>
      <c r="D73" s="33">
        <f>IF($A73="","",INDEX(c_data,$A73))</f>
        <v/>
      </c>
      <c r="E73" s="34">
        <f>IF($A73="","",INDEX(c_turno,$A73)&amp;"")</f>
        <v/>
      </c>
      <c r="F73" s="34">
        <f>IF($A73="","",INDEX(c_status,$A73)&amp;"")</f>
        <v/>
      </c>
      <c r="G73" s="34">
        <f>IF($A73="","",INDEX(c_alerta,$A73)&amp;"")</f>
        <v/>
      </c>
      <c r="H73" s="34">
        <f>IF($A73="","",INDEX(c_prog,$A73)&amp;"")</f>
        <v/>
      </c>
      <c r="I73" s="34">
        <f>IF($A73="","",INDEX(c_rota,$A73)&amp;"")</f>
        <v/>
      </c>
      <c r="J73" s="34">
        <f>IF($A73="","",IF(INDEX(c_pend,$A73)&amp;""&lt;&gt;"",INDEX(c_pend,$A73)&amp;"",INDEX(c_obs,$A73)&amp;""))</f>
        <v/>
      </c>
      <c r="K73" s="34">
        <f>IF($A73="","",INDEX(c_rpend,$A73)&amp;"")</f>
        <v/>
      </c>
      <c r="L73" s="33">
        <f>IF($A73="","",INDEX(c_prazo,$A73))</f>
        <v/>
      </c>
      <c r="M73" s="41">
        <f>IF($A73="","",INDEX(c_dias,$A73))</f>
        <v/>
      </c>
    </row>
    <row r="74">
      <c r="A74">
        <f>IFERROR(MATCH(LARGE(c_o_pend,67),c_o_pend,0),"")</f>
        <v/>
      </c>
      <c r="B74" s="31">
        <f>IF($A74="","",67)</f>
        <v/>
      </c>
      <c r="C74" s="32">
        <f>IF($A74="","",HYPERLINK("#'LANÇAMENTOS'!A"&amp;($A74+1),INDEX(c_id,$A74)))</f>
        <v/>
      </c>
      <c r="D74" s="33">
        <f>IF($A74="","",INDEX(c_data,$A74))</f>
        <v/>
      </c>
      <c r="E74" s="34">
        <f>IF($A74="","",INDEX(c_turno,$A74)&amp;"")</f>
        <v/>
      </c>
      <c r="F74" s="34">
        <f>IF($A74="","",INDEX(c_status,$A74)&amp;"")</f>
        <v/>
      </c>
      <c r="G74" s="34">
        <f>IF($A74="","",INDEX(c_alerta,$A74)&amp;"")</f>
        <v/>
      </c>
      <c r="H74" s="34">
        <f>IF($A74="","",INDEX(c_prog,$A74)&amp;"")</f>
        <v/>
      </c>
      <c r="I74" s="34">
        <f>IF($A74="","",INDEX(c_rota,$A74)&amp;"")</f>
        <v/>
      </c>
      <c r="J74" s="34">
        <f>IF($A74="","",IF(INDEX(c_pend,$A74)&amp;""&lt;&gt;"",INDEX(c_pend,$A74)&amp;"",INDEX(c_obs,$A74)&amp;""))</f>
        <v/>
      </c>
      <c r="K74" s="34">
        <f>IF($A74="","",INDEX(c_rpend,$A74)&amp;"")</f>
        <v/>
      </c>
      <c r="L74" s="33">
        <f>IF($A74="","",INDEX(c_prazo,$A74))</f>
        <v/>
      </c>
      <c r="M74" s="41">
        <f>IF($A74="","",INDEX(c_dias,$A74))</f>
        <v/>
      </c>
    </row>
    <row r="75">
      <c r="A75">
        <f>IFERROR(MATCH(LARGE(c_o_pend,68),c_o_pend,0),"")</f>
        <v/>
      </c>
      <c r="B75" s="31">
        <f>IF($A75="","",68)</f>
        <v/>
      </c>
      <c r="C75" s="32">
        <f>IF($A75="","",HYPERLINK("#'LANÇAMENTOS'!A"&amp;($A75+1),INDEX(c_id,$A75)))</f>
        <v/>
      </c>
      <c r="D75" s="33">
        <f>IF($A75="","",INDEX(c_data,$A75))</f>
        <v/>
      </c>
      <c r="E75" s="34">
        <f>IF($A75="","",INDEX(c_turno,$A75)&amp;"")</f>
        <v/>
      </c>
      <c r="F75" s="34">
        <f>IF($A75="","",INDEX(c_status,$A75)&amp;"")</f>
        <v/>
      </c>
      <c r="G75" s="34">
        <f>IF($A75="","",INDEX(c_alerta,$A75)&amp;"")</f>
        <v/>
      </c>
      <c r="H75" s="34">
        <f>IF($A75="","",INDEX(c_prog,$A75)&amp;"")</f>
        <v/>
      </c>
      <c r="I75" s="34">
        <f>IF($A75="","",INDEX(c_rota,$A75)&amp;"")</f>
        <v/>
      </c>
      <c r="J75" s="34">
        <f>IF($A75="","",IF(INDEX(c_pend,$A75)&amp;""&lt;&gt;"",INDEX(c_pend,$A75)&amp;"",INDEX(c_obs,$A75)&amp;""))</f>
        <v/>
      </c>
      <c r="K75" s="34">
        <f>IF($A75="","",INDEX(c_rpend,$A75)&amp;"")</f>
        <v/>
      </c>
      <c r="L75" s="33">
        <f>IF($A75="","",INDEX(c_prazo,$A75))</f>
        <v/>
      </c>
      <c r="M75" s="41">
        <f>IF($A75="","",INDEX(c_dias,$A75))</f>
        <v/>
      </c>
    </row>
    <row r="76">
      <c r="A76">
        <f>IFERROR(MATCH(LARGE(c_o_pend,69),c_o_pend,0),"")</f>
        <v/>
      </c>
      <c r="B76" s="31">
        <f>IF($A76="","",69)</f>
        <v/>
      </c>
      <c r="C76" s="32">
        <f>IF($A76="","",HYPERLINK("#'LANÇAMENTOS'!A"&amp;($A76+1),INDEX(c_id,$A76)))</f>
        <v/>
      </c>
      <c r="D76" s="33">
        <f>IF($A76="","",INDEX(c_data,$A76))</f>
        <v/>
      </c>
      <c r="E76" s="34">
        <f>IF($A76="","",INDEX(c_turno,$A76)&amp;"")</f>
        <v/>
      </c>
      <c r="F76" s="34">
        <f>IF($A76="","",INDEX(c_status,$A76)&amp;"")</f>
        <v/>
      </c>
      <c r="G76" s="34">
        <f>IF($A76="","",INDEX(c_alerta,$A76)&amp;"")</f>
        <v/>
      </c>
      <c r="H76" s="34">
        <f>IF($A76="","",INDEX(c_prog,$A76)&amp;"")</f>
        <v/>
      </c>
      <c r="I76" s="34">
        <f>IF($A76="","",INDEX(c_rota,$A76)&amp;"")</f>
        <v/>
      </c>
      <c r="J76" s="34">
        <f>IF($A76="","",IF(INDEX(c_pend,$A76)&amp;""&lt;&gt;"",INDEX(c_pend,$A76)&amp;"",INDEX(c_obs,$A76)&amp;""))</f>
        <v/>
      </c>
      <c r="K76" s="34">
        <f>IF($A76="","",INDEX(c_rpend,$A76)&amp;"")</f>
        <v/>
      </c>
      <c r="L76" s="33">
        <f>IF($A76="","",INDEX(c_prazo,$A76))</f>
        <v/>
      </c>
      <c r="M76" s="41">
        <f>IF($A76="","",INDEX(c_dias,$A76))</f>
        <v/>
      </c>
    </row>
    <row r="77">
      <c r="A77">
        <f>IFERROR(MATCH(LARGE(c_o_pend,70),c_o_pend,0),"")</f>
        <v/>
      </c>
      <c r="B77" s="31">
        <f>IF($A77="","",70)</f>
        <v/>
      </c>
      <c r="C77" s="32">
        <f>IF($A77="","",HYPERLINK("#'LANÇAMENTOS'!A"&amp;($A77+1),INDEX(c_id,$A77)))</f>
        <v/>
      </c>
      <c r="D77" s="33">
        <f>IF($A77="","",INDEX(c_data,$A77))</f>
        <v/>
      </c>
      <c r="E77" s="34">
        <f>IF($A77="","",INDEX(c_turno,$A77)&amp;"")</f>
        <v/>
      </c>
      <c r="F77" s="34">
        <f>IF($A77="","",INDEX(c_status,$A77)&amp;"")</f>
        <v/>
      </c>
      <c r="G77" s="34">
        <f>IF($A77="","",INDEX(c_alerta,$A77)&amp;"")</f>
        <v/>
      </c>
      <c r="H77" s="34">
        <f>IF($A77="","",INDEX(c_prog,$A77)&amp;"")</f>
        <v/>
      </c>
      <c r="I77" s="34">
        <f>IF($A77="","",INDEX(c_rota,$A77)&amp;"")</f>
        <v/>
      </c>
      <c r="J77" s="34">
        <f>IF($A77="","",IF(INDEX(c_pend,$A77)&amp;""&lt;&gt;"",INDEX(c_pend,$A77)&amp;"",INDEX(c_obs,$A77)&amp;""))</f>
        <v/>
      </c>
      <c r="K77" s="34">
        <f>IF($A77="","",INDEX(c_rpend,$A77)&amp;"")</f>
        <v/>
      </c>
      <c r="L77" s="33">
        <f>IF($A77="","",INDEX(c_prazo,$A77))</f>
        <v/>
      </c>
      <c r="M77" s="41">
        <f>IF($A77="","",INDEX(c_dias,$A77))</f>
        <v/>
      </c>
    </row>
    <row r="78">
      <c r="A78">
        <f>IFERROR(MATCH(LARGE(c_o_pend,71),c_o_pend,0),"")</f>
        <v/>
      </c>
      <c r="B78" s="31">
        <f>IF($A78="","",71)</f>
        <v/>
      </c>
      <c r="C78" s="32">
        <f>IF($A78="","",HYPERLINK("#'LANÇAMENTOS'!A"&amp;($A78+1),INDEX(c_id,$A78)))</f>
        <v/>
      </c>
      <c r="D78" s="33">
        <f>IF($A78="","",INDEX(c_data,$A78))</f>
        <v/>
      </c>
      <c r="E78" s="34">
        <f>IF($A78="","",INDEX(c_turno,$A78)&amp;"")</f>
        <v/>
      </c>
      <c r="F78" s="34">
        <f>IF($A78="","",INDEX(c_status,$A78)&amp;"")</f>
        <v/>
      </c>
      <c r="G78" s="34">
        <f>IF($A78="","",INDEX(c_alerta,$A78)&amp;"")</f>
        <v/>
      </c>
      <c r="H78" s="34">
        <f>IF($A78="","",INDEX(c_prog,$A78)&amp;"")</f>
        <v/>
      </c>
      <c r="I78" s="34">
        <f>IF($A78="","",INDEX(c_rota,$A78)&amp;"")</f>
        <v/>
      </c>
      <c r="J78" s="34">
        <f>IF($A78="","",IF(INDEX(c_pend,$A78)&amp;""&lt;&gt;"",INDEX(c_pend,$A78)&amp;"",INDEX(c_obs,$A78)&amp;""))</f>
        <v/>
      </c>
      <c r="K78" s="34">
        <f>IF($A78="","",INDEX(c_rpend,$A78)&amp;"")</f>
        <v/>
      </c>
      <c r="L78" s="33">
        <f>IF($A78="","",INDEX(c_prazo,$A78))</f>
        <v/>
      </c>
      <c r="M78" s="41">
        <f>IF($A78="","",INDEX(c_dias,$A78))</f>
        <v/>
      </c>
    </row>
    <row r="79">
      <c r="A79">
        <f>IFERROR(MATCH(LARGE(c_o_pend,72),c_o_pend,0),"")</f>
        <v/>
      </c>
      <c r="B79" s="31">
        <f>IF($A79="","",72)</f>
        <v/>
      </c>
      <c r="C79" s="32">
        <f>IF($A79="","",HYPERLINK("#'LANÇAMENTOS'!A"&amp;($A79+1),INDEX(c_id,$A79)))</f>
        <v/>
      </c>
      <c r="D79" s="33">
        <f>IF($A79="","",INDEX(c_data,$A79))</f>
        <v/>
      </c>
      <c r="E79" s="34">
        <f>IF($A79="","",INDEX(c_turno,$A79)&amp;"")</f>
        <v/>
      </c>
      <c r="F79" s="34">
        <f>IF($A79="","",INDEX(c_status,$A79)&amp;"")</f>
        <v/>
      </c>
      <c r="G79" s="34">
        <f>IF($A79="","",INDEX(c_alerta,$A79)&amp;"")</f>
        <v/>
      </c>
      <c r="H79" s="34">
        <f>IF($A79="","",INDEX(c_prog,$A79)&amp;"")</f>
        <v/>
      </c>
      <c r="I79" s="34">
        <f>IF($A79="","",INDEX(c_rota,$A79)&amp;"")</f>
        <v/>
      </c>
      <c r="J79" s="34">
        <f>IF($A79="","",IF(INDEX(c_pend,$A79)&amp;""&lt;&gt;"",INDEX(c_pend,$A79)&amp;"",INDEX(c_obs,$A79)&amp;""))</f>
        <v/>
      </c>
      <c r="K79" s="34">
        <f>IF($A79="","",INDEX(c_rpend,$A79)&amp;"")</f>
        <v/>
      </c>
      <c r="L79" s="33">
        <f>IF($A79="","",INDEX(c_prazo,$A79))</f>
        <v/>
      </c>
      <c r="M79" s="41">
        <f>IF($A79="","",INDEX(c_dias,$A79))</f>
        <v/>
      </c>
    </row>
    <row r="80">
      <c r="A80">
        <f>IFERROR(MATCH(LARGE(c_o_pend,73),c_o_pend,0),"")</f>
        <v/>
      </c>
      <c r="B80" s="31">
        <f>IF($A80="","",73)</f>
        <v/>
      </c>
      <c r="C80" s="32">
        <f>IF($A80="","",HYPERLINK("#'LANÇAMENTOS'!A"&amp;($A80+1),INDEX(c_id,$A80)))</f>
        <v/>
      </c>
      <c r="D80" s="33">
        <f>IF($A80="","",INDEX(c_data,$A80))</f>
        <v/>
      </c>
      <c r="E80" s="34">
        <f>IF($A80="","",INDEX(c_turno,$A80)&amp;"")</f>
        <v/>
      </c>
      <c r="F80" s="34">
        <f>IF($A80="","",INDEX(c_status,$A80)&amp;"")</f>
        <v/>
      </c>
      <c r="G80" s="34">
        <f>IF($A80="","",INDEX(c_alerta,$A80)&amp;"")</f>
        <v/>
      </c>
      <c r="H80" s="34">
        <f>IF($A80="","",INDEX(c_prog,$A80)&amp;"")</f>
        <v/>
      </c>
      <c r="I80" s="34">
        <f>IF($A80="","",INDEX(c_rota,$A80)&amp;"")</f>
        <v/>
      </c>
      <c r="J80" s="34">
        <f>IF($A80="","",IF(INDEX(c_pend,$A80)&amp;""&lt;&gt;"",INDEX(c_pend,$A80)&amp;"",INDEX(c_obs,$A80)&amp;""))</f>
        <v/>
      </c>
      <c r="K80" s="34">
        <f>IF($A80="","",INDEX(c_rpend,$A80)&amp;"")</f>
        <v/>
      </c>
      <c r="L80" s="33">
        <f>IF($A80="","",INDEX(c_prazo,$A80))</f>
        <v/>
      </c>
      <c r="M80" s="41">
        <f>IF($A80="","",INDEX(c_dias,$A80))</f>
        <v/>
      </c>
    </row>
    <row r="81">
      <c r="A81">
        <f>IFERROR(MATCH(LARGE(c_o_pend,74),c_o_pend,0),"")</f>
        <v/>
      </c>
      <c r="B81" s="31">
        <f>IF($A81="","",74)</f>
        <v/>
      </c>
      <c r="C81" s="32">
        <f>IF($A81="","",HYPERLINK("#'LANÇAMENTOS'!A"&amp;($A81+1),INDEX(c_id,$A81)))</f>
        <v/>
      </c>
      <c r="D81" s="33">
        <f>IF($A81="","",INDEX(c_data,$A81))</f>
        <v/>
      </c>
      <c r="E81" s="34">
        <f>IF($A81="","",INDEX(c_turno,$A81)&amp;"")</f>
        <v/>
      </c>
      <c r="F81" s="34">
        <f>IF($A81="","",INDEX(c_status,$A81)&amp;"")</f>
        <v/>
      </c>
      <c r="G81" s="34">
        <f>IF($A81="","",INDEX(c_alerta,$A81)&amp;"")</f>
        <v/>
      </c>
      <c r="H81" s="34">
        <f>IF($A81="","",INDEX(c_prog,$A81)&amp;"")</f>
        <v/>
      </c>
      <c r="I81" s="34">
        <f>IF($A81="","",INDEX(c_rota,$A81)&amp;"")</f>
        <v/>
      </c>
      <c r="J81" s="34">
        <f>IF($A81="","",IF(INDEX(c_pend,$A81)&amp;""&lt;&gt;"",INDEX(c_pend,$A81)&amp;"",INDEX(c_obs,$A81)&amp;""))</f>
        <v/>
      </c>
      <c r="K81" s="34">
        <f>IF($A81="","",INDEX(c_rpend,$A81)&amp;"")</f>
        <v/>
      </c>
      <c r="L81" s="33">
        <f>IF($A81="","",INDEX(c_prazo,$A81))</f>
        <v/>
      </c>
      <c r="M81" s="41">
        <f>IF($A81="","",INDEX(c_dias,$A81))</f>
        <v/>
      </c>
    </row>
    <row r="82">
      <c r="A82">
        <f>IFERROR(MATCH(LARGE(c_o_pend,75),c_o_pend,0),"")</f>
        <v/>
      </c>
      <c r="B82" s="31">
        <f>IF($A82="","",75)</f>
        <v/>
      </c>
      <c r="C82" s="32">
        <f>IF($A82="","",HYPERLINK("#'LANÇAMENTOS'!A"&amp;($A82+1),INDEX(c_id,$A82)))</f>
        <v/>
      </c>
      <c r="D82" s="33">
        <f>IF($A82="","",INDEX(c_data,$A82))</f>
        <v/>
      </c>
      <c r="E82" s="34">
        <f>IF($A82="","",INDEX(c_turno,$A82)&amp;"")</f>
        <v/>
      </c>
      <c r="F82" s="34">
        <f>IF($A82="","",INDEX(c_status,$A82)&amp;"")</f>
        <v/>
      </c>
      <c r="G82" s="34">
        <f>IF($A82="","",INDEX(c_alerta,$A82)&amp;"")</f>
        <v/>
      </c>
      <c r="H82" s="34">
        <f>IF($A82="","",INDEX(c_prog,$A82)&amp;"")</f>
        <v/>
      </c>
      <c r="I82" s="34">
        <f>IF($A82="","",INDEX(c_rota,$A82)&amp;"")</f>
        <v/>
      </c>
      <c r="J82" s="34">
        <f>IF($A82="","",IF(INDEX(c_pend,$A82)&amp;""&lt;&gt;"",INDEX(c_pend,$A82)&amp;"",INDEX(c_obs,$A82)&amp;""))</f>
        <v/>
      </c>
      <c r="K82" s="34">
        <f>IF($A82="","",INDEX(c_rpend,$A82)&amp;"")</f>
        <v/>
      </c>
      <c r="L82" s="33">
        <f>IF($A82="","",INDEX(c_prazo,$A82))</f>
        <v/>
      </c>
      <c r="M82" s="41">
        <f>IF($A82="","",INDEX(c_dias,$A82))</f>
        <v/>
      </c>
    </row>
    <row r="83">
      <c r="A83">
        <f>IFERROR(MATCH(LARGE(c_o_pend,76),c_o_pend,0),"")</f>
        <v/>
      </c>
      <c r="B83" s="31">
        <f>IF($A83="","",76)</f>
        <v/>
      </c>
      <c r="C83" s="32">
        <f>IF($A83="","",HYPERLINK("#'LANÇAMENTOS'!A"&amp;($A83+1),INDEX(c_id,$A83)))</f>
        <v/>
      </c>
      <c r="D83" s="33">
        <f>IF($A83="","",INDEX(c_data,$A83))</f>
        <v/>
      </c>
      <c r="E83" s="34">
        <f>IF($A83="","",INDEX(c_turno,$A83)&amp;"")</f>
        <v/>
      </c>
      <c r="F83" s="34">
        <f>IF($A83="","",INDEX(c_status,$A83)&amp;"")</f>
        <v/>
      </c>
      <c r="G83" s="34">
        <f>IF($A83="","",INDEX(c_alerta,$A83)&amp;"")</f>
        <v/>
      </c>
      <c r="H83" s="34">
        <f>IF($A83="","",INDEX(c_prog,$A83)&amp;"")</f>
        <v/>
      </c>
      <c r="I83" s="34">
        <f>IF($A83="","",INDEX(c_rota,$A83)&amp;"")</f>
        <v/>
      </c>
      <c r="J83" s="34">
        <f>IF($A83="","",IF(INDEX(c_pend,$A83)&amp;""&lt;&gt;"",INDEX(c_pend,$A83)&amp;"",INDEX(c_obs,$A83)&amp;""))</f>
        <v/>
      </c>
      <c r="K83" s="34">
        <f>IF($A83="","",INDEX(c_rpend,$A83)&amp;"")</f>
        <v/>
      </c>
      <c r="L83" s="33">
        <f>IF($A83="","",INDEX(c_prazo,$A83))</f>
        <v/>
      </c>
      <c r="M83" s="41">
        <f>IF($A83="","",INDEX(c_dias,$A83))</f>
        <v/>
      </c>
    </row>
    <row r="84">
      <c r="A84">
        <f>IFERROR(MATCH(LARGE(c_o_pend,77),c_o_pend,0),"")</f>
        <v/>
      </c>
      <c r="B84" s="31">
        <f>IF($A84="","",77)</f>
        <v/>
      </c>
      <c r="C84" s="32">
        <f>IF($A84="","",HYPERLINK("#'LANÇAMENTOS'!A"&amp;($A84+1),INDEX(c_id,$A84)))</f>
        <v/>
      </c>
      <c r="D84" s="33">
        <f>IF($A84="","",INDEX(c_data,$A84))</f>
        <v/>
      </c>
      <c r="E84" s="34">
        <f>IF($A84="","",INDEX(c_turno,$A84)&amp;"")</f>
        <v/>
      </c>
      <c r="F84" s="34">
        <f>IF($A84="","",INDEX(c_status,$A84)&amp;"")</f>
        <v/>
      </c>
      <c r="G84" s="34">
        <f>IF($A84="","",INDEX(c_alerta,$A84)&amp;"")</f>
        <v/>
      </c>
      <c r="H84" s="34">
        <f>IF($A84="","",INDEX(c_prog,$A84)&amp;"")</f>
        <v/>
      </c>
      <c r="I84" s="34">
        <f>IF($A84="","",INDEX(c_rota,$A84)&amp;"")</f>
        <v/>
      </c>
      <c r="J84" s="34">
        <f>IF($A84="","",IF(INDEX(c_pend,$A84)&amp;""&lt;&gt;"",INDEX(c_pend,$A84)&amp;"",INDEX(c_obs,$A84)&amp;""))</f>
        <v/>
      </c>
      <c r="K84" s="34">
        <f>IF($A84="","",INDEX(c_rpend,$A84)&amp;"")</f>
        <v/>
      </c>
      <c r="L84" s="33">
        <f>IF($A84="","",INDEX(c_prazo,$A84))</f>
        <v/>
      </c>
      <c r="M84" s="41">
        <f>IF($A84="","",INDEX(c_dias,$A84))</f>
        <v/>
      </c>
    </row>
    <row r="85">
      <c r="A85">
        <f>IFERROR(MATCH(LARGE(c_o_pend,78),c_o_pend,0),"")</f>
        <v/>
      </c>
      <c r="B85" s="31">
        <f>IF($A85="","",78)</f>
        <v/>
      </c>
      <c r="C85" s="32">
        <f>IF($A85="","",HYPERLINK("#'LANÇAMENTOS'!A"&amp;($A85+1),INDEX(c_id,$A85)))</f>
        <v/>
      </c>
      <c r="D85" s="33">
        <f>IF($A85="","",INDEX(c_data,$A85))</f>
        <v/>
      </c>
      <c r="E85" s="34">
        <f>IF($A85="","",INDEX(c_turno,$A85)&amp;"")</f>
        <v/>
      </c>
      <c r="F85" s="34">
        <f>IF($A85="","",INDEX(c_status,$A85)&amp;"")</f>
        <v/>
      </c>
      <c r="G85" s="34">
        <f>IF($A85="","",INDEX(c_alerta,$A85)&amp;"")</f>
        <v/>
      </c>
      <c r="H85" s="34">
        <f>IF($A85="","",INDEX(c_prog,$A85)&amp;"")</f>
        <v/>
      </c>
      <c r="I85" s="34">
        <f>IF($A85="","",INDEX(c_rota,$A85)&amp;"")</f>
        <v/>
      </c>
      <c r="J85" s="34">
        <f>IF($A85="","",IF(INDEX(c_pend,$A85)&amp;""&lt;&gt;"",INDEX(c_pend,$A85)&amp;"",INDEX(c_obs,$A85)&amp;""))</f>
        <v/>
      </c>
      <c r="K85" s="34">
        <f>IF($A85="","",INDEX(c_rpend,$A85)&amp;"")</f>
        <v/>
      </c>
      <c r="L85" s="33">
        <f>IF($A85="","",INDEX(c_prazo,$A85))</f>
        <v/>
      </c>
      <c r="M85" s="41">
        <f>IF($A85="","",INDEX(c_dias,$A85))</f>
        <v/>
      </c>
    </row>
    <row r="86">
      <c r="A86">
        <f>IFERROR(MATCH(LARGE(c_o_pend,79),c_o_pend,0),"")</f>
        <v/>
      </c>
      <c r="B86" s="31">
        <f>IF($A86="","",79)</f>
        <v/>
      </c>
      <c r="C86" s="32">
        <f>IF($A86="","",HYPERLINK("#'LANÇAMENTOS'!A"&amp;($A86+1),INDEX(c_id,$A86)))</f>
        <v/>
      </c>
      <c r="D86" s="33">
        <f>IF($A86="","",INDEX(c_data,$A86))</f>
        <v/>
      </c>
      <c r="E86" s="34">
        <f>IF($A86="","",INDEX(c_turno,$A86)&amp;"")</f>
        <v/>
      </c>
      <c r="F86" s="34">
        <f>IF($A86="","",INDEX(c_status,$A86)&amp;"")</f>
        <v/>
      </c>
      <c r="G86" s="34">
        <f>IF($A86="","",INDEX(c_alerta,$A86)&amp;"")</f>
        <v/>
      </c>
      <c r="H86" s="34">
        <f>IF($A86="","",INDEX(c_prog,$A86)&amp;"")</f>
        <v/>
      </c>
      <c r="I86" s="34">
        <f>IF($A86="","",INDEX(c_rota,$A86)&amp;"")</f>
        <v/>
      </c>
      <c r="J86" s="34">
        <f>IF($A86="","",IF(INDEX(c_pend,$A86)&amp;""&lt;&gt;"",INDEX(c_pend,$A86)&amp;"",INDEX(c_obs,$A86)&amp;""))</f>
        <v/>
      </c>
      <c r="K86" s="34">
        <f>IF($A86="","",INDEX(c_rpend,$A86)&amp;"")</f>
        <v/>
      </c>
      <c r="L86" s="33">
        <f>IF($A86="","",INDEX(c_prazo,$A86))</f>
        <v/>
      </c>
      <c r="M86" s="41">
        <f>IF($A86="","",INDEX(c_dias,$A86))</f>
        <v/>
      </c>
    </row>
    <row r="87">
      <c r="A87">
        <f>IFERROR(MATCH(LARGE(c_o_pend,80),c_o_pend,0),"")</f>
        <v/>
      </c>
      <c r="B87" s="31">
        <f>IF($A87="","",80)</f>
        <v/>
      </c>
      <c r="C87" s="32">
        <f>IF($A87="","",HYPERLINK("#'LANÇAMENTOS'!A"&amp;($A87+1),INDEX(c_id,$A87)))</f>
        <v/>
      </c>
      <c r="D87" s="33">
        <f>IF($A87="","",INDEX(c_data,$A87))</f>
        <v/>
      </c>
      <c r="E87" s="34">
        <f>IF($A87="","",INDEX(c_turno,$A87)&amp;"")</f>
        <v/>
      </c>
      <c r="F87" s="34">
        <f>IF($A87="","",INDEX(c_status,$A87)&amp;"")</f>
        <v/>
      </c>
      <c r="G87" s="34">
        <f>IF($A87="","",INDEX(c_alerta,$A87)&amp;"")</f>
        <v/>
      </c>
      <c r="H87" s="34">
        <f>IF($A87="","",INDEX(c_prog,$A87)&amp;"")</f>
        <v/>
      </c>
      <c r="I87" s="34">
        <f>IF($A87="","",INDEX(c_rota,$A87)&amp;"")</f>
        <v/>
      </c>
      <c r="J87" s="34">
        <f>IF($A87="","",IF(INDEX(c_pend,$A87)&amp;""&lt;&gt;"",INDEX(c_pend,$A87)&amp;"",INDEX(c_obs,$A87)&amp;""))</f>
        <v/>
      </c>
      <c r="K87" s="34">
        <f>IF($A87="","",INDEX(c_rpend,$A87)&amp;"")</f>
        <v/>
      </c>
      <c r="L87" s="33">
        <f>IF($A87="","",INDEX(c_prazo,$A87))</f>
        <v/>
      </c>
      <c r="M87" s="41">
        <f>IF($A87="","",INDEX(c_dias,$A87))</f>
        <v/>
      </c>
    </row>
    <row r="88">
      <c r="A88">
        <f>IFERROR(MATCH(LARGE(c_o_pend,81),c_o_pend,0),"")</f>
        <v/>
      </c>
      <c r="B88" s="31">
        <f>IF($A88="","",81)</f>
        <v/>
      </c>
      <c r="C88" s="32">
        <f>IF($A88="","",HYPERLINK("#'LANÇAMENTOS'!A"&amp;($A88+1),INDEX(c_id,$A88)))</f>
        <v/>
      </c>
      <c r="D88" s="33">
        <f>IF($A88="","",INDEX(c_data,$A88))</f>
        <v/>
      </c>
      <c r="E88" s="34">
        <f>IF($A88="","",INDEX(c_turno,$A88)&amp;"")</f>
        <v/>
      </c>
      <c r="F88" s="34">
        <f>IF($A88="","",INDEX(c_status,$A88)&amp;"")</f>
        <v/>
      </c>
      <c r="G88" s="34">
        <f>IF($A88="","",INDEX(c_alerta,$A88)&amp;"")</f>
        <v/>
      </c>
      <c r="H88" s="34">
        <f>IF($A88="","",INDEX(c_prog,$A88)&amp;"")</f>
        <v/>
      </c>
      <c r="I88" s="34">
        <f>IF($A88="","",INDEX(c_rota,$A88)&amp;"")</f>
        <v/>
      </c>
      <c r="J88" s="34">
        <f>IF($A88="","",IF(INDEX(c_pend,$A88)&amp;""&lt;&gt;"",INDEX(c_pend,$A88)&amp;"",INDEX(c_obs,$A88)&amp;""))</f>
        <v/>
      </c>
      <c r="K88" s="34">
        <f>IF($A88="","",INDEX(c_rpend,$A88)&amp;"")</f>
        <v/>
      </c>
      <c r="L88" s="33">
        <f>IF($A88="","",INDEX(c_prazo,$A88))</f>
        <v/>
      </c>
      <c r="M88" s="41">
        <f>IF($A88="","",INDEX(c_dias,$A88))</f>
        <v/>
      </c>
    </row>
    <row r="89">
      <c r="A89">
        <f>IFERROR(MATCH(LARGE(c_o_pend,82),c_o_pend,0),"")</f>
        <v/>
      </c>
      <c r="B89" s="31">
        <f>IF($A89="","",82)</f>
        <v/>
      </c>
      <c r="C89" s="32">
        <f>IF($A89="","",HYPERLINK("#'LANÇAMENTOS'!A"&amp;($A89+1),INDEX(c_id,$A89)))</f>
        <v/>
      </c>
      <c r="D89" s="33">
        <f>IF($A89="","",INDEX(c_data,$A89))</f>
        <v/>
      </c>
      <c r="E89" s="34">
        <f>IF($A89="","",INDEX(c_turno,$A89)&amp;"")</f>
        <v/>
      </c>
      <c r="F89" s="34">
        <f>IF($A89="","",INDEX(c_status,$A89)&amp;"")</f>
        <v/>
      </c>
      <c r="G89" s="34">
        <f>IF($A89="","",INDEX(c_alerta,$A89)&amp;"")</f>
        <v/>
      </c>
      <c r="H89" s="34">
        <f>IF($A89="","",INDEX(c_prog,$A89)&amp;"")</f>
        <v/>
      </c>
      <c r="I89" s="34">
        <f>IF($A89="","",INDEX(c_rota,$A89)&amp;"")</f>
        <v/>
      </c>
      <c r="J89" s="34">
        <f>IF($A89="","",IF(INDEX(c_pend,$A89)&amp;""&lt;&gt;"",INDEX(c_pend,$A89)&amp;"",INDEX(c_obs,$A89)&amp;""))</f>
        <v/>
      </c>
      <c r="K89" s="34">
        <f>IF($A89="","",INDEX(c_rpend,$A89)&amp;"")</f>
        <v/>
      </c>
      <c r="L89" s="33">
        <f>IF($A89="","",INDEX(c_prazo,$A89))</f>
        <v/>
      </c>
      <c r="M89" s="41">
        <f>IF($A89="","",INDEX(c_dias,$A89))</f>
        <v/>
      </c>
    </row>
    <row r="90">
      <c r="A90">
        <f>IFERROR(MATCH(LARGE(c_o_pend,83),c_o_pend,0),"")</f>
        <v/>
      </c>
      <c r="B90" s="31">
        <f>IF($A90="","",83)</f>
        <v/>
      </c>
      <c r="C90" s="32">
        <f>IF($A90="","",HYPERLINK("#'LANÇAMENTOS'!A"&amp;($A90+1),INDEX(c_id,$A90)))</f>
        <v/>
      </c>
      <c r="D90" s="33">
        <f>IF($A90="","",INDEX(c_data,$A90))</f>
        <v/>
      </c>
      <c r="E90" s="34">
        <f>IF($A90="","",INDEX(c_turno,$A90)&amp;"")</f>
        <v/>
      </c>
      <c r="F90" s="34">
        <f>IF($A90="","",INDEX(c_status,$A90)&amp;"")</f>
        <v/>
      </c>
      <c r="G90" s="34">
        <f>IF($A90="","",INDEX(c_alerta,$A90)&amp;"")</f>
        <v/>
      </c>
      <c r="H90" s="34">
        <f>IF($A90="","",INDEX(c_prog,$A90)&amp;"")</f>
        <v/>
      </c>
      <c r="I90" s="34">
        <f>IF($A90="","",INDEX(c_rota,$A90)&amp;"")</f>
        <v/>
      </c>
      <c r="J90" s="34">
        <f>IF($A90="","",IF(INDEX(c_pend,$A90)&amp;""&lt;&gt;"",INDEX(c_pend,$A90)&amp;"",INDEX(c_obs,$A90)&amp;""))</f>
        <v/>
      </c>
      <c r="K90" s="34">
        <f>IF($A90="","",INDEX(c_rpend,$A90)&amp;"")</f>
        <v/>
      </c>
      <c r="L90" s="33">
        <f>IF($A90="","",INDEX(c_prazo,$A90))</f>
        <v/>
      </c>
      <c r="M90" s="41">
        <f>IF($A90="","",INDEX(c_dias,$A90))</f>
        <v/>
      </c>
    </row>
    <row r="91">
      <c r="A91">
        <f>IFERROR(MATCH(LARGE(c_o_pend,84),c_o_pend,0),"")</f>
        <v/>
      </c>
      <c r="B91" s="31">
        <f>IF($A91="","",84)</f>
        <v/>
      </c>
      <c r="C91" s="32">
        <f>IF($A91="","",HYPERLINK("#'LANÇAMENTOS'!A"&amp;($A91+1),INDEX(c_id,$A91)))</f>
        <v/>
      </c>
      <c r="D91" s="33">
        <f>IF($A91="","",INDEX(c_data,$A91))</f>
        <v/>
      </c>
      <c r="E91" s="34">
        <f>IF($A91="","",INDEX(c_turno,$A91)&amp;"")</f>
        <v/>
      </c>
      <c r="F91" s="34">
        <f>IF($A91="","",INDEX(c_status,$A91)&amp;"")</f>
        <v/>
      </c>
      <c r="G91" s="34">
        <f>IF($A91="","",INDEX(c_alerta,$A91)&amp;"")</f>
        <v/>
      </c>
      <c r="H91" s="34">
        <f>IF($A91="","",INDEX(c_prog,$A91)&amp;"")</f>
        <v/>
      </c>
      <c r="I91" s="34">
        <f>IF($A91="","",INDEX(c_rota,$A91)&amp;"")</f>
        <v/>
      </c>
      <c r="J91" s="34">
        <f>IF($A91="","",IF(INDEX(c_pend,$A91)&amp;""&lt;&gt;"",INDEX(c_pend,$A91)&amp;"",INDEX(c_obs,$A91)&amp;""))</f>
        <v/>
      </c>
      <c r="K91" s="34">
        <f>IF($A91="","",INDEX(c_rpend,$A91)&amp;"")</f>
        <v/>
      </c>
      <c r="L91" s="33">
        <f>IF($A91="","",INDEX(c_prazo,$A91))</f>
        <v/>
      </c>
      <c r="M91" s="41">
        <f>IF($A91="","",INDEX(c_dias,$A91))</f>
        <v/>
      </c>
    </row>
    <row r="92">
      <c r="A92">
        <f>IFERROR(MATCH(LARGE(c_o_pend,85),c_o_pend,0),"")</f>
        <v/>
      </c>
      <c r="B92" s="31">
        <f>IF($A92="","",85)</f>
        <v/>
      </c>
      <c r="C92" s="32">
        <f>IF($A92="","",HYPERLINK("#'LANÇAMENTOS'!A"&amp;($A92+1),INDEX(c_id,$A92)))</f>
        <v/>
      </c>
      <c r="D92" s="33">
        <f>IF($A92="","",INDEX(c_data,$A92))</f>
        <v/>
      </c>
      <c r="E92" s="34">
        <f>IF($A92="","",INDEX(c_turno,$A92)&amp;"")</f>
        <v/>
      </c>
      <c r="F92" s="34">
        <f>IF($A92="","",INDEX(c_status,$A92)&amp;"")</f>
        <v/>
      </c>
      <c r="G92" s="34">
        <f>IF($A92="","",INDEX(c_alerta,$A92)&amp;"")</f>
        <v/>
      </c>
      <c r="H92" s="34">
        <f>IF($A92="","",INDEX(c_prog,$A92)&amp;"")</f>
        <v/>
      </c>
      <c r="I92" s="34">
        <f>IF($A92="","",INDEX(c_rota,$A92)&amp;"")</f>
        <v/>
      </c>
      <c r="J92" s="34">
        <f>IF($A92="","",IF(INDEX(c_pend,$A92)&amp;""&lt;&gt;"",INDEX(c_pend,$A92)&amp;"",INDEX(c_obs,$A92)&amp;""))</f>
        <v/>
      </c>
      <c r="K92" s="34">
        <f>IF($A92="","",INDEX(c_rpend,$A92)&amp;"")</f>
        <v/>
      </c>
      <c r="L92" s="33">
        <f>IF($A92="","",INDEX(c_prazo,$A92))</f>
        <v/>
      </c>
      <c r="M92" s="41">
        <f>IF($A92="","",INDEX(c_dias,$A92))</f>
        <v/>
      </c>
    </row>
    <row r="93">
      <c r="A93">
        <f>IFERROR(MATCH(LARGE(c_o_pend,86),c_o_pend,0),"")</f>
        <v/>
      </c>
      <c r="B93" s="31">
        <f>IF($A93="","",86)</f>
        <v/>
      </c>
      <c r="C93" s="32">
        <f>IF($A93="","",HYPERLINK("#'LANÇAMENTOS'!A"&amp;($A93+1),INDEX(c_id,$A93)))</f>
        <v/>
      </c>
      <c r="D93" s="33">
        <f>IF($A93="","",INDEX(c_data,$A93))</f>
        <v/>
      </c>
      <c r="E93" s="34">
        <f>IF($A93="","",INDEX(c_turno,$A93)&amp;"")</f>
        <v/>
      </c>
      <c r="F93" s="34">
        <f>IF($A93="","",INDEX(c_status,$A93)&amp;"")</f>
        <v/>
      </c>
      <c r="G93" s="34">
        <f>IF($A93="","",INDEX(c_alerta,$A93)&amp;"")</f>
        <v/>
      </c>
      <c r="H93" s="34">
        <f>IF($A93="","",INDEX(c_prog,$A93)&amp;"")</f>
        <v/>
      </c>
      <c r="I93" s="34">
        <f>IF($A93="","",INDEX(c_rota,$A93)&amp;"")</f>
        <v/>
      </c>
      <c r="J93" s="34">
        <f>IF($A93="","",IF(INDEX(c_pend,$A93)&amp;""&lt;&gt;"",INDEX(c_pend,$A93)&amp;"",INDEX(c_obs,$A93)&amp;""))</f>
        <v/>
      </c>
      <c r="K93" s="34">
        <f>IF($A93="","",INDEX(c_rpend,$A93)&amp;"")</f>
        <v/>
      </c>
      <c r="L93" s="33">
        <f>IF($A93="","",INDEX(c_prazo,$A93))</f>
        <v/>
      </c>
      <c r="M93" s="41">
        <f>IF($A93="","",INDEX(c_dias,$A93))</f>
        <v/>
      </c>
    </row>
    <row r="94">
      <c r="A94">
        <f>IFERROR(MATCH(LARGE(c_o_pend,87),c_o_pend,0),"")</f>
        <v/>
      </c>
      <c r="B94" s="31">
        <f>IF($A94="","",87)</f>
        <v/>
      </c>
      <c r="C94" s="32">
        <f>IF($A94="","",HYPERLINK("#'LANÇAMENTOS'!A"&amp;($A94+1),INDEX(c_id,$A94)))</f>
        <v/>
      </c>
      <c r="D94" s="33">
        <f>IF($A94="","",INDEX(c_data,$A94))</f>
        <v/>
      </c>
      <c r="E94" s="34">
        <f>IF($A94="","",INDEX(c_turno,$A94)&amp;"")</f>
        <v/>
      </c>
      <c r="F94" s="34">
        <f>IF($A94="","",INDEX(c_status,$A94)&amp;"")</f>
        <v/>
      </c>
      <c r="G94" s="34">
        <f>IF($A94="","",INDEX(c_alerta,$A94)&amp;"")</f>
        <v/>
      </c>
      <c r="H94" s="34">
        <f>IF($A94="","",INDEX(c_prog,$A94)&amp;"")</f>
        <v/>
      </c>
      <c r="I94" s="34">
        <f>IF($A94="","",INDEX(c_rota,$A94)&amp;"")</f>
        <v/>
      </c>
      <c r="J94" s="34">
        <f>IF($A94="","",IF(INDEX(c_pend,$A94)&amp;""&lt;&gt;"",INDEX(c_pend,$A94)&amp;"",INDEX(c_obs,$A94)&amp;""))</f>
        <v/>
      </c>
      <c r="K94" s="34">
        <f>IF($A94="","",INDEX(c_rpend,$A94)&amp;"")</f>
        <v/>
      </c>
      <c r="L94" s="33">
        <f>IF($A94="","",INDEX(c_prazo,$A94))</f>
        <v/>
      </c>
      <c r="M94" s="41">
        <f>IF($A94="","",INDEX(c_dias,$A94))</f>
        <v/>
      </c>
    </row>
    <row r="95">
      <c r="A95">
        <f>IFERROR(MATCH(LARGE(c_o_pend,88),c_o_pend,0),"")</f>
        <v/>
      </c>
      <c r="B95" s="31">
        <f>IF($A95="","",88)</f>
        <v/>
      </c>
      <c r="C95" s="32">
        <f>IF($A95="","",HYPERLINK("#'LANÇAMENTOS'!A"&amp;($A95+1),INDEX(c_id,$A95)))</f>
        <v/>
      </c>
      <c r="D95" s="33">
        <f>IF($A95="","",INDEX(c_data,$A95))</f>
        <v/>
      </c>
      <c r="E95" s="34">
        <f>IF($A95="","",INDEX(c_turno,$A95)&amp;"")</f>
        <v/>
      </c>
      <c r="F95" s="34">
        <f>IF($A95="","",INDEX(c_status,$A95)&amp;"")</f>
        <v/>
      </c>
      <c r="G95" s="34">
        <f>IF($A95="","",INDEX(c_alerta,$A95)&amp;"")</f>
        <v/>
      </c>
      <c r="H95" s="34">
        <f>IF($A95="","",INDEX(c_prog,$A95)&amp;"")</f>
        <v/>
      </c>
      <c r="I95" s="34">
        <f>IF($A95="","",INDEX(c_rota,$A95)&amp;"")</f>
        <v/>
      </c>
      <c r="J95" s="34">
        <f>IF($A95="","",IF(INDEX(c_pend,$A95)&amp;""&lt;&gt;"",INDEX(c_pend,$A95)&amp;"",INDEX(c_obs,$A95)&amp;""))</f>
        <v/>
      </c>
      <c r="K95" s="34">
        <f>IF($A95="","",INDEX(c_rpend,$A95)&amp;"")</f>
        <v/>
      </c>
      <c r="L95" s="33">
        <f>IF($A95="","",INDEX(c_prazo,$A95))</f>
        <v/>
      </c>
      <c r="M95" s="41">
        <f>IF($A95="","",INDEX(c_dias,$A95))</f>
        <v/>
      </c>
    </row>
    <row r="96">
      <c r="A96">
        <f>IFERROR(MATCH(LARGE(c_o_pend,89),c_o_pend,0),"")</f>
        <v/>
      </c>
      <c r="B96" s="31">
        <f>IF($A96="","",89)</f>
        <v/>
      </c>
      <c r="C96" s="32">
        <f>IF($A96="","",HYPERLINK("#'LANÇAMENTOS'!A"&amp;($A96+1),INDEX(c_id,$A96)))</f>
        <v/>
      </c>
      <c r="D96" s="33">
        <f>IF($A96="","",INDEX(c_data,$A96))</f>
        <v/>
      </c>
      <c r="E96" s="34">
        <f>IF($A96="","",INDEX(c_turno,$A96)&amp;"")</f>
        <v/>
      </c>
      <c r="F96" s="34">
        <f>IF($A96="","",INDEX(c_status,$A96)&amp;"")</f>
        <v/>
      </c>
      <c r="G96" s="34">
        <f>IF($A96="","",INDEX(c_alerta,$A96)&amp;"")</f>
        <v/>
      </c>
      <c r="H96" s="34">
        <f>IF($A96="","",INDEX(c_prog,$A96)&amp;"")</f>
        <v/>
      </c>
      <c r="I96" s="34">
        <f>IF($A96="","",INDEX(c_rota,$A96)&amp;"")</f>
        <v/>
      </c>
      <c r="J96" s="34">
        <f>IF($A96="","",IF(INDEX(c_pend,$A96)&amp;""&lt;&gt;"",INDEX(c_pend,$A96)&amp;"",INDEX(c_obs,$A96)&amp;""))</f>
        <v/>
      </c>
      <c r="K96" s="34">
        <f>IF($A96="","",INDEX(c_rpend,$A96)&amp;"")</f>
        <v/>
      </c>
      <c r="L96" s="33">
        <f>IF($A96="","",INDEX(c_prazo,$A96))</f>
        <v/>
      </c>
      <c r="M96" s="41">
        <f>IF($A96="","",INDEX(c_dias,$A96))</f>
        <v/>
      </c>
    </row>
    <row r="97">
      <c r="A97">
        <f>IFERROR(MATCH(LARGE(c_o_pend,90),c_o_pend,0),"")</f>
        <v/>
      </c>
      <c r="B97" s="31">
        <f>IF($A97="","",90)</f>
        <v/>
      </c>
      <c r="C97" s="32">
        <f>IF($A97="","",HYPERLINK("#'LANÇAMENTOS'!A"&amp;($A97+1),INDEX(c_id,$A97)))</f>
        <v/>
      </c>
      <c r="D97" s="33">
        <f>IF($A97="","",INDEX(c_data,$A97))</f>
        <v/>
      </c>
      <c r="E97" s="34">
        <f>IF($A97="","",INDEX(c_turno,$A97)&amp;"")</f>
        <v/>
      </c>
      <c r="F97" s="34">
        <f>IF($A97="","",INDEX(c_status,$A97)&amp;"")</f>
        <v/>
      </c>
      <c r="G97" s="34">
        <f>IF($A97="","",INDEX(c_alerta,$A97)&amp;"")</f>
        <v/>
      </c>
      <c r="H97" s="34">
        <f>IF($A97="","",INDEX(c_prog,$A97)&amp;"")</f>
        <v/>
      </c>
      <c r="I97" s="34">
        <f>IF($A97="","",INDEX(c_rota,$A97)&amp;"")</f>
        <v/>
      </c>
      <c r="J97" s="34">
        <f>IF($A97="","",IF(INDEX(c_pend,$A97)&amp;""&lt;&gt;"",INDEX(c_pend,$A97)&amp;"",INDEX(c_obs,$A97)&amp;""))</f>
        <v/>
      </c>
      <c r="K97" s="34">
        <f>IF($A97="","",INDEX(c_rpend,$A97)&amp;"")</f>
        <v/>
      </c>
      <c r="L97" s="33">
        <f>IF($A97="","",INDEX(c_prazo,$A97))</f>
        <v/>
      </c>
      <c r="M97" s="41">
        <f>IF($A97="","",INDEX(c_dias,$A97))</f>
        <v/>
      </c>
    </row>
    <row r="98">
      <c r="A98">
        <f>IFERROR(MATCH(LARGE(c_o_pend,91),c_o_pend,0),"")</f>
        <v/>
      </c>
      <c r="B98" s="31">
        <f>IF($A98="","",91)</f>
        <v/>
      </c>
      <c r="C98" s="32">
        <f>IF($A98="","",HYPERLINK("#'LANÇAMENTOS'!A"&amp;($A98+1),INDEX(c_id,$A98)))</f>
        <v/>
      </c>
      <c r="D98" s="33">
        <f>IF($A98="","",INDEX(c_data,$A98))</f>
        <v/>
      </c>
      <c r="E98" s="34">
        <f>IF($A98="","",INDEX(c_turno,$A98)&amp;"")</f>
        <v/>
      </c>
      <c r="F98" s="34">
        <f>IF($A98="","",INDEX(c_status,$A98)&amp;"")</f>
        <v/>
      </c>
      <c r="G98" s="34">
        <f>IF($A98="","",INDEX(c_alerta,$A98)&amp;"")</f>
        <v/>
      </c>
      <c r="H98" s="34">
        <f>IF($A98="","",INDEX(c_prog,$A98)&amp;"")</f>
        <v/>
      </c>
      <c r="I98" s="34">
        <f>IF($A98="","",INDEX(c_rota,$A98)&amp;"")</f>
        <v/>
      </c>
      <c r="J98" s="34">
        <f>IF($A98="","",IF(INDEX(c_pend,$A98)&amp;""&lt;&gt;"",INDEX(c_pend,$A98)&amp;"",INDEX(c_obs,$A98)&amp;""))</f>
        <v/>
      </c>
      <c r="K98" s="34">
        <f>IF($A98="","",INDEX(c_rpend,$A98)&amp;"")</f>
        <v/>
      </c>
      <c r="L98" s="33">
        <f>IF($A98="","",INDEX(c_prazo,$A98))</f>
        <v/>
      </c>
      <c r="M98" s="41">
        <f>IF($A98="","",INDEX(c_dias,$A98))</f>
        <v/>
      </c>
    </row>
    <row r="99">
      <c r="A99">
        <f>IFERROR(MATCH(LARGE(c_o_pend,92),c_o_pend,0),"")</f>
        <v/>
      </c>
      <c r="B99" s="31">
        <f>IF($A99="","",92)</f>
        <v/>
      </c>
      <c r="C99" s="32">
        <f>IF($A99="","",HYPERLINK("#'LANÇAMENTOS'!A"&amp;($A99+1),INDEX(c_id,$A99)))</f>
        <v/>
      </c>
      <c r="D99" s="33">
        <f>IF($A99="","",INDEX(c_data,$A99))</f>
        <v/>
      </c>
      <c r="E99" s="34">
        <f>IF($A99="","",INDEX(c_turno,$A99)&amp;"")</f>
        <v/>
      </c>
      <c r="F99" s="34">
        <f>IF($A99="","",INDEX(c_status,$A99)&amp;"")</f>
        <v/>
      </c>
      <c r="G99" s="34">
        <f>IF($A99="","",INDEX(c_alerta,$A99)&amp;"")</f>
        <v/>
      </c>
      <c r="H99" s="34">
        <f>IF($A99="","",INDEX(c_prog,$A99)&amp;"")</f>
        <v/>
      </c>
      <c r="I99" s="34">
        <f>IF($A99="","",INDEX(c_rota,$A99)&amp;"")</f>
        <v/>
      </c>
      <c r="J99" s="34">
        <f>IF($A99="","",IF(INDEX(c_pend,$A99)&amp;""&lt;&gt;"",INDEX(c_pend,$A99)&amp;"",INDEX(c_obs,$A99)&amp;""))</f>
        <v/>
      </c>
      <c r="K99" s="34">
        <f>IF($A99="","",INDEX(c_rpend,$A99)&amp;"")</f>
        <v/>
      </c>
      <c r="L99" s="33">
        <f>IF($A99="","",INDEX(c_prazo,$A99))</f>
        <v/>
      </c>
      <c r="M99" s="41">
        <f>IF($A99="","",INDEX(c_dias,$A99))</f>
        <v/>
      </c>
    </row>
    <row r="100">
      <c r="A100">
        <f>IFERROR(MATCH(LARGE(c_o_pend,93),c_o_pend,0),"")</f>
        <v/>
      </c>
      <c r="B100" s="31">
        <f>IF($A100="","",93)</f>
        <v/>
      </c>
      <c r="C100" s="32">
        <f>IF($A100="","",HYPERLINK("#'LANÇAMENTOS'!A"&amp;($A100+1),INDEX(c_id,$A100)))</f>
        <v/>
      </c>
      <c r="D100" s="33">
        <f>IF($A100="","",INDEX(c_data,$A100))</f>
        <v/>
      </c>
      <c r="E100" s="34">
        <f>IF($A100="","",INDEX(c_turno,$A100)&amp;"")</f>
        <v/>
      </c>
      <c r="F100" s="34">
        <f>IF($A100="","",INDEX(c_status,$A100)&amp;"")</f>
        <v/>
      </c>
      <c r="G100" s="34">
        <f>IF($A100="","",INDEX(c_alerta,$A100)&amp;"")</f>
        <v/>
      </c>
      <c r="H100" s="34">
        <f>IF($A100="","",INDEX(c_prog,$A100)&amp;"")</f>
        <v/>
      </c>
      <c r="I100" s="34">
        <f>IF($A100="","",INDEX(c_rota,$A100)&amp;"")</f>
        <v/>
      </c>
      <c r="J100" s="34">
        <f>IF($A100="","",IF(INDEX(c_pend,$A100)&amp;""&lt;&gt;"",INDEX(c_pend,$A100)&amp;"",INDEX(c_obs,$A100)&amp;""))</f>
        <v/>
      </c>
      <c r="K100" s="34">
        <f>IF($A100="","",INDEX(c_rpend,$A100)&amp;"")</f>
        <v/>
      </c>
      <c r="L100" s="33">
        <f>IF($A100="","",INDEX(c_prazo,$A100))</f>
        <v/>
      </c>
      <c r="M100" s="41">
        <f>IF($A100="","",INDEX(c_dias,$A100))</f>
        <v/>
      </c>
    </row>
    <row r="101">
      <c r="A101">
        <f>IFERROR(MATCH(LARGE(c_o_pend,94),c_o_pend,0),"")</f>
        <v/>
      </c>
      <c r="B101" s="31">
        <f>IF($A101="","",94)</f>
        <v/>
      </c>
      <c r="C101" s="32">
        <f>IF($A101="","",HYPERLINK("#'LANÇAMENTOS'!A"&amp;($A101+1),INDEX(c_id,$A101)))</f>
        <v/>
      </c>
      <c r="D101" s="33">
        <f>IF($A101="","",INDEX(c_data,$A101))</f>
        <v/>
      </c>
      <c r="E101" s="34">
        <f>IF($A101="","",INDEX(c_turno,$A101)&amp;"")</f>
        <v/>
      </c>
      <c r="F101" s="34">
        <f>IF($A101="","",INDEX(c_status,$A101)&amp;"")</f>
        <v/>
      </c>
      <c r="G101" s="34">
        <f>IF($A101="","",INDEX(c_alerta,$A101)&amp;"")</f>
        <v/>
      </c>
      <c r="H101" s="34">
        <f>IF($A101="","",INDEX(c_prog,$A101)&amp;"")</f>
        <v/>
      </c>
      <c r="I101" s="34">
        <f>IF($A101="","",INDEX(c_rota,$A101)&amp;"")</f>
        <v/>
      </c>
      <c r="J101" s="34">
        <f>IF($A101="","",IF(INDEX(c_pend,$A101)&amp;""&lt;&gt;"",INDEX(c_pend,$A101)&amp;"",INDEX(c_obs,$A101)&amp;""))</f>
        <v/>
      </c>
      <c r="K101" s="34">
        <f>IF($A101="","",INDEX(c_rpend,$A101)&amp;"")</f>
        <v/>
      </c>
      <c r="L101" s="33">
        <f>IF($A101="","",INDEX(c_prazo,$A101))</f>
        <v/>
      </c>
      <c r="M101" s="41">
        <f>IF($A101="","",INDEX(c_dias,$A101))</f>
        <v/>
      </c>
    </row>
    <row r="102">
      <c r="A102">
        <f>IFERROR(MATCH(LARGE(c_o_pend,95),c_o_pend,0),"")</f>
        <v/>
      </c>
      <c r="B102" s="31">
        <f>IF($A102="","",95)</f>
        <v/>
      </c>
      <c r="C102" s="32">
        <f>IF($A102="","",HYPERLINK("#'LANÇAMENTOS'!A"&amp;($A102+1),INDEX(c_id,$A102)))</f>
        <v/>
      </c>
      <c r="D102" s="33">
        <f>IF($A102="","",INDEX(c_data,$A102))</f>
        <v/>
      </c>
      <c r="E102" s="34">
        <f>IF($A102="","",INDEX(c_turno,$A102)&amp;"")</f>
        <v/>
      </c>
      <c r="F102" s="34">
        <f>IF($A102="","",INDEX(c_status,$A102)&amp;"")</f>
        <v/>
      </c>
      <c r="G102" s="34">
        <f>IF($A102="","",INDEX(c_alerta,$A102)&amp;"")</f>
        <v/>
      </c>
      <c r="H102" s="34">
        <f>IF($A102="","",INDEX(c_prog,$A102)&amp;"")</f>
        <v/>
      </c>
      <c r="I102" s="34">
        <f>IF($A102="","",INDEX(c_rota,$A102)&amp;"")</f>
        <v/>
      </c>
      <c r="J102" s="34">
        <f>IF($A102="","",IF(INDEX(c_pend,$A102)&amp;""&lt;&gt;"",INDEX(c_pend,$A102)&amp;"",INDEX(c_obs,$A102)&amp;""))</f>
        <v/>
      </c>
      <c r="K102" s="34">
        <f>IF($A102="","",INDEX(c_rpend,$A102)&amp;"")</f>
        <v/>
      </c>
      <c r="L102" s="33">
        <f>IF($A102="","",INDEX(c_prazo,$A102))</f>
        <v/>
      </c>
      <c r="M102" s="41">
        <f>IF($A102="","",INDEX(c_dias,$A102))</f>
        <v/>
      </c>
    </row>
    <row r="103">
      <c r="A103">
        <f>IFERROR(MATCH(LARGE(c_o_pend,96),c_o_pend,0),"")</f>
        <v/>
      </c>
      <c r="B103" s="31">
        <f>IF($A103="","",96)</f>
        <v/>
      </c>
      <c r="C103" s="32">
        <f>IF($A103="","",HYPERLINK("#'LANÇAMENTOS'!A"&amp;($A103+1),INDEX(c_id,$A103)))</f>
        <v/>
      </c>
      <c r="D103" s="33">
        <f>IF($A103="","",INDEX(c_data,$A103))</f>
        <v/>
      </c>
      <c r="E103" s="34">
        <f>IF($A103="","",INDEX(c_turno,$A103)&amp;"")</f>
        <v/>
      </c>
      <c r="F103" s="34">
        <f>IF($A103="","",INDEX(c_status,$A103)&amp;"")</f>
        <v/>
      </c>
      <c r="G103" s="34">
        <f>IF($A103="","",INDEX(c_alerta,$A103)&amp;"")</f>
        <v/>
      </c>
      <c r="H103" s="34">
        <f>IF($A103="","",INDEX(c_prog,$A103)&amp;"")</f>
        <v/>
      </c>
      <c r="I103" s="34">
        <f>IF($A103="","",INDEX(c_rota,$A103)&amp;"")</f>
        <v/>
      </c>
      <c r="J103" s="34">
        <f>IF($A103="","",IF(INDEX(c_pend,$A103)&amp;""&lt;&gt;"",INDEX(c_pend,$A103)&amp;"",INDEX(c_obs,$A103)&amp;""))</f>
        <v/>
      </c>
      <c r="K103" s="34">
        <f>IF($A103="","",INDEX(c_rpend,$A103)&amp;"")</f>
        <v/>
      </c>
      <c r="L103" s="33">
        <f>IF($A103="","",INDEX(c_prazo,$A103))</f>
        <v/>
      </c>
      <c r="M103" s="41">
        <f>IF($A103="","",INDEX(c_dias,$A103))</f>
        <v/>
      </c>
    </row>
    <row r="104">
      <c r="A104">
        <f>IFERROR(MATCH(LARGE(c_o_pend,97),c_o_pend,0),"")</f>
        <v/>
      </c>
      <c r="B104" s="31">
        <f>IF($A104="","",97)</f>
        <v/>
      </c>
      <c r="C104" s="32">
        <f>IF($A104="","",HYPERLINK("#'LANÇAMENTOS'!A"&amp;($A104+1),INDEX(c_id,$A104)))</f>
        <v/>
      </c>
      <c r="D104" s="33">
        <f>IF($A104="","",INDEX(c_data,$A104))</f>
        <v/>
      </c>
      <c r="E104" s="34">
        <f>IF($A104="","",INDEX(c_turno,$A104)&amp;"")</f>
        <v/>
      </c>
      <c r="F104" s="34">
        <f>IF($A104="","",INDEX(c_status,$A104)&amp;"")</f>
        <v/>
      </c>
      <c r="G104" s="34">
        <f>IF($A104="","",INDEX(c_alerta,$A104)&amp;"")</f>
        <v/>
      </c>
      <c r="H104" s="34">
        <f>IF($A104="","",INDEX(c_prog,$A104)&amp;"")</f>
        <v/>
      </c>
      <c r="I104" s="34">
        <f>IF($A104="","",INDEX(c_rota,$A104)&amp;"")</f>
        <v/>
      </c>
      <c r="J104" s="34">
        <f>IF($A104="","",IF(INDEX(c_pend,$A104)&amp;""&lt;&gt;"",INDEX(c_pend,$A104)&amp;"",INDEX(c_obs,$A104)&amp;""))</f>
        <v/>
      </c>
      <c r="K104" s="34">
        <f>IF($A104="","",INDEX(c_rpend,$A104)&amp;"")</f>
        <v/>
      </c>
      <c r="L104" s="33">
        <f>IF($A104="","",INDEX(c_prazo,$A104))</f>
        <v/>
      </c>
      <c r="M104" s="41">
        <f>IF($A104="","",INDEX(c_dias,$A104))</f>
        <v/>
      </c>
    </row>
    <row r="105">
      <c r="A105">
        <f>IFERROR(MATCH(LARGE(c_o_pend,98),c_o_pend,0),"")</f>
        <v/>
      </c>
      <c r="B105" s="31">
        <f>IF($A105="","",98)</f>
        <v/>
      </c>
      <c r="C105" s="32">
        <f>IF($A105="","",HYPERLINK("#'LANÇAMENTOS'!A"&amp;($A105+1),INDEX(c_id,$A105)))</f>
        <v/>
      </c>
      <c r="D105" s="33">
        <f>IF($A105="","",INDEX(c_data,$A105))</f>
        <v/>
      </c>
      <c r="E105" s="34">
        <f>IF($A105="","",INDEX(c_turno,$A105)&amp;"")</f>
        <v/>
      </c>
      <c r="F105" s="34">
        <f>IF($A105="","",INDEX(c_status,$A105)&amp;"")</f>
        <v/>
      </c>
      <c r="G105" s="34">
        <f>IF($A105="","",INDEX(c_alerta,$A105)&amp;"")</f>
        <v/>
      </c>
      <c r="H105" s="34">
        <f>IF($A105="","",INDEX(c_prog,$A105)&amp;"")</f>
        <v/>
      </c>
      <c r="I105" s="34">
        <f>IF($A105="","",INDEX(c_rota,$A105)&amp;"")</f>
        <v/>
      </c>
      <c r="J105" s="34">
        <f>IF($A105="","",IF(INDEX(c_pend,$A105)&amp;""&lt;&gt;"",INDEX(c_pend,$A105)&amp;"",INDEX(c_obs,$A105)&amp;""))</f>
        <v/>
      </c>
      <c r="K105" s="34">
        <f>IF($A105="","",INDEX(c_rpend,$A105)&amp;"")</f>
        <v/>
      </c>
      <c r="L105" s="33">
        <f>IF($A105="","",INDEX(c_prazo,$A105))</f>
        <v/>
      </c>
      <c r="M105" s="41">
        <f>IF($A105="","",INDEX(c_dias,$A105))</f>
        <v/>
      </c>
    </row>
    <row r="106">
      <c r="A106">
        <f>IFERROR(MATCH(LARGE(c_o_pend,99),c_o_pend,0),"")</f>
        <v/>
      </c>
      <c r="B106" s="31">
        <f>IF($A106="","",99)</f>
        <v/>
      </c>
      <c r="C106" s="32">
        <f>IF($A106="","",HYPERLINK("#'LANÇAMENTOS'!A"&amp;($A106+1),INDEX(c_id,$A106)))</f>
        <v/>
      </c>
      <c r="D106" s="33">
        <f>IF($A106="","",INDEX(c_data,$A106))</f>
        <v/>
      </c>
      <c r="E106" s="34">
        <f>IF($A106="","",INDEX(c_turno,$A106)&amp;"")</f>
        <v/>
      </c>
      <c r="F106" s="34">
        <f>IF($A106="","",INDEX(c_status,$A106)&amp;"")</f>
        <v/>
      </c>
      <c r="G106" s="34">
        <f>IF($A106="","",INDEX(c_alerta,$A106)&amp;"")</f>
        <v/>
      </c>
      <c r="H106" s="34">
        <f>IF($A106="","",INDEX(c_prog,$A106)&amp;"")</f>
        <v/>
      </c>
      <c r="I106" s="34">
        <f>IF($A106="","",INDEX(c_rota,$A106)&amp;"")</f>
        <v/>
      </c>
      <c r="J106" s="34">
        <f>IF($A106="","",IF(INDEX(c_pend,$A106)&amp;""&lt;&gt;"",INDEX(c_pend,$A106)&amp;"",INDEX(c_obs,$A106)&amp;""))</f>
        <v/>
      </c>
      <c r="K106" s="34">
        <f>IF($A106="","",INDEX(c_rpend,$A106)&amp;"")</f>
        <v/>
      </c>
      <c r="L106" s="33">
        <f>IF($A106="","",INDEX(c_prazo,$A106))</f>
        <v/>
      </c>
      <c r="M106" s="41">
        <f>IF($A106="","",INDEX(c_dias,$A106))</f>
        <v/>
      </c>
    </row>
    <row r="107">
      <c r="A107">
        <f>IFERROR(MATCH(LARGE(c_o_pend,100),c_o_pend,0),"")</f>
        <v/>
      </c>
      <c r="B107" s="31">
        <f>IF($A107="","",100)</f>
        <v/>
      </c>
      <c r="C107" s="32">
        <f>IF($A107="","",HYPERLINK("#'LANÇAMENTOS'!A"&amp;($A107+1),INDEX(c_id,$A107)))</f>
        <v/>
      </c>
      <c r="D107" s="33">
        <f>IF($A107="","",INDEX(c_data,$A107))</f>
        <v/>
      </c>
      <c r="E107" s="34">
        <f>IF($A107="","",INDEX(c_turno,$A107)&amp;"")</f>
        <v/>
      </c>
      <c r="F107" s="34">
        <f>IF($A107="","",INDEX(c_status,$A107)&amp;"")</f>
        <v/>
      </c>
      <c r="G107" s="34">
        <f>IF($A107="","",INDEX(c_alerta,$A107)&amp;"")</f>
        <v/>
      </c>
      <c r="H107" s="34">
        <f>IF($A107="","",INDEX(c_prog,$A107)&amp;"")</f>
        <v/>
      </c>
      <c r="I107" s="34">
        <f>IF($A107="","",INDEX(c_rota,$A107)&amp;"")</f>
        <v/>
      </c>
      <c r="J107" s="34">
        <f>IF($A107="","",IF(INDEX(c_pend,$A107)&amp;""&lt;&gt;"",INDEX(c_pend,$A107)&amp;"",INDEX(c_obs,$A107)&amp;""))</f>
        <v/>
      </c>
      <c r="K107" s="34">
        <f>IF($A107="","",INDEX(c_rpend,$A107)&amp;"")</f>
        <v/>
      </c>
      <c r="L107" s="33">
        <f>IF($A107="","",INDEX(c_prazo,$A107))</f>
        <v/>
      </c>
      <c r="M107" s="41">
        <f>IF($A107="","",INDEX(c_dias,$A107))</f>
        <v/>
      </c>
    </row>
    <row r="108">
      <c r="A108">
        <f>IFERROR(MATCH(LARGE(c_o_pend,101),c_o_pend,0),"")</f>
        <v/>
      </c>
      <c r="B108" s="31">
        <f>IF($A108="","",101)</f>
        <v/>
      </c>
      <c r="C108" s="32">
        <f>IF($A108="","",HYPERLINK("#'LANÇAMENTOS'!A"&amp;($A108+1),INDEX(c_id,$A108)))</f>
        <v/>
      </c>
      <c r="D108" s="33">
        <f>IF($A108="","",INDEX(c_data,$A108))</f>
        <v/>
      </c>
      <c r="E108" s="34">
        <f>IF($A108="","",INDEX(c_turno,$A108)&amp;"")</f>
        <v/>
      </c>
      <c r="F108" s="34">
        <f>IF($A108="","",INDEX(c_status,$A108)&amp;"")</f>
        <v/>
      </c>
      <c r="G108" s="34">
        <f>IF($A108="","",INDEX(c_alerta,$A108)&amp;"")</f>
        <v/>
      </c>
      <c r="H108" s="34">
        <f>IF($A108="","",INDEX(c_prog,$A108)&amp;"")</f>
        <v/>
      </c>
      <c r="I108" s="34">
        <f>IF($A108="","",INDEX(c_rota,$A108)&amp;"")</f>
        <v/>
      </c>
      <c r="J108" s="34">
        <f>IF($A108="","",IF(INDEX(c_pend,$A108)&amp;""&lt;&gt;"",INDEX(c_pend,$A108)&amp;"",INDEX(c_obs,$A108)&amp;""))</f>
        <v/>
      </c>
      <c r="K108" s="34">
        <f>IF($A108="","",INDEX(c_rpend,$A108)&amp;"")</f>
        <v/>
      </c>
      <c r="L108" s="33">
        <f>IF($A108="","",INDEX(c_prazo,$A108))</f>
        <v/>
      </c>
      <c r="M108" s="41">
        <f>IF($A108="","",INDEX(c_dias,$A108))</f>
        <v/>
      </c>
    </row>
    <row r="109">
      <c r="A109">
        <f>IFERROR(MATCH(LARGE(c_o_pend,102),c_o_pend,0),"")</f>
        <v/>
      </c>
      <c r="B109" s="31">
        <f>IF($A109="","",102)</f>
        <v/>
      </c>
      <c r="C109" s="32">
        <f>IF($A109="","",HYPERLINK("#'LANÇAMENTOS'!A"&amp;($A109+1),INDEX(c_id,$A109)))</f>
        <v/>
      </c>
      <c r="D109" s="33">
        <f>IF($A109="","",INDEX(c_data,$A109))</f>
        <v/>
      </c>
      <c r="E109" s="34">
        <f>IF($A109="","",INDEX(c_turno,$A109)&amp;"")</f>
        <v/>
      </c>
      <c r="F109" s="34">
        <f>IF($A109="","",INDEX(c_status,$A109)&amp;"")</f>
        <v/>
      </c>
      <c r="G109" s="34">
        <f>IF($A109="","",INDEX(c_alerta,$A109)&amp;"")</f>
        <v/>
      </c>
      <c r="H109" s="34">
        <f>IF($A109="","",INDEX(c_prog,$A109)&amp;"")</f>
        <v/>
      </c>
      <c r="I109" s="34">
        <f>IF($A109="","",INDEX(c_rota,$A109)&amp;"")</f>
        <v/>
      </c>
      <c r="J109" s="34">
        <f>IF($A109="","",IF(INDEX(c_pend,$A109)&amp;""&lt;&gt;"",INDEX(c_pend,$A109)&amp;"",INDEX(c_obs,$A109)&amp;""))</f>
        <v/>
      </c>
      <c r="K109" s="34">
        <f>IF($A109="","",INDEX(c_rpend,$A109)&amp;"")</f>
        <v/>
      </c>
      <c r="L109" s="33">
        <f>IF($A109="","",INDEX(c_prazo,$A109))</f>
        <v/>
      </c>
      <c r="M109" s="41">
        <f>IF($A109="","",INDEX(c_dias,$A109))</f>
        <v/>
      </c>
    </row>
    <row r="110">
      <c r="A110">
        <f>IFERROR(MATCH(LARGE(c_o_pend,103),c_o_pend,0),"")</f>
        <v/>
      </c>
      <c r="B110" s="31">
        <f>IF($A110="","",103)</f>
        <v/>
      </c>
      <c r="C110" s="32">
        <f>IF($A110="","",HYPERLINK("#'LANÇAMENTOS'!A"&amp;($A110+1),INDEX(c_id,$A110)))</f>
        <v/>
      </c>
      <c r="D110" s="33">
        <f>IF($A110="","",INDEX(c_data,$A110))</f>
        <v/>
      </c>
      <c r="E110" s="34">
        <f>IF($A110="","",INDEX(c_turno,$A110)&amp;"")</f>
        <v/>
      </c>
      <c r="F110" s="34">
        <f>IF($A110="","",INDEX(c_status,$A110)&amp;"")</f>
        <v/>
      </c>
      <c r="G110" s="34">
        <f>IF($A110="","",INDEX(c_alerta,$A110)&amp;"")</f>
        <v/>
      </c>
      <c r="H110" s="34">
        <f>IF($A110="","",INDEX(c_prog,$A110)&amp;"")</f>
        <v/>
      </c>
      <c r="I110" s="34">
        <f>IF($A110="","",INDEX(c_rota,$A110)&amp;"")</f>
        <v/>
      </c>
      <c r="J110" s="34">
        <f>IF($A110="","",IF(INDEX(c_pend,$A110)&amp;""&lt;&gt;"",INDEX(c_pend,$A110)&amp;"",INDEX(c_obs,$A110)&amp;""))</f>
        <v/>
      </c>
      <c r="K110" s="34">
        <f>IF($A110="","",INDEX(c_rpend,$A110)&amp;"")</f>
        <v/>
      </c>
      <c r="L110" s="33">
        <f>IF($A110="","",INDEX(c_prazo,$A110))</f>
        <v/>
      </c>
      <c r="M110" s="41">
        <f>IF($A110="","",INDEX(c_dias,$A110))</f>
        <v/>
      </c>
    </row>
    <row r="111">
      <c r="A111">
        <f>IFERROR(MATCH(LARGE(c_o_pend,104),c_o_pend,0),"")</f>
        <v/>
      </c>
      <c r="B111" s="31">
        <f>IF($A111="","",104)</f>
        <v/>
      </c>
      <c r="C111" s="32">
        <f>IF($A111="","",HYPERLINK("#'LANÇAMENTOS'!A"&amp;($A111+1),INDEX(c_id,$A111)))</f>
        <v/>
      </c>
      <c r="D111" s="33">
        <f>IF($A111="","",INDEX(c_data,$A111))</f>
        <v/>
      </c>
      <c r="E111" s="34">
        <f>IF($A111="","",INDEX(c_turno,$A111)&amp;"")</f>
        <v/>
      </c>
      <c r="F111" s="34">
        <f>IF($A111="","",INDEX(c_status,$A111)&amp;"")</f>
        <v/>
      </c>
      <c r="G111" s="34">
        <f>IF($A111="","",INDEX(c_alerta,$A111)&amp;"")</f>
        <v/>
      </c>
      <c r="H111" s="34">
        <f>IF($A111="","",INDEX(c_prog,$A111)&amp;"")</f>
        <v/>
      </c>
      <c r="I111" s="34">
        <f>IF($A111="","",INDEX(c_rota,$A111)&amp;"")</f>
        <v/>
      </c>
      <c r="J111" s="34">
        <f>IF($A111="","",IF(INDEX(c_pend,$A111)&amp;""&lt;&gt;"",INDEX(c_pend,$A111)&amp;"",INDEX(c_obs,$A111)&amp;""))</f>
        <v/>
      </c>
      <c r="K111" s="34">
        <f>IF($A111="","",INDEX(c_rpend,$A111)&amp;"")</f>
        <v/>
      </c>
      <c r="L111" s="33">
        <f>IF($A111="","",INDEX(c_prazo,$A111))</f>
        <v/>
      </c>
      <c r="M111" s="41">
        <f>IF($A111="","",INDEX(c_dias,$A111))</f>
        <v/>
      </c>
    </row>
    <row r="112">
      <c r="A112">
        <f>IFERROR(MATCH(LARGE(c_o_pend,105),c_o_pend,0),"")</f>
        <v/>
      </c>
      <c r="B112" s="31">
        <f>IF($A112="","",105)</f>
        <v/>
      </c>
      <c r="C112" s="32">
        <f>IF($A112="","",HYPERLINK("#'LANÇAMENTOS'!A"&amp;($A112+1),INDEX(c_id,$A112)))</f>
        <v/>
      </c>
      <c r="D112" s="33">
        <f>IF($A112="","",INDEX(c_data,$A112))</f>
        <v/>
      </c>
      <c r="E112" s="34">
        <f>IF($A112="","",INDEX(c_turno,$A112)&amp;"")</f>
        <v/>
      </c>
      <c r="F112" s="34">
        <f>IF($A112="","",INDEX(c_status,$A112)&amp;"")</f>
        <v/>
      </c>
      <c r="G112" s="34">
        <f>IF($A112="","",INDEX(c_alerta,$A112)&amp;"")</f>
        <v/>
      </c>
      <c r="H112" s="34">
        <f>IF($A112="","",INDEX(c_prog,$A112)&amp;"")</f>
        <v/>
      </c>
      <c r="I112" s="34">
        <f>IF($A112="","",INDEX(c_rota,$A112)&amp;"")</f>
        <v/>
      </c>
      <c r="J112" s="34">
        <f>IF($A112="","",IF(INDEX(c_pend,$A112)&amp;""&lt;&gt;"",INDEX(c_pend,$A112)&amp;"",INDEX(c_obs,$A112)&amp;""))</f>
        <v/>
      </c>
      <c r="K112" s="34">
        <f>IF($A112="","",INDEX(c_rpend,$A112)&amp;"")</f>
        <v/>
      </c>
      <c r="L112" s="33">
        <f>IF($A112="","",INDEX(c_prazo,$A112))</f>
        <v/>
      </c>
      <c r="M112" s="41">
        <f>IF($A112="","",INDEX(c_dias,$A112))</f>
        <v/>
      </c>
    </row>
    <row r="113">
      <c r="A113">
        <f>IFERROR(MATCH(LARGE(c_o_pend,106),c_o_pend,0),"")</f>
        <v/>
      </c>
      <c r="B113" s="31">
        <f>IF($A113="","",106)</f>
        <v/>
      </c>
      <c r="C113" s="32">
        <f>IF($A113="","",HYPERLINK("#'LANÇAMENTOS'!A"&amp;($A113+1),INDEX(c_id,$A113)))</f>
        <v/>
      </c>
      <c r="D113" s="33">
        <f>IF($A113="","",INDEX(c_data,$A113))</f>
        <v/>
      </c>
      <c r="E113" s="34">
        <f>IF($A113="","",INDEX(c_turno,$A113)&amp;"")</f>
        <v/>
      </c>
      <c r="F113" s="34">
        <f>IF($A113="","",INDEX(c_status,$A113)&amp;"")</f>
        <v/>
      </c>
      <c r="G113" s="34">
        <f>IF($A113="","",INDEX(c_alerta,$A113)&amp;"")</f>
        <v/>
      </c>
      <c r="H113" s="34">
        <f>IF($A113="","",INDEX(c_prog,$A113)&amp;"")</f>
        <v/>
      </c>
      <c r="I113" s="34">
        <f>IF($A113="","",INDEX(c_rota,$A113)&amp;"")</f>
        <v/>
      </c>
      <c r="J113" s="34">
        <f>IF($A113="","",IF(INDEX(c_pend,$A113)&amp;""&lt;&gt;"",INDEX(c_pend,$A113)&amp;"",INDEX(c_obs,$A113)&amp;""))</f>
        <v/>
      </c>
      <c r="K113" s="34">
        <f>IF($A113="","",INDEX(c_rpend,$A113)&amp;"")</f>
        <v/>
      </c>
      <c r="L113" s="33">
        <f>IF($A113="","",INDEX(c_prazo,$A113))</f>
        <v/>
      </c>
      <c r="M113" s="41">
        <f>IF($A113="","",INDEX(c_dias,$A113))</f>
        <v/>
      </c>
    </row>
    <row r="114">
      <c r="A114">
        <f>IFERROR(MATCH(LARGE(c_o_pend,107),c_o_pend,0),"")</f>
        <v/>
      </c>
      <c r="B114" s="31">
        <f>IF($A114="","",107)</f>
        <v/>
      </c>
      <c r="C114" s="32">
        <f>IF($A114="","",HYPERLINK("#'LANÇAMENTOS'!A"&amp;($A114+1),INDEX(c_id,$A114)))</f>
        <v/>
      </c>
      <c r="D114" s="33">
        <f>IF($A114="","",INDEX(c_data,$A114))</f>
        <v/>
      </c>
      <c r="E114" s="34">
        <f>IF($A114="","",INDEX(c_turno,$A114)&amp;"")</f>
        <v/>
      </c>
      <c r="F114" s="34">
        <f>IF($A114="","",INDEX(c_status,$A114)&amp;"")</f>
        <v/>
      </c>
      <c r="G114" s="34">
        <f>IF($A114="","",INDEX(c_alerta,$A114)&amp;"")</f>
        <v/>
      </c>
      <c r="H114" s="34">
        <f>IF($A114="","",INDEX(c_prog,$A114)&amp;"")</f>
        <v/>
      </c>
      <c r="I114" s="34">
        <f>IF($A114="","",INDEX(c_rota,$A114)&amp;"")</f>
        <v/>
      </c>
      <c r="J114" s="34">
        <f>IF($A114="","",IF(INDEX(c_pend,$A114)&amp;""&lt;&gt;"",INDEX(c_pend,$A114)&amp;"",INDEX(c_obs,$A114)&amp;""))</f>
        <v/>
      </c>
      <c r="K114" s="34">
        <f>IF($A114="","",INDEX(c_rpend,$A114)&amp;"")</f>
        <v/>
      </c>
      <c r="L114" s="33">
        <f>IF($A114="","",INDEX(c_prazo,$A114))</f>
        <v/>
      </c>
      <c r="M114" s="41">
        <f>IF($A114="","",INDEX(c_dias,$A114))</f>
        <v/>
      </c>
    </row>
    <row r="115">
      <c r="A115">
        <f>IFERROR(MATCH(LARGE(c_o_pend,108),c_o_pend,0),"")</f>
        <v/>
      </c>
      <c r="B115" s="31">
        <f>IF($A115="","",108)</f>
        <v/>
      </c>
      <c r="C115" s="32">
        <f>IF($A115="","",HYPERLINK("#'LANÇAMENTOS'!A"&amp;($A115+1),INDEX(c_id,$A115)))</f>
        <v/>
      </c>
      <c r="D115" s="33">
        <f>IF($A115="","",INDEX(c_data,$A115))</f>
        <v/>
      </c>
      <c r="E115" s="34">
        <f>IF($A115="","",INDEX(c_turno,$A115)&amp;"")</f>
        <v/>
      </c>
      <c r="F115" s="34">
        <f>IF($A115="","",INDEX(c_status,$A115)&amp;"")</f>
        <v/>
      </c>
      <c r="G115" s="34">
        <f>IF($A115="","",INDEX(c_alerta,$A115)&amp;"")</f>
        <v/>
      </c>
      <c r="H115" s="34">
        <f>IF($A115="","",INDEX(c_prog,$A115)&amp;"")</f>
        <v/>
      </c>
      <c r="I115" s="34">
        <f>IF($A115="","",INDEX(c_rota,$A115)&amp;"")</f>
        <v/>
      </c>
      <c r="J115" s="34">
        <f>IF($A115="","",IF(INDEX(c_pend,$A115)&amp;""&lt;&gt;"",INDEX(c_pend,$A115)&amp;"",INDEX(c_obs,$A115)&amp;""))</f>
        <v/>
      </c>
      <c r="K115" s="34">
        <f>IF($A115="","",INDEX(c_rpend,$A115)&amp;"")</f>
        <v/>
      </c>
      <c r="L115" s="33">
        <f>IF($A115="","",INDEX(c_prazo,$A115))</f>
        <v/>
      </c>
      <c r="M115" s="41">
        <f>IF($A115="","",INDEX(c_dias,$A115))</f>
        <v/>
      </c>
    </row>
    <row r="116">
      <c r="A116">
        <f>IFERROR(MATCH(LARGE(c_o_pend,109),c_o_pend,0),"")</f>
        <v/>
      </c>
      <c r="B116" s="31">
        <f>IF($A116="","",109)</f>
        <v/>
      </c>
      <c r="C116" s="32">
        <f>IF($A116="","",HYPERLINK("#'LANÇAMENTOS'!A"&amp;($A116+1),INDEX(c_id,$A116)))</f>
        <v/>
      </c>
      <c r="D116" s="33">
        <f>IF($A116="","",INDEX(c_data,$A116))</f>
        <v/>
      </c>
      <c r="E116" s="34">
        <f>IF($A116="","",INDEX(c_turno,$A116)&amp;"")</f>
        <v/>
      </c>
      <c r="F116" s="34">
        <f>IF($A116="","",INDEX(c_status,$A116)&amp;"")</f>
        <v/>
      </c>
      <c r="G116" s="34">
        <f>IF($A116="","",INDEX(c_alerta,$A116)&amp;"")</f>
        <v/>
      </c>
      <c r="H116" s="34">
        <f>IF($A116="","",INDEX(c_prog,$A116)&amp;"")</f>
        <v/>
      </c>
      <c r="I116" s="34">
        <f>IF($A116="","",INDEX(c_rota,$A116)&amp;"")</f>
        <v/>
      </c>
      <c r="J116" s="34">
        <f>IF($A116="","",IF(INDEX(c_pend,$A116)&amp;""&lt;&gt;"",INDEX(c_pend,$A116)&amp;"",INDEX(c_obs,$A116)&amp;""))</f>
        <v/>
      </c>
      <c r="K116" s="34">
        <f>IF($A116="","",INDEX(c_rpend,$A116)&amp;"")</f>
        <v/>
      </c>
      <c r="L116" s="33">
        <f>IF($A116="","",INDEX(c_prazo,$A116))</f>
        <v/>
      </c>
      <c r="M116" s="41">
        <f>IF($A116="","",INDEX(c_dias,$A116))</f>
        <v/>
      </c>
    </row>
    <row r="117">
      <c r="A117">
        <f>IFERROR(MATCH(LARGE(c_o_pend,110),c_o_pend,0),"")</f>
        <v/>
      </c>
      <c r="B117" s="31">
        <f>IF($A117="","",110)</f>
        <v/>
      </c>
      <c r="C117" s="32">
        <f>IF($A117="","",HYPERLINK("#'LANÇAMENTOS'!A"&amp;($A117+1),INDEX(c_id,$A117)))</f>
        <v/>
      </c>
      <c r="D117" s="33">
        <f>IF($A117="","",INDEX(c_data,$A117))</f>
        <v/>
      </c>
      <c r="E117" s="34">
        <f>IF($A117="","",INDEX(c_turno,$A117)&amp;"")</f>
        <v/>
      </c>
      <c r="F117" s="34">
        <f>IF($A117="","",INDEX(c_status,$A117)&amp;"")</f>
        <v/>
      </c>
      <c r="G117" s="34">
        <f>IF($A117="","",INDEX(c_alerta,$A117)&amp;"")</f>
        <v/>
      </c>
      <c r="H117" s="34">
        <f>IF($A117="","",INDEX(c_prog,$A117)&amp;"")</f>
        <v/>
      </c>
      <c r="I117" s="34">
        <f>IF($A117="","",INDEX(c_rota,$A117)&amp;"")</f>
        <v/>
      </c>
      <c r="J117" s="34">
        <f>IF($A117="","",IF(INDEX(c_pend,$A117)&amp;""&lt;&gt;"",INDEX(c_pend,$A117)&amp;"",INDEX(c_obs,$A117)&amp;""))</f>
        <v/>
      </c>
      <c r="K117" s="34">
        <f>IF($A117="","",INDEX(c_rpend,$A117)&amp;"")</f>
        <v/>
      </c>
      <c r="L117" s="33">
        <f>IF($A117="","",INDEX(c_prazo,$A117))</f>
        <v/>
      </c>
      <c r="M117" s="41">
        <f>IF($A117="","",INDEX(c_dias,$A117))</f>
        <v/>
      </c>
    </row>
    <row r="118">
      <c r="A118">
        <f>IFERROR(MATCH(LARGE(c_o_pend,111),c_o_pend,0),"")</f>
        <v/>
      </c>
      <c r="B118" s="31">
        <f>IF($A118="","",111)</f>
        <v/>
      </c>
      <c r="C118" s="32">
        <f>IF($A118="","",HYPERLINK("#'LANÇAMENTOS'!A"&amp;($A118+1),INDEX(c_id,$A118)))</f>
        <v/>
      </c>
      <c r="D118" s="33">
        <f>IF($A118="","",INDEX(c_data,$A118))</f>
        <v/>
      </c>
      <c r="E118" s="34">
        <f>IF($A118="","",INDEX(c_turno,$A118)&amp;"")</f>
        <v/>
      </c>
      <c r="F118" s="34">
        <f>IF($A118="","",INDEX(c_status,$A118)&amp;"")</f>
        <v/>
      </c>
      <c r="G118" s="34">
        <f>IF($A118="","",INDEX(c_alerta,$A118)&amp;"")</f>
        <v/>
      </c>
      <c r="H118" s="34">
        <f>IF($A118="","",INDEX(c_prog,$A118)&amp;"")</f>
        <v/>
      </c>
      <c r="I118" s="34">
        <f>IF($A118="","",INDEX(c_rota,$A118)&amp;"")</f>
        <v/>
      </c>
      <c r="J118" s="34">
        <f>IF($A118="","",IF(INDEX(c_pend,$A118)&amp;""&lt;&gt;"",INDEX(c_pend,$A118)&amp;"",INDEX(c_obs,$A118)&amp;""))</f>
        <v/>
      </c>
      <c r="K118" s="34">
        <f>IF($A118="","",INDEX(c_rpend,$A118)&amp;"")</f>
        <v/>
      </c>
      <c r="L118" s="33">
        <f>IF($A118="","",INDEX(c_prazo,$A118))</f>
        <v/>
      </c>
      <c r="M118" s="41">
        <f>IF($A118="","",INDEX(c_dias,$A118))</f>
        <v/>
      </c>
    </row>
    <row r="119">
      <c r="A119">
        <f>IFERROR(MATCH(LARGE(c_o_pend,112),c_o_pend,0),"")</f>
        <v/>
      </c>
      <c r="B119" s="31">
        <f>IF($A119="","",112)</f>
        <v/>
      </c>
      <c r="C119" s="32">
        <f>IF($A119="","",HYPERLINK("#'LANÇAMENTOS'!A"&amp;($A119+1),INDEX(c_id,$A119)))</f>
        <v/>
      </c>
      <c r="D119" s="33">
        <f>IF($A119="","",INDEX(c_data,$A119))</f>
        <v/>
      </c>
      <c r="E119" s="34">
        <f>IF($A119="","",INDEX(c_turno,$A119)&amp;"")</f>
        <v/>
      </c>
      <c r="F119" s="34">
        <f>IF($A119="","",INDEX(c_status,$A119)&amp;"")</f>
        <v/>
      </c>
      <c r="G119" s="34">
        <f>IF($A119="","",INDEX(c_alerta,$A119)&amp;"")</f>
        <v/>
      </c>
      <c r="H119" s="34">
        <f>IF($A119="","",INDEX(c_prog,$A119)&amp;"")</f>
        <v/>
      </c>
      <c r="I119" s="34">
        <f>IF($A119="","",INDEX(c_rota,$A119)&amp;"")</f>
        <v/>
      </c>
      <c r="J119" s="34">
        <f>IF($A119="","",IF(INDEX(c_pend,$A119)&amp;""&lt;&gt;"",INDEX(c_pend,$A119)&amp;"",INDEX(c_obs,$A119)&amp;""))</f>
        <v/>
      </c>
      <c r="K119" s="34">
        <f>IF($A119="","",INDEX(c_rpend,$A119)&amp;"")</f>
        <v/>
      </c>
      <c r="L119" s="33">
        <f>IF($A119="","",INDEX(c_prazo,$A119))</f>
        <v/>
      </c>
      <c r="M119" s="41">
        <f>IF($A119="","",INDEX(c_dias,$A119))</f>
        <v/>
      </c>
    </row>
    <row r="120">
      <c r="A120">
        <f>IFERROR(MATCH(LARGE(c_o_pend,113),c_o_pend,0),"")</f>
        <v/>
      </c>
      <c r="B120" s="31">
        <f>IF($A120="","",113)</f>
        <v/>
      </c>
      <c r="C120" s="32">
        <f>IF($A120="","",HYPERLINK("#'LANÇAMENTOS'!A"&amp;($A120+1),INDEX(c_id,$A120)))</f>
        <v/>
      </c>
      <c r="D120" s="33">
        <f>IF($A120="","",INDEX(c_data,$A120))</f>
        <v/>
      </c>
      <c r="E120" s="34">
        <f>IF($A120="","",INDEX(c_turno,$A120)&amp;"")</f>
        <v/>
      </c>
      <c r="F120" s="34">
        <f>IF($A120="","",INDEX(c_status,$A120)&amp;"")</f>
        <v/>
      </c>
      <c r="G120" s="34">
        <f>IF($A120="","",INDEX(c_alerta,$A120)&amp;"")</f>
        <v/>
      </c>
      <c r="H120" s="34">
        <f>IF($A120="","",INDEX(c_prog,$A120)&amp;"")</f>
        <v/>
      </c>
      <c r="I120" s="34">
        <f>IF($A120="","",INDEX(c_rota,$A120)&amp;"")</f>
        <v/>
      </c>
      <c r="J120" s="34">
        <f>IF($A120="","",IF(INDEX(c_pend,$A120)&amp;""&lt;&gt;"",INDEX(c_pend,$A120)&amp;"",INDEX(c_obs,$A120)&amp;""))</f>
        <v/>
      </c>
      <c r="K120" s="34">
        <f>IF($A120="","",INDEX(c_rpend,$A120)&amp;"")</f>
        <v/>
      </c>
      <c r="L120" s="33">
        <f>IF($A120="","",INDEX(c_prazo,$A120))</f>
        <v/>
      </c>
      <c r="M120" s="41">
        <f>IF($A120="","",INDEX(c_dias,$A120))</f>
        <v/>
      </c>
    </row>
    <row r="121">
      <c r="A121">
        <f>IFERROR(MATCH(LARGE(c_o_pend,114),c_o_pend,0),"")</f>
        <v/>
      </c>
      <c r="B121" s="31">
        <f>IF($A121="","",114)</f>
        <v/>
      </c>
      <c r="C121" s="32">
        <f>IF($A121="","",HYPERLINK("#'LANÇAMENTOS'!A"&amp;($A121+1),INDEX(c_id,$A121)))</f>
        <v/>
      </c>
      <c r="D121" s="33">
        <f>IF($A121="","",INDEX(c_data,$A121))</f>
        <v/>
      </c>
      <c r="E121" s="34">
        <f>IF($A121="","",INDEX(c_turno,$A121)&amp;"")</f>
        <v/>
      </c>
      <c r="F121" s="34">
        <f>IF($A121="","",INDEX(c_status,$A121)&amp;"")</f>
        <v/>
      </c>
      <c r="G121" s="34">
        <f>IF($A121="","",INDEX(c_alerta,$A121)&amp;"")</f>
        <v/>
      </c>
      <c r="H121" s="34">
        <f>IF($A121="","",INDEX(c_prog,$A121)&amp;"")</f>
        <v/>
      </c>
      <c r="I121" s="34">
        <f>IF($A121="","",INDEX(c_rota,$A121)&amp;"")</f>
        <v/>
      </c>
      <c r="J121" s="34">
        <f>IF($A121="","",IF(INDEX(c_pend,$A121)&amp;""&lt;&gt;"",INDEX(c_pend,$A121)&amp;"",INDEX(c_obs,$A121)&amp;""))</f>
        <v/>
      </c>
      <c r="K121" s="34">
        <f>IF($A121="","",INDEX(c_rpend,$A121)&amp;"")</f>
        <v/>
      </c>
      <c r="L121" s="33">
        <f>IF($A121="","",INDEX(c_prazo,$A121))</f>
        <v/>
      </c>
      <c r="M121" s="41">
        <f>IF($A121="","",INDEX(c_dias,$A121))</f>
        <v/>
      </c>
    </row>
    <row r="122">
      <c r="A122">
        <f>IFERROR(MATCH(LARGE(c_o_pend,115),c_o_pend,0),"")</f>
        <v/>
      </c>
      <c r="B122" s="31">
        <f>IF($A122="","",115)</f>
        <v/>
      </c>
      <c r="C122" s="32">
        <f>IF($A122="","",HYPERLINK("#'LANÇAMENTOS'!A"&amp;($A122+1),INDEX(c_id,$A122)))</f>
        <v/>
      </c>
      <c r="D122" s="33">
        <f>IF($A122="","",INDEX(c_data,$A122))</f>
        <v/>
      </c>
      <c r="E122" s="34">
        <f>IF($A122="","",INDEX(c_turno,$A122)&amp;"")</f>
        <v/>
      </c>
      <c r="F122" s="34">
        <f>IF($A122="","",INDEX(c_status,$A122)&amp;"")</f>
        <v/>
      </c>
      <c r="G122" s="34">
        <f>IF($A122="","",INDEX(c_alerta,$A122)&amp;"")</f>
        <v/>
      </c>
      <c r="H122" s="34">
        <f>IF($A122="","",INDEX(c_prog,$A122)&amp;"")</f>
        <v/>
      </c>
      <c r="I122" s="34">
        <f>IF($A122="","",INDEX(c_rota,$A122)&amp;"")</f>
        <v/>
      </c>
      <c r="J122" s="34">
        <f>IF($A122="","",IF(INDEX(c_pend,$A122)&amp;""&lt;&gt;"",INDEX(c_pend,$A122)&amp;"",INDEX(c_obs,$A122)&amp;""))</f>
        <v/>
      </c>
      <c r="K122" s="34">
        <f>IF($A122="","",INDEX(c_rpend,$A122)&amp;"")</f>
        <v/>
      </c>
      <c r="L122" s="33">
        <f>IF($A122="","",INDEX(c_prazo,$A122))</f>
        <v/>
      </c>
      <c r="M122" s="41">
        <f>IF($A122="","",INDEX(c_dias,$A122))</f>
        <v/>
      </c>
    </row>
    <row r="123">
      <c r="A123">
        <f>IFERROR(MATCH(LARGE(c_o_pend,116),c_o_pend,0),"")</f>
        <v/>
      </c>
      <c r="B123" s="31">
        <f>IF($A123="","",116)</f>
        <v/>
      </c>
      <c r="C123" s="32">
        <f>IF($A123="","",HYPERLINK("#'LANÇAMENTOS'!A"&amp;($A123+1),INDEX(c_id,$A123)))</f>
        <v/>
      </c>
      <c r="D123" s="33">
        <f>IF($A123="","",INDEX(c_data,$A123))</f>
        <v/>
      </c>
      <c r="E123" s="34">
        <f>IF($A123="","",INDEX(c_turno,$A123)&amp;"")</f>
        <v/>
      </c>
      <c r="F123" s="34">
        <f>IF($A123="","",INDEX(c_status,$A123)&amp;"")</f>
        <v/>
      </c>
      <c r="G123" s="34">
        <f>IF($A123="","",INDEX(c_alerta,$A123)&amp;"")</f>
        <v/>
      </c>
      <c r="H123" s="34">
        <f>IF($A123="","",INDEX(c_prog,$A123)&amp;"")</f>
        <v/>
      </c>
      <c r="I123" s="34">
        <f>IF($A123="","",INDEX(c_rota,$A123)&amp;"")</f>
        <v/>
      </c>
      <c r="J123" s="34">
        <f>IF($A123="","",IF(INDEX(c_pend,$A123)&amp;""&lt;&gt;"",INDEX(c_pend,$A123)&amp;"",INDEX(c_obs,$A123)&amp;""))</f>
        <v/>
      </c>
      <c r="K123" s="34">
        <f>IF($A123="","",INDEX(c_rpend,$A123)&amp;"")</f>
        <v/>
      </c>
      <c r="L123" s="33">
        <f>IF($A123="","",INDEX(c_prazo,$A123))</f>
        <v/>
      </c>
      <c r="M123" s="41">
        <f>IF($A123="","",INDEX(c_dias,$A123))</f>
        <v/>
      </c>
    </row>
    <row r="124">
      <c r="A124">
        <f>IFERROR(MATCH(LARGE(c_o_pend,117),c_o_pend,0),"")</f>
        <v/>
      </c>
      <c r="B124" s="31">
        <f>IF($A124="","",117)</f>
        <v/>
      </c>
      <c r="C124" s="32">
        <f>IF($A124="","",HYPERLINK("#'LANÇAMENTOS'!A"&amp;($A124+1),INDEX(c_id,$A124)))</f>
        <v/>
      </c>
      <c r="D124" s="33">
        <f>IF($A124="","",INDEX(c_data,$A124))</f>
        <v/>
      </c>
      <c r="E124" s="34">
        <f>IF($A124="","",INDEX(c_turno,$A124)&amp;"")</f>
        <v/>
      </c>
      <c r="F124" s="34">
        <f>IF($A124="","",INDEX(c_status,$A124)&amp;"")</f>
        <v/>
      </c>
      <c r="G124" s="34">
        <f>IF($A124="","",INDEX(c_alerta,$A124)&amp;"")</f>
        <v/>
      </c>
      <c r="H124" s="34">
        <f>IF($A124="","",INDEX(c_prog,$A124)&amp;"")</f>
        <v/>
      </c>
      <c r="I124" s="34">
        <f>IF($A124="","",INDEX(c_rota,$A124)&amp;"")</f>
        <v/>
      </c>
      <c r="J124" s="34">
        <f>IF($A124="","",IF(INDEX(c_pend,$A124)&amp;""&lt;&gt;"",INDEX(c_pend,$A124)&amp;"",INDEX(c_obs,$A124)&amp;""))</f>
        <v/>
      </c>
      <c r="K124" s="34">
        <f>IF($A124="","",INDEX(c_rpend,$A124)&amp;"")</f>
        <v/>
      </c>
      <c r="L124" s="33">
        <f>IF($A124="","",INDEX(c_prazo,$A124))</f>
        <v/>
      </c>
      <c r="M124" s="41">
        <f>IF($A124="","",INDEX(c_dias,$A124))</f>
        <v/>
      </c>
    </row>
    <row r="125">
      <c r="A125">
        <f>IFERROR(MATCH(LARGE(c_o_pend,118),c_o_pend,0),"")</f>
        <v/>
      </c>
      <c r="B125" s="31">
        <f>IF($A125="","",118)</f>
        <v/>
      </c>
      <c r="C125" s="32">
        <f>IF($A125="","",HYPERLINK("#'LANÇAMENTOS'!A"&amp;($A125+1),INDEX(c_id,$A125)))</f>
        <v/>
      </c>
      <c r="D125" s="33">
        <f>IF($A125="","",INDEX(c_data,$A125))</f>
        <v/>
      </c>
      <c r="E125" s="34">
        <f>IF($A125="","",INDEX(c_turno,$A125)&amp;"")</f>
        <v/>
      </c>
      <c r="F125" s="34">
        <f>IF($A125="","",INDEX(c_status,$A125)&amp;"")</f>
        <v/>
      </c>
      <c r="G125" s="34">
        <f>IF($A125="","",INDEX(c_alerta,$A125)&amp;"")</f>
        <v/>
      </c>
      <c r="H125" s="34">
        <f>IF($A125="","",INDEX(c_prog,$A125)&amp;"")</f>
        <v/>
      </c>
      <c r="I125" s="34">
        <f>IF($A125="","",INDEX(c_rota,$A125)&amp;"")</f>
        <v/>
      </c>
      <c r="J125" s="34">
        <f>IF($A125="","",IF(INDEX(c_pend,$A125)&amp;""&lt;&gt;"",INDEX(c_pend,$A125)&amp;"",INDEX(c_obs,$A125)&amp;""))</f>
        <v/>
      </c>
      <c r="K125" s="34">
        <f>IF($A125="","",INDEX(c_rpend,$A125)&amp;"")</f>
        <v/>
      </c>
      <c r="L125" s="33">
        <f>IF($A125="","",INDEX(c_prazo,$A125))</f>
        <v/>
      </c>
      <c r="M125" s="41">
        <f>IF($A125="","",INDEX(c_dias,$A125))</f>
        <v/>
      </c>
    </row>
    <row r="126">
      <c r="A126">
        <f>IFERROR(MATCH(LARGE(c_o_pend,119),c_o_pend,0),"")</f>
        <v/>
      </c>
      <c r="B126" s="31">
        <f>IF($A126="","",119)</f>
        <v/>
      </c>
      <c r="C126" s="32">
        <f>IF($A126="","",HYPERLINK("#'LANÇAMENTOS'!A"&amp;($A126+1),INDEX(c_id,$A126)))</f>
        <v/>
      </c>
      <c r="D126" s="33">
        <f>IF($A126="","",INDEX(c_data,$A126))</f>
        <v/>
      </c>
      <c r="E126" s="34">
        <f>IF($A126="","",INDEX(c_turno,$A126)&amp;"")</f>
        <v/>
      </c>
      <c r="F126" s="34">
        <f>IF($A126="","",INDEX(c_status,$A126)&amp;"")</f>
        <v/>
      </c>
      <c r="G126" s="34">
        <f>IF($A126="","",INDEX(c_alerta,$A126)&amp;"")</f>
        <v/>
      </c>
      <c r="H126" s="34">
        <f>IF($A126="","",INDEX(c_prog,$A126)&amp;"")</f>
        <v/>
      </c>
      <c r="I126" s="34">
        <f>IF($A126="","",INDEX(c_rota,$A126)&amp;"")</f>
        <v/>
      </c>
      <c r="J126" s="34">
        <f>IF($A126="","",IF(INDEX(c_pend,$A126)&amp;""&lt;&gt;"",INDEX(c_pend,$A126)&amp;"",INDEX(c_obs,$A126)&amp;""))</f>
        <v/>
      </c>
      <c r="K126" s="34">
        <f>IF($A126="","",INDEX(c_rpend,$A126)&amp;"")</f>
        <v/>
      </c>
      <c r="L126" s="33">
        <f>IF($A126="","",INDEX(c_prazo,$A126))</f>
        <v/>
      </c>
      <c r="M126" s="41">
        <f>IF($A126="","",INDEX(c_dias,$A126))</f>
        <v/>
      </c>
    </row>
    <row r="127">
      <c r="A127">
        <f>IFERROR(MATCH(LARGE(c_o_pend,120),c_o_pend,0),"")</f>
        <v/>
      </c>
      <c r="B127" s="31">
        <f>IF($A127="","",120)</f>
        <v/>
      </c>
      <c r="C127" s="32">
        <f>IF($A127="","",HYPERLINK("#'LANÇAMENTOS'!A"&amp;($A127+1),INDEX(c_id,$A127)))</f>
        <v/>
      </c>
      <c r="D127" s="33">
        <f>IF($A127="","",INDEX(c_data,$A127))</f>
        <v/>
      </c>
      <c r="E127" s="34">
        <f>IF($A127="","",INDEX(c_turno,$A127)&amp;"")</f>
        <v/>
      </c>
      <c r="F127" s="34">
        <f>IF($A127="","",INDEX(c_status,$A127)&amp;"")</f>
        <v/>
      </c>
      <c r="G127" s="34">
        <f>IF($A127="","",INDEX(c_alerta,$A127)&amp;"")</f>
        <v/>
      </c>
      <c r="H127" s="34">
        <f>IF($A127="","",INDEX(c_prog,$A127)&amp;"")</f>
        <v/>
      </c>
      <c r="I127" s="34">
        <f>IF($A127="","",INDEX(c_rota,$A127)&amp;"")</f>
        <v/>
      </c>
      <c r="J127" s="34">
        <f>IF($A127="","",IF(INDEX(c_pend,$A127)&amp;""&lt;&gt;"",INDEX(c_pend,$A127)&amp;"",INDEX(c_obs,$A127)&amp;""))</f>
        <v/>
      </c>
      <c r="K127" s="34">
        <f>IF($A127="","",INDEX(c_rpend,$A127)&amp;"")</f>
        <v/>
      </c>
      <c r="L127" s="33">
        <f>IF($A127="","",INDEX(c_prazo,$A127))</f>
        <v/>
      </c>
      <c r="M127" s="41">
        <f>IF($A127="","",INDEX(c_dias,$A127))</f>
        <v/>
      </c>
    </row>
    <row r="128">
      <c r="A128">
        <f>IFERROR(MATCH(LARGE(c_o_pend,121),c_o_pend,0),"")</f>
        <v/>
      </c>
      <c r="B128" s="31">
        <f>IF($A128="","",121)</f>
        <v/>
      </c>
      <c r="C128" s="32">
        <f>IF($A128="","",HYPERLINK("#'LANÇAMENTOS'!A"&amp;($A128+1),INDEX(c_id,$A128)))</f>
        <v/>
      </c>
      <c r="D128" s="33">
        <f>IF($A128="","",INDEX(c_data,$A128))</f>
        <v/>
      </c>
      <c r="E128" s="34">
        <f>IF($A128="","",INDEX(c_turno,$A128)&amp;"")</f>
        <v/>
      </c>
      <c r="F128" s="34">
        <f>IF($A128="","",INDEX(c_status,$A128)&amp;"")</f>
        <v/>
      </c>
      <c r="G128" s="34">
        <f>IF($A128="","",INDEX(c_alerta,$A128)&amp;"")</f>
        <v/>
      </c>
      <c r="H128" s="34">
        <f>IF($A128="","",INDEX(c_prog,$A128)&amp;"")</f>
        <v/>
      </c>
      <c r="I128" s="34">
        <f>IF($A128="","",INDEX(c_rota,$A128)&amp;"")</f>
        <v/>
      </c>
      <c r="J128" s="34">
        <f>IF($A128="","",IF(INDEX(c_pend,$A128)&amp;""&lt;&gt;"",INDEX(c_pend,$A128)&amp;"",INDEX(c_obs,$A128)&amp;""))</f>
        <v/>
      </c>
      <c r="K128" s="34">
        <f>IF($A128="","",INDEX(c_rpend,$A128)&amp;"")</f>
        <v/>
      </c>
      <c r="L128" s="33">
        <f>IF($A128="","",INDEX(c_prazo,$A128))</f>
        <v/>
      </c>
      <c r="M128" s="41">
        <f>IF($A128="","",INDEX(c_dias,$A128))</f>
        <v/>
      </c>
    </row>
    <row r="129">
      <c r="A129">
        <f>IFERROR(MATCH(LARGE(c_o_pend,122),c_o_pend,0),"")</f>
        <v/>
      </c>
      <c r="B129" s="31">
        <f>IF($A129="","",122)</f>
        <v/>
      </c>
      <c r="C129" s="32">
        <f>IF($A129="","",HYPERLINK("#'LANÇAMENTOS'!A"&amp;($A129+1),INDEX(c_id,$A129)))</f>
        <v/>
      </c>
      <c r="D129" s="33">
        <f>IF($A129="","",INDEX(c_data,$A129))</f>
        <v/>
      </c>
      <c r="E129" s="34">
        <f>IF($A129="","",INDEX(c_turno,$A129)&amp;"")</f>
        <v/>
      </c>
      <c r="F129" s="34">
        <f>IF($A129="","",INDEX(c_status,$A129)&amp;"")</f>
        <v/>
      </c>
      <c r="G129" s="34">
        <f>IF($A129="","",INDEX(c_alerta,$A129)&amp;"")</f>
        <v/>
      </c>
      <c r="H129" s="34">
        <f>IF($A129="","",INDEX(c_prog,$A129)&amp;"")</f>
        <v/>
      </c>
      <c r="I129" s="34">
        <f>IF($A129="","",INDEX(c_rota,$A129)&amp;"")</f>
        <v/>
      </c>
      <c r="J129" s="34">
        <f>IF($A129="","",IF(INDEX(c_pend,$A129)&amp;""&lt;&gt;"",INDEX(c_pend,$A129)&amp;"",INDEX(c_obs,$A129)&amp;""))</f>
        <v/>
      </c>
      <c r="K129" s="34">
        <f>IF($A129="","",INDEX(c_rpend,$A129)&amp;"")</f>
        <v/>
      </c>
      <c r="L129" s="33">
        <f>IF($A129="","",INDEX(c_prazo,$A129))</f>
        <v/>
      </c>
      <c r="M129" s="41">
        <f>IF($A129="","",INDEX(c_dias,$A129))</f>
        <v/>
      </c>
    </row>
    <row r="130">
      <c r="A130">
        <f>IFERROR(MATCH(LARGE(c_o_pend,123),c_o_pend,0),"")</f>
        <v/>
      </c>
      <c r="B130" s="31">
        <f>IF($A130="","",123)</f>
        <v/>
      </c>
      <c r="C130" s="32">
        <f>IF($A130="","",HYPERLINK("#'LANÇAMENTOS'!A"&amp;($A130+1),INDEX(c_id,$A130)))</f>
        <v/>
      </c>
      <c r="D130" s="33">
        <f>IF($A130="","",INDEX(c_data,$A130))</f>
        <v/>
      </c>
      <c r="E130" s="34">
        <f>IF($A130="","",INDEX(c_turno,$A130)&amp;"")</f>
        <v/>
      </c>
      <c r="F130" s="34">
        <f>IF($A130="","",INDEX(c_status,$A130)&amp;"")</f>
        <v/>
      </c>
      <c r="G130" s="34">
        <f>IF($A130="","",INDEX(c_alerta,$A130)&amp;"")</f>
        <v/>
      </c>
      <c r="H130" s="34">
        <f>IF($A130="","",INDEX(c_prog,$A130)&amp;"")</f>
        <v/>
      </c>
      <c r="I130" s="34">
        <f>IF($A130="","",INDEX(c_rota,$A130)&amp;"")</f>
        <v/>
      </c>
      <c r="J130" s="34">
        <f>IF($A130="","",IF(INDEX(c_pend,$A130)&amp;""&lt;&gt;"",INDEX(c_pend,$A130)&amp;"",INDEX(c_obs,$A130)&amp;""))</f>
        <v/>
      </c>
      <c r="K130" s="34">
        <f>IF($A130="","",INDEX(c_rpend,$A130)&amp;"")</f>
        <v/>
      </c>
      <c r="L130" s="33">
        <f>IF($A130="","",INDEX(c_prazo,$A130))</f>
        <v/>
      </c>
      <c r="M130" s="41">
        <f>IF($A130="","",INDEX(c_dias,$A130))</f>
        <v/>
      </c>
    </row>
    <row r="131">
      <c r="A131">
        <f>IFERROR(MATCH(LARGE(c_o_pend,124),c_o_pend,0),"")</f>
        <v/>
      </c>
      <c r="B131" s="31">
        <f>IF($A131="","",124)</f>
        <v/>
      </c>
      <c r="C131" s="32">
        <f>IF($A131="","",HYPERLINK("#'LANÇAMENTOS'!A"&amp;($A131+1),INDEX(c_id,$A131)))</f>
        <v/>
      </c>
      <c r="D131" s="33">
        <f>IF($A131="","",INDEX(c_data,$A131))</f>
        <v/>
      </c>
      <c r="E131" s="34">
        <f>IF($A131="","",INDEX(c_turno,$A131)&amp;"")</f>
        <v/>
      </c>
      <c r="F131" s="34">
        <f>IF($A131="","",INDEX(c_status,$A131)&amp;"")</f>
        <v/>
      </c>
      <c r="G131" s="34">
        <f>IF($A131="","",INDEX(c_alerta,$A131)&amp;"")</f>
        <v/>
      </c>
      <c r="H131" s="34">
        <f>IF($A131="","",INDEX(c_prog,$A131)&amp;"")</f>
        <v/>
      </c>
      <c r="I131" s="34">
        <f>IF($A131="","",INDEX(c_rota,$A131)&amp;"")</f>
        <v/>
      </c>
      <c r="J131" s="34">
        <f>IF($A131="","",IF(INDEX(c_pend,$A131)&amp;""&lt;&gt;"",INDEX(c_pend,$A131)&amp;"",INDEX(c_obs,$A131)&amp;""))</f>
        <v/>
      </c>
      <c r="K131" s="34">
        <f>IF($A131="","",INDEX(c_rpend,$A131)&amp;"")</f>
        <v/>
      </c>
      <c r="L131" s="33">
        <f>IF($A131="","",INDEX(c_prazo,$A131))</f>
        <v/>
      </c>
      <c r="M131" s="41">
        <f>IF($A131="","",INDEX(c_dias,$A131))</f>
        <v/>
      </c>
    </row>
    <row r="132">
      <c r="A132">
        <f>IFERROR(MATCH(LARGE(c_o_pend,125),c_o_pend,0),"")</f>
        <v/>
      </c>
      <c r="B132" s="31">
        <f>IF($A132="","",125)</f>
        <v/>
      </c>
      <c r="C132" s="32">
        <f>IF($A132="","",HYPERLINK("#'LANÇAMENTOS'!A"&amp;($A132+1),INDEX(c_id,$A132)))</f>
        <v/>
      </c>
      <c r="D132" s="33">
        <f>IF($A132="","",INDEX(c_data,$A132))</f>
        <v/>
      </c>
      <c r="E132" s="34">
        <f>IF($A132="","",INDEX(c_turno,$A132)&amp;"")</f>
        <v/>
      </c>
      <c r="F132" s="34">
        <f>IF($A132="","",INDEX(c_status,$A132)&amp;"")</f>
        <v/>
      </c>
      <c r="G132" s="34">
        <f>IF($A132="","",INDEX(c_alerta,$A132)&amp;"")</f>
        <v/>
      </c>
      <c r="H132" s="34">
        <f>IF($A132="","",INDEX(c_prog,$A132)&amp;"")</f>
        <v/>
      </c>
      <c r="I132" s="34">
        <f>IF($A132="","",INDEX(c_rota,$A132)&amp;"")</f>
        <v/>
      </c>
      <c r="J132" s="34">
        <f>IF($A132="","",IF(INDEX(c_pend,$A132)&amp;""&lt;&gt;"",INDEX(c_pend,$A132)&amp;"",INDEX(c_obs,$A132)&amp;""))</f>
        <v/>
      </c>
      <c r="K132" s="34">
        <f>IF($A132="","",INDEX(c_rpend,$A132)&amp;"")</f>
        <v/>
      </c>
      <c r="L132" s="33">
        <f>IF($A132="","",INDEX(c_prazo,$A132))</f>
        <v/>
      </c>
      <c r="M132" s="41">
        <f>IF($A132="","",INDEX(c_dias,$A132))</f>
        <v/>
      </c>
    </row>
    <row r="133">
      <c r="A133">
        <f>IFERROR(MATCH(LARGE(c_o_pend,126),c_o_pend,0),"")</f>
        <v/>
      </c>
      <c r="B133" s="31">
        <f>IF($A133="","",126)</f>
        <v/>
      </c>
      <c r="C133" s="32">
        <f>IF($A133="","",HYPERLINK("#'LANÇAMENTOS'!A"&amp;($A133+1),INDEX(c_id,$A133)))</f>
        <v/>
      </c>
      <c r="D133" s="33">
        <f>IF($A133="","",INDEX(c_data,$A133))</f>
        <v/>
      </c>
      <c r="E133" s="34">
        <f>IF($A133="","",INDEX(c_turno,$A133)&amp;"")</f>
        <v/>
      </c>
      <c r="F133" s="34">
        <f>IF($A133="","",INDEX(c_status,$A133)&amp;"")</f>
        <v/>
      </c>
      <c r="G133" s="34">
        <f>IF($A133="","",INDEX(c_alerta,$A133)&amp;"")</f>
        <v/>
      </c>
      <c r="H133" s="34">
        <f>IF($A133="","",INDEX(c_prog,$A133)&amp;"")</f>
        <v/>
      </c>
      <c r="I133" s="34">
        <f>IF($A133="","",INDEX(c_rota,$A133)&amp;"")</f>
        <v/>
      </c>
      <c r="J133" s="34">
        <f>IF($A133="","",IF(INDEX(c_pend,$A133)&amp;""&lt;&gt;"",INDEX(c_pend,$A133)&amp;"",INDEX(c_obs,$A133)&amp;""))</f>
        <v/>
      </c>
      <c r="K133" s="34">
        <f>IF($A133="","",INDEX(c_rpend,$A133)&amp;"")</f>
        <v/>
      </c>
      <c r="L133" s="33">
        <f>IF($A133="","",INDEX(c_prazo,$A133))</f>
        <v/>
      </c>
      <c r="M133" s="41">
        <f>IF($A133="","",INDEX(c_dias,$A133))</f>
        <v/>
      </c>
    </row>
    <row r="134">
      <c r="A134">
        <f>IFERROR(MATCH(LARGE(c_o_pend,127),c_o_pend,0),"")</f>
        <v/>
      </c>
      <c r="B134" s="31">
        <f>IF($A134="","",127)</f>
        <v/>
      </c>
      <c r="C134" s="32">
        <f>IF($A134="","",HYPERLINK("#'LANÇAMENTOS'!A"&amp;($A134+1),INDEX(c_id,$A134)))</f>
        <v/>
      </c>
      <c r="D134" s="33">
        <f>IF($A134="","",INDEX(c_data,$A134))</f>
        <v/>
      </c>
      <c r="E134" s="34">
        <f>IF($A134="","",INDEX(c_turno,$A134)&amp;"")</f>
        <v/>
      </c>
      <c r="F134" s="34">
        <f>IF($A134="","",INDEX(c_status,$A134)&amp;"")</f>
        <v/>
      </c>
      <c r="G134" s="34">
        <f>IF($A134="","",INDEX(c_alerta,$A134)&amp;"")</f>
        <v/>
      </c>
      <c r="H134" s="34">
        <f>IF($A134="","",INDEX(c_prog,$A134)&amp;"")</f>
        <v/>
      </c>
      <c r="I134" s="34">
        <f>IF($A134="","",INDEX(c_rota,$A134)&amp;"")</f>
        <v/>
      </c>
      <c r="J134" s="34">
        <f>IF($A134="","",IF(INDEX(c_pend,$A134)&amp;""&lt;&gt;"",INDEX(c_pend,$A134)&amp;"",INDEX(c_obs,$A134)&amp;""))</f>
        <v/>
      </c>
      <c r="K134" s="34">
        <f>IF($A134="","",INDEX(c_rpend,$A134)&amp;"")</f>
        <v/>
      </c>
      <c r="L134" s="33">
        <f>IF($A134="","",INDEX(c_prazo,$A134))</f>
        <v/>
      </c>
      <c r="M134" s="41">
        <f>IF($A134="","",INDEX(c_dias,$A134))</f>
        <v/>
      </c>
    </row>
    <row r="135">
      <c r="A135">
        <f>IFERROR(MATCH(LARGE(c_o_pend,128),c_o_pend,0),"")</f>
        <v/>
      </c>
      <c r="B135" s="31">
        <f>IF($A135="","",128)</f>
        <v/>
      </c>
      <c r="C135" s="32">
        <f>IF($A135="","",HYPERLINK("#'LANÇAMENTOS'!A"&amp;($A135+1),INDEX(c_id,$A135)))</f>
        <v/>
      </c>
      <c r="D135" s="33">
        <f>IF($A135="","",INDEX(c_data,$A135))</f>
        <v/>
      </c>
      <c r="E135" s="34">
        <f>IF($A135="","",INDEX(c_turno,$A135)&amp;"")</f>
        <v/>
      </c>
      <c r="F135" s="34">
        <f>IF($A135="","",INDEX(c_status,$A135)&amp;"")</f>
        <v/>
      </c>
      <c r="G135" s="34">
        <f>IF($A135="","",INDEX(c_alerta,$A135)&amp;"")</f>
        <v/>
      </c>
      <c r="H135" s="34">
        <f>IF($A135="","",INDEX(c_prog,$A135)&amp;"")</f>
        <v/>
      </c>
      <c r="I135" s="34">
        <f>IF($A135="","",INDEX(c_rota,$A135)&amp;"")</f>
        <v/>
      </c>
      <c r="J135" s="34">
        <f>IF($A135="","",IF(INDEX(c_pend,$A135)&amp;""&lt;&gt;"",INDEX(c_pend,$A135)&amp;"",INDEX(c_obs,$A135)&amp;""))</f>
        <v/>
      </c>
      <c r="K135" s="34">
        <f>IF($A135="","",INDEX(c_rpend,$A135)&amp;"")</f>
        <v/>
      </c>
      <c r="L135" s="33">
        <f>IF($A135="","",INDEX(c_prazo,$A135))</f>
        <v/>
      </c>
      <c r="M135" s="41">
        <f>IF($A135="","",INDEX(c_dias,$A135))</f>
        <v/>
      </c>
    </row>
    <row r="136">
      <c r="A136">
        <f>IFERROR(MATCH(LARGE(c_o_pend,129),c_o_pend,0),"")</f>
        <v/>
      </c>
      <c r="B136" s="31">
        <f>IF($A136="","",129)</f>
        <v/>
      </c>
      <c r="C136" s="32">
        <f>IF($A136="","",HYPERLINK("#'LANÇAMENTOS'!A"&amp;($A136+1),INDEX(c_id,$A136)))</f>
        <v/>
      </c>
      <c r="D136" s="33">
        <f>IF($A136="","",INDEX(c_data,$A136))</f>
        <v/>
      </c>
      <c r="E136" s="34">
        <f>IF($A136="","",INDEX(c_turno,$A136)&amp;"")</f>
        <v/>
      </c>
      <c r="F136" s="34">
        <f>IF($A136="","",INDEX(c_status,$A136)&amp;"")</f>
        <v/>
      </c>
      <c r="G136" s="34">
        <f>IF($A136="","",INDEX(c_alerta,$A136)&amp;"")</f>
        <v/>
      </c>
      <c r="H136" s="34">
        <f>IF($A136="","",INDEX(c_prog,$A136)&amp;"")</f>
        <v/>
      </c>
      <c r="I136" s="34">
        <f>IF($A136="","",INDEX(c_rota,$A136)&amp;"")</f>
        <v/>
      </c>
      <c r="J136" s="34">
        <f>IF($A136="","",IF(INDEX(c_pend,$A136)&amp;""&lt;&gt;"",INDEX(c_pend,$A136)&amp;"",INDEX(c_obs,$A136)&amp;""))</f>
        <v/>
      </c>
      <c r="K136" s="34">
        <f>IF($A136="","",INDEX(c_rpend,$A136)&amp;"")</f>
        <v/>
      </c>
      <c r="L136" s="33">
        <f>IF($A136="","",INDEX(c_prazo,$A136))</f>
        <v/>
      </c>
      <c r="M136" s="41">
        <f>IF($A136="","",INDEX(c_dias,$A136))</f>
        <v/>
      </c>
    </row>
    <row r="137">
      <c r="A137">
        <f>IFERROR(MATCH(LARGE(c_o_pend,130),c_o_pend,0),"")</f>
        <v/>
      </c>
      <c r="B137" s="31">
        <f>IF($A137="","",130)</f>
        <v/>
      </c>
      <c r="C137" s="32">
        <f>IF($A137="","",HYPERLINK("#'LANÇAMENTOS'!A"&amp;($A137+1),INDEX(c_id,$A137)))</f>
        <v/>
      </c>
      <c r="D137" s="33">
        <f>IF($A137="","",INDEX(c_data,$A137))</f>
        <v/>
      </c>
      <c r="E137" s="34">
        <f>IF($A137="","",INDEX(c_turno,$A137)&amp;"")</f>
        <v/>
      </c>
      <c r="F137" s="34">
        <f>IF($A137="","",INDEX(c_status,$A137)&amp;"")</f>
        <v/>
      </c>
      <c r="G137" s="34">
        <f>IF($A137="","",INDEX(c_alerta,$A137)&amp;"")</f>
        <v/>
      </c>
      <c r="H137" s="34">
        <f>IF($A137="","",INDEX(c_prog,$A137)&amp;"")</f>
        <v/>
      </c>
      <c r="I137" s="34">
        <f>IF($A137="","",INDEX(c_rota,$A137)&amp;"")</f>
        <v/>
      </c>
      <c r="J137" s="34">
        <f>IF($A137="","",IF(INDEX(c_pend,$A137)&amp;""&lt;&gt;"",INDEX(c_pend,$A137)&amp;"",INDEX(c_obs,$A137)&amp;""))</f>
        <v/>
      </c>
      <c r="K137" s="34">
        <f>IF($A137="","",INDEX(c_rpend,$A137)&amp;"")</f>
        <v/>
      </c>
      <c r="L137" s="33">
        <f>IF($A137="","",INDEX(c_prazo,$A137))</f>
        <v/>
      </c>
      <c r="M137" s="41">
        <f>IF($A137="","",INDEX(c_dias,$A137))</f>
        <v/>
      </c>
    </row>
    <row r="138">
      <c r="A138">
        <f>IFERROR(MATCH(LARGE(c_o_pend,131),c_o_pend,0),"")</f>
        <v/>
      </c>
      <c r="B138" s="31">
        <f>IF($A138="","",131)</f>
        <v/>
      </c>
      <c r="C138" s="32">
        <f>IF($A138="","",HYPERLINK("#'LANÇAMENTOS'!A"&amp;($A138+1),INDEX(c_id,$A138)))</f>
        <v/>
      </c>
      <c r="D138" s="33">
        <f>IF($A138="","",INDEX(c_data,$A138))</f>
        <v/>
      </c>
      <c r="E138" s="34">
        <f>IF($A138="","",INDEX(c_turno,$A138)&amp;"")</f>
        <v/>
      </c>
      <c r="F138" s="34">
        <f>IF($A138="","",INDEX(c_status,$A138)&amp;"")</f>
        <v/>
      </c>
      <c r="G138" s="34">
        <f>IF($A138="","",INDEX(c_alerta,$A138)&amp;"")</f>
        <v/>
      </c>
      <c r="H138" s="34">
        <f>IF($A138="","",INDEX(c_prog,$A138)&amp;"")</f>
        <v/>
      </c>
      <c r="I138" s="34">
        <f>IF($A138="","",INDEX(c_rota,$A138)&amp;"")</f>
        <v/>
      </c>
      <c r="J138" s="34">
        <f>IF($A138="","",IF(INDEX(c_pend,$A138)&amp;""&lt;&gt;"",INDEX(c_pend,$A138)&amp;"",INDEX(c_obs,$A138)&amp;""))</f>
        <v/>
      </c>
      <c r="K138" s="34">
        <f>IF($A138="","",INDEX(c_rpend,$A138)&amp;"")</f>
        <v/>
      </c>
      <c r="L138" s="33">
        <f>IF($A138="","",INDEX(c_prazo,$A138))</f>
        <v/>
      </c>
      <c r="M138" s="41">
        <f>IF($A138="","",INDEX(c_dias,$A138))</f>
        <v/>
      </c>
    </row>
    <row r="139">
      <c r="A139">
        <f>IFERROR(MATCH(LARGE(c_o_pend,132),c_o_pend,0),"")</f>
        <v/>
      </c>
      <c r="B139" s="31">
        <f>IF($A139="","",132)</f>
        <v/>
      </c>
      <c r="C139" s="32">
        <f>IF($A139="","",HYPERLINK("#'LANÇAMENTOS'!A"&amp;($A139+1),INDEX(c_id,$A139)))</f>
        <v/>
      </c>
      <c r="D139" s="33">
        <f>IF($A139="","",INDEX(c_data,$A139))</f>
        <v/>
      </c>
      <c r="E139" s="34">
        <f>IF($A139="","",INDEX(c_turno,$A139)&amp;"")</f>
        <v/>
      </c>
      <c r="F139" s="34">
        <f>IF($A139="","",INDEX(c_status,$A139)&amp;"")</f>
        <v/>
      </c>
      <c r="G139" s="34">
        <f>IF($A139="","",INDEX(c_alerta,$A139)&amp;"")</f>
        <v/>
      </c>
      <c r="H139" s="34">
        <f>IF($A139="","",INDEX(c_prog,$A139)&amp;"")</f>
        <v/>
      </c>
      <c r="I139" s="34">
        <f>IF($A139="","",INDEX(c_rota,$A139)&amp;"")</f>
        <v/>
      </c>
      <c r="J139" s="34">
        <f>IF($A139="","",IF(INDEX(c_pend,$A139)&amp;""&lt;&gt;"",INDEX(c_pend,$A139)&amp;"",INDEX(c_obs,$A139)&amp;""))</f>
        <v/>
      </c>
      <c r="K139" s="34">
        <f>IF($A139="","",INDEX(c_rpend,$A139)&amp;"")</f>
        <v/>
      </c>
      <c r="L139" s="33">
        <f>IF($A139="","",INDEX(c_prazo,$A139))</f>
        <v/>
      </c>
      <c r="M139" s="41">
        <f>IF($A139="","",INDEX(c_dias,$A139))</f>
        <v/>
      </c>
    </row>
    <row r="140">
      <c r="A140">
        <f>IFERROR(MATCH(LARGE(c_o_pend,133),c_o_pend,0),"")</f>
        <v/>
      </c>
      <c r="B140" s="31">
        <f>IF($A140="","",133)</f>
        <v/>
      </c>
      <c r="C140" s="32">
        <f>IF($A140="","",HYPERLINK("#'LANÇAMENTOS'!A"&amp;($A140+1),INDEX(c_id,$A140)))</f>
        <v/>
      </c>
      <c r="D140" s="33">
        <f>IF($A140="","",INDEX(c_data,$A140))</f>
        <v/>
      </c>
      <c r="E140" s="34">
        <f>IF($A140="","",INDEX(c_turno,$A140)&amp;"")</f>
        <v/>
      </c>
      <c r="F140" s="34">
        <f>IF($A140="","",INDEX(c_status,$A140)&amp;"")</f>
        <v/>
      </c>
      <c r="G140" s="34">
        <f>IF($A140="","",INDEX(c_alerta,$A140)&amp;"")</f>
        <v/>
      </c>
      <c r="H140" s="34">
        <f>IF($A140="","",INDEX(c_prog,$A140)&amp;"")</f>
        <v/>
      </c>
      <c r="I140" s="34">
        <f>IF($A140="","",INDEX(c_rota,$A140)&amp;"")</f>
        <v/>
      </c>
      <c r="J140" s="34">
        <f>IF($A140="","",IF(INDEX(c_pend,$A140)&amp;""&lt;&gt;"",INDEX(c_pend,$A140)&amp;"",INDEX(c_obs,$A140)&amp;""))</f>
        <v/>
      </c>
      <c r="K140" s="34">
        <f>IF($A140="","",INDEX(c_rpend,$A140)&amp;"")</f>
        <v/>
      </c>
      <c r="L140" s="33">
        <f>IF($A140="","",INDEX(c_prazo,$A140))</f>
        <v/>
      </c>
      <c r="M140" s="41">
        <f>IF($A140="","",INDEX(c_dias,$A140))</f>
        <v/>
      </c>
    </row>
    <row r="141">
      <c r="A141">
        <f>IFERROR(MATCH(LARGE(c_o_pend,134),c_o_pend,0),"")</f>
        <v/>
      </c>
      <c r="B141" s="31">
        <f>IF($A141="","",134)</f>
        <v/>
      </c>
      <c r="C141" s="32">
        <f>IF($A141="","",HYPERLINK("#'LANÇAMENTOS'!A"&amp;($A141+1),INDEX(c_id,$A141)))</f>
        <v/>
      </c>
      <c r="D141" s="33">
        <f>IF($A141="","",INDEX(c_data,$A141))</f>
        <v/>
      </c>
      <c r="E141" s="34">
        <f>IF($A141="","",INDEX(c_turno,$A141)&amp;"")</f>
        <v/>
      </c>
      <c r="F141" s="34">
        <f>IF($A141="","",INDEX(c_status,$A141)&amp;"")</f>
        <v/>
      </c>
      <c r="G141" s="34">
        <f>IF($A141="","",INDEX(c_alerta,$A141)&amp;"")</f>
        <v/>
      </c>
      <c r="H141" s="34">
        <f>IF($A141="","",INDEX(c_prog,$A141)&amp;"")</f>
        <v/>
      </c>
      <c r="I141" s="34">
        <f>IF($A141="","",INDEX(c_rota,$A141)&amp;"")</f>
        <v/>
      </c>
      <c r="J141" s="34">
        <f>IF($A141="","",IF(INDEX(c_pend,$A141)&amp;""&lt;&gt;"",INDEX(c_pend,$A141)&amp;"",INDEX(c_obs,$A141)&amp;""))</f>
        <v/>
      </c>
      <c r="K141" s="34">
        <f>IF($A141="","",INDEX(c_rpend,$A141)&amp;"")</f>
        <v/>
      </c>
      <c r="L141" s="33">
        <f>IF($A141="","",INDEX(c_prazo,$A141))</f>
        <v/>
      </c>
      <c r="M141" s="41">
        <f>IF($A141="","",INDEX(c_dias,$A141))</f>
        <v/>
      </c>
    </row>
    <row r="142">
      <c r="A142">
        <f>IFERROR(MATCH(LARGE(c_o_pend,135),c_o_pend,0),"")</f>
        <v/>
      </c>
      <c r="B142" s="31">
        <f>IF($A142="","",135)</f>
        <v/>
      </c>
      <c r="C142" s="32">
        <f>IF($A142="","",HYPERLINK("#'LANÇAMENTOS'!A"&amp;($A142+1),INDEX(c_id,$A142)))</f>
        <v/>
      </c>
      <c r="D142" s="33">
        <f>IF($A142="","",INDEX(c_data,$A142))</f>
        <v/>
      </c>
      <c r="E142" s="34">
        <f>IF($A142="","",INDEX(c_turno,$A142)&amp;"")</f>
        <v/>
      </c>
      <c r="F142" s="34">
        <f>IF($A142="","",INDEX(c_status,$A142)&amp;"")</f>
        <v/>
      </c>
      <c r="G142" s="34">
        <f>IF($A142="","",INDEX(c_alerta,$A142)&amp;"")</f>
        <v/>
      </c>
      <c r="H142" s="34">
        <f>IF($A142="","",INDEX(c_prog,$A142)&amp;"")</f>
        <v/>
      </c>
      <c r="I142" s="34">
        <f>IF($A142="","",INDEX(c_rota,$A142)&amp;"")</f>
        <v/>
      </c>
      <c r="J142" s="34">
        <f>IF($A142="","",IF(INDEX(c_pend,$A142)&amp;""&lt;&gt;"",INDEX(c_pend,$A142)&amp;"",INDEX(c_obs,$A142)&amp;""))</f>
        <v/>
      </c>
      <c r="K142" s="34">
        <f>IF($A142="","",INDEX(c_rpend,$A142)&amp;"")</f>
        <v/>
      </c>
      <c r="L142" s="33">
        <f>IF($A142="","",INDEX(c_prazo,$A142))</f>
        <v/>
      </c>
      <c r="M142" s="41">
        <f>IF($A142="","",INDEX(c_dias,$A142))</f>
        <v/>
      </c>
    </row>
    <row r="143">
      <c r="A143">
        <f>IFERROR(MATCH(LARGE(c_o_pend,136),c_o_pend,0),"")</f>
        <v/>
      </c>
      <c r="B143" s="31">
        <f>IF($A143="","",136)</f>
        <v/>
      </c>
      <c r="C143" s="32">
        <f>IF($A143="","",HYPERLINK("#'LANÇAMENTOS'!A"&amp;($A143+1),INDEX(c_id,$A143)))</f>
        <v/>
      </c>
      <c r="D143" s="33">
        <f>IF($A143="","",INDEX(c_data,$A143))</f>
        <v/>
      </c>
      <c r="E143" s="34">
        <f>IF($A143="","",INDEX(c_turno,$A143)&amp;"")</f>
        <v/>
      </c>
      <c r="F143" s="34">
        <f>IF($A143="","",INDEX(c_status,$A143)&amp;"")</f>
        <v/>
      </c>
      <c r="G143" s="34">
        <f>IF($A143="","",INDEX(c_alerta,$A143)&amp;"")</f>
        <v/>
      </c>
      <c r="H143" s="34">
        <f>IF($A143="","",INDEX(c_prog,$A143)&amp;"")</f>
        <v/>
      </c>
      <c r="I143" s="34">
        <f>IF($A143="","",INDEX(c_rota,$A143)&amp;"")</f>
        <v/>
      </c>
      <c r="J143" s="34">
        <f>IF($A143="","",IF(INDEX(c_pend,$A143)&amp;""&lt;&gt;"",INDEX(c_pend,$A143)&amp;"",INDEX(c_obs,$A143)&amp;""))</f>
        <v/>
      </c>
      <c r="K143" s="34">
        <f>IF($A143="","",INDEX(c_rpend,$A143)&amp;"")</f>
        <v/>
      </c>
      <c r="L143" s="33">
        <f>IF($A143="","",INDEX(c_prazo,$A143))</f>
        <v/>
      </c>
      <c r="M143" s="41">
        <f>IF($A143="","",INDEX(c_dias,$A143))</f>
        <v/>
      </c>
    </row>
    <row r="144">
      <c r="A144">
        <f>IFERROR(MATCH(LARGE(c_o_pend,137),c_o_pend,0),"")</f>
        <v/>
      </c>
      <c r="B144" s="31">
        <f>IF($A144="","",137)</f>
        <v/>
      </c>
      <c r="C144" s="32">
        <f>IF($A144="","",HYPERLINK("#'LANÇAMENTOS'!A"&amp;($A144+1),INDEX(c_id,$A144)))</f>
        <v/>
      </c>
      <c r="D144" s="33">
        <f>IF($A144="","",INDEX(c_data,$A144))</f>
        <v/>
      </c>
      <c r="E144" s="34">
        <f>IF($A144="","",INDEX(c_turno,$A144)&amp;"")</f>
        <v/>
      </c>
      <c r="F144" s="34">
        <f>IF($A144="","",INDEX(c_status,$A144)&amp;"")</f>
        <v/>
      </c>
      <c r="G144" s="34">
        <f>IF($A144="","",INDEX(c_alerta,$A144)&amp;"")</f>
        <v/>
      </c>
      <c r="H144" s="34">
        <f>IF($A144="","",INDEX(c_prog,$A144)&amp;"")</f>
        <v/>
      </c>
      <c r="I144" s="34">
        <f>IF($A144="","",INDEX(c_rota,$A144)&amp;"")</f>
        <v/>
      </c>
      <c r="J144" s="34">
        <f>IF($A144="","",IF(INDEX(c_pend,$A144)&amp;""&lt;&gt;"",INDEX(c_pend,$A144)&amp;"",INDEX(c_obs,$A144)&amp;""))</f>
        <v/>
      </c>
      <c r="K144" s="34">
        <f>IF($A144="","",INDEX(c_rpend,$A144)&amp;"")</f>
        <v/>
      </c>
      <c r="L144" s="33">
        <f>IF($A144="","",INDEX(c_prazo,$A144))</f>
        <v/>
      </c>
      <c r="M144" s="41">
        <f>IF($A144="","",INDEX(c_dias,$A144))</f>
        <v/>
      </c>
    </row>
    <row r="145">
      <c r="A145">
        <f>IFERROR(MATCH(LARGE(c_o_pend,138),c_o_pend,0),"")</f>
        <v/>
      </c>
      <c r="B145" s="31">
        <f>IF($A145="","",138)</f>
        <v/>
      </c>
      <c r="C145" s="32">
        <f>IF($A145="","",HYPERLINK("#'LANÇAMENTOS'!A"&amp;($A145+1),INDEX(c_id,$A145)))</f>
        <v/>
      </c>
      <c r="D145" s="33">
        <f>IF($A145="","",INDEX(c_data,$A145))</f>
        <v/>
      </c>
      <c r="E145" s="34">
        <f>IF($A145="","",INDEX(c_turno,$A145)&amp;"")</f>
        <v/>
      </c>
      <c r="F145" s="34">
        <f>IF($A145="","",INDEX(c_status,$A145)&amp;"")</f>
        <v/>
      </c>
      <c r="G145" s="34">
        <f>IF($A145="","",INDEX(c_alerta,$A145)&amp;"")</f>
        <v/>
      </c>
      <c r="H145" s="34">
        <f>IF($A145="","",INDEX(c_prog,$A145)&amp;"")</f>
        <v/>
      </c>
      <c r="I145" s="34">
        <f>IF($A145="","",INDEX(c_rota,$A145)&amp;"")</f>
        <v/>
      </c>
      <c r="J145" s="34">
        <f>IF($A145="","",IF(INDEX(c_pend,$A145)&amp;""&lt;&gt;"",INDEX(c_pend,$A145)&amp;"",INDEX(c_obs,$A145)&amp;""))</f>
        <v/>
      </c>
      <c r="K145" s="34">
        <f>IF($A145="","",INDEX(c_rpend,$A145)&amp;"")</f>
        <v/>
      </c>
      <c r="L145" s="33">
        <f>IF($A145="","",INDEX(c_prazo,$A145))</f>
        <v/>
      </c>
      <c r="M145" s="41">
        <f>IF($A145="","",INDEX(c_dias,$A145))</f>
        <v/>
      </c>
    </row>
    <row r="146">
      <c r="A146">
        <f>IFERROR(MATCH(LARGE(c_o_pend,139),c_o_pend,0),"")</f>
        <v/>
      </c>
      <c r="B146" s="31">
        <f>IF($A146="","",139)</f>
        <v/>
      </c>
      <c r="C146" s="32">
        <f>IF($A146="","",HYPERLINK("#'LANÇAMENTOS'!A"&amp;($A146+1),INDEX(c_id,$A146)))</f>
        <v/>
      </c>
      <c r="D146" s="33">
        <f>IF($A146="","",INDEX(c_data,$A146))</f>
        <v/>
      </c>
      <c r="E146" s="34">
        <f>IF($A146="","",INDEX(c_turno,$A146)&amp;"")</f>
        <v/>
      </c>
      <c r="F146" s="34">
        <f>IF($A146="","",INDEX(c_status,$A146)&amp;"")</f>
        <v/>
      </c>
      <c r="G146" s="34">
        <f>IF($A146="","",INDEX(c_alerta,$A146)&amp;"")</f>
        <v/>
      </c>
      <c r="H146" s="34">
        <f>IF($A146="","",INDEX(c_prog,$A146)&amp;"")</f>
        <v/>
      </c>
      <c r="I146" s="34">
        <f>IF($A146="","",INDEX(c_rota,$A146)&amp;"")</f>
        <v/>
      </c>
      <c r="J146" s="34">
        <f>IF($A146="","",IF(INDEX(c_pend,$A146)&amp;""&lt;&gt;"",INDEX(c_pend,$A146)&amp;"",INDEX(c_obs,$A146)&amp;""))</f>
        <v/>
      </c>
      <c r="K146" s="34">
        <f>IF($A146="","",INDEX(c_rpend,$A146)&amp;"")</f>
        <v/>
      </c>
      <c r="L146" s="33">
        <f>IF($A146="","",INDEX(c_prazo,$A146))</f>
        <v/>
      </c>
      <c r="M146" s="41">
        <f>IF($A146="","",INDEX(c_dias,$A146))</f>
        <v/>
      </c>
    </row>
    <row r="147">
      <c r="A147">
        <f>IFERROR(MATCH(LARGE(c_o_pend,140),c_o_pend,0),"")</f>
        <v/>
      </c>
      <c r="B147" s="31">
        <f>IF($A147="","",140)</f>
        <v/>
      </c>
      <c r="C147" s="32">
        <f>IF($A147="","",HYPERLINK("#'LANÇAMENTOS'!A"&amp;($A147+1),INDEX(c_id,$A147)))</f>
        <v/>
      </c>
      <c r="D147" s="33">
        <f>IF($A147="","",INDEX(c_data,$A147))</f>
        <v/>
      </c>
      <c r="E147" s="34">
        <f>IF($A147="","",INDEX(c_turno,$A147)&amp;"")</f>
        <v/>
      </c>
      <c r="F147" s="34">
        <f>IF($A147="","",INDEX(c_status,$A147)&amp;"")</f>
        <v/>
      </c>
      <c r="G147" s="34">
        <f>IF($A147="","",INDEX(c_alerta,$A147)&amp;"")</f>
        <v/>
      </c>
      <c r="H147" s="34">
        <f>IF($A147="","",INDEX(c_prog,$A147)&amp;"")</f>
        <v/>
      </c>
      <c r="I147" s="34">
        <f>IF($A147="","",INDEX(c_rota,$A147)&amp;"")</f>
        <v/>
      </c>
      <c r="J147" s="34">
        <f>IF($A147="","",IF(INDEX(c_pend,$A147)&amp;""&lt;&gt;"",INDEX(c_pend,$A147)&amp;"",INDEX(c_obs,$A147)&amp;""))</f>
        <v/>
      </c>
      <c r="K147" s="34">
        <f>IF($A147="","",INDEX(c_rpend,$A147)&amp;"")</f>
        <v/>
      </c>
      <c r="L147" s="33">
        <f>IF($A147="","",INDEX(c_prazo,$A147))</f>
        <v/>
      </c>
      <c r="M147" s="41">
        <f>IF($A147="","",INDEX(c_dias,$A147))</f>
        <v/>
      </c>
    </row>
    <row r="148">
      <c r="A148">
        <f>IFERROR(MATCH(LARGE(c_o_pend,141),c_o_pend,0),"")</f>
        <v/>
      </c>
      <c r="B148" s="31">
        <f>IF($A148="","",141)</f>
        <v/>
      </c>
      <c r="C148" s="32">
        <f>IF($A148="","",HYPERLINK("#'LANÇAMENTOS'!A"&amp;($A148+1),INDEX(c_id,$A148)))</f>
        <v/>
      </c>
      <c r="D148" s="33">
        <f>IF($A148="","",INDEX(c_data,$A148))</f>
        <v/>
      </c>
      <c r="E148" s="34">
        <f>IF($A148="","",INDEX(c_turno,$A148)&amp;"")</f>
        <v/>
      </c>
      <c r="F148" s="34">
        <f>IF($A148="","",INDEX(c_status,$A148)&amp;"")</f>
        <v/>
      </c>
      <c r="G148" s="34">
        <f>IF($A148="","",INDEX(c_alerta,$A148)&amp;"")</f>
        <v/>
      </c>
      <c r="H148" s="34">
        <f>IF($A148="","",INDEX(c_prog,$A148)&amp;"")</f>
        <v/>
      </c>
      <c r="I148" s="34">
        <f>IF($A148="","",INDEX(c_rota,$A148)&amp;"")</f>
        <v/>
      </c>
      <c r="J148" s="34">
        <f>IF($A148="","",IF(INDEX(c_pend,$A148)&amp;""&lt;&gt;"",INDEX(c_pend,$A148)&amp;"",INDEX(c_obs,$A148)&amp;""))</f>
        <v/>
      </c>
      <c r="K148" s="34">
        <f>IF($A148="","",INDEX(c_rpend,$A148)&amp;"")</f>
        <v/>
      </c>
      <c r="L148" s="33">
        <f>IF($A148="","",INDEX(c_prazo,$A148))</f>
        <v/>
      </c>
      <c r="M148" s="41">
        <f>IF($A148="","",INDEX(c_dias,$A148))</f>
        <v/>
      </c>
    </row>
    <row r="149">
      <c r="A149">
        <f>IFERROR(MATCH(LARGE(c_o_pend,142),c_o_pend,0),"")</f>
        <v/>
      </c>
      <c r="B149" s="31">
        <f>IF($A149="","",142)</f>
        <v/>
      </c>
      <c r="C149" s="32">
        <f>IF($A149="","",HYPERLINK("#'LANÇAMENTOS'!A"&amp;($A149+1),INDEX(c_id,$A149)))</f>
        <v/>
      </c>
      <c r="D149" s="33">
        <f>IF($A149="","",INDEX(c_data,$A149))</f>
        <v/>
      </c>
      <c r="E149" s="34">
        <f>IF($A149="","",INDEX(c_turno,$A149)&amp;"")</f>
        <v/>
      </c>
      <c r="F149" s="34">
        <f>IF($A149="","",INDEX(c_status,$A149)&amp;"")</f>
        <v/>
      </c>
      <c r="G149" s="34">
        <f>IF($A149="","",INDEX(c_alerta,$A149)&amp;"")</f>
        <v/>
      </c>
      <c r="H149" s="34">
        <f>IF($A149="","",INDEX(c_prog,$A149)&amp;"")</f>
        <v/>
      </c>
      <c r="I149" s="34">
        <f>IF($A149="","",INDEX(c_rota,$A149)&amp;"")</f>
        <v/>
      </c>
      <c r="J149" s="34">
        <f>IF($A149="","",IF(INDEX(c_pend,$A149)&amp;""&lt;&gt;"",INDEX(c_pend,$A149)&amp;"",INDEX(c_obs,$A149)&amp;""))</f>
        <v/>
      </c>
      <c r="K149" s="34">
        <f>IF($A149="","",INDEX(c_rpend,$A149)&amp;"")</f>
        <v/>
      </c>
      <c r="L149" s="33">
        <f>IF($A149="","",INDEX(c_prazo,$A149))</f>
        <v/>
      </c>
      <c r="M149" s="41">
        <f>IF($A149="","",INDEX(c_dias,$A149))</f>
        <v/>
      </c>
    </row>
    <row r="150">
      <c r="A150">
        <f>IFERROR(MATCH(LARGE(c_o_pend,143),c_o_pend,0),"")</f>
        <v/>
      </c>
      <c r="B150" s="31">
        <f>IF($A150="","",143)</f>
        <v/>
      </c>
      <c r="C150" s="32">
        <f>IF($A150="","",HYPERLINK("#'LANÇAMENTOS'!A"&amp;($A150+1),INDEX(c_id,$A150)))</f>
        <v/>
      </c>
      <c r="D150" s="33">
        <f>IF($A150="","",INDEX(c_data,$A150))</f>
        <v/>
      </c>
      <c r="E150" s="34">
        <f>IF($A150="","",INDEX(c_turno,$A150)&amp;"")</f>
        <v/>
      </c>
      <c r="F150" s="34">
        <f>IF($A150="","",INDEX(c_status,$A150)&amp;"")</f>
        <v/>
      </c>
      <c r="G150" s="34">
        <f>IF($A150="","",INDEX(c_alerta,$A150)&amp;"")</f>
        <v/>
      </c>
      <c r="H150" s="34">
        <f>IF($A150="","",INDEX(c_prog,$A150)&amp;"")</f>
        <v/>
      </c>
      <c r="I150" s="34">
        <f>IF($A150="","",INDEX(c_rota,$A150)&amp;"")</f>
        <v/>
      </c>
      <c r="J150" s="34">
        <f>IF($A150="","",IF(INDEX(c_pend,$A150)&amp;""&lt;&gt;"",INDEX(c_pend,$A150)&amp;"",INDEX(c_obs,$A150)&amp;""))</f>
        <v/>
      </c>
      <c r="K150" s="34">
        <f>IF($A150="","",INDEX(c_rpend,$A150)&amp;"")</f>
        <v/>
      </c>
      <c r="L150" s="33">
        <f>IF($A150="","",INDEX(c_prazo,$A150))</f>
        <v/>
      </c>
      <c r="M150" s="41">
        <f>IF($A150="","",INDEX(c_dias,$A150))</f>
        <v/>
      </c>
    </row>
    <row r="151">
      <c r="A151">
        <f>IFERROR(MATCH(LARGE(c_o_pend,144),c_o_pend,0),"")</f>
        <v/>
      </c>
      <c r="B151" s="31">
        <f>IF($A151="","",144)</f>
        <v/>
      </c>
      <c r="C151" s="32">
        <f>IF($A151="","",HYPERLINK("#'LANÇAMENTOS'!A"&amp;($A151+1),INDEX(c_id,$A151)))</f>
        <v/>
      </c>
      <c r="D151" s="33">
        <f>IF($A151="","",INDEX(c_data,$A151))</f>
        <v/>
      </c>
      <c r="E151" s="34">
        <f>IF($A151="","",INDEX(c_turno,$A151)&amp;"")</f>
        <v/>
      </c>
      <c r="F151" s="34">
        <f>IF($A151="","",INDEX(c_status,$A151)&amp;"")</f>
        <v/>
      </c>
      <c r="G151" s="34">
        <f>IF($A151="","",INDEX(c_alerta,$A151)&amp;"")</f>
        <v/>
      </c>
      <c r="H151" s="34">
        <f>IF($A151="","",INDEX(c_prog,$A151)&amp;"")</f>
        <v/>
      </c>
      <c r="I151" s="34">
        <f>IF($A151="","",INDEX(c_rota,$A151)&amp;"")</f>
        <v/>
      </c>
      <c r="J151" s="34">
        <f>IF($A151="","",IF(INDEX(c_pend,$A151)&amp;""&lt;&gt;"",INDEX(c_pend,$A151)&amp;"",INDEX(c_obs,$A151)&amp;""))</f>
        <v/>
      </c>
      <c r="K151" s="34">
        <f>IF($A151="","",INDEX(c_rpend,$A151)&amp;"")</f>
        <v/>
      </c>
      <c r="L151" s="33">
        <f>IF($A151="","",INDEX(c_prazo,$A151))</f>
        <v/>
      </c>
      <c r="M151" s="41">
        <f>IF($A151="","",INDEX(c_dias,$A151))</f>
        <v/>
      </c>
    </row>
    <row r="152">
      <c r="A152">
        <f>IFERROR(MATCH(LARGE(c_o_pend,145),c_o_pend,0),"")</f>
        <v/>
      </c>
      <c r="B152" s="31">
        <f>IF($A152="","",145)</f>
        <v/>
      </c>
      <c r="C152" s="32">
        <f>IF($A152="","",HYPERLINK("#'LANÇAMENTOS'!A"&amp;($A152+1),INDEX(c_id,$A152)))</f>
        <v/>
      </c>
      <c r="D152" s="33">
        <f>IF($A152="","",INDEX(c_data,$A152))</f>
        <v/>
      </c>
      <c r="E152" s="34">
        <f>IF($A152="","",INDEX(c_turno,$A152)&amp;"")</f>
        <v/>
      </c>
      <c r="F152" s="34">
        <f>IF($A152="","",INDEX(c_status,$A152)&amp;"")</f>
        <v/>
      </c>
      <c r="G152" s="34">
        <f>IF($A152="","",INDEX(c_alerta,$A152)&amp;"")</f>
        <v/>
      </c>
      <c r="H152" s="34">
        <f>IF($A152="","",INDEX(c_prog,$A152)&amp;"")</f>
        <v/>
      </c>
      <c r="I152" s="34">
        <f>IF($A152="","",INDEX(c_rota,$A152)&amp;"")</f>
        <v/>
      </c>
      <c r="J152" s="34">
        <f>IF($A152="","",IF(INDEX(c_pend,$A152)&amp;""&lt;&gt;"",INDEX(c_pend,$A152)&amp;"",INDEX(c_obs,$A152)&amp;""))</f>
        <v/>
      </c>
      <c r="K152" s="34">
        <f>IF($A152="","",INDEX(c_rpend,$A152)&amp;"")</f>
        <v/>
      </c>
      <c r="L152" s="33">
        <f>IF($A152="","",INDEX(c_prazo,$A152))</f>
        <v/>
      </c>
      <c r="M152" s="41">
        <f>IF($A152="","",INDEX(c_dias,$A152))</f>
        <v/>
      </c>
    </row>
    <row r="153">
      <c r="A153">
        <f>IFERROR(MATCH(LARGE(c_o_pend,146),c_o_pend,0),"")</f>
        <v/>
      </c>
      <c r="B153" s="31">
        <f>IF($A153="","",146)</f>
        <v/>
      </c>
      <c r="C153" s="32">
        <f>IF($A153="","",HYPERLINK("#'LANÇAMENTOS'!A"&amp;($A153+1),INDEX(c_id,$A153)))</f>
        <v/>
      </c>
      <c r="D153" s="33">
        <f>IF($A153="","",INDEX(c_data,$A153))</f>
        <v/>
      </c>
      <c r="E153" s="34">
        <f>IF($A153="","",INDEX(c_turno,$A153)&amp;"")</f>
        <v/>
      </c>
      <c r="F153" s="34">
        <f>IF($A153="","",INDEX(c_status,$A153)&amp;"")</f>
        <v/>
      </c>
      <c r="G153" s="34">
        <f>IF($A153="","",INDEX(c_alerta,$A153)&amp;"")</f>
        <v/>
      </c>
      <c r="H153" s="34">
        <f>IF($A153="","",INDEX(c_prog,$A153)&amp;"")</f>
        <v/>
      </c>
      <c r="I153" s="34">
        <f>IF($A153="","",INDEX(c_rota,$A153)&amp;"")</f>
        <v/>
      </c>
      <c r="J153" s="34">
        <f>IF($A153="","",IF(INDEX(c_pend,$A153)&amp;""&lt;&gt;"",INDEX(c_pend,$A153)&amp;"",INDEX(c_obs,$A153)&amp;""))</f>
        <v/>
      </c>
      <c r="K153" s="34">
        <f>IF($A153="","",INDEX(c_rpend,$A153)&amp;"")</f>
        <v/>
      </c>
      <c r="L153" s="33">
        <f>IF($A153="","",INDEX(c_prazo,$A153))</f>
        <v/>
      </c>
      <c r="M153" s="41">
        <f>IF($A153="","",INDEX(c_dias,$A153))</f>
        <v/>
      </c>
    </row>
    <row r="154">
      <c r="A154">
        <f>IFERROR(MATCH(LARGE(c_o_pend,147),c_o_pend,0),"")</f>
        <v/>
      </c>
      <c r="B154" s="31">
        <f>IF($A154="","",147)</f>
        <v/>
      </c>
      <c r="C154" s="32">
        <f>IF($A154="","",HYPERLINK("#'LANÇAMENTOS'!A"&amp;($A154+1),INDEX(c_id,$A154)))</f>
        <v/>
      </c>
      <c r="D154" s="33">
        <f>IF($A154="","",INDEX(c_data,$A154))</f>
        <v/>
      </c>
      <c r="E154" s="34">
        <f>IF($A154="","",INDEX(c_turno,$A154)&amp;"")</f>
        <v/>
      </c>
      <c r="F154" s="34">
        <f>IF($A154="","",INDEX(c_status,$A154)&amp;"")</f>
        <v/>
      </c>
      <c r="G154" s="34">
        <f>IF($A154="","",INDEX(c_alerta,$A154)&amp;"")</f>
        <v/>
      </c>
      <c r="H154" s="34">
        <f>IF($A154="","",INDEX(c_prog,$A154)&amp;"")</f>
        <v/>
      </c>
      <c r="I154" s="34">
        <f>IF($A154="","",INDEX(c_rota,$A154)&amp;"")</f>
        <v/>
      </c>
      <c r="J154" s="34">
        <f>IF($A154="","",IF(INDEX(c_pend,$A154)&amp;""&lt;&gt;"",INDEX(c_pend,$A154)&amp;"",INDEX(c_obs,$A154)&amp;""))</f>
        <v/>
      </c>
      <c r="K154" s="34">
        <f>IF($A154="","",INDEX(c_rpend,$A154)&amp;"")</f>
        <v/>
      </c>
      <c r="L154" s="33">
        <f>IF($A154="","",INDEX(c_prazo,$A154))</f>
        <v/>
      </c>
      <c r="M154" s="41">
        <f>IF($A154="","",INDEX(c_dias,$A154))</f>
        <v/>
      </c>
    </row>
    <row r="155">
      <c r="A155">
        <f>IFERROR(MATCH(LARGE(c_o_pend,148),c_o_pend,0),"")</f>
        <v/>
      </c>
      <c r="B155" s="31">
        <f>IF($A155="","",148)</f>
        <v/>
      </c>
      <c r="C155" s="32">
        <f>IF($A155="","",HYPERLINK("#'LANÇAMENTOS'!A"&amp;($A155+1),INDEX(c_id,$A155)))</f>
        <v/>
      </c>
      <c r="D155" s="33">
        <f>IF($A155="","",INDEX(c_data,$A155))</f>
        <v/>
      </c>
      <c r="E155" s="34">
        <f>IF($A155="","",INDEX(c_turno,$A155)&amp;"")</f>
        <v/>
      </c>
      <c r="F155" s="34">
        <f>IF($A155="","",INDEX(c_status,$A155)&amp;"")</f>
        <v/>
      </c>
      <c r="G155" s="34">
        <f>IF($A155="","",INDEX(c_alerta,$A155)&amp;"")</f>
        <v/>
      </c>
      <c r="H155" s="34">
        <f>IF($A155="","",INDEX(c_prog,$A155)&amp;"")</f>
        <v/>
      </c>
      <c r="I155" s="34">
        <f>IF($A155="","",INDEX(c_rota,$A155)&amp;"")</f>
        <v/>
      </c>
      <c r="J155" s="34">
        <f>IF($A155="","",IF(INDEX(c_pend,$A155)&amp;""&lt;&gt;"",INDEX(c_pend,$A155)&amp;"",INDEX(c_obs,$A155)&amp;""))</f>
        <v/>
      </c>
      <c r="K155" s="34">
        <f>IF($A155="","",INDEX(c_rpend,$A155)&amp;"")</f>
        <v/>
      </c>
      <c r="L155" s="33">
        <f>IF($A155="","",INDEX(c_prazo,$A155))</f>
        <v/>
      </c>
      <c r="M155" s="41">
        <f>IF($A155="","",INDEX(c_dias,$A155))</f>
        <v/>
      </c>
    </row>
    <row r="156">
      <c r="A156">
        <f>IFERROR(MATCH(LARGE(c_o_pend,149),c_o_pend,0),"")</f>
        <v/>
      </c>
      <c r="B156" s="31">
        <f>IF($A156="","",149)</f>
        <v/>
      </c>
      <c r="C156" s="32">
        <f>IF($A156="","",HYPERLINK("#'LANÇAMENTOS'!A"&amp;($A156+1),INDEX(c_id,$A156)))</f>
        <v/>
      </c>
      <c r="D156" s="33">
        <f>IF($A156="","",INDEX(c_data,$A156))</f>
        <v/>
      </c>
      <c r="E156" s="34">
        <f>IF($A156="","",INDEX(c_turno,$A156)&amp;"")</f>
        <v/>
      </c>
      <c r="F156" s="34">
        <f>IF($A156="","",INDEX(c_status,$A156)&amp;"")</f>
        <v/>
      </c>
      <c r="G156" s="34">
        <f>IF($A156="","",INDEX(c_alerta,$A156)&amp;"")</f>
        <v/>
      </c>
      <c r="H156" s="34">
        <f>IF($A156="","",INDEX(c_prog,$A156)&amp;"")</f>
        <v/>
      </c>
      <c r="I156" s="34">
        <f>IF($A156="","",INDEX(c_rota,$A156)&amp;"")</f>
        <v/>
      </c>
      <c r="J156" s="34">
        <f>IF($A156="","",IF(INDEX(c_pend,$A156)&amp;""&lt;&gt;"",INDEX(c_pend,$A156)&amp;"",INDEX(c_obs,$A156)&amp;""))</f>
        <v/>
      </c>
      <c r="K156" s="34">
        <f>IF($A156="","",INDEX(c_rpend,$A156)&amp;"")</f>
        <v/>
      </c>
      <c r="L156" s="33">
        <f>IF($A156="","",INDEX(c_prazo,$A156))</f>
        <v/>
      </c>
      <c r="M156" s="41">
        <f>IF($A156="","",INDEX(c_dias,$A156))</f>
        <v/>
      </c>
    </row>
    <row r="157">
      <c r="A157">
        <f>IFERROR(MATCH(LARGE(c_o_pend,150),c_o_pend,0),"")</f>
        <v/>
      </c>
      <c r="B157" s="31">
        <f>IF($A157="","",150)</f>
        <v/>
      </c>
      <c r="C157" s="32">
        <f>IF($A157="","",HYPERLINK("#'LANÇAMENTOS'!A"&amp;($A157+1),INDEX(c_id,$A157)))</f>
        <v/>
      </c>
      <c r="D157" s="33">
        <f>IF($A157="","",INDEX(c_data,$A157))</f>
        <v/>
      </c>
      <c r="E157" s="34">
        <f>IF($A157="","",INDEX(c_turno,$A157)&amp;"")</f>
        <v/>
      </c>
      <c r="F157" s="34">
        <f>IF($A157="","",INDEX(c_status,$A157)&amp;"")</f>
        <v/>
      </c>
      <c r="G157" s="34">
        <f>IF($A157="","",INDEX(c_alerta,$A157)&amp;"")</f>
        <v/>
      </c>
      <c r="H157" s="34">
        <f>IF($A157="","",INDEX(c_prog,$A157)&amp;"")</f>
        <v/>
      </c>
      <c r="I157" s="34">
        <f>IF($A157="","",INDEX(c_rota,$A157)&amp;"")</f>
        <v/>
      </c>
      <c r="J157" s="34">
        <f>IF($A157="","",IF(INDEX(c_pend,$A157)&amp;""&lt;&gt;"",INDEX(c_pend,$A157)&amp;"",INDEX(c_obs,$A157)&amp;""))</f>
        <v/>
      </c>
      <c r="K157" s="34">
        <f>IF($A157="","",INDEX(c_rpend,$A157)&amp;"")</f>
        <v/>
      </c>
      <c r="L157" s="33">
        <f>IF($A157="","",INDEX(c_prazo,$A157))</f>
        <v/>
      </c>
      <c r="M157" s="41">
        <f>IF($A157="","",INDEX(c_dias,$A157))</f>
        <v/>
      </c>
    </row>
    <row r="158">
      <c r="A158">
        <f>IFERROR(MATCH(LARGE(c_o_pend,151),c_o_pend,0),"")</f>
        <v/>
      </c>
      <c r="B158" s="31">
        <f>IF($A158="","",151)</f>
        <v/>
      </c>
      <c r="C158" s="32">
        <f>IF($A158="","",HYPERLINK("#'LANÇAMENTOS'!A"&amp;($A158+1),INDEX(c_id,$A158)))</f>
        <v/>
      </c>
      <c r="D158" s="33">
        <f>IF($A158="","",INDEX(c_data,$A158))</f>
        <v/>
      </c>
      <c r="E158" s="34">
        <f>IF($A158="","",INDEX(c_turno,$A158)&amp;"")</f>
        <v/>
      </c>
      <c r="F158" s="34">
        <f>IF($A158="","",INDEX(c_status,$A158)&amp;"")</f>
        <v/>
      </c>
      <c r="G158" s="34">
        <f>IF($A158="","",INDEX(c_alerta,$A158)&amp;"")</f>
        <v/>
      </c>
      <c r="H158" s="34">
        <f>IF($A158="","",INDEX(c_prog,$A158)&amp;"")</f>
        <v/>
      </c>
      <c r="I158" s="34">
        <f>IF($A158="","",INDEX(c_rota,$A158)&amp;"")</f>
        <v/>
      </c>
      <c r="J158" s="34">
        <f>IF($A158="","",IF(INDEX(c_pend,$A158)&amp;""&lt;&gt;"",INDEX(c_pend,$A158)&amp;"",INDEX(c_obs,$A158)&amp;""))</f>
        <v/>
      </c>
      <c r="K158" s="34">
        <f>IF($A158="","",INDEX(c_rpend,$A158)&amp;"")</f>
        <v/>
      </c>
      <c r="L158" s="33">
        <f>IF($A158="","",INDEX(c_prazo,$A158))</f>
        <v/>
      </c>
      <c r="M158" s="41">
        <f>IF($A158="","",INDEX(c_dias,$A158))</f>
        <v/>
      </c>
    </row>
    <row r="159">
      <c r="A159">
        <f>IFERROR(MATCH(LARGE(c_o_pend,152),c_o_pend,0),"")</f>
        <v/>
      </c>
      <c r="B159" s="31">
        <f>IF($A159="","",152)</f>
        <v/>
      </c>
      <c r="C159" s="32">
        <f>IF($A159="","",HYPERLINK("#'LANÇAMENTOS'!A"&amp;($A159+1),INDEX(c_id,$A159)))</f>
        <v/>
      </c>
      <c r="D159" s="33">
        <f>IF($A159="","",INDEX(c_data,$A159))</f>
        <v/>
      </c>
      <c r="E159" s="34">
        <f>IF($A159="","",INDEX(c_turno,$A159)&amp;"")</f>
        <v/>
      </c>
      <c r="F159" s="34">
        <f>IF($A159="","",INDEX(c_status,$A159)&amp;"")</f>
        <v/>
      </c>
      <c r="G159" s="34">
        <f>IF($A159="","",INDEX(c_alerta,$A159)&amp;"")</f>
        <v/>
      </c>
      <c r="H159" s="34">
        <f>IF($A159="","",INDEX(c_prog,$A159)&amp;"")</f>
        <v/>
      </c>
      <c r="I159" s="34">
        <f>IF($A159="","",INDEX(c_rota,$A159)&amp;"")</f>
        <v/>
      </c>
      <c r="J159" s="34">
        <f>IF($A159="","",IF(INDEX(c_pend,$A159)&amp;""&lt;&gt;"",INDEX(c_pend,$A159)&amp;"",INDEX(c_obs,$A159)&amp;""))</f>
        <v/>
      </c>
      <c r="K159" s="34">
        <f>IF($A159="","",INDEX(c_rpend,$A159)&amp;"")</f>
        <v/>
      </c>
      <c r="L159" s="33">
        <f>IF($A159="","",INDEX(c_prazo,$A159))</f>
        <v/>
      </c>
      <c r="M159" s="41">
        <f>IF($A159="","",INDEX(c_dias,$A159))</f>
        <v/>
      </c>
    </row>
    <row r="160">
      <c r="A160">
        <f>IFERROR(MATCH(LARGE(c_o_pend,153),c_o_pend,0),"")</f>
        <v/>
      </c>
      <c r="B160" s="31">
        <f>IF($A160="","",153)</f>
        <v/>
      </c>
      <c r="C160" s="32">
        <f>IF($A160="","",HYPERLINK("#'LANÇAMENTOS'!A"&amp;($A160+1),INDEX(c_id,$A160)))</f>
        <v/>
      </c>
      <c r="D160" s="33">
        <f>IF($A160="","",INDEX(c_data,$A160))</f>
        <v/>
      </c>
      <c r="E160" s="34">
        <f>IF($A160="","",INDEX(c_turno,$A160)&amp;"")</f>
        <v/>
      </c>
      <c r="F160" s="34">
        <f>IF($A160="","",INDEX(c_status,$A160)&amp;"")</f>
        <v/>
      </c>
      <c r="G160" s="34">
        <f>IF($A160="","",INDEX(c_alerta,$A160)&amp;"")</f>
        <v/>
      </c>
      <c r="H160" s="34">
        <f>IF($A160="","",INDEX(c_prog,$A160)&amp;"")</f>
        <v/>
      </c>
      <c r="I160" s="34">
        <f>IF($A160="","",INDEX(c_rota,$A160)&amp;"")</f>
        <v/>
      </c>
      <c r="J160" s="34">
        <f>IF($A160="","",IF(INDEX(c_pend,$A160)&amp;""&lt;&gt;"",INDEX(c_pend,$A160)&amp;"",INDEX(c_obs,$A160)&amp;""))</f>
        <v/>
      </c>
      <c r="K160" s="34">
        <f>IF($A160="","",INDEX(c_rpend,$A160)&amp;"")</f>
        <v/>
      </c>
      <c r="L160" s="33">
        <f>IF($A160="","",INDEX(c_prazo,$A160))</f>
        <v/>
      </c>
      <c r="M160" s="41">
        <f>IF($A160="","",INDEX(c_dias,$A160))</f>
        <v/>
      </c>
    </row>
    <row r="161">
      <c r="A161">
        <f>IFERROR(MATCH(LARGE(c_o_pend,154),c_o_pend,0),"")</f>
        <v/>
      </c>
      <c r="B161" s="31">
        <f>IF($A161="","",154)</f>
        <v/>
      </c>
      <c r="C161" s="32">
        <f>IF($A161="","",HYPERLINK("#'LANÇAMENTOS'!A"&amp;($A161+1),INDEX(c_id,$A161)))</f>
        <v/>
      </c>
      <c r="D161" s="33">
        <f>IF($A161="","",INDEX(c_data,$A161))</f>
        <v/>
      </c>
      <c r="E161" s="34">
        <f>IF($A161="","",INDEX(c_turno,$A161)&amp;"")</f>
        <v/>
      </c>
      <c r="F161" s="34">
        <f>IF($A161="","",INDEX(c_status,$A161)&amp;"")</f>
        <v/>
      </c>
      <c r="G161" s="34">
        <f>IF($A161="","",INDEX(c_alerta,$A161)&amp;"")</f>
        <v/>
      </c>
      <c r="H161" s="34">
        <f>IF($A161="","",INDEX(c_prog,$A161)&amp;"")</f>
        <v/>
      </c>
      <c r="I161" s="34">
        <f>IF($A161="","",INDEX(c_rota,$A161)&amp;"")</f>
        <v/>
      </c>
      <c r="J161" s="34">
        <f>IF($A161="","",IF(INDEX(c_pend,$A161)&amp;""&lt;&gt;"",INDEX(c_pend,$A161)&amp;"",INDEX(c_obs,$A161)&amp;""))</f>
        <v/>
      </c>
      <c r="K161" s="34">
        <f>IF($A161="","",INDEX(c_rpend,$A161)&amp;"")</f>
        <v/>
      </c>
      <c r="L161" s="33">
        <f>IF($A161="","",INDEX(c_prazo,$A161))</f>
        <v/>
      </c>
      <c r="M161" s="41">
        <f>IF($A161="","",INDEX(c_dias,$A161))</f>
        <v/>
      </c>
    </row>
    <row r="162">
      <c r="A162">
        <f>IFERROR(MATCH(LARGE(c_o_pend,155),c_o_pend,0),"")</f>
        <v/>
      </c>
      <c r="B162" s="31">
        <f>IF($A162="","",155)</f>
        <v/>
      </c>
      <c r="C162" s="32">
        <f>IF($A162="","",HYPERLINK("#'LANÇAMENTOS'!A"&amp;($A162+1),INDEX(c_id,$A162)))</f>
        <v/>
      </c>
      <c r="D162" s="33">
        <f>IF($A162="","",INDEX(c_data,$A162))</f>
        <v/>
      </c>
      <c r="E162" s="34">
        <f>IF($A162="","",INDEX(c_turno,$A162)&amp;"")</f>
        <v/>
      </c>
      <c r="F162" s="34">
        <f>IF($A162="","",INDEX(c_status,$A162)&amp;"")</f>
        <v/>
      </c>
      <c r="G162" s="34">
        <f>IF($A162="","",INDEX(c_alerta,$A162)&amp;"")</f>
        <v/>
      </c>
      <c r="H162" s="34">
        <f>IF($A162="","",INDEX(c_prog,$A162)&amp;"")</f>
        <v/>
      </c>
      <c r="I162" s="34">
        <f>IF($A162="","",INDEX(c_rota,$A162)&amp;"")</f>
        <v/>
      </c>
      <c r="J162" s="34">
        <f>IF($A162="","",IF(INDEX(c_pend,$A162)&amp;""&lt;&gt;"",INDEX(c_pend,$A162)&amp;"",INDEX(c_obs,$A162)&amp;""))</f>
        <v/>
      </c>
      <c r="K162" s="34">
        <f>IF($A162="","",INDEX(c_rpend,$A162)&amp;"")</f>
        <v/>
      </c>
      <c r="L162" s="33">
        <f>IF($A162="","",INDEX(c_prazo,$A162))</f>
        <v/>
      </c>
      <c r="M162" s="41">
        <f>IF($A162="","",INDEX(c_dias,$A162))</f>
        <v/>
      </c>
    </row>
    <row r="163">
      <c r="A163">
        <f>IFERROR(MATCH(LARGE(c_o_pend,156),c_o_pend,0),"")</f>
        <v/>
      </c>
      <c r="B163" s="31">
        <f>IF($A163="","",156)</f>
        <v/>
      </c>
      <c r="C163" s="32">
        <f>IF($A163="","",HYPERLINK("#'LANÇAMENTOS'!A"&amp;($A163+1),INDEX(c_id,$A163)))</f>
        <v/>
      </c>
      <c r="D163" s="33">
        <f>IF($A163="","",INDEX(c_data,$A163))</f>
        <v/>
      </c>
      <c r="E163" s="34">
        <f>IF($A163="","",INDEX(c_turno,$A163)&amp;"")</f>
        <v/>
      </c>
      <c r="F163" s="34">
        <f>IF($A163="","",INDEX(c_status,$A163)&amp;"")</f>
        <v/>
      </c>
      <c r="G163" s="34">
        <f>IF($A163="","",INDEX(c_alerta,$A163)&amp;"")</f>
        <v/>
      </c>
      <c r="H163" s="34">
        <f>IF($A163="","",INDEX(c_prog,$A163)&amp;"")</f>
        <v/>
      </c>
      <c r="I163" s="34">
        <f>IF($A163="","",INDEX(c_rota,$A163)&amp;"")</f>
        <v/>
      </c>
      <c r="J163" s="34">
        <f>IF($A163="","",IF(INDEX(c_pend,$A163)&amp;""&lt;&gt;"",INDEX(c_pend,$A163)&amp;"",INDEX(c_obs,$A163)&amp;""))</f>
        <v/>
      </c>
      <c r="K163" s="34">
        <f>IF($A163="","",INDEX(c_rpend,$A163)&amp;"")</f>
        <v/>
      </c>
      <c r="L163" s="33">
        <f>IF($A163="","",INDEX(c_prazo,$A163))</f>
        <v/>
      </c>
      <c r="M163" s="41">
        <f>IF($A163="","",INDEX(c_dias,$A163))</f>
        <v/>
      </c>
    </row>
    <row r="164">
      <c r="A164">
        <f>IFERROR(MATCH(LARGE(c_o_pend,157),c_o_pend,0),"")</f>
        <v/>
      </c>
      <c r="B164" s="31">
        <f>IF($A164="","",157)</f>
        <v/>
      </c>
      <c r="C164" s="32">
        <f>IF($A164="","",HYPERLINK("#'LANÇAMENTOS'!A"&amp;($A164+1),INDEX(c_id,$A164)))</f>
        <v/>
      </c>
      <c r="D164" s="33">
        <f>IF($A164="","",INDEX(c_data,$A164))</f>
        <v/>
      </c>
      <c r="E164" s="34">
        <f>IF($A164="","",INDEX(c_turno,$A164)&amp;"")</f>
        <v/>
      </c>
      <c r="F164" s="34">
        <f>IF($A164="","",INDEX(c_status,$A164)&amp;"")</f>
        <v/>
      </c>
      <c r="G164" s="34">
        <f>IF($A164="","",INDEX(c_alerta,$A164)&amp;"")</f>
        <v/>
      </c>
      <c r="H164" s="34">
        <f>IF($A164="","",INDEX(c_prog,$A164)&amp;"")</f>
        <v/>
      </c>
      <c r="I164" s="34">
        <f>IF($A164="","",INDEX(c_rota,$A164)&amp;"")</f>
        <v/>
      </c>
      <c r="J164" s="34">
        <f>IF($A164="","",IF(INDEX(c_pend,$A164)&amp;""&lt;&gt;"",INDEX(c_pend,$A164)&amp;"",INDEX(c_obs,$A164)&amp;""))</f>
        <v/>
      </c>
      <c r="K164" s="34">
        <f>IF($A164="","",INDEX(c_rpend,$A164)&amp;"")</f>
        <v/>
      </c>
      <c r="L164" s="33">
        <f>IF($A164="","",INDEX(c_prazo,$A164))</f>
        <v/>
      </c>
      <c r="M164" s="41">
        <f>IF($A164="","",INDEX(c_dias,$A164))</f>
        <v/>
      </c>
    </row>
    <row r="165">
      <c r="A165">
        <f>IFERROR(MATCH(LARGE(c_o_pend,158),c_o_pend,0),"")</f>
        <v/>
      </c>
      <c r="B165" s="31">
        <f>IF($A165="","",158)</f>
        <v/>
      </c>
      <c r="C165" s="32">
        <f>IF($A165="","",HYPERLINK("#'LANÇAMENTOS'!A"&amp;($A165+1),INDEX(c_id,$A165)))</f>
        <v/>
      </c>
      <c r="D165" s="33">
        <f>IF($A165="","",INDEX(c_data,$A165))</f>
        <v/>
      </c>
      <c r="E165" s="34">
        <f>IF($A165="","",INDEX(c_turno,$A165)&amp;"")</f>
        <v/>
      </c>
      <c r="F165" s="34">
        <f>IF($A165="","",INDEX(c_status,$A165)&amp;"")</f>
        <v/>
      </c>
      <c r="G165" s="34">
        <f>IF($A165="","",INDEX(c_alerta,$A165)&amp;"")</f>
        <v/>
      </c>
      <c r="H165" s="34">
        <f>IF($A165="","",INDEX(c_prog,$A165)&amp;"")</f>
        <v/>
      </c>
      <c r="I165" s="34">
        <f>IF($A165="","",INDEX(c_rota,$A165)&amp;"")</f>
        <v/>
      </c>
      <c r="J165" s="34">
        <f>IF($A165="","",IF(INDEX(c_pend,$A165)&amp;""&lt;&gt;"",INDEX(c_pend,$A165)&amp;"",INDEX(c_obs,$A165)&amp;""))</f>
        <v/>
      </c>
      <c r="K165" s="34">
        <f>IF($A165="","",INDEX(c_rpend,$A165)&amp;"")</f>
        <v/>
      </c>
      <c r="L165" s="33">
        <f>IF($A165="","",INDEX(c_prazo,$A165))</f>
        <v/>
      </c>
      <c r="M165" s="41">
        <f>IF($A165="","",INDEX(c_dias,$A165))</f>
        <v/>
      </c>
    </row>
    <row r="166">
      <c r="A166">
        <f>IFERROR(MATCH(LARGE(c_o_pend,159),c_o_pend,0),"")</f>
        <v/>
      </c>
      <c r="B166" s="31">
        <f>IF($A166="","",159)</f>
        <v/>
      </c>
      <c r="C166" s="32">
        <f>IF($A166="","",HYPERLINK("#'LANÇAMENTOS'!A"&amp;($A166+1),INDEX(c_id,$A166)))</f>
        <v/>
      </c>
      <c r="D166" s="33">
        <f>IF($A166="","",INDEX(c_data,$A166))</f>
        <v/>
      </c>
      <c r="E166" s="34">
        <f>IF($A166="","",INDEX(c_turno,$A166)&amp;"")</f>
        <v/>
      </c>
      <c r="F166" s="34">
        <f>IF($A166="","",INDEX(c_status,$A166)&amp;"")</f>
        <v/>
      </c>
      <c r="G166" s="34">
        <f>IF($A166="","",INDEX(c_alerta,$A166)&amp;"")</f>
        <v/>
      </c>
      <c r="H166" s="34">
        <f>IF($A166="","",INDEX(c_prog,$A166)&amp;"")</f>
        <v/>
      </c>
      <c r="I166" s="34">
        <f>IF($A166="","",INDEX(c_rota,$A166)&amp;"")</f>
        <v/>
      </c>
      <c r="J166" s="34">
        <f>IF($A166="","",IF(INDEX(c_pend,$A166)&amp;""&lt;&gt;"",INDEX(c_pend,$A166)&amp;"",INDEX(c_obs,$A166)&amp;""))</f>
        <v/>
      </c>
      <c r="K166" s="34">
        <f>IF($A166="","",INDEX(c_rpend,$A166)&amp;"")</f>
        <v/>
      </c>
      <c r="L166" s="33">
        <f>IF($A166="","",INDEX(c_prazo,$A166))</f>
        <v/>
      </c>
      <c r="M166" s="41">
        <f>IF($A166="","",INDEX(c_dias,$A166))</f>
        <v/>
      </c>
    </row>
    <row r="167">
      <c r="A167">
        <f>IFERROR(MATCH(LARGE(c_o_pend,160),c_o_pend,0),"")</f>
        <v/>
      </c>
      <c r="B167" s="31">
        <f>IF($A167="","",160)</f>
        <v/>
      </c>
      <c r="C167" s="32">
        <f>IF($A167="","",HYPERLINK("#'LANÇAMENTOS'!A"&amp;($A167+1),INDEX(c_id,$A167)))</f>
        <v/>
      </c>
      <c r="D167" s="33">
        <f>IF($A167="","",INDEX(c_data,$A167))</f>
        <v/>
      </c>
      <c r="E167" s="34">
        <f>IF($A167="","",INDEX(c_turno,$A167)&amp;"")</f>
        <v/>
      </c>
      <c r="F167" s="34">
        <f>IF($A167="","",INDEX(c_status,$A167)&amp;"")</f>
        <v/>
      </c>
      <c r="G167" s="34">
        <f>IF($A167="","",INDEX(c_alerta,$A167)&amp;"")</f>
        <v/>
      </c>
      <c r="H167" s="34">
        <f>IF($A167="","",INDEX(c_prog,$A167)&amp;"")</f>
        <v/>
      </c>
      <c r="I167" s="34">
        <f>IF($A167="","",INDEX(c_rota,$A167)&amp;"")</f>
        <v/>
      </c>
      <c r="J167" s="34">
        <f>IF($A167="","",IF(INDEX(c_pend,$A167)&amp;""&lt;&gt;"",INDEX(c_pend,$A167)&amp;"",INDEX(c_obs,$A167)&amp;""))</f>
        <v/>
      </c>
      <c r="K167" s="34">
        <f>IF($A167="","",INDEX(c_rpend,$A167)&amp;"")</f>
        <v/>
      </c>
      <c r="L167" s="33">
        <f>IF($A167="","",INDEX(c_prazo,$A167))</f>
        <v/>
      </c>
      <c r="M167" s="41">
        <f>IF($A167="","",INDEX(c_dias,$A167))</f>
        <v/>
      </c>
    </row>
    <row r="168">
      <c r="A168">
        <f>IFERROR(MATCH(LARGE(c_o_pend,161),c_o_pend,0),"")</f>
        <v/>
      </c>
      <c r="B168" s="31">
        <f>IF($A168="","",161)</f>
        <v/>
      </c>
      <c r="C168" s="32">
        <f>IF($A168="","",HYPERLINK("#'LANÇAMENTOS'!A"&amp;($A168+1),INDEX(c_id,$A168)))</f>
        <v/>
      </c>
      <c r="D168" s="33">
        <f>IF($A168="","",INDEX(c_data,$A168))</f>
        <v/>
      </c>
      <c r="E168" s="34">
        <f>IF($A168="","",INDEX(c_turno,$A168)&amp;"")</f>
        <v/>
      </c>
      <c r="F168" s="34">
        <f>IF($A168="","",INDEX(c_status,$A168)&amp;"")</f>
        <v/>
      </c>
      <c r="G168" s="34">
        <f>IF($A168="","",INDEX(c_alerta,$A168)&amp;"")</f>
        <v/>
      </c>
      <c r="H168" s="34">
        <f>IF($A168="","",INDEX(c_prog,$A168)&amp;"")</f>
        <v/>
      </c>
      <c r="I168" s="34">
        <f>IF($A168="","",INDEX(c_rota,$A168)&amp;"")</f>
        <v/>
      </c>
      <c r="J168" s="34">
        <f>IF($A168="","",IF(INDEX(c_pend,$A168)&amp;""&lt;&gt;"",INDEX(c_pend,$A168)&amp;"",INDEX(c_obs,$A168)&amp;""))</f>
        <v/>
      </c>
      <c r="K168" s="34">
        <f>IF($A168="","",INDEX(c_rpend,$A168)&amp;"")</f>
        <v/>
      </c>
      <c r="L168" s="33">
        <f>IF($A168="","",INDEX(c_prazo,$A168))</f>
        <v/>
      </c>
      <c r="M168" s="41">
        <f>IF($A168="","",INDEX(c_dias,$A168))</f>
        <v/>
      </c>
    </row>
    <row r="169">
      <c r="A169">
        <f>IFERROR(MATCH(LARGE(c_o_pend,162),c_o_pend,0),"")</f>
        <v/>
      </c>
      <c r="B169" s="31">
        <f>IF($A169="","",162)</f>
        <v/>
      </c>
      <c r="C169" s="32">
        <f>IF($A169="","",HYPERLINK("#'LANÇAMENTOS'!A"&amp;($A169+1),INDEX(c_id,$A169)))</f>
        <v/>
      </c>
      <c r="D169" s="33">
        <f>IF($A169="","",INDEX(c_data,$A169))</f>
        <v/>
      </c>
      <c r="E169" s="34">
        <f>IF($A169="","",INDEX(c_turno,$A169)&amp;"")</f>
        <v/>
      </c>
      <c r="F169" s="34">
        <f>IF($A169="","",INDEX(c_status,$A169)&amp;"")</f>
        <v/>
      </c>
      <c r="G169" s="34">
        <f>IF($A169="","",INDEX(c_alerta,$A169)&amp;"")</f>
        <v/>
      </c>
      <c r="H169" s="34">
        <f>IF($A169="","",INDEX(c_prog,$A169)&amp;"")</f>
        <v/>
      </c>
      <c r="I169" s="34">
        <f>IF($A169="","",INDEX(c_rota,$A169)&amp;"")</f>
        <v/>
      </c>
      <c r="J169" s="34">
        <f>IF($A169="","",IF(INDEX(c_pend,$A169)&amp;""&lt;&gt;"",INDEX(c_pend,$A169)&amp;"",INDEX(c_obs,$A169)&amp;""))</f>
        <v/>
      </c>
      <c r="K169" s="34">
        <f>IF($A169="","",INDEX(c_rpend,$A169)&amp;"")</f>
        <v/>
      </c>
      <c r="L169" s="33">
        <f>IF($A169="","",INDEX(c_prazo,$A169))</f>
        <v/>
      </c>
      <c r="M169" s="41">
        <f>IF($A169="","",INDEX(c_dias,$A169))</f>
        <v/>
      </c>
    </row>
    <row r="170">
      <c r="A170">
        <f>IFERROR(MATCH(LARGE(c_o_pend,163),c_o_pend,0),"")</f>
        <v/>
      </c>
      <c r="B170" s="31">
        <f>IF($A170="","",163)</f>
        <v/>
      </c>
      <c r="C170" s="32">
        <f>IF($A170="","",HYPERLINK("#'LANÇAMENTOS'!A"&amp;($A170+1),INDEX(c_id,$A170)))</f>
        <v/>
      </c>
      <c r="D170" s="33">
        <f>IF($A170="","",INDEX(c_data,$A170))</f>
        <v/>
      </c>
      <c r="E170" s="34">
        <f>IF($A170="","",INDEX(c_turno,$A170)&amp;"")</f>
        <v/>
      </c>
      <c r="F170" s="34">
        <f>IF($A170="","",INDEX(c_status,$A170)&amp;"")</f>
        <v/>
      </c>
      <c r="G170" s="34">
        <f>IF($A170="","",INDEX(c_alerta,$A170)&amp;"")</f>
        <v/>
      </c>
      <c r="H170" s="34">
        <f>IF($A170="","",INDEX(c_prog,$A170)&amp;"")</f>
        <v/>
      </c>
      <c r="I170" s="34">
        <f>IF($A170="","",INDEX(c_rota,$A170)&amp;"")</f>
        <v/>
      </c>
      <c r="J170" s="34">
        <f>IF($A170="","",IF(INDEX(c_pend,$A170)&amp;""&lt;&gt;"",INDEX(c_pend,$A170)&amp;"",INDEX(c_obs,$A170)&amp;""))</f>
        <v/>
      </c>
      <c r="K170" s="34">
        <f>IF($A170="","",INDEX(c_rpend,$A170)&amp;"")</f>
        <v/>
      </c>
      <c r="L170" s="33">
        <f>IF($A170="","",INDEX(c_prazo,$A170))</f>
        <v/>
      </c>
      <c r="M170" s="41">
        <f>IF($A170="","",INDEX(c_dias,$A170))</f>
        <v/>
      </c>
    </row>
    <row r="171">
      <c r="A171">
        <f>IFERROR(MATCH(LARGE(c_o_pend,164),c_o_pend,0),"")</f>
        <v/>
      </c>
      <c r="B171" s="31">
        <f>IF($A171="","",164)</f>
        <v/>
      </c>
      <c r="C171" s="32">
        <f>IF($A171="","",HYPERLINK("#'LANÇAMENTOS'!A"&amp;($A171+1),INDEX(c_id,$A171)))</f>
        <v/>
      </c>
      <c r="D171" s="33">
        <f>IF($A171="","",INDEX(c_data,$A171))</f>
        <v/>
      </c>
      <c r="E171" s="34">
        <f>IF($A171="","",INDEX(c_turno,$A171)&amp;"")</f>
        <v/>
      </c>
      <c r="F171" s="34">
        <f>IF($A171="","",INDEX(c_status,$A171)&amp;"")</f>
        <v/>
      </c>
      <c r="G171" s="34">
        <f>IF($A171="","",INDEX(c_alerta,$A171)&amp;"")</f>
        <v/>
      </c>
      <c r="H171" s="34">
        <f>IF($A171="","",INDEX(c_prog,$A171)&amp;"")</f>
        <v/>
      </c>
      <c r="I171" s="34">
        <f>IF($A171="","",INDEX(c_rota,$A171)&amp;"")</f>
        <v/>
      </c>
      <c r="J171" s="34">
        <f>IF($A171="","",IF(INDEX(c_pend,$A171)&amp;""&lt;&gt;"",INDEX(c_pend,$A171)&amp;"",INDEX(c_obs,$A171)&amp;""))</f>
        <v/>
      </c>
      <c r="K171" s="34">
        <f>IF($A171="","",INDEX(c_rpend,$A171)&amp;"")</f>
        <v/>
      </c>
      <c r="L171" s="33">
        <f>IF($A171="","",INDEX(c_prazo,$A171))</f>
        <v/>
      </c>
      <c r="M171" s="41">
        <f>IF($A171="","",INDEX(c_dias,$A171))</f>
        <v/>
      </c>
    </row>
    <row r="172">
      <c r="A172">
        <f>IFERROR(MATCH(LARGE(c_o_pend,165),c_o_pend,0),"")</f>
        <v/>
      </c>
      <c r="B172" s="31">
        <f>IF($A172="","",165)</f>
        <v/>
      </c>
      <c r="C172" s="32">
        <f>IF($A172="","",HYPERLINK("#'LANÇAMENTOS'!A"&amp;($A172+1),INDEX(c_id,$A172)))</f>
        <v/>
      </c>
      <c r="D172" s="33">
        <f>IF($A172="","",INDEX(c_data,$A172))</f>
        <v/>
      </c>
      <c r="E172" s="34">
        <f>IF($A172="","",INDEX(c_turno,$A172)&amp;"")</f>
        <v/>
      </c>
      <c r="F172" s="34">
        <f>IF($A172="","",INDEX(c_status,$A172)&amp;"")</f>
        <v/>
      </c>
      <c r="G172" s="34">
        <f>IF($A172="","",INDEX(c_alerta,$A172)&amp;"")</f>
        <v/>
      </c>
      <c r="H172" s="34">
        <f>IF($A172="","",INDEX(c_prog,$A172)&amp;"")</f>
        <v/>
      </c>
      <c r="I172" s="34">
        <f>IF($A172="","",INDEX(c_rota,$A172)&amp;"")</f>
        <v/>
      </c>
      <c r="J172" s="34">
        <f>IF($A172="","",IF(INDEX(c_pend,$A172)&amp;""&lt;&gt;"",INDEX(c_pend,$A172)&amp;"",INDEX(c_obs,$A172)&amp;""))</f>
        <v/>
      </c>
      <c r="K172" s="34">
        <f>IF($A172="","",INDEX(c_rpend,$A172)&amp;"")</f>
        <v/>
      </c>
      <c r="L172" s="33">
        <f>IF($A172="","",INDEX(c_prazo,$A172))</f>
        <v/>
      </c>
      <c r="M172" s="41">
        <f>IF($A172="","",INDEX(c_dias,$A172))</f>
        <v/>
      </c>
    </row>
    <row r="173">
      <c r="A173">
        <f>IFERROR(MATCH(LARGE(c_o_pend,166),c_o_pend,0),"")</f>
        <v/>
      </c>
      <c r="B173" s="31">
        <f>IF($A173="","",166)</f>
        <v/>
      </c>
      <c r="C173" s="32">
        <f>IF($A173="","",HYPERLINK("#'LANÇAMENTOS'!A"&amp;($A173+1),INDEX(c_id,$A173)))</f>
        <v/>
      </c>
      <c r="D173" s="33">
        <f>IF($A173="","",INDEX(c_data,$A173))</f>
        <v/>
      </c>
      <c r="E173" s="34">
        <f>IF($A173="","",INDEX(c_turno,$A173)&amp;"")</f>
        <v/>
      </c>
      <c r="F173" s="34">
        <f>IF($A173="","",INDEX(c_status,$A173)&amp;"")</f>
        <v/>
      </c>
      <c r="G173" s="34">
        <f>IF($A173="","",INDEX(c_alerta,$A173)&amp;"")</f>
        <v/>
      </c>
      <c r="H173" s="34">
        <f>IF($A173="","",INDEX(c_prog,$A173)&amp;"")</f>
        <v/>
      </c>
      <c r="I173" s="34">
        <f>IF($A173="","",INDEX(c_rota,$A173)&amp;"")</f>
        <v/>
      </c>
      <c r="J173" s="34">
        <f>IF($A173="","",IF(INDEX(c_pend,$A173)&amp;""&lt;&gt;"",INDEX(c_pend,$A173)&amp;"",INDEX(c_obs,$A173)&amp;""))</f>
        <v/>
      </c>
      <c r="K173" s="34">
        <f>IF($A173="","",INDEX(c_rpend,$A173)&amp;"")</f>
        <v/>
      </c>
      <c r="L173" s="33">
        <f>IF($A173="","",INDEX(c_prazo,$A173))</f>
        <v/>
      </c>
      <c r="M173" s="41">
        <f>IF($A173="","",INDEX(c_dias,$A173))</f>
        <v/>
      </c>
    </row>
    <row r="174">
      <c r="A174">
        <f>IFERROR(MATCH(LARGE(c_o_pend,167),c_o_pend,0),"")</f>
        <v/>
      </c>
      <c r="B174" s="31">
        <f>IF($A174="","",167)</f>
        <v/>
      </c>
      <c r="C174" s="32">
        <f>IF($A174="","",HYPERLINK("#'LANÇAMENTOS'!A"&amp;($A174+1),INDEX(c_id,$A174)))</f>
        <v/>
      </c>
      <c r="D174" s="33">
        <f>IF($A174="","",INDEX(c_data,$A174))</f>
        <v/>
      </c>
      <c r="E174" s="34">
        <f>IF($A174="","",INDEX(c_turno,$A174)&amp;"")</f>
        <v/>
      </c>
      <c r="F174" s="34">
        <f>IF($A174="","",INDEX(c_status,$A174)&amp;"")</f>
        <v/>
      </c>
      <c r="G174" s="34">
        <f>IF($A174="","",INDEX(c_alerta,$A174)&amp;"")</f>
        <v/>
      </c>
      <c r="H174" s="34">
        <f>IF($A174="","",INDEX(c_prog,$A174)&amp;"")</f>
        <v/>
      </c>
      <c r="I174" s="34">
        <f>IF($A174="","",INDEX(c_rota,$A174)&amp;"")</f>
        <v/>
      </c>
      <c r="J174" s="34">
        <f>IF($A174="","",IF(INDEX(c_pend,$A174)&amp;""&lt;&gt;"",INDEX(c_pend,$A174)&amp;"",INDEX(c_obs,$A174)&amp;""))</f>
        <v/>
      </c>
      <c r="K174" s="34">
        <f>IF($A174="","",INDEX(c_rpend,$A174)&amp;"")</f>
        <v/>
      </c>
      <c r="L174" s="33">
        <f>IF($A174="","",INDEX(c_prazo,$A174))</f>
        <v/>
      </c>
      <c r="M174" s="41">
        <f>IF($A174="","",INDEX(c_dias,$A174))</f>
        <v/>
      </c>
    </row>
    <row r="175">
      <c r="A175">
        <f>IFERROR(MATCH(LARGE(c_o_pend,168),c_o_pend,0),"")</f>
        <v/>
      </c>
      <c r="B175" s="31">
        <f>IF($A175="","",168)</f>
        <v/>
      </c>
      <c r="C175" s="32">
        <f>IF($A175="","",HYPERLINK("#'LANÇAMENTOS'!A"&amp;($A175+1),INDEX(c_id,$A175)))</f>
        <v/>
      </c>
      <c r="D175" s="33">
        <f>IF($A175="","",INDEX(c_data,$A175))</f>
        <v/>
      </c>
      <c r="E175" s="34">
        <f>IF($A175="","",INDEX(c_turno,$A175)&amp;"")</f>
        <v/>
      </c>
      <c r="F175" s="34">
        <f>IF($A175="","",INDEX(c_status,$A175)&amp;"")</f>
        <v/>
      </c>
      <c r="G175" s="34">
        <f>IF($A175="","",INDEX(c_alerta,$A175)&amp;"")</f>
        <v/>
      </c>
      <c r="H175" s="34">
        <f>IF($A175="","",INDEX(c_prog,$A175)&amp;"")</f>
        <v/>
      </c>
      <c r="I175" s="34">
        <f>IF($A175="","",INDEX(c_rota,$A175)&amp;"")</f>
        <v/>
      </c>
      <c r="J175" s="34">
        <f>IF($A175="","",IF(INDEX(c_pend,$A175)&amp;""&lt;&gt;"",INDEX(c_pend,$A175)&amp;"",INDEX(c_obs,$A175)&amp;""))</f>
        <v/>
      </c>
      <c r="K175" s="34">
        <f>IF($A175="","",INDEX(c_rpend,$A175)&amp;"")</f>
        <v/>
      </c>
      <c r="L175" s="33">
        <f>IF($A175="","",INDEX(c_prazo,$A175))</f>
        <v/>
      </c>
      <c r="M175" s="41">
        <f>IF($A175="","",INDEX(c_dias,$A175))</f>
        <v/>
      </c>
    </row>
    <row r="176">
      <c r="A176">
        <f>IFERROR(MATCH(LARGE(c_o_pend,169),c_o_pend,0),"")</f>
        <v/>
      </c>
      <c r="B176" s="31">
        <f>IF($A176="","",169)</f>
        <v/>
      </c>
      <c r="C176" s="32">
        <f>IF($A176="","",HYPERLINK("#'LANÇAMENTOS'!A"&amp;($A176+1),INDEX(c_id,$A176)))</f>
        <v/>
      </c>
      <c r="D176" s="33">
        <f>IF($A176="","",INDEX(c_data,$A176))</f>
        <v/>
      </c>
      <c r="E176" s="34">
        <f>IF($A176="","",INDEX(c_turno,$A176)&amp;"")</f>
        <v/>
      </c>
      <c r="F176" s="34">
        <f>IF($A176="","",INDEX(c_status,$A176)&amp;"")</f>
        <v/>
      </c>
      <c r="G176" s="34">
        <f>IF($A176="","",INDEX(c_alerta,$A176)&amp;"")</f>
        <v/>
      </c>
      <c r="H176" s="34">
        <f>IF($A176="","",INDEX(c_prog,$A176)&amp;"")</f>
        <v/>
      </c>
      <c r="I176" s="34">
        <f>IF($A176="","",INDEX(c_rota,$A176)&amp;"")</f>
        <v/>
      </c>
      <c r="J176" s="34">
        <f>IF($A176="","",IF(INDEX(c_pend,$A176)&amp;""&lt;&gt;"",INDEX(c_pend,$A176)&amp;"",INDEX(c_obs,$A176)&amp;""))</f>
        <v/>
      </c>
      <c r="K176" s="34">
        <f>IF($A176="","",INDEX(c_rpend,$A176)&amp;"")</f>
        <v/>
      </c>
      <c r="L176" s="33">
        <f>IF($A176="","",INDEX(c_prazo,$A176))</f>
        <v/>
      </c>
      <c r="M176" s="41">
        <f>IF($A176="","",INDEX(c_dias,$A176))</f>
        <v/>
      </c>
    </row>
    <row r="177">
      <c r="A177">
        <f>IFERROR(MATCH(LARGE(c_o_pend,170),c_o_pend,0),"")</f>
        <v/>
      </c>
      <c r="B177" s="31">
        <f>IF($A177="","",170)</f>
        <v/>
      </c>
      <c r="C177" s="32">
        <f>IF($A177="","",HYPERLINK("#'LANÇAMENTOS'!A"&amp;($A177+1),INDEX(c_id,$A177)))</f>
        <v/>
      </c>
      <c r="D177" s="33">
        <f>IF($A177="","",INDEX(c_data,$A177))</f>
        <v/>
      </c>
      <c r="E177" s="34">
        <f>IF($A177="","",INDEX(c_turno,$A177)&amp;"")</f>
        <v/>
      </c>
      <c r="F177" s="34">
        <f>IF($A177="","",INDEX(c_status,$A177)&amp;"")</f>
        <v/>
      </c>
      <c r="G177" s="34">
        <f>IF($A177="","",INDEX(c_alerta,$A177)&amp;"")</f>
        <v/>
      </c>
      <c r="H177" s="34">
        <f>IF($A177="","",INDEX(c_prog,$A177)&amp;"")</f>
        <v/>
      </c>
      <c r="I177" s="34">
        <f>IF($A177="","",INDEX(c_rota,$A177)&amp;"")</f>
        <v/>
      </c>
      <c r="J177" s="34">
        <f>IF($A177="","",IF(INDEX(c_pend,$A177)&amp;""&lt;&gt;"",INDEX(c_pend,$A177)&amp;"",INDEX(c_obs,$A177)&amp;""))</f>
        <v/>
      </c>
      <c r="K177" s="34">
        <f>IF($A177="","",INDEX(c_rpend,$A177)&amp;"")</f>
        <v/>
      </c>
      <c r="L177" s="33">
        <f>IF($A177="","",INDEX(c_prazo,$A177))</f>
        <v/>
      </c>
      <c r="M177" s="41">
        <f>IF($A177="","",INDEX(c_dias,$A177))</f>
        <v/>
      </c>
    </row>
    <row r="178">
      <c r="A178">
        <f>IFERROR(MATCH(LARGE(c_o_pend,171),c_o_pend,0),"")</f>
        <v/>
      </c>
      <c r="B178" s="31">
        <f>IF($A178="","",171)</f>
        <v/>
      </c>
      <c r="C178" s="32">
        <f>IF($A178="","",HYPERLINK("#'LANÇAMENTOS'!A"&amp;($A178+1),INDEX(c_id,$A178)))</f>
        <v/>
      </c>
      <c r="D178" s="33">
        <f>IF($A178="","",INDEX(c_data,$A178))</f>
        <v/>
      </c>
      <c r="E178" s="34">
        <f>IF($A178="","",INDEX(c_turno,$A178)&amp;"")</f>
        <v/>
      </c>
      <c r="F178" s="34">
        <f>IF($A178="","",INDEX(c_status,$A178)&amp;"")</f>
        <v/>
      </c>
      <c r="G178" s="34">
        <f>IF($A178="","",INDEX(c_alerta,$A178)&amp;"")</f>
        <v/>
      </c>
      <c r="H178" s="34">
        <f>IF($A178="","",INDEX(c_prog,$A178)&amp;"")</f>
        <v/>
      </c>
      <c r="I178" s="34">
        <f>IF($A178="","",INDEX(c_rota,$A178)&amp;"")</f>
        <v/>
      </c>
      <c r="J178" s="34">
        <f>IF($A178="","",IF(INDEX(c_pend,$A178)&amp;""&lt;&gt;"",INDEX(c_pend,$A178)&amp;"",INDEX(c_obs,$A178)&amp;""))</f>
        <v/>
      </c>
      <c r="K178" s="34">
        <f>IF($A178="","",INDEX(c_rpend,$A178)&amp;"")</f>
        <v/>
      </c>
      <c r="L178" s="33">
        <f>IF($A178="","",INDEX(c_prazo,$A178))</f>
        <v/>
      </c>
      <c r="M178" s="41">
        <f>IF($A178="","",INDEX(c_dias,$A178))</f>
        <v/>
      </c>
    </row>
    <row r="179">
      <c r="A179">
        <f>IFERROR(MATCH(LARGE(c_o_pend,172),c_o_pend,0),"")</f>
        <v/>
      </c>
      <c r="B179" s="31">
        <f>IF($A179="","",172)</f>
        <v/>
      </c>
      <c r="C179" s="32">
        <f>IF($A179="","",HYPERLINK("#'LANÇAMENTOS'!A"&amp;($A179+1),INDEX(c_id,$A179)))</f>
        <v/>
      </c>
      <c r="D179" s="33">
        <f>IF($A179="","",INDEX(c_data,$A179))</f>
        <v/>
      </c>
      <c r="E179" s="34">
        <f>IF($A179="","",INDEX(c_turno,$A179)&amp;"")</f>
        <v/>
      </c>
      <c r="F179" s="34">
        <f>IF($A179="","",INDEX(c_status,$A179)&amp;"")</f>
        <v/>
      </c>
      <c r="G179" s="34">
        <f>IF($A179="","",INDEX(c_alerta,$A179)&amp;"")</f>
        <v/>
      </c>
      <c r="H179" s="34">
        <f>IF($A179="","",INDEX(c_prog,$A179)&amp;"")</f>
        <v/>
      </c>
      <c r="I179" s="34">
        <f>IF($A179="","",INDEX(c_rota,$A179)&amp;"")</f>
        <v/>
      </c>
      <c r="J179" s="34">
        <f>IF($A179="","",IF(INDEX(c_pend,$A179)&amp;""&lt;&gt;"",INDEX(c_pend,$A179)&amp;"",INDEX(c_obs,$A179)&amp;""))</f>
        <v/>
      </c>
      <c r="K179" s="34">
        <f>IF($A179="","",INDEX(c_rpend,$A179)&amp;"")</f>
        <v/>
      </c>
      <c r="L179" s="33">
        <f>IF($A179="","",INDEX(c_prazo,$A179))</f>
        <v/>
      </c>
      <c r="M179" s="41">
        <f>IF($A179="","",INDEX(c_dias,$A179))</f>
        <v/>
      </c>
    </row>
    <row r="180">
      <c r="A180">
        <f>IFERROR(MATCH(LARGE(c_o_pend,173),c_o_pend,0),"")</f>
        <v/>
      </c>
      <c r="B180" s="31">
        <f>IF($A180="","",173)</f>
        <v/>
      </c>
      <c r="C180" s="32">
        <f>IF($A180="","",HYPERLINK("#'LANÇAMENTOS'!A"&amp;($A180+1),INDEX(c_id,$A180)))</f>
        <v/>
      </c>
      <c r="D180" s="33">
        <f>IF($A180="","",INDEX(c_data,$A180))</f>
        <v/>
      </c>
      <c r="E180" s="34">
        <f>IF($A180="","",INDEX(c_turno,$A180)&amp;"")</f>
        <v/>
      </c>
      <c r="F180" s="34">
        <f>IF($A180="","",INDEX(c_status,$A180)&amp;"")</f>
        <v/>
      </c>
      <c r="G180" s="34">
        <f>IF($A180="","",INDEX(c_alerta,$A180)&amp;"")</f>
        <v/>
      </c>
      <c r="H180" s="34">
        <f>IF($A180="","",INDEX(c_prog,$A180)&amp;"")</f>
        <v/>
      </c>
      <c r="I180" s="34">
        <f>IF($A180="","",INDEX(c_rota,$A180)&amp;"")</f>
        <v/>
      </c>
      <c r="J180" s="34">
        <f>IF($A180="","",IF(INDEX(c_pend,$A180)&amp;""&lt;&gt;"",INDEX(c_pend,$A180)&amp;"",INDEX(c_obs,$A180)&amp;""))</f>
        <v/>
      </c>
      <c r="K180" s="34">
        <f>IF($A180="","",INDEX(c_rpend,$A180)&amp;"")</f>
        <v/>
      </c>
      <c r="L180" s="33">
        <f>IF($A180="","",INDEX(c_prazo,$A180))</f>
        <v/>
      </c>
      <c r="M180" s="41">
        <f>IF($A180="","",INDEX(c_dias,$A180))</f>
        <v/>
      </c>
    </row>
    <row r="181">
      <c r="A181">
        <f>IFERROR(MATCH(LARGE(c_o_pend,174),c_o_pend,0),"")</f>
        <v/>
      </c>
      <c r="B181" s="31">
        <f>IF($A181="","",174)</f>
        <v/>
      </c>
      <c r="C181" s="32">
        <f>IF($A181="","",HYPERLINK("#'LANÇAMENTOS'!A"&amp;($A181+1),INDEX(c_id,$A181)))</f>
        <v/>
      </c>
      <c r="D181" s="33">
        <f>IF($A181="","",INDEX(c_data,$A181))</f>
        <v/>
      </c>
      <c r="E181" s="34">
        <f>IF($A181="","",INDEX(c_turno,$A181)&amp;"")</f>
        <v/>
      </c>
      <c r="F181" s="34">
        <f>IF($A181="","",INDEX(c_status,$A181)&amp;"")</f>
        <v/>
      </c>
      <c r="G181" s="34">
        <f>IF($A181="","",INDEX(c_alerta,$A181)&amp;"")</f>
        <v/>
      </c>
      <c r="H181" s="34">
        <f>IF($A181="","",INDEX(c_prog,$A181)&amp;"")</f>
        <v/>
      </c>
      <c r="I181" s="34">
        <f>IF($A181="","",INDEX(c_rota,$A181)&amp;"")</f>
        <v/>
      </c>
      <c r="J181" s="34">
        <f>IF($A181="","",IF(INDEX(c_pend,$A181)&amp;""&lt;&gt;"",INDEX(c_pend,$A181)&amp;"",INDEX(c_obs,$A181)&amp;""))</f>
        <v/>
      </c>
      <c r="K181" s="34">
        <f>IF($A181="","",INDEX(c_rpend,$A181)&amp;"")</f>
        <v/>
      </c>
      <c r="L181" s="33">
        <f>IF($A181="","",INDEX(c_prazo,$A181))</f>
        <v/>
      </c>
      <c r="M181" s="41">
        <f>IF($A181="","",INDEX(c_dias,$A181))</f>
        <v/>
      </c>
    </row>
    <row r="182">
      <c r="A182">
        <f>IFERROR(MATCH(LARGE(c_o_pend,175),c_o_pend,0),"")</f>
        <v/>
      </c>
      <c r="B182" s="31">
        <f>IF($A182="","",175)</f>
        <v/>
      </c>
      <c r="C182" s="32">
        <f>IF($A182="","",HYPERLINK("#'LANÇAMENTOS'!A"&amp;($A182+1),INDEX(c_id,$A182)))</f>
        <v/>
      </c>
      <c r="D182" s="33">
        <f>IF($A182="","",INDEX(c_data,$A182))</f>
        <v/>
      </c>
      <c r="E182" s="34">
        <f>IF($A182="","",INDEX(c_turno,$A182)&amp;"")</f>
        <v/>
      </c>
      <c r="F182" s="34">
        <f>IF($A182="","",INDEX(c_status,$A182)&amp;"")</f>
        <v/>
      </c>
      <c r="G182" s="34">
        <f>IF($A182="","",INDEX(c_alerta,$A182)&amp;"")</f>
        <v/>
      </c>
      <c r="H182" s="34">
        <f>IF($A182="","",INDEX(c_prog,$A182)&amp;"")</f>
        <v/>
      </c>
      <c r="I182" s="34">
        <f>IF($A182="","",INDEX(c_rota,$A182)&amp;"")</f>
        <v/>
      </c>
      <c r="J182" s="34">
        <f>IF($A182="","",IF(INDEX(c_pend,$A182)&amp;""&lt;&gt;"",INDEX(c_pend,$A182)&amp;"",INDEX(c_obs,$A182)&amp;""))</f>
        <v/>
      </c>
      <c r="K182" s="34">
        <f>IF($A182="","",INDEX(c_rpend,$A182)&amp;"")</f>
        <v/>
      </c>
      <c r="L182" s="33">
        <f>IF($A182="","",INDEX(c_prazo,$A182))</f>
        <v/>
      </c>
      <c r="M182" s="41">
        <f>IF($A182="","",INDEX(c_dias,$A182))</f>
        <v/>
      </c>
    </row>
    <row r="183">
      <c r="A183">
        <f>IFERROR(MATCH(LARGE(c_o_pend,176),c_o_pend,0),"")</f>
        <v/>
      </c>
      <c r="B183" s="31">
        <f>IF($A183="","",176)</f>
        <v/>
      </c>
      <c r="C183" s="32">
        <f>IF($A183="","",HYPERLINK("#'LANÇAMENTOS'!A"&amp;($A183+1),INDEX(c_id,$A183)))</f>
        <v/>
      </c>
      <c r="D183" s="33">
        <f>IF($A183="","",INDEX(c_data,$A183))</f>
        <v/>
      </c>
      <c r="E183" s="34">
        <f>IF($A183="","",INDEX(c_turno,$A183)&amp;"")</f>
        <v/>
      </c>
      <c r="F183" s="34">
        <f>IF($A183="","",INDEX(c_status,$A183)&amp;"")</f>
        <v/>
      </c>
      <c r="G183" s="34">
        <f>IF($A183="","",INDEX(c_alerta,$A183)&amp;"")</f>
        <v/>
      </c>
      <c r="H183" s="34">
        <f>IF($A183="","",INDEX(c_prog,$A183)&amp;"")</f>
        <v/>
      </c>
      <c r="I183" s="34">
        <f>IF($A183="","",INDEX(c_rota,$A183)&amp;"")</f>
        <v/>
      </c>
      <c r="J183" s="34">
        <f>IF($A183="","",IF(INDEX(c_pend,$A183)&amp;""&lt;&gt;"",INDEX(c_pend,$A183)&amp;"",INDEX(c_obs,$A183)&amp;""))</f>
        <v/>
      </c>
      <c r="K183" s="34">
        <f>IF($A183="","",INDEX(c_rpend,$A183)&amp;"")</f>
        <v/>
      </c>
      <c r="L183" s="33">
        <f>IF($A183="","",INDEX(c_prazo,$A183))</f>
        <v/>
      </c>
      <c r="M183" s="41">
        <f>IF($A183="","",INDEX(c_dias,$A183))</f>
        <v/>
      </c>
    </row>
    <row r="184">
      <c r="A184">
        <f>IFERROR(MATCH(LARGE(c_o_pend,177),c_o_pend,0),"")</f>
        <v/>
      </c>
      <c r="B184" s="31">
        <f>IF($A184="","",177)</f>
        <v/>
      </c>
      <c r="C184" s="32">
        <f>IF($A184="","",HYPERLINK("#'LANÇAMENTOS'!A"&amp;($A184+1),INDEX(c_id,$A184)))</f>
        <v/>
      </c>
      <c r="D184" s="33">
        <f>IF($A184="","",INDEX(c_data,$A184))</f>
        <v/>
      </c>
      <c r="E184" s="34">
        <f>IF($A184="","",INDEX(c_turno,$A184)&amp;"")</f>
        <v/>
      </c>
      <c r="F184" s="34">
        <f>IF($A184="","",INDEX(c_status,$A184)&amp;"")</f>
        <v/>
      </c>
      <c r="G184" s="34">
        <f>IF($A184="","",INDEX(c_alerta,$A184)&amp;"")</f>
        <v/>
      </c>
      <c r="H184" s="34">
        <f>IF($A184="","",INDEX(c_prog,$A184)&amp;"")</f>
        <v/>
      </c>
      <c r="I184" s="34">
        <f>IF($A184="","",INDEX(c_rota,$A184)&amp;"")</f>
        <v/>
      </c>
      <c r="J184" s="34">
        <f>IF($A184="","",IF(INDEX(c_pend,$A184)&amp;""&lt;&gt;"",INDEX(c_pend,$A184)&amp;"",INDEX(c_obs,$A184)&amp;""))</f>
        <v/>
      </c>
      <c r="K184" s="34">
        <f>IF($A184="","",INDEX(c_rpend,$A184)&amp;"")</f>
        <v/>
      </c>
      <c r="L184" s="33">
        <f>IF($A184="","",INDEX(c_prazo,$A184))</f>
        <v/>
      </c>
      <c r="M184" s="41">
        <f>IF($A184="","",INDEX(c_dias,$A184))</f>
        <v/>
      </c>
    </row>
    <row r="185">
      <c r="A185">
        <f>IFERROR(MATCH(LARGE(c_o_pend,178),c_o_pend,0),"")</f>
        <v/>
      </c>
      <c r="B185" s="31">
        <f>IF($A185="","",178)</f>
        <v/>
      </c>
      <c r="C185" s="32">
        <f>IF($A185="","",HYPERLINK("#'LANÇAMENTOS'!A"&amp;($A185+1),INDEX(c_id,$A185)))</f>
        <v/>
      </c>
      <c r="D185" s="33">
        <f>IF($A185="","",INDEX(c_data,$A185))</f>
        <v/>
      </c>
      <c r="E185" s="34">
        <f>IF($A185="","",INDEX(c_turno,$A185)&amp;"")</f>
        <v/>
      </c>
      <c r="F185" s="34">
        <f>IF($A185="","",INDEX(c_status,$A185)&amp;"")</f>
        <v/>
      </c>
      <c r="G185" s="34">
        <f>IF($A185="","",INDEX(c_alerta,$A185)&amp;"")</f>
        <v/>
      </c>
      <c r="H185" s="34">
        <f>IF($A185="","",INDEX(c_prog,$A185)&amp;"")</f>
        <v/>
      </c>
      <c r="I185" s="34">
        <f>IF($A185="","",INDEX(c_rota,$A185)&amp;"")</f>
        <v/>
      </c>
      <c r="J185" s="34">
        <f>IF($A185="","",IF(INDEX(c_pend,$A185)&amp;""&lt;&gt;"",INDEX(c_pend,$A185)&amp;"",INDEX(c_obs,$A185)&amp;""))</f>
        <v/>
      </c>
      <c r="K185" s="34">
        <f>IF($A185="","",INDEX(c_rpend,$A185)&amp;"")</f>
        <v/>
      </c>
      <c r="L185" s="33">
        <f>IF($A185="","",INDEX(c_prazo,$A185))</f>
        <v/>
      </c>
      <c r="M185" s="41">
        <f>IF($A185="","",INDEX(c_dias,$A185))</f>
        <v/>
      </c>
    </row>
    <row r="186">
      <c r="A186">
        <f>IFERROR(MATCH(LARGE(c_o_pend,179),c_o_pend,0),"")</f>
        <v/>
      </c>
      <c r="B186" s="31">
        <f>IF($A186="","",179)</f>
        <v/>
      </c>
      <c r="C186" s="32">
        <f>IF($A186="","",HYPERLINK("#'LANÇAMENTOS'!A"&amp;($A186+1),INDEX(c_id,$A186)))</f>
        <v/>
      </c>
      <c r="D186" s="33">
        <f>IF($A186="","",INDEX(c_data,$A186))</f>
        <v/>
      </c>
      <c r="E186" s="34">
        <f>IF($A186="","",INDEX(c_turno,$A186)&amp;"")</f>
        <v/>
      </c>
      <c r="F186" s="34">
        <f>IF($A186="","",INDEX(c_status,$A186)&amp;"")</f>
        <v/>
      </c>
      <c r="G186" s="34">
        <f>IF($A186="","",INDEX(c_alerta,$A186)&amp;"")</f>
        <v/>
      </c>
      <c r="H186" s="34">
        <f>IF($A186="","",INDEX(c_prog,$A186)&amp;"")</f>
        <v/>
      </c>
      <c r="I186" s="34">
        <f>IF($A186="","",INDEX(c_rota,$A186)&amp;"")</f>
        <v/>
      </c>
      <c r="J186" s="34">
        <f>IF($A186="","",IF(INDEX(c_pend,$A186)&amp;""&lt;&gt;"",INDEX(c_pend,$A186)&amp;"",INDEX(c_obs,$A186)&amp;""))</f>
        <v/>
      </c>
      <c r="K186" s="34">
        <f>IF($A186="","",INDEX(c_rpend,$A186)&amp;"")</f>
        <v/>
      </c>
      <c r="L186" s="33">
        <f>IF($A186="","",INDEX(c_prazo,$A186))</f>
        <v/>
      </c>
      <c r="M186" s="41">
        <f>IF($A186="","",INDEX(c_dias,$A186))</f>
        <v/>
      </c>
    </row>
    <row r="187">
      <c r="A187">
        <f>IFERROR(MATCH(LARGE(c_o_pend,180),c_o_pend,0),"")</f>
        <v/>
      </c>
      <c r="B187" s="31">
        <f>IF($A187="","",180)</f>
        <v/>
      </c>
      <c r="C187" s="32">
        <f>IF($A187="","",HYPERLINK("#'LANÇAMENTOS'!A"&amp;($A187+1),INDEX(c_id,$A187)))</f>
        <v/>
      </c>
      <c r="D187" s="33">
        <f>IF($A187="","",INDEX(c_data,$A187))</f>
        <v/>
      </c>
      <c r="E187" s="34">
        <f>IF($A187="","",INDEX(c_turno,$A187)&amp;"")</f>
        <v/>
      </c>
      <c r="F187" s="34">
        <f>IF($A187="","",INDEX(c_status,$A187)&amp;"")</f>
        <v/>
      </c>
      <c r="G187" s="34">
        <f>IF($A187="","",INDEX(c_alerta,$A187)&amp;"")</f>
        <v/>
      </c>
      <c r="H187" s="34">
        <f>IF($A187="","",INDEX(c_prog,$A187)&amp;"")</f>
        <v/>
      </c>
      <c r="I187" s="34">
        <f>IF($A187="","",INDEX(c_rota,$A187)&amp;"")</f>
        <v/>
      </c>
      <c r="J187" s="34">
        <f>IF($A187="","",IF(INDEX(c_pend,$A187)&amp;""&lt;&gt;"",INDEX(c_pend,$A187)&amp;"",INDEX(c_obs,$A187)&amp;""))</f>
        <v/>
      </c>
      <c r="K187" s="34">
        <f>IF($A187="","",INDEX(c_rpend,$A187)&amp;"")</f>
        <v/>
      </c>
      <c r="L187" s="33">
        <f>IF($A187="","",INDEX(c_prazo,$A187))</f>
        <v/>
      </c>
      <c r="M187" s="41">
        <f>IF($A187="","",INDEX(c_dias,$A187))</f>
        <v/>
      </c>
    </row>
    <row r="188">
      <c r="A188">
        <f>IFERROR(MATCH(LARGE(c_o_pend,181),c_o_pend,0),"")</f>
        <v/>
      </c>
      <c r="B188" s="31">
        <f>IF($A188="","",181)</f>
        <v/>
      </c>
      <c r="C188" s="32">
        <f>IF($A188="","",HYPERLINK("#'LANÇAMENTOS'!A"&amp;($A188+1),INDEX(c_id,$A188)))</f>
        <v/>
      </c>
      <c r="D188" s="33">
        <f>IF($A188="","",INDEX(c_data,$A188))</f>
        <v/>
      </c>
      <c r="E188" s="34">
        <f>IF($A188="","",INDEX(c_turno,$A188)&amp;"")</f>
        <v/>
      </c>
      <c r="F188" s="34">
        <f>IF($A188="","",INDEX(c_status,$A188)&amp;"")</f>
        <v/>
      </c>
      <c r="G188" s="34">
        <f>IF($A188="","",INDEX(c_alerta,$A188)&amp;"")</f>
        <v/>
      </c>
      <c r="H188" s="34">
        <f>IF($A188="","",INDEX(c_prog,$A188)&amp;"")</f>
        <v/>
      </c>
      <c r="I188" s="34">
        <f>IF($A188="","",INDEX(c_rota,$A188)&amp;"")</f>
        <v/>
      </c>
      <c r="J188" s="34">
        <f>IF($A188="","",IF(INDEX(c_pend,$A188)&amp;""&lt;&gt;"",INDEX(c_pend,$A188)&amp;"",INDEX(c_obs,$A188)&amp;""))</f>
        <v/>
      </c>
      <c r="K188" s="34">
        <f>IF($A188="","",INDEX(c_rpend,$A188)&amp;"")</f>
        <v/>
      </c>
      <c r="L188" s="33">
        <f>IF($A188="","",INDEX(c_prazo,$A188))</f>
        <v/>
      </c>
      <c r="M188" s="41">
        <f>IF($A188="","",INDEX(c_dias,$A188))</f>
        <v/>
      </c>
    </row>
    <row r="189">
      <c r="A189">
        <f>IFERROR(MATCH(LARGE(c_o_pend,182),c_o_pend,0),"")</f>
        <v/>
      </c>
      <c r="B189" s="31">
        <f>IF($A189="","",182)</f>
        <v/>
      </c>
      <c r="C189" s="32">
        <f>IF($A189="","",HYPERLINK("#'LANÇAMENTOS'!A"&amp;($A189+1),INDEX(c_id,$A189)))</f>
        <v/>
      </c>
      <c r="D189" s="33">
        <f>IF($A189="","",INDEX(c_data,$A189))</f>
        <v/>
      </c>
      <c r="E189" s="34">
        <f>IF($A189="","",INDEX(c_turno,$A189)&amp;"")</f>
        <v/>
      </c>
      <c r="F189" s="34">
        <f>IF($A189="","",INDEX(c_status,$A189)&amp;"")</f>
        <v/>
      </c>
      <c r="G189" s="34">
        <f>IF($A189="","",INDEX(c_alerta,$A189)&amp;"")</f>
        <v/>
      </c>
      <c r="H189" s="34">
        <f>IF($A189="","",INDEX(c_prog,$A189)&amp;"")</f>
        <v/>
      </c>
      <c r="I189" s="34">
        <f>IF($A189="","",INDEX(c_rota,$A189)&amp;"")</f>
        <v/>
      </c>
      <c r="J189" s="34">
        <f>IF($A189="","",IF(INDEX(c_pend,$A189)&amp;""&lt;&gt;"",INDEX(c_pend,$A189)&amp;"",INDEX(c_obs,$A189)&amp;""))</f>
        <v/>
      </c>
      <c r="K189" s="34">
        <f>IF($A189="","",INDEX(c_rpend,$A189)&amp;"")</f>
        <v/>
      </c>
      <c r="L189" s="33">
        <f>IF($A189="","",INDEX(c_prazo,$A189))</f>
        <v/>
      </c>
      <c r="M189" s="41">
        <f>IF($A189="","",INDEX(c_dias,$A189))</f>
        <v/>
      </c>
    </row>
    <row r="190">
      <c r="A190">
        <f>IFERROR(MATCH(LARGE(c_o_pend,183),c_o_pend,0),"")</f>
        <v/>
      </c>
      <c r="B190" s="31">
        <f>IF($A190="","",183)</f>
        <v/>
      </c>
      <c r="C190" s="32">
        <f>IF($A190="","",HYPERLINK("#'LANÇAMENTOS'!A"&amp;($A190+1),INDEX(c_id,$A190)))</f>
        <v/>
      </c>
      <c r="D190" s="33">
        <f>IF($A190="","",INDEX(c_data,$A190))</f>
        <v/>
      </c>
      <c r="E190" s="34">
        <f>IF($A190="","",INDEX(c_turno,$A190)&amp;"")</f>
        <v/>
      </c>
      <c r="F190" s="34">
        <f>IF($A190="","",INDEX(c_status,$A190)&amp;"")</f>
        <v/>
      </c>
      <c r="G190" s="34">
        <f>IF($A190="","",INDEX(c_alerta,$A190)&amp;"")</f>
        <v/>
      </c>
      <c r="H190" s="34">
        <f>IF($A190="","",INDEX(c_prog,$A190)&amp;"")</f>
        <v/>
      </c>
      <c r="I190" s="34">
        <f>IF($A190="","",INDEX(c_rota,$A190)&amp;"")</f>
        <v/>
      </c>
      <c r="J190" s="34">
        <f>IF($A190="","",IF(INDEX(c_pend,$A190)&amp;""&lt;&gt;"",INDEX(c_pend,$A190)&amp;"",INDEX(c_obs,$A190)&amp;""))</f>
        <v/>
      </c>
      <c r="K190" s="34">
        <f>IF($A190="","",INDEX(c_rpend,$A190)&amp;"")</f>
        <v/>
      </c>
      <c r="L190" s="33">
        <f>IF($A190="","",INDEX(c_prazo,$A190))</f>
        <v/>
      </c>
      <c r="M190" s="41">
        <f>IF($A190="","",INDEX(c_dias,$A190))</f>
        <v/>
      </c>
    </row>
    <row r="191">
      <c r="A191">
        <f>IFERROR(MATCH(LARGE(c_o_pend,184),c_o_pend,0),"")</f>
        <v/>
      </c>
      <c r="B191" s="31">
        <f>IF($A191="","",184)</f>
        <v/>
      </c>
      <c r="C191" s="32">
        <f>IF($A191="","",HYPERLINK("#'LANÇAMENTOS'!A"&amp;($A191+1),INDEX(c_id,$A191)))</f>
        <v/>
      </c>
      <c r="D191" s="33">
        <f>IF($A191="","",INDEX(c_data,$A191))</f>
        <v/>
      </c>
      <c r="E191" s="34">
        <f>IF($A191="","",INDEX(c_turno,$A191)&amp;"")</f>
        <v/>
      </c>
      <c r="F191" s="34">
        <f>IF($A191="","",INDEX(c_status,$A191)&amp;"")</f>
        <v/>
      </c>
      <c r="G191" s="34">
        <f>IF($A191="","",INDEX(c_alerta,$A191)&amp;"")</f>
        <v/>
      </c>
      <c r="H191" s="34">
        <f>IF($A191="","",INDEX(c_prog,$A191)&amp;"")</f>
        <v/>
      </c>
      <c r="I191" s="34">
        <f>IF($A191="","",INDEX(c_rota,$A191)&amp;"")</f>
        <v/>
      </c>
      <c r="J191" s="34">
        <f>IF($A191="","",IF(INDEX(c_pend,$A191)&amp;""&lt;&gt;"",INDEX(c_pend,$A191)&amp;"",INDEX(c_obs,$A191)&amp;""))</f>
        <v/>
      </c>
      <c r="K191" s="34">
        <f>IF($A191="","",INDEX(c_rpend,$A191)&amp;"")</f>
        <v/>
      </c>
      <c r="L191" s="33">
        <f>IF($A191="","",INDEX(c_prazo,$A191))</f>
        <v/>
      </c>
      <c r="M191" s="41">
        <f>IF($A191="","",INDEX(c_dias,$A191))</f>
        <v/>
      </c>
    </row>
    <row r="192">
      <c r="A192">
        <f>IFERROR(MATCH(LARGE(c_o_pend,185),c_o_pend,0),"")</f>
        <v/>
      </c>
      <c r="B192" s="31">
        <f>IF($A192="","",185)</f>
        <v/>
      </c>
      <c r="C192" s="32">
        <f>IF($A192="","",HYPERLINK("#'LANÇAMENTOS'!A"&amp;($A192+1),INDEX(c_id,$A192)))</f>
        <v/>
      </c>
      <c r="D192" s="33">
        <f>IF($A192="","",INDEX(c_data,$A192))</f>
        <v/>
      </c>
      <c r="E192" s="34">
        <f>IF($A192="","",INDEX(c_turno,$A192)&amp;"")</f>
        <v/>
      </c>
      <c r="F192" s="34">
        <f>IF($A192="","",INDEX(c_status,$A192)&amp;"")</f>
        <v/>
      </c>
      <c r="G192" s="34">
        <f>IF($A192="","",INDEX(c_alerta,$A192)&amp;"")</f>
        <v/>
      </c>
      <c r="H192" s="34">
        <f>IF($A192="","",INDEX(c_prog,$A192)&amp;"")</f>
        <v/>
      </c>
      <c r="I192" s="34">
        <f>IF($A192="","",INDEX(c_rota,$A192)&amp;"")</f>
        <v/>
      </c>
      <c r="J192" s="34">
        <f>IF($A192="","",IF(INDEX(c_pend,$A192)&amp;""&lt;&gt;"",INDEX(c_pend,$A192)&amp;"",INDEX(c_obs,$A192)&amp;""))</f>
        <v/>
      </c>
      <c r="K192" s="34">
        <f>IF($A192="","",INDEX(c_rpend,$A192)&amp;"")</f>
        <v/>
      </c>
      <c r="L192" s="33">
        <f>IF($A192="","",INDEX(c_prazo,$A192))</f>
        <v/>
      </c>
      <c r="M192" s="41">
        <f>IF($A192="","",INDEX(c_dias,$A192))</f>
        <v/>
      </c>
    </row>
    <row r="193">
      <c r="A193">
        <f>IFERROR(MATCH(LARGE(c_o_pend,186),c_o_pend,0),"")</f>
        <v/>
      </c>
      <c r="B193" s="31">
        <f>IF($A193="","",186)</f>
        <v/>
      </c>
      <c r="C193" s="32">
        <f>IF($A193="","",HYPERLINK("#'LANÇAMENTOS'!A"&amp;($A193+1),INDEX(c_id,$A193)))</f>
        <v/>
      </c>
      <c r="D193" s="33">
        <f>IF($A193="","",INDEX(c_data,$A193))</f>
        <v/>
      </c>
      <c r="E193" s="34">
        <f>IF($A193="","",INDEX(c_turno,$A193)&amp;"")</f>
        <v/>
      </c>
      <c r="F193" s="34">
        <f>IF($A193="","",INDEX(c_status,$A193)&amp;"")</f>
        <v/>
      </c>
      <c r="G193" s="34">
        <f>IF($A193="","",INDEX(c_alerta,$A193)&amp;"")</f>
        <v/>
      </c>
      <c r="H193" s="34">
        <f>IF($A193="","",INDEX(c_prog,$A193)&amp;"")</f>
        <v/>
      </c>
      <c r="I193" s="34">
        <f>IF($A193="","",INDEX(c_rota,$A193)&amp;"")</f>
        <v/>
      </c>
      <c r="J193" s="34">
        <f>IF($A193="","",IF(INDEX(c_pend,$A193)&amp;""&lt;&gt;"",INDEX(c_pend,$A193)&amp;"",INDEX(c_obs,$A193)&amp;""))</f>
        <v/>
      </c>
      <c r="K193" s="34">
        <f>IF($A193="","",INDEX(c_rpend,$A193)&amp;"")</f>
        <v/>
      </c>
      <c r="L193" s="33">
        <f>IF($A193="","",INDEX(c_prazo,$A193))</f>
        <v/>
      </c>
      <c r="M193" s="41">
        <f>IF($A193="","",INDEX(c_dias,$A193))</f>
        <v/>
      </c>
    </row>
    <row r="194">
      <c r="A194">
        <f>IFERROR(MATCH(LARGE(c_o_pend,187),c_o_pend,0),"")</f>
        <v/>
      </c>
      <c r="B194" s="31">
        <f>IF($A194="","",187)</f>
        <v/>
      </c>
      <c r="C194" s="32">
        <f>IF($A194="","",HYPERLINK("#'LANÇAMENTOS'!A"&amp;($A194+1),INDEX(c_id,$A194)))</f>
        <v/>
      </c>
      <c r="D194" s="33">
        <f>IF($A194="","",INDEX(c_data,$A194))</f>
        <v/>
      </c>
      <c r="E194" s="34">
        <f>IF($A194="","",INDEX(c_turno,$A194)&amp;"")</f>
        <v/>
      </c>
      <c r="F194" s="34">
        <f>IF($A194="","",INDEX(c_status,$A194)&amp;"")</f>
        <v/>
      </c>
      <c r="G194" s="34">
        <f>IF($A194="","",INDEX(c_alerta,$A194)&amp;"")</f>
        <v/>
      </c>
      <c r="H194" s="34">
        <f>IF($A194="","",INDEX(c_prog,$A194)&amp;"")</f>
        <v/>
      </c>
      <c r="I194" s="34">
        <f>IF($A194="","",INDEX(c_rota,$A194)&amp;"")</f>
        <v/>
      </c>
      <c r="J194" s="34">
        <f>IF($A194="","",IF(INDEX(c_pend,$A194)&amp;""&lt;&gt;"",INDEX(c_pend,$A194)&amp;"",INDEX(c_obs,$A194)&amp;""))</f>
        <v/>
      </c>
      <c r="K194" s="34">
        <f>IF($A194="","",INDEX(c_rpend,$A194)&amp;"")</f>
        <v/>
      </c>
      <c r="L194" s="33">
        <f>IF($A194="","",INDEX(c_prazo,$A194))</f>
        <v/>
      </c>
      <c r="M194" s="41">
        <f>IF($A194="","",INDEX(c_dias,$A194))</f>
        <v/>
      </c>
    </row>
    <row r="195">
      <c r="A195">
        <f>IFERROR(MATCH(LARGE(c_o_pend,188),c_o_pend,0),"")</f>
        <v/>
      </c>
      <c r="B195" s="31">
        <f>IF($A195="","",188)</f>
        <v/>
      </c>
      <c r="C195" s="32">
        <f>IF($A195="","",HYPERLINK("#'LANÇAMENTOS'!A"&amp;($A195+1),INDEX(c_id,$A195)))</f>
        <v/>
      </c>
      <c r="D195" s="33">
        <f>IF($A195="","",INDEX(c_data,$A195))</f>
        <v/>
      </c>
      <c r="E195" s="34">
        <f>IF($A195="","",INDEX(c_turno,$A195)&amp;"")</f>
        <v/>
      </c>
      <c r="F195" s="34">
        <f>IF($A195="","",INDEX(c_status,$A195)&amp;"")</f>
        <v/>
      </c>
      <c r="G195" s="34">
        <f>IF($A195="","",INDEX(c_alerta,$A195)&amp;"")</f>
        <v/>
      </c>
      <c r="H195" s="34">
        <f>IF($A195="","",INDEX(c_prog,$A195)&amp;"")</f>
        <v/>
      </c>
      <c r="I195" s="34">
        <f>IF($A195="","",INDEX(c_rota,$A195)&amp;"")</f>
        <v/>
      </c>
      <c r="J195" s="34">
        <f>IF($A195="","",IF(INDEX(c_pend,$A195)&amp;""&lt;&gt;"",INDEX(c_pend,$A195)&amp;"",INDEX(c_obs,$A195)&amp;""))</f>
        <v/>
      </c>
      <c r="K195" s="34">
        <f>IF($A195="","",INDEX(c_rpend,$A195)&amp;"")</f>
        <v/>
      </c>
      <c r="L195" s="33">
        <f>IF($A195="","",INDEX(c_prazo,$A195))</f>
        <v/>
      </c>
      <c r="M195" s="41">
        <f>IF($A195="","",INDEX(c_dias,$A195))</f>
        <v/>
      </c>
    </row>
    <row r="196">
      <c r="A196">
        <f>IFERROR(MATCH(LARGE(c_o_pend,189),c_o_pend,0),"")</f>
        <v/>
      </c>
      <c r="B196" s="31">
        <f>IF($A196="","",189)</f>
        <v/>
      </c>
      <c r="C196" s="32">
        <f>IF($A196="","",HYPERLINK("#'LANÇAMENTOS'!A"&amp;($A196+1),INDEX(c_id,$A196)))</f>
        <v/>
      </c>
      <c r="D196" s="33">
        <f>IF($A196="","",INDEX(c_data,$A196))</f>
        <v/>
      </c>
      <c r="E196" s="34">
        <f>IF($A196="","",INDEX(c_turno,$A196)&amp;"")</f>
        <v/>
      </c>
      <c r="F196" s="34">
        <f>IF($A196="","",INDEX(c_status,$A196)&amp;"")</f>
        <v/>
      </c>
      <c r="G196" s="34">
        <f>IF($A196="","",INDEX(c_alerta,$A196)&amp;"")</f>
        <v/>
      </c>
      <c r="H196" s="34">
        <f>IF($A196="","",INDEX(c_prog,$A196)&amp;"")</f>
        <v/>
      </c>
      <c r="I196" s="34">
        <f>IF($A196="","",INDEX(c_rota,$A196)&amp;"")</f>
        <v/>
      </c>
      <c r="J196" s="34">
        <f>IF($A196="","",IF(INDEX(c_pend,$A196)&amp;""&lt;&gt;"",INDEX(c_pend,$A196)&amp;"",INDEX(c_obs,$A196)&amp;""))</f>
        <v/>
      </c>
      <c r="K196" s="34">
        <f>IF($A196="","",INDEX(c_rpend,$A196)&amp;"")</f>
        <v/>
      </c>
      <c r="L196" s="33">
        <f>IF($A196="","",INDEX(c_prazo,$A196))</f>
        <v/>
      </c>
      <c r="M196" s="41">
        <f>IF($A196="","",INDEX(c_dias,$A196))</f>
        <v/>
      </c>
    </row>
    <row r="197">
      <c r="A197">
        <f>IFERROR(MATCH(LARGE(c_o_pend,190),c_o_pend,0),"")</f>
        <v/>
      </c>
      <c r="B197" s="31">
        <f>IF($A197="","",190)</f>
        <v/>
      </c>
      <c r="C197" s="32">
        <f>IF($A197="","",HYPERLINK("#'LANÇAMENTOS'!A"&amp;($A197+1),INDEX(c_id,$A197)))</f>
        <v/>
      </c>
      <c r="D197" s="33">
        <f>IF($A197="","",INDEX(c_data,$A197))</f>
        <v/>
      </c>
      <c r="E197" s="34">
        <f>IF($A197="","",INDEX(c_turno,$A197)&amp;"")</f>
        <v/>
      </c>
      <c r="F197" s="34">
        <f>IF($A197="","",INDEX(c_status,$A197)&amp;"")</f>
        <v/>
      </c>
      <c r="G197" s="34">
        <f>IF($A197="","",INDEX(c_alerta,$A197)&amp;"")</f>
        <v/>
      </c>
      <c r="H197" s="34">
        <f>IF($A197="","",INDEX(c_prog,$A197)&amp;"")</f>
        <v/>
      </c>
      <c r="I197" s="34">
        <f>IF($A197="","",INDEX(c_rota,$A197)&amp;"")</f>
        <v/>
      </c>
      <c r="J197" s="34">
        <f>IF($A197="","",IF(INDEX(c_pend,$A197)&amp;""&lt;&gt;"",INDEX(c_pend,$A197)&amp;"",INDEX(c_obs,$A197)&amp;""))</f>
        <v/>
      </c>
      <c r="K197" s="34">
        <f>IF($A197="","",INDEX(c_rpend,$A197)&amp;"")</f>
        <v/>
      </c>
      <c r="L197" s="33">
        <f>IF($A197="","",INDEX(c_prazo,$A197))</f>
        <v/>
      </c>
      <c r="M197" s="41">
        <f>IF($A197="","",INDEX(c_dias,$A197))</f>
        <v/>
      </c>
    </row>
    <row r="198">
      <c r="A198">
        <f>IFERROR(MATCH(LARGE(c_o_pend,191),c_o_pend,0),"")</f>
        <v/>
      </c>
      <c r="B198" s="31">
        <f>IF($A198="","",191)</f>
        <v/>
      </c>
      <c r="C198" s="32">
        <f>IF($A198="","",HYPERLINK("#'LANÇAMENTOS'!A"&amp;($A198+1),INDEX(c_id,$A198)))</f>
        <v/>
      </c>
      <c r="D198" s="33">
        <f>IF($A198="","",INDEX(c_data,$A198))</f>
        <v/>
      </c>
      <c r="E198" s="34">
        <f>IF($A198="","",INDEX(c_turno,$A198)&amp;"")</f>
        <v/>
      </c>
      <c r="F198" s="34">
        <f>IF($A198="","",INDEX(c_status,$A198)&amp;"")</f>
        <v/>
      </c>
      <c r="G198" s="34">
        <f>IF($A198="","",INDEX(c_alerta,$A198)&amp;"")</f>
        <v/>
      </c>
      <c r="H198" s="34">
        <f>IF($A198="","",INDEX(c_prog,$A198)&amp;"")</f>
        <v/>
      </c>
      <c r="I198" s="34">
        <f>IF($A198="","",INDEX(c_rota,$A198)&amp;"")</f>
        <v/>
      </c>
      <c r="J198" s="34">
        <f>IF($A198="","",IF(INDEX(c_pend,$A198)&amp;""&lt;&gt;"",INDEX(c_pend,$A198)&amp;"",INDEX(c_obs,$A198)&amp;""))</f>
        <v/>
      </c>
      <c r="K198" s="34">
        <f>IF($A198="","",INDEX(c_rpend,$A198)&amp;"")</f>
        <v/>
      </c>
      <c r="L198" s="33">
        <f>IF($A198="","",INDEX(c_prazo,$A198))</f>
        <v/>
      </c>
      <c r="M198" s="41">
        <f>IF($A198="","",INDEX(c_dias,$A198))</f>
        <v/>
      </c>
    </row>
    <row r="199">
      <c r="A199">
        <f>IFERROR(MATCH(LARGE(c_o_pend,192),c_o_pend,0),"")</f>
        <v/>
      </c>
      <c r="B199" s="31">
        <f>IF($A199="","",192)</f>
        <v/>
      </c>
      <c r="C199" s="32">
        <f>IF($A199="","",HYPERLINK("#'LANÇAMENTOS'!A"&amp;($A199+1),INDEX(c_id,$A199)))</f>
        <v/>
      </c>
      <c r="D199" s="33">
        <f>IF($A199="","",INDEX(c_data,$A199))</f>
        <v/>
      </c>
      <c r="E199" s="34">
        <f>IF($A199="","",INDEX(c_turno,$A199)&amp;"")</f>
        <v/>
      </c>
      <c r="F199" s="34">
        <f>IF($A199="","",INDEX(c_status,$A199)&amp;"")</f>
        <v/>
      </c>
      <c r="G199" s="34">
        <f>IF($A199="","",INDEX(c_alerta,$A199)&amp;"")</f>
        <v/>
      </c>
      <c r="H199" s="34">
        <f>IF($A199="","",INDEX(c_prog,$A199)&amp;"")</f>
        <v/>
      </c>
      <c r="I199" s="34">
        <f>IF($A199="","",INDEX(c_rota,$A199)&amp;"")</f>
        <v/>
      </c>
      <c r="J199" s="34">
        <f>IF($A199="","",IF(INDEX(c_pend,$A199)&amp;""&lt;&gt;"",INDEX(c_pend,$A199)&amp;"",INDEX(c_obs,$A199)&amp;""))</f>
        <v/>
      </c>
      <c r="K199" s="34">
        <f>IF($A199="","",INDEX(c_rpend,$A199)&amp;"")</f>
        <v/>
      </c>
      <c r="L199" s="33">
        <f>IF($A199="","",INDEX(c_prazo,$A199))</f>
        <v/>
      </c>
      <c r="M199" s="41">
        <f>IF($A199="","",INDEX(c_dias,$A199))</f>
        <v/>
      </c>
    </row>
    <row r="200">
      <c r="A200">
        <f>IFERROR(MATCH(LARGE(c_o_pend,193),c_o_pend,0),"")</f>
        <v/>
      </c>
      <c r="B200" s="31">
        <f>IF($A200="","",193)</f>
        <v/>
      </c>
      <c r="C200" s="32">
        <f>IF($A200="","",HYPERLINK("#'LANÇAMENTOS'!A"&amp;($A200+1),INDEX(c_id,$A200)))</f>
        <v/>
      </c>
      <c r="D200" s="33">
        <f>IF($A200="","",INDEX(c_data,$A200))</f>
        <v/>
      </c>
      <c r="E200" s="34">
        <f>IF($A200="","",INDEX(c_turno,$A200)&amp;"")</f>
        <v/>
      </c>
      <c r="F200" s="34">
        <f>IF($A200="","",INDEX(c_status,$A200)&amp;"")</f>
        <v/>
      </c>
      <c r="G200" s="34">
        <f>IF($A200="","",INDEX(c_alerta,$A200)&amp;"")</f>
        <v/>
      </c>
      <c r="H200" s="34">
        <f>IF($A200="","",INDEX(c_prog,$A200)&amp;"")</f>
        <v/>
      </c>
      <c r="I200" s="34">
        <f>IF($A200="","",INDEX(c_rota,$A200)&amp;"")</f>
        <v/>
      </c>
      <c r="J200" s="34">
        <f>IF($A200="","",IF(INDEX(c_pend,$A200)&amp;""&lt;&gt;"",INDEX(c_pend,$A200)&amp;"",INDEX(c_obs,$A200)&amp;""))</f>
        <v/>
      </c>
      <c r="K200" s="34">
        <f>IF($A200="","",INDEX(c_rpend,$A200)&amp;"")</f>
        <v/>
      </c>
      <c r="L200" s="33">
        <f>IF($A200="","",INDEX(c_prazo,$A200))</f>
        <v/>
      </c>
      <c r="M200" s="41">
        <f>IF($A200="","",INDEX(c_dias,$A200))</f>
        <v/>
      </c>
    </row>
    <row r="201">
      <c r="A201">
        <f>IFERROR(MATCH(LARGE(c_o_pend,194),c_o_pend,0),"")</f>
        <v/>
      </c>
      <c r="B201" s="31">
        <f>IF($A201="","",194)</f>
        <v/>
      </c>
      <c r="C201" s="32">
        <f>IF($A201="","",HYPERLINK("#'LANÇAMENTOS'!A"&amp;($A201+1),INDEX(c_id,$A201)))</f>
        <v/>
      </c>
      <c r="D201" s="33">
        <f>IF($A201="","",INDEX(c_data,$A201))</f>
        <v/>
      </c>
      <c r="E201" s="34">
        <f>IF($A201="","",INDEX(c_turno,$A201)&amp;"")</f>
        <v/>
      </c>
      <c r="F201" s="34">
        <f>IF($A201="","",INDEX(c_status,$A201)&amp;"")</f>
        <v/>
      </c>
      <c r="G201" s="34">
        <f>IF($A201="","",INDEX(c_alerta,$A201)&amp;"")</f>
        <v/>
      </c>
      <c r="H201" s="34">
        <f>IF($A201="","",INDEX(c_prog,$A201)&amp;"")</f>
        <v/>
      </c>
      <c r="I201" s="34">
        <f>IF($A201="","",INDEX(c_rota,$A201)&amp;"")</f>
        <v/>
      </c>
      <c r="J201" s="34">
        <f>IF($A201="","",IF(INDEX(c_pend,$A201)&amp;""&lt;&gt;"",INDEX(c_pend,$A201)&amp;"",INDEX(c_obs,$A201)&amp;""))</f>
        <v/>
      </c>
      <c r="K201" s="34">
        <f>IF($A201="","",INDEX(c_rpend,$A201)&amp;"")</f>
        <v/>
      </c>
      <c r="L201" s="33">
        <f>IF($A201="","",INDEX(c_prazo,$A201))</f>
        <v/>
      </c>
      <c r="M201" s="41">
        <f>IF($A201="","",INDEX(c_dias,$A201))</f>
        <v/>
      </c>
    </row>
    <row r="202">
      <c r="A202">
        <f>IFERROR(MATCH(LARGE(c_o_pend,195),c_o_pend,0),"")</f>
        <v/>
      </c>
      <c r="B202" s="31">
        <f>IF($A202="","",195)</f>
        <v/>
      </c>
      <c r="C202" s="32">
        <f>IF($A202="","",HYPERLINK("#'LANÇAMENTOS'!A"&amp;($A202+1),INDEX(c_id,$A202)))</f>
        <v/>
      </c>
      <c r="D202" s="33">
        <f>IF($A202="","",INDEX(c_data,$A202))</f>
        <v/>
      </c>
      <c r="E202" s="34">
        <f>IF($A202="","",INDEX(c_turno,$A202)&amp;"")</f>
        <v/>
      </c>
      <c r="F202" s="34">
        <f>IF($A202="","",INDEX(c_status,$A202)&amp;"")</f>
        <v/>
      </c>
      <c r="G202" s="34">
        <f>IF($A202="","",INDEX(c_alerta,$A202)&amp;"")</f>
        <v/>
      </c>
      <c r="H202" s="34">
        <f>IF($A202="","",INDEX(c_prog,$A202)&amp;"")</f>
        <v/>
      </c>
      <c r="I202" s="34">
        <f>IF($A202="","",INDEX(c_rota,$A202)&amp;"")</f>
        <v/>
      </c>
      <c r="J202" s="34">
        <f>IF($A202="","",IF(INDEX(c_pend,$A202)&amp;""&lt;&gt;"",INDEX(c_pend,$A202)&amp;"",INDEX(c_obs,$A202)&amp;""))</f>
        <v/>
      </c>
      <c r="K202" s="34">
        <f>IF($A202="","",INDEX(c_rpend,$A202)&amp;"")</f>
        <v/>
      </c>
      <c r="L202" s="33">
        <f>IF($A202="","",INDEX(c_prazo,$A202))</f>
        <v/>
      </c>
      <c r="M202" s="41">
        <f>IF($A202="","",INDEX(c_dias,$A202))</f>
        <v/>
      </c>
    </row>
    <row r="203">
      <c r="A203">
        <f>IFERROR(MATCH(LARGE(c_o_pend,196),c_o_pend,0),"")</f>
        <v/>
      </c>
      <c r="B203" s="31">
        <f>IF($A203="","",196)</f>
        <v/>
      </c>
      <c r="C203" s="32">
        <f>IF($A203="","",HYPERLINK("#'LANÇAMENTOS'!A"&amp;($A203+1),INDEX(c_id,$A203)))</f>
        <v/>
      </c>
      <c r="D203" s="33">
        <f>IF($A203="","",INDEX(c_data,$A203))</f>
        <v/>
      </c>
      <c r="E203" s="34">
        <f>IF($A203="","",INDEX(c_turno,$A203)&amp;"")</f>
        <v/>
      </c>
      <c r="F203" s="34">
        <f>IF($A203="","",INDEX(c_status,$A203)&amp;"")</f>
        <v/>
      </c>
      <c r="G203" s="34">
        <f>IF($A203="","",INDEX(c_alerta,$A203)&amp;"")</f>
        <v/>
      </c>
      <c r="H203" s="34">
        <f>IF($A203="","",INDEX(c_prog,$A203)&amp;"")</f>
        <v/>
      </c>
      <c r="I203" s="34">
        <f>IF($A203="","",INDEX(c_rota,$A203)&amp;"")</f>
        <v/>
      </c>
      <c r="J203" s="34">
        <f>IF($A203="","",IF(INDEX(c_pend,$A203)&amp;""&lt;&gt;"",INDEX(c_pend,$A203)&amp;"",INDEX(c_obs,$A203)&amp;""))</f>
        <v/>
      </c>
      <c r="K203" s="34">
        <f>IF($A203="","",INDEX(c_rpend,$A203)&amp;"")</f>
        <v/>
      </c>
      <c r="L203" s="33">
        <f>IF($A203="","",INDEX(c_prazo,$A203))</f>
        <v/>
      </c>
      <c r="M203" s="41">
        <f>IF($A203="","",INDEX(c_dias,$A203))</f>
        <v/>
      </c>
    </row>
    <row r="204">
      <c r="A204">
        <f>IFERROR(MATCH(LARGE(c_o_pend,197),c_o_pend,0),"")</f>
        <v/>
      </c>
      <c r="B204" s="31">
        <f>IF($A204="","",197)</f>
        <v/>
      </c>
      <c r="C204" s="32">
        <f>IF($A204="","",HYPERLINK("#'LANÇAMENTOS'!A"&amp;($A204+1),INDEX(c_id,$A204)))</f>
        <v/>
      </c>
      <c r="D204" s="33">
        <f>IF($A204="","",INDEX(c_data,$A204))</f>
        <v/>
      </c>
      <c r="E204" s="34">
        <f>IF($A204="","",INDEX(c_turno,$A204)&amp;"")</f>
        <v/>
      </c>
      <c r="F204" s="34">
        <f>IF($A204="","",INDEX(c_status,$A204)&amp;"")</f>
        <v/>
      </c>
      <c r="G204" s="34">
        <f>IF($A204="","",INDEX(c_alerta,$A204)&amp;"")</f>
        <v/>
      </c>
      <c r="H204" s="34">
        <f>IF($A204="","",INDEX(c_prog,$A204)&amp;"")</f>
        <v/>
      </c>
      <c r="I204" s="34">
        <f>IF($A204="","",INDEX(c_rota,$A204)&amp;"")</f>
        <v/>
      </c>
      <c r="J204" s="34">
        <f>IF($A204="","",IF(INDEX(c_pend,$A204)&amp;""&lt;&gt;"",INDEX(c_pend,$A204)&amp;"",INDEX(c_obs,$A204)&amp;""))</f>
        <v/>
      </c>
      <c r="K204" s="34">
        <f>IF($A204="","",INDEX(c_rpend,$A204)&amp;"")</f>
        <v/>
      </c>
      <c r="L204" s="33">
        <f>IF($A204="","",INDEX(c_prazo,$A204))</f>
        <v/>
      </c>
      <c r="M204" s="41">
        <f>IF($A204="","",INDEX(c_dias,$A204))</f>
        <v/>
      </c>
    </row>
    <row r="205">
      <c r="A205">
        <f>IFERROR(MATCH(LARGE(c_o_pend,198),c_o_pend,0),"")</f>
        <v/>
      </c>
      <c r="B205" s="31">
        <f>IF($A205="","",198)</f>
        <v/>
      </c>
      <c r="C205" s="32">
        <f>IF($A205="","",HYPERLINK("#'LANÇAMENTOS'!A"&amp;($A205+1),INDEX(c_id,$A205)))</f>
        <v/>
      </c>
      <c r="D205" s="33">
        <f>IF($A205="","",INDEX(c_data,$A205))</f>
        <v/>
      </c>
      <c r="E205" s="34">
        <f>IF($A205="","",INDEX(c_turno,$A205)&amp;"")</f>
        <v/>
      </c>
      <c r="F205" s="34">
        <f>IF($A205="","",INDEX(c_status,$A205)&amp;"")</f>
        <v/>
      </c>
      <c r="G205" s="34">
        <f>IF($A205="","",INDEX(c_alerta,$A205)&amp;"")</f>
        <v/>
      </c>
      <c r="H205" s="34">
        <f>IF($A205="","",INDEX(c_prog,$A205)&amp;"")</f>
        <v/>
      </c>
      <c r="I205" s="34">
        <f>IF($A205="","",INDEX(c_rota,$A205)&amp;"")</f>
        <v/>
      </c>
      <c r="J205" s="34">
        <f>IF($A205="","",IF(INDEX(c_pend,$A205)&amp;""&lt;&gt;"",INDEX(c_pend,$A205)&amp;"",INDEX(c_obs,$A205)&amp;""))</f>
        <v/>
      </c>
      <c r="K205" s="34">
        <f>IF($A205="","",INDEX(c_rpend,$A205)&amp;"")</f>
        <v/>
      </c>
      <c r="L205" s="33">
        <f>IF($A205="","",INDEX(c_prazo,$A205))</f>
        <v/>
      </c>
      <c r="M205" s="41">
        <f>IF($A205="","",INDEX(c_dias,$A205))</f>
        <v/>
      </c>
    </row>
    <row r="206">
      <c r="A206">
        <f>IFERROR(MATCH(LARGE(c_o_pend,199),c_o_pend,0),"")</f>
        <v/>
      </c>
      <c r="B206" s="31">
        <f>IF($A206="","",199)</f>
        <v/>
      </c>
      <c r="C206" s="32">
        <f>IF($A206="","",HYPERLINK("#'LANÇAMENTOS'!A"&amp;($A206+1),INDEX(c_id,$A206)))</f>
        <v/>
      </c>
      <c r="D206" s="33">
        <f>IF($A206="","",INDEX(c_data,$A206))</f>
        <v/>
      </c>
      <c r="E206" s="34">
        <f>IF($A206="","",INDEX(c_turno,$A206)&amp;"")</f>
        <v/>
      </c>
      <c r="F206" s="34">
        <f>IF($A206="","",INDEX(c_status,$A206)&amp;"")</f>
        <v/>
      </c>
      <c r="G206" s="34">
        <f>IF($A206="","",INDEX(c_alerta,$A206)&amp;"")</f>
        <v/>
      </c>
      <c r="H206" s="34">
        <f>IF($A206="","",INDEX(c_prog,$A206)&amp;"")</f>
        <v/>
      </c>
      <c r="I206" s="34">
        <f>IF($A206="","",INDEX(c_rota,$A206)&amp;"")</f>
        <v/>
      </c>
      <c r="J206" s="34">
        <f>IF($A206="","",IF(INDEX(c_pend,$A206)&amp;""&lt;&gt;"",INDEX(c_pend,$A206)&amp;"",INDEX(c_obs,$A206)&amp;""))</f>
        <v/>
      </c>
      <c r="K206" s="34">
        <f>IF($A206="","",INDEX(c_rpend,$A206)&amp;"")</f>
        <v/>
      </c>
      <c r="L206" s="33">
        <f>IF($A206="","",INDEX(c_prazo,$A206))</f>
        <v/>
      </c>
      <c r="M206" s="41">
        <f>IF($A206="","",INDEX(c_dias,$A206))</f>
        <v/>
      </c>
    </row>
    <row r="207">
      <c r="A207">
        <f>IFERROR(MATCH(LARGE(c_o_pend,200),c_o_pend,0),"")</f>
        <v/>
      </c>
      <c r="B207" s="31">
        <f>IF($A207="","",200)</f>
        <v/>
      </c>
      <c r="C207" s="32">
        <f>IF($A207="","",HYPERLINK("#'LANÇAMENTOS'!A"&amp;($A207+1),INDEX(c_id,$A207)))</f>
        <v/>
      </c>
      <c r="D207" s="33">
        <f>IF($A207="","",INDEX(c_data,$A207))</f>
        <v/>
      </c>
      <c r="E207" s="34">
        <f>IF($A207="","",INDEX(c_turno,$A207)&amp;"")</f>
        <v/>
      </c>
      <c r="F207" s="34">
        <f>IF($A207="","",INDEX(c_status,$A207)&amp;"")</f>
        <v/>
      </c>
      <c r="G207" s="34">
        <f>IF($A207="","",INDEX(c_alerta,$A207)&amp;"")</f>
        <v/>
      </c>
      <c r="H207" s="34">
        <f>IF($A207="","",INDEX(c_prog,$A207)&amp;"")</f>
        <v/>
      </c>
      <c r="I207" s="34">
        <f>IF($A207="","",INDEX(c_rota,$A207)&amp;"")</f>
        <v/>
      </c>
      <c r="J207" s="34">
        <f>IF($A207="","",IF(INDEX(c_pend,$A207)&amp;""&lt;&gt;"",INDEX(c_pend,$A207)&amp;"",INDEX(c_obs,$A207)&amp;""))</f>
        <v/>
      </c>
      <c r="K207" s="34">
        <f>IF($A207="","",INDEX(c_rpend,$A207)&amp;"")</f>
        <v/>
      </c>
      <c r="L207" s="33">
        <f>IF($A207="","",INDEX(c_prazo,$A207))</f>
        <v/>
      </c>
      <c r="M207" s="41">
        <f>IF($A207="","",INDEX(c_dias,$A207))</f>
        <v/>
      </c>
    </row>
  </sheetData>
  <mergeCells count="12">
    <mergeCell ref="F4:G4"/>
    <mergeCell ref="B2:M2"/>
    <mergeCell ref="J4:K4"/>
    <mergeCell ref="J5:K5"/>
    <mergeCell ref="B5:C5"/>
    <mergeCell ref="F5:G5"/>
    <mergeCell ref="D5:E5"/>
    <mergeCell ref="H5:I5"/>
    <mergeCell ref="D4:E4"/>
    <mergeCell ref="H4:I4"/>
    <mergeCell ref="B1:M1"/>
    <mergeCell ref="B4:C4"/>
  </mergeCells>
  <conditionalFormatting sqref="F8:F207">
    <cfRule type="expression" priority="1" dxfId="0">
      <formula>F8="CRÍTICO"</formula>
    </cfRule>
    <cfRule type="expression" priority="2" dxfId="1">
      <formula>F8="ATENÇÃO"</formula>
    </cfRule>
    <cfRule type="expression" priority="3" dxfId="2">
      <formula>F8="PENDENTE"</formula>
    </cfRule>
    <cfRule type="expression" priority="4" dxfId="3">
      <formula>F8="EM ANDAMENTO"</formula>
    </cfRule>
    <cfRule type="expression" priority="5" dxfId="4">
      <formula>F8="CONCLUÍDO"</formula>
    </cfRule>
    <cfRule type="expression" priority="6" dxfId="5">
      <formula>F8="HISTÓRICO"</formula>
    </cfRule>
  </conditionalFormatting>
  <conditionalFormatting sqref="G8:G207">
    <cfRule type="expression" priority="7" dxfId="6">
      <formula>LEFT(G8,2)="🔴"</formula>
    </cfRule>
    <cfRule type="expression" priority="8" dxfId="7">
      <formula>LEFT(G8,2)="🟡"</formula>
    </cfRule>
    <cfRule type="expression" priority="9" dxfId="8">
      <formula>LEFT(G8,2)="🟢"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L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3" customWidth="1" min="3" max="3"/>
    <col width="13" customWidth="1" min="4" max="4"/>
    <col width="10" customWidth="1" min="5" max="5"/>
    <col width="11" customWidth="1" min="6" max="6"/>
    <col width="12" customWidth="1" min="7" max="7"/>
    <col width="3" customWidth="1" min="8" max="8"/>
  </cols>
  <sheetData>
    <row r="1" ht="30" customHeight="1">
      <c r="B1" s="9" t="inlineStr">
        <is>
          <t>PAINEL — TROCA DE TURNO 2026</t>
        </is>
      </c>
    </row>
    <row r="2">
      <c r="B2" s="10" t="inlineStr">
        <is>
          <t>Números calculados automaticamente a partir de LANÇAMENTOS (volumes em toneladas).</t>
        </is>
      </c>
    </row>
    <row r="4">
      <c r="B4" s="11" t="inlineStr">
        <is>
          <t>Período:</t>
        </is>
      </c>
      <c r="C4" s="13" t="inlineStr">
        <is>
          <t>MÊS ATUAL</t>
        </is>
      </c>
      <c r="K4" s="14">
        <f>IF(C4="ÚLTIMOS 7 DIAS",TODAY()-6,IF(C4="ÚLTIMOS 30 DIAS",TODAY()-29,IF(C4="TUDO",DATE(2000,1,1),DATE(YEAR(TODAY()),MONTH(TODAY()),1))))</f>
        <v/>
      </c>
      <c r="L4" s="14">
        <f>IF(C4="TUDO",DATE(2100,1,1),IF(C4="MÊS ATUAL",EOMONTH(TODAY(),0),TODAY()))</f>
        <v/>
      </c>
    </row>
    <row r="6" ht="22" customHeight="1">
      <c r="B6" s="17" t="inlineStr">
        <is>
          <t>PLANEJADO (t)</t>
        </is>
      </c>
      <c r="C6" s="18" t="n"/>
      <c r="D6" s="17" t="inlineStr">
        <is>
          <t>EXECUTADO (t)</t>
        </is>
      </c>
      <c r="E6" s="18" t="n"/>
      <c r="F6" s="17" t="inlineStr">
        <is>
          <t>% EXECUÇÃO</t>
        </is>
      </c>
      <c r="G6" s="18" t="n"/>
      <c r="H6" s="17" t="inlineStr">
        <is>
          <t>LANÇAMENTOS</t>
        </is>
      </c>
      <c r="I6" s="18" t="n"/>
      <c r="J6" s="21" t="inlineStr">
        <is>
          <t>CRÍTICOS EM ABERTO</t>
        </is>
      </c>
      <c r="K6" s="22" t="n"/>
    </row>
    <row r="7" ht="32" customHeight="1">
      <c r="B7" s="23">
        <f>SUMIFS(c_plan,c_med,"TON",c_data,"&gt;="&amp;p_ini,c_data,"&lt;="&amp;p_fim)</f>
        <v/>
      </c>
      <c r="C7" s="24" t="n"/>
      <c r="D7" s="23">
        <f>SUMIFS(c_exec,c_med,"TON",c_data,"&gt;="&amp;p_ini,c_data,"&lt;="&amp;p_fim)</f>
        <v/>
      </c>
      <c r="E7" s="24" t="n"/>
      <c r="F7" s="42">
        <f>IFERROR(D7/B7,0)</f>
        <v/>
      </c>
      <c r="G7" s="24" t="n"/>
      <c r="H7" s="43">
        <f>COUNTIFS(c_data,"&gt;="&amp;p_ini,c_data,"&lt;="&amp;p_fim)</f>
        <v/>
      </c>
      <c r="I7" s="24" t="n"/>
      <c r="J7" s="27">
        <f>COUNTIFS(c_status,"CRÍTICO",c_data,"&gt;="&amp;p_ini,c_data,"&lt;="&amp;p_fim)</f>
        <v/>
      </c>
      <c r="K7" s="24" t="n"/>
    </row>
    <row r="9" ht="22" customHeight="1">
      <c r="B9" s="19" t="inlineStr">
        <is>
          <t>EM ABERTO</t>
        </is>
      </c>
      <c r="C9" s="20" t="n"/>
      <c r="D9" s="19" t="inlineStr">
        <is>
          <t>FATURAMENTO PENDENTE</t>
        </is>
      </c>
      <c r="E9" s="20" t="n"/>
      <c r="F9" s="19" t="inlineStr">
        <is>
          <t>EMBARQUES PENDENTES</t>
        </is>
      </c>
      <c r="G9" s="20" t="n"/>
      <c r="H9" s="44" t="inlineStr">
        <is>
          <t>EMBARQUES REALIZADOS</t>
        </is>
      </c>
      <c r="I9" s="45" t="n"/>
      <c r="J9" s="44" t="inlineStr">
        <is>
          <t>CONCLUÍDOS</t>
        </is>
      </c>
      <c r="K9" s="45" t="n"/>
    </row>
    <row r="10" ht="32" customHeight="1">
      <c r="B10" s="26">
        <f>COUNTIFS(c_aberto,1,c_data,"&gt;="&amp;MAX(p_ini,corte),c_data,"&lt;="&amp;p_fim)</f>
        <v/>
      </c>
      <c r="C10" s="24" t="n"/>
      <c r="D10" s="26">
        <f>COUNTIFS(c_fat,"PENDENTE",c_data,"&gt;="&amp;p_ini,c_data,"&lt;="&amp;p_fim)+COUNTIFS(c_fat,"PARCIAL",c_data,"&gt;="&amp;p_ini,c_data,"&lt;="&amp;p_fim)</f>
        <v/>
      </c>
      <c r="E10" s="24" t="n"/>
      <c r="F10" s="26">
        <f>COUNTIFS(c_emb,"PENDENTE",c_data,"&gt;="&amp;p_ini,c_data,"&lt;="&amp;p_fim)+COUNTIFS(c_emb,"PARCIAL",c_data,"&gt;="&amp;p_ini,c_data,"&lt;="&amp;p_fim)</f>
        <v/>
      </c>
      <c r="G10" s="24" t="n"/>
      <c r="H10" s="46">
        <f>COUNTIFS(c_emb,"REALIZADO",c_data,"&gt;="&amp;p_ini,c_data,"&lt;="&amp;p_fim)</f>
        <v/>
      </c>
      <c r="I10" s="24" t="n"/>
      <c r="J10" s="46">
        <f>COUNTIFS(c_status,"CONCLUÍDO",c_data,"&gt;="&amp;p_ini,c_data,"&lt;="&amp;p_fim)</f>
        <v/>
      </c>
      <c r="K10" s="24" t="n"/>
    </row>
    <row r="12" ht="20" customHeight="1">
      <c r="B12" s="47" t="inlineStr">
        <is>
          <t>POR TURNO</t>
        </is>
      </c>
      <c r="C12" s="48" t="n"/>
      <c r="D12" s="48" t="n"/>
      <c r="E12" s="48" t="n"/>
      <c r="F12" s="48" t="n"/>
      <c r="G12" s="48" t="n"/>
    </row>
    <row r="13" ht="28" customHeight="1">
      <c r="B13" s="30" t="inlineStr">
        <is>
          <t>TURNO</t>
        </is>
      </c>
      <c r="C13" s="30" t="inlineStr">
        <is>
          <t>PLANEJADO (t)</t>
        </is>
      </c>
      <c r="D13" s="30" t="inlineStr">
        <is>
          <t>EXECUTADO (t)</t>
        </is>
      </c>
      <c r="E13" s="30" t="inlineStr">
        <is>
          <t>% EXEC.</t>
        </is>
      </c>
      <c r="F13" s="30" t="inlineStr">
        <is>
          <t>EM ABERTO</t>
        </is>
      </c>
      <c r="G13" s="30" t="inlineStr">
        <is>
          <t>CRÍTICOS</t>
        </is>
      </c>
    </row>
    <row r="14">
      <c r="B14" s="49" t="inlineStr">
        <is>
          <t>A</t>
        </is>
      </c>
      <c r="C14" s="50">
        <f>SUMIFS(c_plan,c_turno,B14,c_med,"TON",c_data,"&gt;="&amp;p_ini,c_data,"&lt;="&amp;p_fim)</f>
        <v/>
      </c>
      <c r="D14" s="50">
        <f>SUMIFS(c_exec,c_turno,B14,c_med,"TON",c_data,"&gt;="&amp;p_ini,c_data,"&lt;="&amp;p_fim)</f>
        <v/>
      </c>
      <c r="E14" s="51">
        <f>IFERROR(D14/C14,"")</f>
        <v/>
      </c>
      <c r="F14" s="52">
        <f>COUNTIFS(c_turno,B14,c_aberto,1,c_data,"&gt;="&amp;MAX(p_ini,corte),c_data,"&lt;="&amp;p_fim)</f>
        <v/>
      </c>
      <c r="G14" s="52">
        <f>COUNTIFS(c_turno,B14,c_status,"CRÍTICO",c_data,"&gt;="&amp;p_ini,c_data,"&lt;="&amp;p_fim)</f>
        <v/>
      </c>
    </row>
    <row r="15">
      <c r="B15" s="49" t="inlineStr">
        <is>
          <t>B</t>
        </is>
      </c>
      <c r="C15" s="50">
        <f>SUMIFS(c_plan,c_turno,B15,c_med,"TON",c_data,"&gt;="&amp;p_ini,c_data,"&lt;="&amp;p_fim)</f>
        <v/>
      </c>
      <c r="D15" s="50">
        <f>SUMIFS(c_exec,c_turno,B15,c_med,"TON",c_data,"&gt;="&amp;p_ini,c_data,"&lt;="&amp;p_fim)</f>
        <v/>
      </c>
      <c r="E15" s="51">
        <f>IFERROR(D15/C15,"")</f>
        <v/>
      </c>
      <c r="F15" s="52">
        <f>COUNTIFS(c_turno,B15,c_aberto,1,c_data,"&gt;="&amp;MAX(p_ini,corte),c_data,"&lt;="&amp;p_fim)</f>
        <v/>
      </c>
      <c r="G15" s="52">
        <f>COUNTIFS(c_turno,B15,c_status,"CRÍTICO",c_data,"&gt;="&amp;p_ini,c_data,"&lt;="&amp;p_fim)</f>
        <v/>
      </c>
    </row>
    <row r="16">
      <c r="B16" s="49" t="inlineStr">
        <is>
          <t>C</t>
        </is>
      </c>
      <c r="C16" s="50">
        <f>SUMIFS(c_plan,c_turno,B16,c_med,"TON",c_data,"&gt;="&amp;p_ini,c_data,"&lt;="&amp;p_fim)</f>
        <v/>
      </c>
      <c r="D16" s="50">
        <f>SUMIFS(c_exec,c_turno,B16,c_med,"TON",c_data,"&gt;="&amp;p_ini,c_data,"&lt;="&amp;p_fim)</f>
        <v/>
      </c>
      <c r="E16" s="51">
        <f>IFERROR(D16/C16,"")</f>
        <v/>
      </c>
      <c r="F16" s="52">
        <f>COUNTIFS(c_turno,B16,c_aberto,1,c_data,"&gt;="&amp;MAX(p_ini,corte),c_data,"&lt;="&amp;p_fim)</f>
        <v/>
      </c>
      <c r="G16" s="52">
        <f>COUNTIFS(c_turno,B16,c_status,"CRÍTICO",c_data,"&gt;="&amp;p_ini,c_data,"&lt;="&amp;p_fim)</f>
        <v/>
      </c>
    </row>
    <row r="17">
      <c r="B17" s="49" t="inlineStr">
        <is>
          <t>D</t>
        </is>
      </c>
      <c r="C17" s="50">
        <f>SUMIFS(c_plan,c_turno,B17,c_med,"TON",c_data,"&gt;="&amp;p_ini,c_data,"&lt;="&amp;p_fim)</f>
        <v/>
      </c>
      <c r="D17" s="50">
        <f>SUMIFS(c_exec,c_turno,B17,c_med,"TON",c_data,"&gt;="&amp;p_ini,c_data,"&lt;="&amp;p_fim)</f>
        <v/>
      </c>
      <c r="E17" s="51">
        <f>IFERROR(D17/C17,"")</f>
        <v/>
      </c>
      <c r="F17" s="52">
        <f>COUNTIFS(c_turno,B17,c_aberto,1,c_data,"&gt;="&amp;MAX(p_ini,corte),c_data,"&lt;="&amp;p_fim)</f>
        <v/>
      </c>
      <c r="G17" s="52">
        <f>COUNTIFS(c_turno,B17,c_status,"CRÍTICO",c_data,"&gt;="&amp;p_ini,c_data,"&lt;="&amp;p_fim)</f>
        <v/>
      </c>
    </row>
    <row r="20" ht="20" customHeight="1">
      <c r="B20" s="47" t="inlineStr">
        <is>
          <t>POR PROGRAMAÇÃO</t>
        </is>
      </c>
      <c r="C20" s="48" t="n"/>
      <c r="D20" s="48" t="n"/>
      <c r="E20" s="48" t="n"/>
      <c r="F20" s="48" t="n"/>
      <c r="G20" s="48" t="n"/>
    </row>
    <row r="21" ht="28" customHeight="1">
      <c r="B21" s="30" t="inlineStr">
        <is>
          <t>PROGRAMAÇÃO</t>
        </is>
      </c>
      <c r="C21" s="30" t="inlineStr">
        <is>
          <t>PLANEJADO (t)</t>
        </is>
      </c>
      <c r="D21" s="30" t="inlineStr">
        <is>
          <t>EXECUTADO (t)</t>
        </is>
      </c>
      <c r="E21" s="30" t="inlineStr">
        <is>
          <t>% EXEC.</t>
        </is>
      </c>
      <c r="F21" s="30" t="inlineStr">
        <is>
          <t>EM ABERTO</t>
        </is>
      </c>
      <c r="G21" s="30" t="inlineStr">
        <is>
          <t>LANÇAMENTOS</t>
        </is>
      </c>
    </row>
    <row r="22">
      <c r="B22" s="53" t="inlineStr">
        <is>
          <t>GM</t>
        </is>
      </c>
      <c r="C22" s="54">
        <f>SUMIFS(c_plan,c_prog,B22,c_med,"TON",c_data,"&gt;="&amp;p_ini,c_data,"&lt;="&amp;p_fim)</f>
        <v/>
      </c>
      <c r="D22" s="54">
        <f>SUMIFS(c_exec,c_prog,B22,c_med,"TON",c_data,"&gt;="&amp;p_ini,c_data,"&lt;="&amp;p_fim)</f>
        <v/>
      </c>
      <c r="E22" s="51">
        <f>IFERROR(D22/C22,"")</f>
        <v/>
      </c>
      <c r="F22" s="55">
        <f>COUNTIFS(c_prog,B22,c_aberto,1,c_data,"&gt;="&amp;MAX(p_ini,corte),c_data,"&lt;="&amp;p_fim)</f>
        <v/>
      </c>
      <c r="G22" s="55">
        <f>COUNTIFS(c_prog,B22,c_data,"&gt;="&amp;p_ini,c_data,"&lt;="&amp;p_fim)</f>
        <v/>
      </c>
    </row>
    <row r="23">
      <c r="B23" s="53" t="inlineStr">
        <is>
          <t>FM</t>
        </is>
      </c>
      <c r="C23" s="54">
        <f>SUMIFS(c_plan,c_prog,B23,c_med,"TON",c_data,"&gt;="&amp;p_ini,c_data,"&lt;="&amp;p_fim)</f>
        <v/>
      </c>
      <c r="D23" s="54">
        <f>SUMIFS(c_exec,c_prog,B23,c_med,"TON",c_data,"&gt;="&amp;p_ini,c_data,"&lt;="&amp;p_fim)</f>
        <v/>
      </c>
      <c r="E23" s="51">
        <f>IFERROR(D23/C23,"")</f>
        <v/>
      </c>
      <c r="F23" s="55">
        <f>COUNTIFS(c_prog,B23,c_aberto,1,c_data,"&gt;="&amp;MAX(p_ini,corte),c_data,"&lt;="&amp;p_fim)</f>
        <v/>
      </c>
      <c r="G23" s="55">
        <f>COUNTIFS(c_prog,B23,c_data,"&gt;="&amp;p_ini,c_data,"&lt;="&amp;p_fim)</f>
        <v/>
      </c>
    </row>
    <row r="24">
      <c r="B24" s="53" t="inlineStr">
        <is>
          <t>FOB</t>
        </is>
      </c>
      <c r="C24" s="54">
        <f>SUMIFS(c_plan,c_prog,B24,c_med,"TON",c_data,"&gt;="&amp;p_ini,c_data,"&lt;="&amp;p_fim)</f>
        <v/>
      </c>
      <c r="D24" s="54">
        <f>SUMIFS(c_exec,c_prog,B24,c_med,"TON",c_data,"&gt;="&amp;p_ini,c_data,"&lt;="&amp;p_fim)</f>
        <v/>
      </c>
      <c r="E24" s="51">
        <f>IFERROR(D24/C24,"")</f>
        <v/>
      </c>
      <c r="F24" s="55">
        <f>COUNTIFS(c_prog,B24,c_aberto,1,c_data,"&gt;="&amp;MAX(p_ini,corte),c_data,"&lt;="&amp;p_fim)</f>
        <v/>
      </c>
      <c r="G24" s="55">
        <f>COUNTIFS(c_prog,B24,c_data,"&gt;="&amp;p_ini,c_data,"&lt;="&amp;p_fim)</f>
        <v/>
      </c>
    </row>
    <row r="25">
      <c r="B25" s="53" t="inlineStr">
        <is>
          <t>CIF</t>
        </is>
      </c>
      <c r="C25" s="54">
        <f>SUMIFS(c_plan,c_prog,B25,c_med,"TON",c_data,"&gt;="&amp;p_ini,c_data,"&lt;="&amp;p_fim)</f>
        <v/>
      </c>
      <c r="D25" s="54">
        <f>SUMIFS(c_exec,c_prog,B25,c_med,"TON",c_data,"&gt;="&amp;p_ini,c_data,"&lt;="&amp;p_fim)</f>
        <v/>
      </c>
      <c r="E25" s="51">
        <f>IFERROR(D25/C25,"")</f>
        <v/>
      </c>
      <c r="F25" s="55">
        <f>COUNTIFS(c_prog,B25,c_aberto,1,c_data,"&gt;="&amp;MAX(p_ini,corte),c_data,"&lt;="&amp;p_fim)</f>
        <v/>
      </c>
      <c r="G25" s="55">
        <f>COUNTIFS(c_prog,B25,c_data,"&gt;="&amp;p_ini,c_data,"&lt;="&amp;p_fim)</f>
        <v/>
      </c>
    </row>
    <row r="26">
      <c r="B26" s="53" t="inlineStr">
        <is>
          <t>GRANEL</t>
        </is>
      </c>
      <c r="C26" s="54">
        <f>SUMIFS(c_plan,c_prog,B26,c_med,"TON",c_data,"&gt;="&amp;p_ini,c_data,"&lt;="&amp;p_fim)</f>
        <v/>
      </c>
      <c r="D26" s="54">
        <f>SUMIFS(c_exec,c_prog,B26,c_med,"TON",c_data,"&gt;="&amp;p_ini,c_data,"&lt;="&amp;p_fim)</f>
        <v/>
      </c>
      <c r="E26" s="51">
        <f>IFERROR(D26/C26,"")</f>
        <v/>
      </c>
      <c r="F26" s="55">
        <f>COUNTIFS(c_prog,B26,c_aberto,1,c_data,"&gt;="&amp;MAX(p_ini,corte),c_data,"&lt;="&amp;p_fim)</f>
        <v/>
      </c>
      <c r="G26" s="55">
        <f>COUNTIFS(c_prog,B26,c_data,"&gt;="&amp;p_ini,c_data,"&lt;="&amp;p_fim)</f>
        <v/>
      </c>
    </row>
    <row r="27">
      <c r="B27" s="53" t="inlineStr">
        <is>
          <t>CACAU</t>
        </is>
      </c>
      <c r="C27" s="54">
        <f>SUMIFS(c_plan,c_prog,B27,c_med,"TON",c_data,"&gt;="&amp;p_ini,c_data,"&lt;="&amp;p_fim)</f>
        <v/>
      </c>
      <c r="D27" s="54">
        <f>SUMIFS(c_exec,c_prog,B27,c_med,"TON",c_data,"&gt;="&amp;p_ini,c_data,"&lt;="&amp;p_fim)</f>
        <v/>
      </c>
      <c r="E27" s="51">
        <f>IFERROR(D27/C27,"")</f>
        <v/>
      </c>
      <c r="F27" s="55">
        <f>COUNTIFS(c_prog,B27,c_aberto,1,c_data,"&gt;="&amp;MAX(p_ini,corte),c_data,"&lt;="&amp;p_fim)</f>
        <v/>
      </c>
      <c r="G27" s="55">
        <f>COUNTIFS(c_prog,B27,c_data,"&gt;="&amp;p_ini,c_data,"&lt;="&amp;p_fim)</f>
        <v/>
      </c>
    </row>
    <row r="28">
      <c r="B28" s="53" t="inlineStr">
        <is>
          <t>BR15</t>
        </is>
      </c>
      <c r="C28" s="54">
        <f>SUMIFS(c_plan,c_prog,B28,c_med,"TON",c_data,"&gt;="&amp;p_ini,c_data,"&lt;="&amp;p_fim)</f>
        <v/>
      </c>
      <c r="D28" s="54">
        <f>SUMIFS(c_exec,c_prog,B28,c_med,"TON",c_data,"&gt;="&amp;p_ini,c_data,"&lt;="&amp;p_fim)</f>
        <v/>
      </c>
      <c r="E28" s="51">
        <f>IFERROR(D28/C28,"")</f>
        <v/>
      </c>
      <c r="F28" s="55">
        <f>COUNTIFS(c_prog,B28,c_aberto,1,c_data,"&gt;="&amp;MAX(p_ini,corte),c_data,"&lt;="&amp;p_fim)</f>
        <v/>
      </c>
      <c r="G28" s="55">
        <f>COUNTIFS(c_prog,B28,c_data,"&gt;="&amp;p_ini,c_data,"&lt;="&amp;p_fim)</f>
        <v/>
      </c>
    </row>
    <row r="29">
      <c r="B29" s="53" t="inlineStr">
        <is>
          <t>EXPORTAÇÃO</t>
        </is>
      </c>
      <c r="C29" s="54">
        <f>SUMIFS(c_plan,c_prog,B29,c_med,"TON",c_data,"&gt;="&amp;p_ini,c_data,"&lt;="&amp;p_fim)</f>
        <v/>
      </c>
      <c r="D29" s="54">
        <f>SUMIFS(c_exec,c_prog,B29,c_med,"TON",c_data,"&gt;="&amp;p_ini,c_data,"&lt;="&amp;p_fim)</f>
        <v/>
      </c>
      <c r="E29" s="51">
        <f>IFERROR(D29/C29,"")</f>
        <v/>
      </c>
      <c r="F29" s="55">
        <f>COUNTIFS(c_prog,B29,c_aberto,1,c_data,"&gt;="&amp;MAX(p_ini,corte),c_data,"&lt;="&amp;p_fim)</f>
        <v/>
      </c>
      <c r="G29" s="55">
        <f>COUNTIFS(c_prog,B29,c_data,"&gt;="&amp;p_ini,c_data,"&lt;="&amp;p_fim)</f>
        <v/>
      </c>
    </row>
    <row r="30">
      <c r="B30" s="53" t="inlineStr">
        <is>
          <t>CROSS DOCKING</t>
        </is>
      </c>
      <c r="C30" s="54">
        <f>SUMIFS(c_plan,c_prog,B30,c_med,"TON",c_data,"&gt;="&amp;p_ini,c_data,"&lt;="&amp;p_fim)</f>
        <v/>
      </c>
      <c r="D30" s="54">
        <f>SUMIFS(c_exec,c_prog,B30,c_med,"TON",c_data,"&gt;="&amp;p_ini,c_data,"&lt;="&amp;p_fim)</f>
        <v/>
      </c>
      <c r="E30" s="51">
        <f>IFERROR(D30/C30,"")</f>
        <v/>
      </c>
      <c r="F30" s="55">
        <f>COUNTIFS(c_prog,B30,c_aberto,1,c_data,"&gt;="&amp;MAX(p_ini,corte),c_data,"&lt;="&amp;p_fim)</f>
        <v/>
      </c>
      <c r="G30" s="55">
        <f>COUNTIFS(c_prog,B30,c_data,"&gt;="&amp;p_ini,c_data,"&lt;="&amp;p_fim)</f>
        <v/>
      </c>
    </row>
    <row r="31">
      <c r="B31" s="53" t="inlineStr">
        <is>
          <t>TRANSFERÊNCIA</t>
        </is>
      </c>
      <c r="C31" s="54">
        <f>SUMIFS(c_plan,c_prog,B31,c_med,"TON",c_data,"&gt;="&amp;p_ini,c_data,"&lt;="&amp;p_fim)</f>
        <v/>
      </c>
      <c r="D31" s="54">
        <f>SUMIFS(c_exec,c_prog,B31,c_med,"TON",c_data,"&gt;="&amp;p_ini,c_data,"&lt;="&amp;p_fim)</f>
        <v/>
      </c>
      <c r="E31" s="51">
        <f>IFERROR(D31/C31,"")</f>
        <v/>
      </c>
      <c r="F31" s="55">
        <f>COUNTIFS(c_prog,B31,c_aberto,1,c_data,"&gt;="&amp;MAX(p_ini,corte),c_data,"&lt;="&amp;p_fim)</f>
        <v/>
      </c>
      <c r="G31" s="55">
        <f>COUNTIFS(c_prog,B31,c_data,"&gt;="&amp;p_ini,c_data,"&lt;="&amp;p_fim)</f>
        <v/>
      </c>
    </row>
  </sheetData>
  <mergeCells count="25">
    <mergeCell ref="D10:E10"/>
    <mergeCell ref="B7:C7"/>
    <mergeCell ref="F10:G10"/>
    <mergeCell ref="H10:I10"/>
    <mergeCell ref="J10:K10"/>
    <mergeCell ref="F6:G6"/>
    <mergeCell ref="H9:I9"/>
    <mergeCell ref="F7:G7"/>
    <mergeCell ref="C4:D4"/>
    <mergeCell ref="J9:K9"/>
    <mergeCell ref="D6:E6"/>
    <mergeCell ref="H6:I6"/>
    <mergeCell ref="J6:K6"/>
    <mergeCell ref="B2:L2"/>
    <mergeCell ref="B1:L1"/>
    <mergeCell ref="B20:G20"/>
    <mergeCell ref="D7:E7"/>
    <mergeCell ref="H7:I7"/>
    <mergeCell ref="J7:K7"/>
    <mergeCell ref="B10:C10"/>
    <mergeCell ref="B9:C9"/>
    <mergeCell ref="D9:E9"/>
    <mergeCell ref="F9:G9"/>
    <mergeCell ref="B6:C6"/>
    <mergeCell ref="B12:G12"/>
  </mergeCells>
  <conditionalFormatting sqref="F7">
    <cfRule type="expression" priority="1" dxfId="10">
      <formula>F7&lt;0.95</formula>
    </cfRule>
  </conditionalFormatting>
  <conditionalFormatting sqref="E14:E17">
    <cfRule type="expression" priority="2" dxfId="11">
      <formula>AND(ISNUMBER(E14),E14&lt;0.95)</formula>
    </cfRule>
  </conditionalFormatting>
  <conditionalFormatting sqref="E22:E31">
    <cfRule type="expression" priority="3" dxfId="11">
      <formula>AND(ISNUMBER(E22),E22&lt;0.95)</formula>
    </cfRule>
  </conditionalFormatting>
  <dataValidations count="1">
    <dataValidation sqref="C4" showDropDown="0" showInputMessage="0" showErrorMessage="0" allowBlank="1" errorTitle="Valor fora da lista" error="Escolha um item da lista (aba LISTAS)." type="list" errorStyle="stop">
      <formula1>=l_periodo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95959"/>
    <outlinePr summaryBelow="1" summaryRight="1"/>
    <pageSetUpPr/>
  </sheetPr>
  <dimension ref="B1:M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3" customWidth="1" min="10" max="10"/>
    <col width="30" customWidth="1" min="11" max="11"/>
    <col width="14" customWidth="1" min="12" max="12"/>
    <col width="70" customWidth="1" min="13" max="13"/>
  </cols>
  <sheetData>
    <row r="1" ht="30" customHeight="1">
      <c r="B1" s="9" t="inlineStr">
        <is>
          <t>LISTAS E AJUDA</t>
        </is>
      </c>
    </row>
    <row r="2">
      <c r="B2" s="10" t="inlineStr">
        <is>
          <t>Itens das listas suspensas. Pode acrescentar nomes nas células amarelas.</t>
        </is>
      </c>
    </row>
    <row r="4" ht="20" customHeight="1">
      <c r="B4" s="56" t="inlineStr">
        <is>
          <t>TURNO</t>
        </is>
      </c>
      <c r="C4" s="56" t="inlineStr">
        <is>
          <t>RESPONSÁVEIS</t>
        </is>
      </c>
      <c r="D4" s="56" t="inlineStr">
        <is>
          <t>PROGRAMAÇÃO</t>
        </is>
      </c>
      <c r="E4" s="56" t="inlineStr">
        <is>
          <t>MEDIDA</t>
        </is>
      </c>
      <c r="F4" s="56" t="inlineStr">
        <is>
          <t>FATURAMENTO</t>
        </is>
      </c>
      <c r="G4" s="56" t="inlineStr">
        <is>
          <t>EMBARQUE</t>
        </is>
      </c>
      <c r="H4" s="56" t="inlineStr">
        <is>
          <t>TRANSPORTADORA</t>
        </is>
      </c>
      <c r="I4" s="56" t="inlineStr">
        <is>
          <t>PERÍODO</t>
        </is>
      </c>
      <c r="K4" s="47" t="inlineStr">
        <is>
          <t>AJUSTES</t>
        </is>
      </c>
      <c r="L4" s="48" t="n"/>
      <c r="M4" s="48" t="n"/>
    </row>
    <row r="5" ht="36" customHeight="1">
      <c r="B5" s="57" t="inlineStr">
        <is>
          <t>A</t>
        </is>
      </c>
      <c r="C5" s="58" t="inlineStr">
        <is>
          <t>TATIANE</t>
        </is>
      </c>
      <c r="D5" s="58" t="inlineStr">
        <is>
          <t>GM</t>
        </is>
      </c>
      <c r="E5" s="57" t="inlineStr">
        <is>
          <t>TON</t>
        </is>
      </c>
      <c r="F5" s="57" t="inlineStr">
        <is>
          <t>PENDENTE</t>
        </is>
      </c>
      <c r="G5" s="57" t="inlineStr">
        <is>
          <t>PENDENTE</t>
        </is>
      </c>
      <c r="H5" s="58" t="inlineStr">
        <is>
          <t>ARCELOG</t>
        </is>
      </c>
      <c r="I5" s="57" t="inlineStr">
        <is>
          <t>MÊS ATUAL</t>
        </is>
      </c>
      <c r="K5" s="53" t="inlineStr">
        <is>
          <t>Pendências contam a partir de</t>
        </is>
      </c>
      <c r="L5" s="12" t="n">
        <v>46285</v>
      </c>
      <c r="M5" s="59" t="inlineStr">
        <is>
          <t>Itens em aberto do arquivo antigo com data anterior aparecem como HISTÓRICO e não entram nas pendências (não tinham responsável nem prazo).</t>
        </is>
      </c>
    </row>
    <row r="6">
      <c r="B6" s="57" t="inlineStr">
        <is>
          <t>B</t>
        </is>
      </c>
      <c r="C6" s="58" t="inlineStr">
        <is>
          <t>THIAGO</t>
        </is>
      </c>
      <c r="D6" s="58" t="inlineStr">
        <is>
          <t>FM</t>
        </is>
      </c>
      <c r="E6" s="57" t="inlineStr">
        <is>
          <t>PALETE</t>
        </is>
      </c>
      <c r="F6" s="57" t="inlineStr">
        <is>
          <t>PARCIAL</t>
        </is>
      </c>
      <c r="G6" s="57" t="inlineStr">
        <is>
          <t>PARCIAL</t>
        </is>
      </c>
      <c r="H6" s="58" t="inlineStr">
        <is>
          <t>BOING TRANS</t>
        </is>
      </c>
      <c r="I6" s="57" t="inlineStr">
        <is>
          <t>ÚLTIMOS 7 DIAS</t>
        </is>
      </c>
      <c r="K6" s="53" t="inlineStr">
        <is>
          <t>Turno  ➜  próximo turno</t>
        </is>
      </c>
    </row>
    <row r="7">
      <c r="B7" s="57" t="inlineStr">
        <is>
          <t>C</t>
        </is>
      </c>
      <c r="C7" s="58" t="inlineStr">
        <is>
          <t>ADIB</t>
        </is>
      </c>
      <c r="D7" s="58" t="inlineStr">
        <is>
          <t>FOB</t>
        </is>
      </c>
      <c r="E7" s="57" t="inlineStr">
        <is>
          <t>POSIÇÃO</t>
        </is>
      </c>
      <c r="F7" s="57" t="inlineStr">
        <is>
          <t>FATURADO</t>
        </is>
      </c>
      <c r="G7" s="57" t="inlineStr">
        <is>
          <t>REALIZADO</t>
        </is>
      </c>
      <c r="H7" s="58" t="inlineStr">
        <is>
          <t>BORA</t>
        </is>
      </c>
      <c r="I7" s="57" t="inlineStr">
        <is>
          <t>ÚLTIMOS 30 DIAS</t>
        </is>
      </c>
      <c r="K7" s="60" t="inlineStr">
        <is>
          <t>A</t>
        </is>
      </c>
      <c r="L7" s="13" t="inlineStr">
        <is>
          <t>B</t>
        </is>
      </c>
    </row>
    <row r="8">
      <c r="B8" s="57" t="inlineStr">
        <is>
          <t>D</t>
        </is>
      </c>
      <c r="C8" s="58" t="inlineStr">
        <is>
          <t>VINICIUS</t>
        </is>
      </c>
      <c r="D8" s="58" t="inlineStr">
        <is>
          <t>CIF</t>
        </is>
      </c>
      <c r="F8" s="57" t="inlineStr">
        <is>
          <t>NÃO SE APLICA</t>
        </is>
      </c>
      <c r="G8" s="57" t="inlineStr">
        <is>
          <t>NÃO SE APLICA</t>
        </is>
      </c>
      <c r="H8" s="58" t="inlineStr">
        <is>
          <t>D2</t>
        </is>
      </c>
      <c r="I8" s="57" t="inlineStr">
        <is>
          <t>TUDO</t>
        </is>
      </c>
      <c r="K8" s="60" t="inlineStr">
        <is>
          <t>B</t>
        </is>
      </c>
      <c r="L8" s="13" t="inlineStr">
        <is>
          <t>C</t>
        </is>
      </c>
    </row>
    <row r="9">
      <c r="C9" s="58" t="inlineStr">
        <is>
          <t>ADAO</t>
        </is>
      </c>
      <c r="D9" s="58" t="inlineStr">
        <is>
          <t>GRANEL</t>
        </is>
      </c>
      <c r="H9" s="58" t="inlineStr">
        <is>
          <t>FIRMEZA</t>
        </is>
      </c>
      <c r="K9" s="60" t="inlineStr">
        <is>
          <t>C</t>
        </is>
      </c>
      <c r="L9" s="13" t="inlineStr">
        <is>
          <t>D</t>
        </is>
      </c>
    </row>
    <row r="10">
      <c r="C10" s="58" t="n"/>
      <c r="D10" s="58" t="inlineStr">
        <is>
          <t>CACAU</t>
        </is>
      </c>
      <c r="H10" s="58" t="inlineStr">
        <is>
          <t>JSL</t>
        </is>
      </c>
      <c r="K10" s="60" t="inlineStr">
        <is>
          <t>D</t>
        </is>
      </c>
      <c r="L10" s="13" t="inlineStr">
        <is>
          <t>A</t>
        </is>
      </c>
    </row>
    <row r="11">
      <c r="C11" s="58" t="n"/>
      <c r="D11" s="58" t="inlineStr">
        <is>
          <t>BR15</t>
        </is>
      </c>
      <c r="H11" s="58" t="inlineStr">
        <is>
          <t>LOGGIO</t>
        </is>
      </c>
    </row>
    <row r="12">
      <c r="C12" s="58" t="n"/>
      <c r="D12" s="58" t="inlineStr">
        <is>
          <t>EXPORTAÇÃO</t>
        </is>
      </c>
      <c r="H12" s="58" t="inlineStr">
        <is>
          <t>OMEGA X</t>
        </is>
      </c>
    </row>
    <row r="13" ht="20" customHeight="1">
      <c r="C13" s="58" t="n"/>
      <c r="D13" s="58" t="inlineStr">
        <is>
          <t>CROSS DOCKING</t>
        </is>
      </c>
      <c r="H13" s="58" t="inlineStr">
        <is>
          <t>PRÓPRIO</t>
        </is>
      </c>
      <c r="K13" s="37" t="inlineStr">
        <is>
          <t>COMO USAR</t>
        </is>
      </c>
      <c r="L13" s="38" t="n"/>
      <c r="M13" s="38" t="n"/>
    </row>
    <row r="14" ht="40" customHeight="1">
      <c r="C14" s="58" t="n"/>
      <c r="D14" s="58" t="inlineStr">
        <is>
          <t>TRANSFERÊNCIA</t>
        </is>
      </c>
      <c r="H14" s="58" t="inlineStr">
        <is>
          <t>RENOVAÇÃO</t>
        </is>
      </c>
      <c r="K14" s="61" t="inlineStr">
        <is>
          <t>1. Lançar</t>
        </is>
      </c>
      <c r="L14" s="59" t="inlineStr">
        <is>
          <t>Aba LANÇAMENTOS, primeira linha vazia. Preencha as colunas de cabeçalho AZUL. As colunas de cabeçalho CINZA (ID, Status, Alerta, %, Dias) são automáticas.</t>
        </is>
      </c>
    </row>
    <row r="15" ht="40" customHeight="1">
      <c r="C15" s="58" t="n"/>
      <c r="D15" s="58" t="inlineStr">
        <is>
          <t>RECEBIMENTO</t>
        </is>
      </c>
      <c r="H15" s="58" t="inlineStr">
        <is>
          <t>SMARTLOG</t>
        </is>
      </c>
      <c r="K15" s="61" t="inlineStr">
        <is>
          <t>2. Pendência</t>
        </is>
      </c>
      <c r="L15" s="59" t="inlineStr">
        <is>
          <t>Se algo ficou pendente: escreva em PENDÊNCIA e informe RESP. PENDÊNCIA e PRAZO.</t>
        </is>
      </c>
    </row>
    <row r="16" ht="40" customHeight="1">
      <c r="C16" s="58" t="n"/>
      <c r="D16" s="58" t="inlineStr">
        <is>
          <t>FLOOR</t>
        </is>
      </c>
      <c r="H16" s="58" t="inlineStr">
        <is>
          <t>SPEEDYLOG</t>
        </is>
      </c>
      <c r="K16" s="61" t="inlineStr">
        <is>
          <t>3. Dar baixa</t>
        </is>
      </c>
      <c r="L16" s="59" t="inlineStr">
        <is>
          <t>Quando resolver: preencha CONCLUÍDO EM (e atualize Executado / Faturamento / Embarque).</t>
        </is>
      </c>
    </row>
    <row r="17" ht="40" customHeight="1">
      <c r="C17" s="58" t="n"/>
      <c r="D17" s="58" t="inlineStr">
        <is>
          <t>ABASTECIMENTO</t>
        </is>
      </c>
      <c r="H17" s="58" t="inlineStr">
        <is>
          <t>TAFF</t>
        </is>
      </c>
      <c r="K17" s="61" t="inlineStr">
        <is>
          <t>4. Trocar turno</t>
        </is>
      </c>
      <c r="L17" s="59" t="inlineStr">
        <is>
          <t>Aba PASSAGEM: o que fica para o próximo turno + resumo pronto para o WhatsApp.</t>
        </is>
      </c>
    </row>
    <row r="18" ht="40" customHeight="1">
      <c r="C18" s="58" t="n"/>
      <c r="D18" s="58" t="inlineStr">
        <is>
          <t>MOVIMENTAÇÃO</t>
        </is>
      </c>
      <c r="H18" s="58" t="inlineStr">
        <is>
          <t>TIO CARLO</t>
        </is>
      </c>
      <c r="K18" s="61" t="inlineStr">
        <is>
          <t>5. Acompanhar</t>
        </is>
      </c>
      <c r="L18" s="59" t="inlineStr">
        <is>
          <t>PENDÊNCIAS lista tudo em aberto (críticos primeiro). PAINEL mostra os números.</t>
        </is>
      </c>
    </row>
    <row r="19" ht="40" customHeight="1">
      <c r="C19" s="58" t="n"/>
      <c r="D19" s="58" t="inlineStr">
        <is>
          <t>DESCARTE</t>
        </is>
      </c>
      <c r="H19" s="58" t="n"/>
      <c r="K19" s="61" t="inlineStr">
        <is>
          <t>Status</t>
        </is>
      </c>
      <c r="L19" s="59" t="inlineStr">
        <is>
          <t>CRÍTICO = prazo vencido ou embarque pendente há mais de 1 dia.  ATENÇÃO = pendência aberta, embarcado sem faturar ou vence hoje.  PENDENTE = sem execução.  EM ANDAMENTO = parcial.  CONCLUÍDO = nada em aberto.</t>
        </is>
      </c>
    </row>
    <row r="20" ht="40" customHeight="1">
      <c r="C20" s="58" t="n"/>
      <c r="D20" s="58" t="inlineStr">
        <is>
          <t>INVENTÁRIO</t>
        </is>
      </c>
      <c r="H20" s="58" t="n"/>
      <c r="K20" s="61" t="inlineStr">
        <is>
          <t>Cuidado</t>
        </is>
      </c>
      <c r="L20" s="59" t="inlineStr">
        <is>
          <t>Não apague linhas nem ordene LANÇAMENTOS (o ID é a posição da linha). Para anular, zere Planejado/Executado, marque Faturamento/Embarque como NÃO SE APLICA e escreva CANCELADO na observação.</t>
        </is>
      </c>
    </row>
    <row r="21">
      <c r="C21" s="58" t="n"/>
      <c r="D21" s="58" t="inlineStr">
        <is>
          <t>OUTROS</t>
        </is>
      </c>
      <c r="H21" s="58" t="n"/>
    </row>
    <row r="22">
      <c r="C22" s="58" t="n"/>
      <c r="D22" s="58" t="n"/>
      <c r="H22" s="58" t="n"/>
    </row>
    <row r="23">
      <c r="C23" s="58" t="n"/>
      <c r="D23" s="58" t="n"/>
      <c r="H23" s="58" t="n"/>
    </row>
    <row r="24">
      <c r="C24" s="58" t="n"/>
      <c r="D24" s="58" t="n"/>
      <c r="H24" s="58" t="n"/>
    </row>
    <row r="25">
      <c r="C25" s="58" t="n"/>
      <c r="D25" s="58" t="n"/>
      <c r="H25" s="58" t="n"/>
    </row>
    <row r="26">
      <c r="C26" s="58" t="n"/>
      <c r="D26" s="58" t="n"/>
      <c r="H26" s="58" t="n"/>
    </row>
    <row r="27">
      <c r="C27" s="58" t="n"/>
      <c r="D27" s="58" t="n"/>
      <c r="H27" s="58" t="n"/>
    </row>
    <row r="28">
      <c r="C28" s="58" t="n"/>
      <c r="D28" s="58" t="n"/>
      <c r="H28" s="58" t="n"/>
    </row>
    <row r="29">
      <c r="C29" s="58" t="n"/>
      <c r="D29" s="58" t="n"/>
      <c r="H29" s="58" t="n"/>
    </row>
    <row r="30">
      <c r="C30" s="58" t="n"/>
      <c r="D30" s="58" t="n"/>
      <c r="H30" s="58" t="n"/>
    </row>
    <row r="31">
      <c r="C31" s="58" t="n"/>
      <c r="D31" s="58" t="n"/>
      <c r="H31" s="58" t="n"/>
    </row>
    <row r="32">
      <c r="C32" s="58" t="n"/>
      <c r="D32" s="58" t="n"/>
      <c r="H32" s="58" t="n"/>
    </row>
    <row r="33">
      <c r="C33" s="58" t="n"/>
      <c r="D33" s="58" t="n"/>
      <c r="H33" s="58" t="n"/>
    </row>
    <row r="34">
      <c r="C34" s="58" t="n"/>
      <c r="D34" s="58" t="n"/>
      <c r="H34" s="58" t="n"/>
    </row>
  </sheetData>
  <mergeCells count="11">
    <mergeCell ref="L17:M17"/>
    <mergeCell ref="B2:M2"/>
    <mergeCell ref="L20:M20"/>
    <mergeCell ref="K4:M4"/>
    <mergeCell ref="K13:M13"/>
    <mergeCell ref="L16:M16"/>
    <mergeCell ref="L15:M15"/>
    <mergeCell ref="L18:M18"/>
    <mergeCell ref="L19:M19"/>
    <mergeCell ref="B1:M1"/>
    <mergeCell ref="L14:M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2026-09-23T02:18:12Z</dcterms:created>
  <dcterms:modified xsi:type="dcterms:W3CDTF">2026-09-23T02:18:14Z</dcterms:modified>
</cp:coreProperties>
</file>